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omments4.xml" ContentType="application/vnd.openxmlformats-officedocument.spreadsheetml.comment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omments5.xml" ContentType="application/vnd.openxmlformats-officedocument.spreadsheetml.comments+xml"/>
  <Override PartName="/xl/drawings/drawing9.xml" ContentType="application/vnd.openxmlformats-officedocument.drawing+xml"/>
  <Override PartName="/xl/comments6.xml" ContentType="application/vnd.openxmlformats-officedocument.spreadsheetml.comments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omments7.xml" ContentType="application/vnd.openxmlformats-officedocument.spreadsheetml.comments+xml"/>
  <Override PartName="/xl/drawings/drawing13.xml" ContentType="application/vnd.openxmlformats-officedocument.drawing+xml"/>
  <Override PartName="/xl/comments8.xml" ContentType="application/vnd.openxmlformats-officedocument.spreadsheetml.comments+xml"/>
  <Override PartName="/xl/drawings/drawing14.xml" ContentType="application/vnd.openxmlformats-officedocument.drawing+xml"/>
  <Override PartName="/xl/comments9.xml" ContentType="application/vnd.openxmlformats-officedocument.spreadsheetml.comments+xml"/>
  <Override PartName="/xl/drawings/drawing15.xml" ContentType="application/vnd.openxmlformats-officedocument.drawing+xml"/>
  <Override PartName="/xl/comments10.xml" ContentType="application/vnd.openxmlformats-officedocument.spreadsheetml.comments+xml"/>
  <Override PartName="/xl/drawings/drawing16.xml" ContentType="application/vnd.openxmlformats-officedocument.drawing+xml"/>
  <Override PartName="/xl/comments11.xml" ContentType="application/vnd.openxmlformats-officedocument.spreadsheetml.comments+xml"/>
  <Override PartName="/xl/drawings/drawing17.xml" ContentType="application/vnd.openxmlformats-officedocument.drawing+xml"/>
  <Override PartName="/xl/comments12.xml" ContentType="application/vnd.openxmlformats-officedocument.spreadsheetml.comments+xml"/>
  <Override PartName="/xl/drawings/drawing18.xml" ContentType="application/vnd.openxmlformats-officedocument.drawing+xml"/>
  <Override PartName="/xl/comments13.xml" ContentType="application/vnd.openxmlformats-officedocument.spreadsheetml.comments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omments14.xml" ContentType="application/vnd.openxmlformats-officedocument.spreadsheetml.comments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comments15.xml" ContentType="application/vnd.openxmlformats-officedocument.spreadsheetml.comments+xml"/>
  <Override PartName="/xl/drawings/drawing61.xml" ContentType="application/vnd.openxmlformats-officedocument.drawing+xml"/>
  <Override PartName="/xl/comments16.xml" ContentType="application/vnd.openxmlformats-officedocument.spreadsheetml.comments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E:\FORMULA RATES SPP\Annual Update AEP West Trans\Projected\2024 Projection\Filed Documents\"/>
    </mc:Choice>
  </mc:AlternateContent>
  <xr:revisionPtr revIDLastSave="0" documentId="13_ncr:1_{7CB8A650-8A68-48B8-A3BF-497AE96A96EE}" xr6:coauthVersionLast="47" xr6:coauthVersionMax="47" xr10:uidLastSave="{00000000-0000-0000-0000-000000000000}"/>
  <bookViews>
    <workbookView xWindow="57480" yWindow="1620" windowWidth="29040" windowHeight="15720" tabRatio="838" xr2:uid="{00000000-000D-0000-FFFF-FFFF00000000}"/>
  </bookViews>
  <sheets>
    <sheet name="SWE.Sch.11.Rates" sheetId="36" r:id="rId1"/>
    <sheet name="SWE.WS.F.BPU.ATRR.Projected" sheetId="1" r:id="rId2"/>
    <sheet name="SWE.WS.G.BPU.ATRR.True-up" sheetId="2" r:id="rId3"/>
    <sheet name="S.001" sheetId="3" r:id="rId4"/>
    <sheet name="S.002" sheetId="17" r:id="rId5"/>
    <sheet name="S.003" sheetId="18" r:id="rId6"/>
    <sheet name="S.004" sheetId="19" r:id="rId7"/>
    <sheet name="S.005" sheetId="20" r:id="rId8"/>
    <sheet name="S.006" sheetId="21" r:id="rId9"/>
    <sheet name="S.007" sheetId="22" r:id="rId10"/>
    <sheet name="S.008" sheetId="23" r:id="rId11"/>
    <sheet name="S.009" sheetId="24" r:id="rId12"/>
    <sheet name="S.010" sheetId="25" r:id="rId13"/>
    <sheet name="S.011" sheetId="26" r:id="rId14"/>
    <sheet name="S.012" sheetId="27" r:id="rId15"/>
    <sheet name="S.013" sheetId="28" r:id="rId16"/>
    <sheet name="S.014" sheetId="29" r:id="rId17"/>
    <sheet name="S.015" sheetId="30" r:id="rId18"/>
    <sheet name="S.016" sheetId="31" r:id="rId19"/>
    <sheet name="S.017" sheetId="32" r:id="rId20"/>
    <sheet name="S.018" sheetId="33" r:id="rId21"/>
    <sheet name="S.019" sheetId="34" r:id="rId22"/>
    <sheet name="S.020" sheetId="35" r:id="rId23"/>
    <sheet name="S.021" sheetId="39" r:id="rId24"/>
    <sheet name="S.022" sheetId="41" r:id="rId25"/>
    <sheet name="S.023" sheetId="42" r:id="rId26"/>
    <sheet name="S.024" sheetId="43" r:id="rId27"/>
    <sheet name="S.025" sheetId="44" r:id="rId28"/>
    <sheet name="S.026" sheetId="45" r:id="rId29"/>
    <sheet name="S.027" sheetId="46" r:id="rId30"/>
    <sheet name="S.028" sheetId="53" r:id="rId31"/>
    <sheet name="S.029" sheetId="54" r:id="rId32"/>
    <sheet name="S.030" sheetId="55" r:id="rId33"/>
    <sheet name="S.031" sheetId="56" r:id="rId34"/>
    <sheet name="S.032" sheetId="57" r:id="rId35"/>
    <sheet name="S.033" sheetId="58" r:id="rId36"/>
    <sheet name="S.034" sheetId="59" r:id="rId37"/>
    <sheet name="S.035" sheetId="61" r:id="rId38"/>
    <sheet name="S.036" sheetId="63" r:id="rId39"/>
    <sheet name="S.037" sheetId="62" r:id="rId40"/>
    <sheet name="S.038" sheetId="60" r:id="rId41"/>
    <sheet name="S.039" sheetId="64" r:id="rId42"/>
    <sheet name="S.040" sheetId="65" r:id="rId43"/>
    <sheet name="S.041" sheetId="66" r:id="rId44"/>
    <sheet name="S.042" sheetId="67" r:id="rId45"/>
    <sheet name="S.043" sheetId="68" r:id="rId46"/>
    <sheet name="S.044" sheetId="69" r:id="rId47"/>
    <sheet name="S.045" sheetId="70" r:id="rId48"/>
    <sheet name="S.046" sheetId="71" r:id="rId49"/>
    <sheet name="S.047" sheetId="72" r:id="rId50"/>
    <sheet name="S.048" sheetId="73" r:id="rId51"/>
    <sheet name="S.049" sheetId="74" r:id="rId52"/>
    <sheet name="S.050" sheetId="75" r:id="rId53"/>
    <sheet name="S.051" sheetId="76" r:id="rId54"/>
    <sheet name="S.052" sheetId="77" r:id="rId55"/>
    <sheet name="S.053" sheetId="78" r:id="rId56"/>
    <sheet name="S.054" sheetId="79" r:id="rId57"/>
    <sheet name="S.055" sheetId="80" r:id="rId58"/>
    <sheet name="S.056" sheetId="81" r:id="rId59"/>
    <sheet name="S.057" sheetId="82" r:id="rId60"/>
    <sheet name="S.058" sheetId="83" r:id="rId61"/>
    <sheet name="S.059" sheetId="84" r:id="rId62"/>
    <sheet name="S.060" sheetId="85" r:id="rId63"/>
    <sheet name="S.061" sheetId="86" r:id="rId64"/>
    <sheet name="S.062" sheetId="87" r:id="rId65"/>
    <sheet name="S.063" sheetId="88" r:id="rId66"/>
    <sheet name="S.064" sheetId="89" r:id="rId67"/>
    <sheet name="S.065" sheetId="90" r:id="rId68"/>
    <sheet name="S.066" sheetId="91" r:id="rId69"/>
    <sheet name="S.067" sheetId="92" r:id="rId70"/>
    <sheet name="S.068" sheetId="93" r:id="rId71"/>
    <sheet name="S.069" sheetId="94" r:id="rId72"/>
    <sheet name="S.070" sheetId="95" r:id="rId73"/>
    <sheet name="S.071" sheetId="96" r:id="rId74"/>
    <sheet name="S.072" sheetId="97" r:id="rId75"/>
    <sheet name="S.073" sheetId="98" r:id="rId76"/>
    <sheet name="S.074" sheetId="99" r:id="rId77"/>
    <sheet name="S.075" sheetId="100" r:id="rId78"/>
    <sheet name="S.xyz - blank" sheetId="13" r:id="rId79"/>
  </sheets>
  <externalReferences>
    <externalReference r:id="rId80"/>
  </externalReferences>
  <definedNames>
    <definedName name="_NPh1">#REF!</definedName>
    <definedName name="ActExcessAmt">#REF!</definedName>
    <definedName name="ActGrTaxAmt">#REF!</definedName>
    <definedName name="ActKWHExcess">#REF!</definedName>
    <definedName name="ActKWHNotUsed">#REF!</definedName>
    <definedName name="ActKWHRes">#REF!</definedName>
    <definedName name="ActKWHSubTot">#REF!</definedName>
    <definedName name="ActKWHTot">#REF!</definedName>
    <definedName name="ActNotUsedAmt">#REF!</definedName>
    <definedName name="ActResAmt">#REF!</definedName>
    <definedName name="ActSubTotAmt">#REF!</definedName>
    <definedName name="ActTotAmt">#REF!</definedName>
    <definedName name="AdminChg">#REF!</definedName>
    <definedName name="AEP">#REF!</definedName>
    <definedName name="allocator">#REF!</definedName>
    <definedName name="allocators">#REF!</definedName>
    <definedName name="allocatorsSWP">#REF!</definedName>
    <definedName name="allocatorSWP1">'[1]SWP TCOS 2008 13 Month'!$I$317:$J$328</definedName>
    <definedName name="APCO">#REF!</definedName>
    <definedName name="AVRGPWRFCTR">#REF!</definedName>
    <definedName name="B1HRSCRMO">#REF!</definedName>
    <definedName name="B2HRSCRMO">#REF!</definedName>
    <definedName name="BASERATECHG">#REF!</definedName>
    <definedName name="BILLKWH">#REF!</definedName>
    <definedName name="BIRPCCHG">#REF!</definedName>
    <definedName name="BIRPDCHG1">#REF!</definedName>
    <definedName name="BIRPDCHG2">#REF!</definedName>
    <definedName name="BIRPECHG1">#REF!</definedName>
    <definedName name="BIRPECHGB1">#REF!</definedName>
    <definedName name="BIRPECHGB2">#REF!</definedName>
    <definedName name="BIRPECHGB3">#REF!</definedName>
    <definedName name="BIRPECHGW">#REF!</definedName>
    <definedName name="BIRPKWH1">#REF!</definedName>
    <definedName name="BIRPKWHB1">#REF!</definedName>
    <definedName name="BIRPKWHB2">#REF!</definedName>
    <definedName name="BIRPKWHB3">#REF!</definedName>
    <definedName name="BIRPKWHWH">#REF!</definedName>
    <definedName name="BIRPMECHG1">#REF!</definedName>
    <definedName name="BIRPOFKWH">#REF!</definedName>
    <definedName name="BIRPOPKWH">#REF!</definedName>
    <definedName name="BIRPP1EC">#REF!</definedName>
    <definedName name="BIRPP2EC">#REF!</definedName>
    <definedName name="BIRPP3EC">#REF!</definedName>
    <definedName name="BIRPP4EC">#REF!</definedName>
    <definedName name="BIRPP5EC">#REF!</definedName>
    <definedName name="BIRPPDMDCHG">#REF!</definedName>
    <definedName name="BIRPRCHG">#REF!</definedName>
    <definedName name="BIRPXKVA">#REF!</definedName>
    <definedName name="BIRPXKVAPCT">#REF!</definedName>
    <definedName name="BIRPXOFKW">#REF!</definedName>
    <definedName name="BKUPKWH">#REF!</definedName>
    <definedName name="BLDAMNT">#REF!</definedName>
    <definedName name="BLDDMND">#REF!</definedName>
    <definedName name="BLDKWH">#REF!</definedName>
    <definedName name="BLDOPDMND">#REF!</definedName>
    <definedName name="BLNGKWB4EDR">#REF!</definedName>
    <definedName name="BLNGKWH">#REF!</definedName>
    <definedName name="BLNGKWHTTL">#REF!</definedName>
    <definedName name="BndBlkKwh1">#REF!</definedName>
    <definedName name="BndBlkKwh2">#REF!</definedName>
    <definedName name="BndBlkKwh3">#REF!</definedName>
    <definedName name="BndBlkKwhChg1">#REF!</definedName>
    <definedName name="BndBlkKwhChg2">#REF!</definedName>
    <definedName name="BndBlkKwhChg3">#REF!</definedName>
    <definedName name="BndBlkKwhChgT">#REF!</definedName>
    <definedName name="BndBlkKwhChgW">#REF!</definedName>
    <definedName name="BndBlkKwhT">#REF!</definedName>
    <definedName name="BndBlkKwhW">#REF!</definedName>
    <definedName name="BndCustChg">#REF!</definedName>
    <definedName name="BndDmdChg1">#REF!</definedName>
    <definedName name="BndDmdChg2">#REF!</definedName>
    <definedName name="BndExcsKvaPct">#REF!</definedName>
    <definedName name="BndMEChg">#REF!</definedName>
    <definedName name="BndOffPkKwh">#REF!</definedName>
    <definedName name="BndOnPkKwh">#REF!</definedName>
    <definedName name="BndPL1Chg">#REF!</definedName>
    <definedName name="BndPL2Chg">#REF!</definedName>
    <definedName name="BndPL3Chg">#REF!</definedName>
    <definedName name="BndPL4Chg">#REF!</definedName>
    <definedName name="BndPL5Chg">#REF!</definedName>
    <definedName name="BndReactiveChg">#REF!</definedName>
    <definedName name="BndXOfpKvaChg">#REF!</definedName>
    <definedName name="BndXOfpKwChg">#REF!</definedName>
    <definedName name="BTTrueUp">#REF!</definedName>
    <definedName name="BUNCCHG">#REF!</definedName>
    <definedName name="BUNDCHG1">#REF!</definedName>
    <definedName name="BUNDCHG2">#REF!</definedName>
    <definedName name="BUNECHG1">#REF!</definedName>
    <definedName name="BUNECHGB1">#REF!</definedName>
    <definedName name="BUNECHGB2">#REF!</definedName>
    <definedName name="BUNECHGB3">#REF!</definedName>
    <definedName name="BUNECHGW">#REF!</definedName>
    <definedName name="BUNKWH1">#REF!</definedName>
    <definedName name="BUNKWHB1">#REF!</definedName>
    <definedName name="BUNKWHB2">#REF!</definedName>
    <definedName name="BUNKWHB3">#REF!</definedName>
    <definedName name="BUNKWHWH">#REF!</definedName>
    <definedName name="BUNMECHG1">#REF!</definedName>
    <definedName name="BUNOFKWH">#REF!</definedName>
    <definedName name="BUNOPKWH">#REF!</definedName>
    <definedName name="BUNP1EC">#REF!</definedName>
    <definedName name="BUNP2EC">#REF!</definedName>
    <definedName name="BUNP3EC">#REF!</definedName>
    <definedName name="BUNP4EC">#REF!</definedName>
    <definedName name="BUNP5EC">#REF!</definedName>
    <definedName name="BUNPDMDCHG">#REF!</definedName>
    <definedName name="BUNRCHG">#REF!</definedName>
    <definedName name="BUNXKVA">#REF!</definedName>
    <definedName name="BUNXKVAPCT">#REF!</definedName>
    <definedName name="BUNXOFKW">#REF!</definedName>
    <definedName name="CALCPFCC">#REF!</definedName>
    <definedName name="CAPDEFA">#REF!</definedName>
    <definedName name="CBLKWH">#REF!</definedName>
    <definedName name="City">#REF!</definedName>
    <definedName name="CNTRCTDMND">#REF!</definedName>
    <definedName name="CoPhoneLine">#REF!</definedName>
    <definedName name="CRMOINTRPTHRS">#REF!</definedName>
    <definedName name="CRNTMOBTKWH">#REF!</definedName>
    <definedName name="CRNTMOFPKHRS">#REF!</definedName>
    <definedName name="CRNTMONPKHRS">#REF!</definedName>
    <definedName name="CRTLBLONPKHRS">#REF!</definedName>
    <definedName name="CRTLBLONPKKWH">#REF!</definedName>
    <definedName name="CSTMRCHG">#REF!</definedName>
    <definedName name="CurMoAddr1">#REF!</definedName>
    <definedName name="CurMoAddr2">#REF!</definedName>
    <definedName name="CurMoBTDetail">#REF!</definedName>
    <definedName name="CurMoBuyThrgh_Sheet">#REF!</definedName>
    <definedName name="CurMoCityStZip">#REF!</definedName>
    <definedName name="CurMoCustName">#REF!</definedName>
    <definedName name="CurMoExcessAmt">#REF!</definedName>
    <definedName name="CurMoGrTaxAmt">#REF!</definedName>
    <definedName name="CurMoKWHExcess">#REF!</definedName>
    <definedName name="CurMoKWHNotUsed">#REF!</definedName>
    <definedName name="CurMoKWHRes">#REF!</definedName>
    <definedName name="CurMoKWHSubTot">#REF!</definedName>
    <definedName name="CurMoKWHTot">#REF!</definedName>
    <definedName name="CurMoMtrMult">#REF!</definedName>
    <definedName name="CurMoNotUsedAmt">#REF!</definedName>
    <definedName name="CurMoResAmt">#REF!</definedName>
    <definedName name="CurMoSubTotAmt">#REF!</definedName>
    <definedName name="CurMoTotAmt">#REF!</definedName>
    <definedName name="CurrYear">#REF!</definedName>
    <definedName name="CustAddr1">#REF!</definedName>
    <definedName name="CustAddr2">#REF!</definedName>
    <definedName name="CustCityStZip">#REF!</definedName>
    <definedName name="CustName2">#REF!</definedName>
    <definedName name="CustTable">#REF!</definedName>
    <definedName name="DetailTotCbl">#REF!</definedName>
    <definedName name="DetailTotChg">#REF!</definedName>
    <definedName name="DetailTotKw">#REF!</definedName>
    <definedName name="DetailTotMargin">#REF!</definedName>
    <definedName name="DIRPCCHG">#REF!</definedName>
    <definedName name="DIRPDCHG1">#REF!</definedName>
    <definedName name="DIRPDCHG2">#REF!</definedName>
    <definedName name="DIRPECHG1">#REF!</definedName>
    <definedName name="DIRPECHGB1">#REF!</definedName>
    <definedName name="DIRPECHGB2">#REF!</definedName>
    <definedName name="DIRPECHGB3">#REF!</definedName>
    <definedName name="DIRPMECHG1">#REF!</definedName>
    <definedName name="DIRPMINDC">#REF!</definedName>
    <definedName name="DIRPMINEC">#REF!</definedName>
    <definedName name="DIRPOFKVA">#REF!</definedName>
    <definedName name="DIRPOFKW">#REF!</definedName>
    <definedName name="DIRPOFKWH">#REF!</definedName>
    <definedName name="DIRPOPKWH">#REF!</definedName>
    <definedName name="DIRPP1EC">#REF!</definedName>
    <definedName name="DIRPP2EC">#REF!</definedName>
    <definedName name="DIRPP3EC">#REF!</definedName>
    <definedName name="DIRPP4EC">#REF!</definedName>
    <definedName name="DIRPP5EC">#REF!</definedName>
    <definedName name="DIRPRCHG">#REF!</definedName>
    <definedName name="DisBlkKwhChg1">#REF!</definedName>
    <definedName name="DisBlkKwhChg2">#REF!</definedName>
    <definedName name="DisBlkKwhChg3">#REF!</definedName>
    <definedName name="DisBlkKwhChgT">#REF!</definedName>
    <definedName name="DisCustChg">#REF!</definedName>
    <definedName name="DisDmdChg1">#REF!</definedName>
    <definedName name="DisDmdChg2">#REF!</definedName>
    <definedName name="DisMEChg">#REF!</definedName>
    <definedName name="DisMinDChg">#REF!</definedName>
    <definedName name="DisMinEChg">#REF!</definedName>
    <definedName name="DisOffPkKwh">#REF!</definedName>
    <definedName name="DisOnPkKwh">#REF!</definedName>
    <definedName name="DisPL1Chg">#REF!</definedName>
    <definedName name="DisPL2Chg">#REF!</definedName>
    <definedName name="DisPL3Chg">#REF!</definedName>
    <definedName name="DisPL4Chg">#REF!</definedName>
    <definedName name="DisPL5Chg">#REF!</definedName>
    <definedName name="DisReactiveChg">#REF!</definedName>
    <definedName name="DisXOfpKvaChg">#REF!</definedName>
    <definedName name="DisXOfpKwChg">#REF!</definedName>
    <definedName name="DSTCCHG">#REF!</definedName>
    <definedName name="DSTDCHG1">#REF!</definedName>
    <definedName name="DSTDCHG2">#REF!</definedName>
    <definedName name="DSTECHG1">#REF!</definedName>
    <definedName name="DSTECHGB1">#REF!</definedName>
    <definedName name="DSTECHGB2">#REF!</definedName>
    <definedName name="DSTECHGB3">#REF!</definedName>
    <definedName name="DSTMECHG1">#REF!</definedName>
    <definedName name="DSTMINDC">#REF!</definedName>
    <definedName name="DSTMINEC">#REF!</definedName>
    <definedName name="DSTOFKWH">#REF!</definedName>
    <definedName name="DSTOPKWH">#REF!</definedName>
    <definedName name="DSTP1EC">#REF!</definedName>
    <definedName name="DSTP2EC">#REF!</definedName>
    <definedName name="DSTP3EC">#REF!</definedName>
    <definedName name="DSTP4EC">#REF!</definedName>
    <definedName name="DSTP5EC">#REF!</definedName>
    <definedName name="DSTRCHG">#REF!</definedName>
    <definedName name="DSTXOFKVA">#REF!</definedName>
    <definedName name="DSTXOFKW">#REF!</definedName>
    <definedName name="EDRBASE">#REF!</definedName>
    <definedName name="EDRDATE">#REF!</definedName>
    <definedName name="EDRDSCNT">#REF!</definedName>
    <definedName name="EDRLVLPCT">#REF!</definedName>
    <definedName name="EDRTYPE">#REF!</definedName>
    <definedName name="EffDate">#REF!</definedName>
    <definedName name="ELKMCGN1">#REF!</definedName>
    <definedName name="ELKMCGN2">#REF!</definedName>
    <definedName name="ENDDTM">#REF!</definedName>
    <definedName name="ENDTIME">#REF!</definedName>
    <definedName name="EstExcessAmt">#REF!</definedName>
    <definedName name="EstGrTaxAmt">#REF!</definedName>
    <definedName name="EstKWHExcess">#REF!</definedName>
    <definedName name="EstKWHNotUsed">#REF!</definedName>
    <definedName name="EstKWHRes">#REF!</definedName>
    <definedName name="EstKWHSubTot">#REF!</definedName>
    <definedName name="EstKWHTot">#REF!</definedName>
    <definedName name="EstNotUsedAmt">#REF!</definedName>
    <definedName name="EstResAmt">#REF!</definedName>
    <definedName name="EstSubTotAmt">#REF!</definedName>
    <definedName name="EstTotAmt">#REF!</definedName>
    <definedName name="EXCSKVACHG">#REF!</definedName>
    <definedName name="EXCSKVADMND">#REF!</definedName>
    <definedName name="EXCSKVAR">#REF!</definedName>
    <definedName name="FIRMKWH">#REF!</definedName>
    <definedName name="FIRSTDAY">#REF!</definedName>
    <definedName name="FRMCPCT">#REF!</definedName>
    <definedName name="FUELCHG">#REF!</definedName>
    <definedName name="FUELRATE">#REF!</definedName>
    <definedName name="GenBlkKwhChg1">#REF!</definedName>
    <definedName name="GenBlkKwhChg2">#REF!</definedName>
    <definedName name="GenBlkKwhChg3">#REF!</definedName>
    <definedName name="GenBlkKwhChgT">#REF!</definedName>
    <definedName name="GENCCHG">#REF!</definedName>
    <definedName name="GenCustChg">#REF!</definedName>
    <definedName name="GENDCHG1">#REF!</definedName>
    <definedName name="GENDCHG2">#REF!</definedName>
    <definedName name="GenDmdChg1">#REF!</definedName>
    <definedName name="GenDmdChg2">#REF!</definedName>
    <definedName name="GENECHG1">#REF!</definedName>
    <definedName name="GENECHGB1">#REF!</definedName>
    <definedName name="GENECHGB2">#REF!</definedName>
    <definedName name="GENECHGB3">#REF!</definedName>
    <definedName name="GenMEChg">#REF!</definedName>
    <definedName name="GENMECHG1">#REF!</definedName>
    <definedName name="GENMINDC">#REF!</definedName>
    <definedName name="GenMinDChg">#REF!</definedName>
    <definedName name="GENMINEC">#REF!</definedName>
    <definedName name="GenMinEChg">#REF!</definedName>
    <definedName name="GenOffPkKwh">#REF!</definedName>
    <definedName name="GENOFKWH">#REF!</definedName>
    <definedName name="GenOnPkKwh">#REF!</definedName>
    <definedName name="GENOPKWH">#REF!</definedName>
    <definedName name="GENP1EC">#REF!</definedName>
    <definedName name="GENP2EC">#REF!</definedName>
    <definedName name="GENP3EC">#REF!</definedName>
    <definedName name="GENP4EC">#REF!</definedName>
    <definedName name="GENP5EC">#REF!</definedName>
    <definedName name="GenPL1Chg">#REF!</definedName>
    <definedName name="GenPL2Chg">#REF!</definedName>
    <definedName name="GenPL3Chg">#REF!</definedName>
    <definedName name="GenPL4Chg">#REF!</definedName>
    <definedName name="GenPL5Chg">#REF!</definedName>
    <definedName name="GENRCHG">#REF!</definedName>
    <definedName name="GenReactiveChg">#REF!</definedName>
    <definedName name="GENXOFKVA">#REF!</definedName>
    <definedName name="GENXOFKW">#REF!</definedName>
    <definedName name="GenXOfpKvaChg">#REF!</definedName>
    <definedName name="GenXOfpKwChg">#REF!</definedName>
    <definedName name="GIRPCCHG">#REF!</definedName>
    <definedName name="GIRPDCHG1">#REF!</definedName>
    <definedName name="GIRPDCHG2">#REF!</definedName>
    <definedName name="GIRPECHG1">#REF!</definedName>
    <definedName name="GIRPECHGB1">#REF!</definedName>
    <definedName name="GIRPECHGB2">#REF!</definedName>
    <definedName name="GIRPECHGB3">#REF!</definedName>
    <definedName name="GIRPMECHG1">#REF!</definedName>
    <definedName name="GIRPMINDC">#REF!</definedName>
    <definedName name="GIRPMINEC">#REF!</definedName>
    <definedName name="GIRPOFKVA">#REF!</definedName>
    <definedName name="GIRPOFKW">#REF!</definedName>
    <definedName name="GIRPOFKWH">#REF!</definedName>
    <definedName name="GIRPOPKWH">#REF!</definedName>
    <definedName name="GIRPP1EC">#REF!</definedName>
    <definedName name="GIRPP2EC">#REF!</definedName>
    <definedName name="GIRPP3EC">#REF!</definedName>
    <definedName name="GIRPP4EC">#REF!</definedName>
    <definedName name="GIRPP5EC">#REF!</definedName>
    <definedName name="GIRPRCHG">#REF!</definedName>
    <definedName name="HIPREKW">#REF!</definedName>
    <definedName name="HRCRDKW">#REF!</definedName>
    <definedName name="HRCRDKWDT">#REF!</definedName>
    <definedName name="HRCRDKWTM">#REF!</definedName>
    <definedName name="HROFPKDT">#REF!</definedName>
    <definedName name="HROFPKKW">#REF!</definedName>
    <definedName name="HROFPKTM">#REF!</definedName>
    <definedName name="HRONPKDT">#REF!</definedName>
    <definedName name="HRONPKKW">#REF!</definedName>
    <definedName name="HRONPKTM">#REF!</definedName>
    <definedName name="IMCO">#REF!</definedName>
    <definedName name="InterruptCapacity">#REF!</definedName>
    <definedName name="InterruptOfpCapacity">#REF!</definedName>
    <definedName name="InterruptType">#REF!</definedName>
    <definedName name="INTRPBLCAP">#REF!</definedName>
    <definedName name="Invdetails">#REF!</definedName>
    <definedName name="KWCHG">#REF!</definedName>
    <definedName name="KWH1NOCMM">#REF!</definedName>
    <definedName name="KWH3NOCMM">#REF!</definedName>
    <definedName name="KWHCHG">#REF!</definedName>
    <definedName name="LASTDAY">#REF!</definedName>
    <definedName name="LASTFUEL">#REF!</definedName>
    <definedName name="LASTMSRR">#REF!</definedName>
    <definedName name="LASTPFCC">#REF!</definedName>
    <definedName name="LDFCTR">#REF!</definedName>
    <definedName name="LRCREDIT">#REF!</definedName>
    <definedName name="MACC1">#REF!</definedName>
    <definedName name="MACC2">#REF!</definedName>
    <definedName name="MAINTHRSCRMO">#REF!</definedName>
    <definedName name="MAINTKWH">#REF!</definedName>
    <definedName name="MinBillDem">#REF!</definedName>
    <definedName name="MinBillDem2">#REF!</definedName>
    <definedName name="MinBillDmd">#REF!</definedName>
    <definedName name="MSRRBLD">#REF!</definedName>
    <definedName name="MSRRCHG">#REF!</definedName>
    <definedName name="MTRMLTPLR1">#REF!</definedName>
    <definedName name="MTRMLTPLR2">#REF!</definedName>
    <definedName name="NETMRGCHG">#REF!</definedName>
    <definedName name="NODAYSINPRD">#REF!</definedName>
    <definedName name="NODELPOINTS">#REF!</definedName>
    <definedName name="NP_h1">#REF!</definedName>
    <definedName name="NvsASD">"V2006-12-31"</definedName>
    <definedName name="NvsAutoDrillOk">"VN"</definedName>
    <definedName name="NvsElapsedTime">0.000231481484661344</definedName>
    <definedName name="NvsEndTime">39091.5909490741</definedName>
    <definedName name="NvsInstLang">"VENG"</definedName>
    <definedName name="NvsInstSpec">"%"</definedName>
    <definedName name="NvsInstSpec1">","</definedName>
    <definedName name="NvsInstSpec2">","</definedName>
    <definedName name="NvsInstSpec3">","</definedName>
    <definedName name="NvsInstSpec4">","</definedName>
    <definedName name="NvsInstSpec5">","</definedName>
    <definedName name="NvsInstSpec6">","</definedName>
    <definedName name="NvsInstSpec7">","</definedName>
    <definedName name="NvsInstSpec8">","</definedName>
    <definedName name="NvsInstSpec9">","</definedName>
    <definedName name="NvsLayoutType">"M3"</definedName>
    <definedName name="NvsNplSpec">"%,X,RZF..,CNF.."</definedName>
    <definedName name="NvsPanelBusUnit">"V100"</definedName>
    <definedName name="NvsPanelEffdt">"V2004-06-30"</definedName>
    <definedName name="NvsPanelSetid">"VAEP"</definedName>
    <definedName name="NvsReqBU">"VX999"</definedName>
    <definedName name="NvsReqBUOnly">"VN"</definedName>
    <definedName name="NvsTransLed">"VN"</definedName>
    <definedName name="NvsTreeASD">"V2099-01-01"</definedName>
    <definedName name="NvsValTbl.ACCOUNT">"GL_ACCOUNT_TBL"</definedName>
    <definedName name="NvsValTbl.AEP_STATE_JURIS">"AEP_ST_JD_TBL"</definedName>
    <definedName name="NvsValTbl.CURRENCY_CD">"CURRENCY_CD_TBL"</definedName>
    <definedName name="OFPCBLKW">#REF!</definedName>
    <definedName name="OFPKBILLKWH">#REF!</definedName>
    <definedName name="OFPKCGNKWH">#REF!</definedName>
    <definedName name="OFPKCNTRCTCPCT">#REF!</definedName>
    <definedName name="OFPKDMPKWH">#REF!</definedName>
    <definedName name="OFPKDSCRKWH">#REF!</definedName>
    <definedName name="OFPKDT">#REF!</definedName>
    <definedName name="OFPKEXCSKW">#REF!</definedName>
    <definedName name="OFPKINCRKWH">#REF!</definedName>
    <definedName name="OFPKKVADT">#REF!</definedName>
    <definedName name="OFPKKVATM">#REF!</definedName>
    <definedName name="OFPKKVW">#REF!</definedName>
    <definedName name="OFPKKW">#REF!</definedName>
    <definedName name="OFPKKWH1NOCMM">#REF!</definedName>
    <definedName name="OFPKKWH3NOCMM">#REF!</definedName>
    <definedName name="OFPKRCRDKWH">#REF!</definedName>
    <definedName name="OFPKTM">#REF!</definedName>
    <definedName name="OFPXCSKW">#REF!</definedName>
    <definedName name="OFPXCSKWDT">#REF!</definedName>
    <definedName name="OFPXCSKWH">#REF!</definedName>
    <definedName name="OFPXCSKWTM">#REF!</definedName>
    <definedName name="ONPKBILLKWH">#REF!</definedName>
    <definedName name="ONPKCAPB">#REF!</definedName>
    <definedName name="ONPKCGNKWH">#REF!</definedName>
    <definedName name="ONPKCNTRCTCPCT">#REF!</definedName>
    <definedName name="ONPKDMPKWH">#REF!</definedName>
    <definedName name="ONPKDSCRKWH">#REF!</definedName>
    <definedName name="ONPKDT">#REF!</definedName>
    <definedName name="ONPKINCRKWH">#REF!</definedName>
    <definedName name="ONPKKVA">#REF!</definedName>
    <definedName name="ONPKKVADT">#REF!</definedName>
    <definedName name="ONPKKVATM">#REF!</definedName>
    <definedName name="ONPKKW">#REF!</definedName>
    <definedName name="ONPKKWH1NOCMM">#REF!</definedName>
    <definedName name="ONPKKWH3NOCMM">#REF!</definedName>
    <definedName name="ONPKRCRDKWH">#REF!</definedName>
    <definedName name="ONPKTM">#REF!</definedName>
    <definedName name="OPCBLKW">#REF!</definedName>
    <definedName name="OPCO">#REF!</definedName>
    <definedName name="OPXCSKW">#REF!</definedName>
    <definedName name="OPXCSKWDT">#REF!</definedName>
    <definedName name="OPXCSKWH">#REF!</definedName>
    <definedName name="OPXCSKWTM">#REF!</definedName>
    <definedName name="OTHRTRNSKWH">#REF!</definedName>
    <definedName name="P1PENPERC">#REF!</definedName>
    <definedName name="P2PENPERC">#REF!</definedName>
    <definedName name="PeakDemandChg">#REF!</definedName>
    <definedName name="PenaltyDays">#REF!</definedName>
    <definedName name="PenaltyPct">#REF!</definedName>
    <definedName name="PENDAYS">#REF!</definedName>
    <definedName name="PENDAYS2">#REF!</definedName>
    <definedName name="PFCC">#REF!</definedName>
    <definedName name="PKKVAR">#REF!</definedName>
    <definedName name="PKKVARDATE">#REF!</definedName>
    <definedName name="PKKVARTIME">#REF!</definedName>
    <definedName name="PLVLKWH1">#REF!</definedName>
    <definedName name="PLVLKWH1A">#REF!</definedName>
    <definedName name="PLVLKWH2">#REF!</definedName>
    <definedName name="PLVLKWH23A">#REF!</definedName>
    <definedName name="PLVLKWH25">#REF!</definedName>
    <definedName name="PLVLKWH2A">#REF!</definedName>
    <definedName name="PLVLKWH3">#REF!</definedName>
    <definedName name="PLVLKWH3A">#REF!</definedName>
    <definedName name="PLVLKWH4">#REF!</definedName>
    <definedName name="PLVLKWH4A">#REF!</definedName>
    <definedName name="PRICEDESIG">#REF!</definedName>
    <definedName name="PriMoAddr1">#REF!</definedName>
    <definedName name="PriMoAddr2">#REF!</definedName>
    <definedName name="PriMoBTDetail">#REF!</definedName>
    <definedName name="PriMoBuyThrgh_Sheet">#REF!</definedName>
    <definedName name="PriMoCityStZip">#REF!</definedName>
    <definedName name="PriMoCustName">#REF!</definedName>
    <definedName name="PriMoMtrMult">#REF!</definedName>
    <definedName name="_xlnm.Print_Area" localSheetId="3">S.001!$A$1:$P$165</definedName>
    <definedName name="_xlnm.Print_Area" localSheetId="4">S.002!$A$1:$P$165</definedName>
    <definedName name="_xlnm.Print_Area" localSheetId="5">S.003!$A$1:$P$165</definedName>
    <definedName name="_xlnm.Print_Area" localSheetId="6">S.004!$A$1:$P$165</definedName>
    <definedName name="_xlnm.Print_Area" localSheetId="7">S.005!$A$1:$P$165</definedName>
    <definedName name="_xlnm.Print_Area" localSheetId="8">S.006!$A$1:$P$165</definedName>
    <definedName name="_xlnm.Print_Area" localSheetId="9">S.007!$A$1:$P$165</definedName>
    <definedName name="_xlnm.Print_Area" localSheetId="10">S.008!$A$1:$P$165</definedName>
    <definedName name="_xlnm.Print_Area" localSheetId="11">S.009!$A$1:$P$165</definedName>
    <definedName name="_xlnm.Print_Area" localSheetId="12">S.010!$A$1:$P$165</definedName>
    <definedName name="_xlnm.Print_Area" localSheetId="13">S.011!$A$1:$P$165</definedName>
    <definedName name="_xlnm.Print_Area" localSheetId="14">S.012!$A$1:$P$165</definedName>
    <definedName name="_xlnm.Print_Area" localSheetId="15">S.013!$A$1:$P$165</definedName>
    <definedName name="_xlnm.Print_Area" localSheetId="16">S.014!$A$1:$P$165</definedName>
    <definedName name="_xlnm.Print_Area" localSheetId="17">S.015!$A$1:$P$165</definedName>
    <definedName name="_xlnm.Print_Area" localSheetId="18">S.016!$A$1:$P$165</definedName>
    <definedName name="_xlnm.Print_Area" localSheetId="19">S.017!$A$1:$P$165</definedName>
    <definedName name="_xlnm.Print_Area" localSheetId="20">S.018!$A$1:$P$165</definedName>
    <definedName name="_xlnm.Print_Area" localSheetId="21">S.019!$A$1:$P$165</definedName>
    <definedName name="_xlnm.Print_Area" localSheetId="22">S.020!$A$1:$P$165</definedName>
    <definedName name="_xlnm.Print_Area" localSheetId="23">S.021!$A$1:$P$165</definedName>
    <definedName name="_xlnm.Print_Area" localSheetId="24">S.022!$A$1:$P$165</definedName>
    <definedName name="_xlnm.Print_Area" localSheetId="25">S.023!$A$1:$P$165</definedName>
    <definedName name="_xlnm.Print_Area" localSheetId="26">S.024!$A$1:$P$165</definedName>
    <definedName name="_xlnm.Print_Area" localSheetId="27">S.025!$A$1:$P$165</definedName>
    <definedName name="_xlnm.Print_Area" localSheetId="28">S.026!$A$1:$P$165</definedName>
    <definedName name="_xlnm.Print_Area" localSheetId="29">S.027!$A$1:$P$165</definedName>
    <definedName name="_xlnm.Print_Area" localSheetId="30">S.028!$A$1:$P$165</definedName>
    <definedName name="_xlnm.Print_Area" localSheetId="31">S.029!$A$1:$P$165</definedName>
    <definedName name="_xlnm.Print_Area" localSheetId="32">S.030!$A$1:$P$165</definedName>
    <definedName name="_xlnm.Print_Area" localSheetId="33">S.031!$A$1:$P$165</definedName>
    <definedName name="_xlnm.Print_Area" localSheetId="34">S.032!$A$1:$P$165</definedName>
    <definedName name="_xlnm.Print_Area" localSheetId="35">S.033!$A$1:$P$165</definedName>
    <definedName name="_xlnm.Print_Area" localSheetId="36">S.034!$A$1:$P$165</definedName>
    <definedName name="_xlnm.Print_Area" localSheetId="37">S.035!$A$1:$P$165</definedName>
    <definedName name="_xlnm.Print_Area" localSheetId="38">S.036!$A$1:$P$165</definedName>
    <definedName name="_xlnm.Print_Area" localSheetId="39">S.037!$A$1:$P$165</definedName>
    <definedName name="_xlnm.Print_Area" localSheetId="40">S.038!$A$1:$P$165</definedName>
    <definedName name="_xlnm.Print_Area" localSheetId="41">S.039!$A$1:$P$165</definedName>
    <definedName name="_xlnm.Print_Area" localSheetId="42">S.040!$A$1:$P$165</definedName>
    <definedName name="_xlnm.Print_Area" localSheetId="43">S.041!$A$1:$P$165</definedName>
    <definedName name="_xlnm.Print_Area" localSheetId="44">S.042!$A$1:$P$165</definedName>
    <definedName name="_xlnm.Print_Area" localSheetId="45">S.043!$A$1:$P$165</definedName>
    <definedName name="_xlnm.Print_Area" localSheetId="46">S.044!$A$1:$P$165</definedName>
    <definedName name="_xlnm.Print_Area" localSheetId="47">S.045!$A$1:$P$165</definedName>
    <definedName name="_xlnm.Print_Area" localSheetId="48">S.046!$A$1:$P$165</definedName>
    <definedName name="_xlnm.Print_Area" localSheetId="49">S.047!$A$1:$P$165</definedName>
    <definedName name="_xlnm.Print_Area" localSheetId="50">S.048!$A$1:$P$165</definedName>
    <definedName name="_xlnm.Print_Area" localSheetId="51">S.049!$A$1:$P$165</definedName>
    <definedName name="_xlnm.Print_Area" localSheetId="52">S.050!$A$1:$P$165</definedName>
    <definedName name="_xlnm.Print_Area" localSheetId="53">S.051!$A$1:$P$165</definedName>
    <definedName name="_xlnm.Print_Area" localSheetId="54">S.052!$A$1:$P$165</definedName>
    <definedName name="_xlnm.Print_Area" localSheetId="55">S.053!$A$1:$P$165</definedName>
    <definedName name="_xlnm.Print_Area" localSheetId="56">S.054!$A$1:$P$165</definedName>
    <definedName name="_xlnm.Print_Area" localSheetId="57">S.055!$A$1:$P$165</definedName>
    <definedName name="_xlnm.Print_Area" localSheetId="58">S.056!$A$1:$P$165</definedName>
    <definedName name="_xlnm.Print_Area" localSheetId="59">S.057!$A$1:$P$165</definedName>
    <definedName name="_xlnm.Print_Area" localSheetId="60">S.058!$A$1:$P$165</definedName>
    <definedName name="_xlnm.Print_Area" localSheetId="61">S.059!$A$1:$P$165</definedName>
    <definedName name="_xlnm.Print_Area" localSheetId="62">S.060!$A$1:$P$165</definedName>
    <definedName name="_xlnm.Print_Area" localSheetId="63">S.061!$A$1:$P$165</definedName>
    <definedName name="_xlnm.Print_Area" localSheetId="64">S.062!$A$1:$P$165</definedName>
    <definedName name="_xlnm.Print_Area" localSheetId="65">S.063!$A$1:$P$165</definedName>
    <definedName name="_xlnm.Print_Area" localSheetId="66">S.064!$A$1:$P$165</definedName>
    <definedName name="_xlnm.Print_Area" localSheetId="67">S.065!$A$1:$P$165</definedName>
    <definedName name="_xlnm.Print_Area" localSheetId="68">S.066!$A$1:$P$165</definedName>
    <definedName name="_xlnm.Print_Area" localSheetId="69">S.067!$A$1:$P$165</definedName>
    <definedName name="_xlnm.Print_Area" localSheetId="77">S.075!$A$1:$P$165</definedName>
    <definedName name="_xlnm.Print_Area" localSheetId="78">'S.xyz - blank'!$A$1:$P$165</definedName>
    <definedName name="_xlnm.Print_Area" localSheetId="0">'SWE.Sch.11.Rates'!$A$1:$T$98</definedName>
    <definedName name="_xlnm.Print_Area" localSheetId="1">'SWE.WS.F.BPU.ATRR.Projected'!$A$1:$O$93</definedName>
    <definedName name="_xlnm.Print_Area" localSheetId="2">'SWE.WS.G.BPU.ATRR.True-up'!$A$1:$P$96</definedName>
    <definedName name="_xlnm.Print_Titles" localSheetId="36">S.034!#REF!</definedName>
    <definedName name="_xlnm.Print_Titles" localSheetId="37">S.035!#REF!</definedName>
    <definedName name="_xlnm.Print_Titles" localSheetId="38">S.036!#REF!</definedName>
    <definedName name="_xlnm.Print_Titles" localSheetId="39">S.037!#REF!</definedName>
    <definedName name="_xlnm.Print_Titles" localSheetId="40">S.038!#REF!</definedName>
    <definedName name="_xlnm.Print_Titles" localSheetId="41">S.039!#REF!</definedName>
    <definedName name="_xlnm.Print_Titles" localSheetId="42">S.040!#REF!</definedName>
    <definedName name="_xlnm.Print_Titles" localSheetId="43">S.041!#REF!</definedName>
    <definedName name="_xlnm.Print_Titles" localSheetId="44">S.042!#REF!</definedName>
    <definedName name="_xlnm.Print_Titles" localSheetId="45">S.043!#REF!</definedName>
    <definedName name="_xlnm.Print_Titles" localSheetId="46">S.044!#REF!</definedName>
    <definedName name="_xlnm.Print_Titles" localSheetId="47">S.045!#REF!</definedName>
    <definedName name="_xlnm.Print_Titles" localSheetId="48">S.046!#REF!</definedName>
    <definedName name="_xlnm.Print_Titles" localSheetId="49">S.047!#REF!</definedName>
    <definedName name="_xlnm.Print_Titles" localSheetId="50">S.048!#REF!</definedName>
    <definedName name="_xlnm.Print_Titles" localSheetId="51">S.049!#REF!</definedName>
    <definedName name="_xlnm.Print_Titles" localSheetId="52">S.050!#REF!</definedName>
    <definedName name="_xlnm.Print_Titles" localSheetId="53">S.051!#REF!</definedName>
    <definedName name="_xlnm.Print_Titles" localSheetId="54">S.052!#REF!</definedName>
    <definedName name="_xlnm.Print_Titles" localSheetId="55">S.053!#REF!</definedName>
    <definedName name="_xlnm.Print_Titles" localSheetId="56">S.054!#REF!</definedName>
    <definedName name="_xlnm.Print_Titles" localSheetId="57">S.055!#REF!</definedName>
    <definedName name="_xlnm.Print_Titles" localSheetId="58">S.056!#REF!</definedName>
    <definedName name="_xlnm.Print_Titles" localSheetId="59">S.057!#REF!</definedName>
    <definedName name="_xlnm.Print_Titles" localSheetId="60">S.058!#REF!</definedName>
    <definedName name="_xlnm.Print_Titles" localSheetId="61">S.059!#REF!</definedName>
    <definedName name="_xlnm.Print_Titles" localSheetId="62">S.060!#REF!</definedName>
    <definedName name="_xlnm.Print_Titles" localSheetId="63">S.061!#REF!</definedName>
    <definedName name="_xlnm.Print_Titles" localSheetId="64">S.062!#REF!</definedName>
    <definedName name="_xlnm.Print_Titles" localSheetId="65">S.063!#REF!</definedName>
    <definedName name="_xlnm.Print_Titles" localSheetId="66">S.064!#REF!</definedName>
    <definedName name="_xlnm.Print_Titles" localSheetId="67">S.065!#REF!</definedName>
    <definedName name="_xlnm.Print_Titles" localSheetId="68">S.066!#REF!</definedName>
    <definedName name="_xlnm.Print_Titles" localSheetId="69">S.067!#REF!</definedName>
    <definedName name="_xlnm.Print_Titles" localSheetId="77">S.075!#REF!</definedName>
    <definedName name="_xlnm.Print_Titles" localSheetId="78">'S.xyz - blank'!#REF!</definedName>
    <definedName name="_xlnm.Print_Titles" localSheetId="0">'SWE.Sch.11.Rates'!$1:$17</definedName>
    <definedName name="_xlnm.Print_Titles" localSheetId="1">'SWE.WS.F.BPU.ATRR.Projected'!$1:$6</definedName>
    <definedName name="_xlnm.Print_Titles" localSheetId="2">'SWE.WS.G.BPU.ATRR.True-up'!$1:$5</definedName>
    <definedName name="PRVCNT">#REF!</definedName>
    <definedName name="PRVDATE">#REF!</definedName>
    <definedName name="PRVFUEL">#REF!</definedName>
    <definedName name="PRVKW">#REF!</definedName>
    <definedName name="PRVKWH">#REF!</definedName>
    <definedName name="PRVMSRR">#REF!</definedName>
    <definedName name="PRVPFCC">#REF!</definedName>
    <definedName name="PSOallocatorsP">#REF!</definedName>
    <definedName name="PVHIOFPCBL">#REF!</definedName>
    <definedName name="PVHIOPCBL">#REF!</definedName>
    <definedName name="RatchetFactor">#REF!</definedName>
    <definedName name="RCRDRID">#REF!</definedName>
    <definedName name="RCTVHRS">#REF!</definedName>
    <definedName name="RDRBLK1C">#REF!</definedName>
    <definedName name="RDRBLK1Q">#REF!</definedName>
    <definedName name="RDRBLK2C">#REF!</definedName>
    <definedName name="RDRBLK2Q">#REF!</definedName>
    <definedName name="RDRBLK3C">#REF!</definedName>
    <definedName name="RDRBLK3Q">#REF!</definedName>
    <definedName name="RDRBLKTC">#REF!</definedName>
    <definedName name="RDRBLKTC1">#REF!</definedName>
    <definedName name="RDRBLKTC10">#REF!</definedName>
    <definedName name="RDRBLKTC11">#REF!</definedName>
    <definedName name="RDRBLKTC12">#REF!</definedName>
    <definedName name="RDRBLKTC13">#REF!</definedName>
    <definedName name="RDRBLKTC14">#REF!</definedName>
    <definedName name="RDRBLKTC15">#REF!</definedName>
    <definedName name="RDRBLKTC16">#REF!</definedName>
    <definedName name="RDRBLKTC17">#REF!</definedName>
    <definedName name="RDRBLKTC18">#REF!</definedName>
    <definedName name="RDRBLKTC19">#REF!</definedName>
    <definedName name="RDRBLKTC2">#REF!</definedName>
    <definedName name="RDRBLKTC20">#REF!</definedName>
    <definedName name="RDRBLKTC3">#REF!</definedName>
    <definedName name="RDRBLKTC4">#REF!</definedName>
    <definedName name="RDRBLKTC5">#REF!</definedName>
    <definedName name="RDRBLKTC6">#REF!</definedName>
    <definedName name="RDRBLKTC7">#REF!</definedName>
    <definedName name="RDRBLKTC8">#REF!</definedName>
    <definedName name="RDRBLKTC9">#REF!</definedName>
    <definedName name="RDRBLKTQ">#REF!</definedName>
    <definedName name="RDRCODE">#REF!</definedName>
    <definedName name="RDRCYCLE">#REF!</definedName>
    <definedName name="RDRDATE">#REF!</definedName>
    <definedName name="RDRNAME">#REF!</definedName>
    <definedName name="RDRRATEB">#REF!</definedName>
    <definedName name="RDRRATEB1">#REF!</definedName>
    <definedName name="RDRRATEB10">#REF!</definedName>
    <definedName name="RDRRATEB11">#REF!</definedName>
    <definedName name="RDRRATEB12">#REF!</definedName>
    <definedName name="RDRRATEB13">#REF!</definedName>
    <definedName name="RDRRATEB14">#REF!</definedName>
    <definedName name="RDRRATEB15">#REF!</definedName>
    <definedName name="RDRRATEB16">#REF!</definedName>
    <definedName name="RDRRATEB17">#REF!</definedName>
    <definedName name="RDRRATEB18">#REF!</definedName>
    <definedName name="RDRRATEB19">#REF!</definedName>
    <definedName name="RDRRATEB2">#REF!</definedName>
    <definedName name="RDRRATEB20">#REF!</definedName>
    <definedName name="RDRRATEB3">#REF!</definedName>
    <definedName name="RDRRATEB4">#REF!</definedName>
    <definedName name="RDRRATEB5">#REF!</definedName>
    <definedName name="RDRRATEB6">#REF!</definedName>
    <definedName name="RDRRATEB7">#REF!</definedName>
    <definedName name="RDRRATEB8">#REF!</definedName>
    <definedName name="RDRRATEB9">#REF!</definedName>
    <definedName name="RDRRATED">#REF!</definedName>
    <definedName name="RDRRATED1">#REF!</definedName>
    <definedName name="RDRRATED10">#REF!</definedName>
    <definedName name="RDRRATED11">#REF!</definedName>
    <definedName name="RDRRATED12">#REF!</definedName>
    <definedName name="RDRRATED13">#REF!</definedName>
    <definedName name="RDRRATED14">#REF!</definedName>
    <definedName name="RDRRATED15">#REF!</definedName>
    <definedName name="RDRRATED16">#REF!</definedName>
    <definedName name="RDRRATED17">#REF!</definedName>
    <definedName name="RDRRATED18">#REF!</definedName>
    <definedName name="RDRRATED19">#REF!</definedName>
    <definedName name="RDRRATED2">#REF!</definedName>
    <definedName name="RDRRATED20">#REF!</definedName>
    <definedName name="RDRRATED3">#REF!</definedName>
    <definedName name="RDRRATED4">#REF!</definedName>
    <definedName name="RDRRATED5">#REF!</definedName>
    <definedName name="RDRRATED6">#REF!</definedName>
    <definedName name="RDRRATED7">#REF!</definedName>
    <definedName name="RDRRATED8">#REF!</definedName>
    <definedName name="RDRRATED9">#REF!</definedName>
    <definedName name="RDRRATEG">#REF!</definedName>
    <definedName name="RDRRATEG1">#REF!</definedName>
    <definedName name="RDRRATEG10">#REF!</definedName>
    <definedName name="RDRRATEG11">#REF!</definedName>
    <definedName name="RDRRATEG12">#REF!</definedName>
    <definedName name="RDRRATEG13">#REF!</definedName>
    <definedName name="RDRRATEG14">#REF!</definedName>
    <definedName name="RDRRATEG15">#REF!</definedName>
    <definedName name="RDRRATEG16">#REF!</definedName>
    <definedName name="RDRRATEG17">#REF!</definedName>
    <definedName name="RDRRATEG18">#REF!</definedName>
    <definedName name="RDRRATEG19">#REF!</definedName>
    <definedName name="RDRRATEG2">#REF!</definedName>
    <definedName name="RDRRATEG20">#REF!</definedName>
    <definedName name="RDRRATEG3">#REF!</definedName>
    <definedName name="RDRRATEG4">#REF!</definedName>
    <definedName name="RDRRATEG5">#REF!</definedName>
    <definedName name="RDRRATEG6">#REF!</definedName>
    <definedName name="RDRRATEG7">#REF!</definedName>
    <definedName name="RDRRATEG8">#REF!</definedName>
    <definedName name="RDRRATEG9">#REF!</definedName>
    <definedName name="RDRRATET">#REF!</definedName>
    <definedName name="RDRRATET1">#REF!</definedName>
    <definedName name="RDRRATET10">#REF!</definedName>
    <definedName name="RDRRATET11">#REF!</definedName>
    <definedName name="RDRRATET12">#REF!</definedName>
    <definedName name="RDRRATET13">#REF!</definedName>
    <definedName name="RDRRATET14">#REF!</definedName>
    <definedName name="RDRRATET15">#REF!</definedName>
    <definedName name="RDRRATET16">#REF!</definedName>
    <definedName name="RDRRATET17">#REF!</definedName>
    <definedName name="RDRRATET18">#REF!</definedName>
    <definedName name="RDRRATET19">#REF!</definedName>
    <definedName name="RDRRATET2">#REF!</definedName>
    <definedName name="RDRRATET20">#REF!</definedName>
    <definedName name="RDRRATET3">#REF!</definedName>
    <definedName name="RDRRATET4">#REF!</definedName>
    <definedName name="RDRRATET5">#REF!</definedName>
    <definedName name="RDRRATET6">#REF!</definedName>
    <definedName name="RDRRATET7">#REF!</definedName>
    <definedName name="RDRRATET8">#REF!</definedName>
    <definedName name="RDRRATET9">#REF!</definedName>
    <definedName name="RDRTYPE">#REF!</definedName>
    <definedName name="RDRUNITS">#REF!</definedName>
    <definedName name="_xlnm.Recorder">#REF!</definedName>
    <definedName name="Reserved_Section">#REF!</definedName>
    <definedName name="RIDERS">#REF!</definedName>
    <definedName name="RKVAHRDNG">#REF!</definedName>
    <definedName name="RTCHTCNTRCTCPCT">#REF!</definedName>
    <definedName name="RTCHTFCTR">#REF!</definedName>
    <definedName name="RTCHTFCTR2">#REF!</definedName>
    <definedName name="RTCHTHIPREVKW">#REF!</definedName>
    <definedName name="RTP_Detail">#REF!</definedName>
    <definedName name="RTPLRKW">#REF!</definedName>
    <definedName name="SDI">#REF!</definedName>
    <definedName name="SHLDRPKKW">#REF!</definedName>
    <definedName name="SHLDRPKKWDT">#REF!</definedName>
    <definedName name="SHLDRPKKWTM">#REF!</definedName>
    <definedName name="SHRDTRNSKWH">#REF!</definedName>
    <definedName name="SRPLSKWH">#REF!</definedName>
    <definedName name="STARTDTM">#REF!</definedName>
    <definedName name="State">#REF!</definedName>
    <definedName name="STDKW">#REF!</definedName>
    <definedName name="STDKWDT">#REF!</definedName>
    <definedName name="STDKWTM">#REF!</definedName>
    <definedName name="STRTTIME">#REF!</definedName>
    <definedName name="SWPallocatorsH">#REF!</definedName>
    <definedName name="SWPallocatorsP">#REF!</definedName>
    <definedName name="SYSPKKW">#REF!</definedName>
    <definedName name="SYSPKKWDT">#REF!</definedName>
    <definedName name="SYSPKKWTM">#REF!</definedName>
    <definedName name="TARIFF1">#REF!</definedName>
    <definedName name="TARIFF2">#REF!</definedName>
    <definedName name="TariffCode">#REF!</definedName>
    <definedName name="TariffLongName">#REF!</definedName>
    <definedName name="TariffShortName">#REF!</definedName>
    <definedName name="TAXDATE">#REF!</definedName>
    <definedName name="TAXES">#REF!</definedName>
    <definedName name="TAXNAME">#REF!</definedName>
    <definedName name="TAXRATE">#REF!</definedName>
    <definedName name="TAXTYPE">#REF!</definedName>
    <definedName name="TCst">#REF!</definedName>
    <definedName name="TCst1">#REF!</definedName>
    <definedName name="TIRPCCHG">#REF!</definedName>
    <definedName name="TIRPDCHG1">#REF!</definedName>
    <definedName name="TIRPDCHG2">#REF!</definedName>
    <definedName name="TIRPECHG1">#REF!</definedName>
    <definedName name="TIRPECHGB1">#REF!</definedName>
    <definedName name="TIRPECHGB2">#REF!</definedName>
    <definedName name="TIRPECHGB3">#REF!</definedName>
    <definedName name="TIRPMECHG1">#REF!</definedName>
    <definedName name="TIRPMINDC">#REF!</definedName>
    <definedName name="TIRPMINEC">#REF!</definedName>
    <definedName name="TIRPOFKVA">#REF!</definedName>
    <definedName name="TIRPOFKW">#REF!</definedName>
    <definedName name="TIRPOFKWH">#REF!</definedName>
    <definedName name="TIRPOPKWH">#REF!</definedName>
    <definedName name="TIRPP1EC">#REF!</definedName>
    <definedName name="TIRPP2EC">#REF!</definedName>
    <definedName name="TIRPP3EC">#REF!</definedName>
    <definedName name="TIRPP4EC">#REF!</definedName>
    <definedName name="TIRPP5EC">#REF!</definedName>
    <definedName name="TIRPRCHG">#REF!</definedName>
    <definedName name="TLsFctr">#REF!</definedName>
    <definedName name="TRCRDKWH">#REF!</definedName>
    <definedName name="TRCRDKWH2P">#REF!</definedName>
    <definedName name="TRFDATE1">#REF!</definedName>
    <definedName name="TRFDATE2">#REF!</definedName>
    <definedName name="TRFNAME1">#REF!</definedName>
    <definedName name="TRFNAME2">#REF!</definedName>
    <definedName name="TRFSHORTNM1">#REF!</definedName>
    <definedName name="TRFSHORTNM2">#REF!</definedName>
    <definedName name="TrnBlkKwhChg1">#REF!</definedName>
    <definedName name="TrnBlkKwhChg2">#REF!</definedName>
    <definedName name="TrnBlkKwhChg3">#REF!</definedName>
    <definedName name="TrnBlkKwhChgT">#REF!</definedName>
    <definedName name="TRNCCHG">#REF!</definedName>
    <definedName name="TrnCustChg">#REF!</definedName>
    <definedName name="TRNDCHG1">#REF!</definedName>
    <definedName name="TRNDCHG2">#REF!</definedName>
    <definedName name="TrnDmdChg1">#REF!</definedName>
    <definedName name="TrnDmdChg2">#REF!</definedName>
    <definedName name="TRNECHG1">#REF!</definedName>
    <definedName name="TRNECHGB1">#REF!</definedName>
    <definedName name="TRNECHGB2">#REF!</definedName>
    <definedName name="TRNECHGB3">#REF!</definedName>
    <definedName name="TrnMEChg">#REF!</definedName>
    <definedName name="TRNMECHG1">#REF!</definedName>
    <definedName name="TRNMINDC">#REF!</definedName>
    <definedName name="TrnMinDChg">#REF!</definedName>
    <definedName name="TRNMINEC">#REF!</definedName>
    <definedName name="TrnMinEChg">#REF!</definedName>
    <definedName name="TrnOffPkKwh">#REF!</definedName>
    <definedName name="TRNOFKWH">#REF!</definedName>
    <definedName name="TrnOnPkKwh">#REF!</definedName>
    <definedName name="TRNOPKWH">#REF!</definedName>
    <definedName name="TRNP1EC">#REF!</definedName>
    <definedName name="TRNP2EC">#REF!</definedName>
    <definedName name="TRNP3EC">#REF!</definedName>
    <definedName name="TRNP4EC">#REF!</definedName>
    <definedName name="TRNP5EC">#REF!</definedName>
    <definedName name="TrnPL1Chg">#REF!</definedName>
    <definedName name="TrnPL2Chg">#REF!</definedName>
    <definedName name="TrnPL3Chg">#REF!</definedName>
    <definedName name="TrnPL4Chg">#REF!</definedName>
    <definedName name="TrnPL5Chg">#REF!</definedName>
    <definedName name="TRNRCHG">#REF!</definedName>
    <definedName name="TrnReactiveChg">#REF!</definedName>
    <definedName name="TRNSKWTOFPK">#REF!</definedName>
    <definedName name="TRNSKWTONPK">#REF!</definedName>
    <definedName name="TRNXOFKVA">#REF!</definedName>
    <definedName name="TRNXOFKW">#REF!</definedName>
    <definedName name="TrnXOfpKvaChg">#REF!</definedName>
    <definedName name="TrnXOfpKwChg">#REF!</definedName>
    <definedName name="TTLBSRATETTL">#REF!</definedName>
    <definedName name="TTLCOGENKWH">#REF!</definedName>
    <definedName name="UNBUNDIND">#REF!</definedName>
    <definedName name="Zip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3" i="36" l="1"/>
  <c r="J96" i="36"/>
  <c r="L96" i="36"/>
  <c r="N96" i="36"/>
  <c r="O96" i="36"/>
  <c r="P96" i="36"/>
  <c r="I96" i="36" l="1"/>
  <c r="I13" i="36" l="1"/>
  <c r="E13" i="36"/>
  <c r="W92" i="36" l="1"/>
  <c r="P92" i="36"/>
  <c r="L92" i="36"/>
  <c r="P1" i="100"/>
  <c r="P83" i="100" s="1"/>
  <c r="P154" i="100"/>
  <c r="O154" i="100"/>
  <c r="M154" i="100"/>
  <c r="J154" i="100"/>
  <c r="P153" i="100"/>
  <c r="O153" i="100"/>
  <c r="M153" i="100"/>
  <c r="J153" i="100"/>
  <c r="P152" i="100"/>
  <c r="O152" i="100"/>
  <c r="M152" i="100"/>
  <c r="J152" i="100"/>
  <c r="P151" i="100"/>
  <c r="O151" i="100"/>
  <c r="M151" i="100"/>
  <c r="J151" i="100"/>
  <c r="P150" i="100"/>
  <c r="O150" i="100"/>
  <c r="M150" i="100"/>
  <c r="J150" i="100"/>
  <c r="P149" i="100"/>
  <c r="O149" i="100"/>
  <c r="M149" i="100"/>
  <c r="J149" i="100"/>
  <c r="P148" i="100"/>
  <c r="O148" i="100"/>
  <c r="M148" i="100"/>
  <c r="J148" i="100"/>
  <c r="P147" i="100"/>
  <c r="O147" i="100"/>
  <c r="M147" i="100"/>
  <c r="J147" i="100"/>
  <c r="P146" i="100"/>
  <c r="O146" i="100"/>
  <c r="M146" i="100"/>
  <c r="J146" i="100"/>
  <c r="P145" i="100"/>
  <c r="O145" i="100"/>
  <c r="M145" i="100"/>
  <c r="J145" i="100"/>
  <c r="P144" i="100"/>
  <c r="O144" i="100"/>
  <c r="M144" i="100"/>
  <c r="J144" i="100"/>
  <c r="P143" i="100"/>
  <c r="O143" i="100"/>
  <c r="M143" i="100"/>
  <c r="J143" i="100"/>
  <c r="P142" i="100"/>
  <c r="O142" i="100"/>
  <c r="M142" i="100"/>
  <c r="J142" i="100"/>
  <c r="P141" i="100"/>
  <c r="O141" i="100"/>
  <c r="M141" i="100"/>
  <c r="J141" i="100"/>
  <c r="P140" i="100"/>
  <c r="O140" i="100"/>
  <c r="M140" i="100"/>
  <c r="J140" i="100"/>
  <c r="P139" i="100"/>
  <c r="O139" i="100"/>
  <c r="M139" i="100"/>
  <c r="J139" i="100"/>
  <c r="P138" i="100"/>
  <c r="O138" i="100"/>
  <c r="M138" i="100"/>
  <c r="J138" i="100"/>
  <c r="P137" i="100"/>
  <c r="O137" i="100"/>
  <c r="M137" i="100"/>
  <c r="J137" i="100"/>
  <c r="P136" i="100"/>
  <c r="O136" i="100"/>
  <c r="M136" i="100"/>
  <c r="J136" i="100"/>
  <c r="P135" i="100"/>
  <c r="O135" i="100"/>
  <c r="M135" i="100"/>
  <c r="J135" i="100"/>
  <c r="P134" i="100"/>
  <c r="O134" i="100"/>
  <c r="M134" i="100"/>
  <c r="J134" i="100"/>
  <c r="P133" i="100"/>
  <c r="O133" i="100"/>
  <c r="M133" i="100"/>
  <c r="J133" i="100"/>
  <c r="P132" i="100"/>
  <c r="O132" i="100"/>
  <c r="M132" i="100"/>
  <c r="J132" i="100"/>
  <c r="P131" i="100"/>
  <c r="O131" i="100"/>
  <c r="M131" i="100"/>
  <c r="J131" i="100"/>
  <c r="O130" i="100"/>
  <c r="M130" i="100"/>
  <c r="O129" i="100"/>
  <c r="M129" i="100"/>
  <c r="O128" i="100"/>
  <c r="M128" i="100"/>
  <c r="O127" i="100"/>
  <c r="M127" i="100"/>
  <c r="O126" i="100"/>
  <c r="M126" i="100"/>
  <c r="O125" i="100"/>
  <c r="M125" i="100"/>
  <c r="P125" i="100" s="1"/>
  <c r="O124" i="100"/>
  <c r="M124" i="100"/>
  <c r="O123" i="100"/>
  <c r="M123" i="100"/>
  <c r="O122" i="100"/>
  <c r="M122" i="100"/>
  <c r="O121" i="100"/>
  <c r="M121" i="100"/>
  <c r="O120" i="100"/>
  <c r="M120" i="100"/>
  <c r="O119" i="100"/>
  <c r="M119" i="100"/>
  <c r="O118" i="100"/>
  <c r="M118" i="100"/>
  <c r="O117" i="100"/>
  <c r="M117" i="100"/>
  <c r="O116" i="100"/>
  <c r="M116" i="100"/>
  <c r="O115" i="100"/>
  <c r="M115" i="100"/>
  <c r="O114" i="100"/>
  <c r="M114" i="100"/>
  <c r="O113" i="100"/>
  <c r="M113" i="100"/>
  <c r="O112" i="100"/>
  <c r="M112" i="100"/>
  <c r="O111" i="100"/>
  <c r="M111" i="100"/>
  <c r="O110" i="100"/>
  <c r="M110" i="100"/>
  <c r="O109" i="100"/>
  <c r="M109" i="100"/>
  <c r="O108" i="100"/>
  <c r="M108" i="100"/>
  <c r="O107" i="100"/>
  <c r="M107" i="100"/>
  <c r="O106" i="100"/>
  <c r="M106" i="100"/>
  <c r="O105" i="100"/>
  <c r="M105" i="100"/>
  <c r="O104" i="100"/>
  <c r="M104" i="100"/>
  <c r="O103" i="100"/>
  <c r="M103" i="100"/>
  <c r="O102" i="100"/>
  <c r="M102" i="100"/>
  <c r="O101" i="100"/>
  <c r="M101" i="100"/>
  <c r="O100" i="100"/>
  <c r="M100" i="100"/>
  <c r="O99" i="100"/>
  <c r="M99" i="100"/>
  <c r="D96" i="100"/>
  <c r="J95" i="100"/>
  <c r="D95" i="100"/>
  <c r="J94" i="100"/>
  <c r="L93" i="100"/>
  <c r="J93" i="100"/>
  <c r="D91" i="100"/>
  <c r="D89" i="100"/>
  <c r="N72" i="100"/>
  <c r="L72" i="100"/>
  <c r="N71" i="100"/>
  <c r="L71" i="100"/>
  <c r="N70" i="100"/>
  <c r="L70" i="100"/>
  <c r="N69" i="100"/>
  <c r="L69" i="100"/>
  <c r="N68" i="100"/>
  <c r="L68" i="100"/>
  <c r="N67" i="100"/>
  <c r="L67" i="100"/>
  <c r="N66" i="100"/>
  <c r="L66" i="100"/>
  <c r="N65" i="100"/>
  <c r="L65" i="100"/>
  <c r="N64" i="100"/>
  <c r="L64" i="100"/>
  <c r="N63" i="100"/>
  <c r="L63" i="100"/>
  <c r="N62" i="100"/>
  <c r="L62" i="100"/>
  <c r="N61" i="100"/>
  <c r="L61" i="100"/>
  <c r="N60" i="100"/>
  <c r="L60" i="100"/>
  <c r="N59" i="100"/>
  <c r="L59" i="100"/>
  <c r="N58" i="100"/>
  <c r="L58" i="100"/>
  <c r="N57" i="100"/>
  <c r="L57" i="100"/>
  <c r="N56" i="100"/>
  <c r="L56" i="100"/>
  <c r="N55" i="100"/>
  <c r="L55" i="100"/>
  <c r="N54" i="100"/>
  <c r="L54" i="100"/>
  <c r="N53" i="100"/>
  <c r="L53" i="100"/>
  <c r="N52" i="100"/>
  <c r="L52" i="100"/>
  <c r="N51" i="100"/>
  <c r="L51" i="100"/>
  <c r="N50" i="100"/>
  <c r="L50" i="100"/>
  <c r="N49" i="100"/>
  <c r="L49" i="100"/>
  <c r="N48" i="100"/>
  <c r="L48" i="100"/>
  <c r="N47" i="100"/>
  <c r="L47" i="100"/>
  <c r="N46" i="100"/>
  <c r="L46" i="100"/>
  <c r="N45" i="100"/>
  <c r="L45" i="100"/>
  <c r="N44" i="100"/>
  <c r="L44" i="100"/>
  <c r="N43" i="100"/>
  <c r="L43" i="100"/>
  <c r="N42" i="100"/>
  <c r="L42" i="100"/>
  <c r="N41" i="100"/>
  <c r="L41" i="100"/>
  <c r="N40" i="100"/>
  <c r="L40" i="100"/>
  <c r="N39" i="100"/>
  <c r="L39" i="100"/>
  <c r="N38" i="100"/>
  <c r="L38" i="100"/>
  <c r="N37" i="100"/>
  <c r="L37" i="100"/>
  <c r="N36" i="100"/>
  <c r="L36" i="100"/>
  <c r="N35" i="100"/>
  <c r="L35" i="100"/>
  <c r="N34" i="100"/>
  <c r="L34" i="100"/>
  <c r="N33" i="100"/>
  <c r="L33" i="100"/>
  <c r="N32" i="100"/>
  <c r="L32" i="100"/>
  <c r="N31" i="100"/>
  <c r="L31" i="100"/>
  <c r="N30" i="100"/>
  <c r="L30" i="100"/>
  <c r="N29" i="100"/>
  <c r="L29" i="100"/>
  <c r="N28" i="100"/>
  <c r="L28" i="100"/>
  <c r="N27" i="100"/>
  <c r="L27" i="100"/>
  <c r="N26" i="100"/>
  <c r="L26" i="100"/>
  <c r="N25" i="100"/>
  <c r="L25" i="100"/>
  <c r="N24" i="100"/>
  <c r="L24" i="100"/>
  <c r="N23" i="100"/>
  <c r="L23" i="100"/>
  <c r="N22" i="100"/>
  <c r="L22" i="100"/>
  <c r="N21" i="100"/>
  <c r="L21" i="100"/>
  <c r="N20" i="100"/>
  <c r="L20" i="100"/>
  <c r="N19" i="100"/>
  <c r="L19" i="100"/>
  <c r="C19" i="100"/>
  <c r="C20" i="100" s="1"/>
  <c r="C21" i="100" s="1"/>
  <c r="C22" i="100" s="1"/>
  <c r="C23" i="100" s="1"/>
  <c r="C24" i="100" s="1"/>
  <c r="C25" i="100" s="1"/>
  <c r="C26" i="100" s="1"/>
  <c r="C27" i="100" s="1"/>
  <c r="C28" i="100" s="1"/>
  <c r="C29" i="100" s="1"/>
  <c r="C30" i="100" s="1"/>
  <c r="C31" i="100" s="1"/>
  <c r="C32" i="100" s="1"/>
  <c r="C33" i="100" s="1"/>
  <c r="C34" i="100" s="1"/>
  <c r="C35" i="100" s="1"/>
  <c r="C36" i="100" s="1"/>
  <c r="C37" i="100" s="1"/>
  <c r="C38" i="100" s="1"/>
  <c r="C39" i="100" s="1"/>
  <c r="C40" i="100" s="1"/>
  <c r="C41" i="100" s="1"/>
  <c r="C42" i="100" s="1"/>
  <c r="C43" i="100" s="1"/>
  <c r="C44" i="100" s="1"/>
  <c r="N18" i="100"/>
  <c r="L18" i="100"/>
  <c r="N17" i="100"/>
  <c r="L17" i="100"/>
  <c r="C17" i="100"/>
  <c r="C18" i="100" s="1"/>
  <c r="K11" i="100"/>
  <c r="I11" i="100"/>
  <c r="V92" i="36" l="1"/>
  <c r="O59" i="100"/>
  <c r="P114" i="100"/>
  <c r="P106" i="100"/>
  <c r="O50" i="100"/>
  <c r="P122" i="100"/>
  <c r="P102" i="100"/>
  <c r="O69" i="100"/>
  <c r="P100" i="100"/>
  <c r="P120" i="100"/>
  <c r="P119" i="100"/>
  <c r="P109" i="100"/>
  <c r="O49" i="100"/>
  <c r="O52" i="100"/>
  <c r="O68" i="100"/>
  <c r="P115" i="100"/>
  <c r="P113" i="100"/>
  <c r="O57" i="100"/>
  <c r="P111" i="100"/>
  <c r="O58" i="100"/>
  <c r="O19" i="100"/>
  <c r="O23" i="100"/>
  <c r="O35" i="100"/>
  <c r="O39" i="100"/>
  <c r="O43" i="100"/>
  <c r="O47" i="100"/>
  <c r="O55" i="100"/>
  <c r="P112" i="100"/>
  <c r="O17" i="100"/>
  <c r="O48" i="100"/>
  <c r="O21" i="100"/>
  <c r="O25" i="100"/>
  <c r="O37" i="100"/>
  <c r="P118" i="100"/>
  <c r="P129" i="100"/>
  <c r="O61" i="100"/>
  <c r="P110" i="100"/>
  <c r="O70" i="100"/>
  <c r="O22" i="100"/>
  <c r="O26" i="100"/>
  <c r="O53" i="100"/>
  <c r="P101" i="100"/>
  <c r="P116" i="100"/>
  <c r="P123" i="100"/>
  <c r="O18" i="100"/>
  <c r="O65" i="100"/>
  <c r="O62" i="100"/>
  <c r="O28" i="100"/>
  <c r="O32" i="100"/>
  <c r="O36" i="100"/>
  <c r="O51" i="100"/>
  <c r="P99" i="100"/>
  <c r="P103" i="100"/>
  <c r="O33" i="100"/>
  <c r="O41" i="100"/>
  <c r="P104" i="100"/>
  <c r="P107" i="100"/>
  <c r="P126" i="100"/>
  <c r="O34" i="100"/>
  <c r="O45" i="100"/>
  <c r="O63" i="100"/>
  <c r="O66" i="100"/>
  <c r="P108" i="100"/>
  <c r="P117" i="100"/>
  <c r="P124" i="100"/>
  <c r="P127" i="100"/>
  <c r="P128" i="100"/>
  <c r="O31" i="100"/>
  <c r="O56" i="100"/>
  <c r="O20" i="100"/>
  <c r="O24" i="100"/>
  <c r="O60" i="100"/>
  <c r="O64" i="100"/>
  <c r="O42" i="100"/>
  <c r="O67" i="100"/>
  <c r="P105" i="100"/>
  <c r="P121" i="100"/>
  <c r="O29" i="100"/>
  <c r="O40" i="100"/>
  <c r="O44" i="100"/>
  <c r="O54" i="100"/>
  <c r="O72" i="100"/>
  <c r="P130" i="100"/>
  <c r="C45" i="100"/>
  <c r="C46" i="100" s="1"/>
  <c r="C47" i="100" s="1"/>
  <c r="C48" i="100" s="1"/>
  <c r="C49" i="100" s="1"/>
  <c r="C50" i="100" s="1"/>
  <c r="C51" i="100" s="1"/>
  <c r="C52" i="100" s="1"/>
  <c r="C53" i="100" s="1"/>
  <c r="C54" i="100" s="1"/>
  <c r="C55" i="100" s="1"/>
  <c r="C56" i="100" s="1"/>
  <c r="C57" i="100" s="1"/>
  <c r="C58" i="100" s="1"/>
  <c r="C59" i="100" s="1"/>
  <c r="C60" i="100" s="1"/>
  <c r="C61" i="100" s="1"/>
  <c r="C62" i="100" s="1"/>
  <c r="C63" i="100" s="1"/>
  <c r="C64" i="100" s="1"/>
  <c r="C65" i="100" s="1"/>
  <c r="C66" i="100" s="1"/>
  <c r="C67" i="100" s="1"/>
  <c r="C68" i="100" s="1"/>
  <c r="C69" i="100" s="1"/>
  <c r="C70" i="100" s="1"/>
  <c r="C71" i="100" s="1"/>
  <c r="C72" i="100" s="1"/>
  <c r="O27" i="100"/>
  <c r="O30" i="100"/>
  <c r="O71" i="100"/>
  <c r="O38" i="100"/>
  <c r="O46" i="100"/>
  <c r="E17" i="100" l="1"/>
  <c r="F17" i="100" s="1"/>
  <c r="D8" i="100"/>
  <c r="D90" i="100" s="1"/>
  <c r="D18" i="100" l="1"/>
  <c r="B18" i="100" s="1"/>
  <c r="N101" i="99" l="1"/>
  <c r="O101" i="99" s="1"/>
  <c r="P101" i="99" s="1"/>
  <c r="L101" i="99"/>
  <c r="M101" i="99" s="1"/>
  <c r="M21" i="99"/>
  <c r="N21" i="99" s="1"/>
  <c r="K21" i="99"/>
  <c r="L21" i="99" s="1"/>
  <c r="N101" i="98"/>
  <c r="O101" i="98" s="1"/>
  <c r="L101" i="98"/>
  <c r="M101" i="98" s="1"/>
  <c r="N21" i="98"/>
  <c r="O21" i="98" s="1"/>
  <c r="M21" i="98"/>
  <c r="L21" i="98"/>
  <c r="K21" i="98"/>
  <c r="N101" i="97"/>
  <c r="O101" i="97" s="1"/>
  <c r="P101" i="97" s="1"/>
  <c r="M101" i="97"/>
  <c r="L101" i="97"/>
  <c r="M21" i="97"/>
  <c r="N21" i="97" s="1"/>
  <c r="O21" i="97" s="1"/>
  <c r="L21" i="97"/>
  <c r="K21" i="97"/>
  <c r="N102" i="96"/>
  <c r="O102" i="96" s="1"/>
  <c r="P102" i="96" s="1"/>
  <c r="L102" i="96"/>
  <c r="M102" i="96" s="1"/>
  <c r="M22" i="96"/>
  <c r="N22" i="96" s="1"/>
  <c r="K22" i="96"/>
  <c r="L22" i="96" s="1"/>
  <c r="N102" i="95"/>
  <c r="O102" i="95" s="1"/>
  <c r="L102" i="95"/>
  <c r="M102" i="95" s="1"/>
  <c r="N22" i="95"/>
  <c r="M22" i="95"/>
  <c r="K22" i="95"/>
  <c r="L22" i="95" s="1"/>
  <c r="N103" i="94"/>
  <c r="O103" i="94" s="1"/>
  <c r="L103" i="94"/>
  <c r="M103" i="94" s="1"/>
  <c r="M23" i="94"/>
  <c r="N23" i="94" s="1"/>
  <c r="O23" i="94" s="1"/>
  <c r="K23" i="94"/>
  <c r="L23" i="94" s="1"/>
  <c r="O102" i="93"/>
  <c r="N102" i="93"/>
  <c r="L102" i="93"/>
  <c r="M102" i="93" s="1"/>
  <c r="M22" i="93"/>
  <c r="N22" i="93" s="1"/>
  <c r="O22" i="93" s="1"/>
  <c r="L22" i="93"/>
  <c r="K22" i="93"/>
  <c r="N103" i="92"/>
  <c r="O103" i="92" s="1"/>
  <c r="M103" i="92"/>
  <c r="L103" i="92"/>
  <c r="M23" i="92"/>
  <c r="N23" i="92" s="1"/>
  <c r="O23" i="92" s="1"/>
  <c r="K23" i="92"/>
  <c r="L23" i="92" s="1"/>
  <c r="N103" i="91"/>
  <c r="O103" i="91" s="1"/>
  <c r="L103" i="91"/>
  <c r="M103" i="91" s="1"/>
  <c r="M23" i="91"/>
  <c r="N23" i="91" s="1"/>
  <c r="O23" i="91" s="1"/>
  <c r="K23" i="91"/>
  <c r="L23" i="91" s="1"/>
  <c r="N103" i="90"/>
  <c r="O103" i="90" s="1"/>
  <c r="L103" i="90"/>
  <c r="M103" i="90" s="1"/>
  <c r="N23" i="90"/>
  <c r="O23" i="90" s="1"/>
  <c r="M23" i="90"/>
  <c r="K23" i="90"/>
  <c r="L23" i="90" s="1"/>
  <c r="N103" i="89"/>
  <c r="O103" i="89" s="1"/>
  <c r="L103" i="89"/>
  <c r="M103" i="89" s="1"/>
  <c r="M23" i="89"/>
  <c r="N23" i="89" s="1"/>
  <c r="O23" i="89" s="1"/>
  <c r="L23" i="89"/>
  <c r="K23" i="89"/>
  <c r="N103" i="88"/>
  <c r="O103" i="88" s="1"/>
  <c r="P103" i="88" s="1"/>
  <c r="L103" i="88"/>
  <c r="M103" i="88" s="1"/>
  <c r="M23" i="88"/>
  <c r="N23" i="88" s="1"/>
  <c r="O23" i="88" s="1"/>
  <c r="K23" i="88"/>
  <c r="L23" i="88" s="1"/>
  <c r="N103" i="87"/>
  <c r="O103" i="87" s="1"/>
  <c r="L103" i="87"/>
  <c r="M103" i="87" s="1"/>
  <c r="M23" i="87"/>
  <c r="N23" i="87" s="1"/>
  <c r="K23" i="87"/>
  <c r="L23" i="87" s="1"/>
  <c r="N104" i="86"/>
  <c r="O104" i="86" s="1"/>
  <c r="P104" i="86" s="1"/>
  <c r="L104" i="86"/>
  <c r="M104" i="86" s="1"/>
  <c r="M24" i="86"/>
  <c r="N24" i="86" s="1"/>
  <c r="O24" i="86" s="1"/>
  <c r="L24" i="86"/>
  <c r="K24" i="86"/>
  <c r="N104" i="85"/>
  <c r="O104" i="85" s="1"/>
  <c r="P104" i="85" s="1"/>
  <c r="L104" i="85"/>
  <c r="M104" i="85" s="1"/>
  <c r="M24" i="85"/>
  <c r="N24" i="85" s="1"/>
  <c r="K24" i="85"/>
  <c r="L24" i="85" s="1"/>
  <c r="N103" i="84"/>
  <c r="O103" i="84" s="1"/>
  <c r="P103" i="84" s="1"/>
  <c r="L103" i="84"/>
  <c r="M103" i="84" s="1"/>
  <c r="M24" i="84"/>
  <c r="N24" i="84" s="1"/>
  <c r="K24" i="84"/>
  <c r="L24" i="84" s="1"/>
  <c r="N104" i="83"/>
  <c r="O104" i="83" s="1"/>
  <c r="L104" i="83"/>
  <c r="M104" i="83" s="1"/>
  <c r="N24" i="83"/>
  <c r="O24" i="83" s="1"/>
  <c r="M24" i="83"/>
  <c r="K24" i="83"/>
  <c r="L24" i="83" s="1"/>
  <c r="N104" i="82"/>
  <c r="O104" i="82" s="1"/>
  <c r="L104" i="82"/>
  <c r="M104" i="82" s="1"/>
  <c r="M24" i="82"/>
  <c r="N24" i="82" s="1"/>
  <c r="K24" i="82"/>
  <c r="L24" i="82" s="1"/>
  <c r="N104" i="81"/>
  <c r="O104" i="81" s="1"/>
  <c r="L104" i="81"/>
  <c r="M104" i="81" s="1"/>
  <c r="N24" i="81"/>
  <c r="O24" i="81" s="1"/>
  <c r="M24" i="81"/>
  <c r="L24" i="81"/>
  <c r="K24" i="81"/>
  <c r="N104" i="80"/>
  <c r="O104" i="80" s="1"/>
  <c r="L104" i="80"/>
  <c r="M104" i="80" s="1"/>
  <c r="N24" i="80"/>
  <c r="M24" i="80"/>
  <c r="K24" i="80"/>
  <c r="L24" i="80" s="1"/>
  <c r="N105" i="79"/>
  <c r="O105" i="79" s="1"/>
  <c r="L105" i="79"/>
  <c r="M105" i="79" s="1"/>
  <c r="N25" i="79"/>
  <c r="O25" i="79" s="1"/>
  <c r="M25" i="79"/>
  <c r="K25" i="79"/>
  <c r="L25" i="79" s="1"/>
  <c r="N105" i="78"/>
  <c r="O105" i="78" s="1"/>
  <c r="L105" i="78"/>
  <c r="M105" i="78" s="1"/>
  <c r="N25" i="78"/>
  <c r="O25" i="78" s="1"/>
  <c r="M25" i="78"/>
  <c r="K25" i="78"/>
  <c r="L25" i="78" s="1"/>
  <c r="N105" i="77"/>
  <c r="O105" i="77" s="1"/>
  <c r="L105" i="77"/>
  <c r="M105" i="77" s="1"/>
  <c r="M25" i="77"/>
  <c r="N25" i="77" s="1"/>
  <c r="O25" i="77" s="1"/>
  <c r="K25" i="77"/>
  <c r="L25" i="77" s="1"/>
  <c r="N105" i="76"/>
  <c r="O105" i="76" s="1"/>
  <c r="P105" i="76" s="1"/>
  <c r="L105" i="76"/>
  <c r="M105" i="76" s="1"/>
  <c r="M25" i="76"/>
  <c r="N25" i="76" s="1"/>
  <c r="O25" i="76" s="1"/>
  <c r="K25" i="76"/>
  <c r="L25" i="76" s="1"/>
  <c r="N105" i="75"/>
  <c r="O105" i="75" s="1"/>
  <c r="P105" i="75" s="1"/>
  <c r="L105" i="75"/>
  <c r="M105" i="75" s="1"/>
  <c r="M25" i="75"/>
  <c r="N25" i="75" s="1"/>
  <c r="O25" i="75" s="1"/>
  <c r="K25" i="75"/>
  <c r="L25" i="75" s="1"/>
  <c r="N110" i="74"/>
  <c r="O110" i="74" s="1"/>
  <c r="L110" i="74"/>
  <c r="M110" i="74" s="1"/>
  <c r="M30" i="74"/>
  <c r="N30" i="74" s="1"/>
  <c r="O30" i="74" s="1"/>
  <c r="K30" i="74"/>
  <c r="L30" i="74" s="1"/>
  <c r="N110" i="73"/>
  <c r="O110" i="73" s="1"/>
  <c r="L110" i="73"/>
  <c r="M110" i="73" s="1"/>
  <c r="M30" i="73"/>
  <c r="N30" i="73" s="1"/>
  <c r="K30" i="73"/>
  <c r="L30" i="73" s="1"/>
  <c r="N108" i="72"/>
  <c r="O108" i="72" s="1"/>
  <c r="L108" i="72"/>
  <c r="M108" i="72" s="1"/>
  <c r="M28" i="72"/>
  <c r="N28" i="72" s="1"/>
  <c r="O28" i="72" s="1"/>
  <c r="K28" i="72"/>
  <c r="L28" i="72" s="1"/>
  <c r="N112" i="71"/>
  <c r="O112" i="71" s="1"/>
  <c r="L112" i="71"/>
  <c r="M112" i="71" s="1"/>
  <c r="M32" i="71"/>
  <c r="N32" i="71" s="1"/>
  <c r="O32" i="71" s="1"/>
  <c r="L32" i="71"/>
  <c r="K32" i="71"/>
  <c r="N113" i="70"/>
  <c r="O113" i="70" s="1"/>
  <c r="P113" i="70" s="1"/>
  <c r="L113" i="70"/>
  <c r="M113" i="70" s="1"/>
  <c r="M33" i="70"/>
  <c r="N33" i="70" s="1"/>
  <c r="O33" i="70" s="1"/>
  <c r="L33" i="70"/>
  <c r="K33" i="70"/>
  <c r="N113" i="69"/>
  <c r="O113" i="69" s="1"/>
  <c r="P113" i="69" s="1"/>
  <c r="L113" i="69"/>
  <c r="M113" i="69" s="1"/>
  <c r="N33" i="69"/>
  <c r="M33" i="69"/>
  <c r="K33" i="69"/>
  <c r="L33" i="69" s="1"/>
  <c r="N106" i="68"/>
  <c r="O106" i="68" s="1"/>
  <c r="L106" i="68"/>
  <c r="M106" i="68" s="1"/>
  <c r="N26" i="68"/>
  <c r="M26" i="68"/>
  <c r="K26" i="68"/>
  <c r="L26" i="68" s="1"/>
  <c r="N106" i="67"/>
  <c r="O106" i="67" s="1"/>
  <c r="M106" i="67"/>
  <c r="L106" i="67"/>
  <c r="M26" i="67"/>
  <c r="N26" i="67" s="1"/>
  <c r="O26" i="67" s="1"/>
  <c r="L26" i="67"/>
  <c r="K26" i="67"/>
  <c r="N106" i="66"/>
  <c r="O106" i="66" s="1"/>
  <c r="L106" i="66"/>
  <c r="M106" i="66" s="1"/>
  <c r="N26" i="66"/>
  <c r="O26" i="66" s="1"/>
  <c r="M26" i="66"/>
  <c r="L26" i="66"/>
  <c r="K26" i="66"/>
  <c r="N106" i="65"/>
  <c r="O106" i="65" s="1"/>
  <c r="P106" i="65" s="1"/>
  <c r="M106" i="65"/>
  <c r="L106" i="65"/>
  <c r="M26" i="65"/>
  <c r="N26" i="65" s="1"/>
  <c r="K26" i="65"/>
  <c r="L26" i="65" s="1"/>
  <c r="N107" i="64"/>
  <c r="O107" i="64" s="1"/>
  <c r="P107" i="64" s="1"/>
  <c r="L107" i="64"/>
  <c r="M107" i="64" s="1"/>
  <c r="M27" i="64"/>
  <c r="N27" i="64" s="1"/>
  <c r="O27" i="64" s="1"/>
  <c r="K27" i="64"/>
  <c r="L27" i="64" s="1"/>
  <c r="O107" i="60"/>
  <c r="N107" i="60"/>
  <c r="L107" i="60"/>
  <c r="M107" i="60" s="1"/>
  <c r="N27" i="60"/>
  <c r="O27" i="60" s="1"/>
  <c r="M27" i="60"/>
  <c r="L27" i="60"/>
  <c r="K27" i="60"/>
  <c r="N107" i="62"/>
  <c r="O107" i="62" s="1"/>
  <c r="L107" i="62"/>
  <c r="M107" i="62" s="1"/>
  <c r="M27" i="62"/>
  <c r="N27" i="62" s="1"/>
  <c r="O27" i="62" s="1"/>
  <c r="K27" i="62"/>
  <c r="L27" i="62" s="1"/>
  <c r="N107" i="63"/>
  <c r="O107" i="63" s="1"/>
  <c r="L107" i="63"/>
  <c r="M107" i="63" s="1"/>
  <c r="M27" i="63"/>
  <c r="N27" i="63" s="1"/>
  <c r="O27" i="63" s="1"/>
  <c r="K27" i="63"/>
  <c r="L27" i="63" s="1"/>
  <c r="N107" i="61"/>
  <c r="O107" i="61" s="1"/>
  <c r="P107" i="61" s="1"/>
  <c r="L107" i="61"/>
  <c r="M107" i="61" s="1"/>
  <c r="M27" i="61"/>
  <c r="N27" i="61" s="1"/>
  <c r="O27" i="61" s="1"/>
  <c r="L27" i="61"/>
  <c r="K27" i="61"/>
  <c r="N107" i="59"/>
  <c r="O107" i="59" s="1"/>
  <c r="L107" i="59"/>
  <c r="M107" i="59" s="1"/>
  <c r="M27" i="59"/>
  <c r="N27" i="59" s="1"/>
  <c r="O27" i="59" s="1"/>
  <c r="L27" i="59"/>
  <c r="K27" i="59"/>
  <c r="N108" i="58"/>
  <c r="O108" i="58" s="1"/>
  <c r="P108" i="58" s="1"/>
  <c r="L108" i="58"/>
  <c r="M108" i="58" s="1"/>
  <c r="M28" i="58"/>
  <c r="N28" i="58" s="1"/>
  <c r="O28" i="58" s="1"/>
  <c r="K28" i="58"/>
  <c r="L28" i="58" s="1"/>
  <c r="O108" i="57"/>
  <c r="P108" i="57" s="1"/>
  <c r="N108" i="57"/>
  <c r="L108" i="57"/>
  <c r="M108" i="57" s="1"/>
  <c r="N28" i="57"/>
  <c r="O28" i="57" s="1"/>
  <c r="M28" i="57"/>
  <c r="K28" i="57"/>
  <c r="L28" i="57" s="1"/>
  <c r="N108" i="56"/>
  <c r="O108" i="56" s="1"/>
  <c r="L108" i="56"/>
  <c r="M108" i="56" s="1"/>
  <c r="M28" i="56"/>
  <c r="N28" i="56" s="1"/>
  <c r="K28" i="56"/>
  <c r="L28" i="56" s="1"/>
  <c r="N108" i="55"/>
  <c r="O108" i="55" s="1"/>
  <c r="P108" i="55" s="1"/>
  <c r="L108" i="55"/>
  <c r="M108" i="55" s="1"/>
  <c r="M28" i="55"/>
  <c r="N28" i="55" s="1"/>
  <c r="O28" i="55" s="1"/>
  <c r="K28" i="55"/>
  <c r="L28" i="55" s="1"/>
  <c r="N108" i="54"/>
  <c r="O108" i="54" s="1"/>
  <c r="P108" i="54" s="1"/>
  <c r="L108" i="54"/>
  <c r="M108" i="54" s="1"/>
  <c r="M28" i="54"/>
  <c r="N28" i="54" s="1"/>
  <c r="O28" i="54" s="1"/>
  <c r="L28" i="54"/>
  <c r="K28" i="54"/>
  <c r="N108" i="53"/>
  <c r="O108" i="53" s="1"/>
  <c r="P108" i="53" s="1"/>
  <c r="L108" i="53"/>
  <c r="M108" i="53" s="1"/>
  <c r="M28" i="53"/>
  <c r="N28" i="53" s="1"/>
  <c r="O28" i="53" s="1"/>
  <c r="K28" i="53"/>
  <c r="L28" i="53" s="1"/>
  <c r="N108" i="46"/>
  <c r="O108" i="46" s="1"/>
  <c r="L108" i="46"/>
  <c r="M108" i="46" s="1"/>
  <c r="M28" i="46"/>
  <c r="N28" i="46" s="1"/>
  <c r="K28" i="46"/>
  <c r="L28" i="46" s="1"/>
  <c r="N109" i="45"/>
  <c r="O109" i="45" s="1"/>
  <c r="L109" i="45"/>
  <c r="M109" i="45" s="1"/>
  <c r="M29" i="45"/>
  <c r="N29" i="45" s="1"/>
  <c r="O29" i="45" s="1"/>
  <c r="K29" i="45"/>
  <c r="L29" i="45" s="1"/>
  <c r="N110" i="44"/>
  <c r="O110" i="44" s="1"/>
  <c r="L110" i="44"/>
  <c r="M110" i="44" s="1"/>
  <c r="M30" i="44"/>
  <c r="N30" i="44" s="1"/>
  <c r="O30" i="44" s="1"/>
  <c r="K30" i="44"/>
  <c r="L30" i="44" s="1"/>
  <c r="N110" i="43"/>
  <c r="O110" i="43" s="1"/>
  <c r="L110" i="43"/>
  <c r="M110" i="43" s="1"/>
  <c r="M30" i="43"/>
  <c r="N30" i="43" s="1"/>
  <c r="O30" i="43" s="1"/>
  <c r="L30" i="43"/>
  <c r="K30" i="43"/>
  <c r="N110" i="42"/>
  <c r="O110" i="42" s="1"/>
  <c r="P110" i="42" s="1"/>
  <c r="M110" i="42"/>
  <c r="L110" i="42"/>
  <c r="M30" i="42"/>
  <c r="N30" i="42" s="1"/>
  <c r="O30" i="42" s="1"/>
  <c r="K30" i="42"/>
  <c r="L30" i="42" s="1"/>
  <c r="O110" i="41"/>
  <c r="P110" i="41" s="1"/>
  <c r="N110" i="41"/>
  <c r="L110" i="41"/>
  <c r="M110" i="41" s="1"/>
  <c r="M30" i="41"/>
  <c r="N30" i="41" s="1"/>
  <c r="O30" i="41" s="1"/>
  <c r="K30" i="41"/>
  <c r="L30" i="41" s="1"/>
  <c r="N110" i="39"/>
  <c r="O110" i="39" s="1"/>
  <c r="L110" i="39"/>
  <c r="M110" i="39" s="1"/>
  <c r="M30" i="39"/>
  <c r="N30" i="39" s="1"/>
  <c r="O30" i="39" s="1"/>
  <c r="L30" i="39"/>
  <c r="K30" i="39"/>
  <c r="N112" i="34"/>
  <c r="O112" i="34" s="1"/>
  <c r="L112" i="34"/>
  <c r="M112" i="34" s="1"/>
  <c r="M32" i="34"/>
  <c r="N32" i="34" s="1"/>
  <c r="O32" i="34" s="1"/>
  <c r="K32" i="34"/>
  <c r="L32" i="34" s="1"/>
  <c r="N112" i="32"/>
  <c r="O112" i="32" s="1"/>
  <c r="P112" i="32" s="1"/>
  <c r="L112" i="32"/>
  <c r="M112" i="32" s="1"/>
  <c r="M32" i="32"/>
  <c r="N32" i="32" s="1"/>
  <c r="O32" i="32" s="1"/>
  <c r="K32" i="32"/>
  <c r="L32" i="32" s="1"/>
  <c r="N112" i="31"/>
  <c r="O112" i="31" s="1"/>
  <c r="L112" i="31"/>
  <c r="M112" i="31" s="1"/>
  <c r="N32" i="31"/>
  <c r="O32" i="31" s="1"/>
  <c r="M32" i="31"/>
  <c r="K32" i="31"/>
  <c r="L32" i="31" s="1"/>
  <c r="N113" i="30"/>
  <c r="O113" i="30" s="1"/>
  <c r="P113" i="30" s="1"/>
  <c r="L113" i="30"/>
  <c r="M113" i="30" s="1"/>
  <c r="M33" i="30"/>
  <c r="N33" i="30" s="1"/>
  <c r="O33" i="30" s="1"/>
  <c r="K33" i="30"/>
  <c r="L33" i="30" s="1"/>
  <c r="N113" i="29"/>
  <c r="O113" i="29" s="1"/>
  <c r="L113" i="29"/>
  <c r="M113" i="29" s="1"/>
  <c r="M33" i="29"/>
  <c r="N33" i="29" s="1"/>
  <c r="O33" i="29" s="1"/>
  <c r="K33" i="29"/>
  <c r="L33" i="29" s="1"/>
  <c r="N114" i="28"/>
  <c r="O114" i="28" s="1"/>
  <c r="P114" i="28" s="1"/>
  <c r="L114" i="28"/>
  <c r="M114" i="28" s="1"/>
  <c r="M34" i="28"/>
  <c r="N34" i="28" s="1"/>
  <c r="O34" i="28" s="1"/>
  <c r="L34" i="28"/>
  <c r="K34" i="28"/>
  <c r="N113" i="27"/>
  <c r="O113" i="27" s="1"/>
  <c r="P113" i="27" s="1"/>
  <c r="L113" i="27"/>
  <c r="M113" i="27" s="1"/>
  <c r="M33" i="27"/>
  <c r="N33" i="27" s="1"/>
  <c r="O33" i="27" s="1"/>
  <c r="K33" i="27"/>
  <c r="L33" i="27" s="1"/>
  <c r="N112" i="24"/>
  <c r="O112" i="24" s="1"/>
  <c r="L112" i="24"/>
  <c r="M112" i="24" s="1"/>
  <c r="M32" i="24"/>
  <c r="N32" i="24" s="1"/>
  <c r="O32" i="24" s="1"/>
  <c r="K32" i="24"/>
  <c r="L32" i="24" s="1"/>
  <c r="N112" i="23"/>
  <c r="O112" i="23" s="1"/>
  <c r="P112" i="23" s="1"/>
  <c r="L112" i="23"/>
  <c r="M112" i="23" s="1"/>
  <c r="M32" i="23"/>
  <c r="N32" i="23" s="1"/>
  <c r="O32" i="23" s="1"/>
  <c r="K32" i="23"/>
  <c r="L32" i="23" s="1"/>
  <c r="N111" i="22"/>
  <c r="O111" i="22" s="1"/>
  <c r="P111" i="22" s="1"/>
  <c r="L111" i="22"/>
  <c r="M111" i="22" s="1"/>
  <c r="M31" i="22"/>
  <c r="N31" i="22" s="1"/>
  <c r="K31" i="22"/>
  <c r="L31" i="22" s="1"/>
  <c r="N111" i="21"/>
  <c r="O111" i="21" s="1"/>
  <c r="P111" i="21" s="1"/>
  <c r="L111" i="21"/>
  <c r="M111" i="21" s="1"/>
  <c r="M31" i="21"/>
  <c r="N31" i="21" s="1"/>
  <c r="O31" i="21" s="1"/>
  <c r="K31" i="21"/>
  <c r="L31" i="21" s="1"/>
  <c r="N111" i="20"/>
  <c r="O111" i="20" s="1"/>
  <c r="P111" i="20" s="1"/>
  <c r="L111" i="20"/>
  <c r="M111" i="20" s="1"/>
  <c r="N31" i="20"/>
  <c r="O31" i="20" s="1"/>
  <c r="M31" i="20"/>
  <c r="K31" i="20"/>
  <c r="L31" i="20" s="1"/>
  <c r="N111" i="19"/>
  <c r="O111" i="19" s="1"/>
  <c r="P111" i="19" s="1"/>
  <c r="L111" i="19"/>
  <c r="M111" i="19" s="1"/>
  <c r="M31" i="19"/>
  <c r="N31" i="19" s="1"/>
  <c r="O31" i="19" s="1"/>
  <c r="K31" i="19"/>
  <c r="L31" i="19" s="1"/>
  <c r="N111" i="18"/>
  <c r="O111" i="18" s="1"/>
  <c r="L111" i="18"/>
  <c r="M111" i="18" s="1"/>
  <c r="M31" i="18"/>
  <c r="N31" i="18" s="1"/>
  <c r="O31" i="18" s="1"/>
  <c r="K31" i="18"/>
  <c r="L31" i="18" s="1"/>
  <c r="P101" i="98" l="1"/>
  <c r="P103" i="92"/>
  <c r="P104" i="81"/>
  <c r="P105" i="79"/>
  <c r="P110" i="74"/>
  <c r="P112" i="71"/>
  <c r="P106" i="67"/>
  <c r="P106" i="66"/>
  <c r="P107" i="63"/>
  <c r="P107" i="59"/>
  <c r="P108" i="56"/>
  <c r="P108" i="46"/>
  <c r="P112" i="34"/>
  <c r="P113" i="29"/>
  <c r="O21" i="99"/>
  <c r="O22" i="96"/>
  <c r="P102" i="95"/>
  <c r="O22" i="95"/>
  <c r="P103" i="94"/>
  <c r="P102" i="93"/>
  <c r="P103" i="91"/>
  <c r="P103" i="90"/>
  <c r="P103" i="89"/>
  <c r="P103" i="87"/>
  <c r="O23" i="87"/>
  <c r="O24" i="85"/>
  <c r="O24" i="84"/>
  <c r="P104" i="83"/>
  <c r="P104" i="82"/>
  <c r="O24" i="82"/>
  <c r="P104" i="80"/>
  <c r="O24" i="80"/>
  <c r="P105" i="78"/>
  <c r="P105" i="77"/>
  <c r="O30" i="73"/>
  <c r="P108" i="72"/>
  <c r="O33" i="69"/>
  <c r="P106" i="68"/>
  <c r="O26" i="68"/>
  <c r="O26" i="65"/>
  <c r="P107" i="60"/>
  <c r="P107" i="62"/>
  <c r="O28" i="56"/>
  <c r="O28" i="46"/>
  <c r="P109" i="45"/>
  <c r="P110" i="44"/>
  <c r="P110" i="43"/>
  <c r="P110" i="39"/>
  <c r="P112" i="31"/>
  <c r="P112" i="24"/>
  <c r="O31" i="22"/>
  <c r="P111" i="18"/>
  <c r="N111" i="17"/>
  <c r="O111" i="17" s="1"/>
  <c r="P111" i="17" s="1"/>
  <c r="L111" i="17"/>
  <c r="M111" i="17" s="1"/>
  <c r="M31" i="17"/>
  <c r="N31" i="17" s="1"/>
  <c r="O31" i="17" s="1"/>
  <c r="K31" i="17"/>
  <c r="L31" i="17" s="1"/>
  <c r="N111" i="3"/>
  <c r="O111" i="3" s="1"/>
  <c r="L111" i="3"/>
  <c r="M111" i="3" s="1"/>
  <c r="M31" i="3"/>
  <c r="N31" i="3" s="1"/>
  <c r="O31" i="3" s="1"/>
  <c r="L31" i="3"/>
  <c r="K31" i="3"/>
  <c r="N103" i="86"/>
  <c r="L103" i="86"/>
  <c r="M103" i="86" s="1"/>
  <c r="P111" i="3" l="1"/>
  <c r="D34" i="69"/>
  <c r="M20" i="99" l="1"/>
  <c r="K20" i="99"/>
  <c r="L20" i="99" s="1"/>
  <c r="M20" i="98"/>
  <c r="L20" i="98"/>
  <c r="K20" i="98"/>
  <c r="M20" i="97"/>
  <c r="K20" i="97"/>
  <c r="L20" i="97" s="1"/>
  <c r="M21" i="96"/>
  <c r="K21" i="96"/>
  <c r="L21" i="96" s="1"/>
  <c r="M21" i="95"/>
  <c r="K21" i="95"/>
  <c r="L21" i="95" s="1"/>
  <c r="M22" i="94"/>
  <c r="K22" i="94"/>
  <c r="L22" i="94" s="1"/>
  <c r="M21" i="93"/>
  <c r="K21" i="93"/>
  <c r="L21" i="93" s="1"/>
  <c r="M22" i="92"/>
  <c r="K22" i="92"/>
  <c r="L22" i="92" s="1"/>
  <c r="M22" i="91"/>
  <c r="K22" i="91"/>
  <c r="L22" i="91" s="1"/>
  <c r="M22" i="90"/>
  <c r="K22" i="90"/>
  <c r="L22" i="90" s="1"/>
  <c r="M22" i="89"/>
  <c r="L22" i="89"/>
  <c r="K22" i="89"/>
  <c r="M22" i="88"/>
  <c r="K22" i="88"/>
  <c r="L22" i="88" s="1"/>
  <c r="M22" i="87"/>
  <c r="K22" i="87"/>
  <c r="L22" i="87" s="1"/>
  <c r="M23" i="86"/>
  <c r="K23" i="86"/>
  <c r="L23" i="86" s="1"/>
  <c r="M23" i="85" l="1"/>
  <c r="K23" i="85"/>
  <c r="L23" i="85" s="1"/>
  <c r="M23" i="84"/>
  <c r="K23" i="84"/>
  <c r="L23" i="84" s="1"/>
  <c r="M23" i="83"/>
  <c r="K23" i="83"/>
  <c r="L23" i="83" s="1"/>
  <c r="M23" i="82"/>
  <c r="K23" i="82"/>
  <c r="L23" i="82" s="1"/>
  <c r="M23" i="81"/>
  <c r="K23" i="81"/>
  <c r="L23" i="81" s="1"/>
  <c r="M23" i="80"/>
  <c r="K23" i="80"/>
  <c r="L23" i="80" s="1"/>
  <c r="M24" i="79"/>
  <c r="K24" i="79"/>
  <c r="L24" i="79" s="1"/>
  <c r="M24" i="78"/>
  <c r="K24" i="78"/>
  <c r="L24" i="78" s="1"/>
  <c r="M24" i="77"/>
  <c r="K24" i="77"/>
  <c r="L24" i="77" s="1"/>
  <c r="M24" i="76"/>
  <c r="K24" i="76"/>
  <c r="L24" i="76" s="1"/>
  <c r="M24" i="75"/>
  <c r="K24" i="75"/>
  <c r="L24" i="75" s="1"/>
  <c r="M29" i="74"/>
  <c r="K29" i="74"/>
  <c r="L29" i="74" s="1"/>
  <c r="M29" i="73"/>
  <c r="K29" i="73"/>
  <c r="L29" i="73" s="1"/>
  <c r="M27" i="72"/>
  <c r="K27" i="72"/>
  <c r="L27" i="72" s="1"/>
  <c r="M31" i="71"/>
  <c r="K31" i="71"/>
  <c r="L31" i="71" s="1"/>
  <c r="M32" i="70"/>
  <c r="K32" i="70"/>
  <c r="L32" i="70" s="1"/>
  <c r="M32" i="69"/>
  <c r="K32" i="69"/>
  <c r="L32" i="69" s="1"/>
  <c r="M25" i="68"/>
  <c r="K25" i="68"/>
  <c r="L25" i="68" s="1"/>
  <c r="M25" i="67"/>
  <c r="L25" i="67"/>
  <c r="K25" i="67"/>
  <c r="M25" i="66"/>
  <c r="K25" i="66"/>
  <c r="L25" i="66" s="1"/>
  <c r="M25" i="65"/>
  <c r="K25" i="65"/>
  <c r="L25" i="65" s="1"/>
  <c r="M26" i="64"/>
  <c r="K26" i="64"/>
  <c r="L26" i="64" s="1"/>
  <c r="M26" i="60"/>
  <c r="K26" i="60"/>
  <c r="L26" i="60" s="1"/>
  <c r="M26" i="62"/>
  <c r="K26" i="62"/>
  <c r="L26" i="62" s="1"/>
  <c r="M26" i="63"/>
  <c r="K26" i="63"/>
  <c r="L26" i="63" s="1"/>
  <c r="M26" i="61"/>
  <c r="K26" i="61"/>
  <c r="L26" i="61" s="1"/>
  <c r="M26" i="59"/>
  <c r="K26" i="59"/>
  <c r="L26" i="59" s="1"/>
  <c r="M27" i="58"/>
  <c r="K27" i="58"/>
  <c r="L27" i="58" s="1"/>
  <c r="M27" i="57"/>
  <c r="K27" i="57"/>
  <c r="L27" i="57" s="1"/>
  <c r="M27" i="56"/>
  <c r="K27" i="56"/>
  <c r="L27" i="56" s="1"/>
  <c r="M27" i="55"/>
  <c r="K27" i="55"/>
  <c r="L27" i="55" s="1"/>
  <c r="M27" i="54"/>
  <c r="K27" i="54"/>
  <c r="L27" i="54" s="1"/>
  <c r="M27" i="53"/>
  <c r="K27" i="53"/>
  <c r="L27" i="53" s="1"/>
  <c r="M27" i="46"/>
  <c r="K27" i="46"/>
  <c r="L27" i="46" s="1"/>
  <c r="M28" i="45"/>
  <c r="K28" i="45"/>
  <c r="L28" i="45" s="1"/>
  <c r="M29" i="44"/>
  <c r="K29" i="44"/>
  <c r="L29" i="44" s="1"/>
  <c r="M29" i="43"/>
  <c r="K29" i="43"/>
  <c r="L29" i="43" s="1"/>
  <c r="M29" i="42"/>
  <c r="K29" i="42"/>
  <c r="L29" i="42" s="1"/>
  <c r="M29" i="41"/>
  <c r="K29" i="41"/>
  <c r="L29" i="41" s="1"/>
  <c r="M29" i="39"/>
  <c r="K29" i="39"/>
  <c r="L29" i="39" s="1"/>
  <c r="M31" i="34"/>
  <c r="K31" i="34"/>
  <c r="L31" i="34" s="1"/>
  <c r="M31" i="32"/>
  <c r="K31" i="32"/>
  <c r="L31" i="32" s="1"/>
  <c r="M31" i="31"/>
  <c r="K31" i="31"/>
  <c r="L31" i="31" s="1"/>
  <c r="M32" i="30"/>
  <c r="K32" i="30"/>
  <c r="L32" i="30" s="1"/>
  <c r="M32" i="29"/>
  <c r="K32" i="29"/>
  <c r="L32" i="29" s="1"/>
  <c r="M33" i="28"/>
  <c r="K33" i="28"/>
  <c r="L33" i="28" s="1"/>
  <c r="M32" i="27"/>
  <c r="K32" i="27"/>
  <c r="L32" i="27" s="1"/>
  <c r="M31" i="24"/>
  <c r="K31" i="24"/>
  <c r="L31" i="24" s="1"/>
  <c r="M31" i="23"/>
  <c r="K31" i="23"/>
  <c r="L31" i="23" s="1"/>
  <c r="M30" i="22"/>
  <c r="K30" i="22"/>
  <c r="L30" i="22" s="1"/>
  <c r="M30" i="21"/>
  <c r="K30" i="21"/>
  <c r="L30" i="21" s="1"/>
  <c r="M30" i="20"/>
  <c r="K30" i="20"/>
  <c r="L30" i="20" s="1"/>
  <c r="M30" i="19"/>
  <c r="K30" i="19"/>
  <c r="L30" i="19" s="1"/>
  <c r="M30" i="18"/>
  <c r="K30" i="18"/>
  <c r="L30" i="18" s="1"/>
  <c r="M30" i="17"/>
  <c r="K30" i="17"/>
  <c r="L30" i="17" s="1"/>
  <c r="M30" i="3"/>
  <c r="K30" i="3"/>
  <c r="L30" i="3" s="1"/>
  <c r="N100" i="99"/>
  <c r="L100" i="99"/>
  <c r="M100" i="99" s="1"/>
  <c r="N99" i="99"/>
  <c r="L99" i="99"/>
  <c r="M99" i="99" s="1"/>
  <c r="N100" i="98"/>
  <c r="L100" i="98"/>
  <c r="M100" i="98" s="1"/>
  <c r="N99" i="98"/>
  <c r="L99" i="98"/>
  <c r="M99" i="98" s="1"/>
  <c r="N100" i="97"/>
  <c r="L100" i="97"/>
  <c r="M100" i="97" s="1"/>
  <c r="N99" i="97"/>
  <c r="L99" i="97"/>
  <c r="M99" i="97" s="1"/>
  <c r="N101" i="96"/>
  <c r="L101" i="96"/>
  <c r="M101" i="96" s="1"/>
  <c r="N100" i="96"/>
  <c r="M100" i="96"/>
  <c r="L100" i="96"/>
  <c r="N101" i="95"/>
  <c r="L101" i="95"/>
  <c r="M101" i="95" s="1"/>
  <c r="N100" i="95"/>
  <c r="L100" i="95"/>
  <c r="M100" i="95" s="1"/>
  <c r="N102" i="94"/>
  <c r="L102" i="94"/>
  <c r="M102" i="94" s="1"/>
  <c r="N101" i="94"/>
  <c r="L101" i="94"/>
  <c r="M101" i="94" s="1"/>
  <c r="N100" i="94"/>
  <c r="L100" i="94"/>
  <c r="M100" i="94" s="1"/>
  <c r="N101" i="93"/>
  <c r="L101" i="93"/>
  <c r="M101" i="93" s="1"/>
  <c r="N100" i="93"/>
  <c r="L100" i="93"/>
  <c r="M100" i="93" s="1"/>
  <c r="N102" i="92"/>
  <c r="L102" i="92"/>
  <c r="M102" i="92" s="1"/>
  <c r="N101" i="92"/>
  <c r="L101" i="92"/>
  <c r="M101" i="92" s="1"/>
  <c r="N102" i="91"/>
  <c r="L102" i="91"/>
  <c r="M102" i="91" s="1"/>
  <c r="N101" i="91"/>
  <c r="L101" i="91"/>
  <c r="M101" i="91" s="1"/>
  <c r="N102" i="90"/>
  <c r="L102" i="90"/>
  <c r="M102" i="90" s="1"/>
  <c r="N101" i="90"/>
  <c r="L101" i="90"/>
  <c r="M101" i="90" s="1"/>
  <c r="N102" i="89"/>
  <c r="L102" i="89"/>
  <c r="M102" i="89" s="1"/>
  <c r="N101" i="89"/>
  <c r="L101" i="89"/>
  <c r="M101" i="89" s="1"/>
  <c r="N102" i="88"/>
  <c r="L102" i="88"/>
  <c r="M102" i="88" s="1"/>
  <c r="N101" i="88"/>
  <c r="L101" i="88"/>
  <c r="M101" i="88" s="1"/>
  <c r="N102" i="87"/>
  <c r="L102" i="87"/>
  <c r="M102" i="87" s="1"/>
  <c r="N101" i="87"/>
  <c r="L101" i="87"/>
  <c r="M101" i="87" s="1"/>
  <c r="N102" i="86"/>
  <c r="L102" i="86"/>
  <c r="M102" i="86" s="1"/>
  <c r="N101" i="86"/>
  <c r="L101" i="86"/>
  <c r="M101" i="86" s="1"/>
  <c r="N103" i="85"/>
  <c r="L103" i="85"/>
  <c r="M103" i="85" s="1"/>
  <c r="N102" i="85"/>
  <c r="L102" i="85"/>
  <c r="M102" i="85" s="1"/>
  <c r="N102" i="84"/>
  <c r="L102" i="84"/>
  <c r="M102" i="84" s="1"/>
  <c r="N101" i="84"/>
  <c r="L101" i="84"/>
  <c r="M101" i="84" s="1"/>
  <c r="N103" i="83"/>
  <c r="L103" i="83"/>
  <c r="M103" i="83" s="1"/>
  <c r="N102" i="83"/>
  <c r="L102" i="83"/>
  <c r="M102" i="83" s="1"/>
  <c r="N103" i="82"/>
  <c r="L103" i="82"/>
  <c r="M103" i="82" s="1"/>
  <c r="N102" i="82"/>
  <c r="L102" i="82"/>
  <c r="M102" i="82" s="1"/>
  <c r="N103" i="81"/>
  <c r="L103" i="81"/>
  <c r="M103" i="81" s="1"/>
  <c r="N102" i="81"/>
  <c r="L102" i="81"/>
  <c r="M102" i="81" s="1"/>
  <c r="N103" i="80"/>
  <c r="L103" i="80"/>
  <c r="M103" i="80" s="1"/>
  <c r="N102" i="80"/>
  <c r="L102" i="80"/>
  <c r="M102" i="80" s="1"/>
  <c r="N104" i="79"/>
  <c r="L104" i="79"/>
  <c r="M104" i="79" s="1"/>
  <c r="N103" i="79"/>
  <c r="L103" i="79"/>
  <c r="M103" i="79" s="1"/>
  <c r="N104" i="78"/>
  <c r="L104" i="78"/>
  <c r="M104" i="78" s="1"/>
  <c r="N103" i="78"/>
  <c r="L103" i="78"/>
  <c r="M103" i="78" s="1"/>
  <c r="N104" i="77"/>
  <c r="L104" i="77"/>
  <c r="M104" i="77" s="1"/>
  <c r="N103" i="77"/>
  <c r="L103" i="77"/>
  <c r="M103" i="77" s="1"/>
  <c r="N104" i="76"/>
  <c r="L104" i="76"/>
  <c r="M104" i="76" s="1"/>
  <c r="N103" i="76"/>
  <c r="L103" i="76"/>
  <c r="M103" i="76" s="1"/>
  <c r="N104" i="75"/>
  <c r="L104" i="75"/>
  <c r="M104" i="75" s="1"/>
  <c r="N103" i="75"/>
  <c r="L103" i="75"/>
  <c r="M103" i="75" s="1"/>
  <c r="N109" i="74"/>
  <c r="L109" i="74"/>
  <c r="M109" i="74" s="1"/>
  <c r="N108" i="74"/>
  <c r="L108" i="74"/>
  <c r="M108" i="74" s="1"/>
  <c r="N107" i="74"/>
  <c r="L107" i="74"/>
  <c r="M107" i="74" s="1"/>
  <c r="N109" i="73"/>
  <c r="L109" i="73"/>
  <c r="M109" i="73" s="1"/>
  <c r="N108" i="73"/>
  <c r="L108" i="73"/>
  <c r="M108" i="73" s="1"/>
  <c r="N107" i="72"/>
  <c r="L107" i="72"/>
  <c r="M107" i="72" s="1"/>
  <c r="N106" i="72"/>
  <c r="L106" i="72"/>
  <c r="M106" i="72" s="1"/>
  <c r="N111" i="71"/>
  <c r="L111" i="71"/>
  <c r="M111" i="71" s="1"/>
  <c r="N110" i="71"/>
  <c r="L110" i="71"/>
  <c r="M110" i="71" s="1"/>
  <c r="N112" i="70"/>
  <c r="L112" i="70"/>
  <c r="M112" i="70" s="1"/>
  <c r="N111" i="70"/>
  <c r="L111" i="70"/>
  <c r="M111" i="70" s="1"/>
  <c r="N112" i="69"/>
  <c r="L112" i="69"/>
  <c r="M112" i="69" s="1"/>
  <c r="N111" i="69"/>
  <c r="L111" i="69"/>
  <c r="M111" i="69" s="1"/>
  <c r="N105" i="68"/>
  <c r="L105" i="68"/>
  <c r="M105" i="68" s="1"/>
  <c r="N104" i="68"/>
  <c r="L104" i="68"/>
  <c r="M104" i="68" s="1"/>
  <c r="N105" i="67"/>
  <c r="L105" i="67"/>
  <c r="M105" i="67" s="1"/>
  <c r="N104" i="67"/>
  <c r="L104" i="67"/>
  <c r="M104" i="67" s="1"/>
  <c r="N105" i="66"/>
  <c r="L105" i="66"/>
  <c r="M105" i="66" s="1"/>
  <c r="N104" i="66"/>
  <c r="L104" i="66"/>
  <c r="M104" i="66" s="1"/>
  <c r="N105" i="65"/>
  <c r="L105" i="65"/>
  <c r="M105" i="65" s="1"/>
  <c r="N104" i="65"/>
  <c r="L104" i="65"/>
  <c r="M104" i="65" s="1"/>
  <c r="N106" i="64"/>
  <c r="L106" i="64"/>
  <c r="M106" i="64" s="1"/>
  <c r="N105" i="64"/>
  <c r="L105" i="64"/>
  <c r="M105" i="64" s="1"/>
  <c r="N106" i="60"/>
  <c r="L106" i="60"/>
  <c r="M106" i="60" s="1"/>
  <c r="N105" i="60"/>
  <c r="L105" i="60"/>
  <c r="M105" i="60" s="1"/>
  <c r="N106" i="62"/>
  <c r="L106" i="62"/>
  <c r="M106" i="62" s="1"/>
  <c r="N105" i="62"/>
  <c r="L105" i="62"/>
  <c r="M105" i="62" s="1"/>
  <c r="N106" i="63"/>
  <c r="L106" i="63"/>
  <c r="M106" i="63" s="1"/>
  <c r="N105" i="63"/>
  <c r="L105" i="63"/>
  <c r="M105" i="63" s="1"/>
  <c r="N106" i="61"/>
  <c r="L106" i="61"/>
  <c r="M106" i="61" s="1"/>
  <c r="N105" i="61"/>
  <c r="L105" i="61"/>
  <c r="M105" i="61" s="1"/>
  <c r="N106" i="59"/>
  <c r="L106" i="59"/>
  <c r="M106" i="59" s="1"/>
  <c r="N105" i="59"/>
  <c r="L105" i="59"/>
  <c r="M105" i="59" s="1"/>
  <c r="N107" i="58"/>
  <c r="L107" i="58"/>
  <c r="M107" i="58" s="1"/>
  <c r="N106" i="58"/>
  <c r="L106" i="58"/>
  <c r="M106" i="58" s="1"/>
  <c r="N107" i="57"/>
  <c r="L107" i="57"/>
  <c r="M107" i="57" s="1"/>
  <c r="N106" i="57"/>
  <c r="L106" i="57"/>
  <c r="M106" i="57" s="1"/>
  <c r="N107" i="56"/>
  <c r="L107" i="56"/>
  <c r="M107" i="56" s="1"/>
  <c r="N106" i="56"/>
  <c r="L106" i="56"/>
  <c r="M106" i="56" s="1"/>
  <c r="N107" i="55"/>
  <c r="L107" i="55"/>
  <c r="M107" i="55" s="1"/>
  <c r="N106" i="55"/>
  <c r="L106" i="55"/>
  <c r="M106" i="55" s="1"/>
  <c r="N107" i="54"/>
  <c r="L107" i="54"/>
  <c r="M107" i="54" s="1"/>
  <c r="N106" i="54"/>
  <c r="L106" i="54"/>
  <c r="M106" i="54" s="1"/>
  <c r="N107" i="53"/>
  <c r="L107" i="53"/>
  <c r="M107" i="53" s="1"/>
  <c r="N106" i="53"/>
  <c r="L106" i="53"/>
  <c r="M106" i="53" s="1"/>
  <c r="N107" i="46"/>
  <c r="L107" i="46"/>
  <c r="M107" i="46" s="1"/>
  <c r="N106" i="46"/>
  <c r="L106" i="46"/>
  <c r="M106" i="46" s="1"/>
  <c r="N108" i="45"/>
  <c r="L108" i="45"/>
  <c r="M108" i="45" s="1"/>
  <c r="N107" i="45"/>
  <c r="L107" i="45"/>
  <c r="M107" i="45" s="1"/>
  <c r="N109" i="44"/>
  <c r="L109" i="44"/>
  <c r="M109" i="44" s="1"/>
  <c r="N108" i="44"/>
  <c r="L108" i="44"/>
  <c r="M108" i="44" s="1"/>
  <c r="N109" i="43"/>
  <c r="L109" i="43"/>
  <c r="M109" i="43" s="1"/>
  <c r="N108" i="43"/>
  <c r="L108" i="43"/>
  <c r="M108" i="43" s="1"/>
  <c r="N109" i="42"/>
  <c r="L109" i="42"/>
  <c r="M109" i="42" s="1"/>
  <c r="N108" i="42"/>
  <c r="L108" i="42"/>
  <c r="M108" i="42" s="1"/>
  <c r="N109" i="41"/>
  <c r="L109" i="41"/>
  <c r="M109" i="41" s="1"/>
  <c r="N108" i="41"/>
  <c r="L108" i="41"/>
  <c r="M108" i="41" s="1"/>
  <c r="N109" i="39"/>
  <c r="L109" i="39"/>
  <c r="M109" i="39" s="1"/>
  <c r="N108" i="39"/>
  <c r="L108" i="39"/>
  <c r="M108" i="39" s="1"/>
  <c r="N111" i="34"/>
  <c r="L111" i="34"/>
  <c r="M111" i="34" s="1"/>
  <c r="N110" i="34"/>
  <c r="L110" i="34"/>
  <c r="M110" i="34" s="1"/>
  <c r="N111" i="32"/>
  <c r="L111" i="32"/>
  <c r="M111" i="32" s="1"/>
  <c r="N110" i="32"/>
  <c r="L110" i="32"/>
  <c r="M110" i="32" s="1"/>
  <c r="N111" i="31"/>
  <c r="L111" i="31"/>
  <c r="M111" i="31" s="1"/>
  <c r="N110" i="31"/>
  <c r="L110" i="31"/>
  <c r="M110" i="31" s="1"/>
  <c r="N112" i="30"/>
  <c r="L112" i="30"/>
  <c r="M112" i="30" s="1"/>
  <c r="N111" i="30"/>
  <c r="L111" i="30"/>
  <c r="M111" i="30" s="1"/>
  <c r="N112" i="29"/>
  <c r="L112" i="29"/>
  <c r="M112" i="29" s="1"/>
  <c r="N111" i="29"/>
  <c r="L111" i="29"/>
  <c r="M111" i="29" s="1"/>
  <c r="N113" i="28"/>
  <c r="L113" i="28"/>
  <c r="M113" i="28" s="1"/>
  <c r="N112" i="28"/>
  <c r="L112" i="28"/>
  <c r="M112" i="28" s="1"/>
  <c r="N112" i="27"/>
  <c r="L112" i="27"/>
  <c r="M112" i="27" s="1"/>
  <c r="N111" i="27"/>
  <c r="L111" i="27"/>
  <c r="M111" i="27" s="1"/>
  <c r="N111" i="24"/>
  <c r="L111" i="24"/>
  <c r="M111" i="24" s="1"/>
  <c r="N110" i="24"/>
  <c r="L110" i="24"/>
  <c r="M110" i="24" s="1"/>
  <c r="N111" i="23"/>
  <c r="L111" i="23"/>
  <c r="M111" i="23" s="1"/>
  <c r="N110" i="23"/>
  <c r="L110" i="23"/>
  <c r="M110" i="23" s="1"/>
  <c r="N110" i="22"/>
  <c r="L110" i="22"/>
  <c r="M110" i="22" s="1"/>
  <c r="N109" i="22"/>
  <c r="L109" i="22"/>
  <c r="M109" i="22" s="1"/>
  <c r="N110" i="21"/>
  <c r="L110" i="21"/>
  <c r="M110" i="21" s="1"/>
  <c r="N109" i="21"/>
  <c r="L109" i="21"/>
  <c r="M109" i="21" s="1"/>
  <c r="M19" i="99"/>
  <c r="K19" i="99"/>
  <c r="L19" i="99" s="1"/>
  <c r="M19" i="98"/>
  <c r="K19" i="98"/>
  <c r="L19" i="98" s="1"/>
  <c r="M19" i="97"/>
  <c r="K19" i="97"/>
  <c r="L19" i="97" s="1"/>
  <c r="M20" i="96"/>
  <c r="K20" i="96"/>
  <c r="L20" i="96" s="1"/>
  <c r="M20" i="95"/>
  <c r="K20" i="95"/>
  <c r="L20" i="95" s="1"/>
  <c r="M21" i="94"/>
  <c r="K21" i="94"/>
  <c r="L21" i="94" s="1"/>
  <c r="M20" i="93"/>
  <c r="K20" i="93"/>
  <c r="L20" i="93" s="1"/>
  <c r="M21" i="92"/>
  <c r="K21" i="92"/>
  <c r="L21" i="92" s="1"/>
  <c r="M21" i="91"/>
  <c r="K21" i="91"/>
  <c r="L21" i="91" s="1"/>
  <c r="M21" i="90"/>
  <c r="K21" i="90"/>
  <c r="L21" i="90" s="1"/>
  <c r="M21" i="89"/>
  <c r="K21" i="89"/>
  <c r="L21" i="89" s="1"/>
  <c r="M21" i="88"/>
  <c r="K21" i="88"/>
  <c r="L21" i="88" s="1"/>
  <c r="M21" i="87"/>
  <c r="K21" i="87"/>
  <c r="L21" i="87" s="1"/>
  <c r="M22" i="86"/>
  <c r="K22" i="86"/>
  <c r="L22" i="86" s="1"/>
  <c r="M22" i="85"/>
  <c r="K22" i="85"/>
  <c r="L22" i="85" s="1"/>
  <c r="M22" i="84"/>
  <c r="K22" i="84"/>
  <c r="L22" i="84" s="1"/>
  <c r="M22" i="83"/>
  <c r="K22" i="83"/>
  <c r="L22" i="83" s="1"/>
  <c r="M22" i="82"/>
  <c r="K22" i="82"/>
  <c r="L22" i="82" s="1"/>
  <c r="M22" i="81"/>
  <c r="K22" i="81"/>
  <c r="L22" i="81" s="1"/>
  <c r="M22" i="80"/>
  <c r="K22" i="80"/>
  <c r="L22" i="80" s="1"/>
  <c r="M23" i="79"/>
  <c r="K23" i="79"/>
  <c r="L23" i="79" s="1"/>
  <c r="M23" i="78"/>
  <c r="K23" i="78"/>
  <c r="L23" i="78" s="1"/>
  <c r="M23" i="77"/>
  <c r="K23" i="77"/>
  <c r="L23" i="77" s="1"/>
  <c r="M23" i="76"/>
  <c r="K23" i="76"/>
  <c r="L23" i="76" s="1"/>
  <c r="M23" i="75"/>
  <c r="K23" i="75"/>
  <c r="L23" i="75" s="1"/>
  <c r="M28" i="74"/>
  <c r="K28" i="74"/>
  <c r="L28" i="74" s="1"/>
  <c r="M28" i="73"/>
  <c r="K28" i="73"/>
  <c r="L28" i="73" s="1"/>
  <c r="M26" i="72"/>
  <c r="K26" i="72"/>
  <c r="L26" i="72" s="1"/>
  <c r="M30" i="71"/>
  <c r="K30" i="71"/>
  <c r="L30" i="71" s="1"/>
  <c r="M31" i="70"/>
  <c r="K31" i="70"/>
  <c r="L31" i="70" s="1"/>
  <c r="M31" i="69"/>
  <c r="K31" i="69"/>
  <c r="L31" i="69" s="1"/>
  <c r="M24" i="68"/>
  <c r="K24" i="68"/>
  <c r="L24" i="68" s="1"/>
  <c r="M24" i="67"/>
  <c r="K24" i="67"/>
  <c r="L24" i="67" s="1"/>
  <c r="M24" i="66"/>
  <c r="K24" i="66"/>
  <c r="L24" i="66" s="1"/>
  <c r="M24" i="65"/>
  <c r="K24" i="65"/>
  <c r="L24" i="65" s="1"/>
  <c r="M25" i="64"/>
  <c r="K25" i="64"/>
  <c r="L25" i="64" s="1"/>
  <c r="M25" i="60"/>
  <c r="K25" i="60"/>
  <c r="L25" i="60" s="1"/>
  <c r="M25" i="62"/>
  <c r="K25" i="62"/>
  <c r="L25" i="62" s="1"/>
  <c r="M25" i="63"/>
  <c r="K25" i="63"/>
  <c r="L25" i="63" s="1"/>
  <c r="M25" i="61"/>
  <c r="K25" i="61"/>
  <c r="L25" i="61" s="1"/>
  <c r="M25" i="59"/>
  <c r="K25" i="59"/>
  <c r="L25" i="59" s="1"/>
  <c r="M26" i="58"/>
  <c r="K26" i="58"/>
  <c r="L26" i="58" s="1"/>
  <c r="M26" i="57"/>
  <c r="K26" i="57"/>
  <c r="L26" i="57" s="1"/>
  <c r="M26" i="56"/>
  <c r="K26" i="56"/>
  <c r="L26" i="56" s="1"/>
  <c r="M26" i="55"/>
  <c r="K26" i="55"/>
  <c r="L26" i="55" s="1"/>
  <c r="M26" i="54"/>
  <c r="K26" i="54"/>
  <c r="L26" i="54" s="1"/>
  <c r="M26" i="53"/>
  <c r="K26" i="53"/>
  <c r="L26" i="53" s="1"/>
  <c r="M26" i="46"/>
  <c r="K26" i="46"/>
  <c r="L26" i="46" s="1"/>
  <c r="M27" i="45"/>
  <c r="K27" i="45"/>
  <c r="L27" i="45" s="1"/>
  <c r="M28" i="44"/>
  <c r="K28" i="44"/>
  <c r="L28" i="44" s="1"/>
  <c r="M28" i="43"/>
  <c r="K28" i="43"/>
  <c r="L28" i="43" s="1"/>
  <c r="M28" i="42"/>
  <c r="K28" i="42"/>
  <c r="L28" i="42" s="1"/>
  <c r="M28" i="41"/>
  <c r="K28" i="41"/>
  <c r="L28" i="41" s="1"/>
  <c r="M28" i="39"/>
  <c r="K28" i="39"/>
  <c r="L28" i="39" s="1"/>
  <c r="M30" i="34"/>
  <c r="K30" i="34"/>
  <c r="L30" i="34" s="1"/>
  <c r="M30" i="32"/>
  <c r="K30" i="32"/>
  <c r="L30" i="32" s="1"/>
  <c r="M30" i="31"/>
  <c r="K30" i="31"/>
  <c r="L30" i="31" s="1"/>
  <c r="M31" i="30"/>
  <c r="K31" i="30"/>
  <c r="L31" i="30" s="1"/>
  <c r="M31" i="29"/>
  <c r="K31" i="29"/>
  <c r="L31" i="29" s="1"/>
  <c r="M32" i="28"/>
  <c r="K32" i="28"/>
  <c r="L32" i="28" s="1"/>
  <c r="M31" i="27"/>
  <c r="K31" i="27"/>
  <c r="L31" i="27" s="1"/>
  <c r="M30" i="24"/>
  <c r="K30" i="24"/>
  <c r="L30" i="24" s="1"/>
  <c r="M30" i="23"/>
  <c r="K30" i="23"/>
  <c r="L30" i="23" s="1"/>
  <c r="M29" i="22"/>
  <c r="K29" i="22"/>
  <c r="L29" i="22" s="1"/>
  <c r="I27" i="3"/>
  <c r="I28" i="3"/>
  <c r="I29" i="3"/>
  <c r="M29" i="21" l="1"/>
  <c r="K29" i="21"/>
  <c r="L29" i="21" s="1"/>
  <c r="N110" i="20"/>
  <c r="L110" i="20"/>
  <c r="M110" i="20" s="1"/>
  <c r="N109" i="20"/>
  <c r="L109" i="20"/>
  <c r="M109" i="20" s="1"/>
  <c r="M29" i="20"/>
  <c r="K29" i="20"/>
  <c r="L29" i="20" s="1"/>
  <c r="N110" i="19"/>
  <c r="L110" i="19"/>
  <c r="M110" i="19" s="1"/>
  <c r="N109" i="19"/>
  <c r="L109" i="19"/>
  <c r="M109" i="19" s="1"/>
  <c r="M29" i="19"/>
  <c r="K29" i="19"/>
  <c r="L29" i="19" s="1"/>
  <c r="N110" i="18"/>
  <c r="L110" i="18"/>
  <c r="M110" i="18" s="1"/>
  <c r="N109" i="18"/>
  <c r="L109" i="18"/>
  <c r="M109" i="18" s="1"/>
  <c r="M29" i="18"/>
  <c r="K29" i="18"/>
  <c r="L29" i="18" s="1"/>
  <c r="N110" i="17"/>
  <c r="L110" i="17"/>
  <c r="M110" i="17" s="1"/>
  <c r="N109" i="17"/>
  <c r="L109" i="17"/>
  <c r="M109" i="17" s="1"/>
  <c r="M29" i="17"/>
  <c r="K29" i="17"/>
  <c r="L29" i="17" s="1"/>
  <c r="M29" i="3"/>
  <c r="K29" i="3"/>
  <c r="L29" i="3" s="1"/>
  <c r="N110" i="3"/>
  <c r="L110" i="3"/>
  <c r="M110" i="3" s="1"/>
  <c r="N109" i="3"/>
  <c r="L109" i="3"/>
  <c r="M109" i="3" s="1"/>
  <c r="T14" i="36" l="1"/>
  <c r="I17" i="99" l="1"/>
  <c r="M20" i="94" l="1"/>
  <c r="K20" i="94"/>
  <c r="L20" i="94" s="1"/>
  <c r="M21" i="86"/>
  <c r="K21" i="86"/>
  <c r="L21" i="86" s="1"/>
  <c r="M27" i="74"/>
  <c r="K27" i="74"/>
  <c r="L27" i="74" s="1"/>
  <c r="M26" i="74"/>
  <c r="K26" i="74"/>
  <c r="L26" i="74" s="1"/>
  <c r="M18" i="99" l="1"/>
  <c r="K18" i="99"/>
  <c r="L18" i="99" s="1"/>
  <c r="M17" i="99"/>
  <c r="K17" i="99"/>
  <c r="L17" i="99" s="1"/>
  <c r="M18" i="97"/>
  <c r="K18" i="97"/>
  <c r="L18" i="97" s="1"/>
  <c r="M19" i="96"/>
  <c r="K19" i="96"/>
  <c r="L19" i="96" s="1"/>
  <c r="M19" i="95"/>
  <c r="K19" i="95"/>
  <c r="L19" i="95" s="1"/>
  <c r="M19" i="94"/>
  <c r="K19" i="94"/>
  <c r="L19" i="94" s="1"/>
  <c r="M19" i="93"/>
  <c r="K19" i="93"/>
  <c r="L19" i="93" s="1"/>
  <c r="M20" i="92"/>
  <c r="K20" i="92"/>
  <c r="L20" i="92" s="1"/>
  <c r="M20" i="91"/>
  <c r="K20" i="91"/>
  <c r="L20" i="91" s="1"/>
  <c r="M20" i="90"/>
  <c r="K20" i="90"/>
  <c r="L20" i="90" s="1"/>
  <c r="M20" i="89"/>
  <c r="K20" i="89"/>
  <c r="L20" i="89" s="1"/>
  <c r="M20" i="88"/>
  <c r="K20" i="88"/>
  <c r="L20" i="88" s="1"/>
  <c r="M20" i="87"/>
  <c r="K20" i="87"/>
  <c r="L20" i="87" s="1"/>
  <c r="M20" i="86"/>
  <c r="K20" i="86"/>
  <c r="L20" i="86" s="1"/>
  <c r="M21" i="85"/>
  <c r="K21" i="85"/>
  <c r="L21" i="85" s="1"/>
  <c r="M21" i="84"/>
  <c r="K21" i="84"/>
  <c r="L21" i="84" s="1"/>
  <c r="M21" i="83"/>
  <c r="K21" i="83"/>
  <c r="L21" i="83" s="1"/>
  <c r="M21" i="82"/>
  <c r="K21" i="82"/>
  <c r="L21" i="82" s="1"/>
  <c r="M21" i="81"/>
  <c r="K21" i="81"/>
  <c r="L21" i="81" s="1"/>
  <c r="M21" i="80"/>
  <c r="K21" i="80"/>
  <c r="L21" i="80" s="1"/>
  <c r="M22" i="79"/>
  <c r="K22" i="79"/>
  <c r="L22" i="79" s="1"/>
  <c r="M22" i="78"/>
  <c r="K22" i="78"/>
  <c r="L22" i="78" s="1"/>
  <c r="M22" i="77"/>
  <c r="K22" i="77"/>
  <c r="L22" i="77" s="1"/>
  <c r="M22" i="76" l="1"/>
  <c r="K22" i="76"/>
  <c r="L22" i="76" s="1"/>
  <c r="M22" i="75"/>
  <c r="K22" i="75"/>
  <c r="L22" i="75" s="1"/>
  <c r="M27" i="73"/>
  <c r="K27" i="73"/>
  <c r="L27" i="73" s="1"/>
  <c r="M25" i="72"/>
  <c r="K25" i="72"/>
  <c r="L25" i="72" s="1"/>
  <c r="K23" i="66"/>
  <c r="L23" i="66" s="1"/>
  <c r="M23" i="66"/>
  <c r="K24" i="63"/>
  <c r="L24" i="63" s="1"/>
  <c r="M24" i="63"/>
  <c r="M25" i="55"/>
  <c r="M25" i="53"/>
  <c r="M26" i="45"/>
  <c r="M27" i="41"/>
  <c r="K30" i="29"/>
  <c r="L30" i="29" s="1"/>
  <c r="M30" i="29"/>
  <c r="M30" i="27"/>
  <c r="M29" i="24"/>
  <c r="M28" i="18"/>
  <c r="M29" i="71"/>
  <c r="K29" i="71"/>
  <c r="L29" i="71" s="1"/>
  <c r="M28" i="22"/>
  <c r="K28" i="22"/>
  <c r="L28" i="22" s="1"/>
  <c r="M30" i="70" l="1"/>
  <c r="K30" i="70"/>
  <c r="L30" i="70" s="1"/>
  <c r="M30" i="69"/>
  <c r="K30" i="69"/>
  <c r="L30" i="69" s="1"/>
  <c r="M23" i="68"/>
  <c r="K23" i="68"/>
  <c r="L23" i="68" s="1"/>
  <c r="M23" i="67"/>
  <c r="K23" i="67"/>
  <c r="L23" i="67" s="1"/>
  <c r="M23" i="65"/>
  <c r="K23" i="65"/>
  <c r="L23" i="65" s="1"/>
  <c r="M24" i="64"/>
  <c r="K24" i="64"/>
  <c r="L24" i="64" s="1"/>
  <c r="M24" i="60"/>
  <c r="K24" i="60"/>
  <c r="L24" i="60" s="1"/>
  <c r="M24" i="62"/>
  <c r="K24" i="62"/>
  <c r="L24" i="62" s="1"/>
  <c r="M24" i="61"/>
  <c r="K24" i="61"/>
  <c r="L24" i="61" s="1"/>
  <c r="M24" i="59"/>
  <c r="K24" i="59"/>
  <c r="L24" i="59" s="1"/>
  <c r="M25" i="58"/>
  <c r="K25" i="58"/>
  <c r="L25" i="58" s="1"/>
  <c r="M25" i="57"/>
  <c r="K25" i="57"/>
  <c r="L25" i="57" s="1"/>
  <c r="M25" i="56"/>
  <c r="K25" i="56"/>
  <c r="L25" i="56" s="1"/>
  <c r="K25" i="55"/>
  <c r="L25" i="55" s="1"/>
  <c r="M25" i="54"/>
  <c r="K25" i="54"/>
  <c r="L25" i="54" s="1"/>
  <c r="K25" i="53"/>
  <c r="L25" i="53" s="1"/>
  <c r="M25" i="46"/>
  <c r="K25" i="46"/>
  <c r="L25" i="46" s="1"/>
  <c r="K26" i="45"/>
  <c r="L26" i="45" s="1"/>
  <c r="M27" i="44"/>
  <c r="K27" i="44"/>
  <c r="L27" i="44" s="1"/>
  <c r="M27" i="43"/>
  <c r="K27" i="43"/>
  <c r="L27" i="43" s="1"/>
  <c r="M27" i="42"/>
  <c r="K27" i="42"/>
  <c r="L27" i="42" s="1"/>
  <c r="K27" i="41"/>
  <c r="L27" i="41" s="1"/>
  <c r="M27" i="39"/>
  <c r="K27" i="39"/>
  <c r="L27" i="39" s="1"/>
  <c r="M29" i="34"/>
  <c r="K29" i="34"/>
  <c r="L29" i="34" s="1"/>
  <c r="M29" i="32"/>
  <c r="K29" i="32"/>
  <c r="L29" i="32" s="1"/>
  <c r="M29" i="31"/>
  <c r="M30" i="30"/>
  <c r="K30" i="30"/>
  <c r="L30" i="30" s="1"/>
  <c r="M31" i="28"/>
  <c r="K31" i="28"/>
  <c r="L31" i="28" s="1"/>
  <c r="K30" i="27"/>
  <c r="L30" i="27" s="1"/>
  <c r="K29" i="24"/>
  <c r="L29" i="24" s="1"/>
  <c r="M29" i="23"/>
  <c r="K29" i="23"/>
  <c r="L29" i="23" s="1"/>
  <c r="M28" i="21"/>
  <c r="K28" i="21"/>
  <c r="L28" i="21" s="1"/>
  <c r="M28" i="20"/>
  <c r="K28" i="20"/>
  <c r="L28" i="20" s="1"/>
  <c r="M28" i="19"/>
  <c r="K28" i="19"/>
  <c r="L28" i="19" s="1"/>
  <c r="K28" i="18"/>
  <c r="L28" i="18" s="1"/>
  <c r="K28" i="17"/>
  <c r="L28" i="17" s="1"/>
  <c r="M28" i="17"/>
  <c r="M28" i="3"/>
  <c r="K28" i="3"/>
  <c r="L28" i="3" s="1"/>
  <c r="K29" i="31" l="1"/>
  <c r="L29" i="31" s="1"/>
  <c r="W91" i="36" l="1"/>
  <c r="W90" i="36"/>
  <c r="W89" i="36"/>
  <c r="P91" i="36"/>
  <c r="P1" i="99"/>
  <c r="P83" i="99" s="1"/>
  <c r="P154" i="99"/>
  <c r="O154" i="99"/>
  <c r="M154" i="99"/>
  <c r="J154" i="99"/>
  <c r="P153" i="99"/>
  <c r="O153" i="99"/>
  <c r="M153" i="99"/>
  <c r="J153" i="99"/>
  <c r="P152" i="99"/>
  <c r="O152" i="99"/>
  <c r="M152" i="99"/>
  <c r="J152" i="99"/>
  <c r="P151" i="99"/>
  <c r="O151" i="99"/>
  <c r="M151" i="99"/>
  <c r="J151" i="99"/>
  <c r="P150" i="99"/>
  <c r="O150" i="99"/>
  <c r="M150" i="99"/>
  <c r="J150" i="99"/>
  <c r="P149" i="99"/>
  <c r="O149" i="99"/>
  <c r="M149" i="99"/>
  <c r="J149" i="99"/>
  <c r="P148" i="99"/>
  <c r="O148" i="99"/>
  <c r="M148" i="99"/>
  <c r="J148" i="99"/>
  <c r="P147" i="99"/>
  <c r="O147" i="99"/>
  <c r="M147" i="99"/>
  <c r="J147" i="99"/>
  <c r="P146" i="99"/>
  <c r="O146" i="99"/>
  <c r="M146" i="99"/>
  <c r="J146" i="99"/>
  <c r="P145" i="99"/>
  <c r="O145" i="99"/>
  <c r="M145" i="99"/>
  <c r="J145" i="99"/>
  <c r="P144" i="99"/>
  <c r="O144" i="99"/>
  <c r="M144" i="99"/>
  <c r="J144" i="99"/>
  <c r="P143" i="99"/>
  <c r="O143" i="99"/>
  <c r="M143" i="99"/>
  <c r="J143" i="99"/>
  <c r="P142" i="99"/>
  <c r="O142" i="99"/>
  <c r="M142" i="99"/>
  <c r="J142" i="99"/>
  <c r="P141" i="99"/>
  <c r="O141" i="99"/>
  <c r="M141" i="99"/>
  <c r="J141" i="99"/>
  <c r="P140" i="99"/>
  <c r="O140" i="99"/>
  <c r="M140" i="99"/>
  <c r="J140" i="99"/>
  <c r="P139" i="99"/>
  <c r="O139" i="99"/>
  <c r="M139" i="99"/>
  <c r="J139" i="99"/>
  <c r="P138" i="99"/>
  <c r="O138" i="99"/>
  <c r="M138" i="99"/>
  <c r="J138" i="99"/>
  <c r="P137" i="99"/>
  <c r="O137" i="99"/>
  <c r="M137" i="99"/>
  <c r="J137" i="99"/>
  <c r="P136" i="99"/>
  <c r="O136" i="99"/>
  <c r="M136" i="99"/>
  <c r="J136" i="99"/>
  <c r="P135" i="99"/>
  <c r="O135" i="99"/>
  <c r="M135" i="99"/>
  <c r="J135" i="99"/>
  <c r="P134" i="99"/>
  <c r="O134" i="99"/>
  <c r="M134" i="99"/>
  <c r="J134" i="99"/>
  <c r="P133" i="99"/>
  <c r="O133" i="99"/>
  <c r="M133" i="99"/>
  <c r="J133" i="99"/>
  <c r="P132" i="99"/>
  <c r="O132" i="99"/>
  <c r="M132" i="99"/>
  <c r="J132" i="99"/>
  <c r="P131" i="99"/>
  <c r="O131" i="99"/>
  <c r="M131" i="99"/>
  <c r="J131" i="99"/>
  <c r="O130" i="99"/>
  <c r="M130" i="99"/>
  <c r="O129" i="99"/>
  <c r="M129" i="99"/>
  <c r="O128" i="99"/>
  <c r="M128" i="99"/>
  <c r="O127" i="99"/>
  <c r="M127" i="99"/>
  <c r="O126" i="99"/>
  <c r="M126" i="99"/>
  <c r="O125" i="99"/>
  <c r="M125" i="99"/>
  <c r="O124" i="99"/>
  <c r="M124" i="99"/>
  <c r="O123" i="99"/>
  <c r="M123" i="99"/>
  <c r="O122" i="99"/>
  <c r="M122" i="99"/>
  <c r="O121" i="99"/>
  <c r="M121" i="99"/>
  <c r="O120" i="99"/>
  <c r="M120" i="99"/>
  <c r="O119" i="99"/>
  <c r="M119" i="99"/>
  <c r="O118" i="99"/>
  <c r="M118" i="99"/>
  <c r="O117" i="99"/>
  <c r="M117" i="99"/>
  <c r="O116" i="99"/>
  <c r="M116" i="99"/>
  <c r="O115" i="99"/>
  <c r="M115" i="99"/>
  <c r="O114" i="99"/>
  <c r="M114" i="99"/>
  <c r="O113" i="99"/>
  <c r="M113" i="99"/>
  <c r="O112" i="99"/>
  <c r="M112" i="99"/>
  <c r="O111" i="99"/>
  <c r="M111" i="99"/>
  <c r="O110" i="99"/>
  <c r="M110" i="99"/>
  <c r="O109" i="99"/>
  <c r="M109" i="99"/>
  <c r="O108" i="99"/>
  <c r="M108" i="99"/>
  <c r="O107" i="99"/>
  <c r="M107" i="99"/>
  <c r="O106" i="99"/>
  <c r="M106" i="99"/>
  <c r="O105" i="99"/>
  <c r="M105" i="99"/>
  <c r="O104" i="99"/>
  <c r="M104" i="99"/>
  <c r="O103" i="99"/>
  <c r="M103" i="99"/>
  <c r="O102" i="99"/>
  <c r="M102" i="99"/>
  <c r="O100" i="99"/>
  <c r="O99" i="99"/>
  <c r="D96" i="99"/>
  <c r="L93" i="99"/>
  <c r="J93" i="99"/>
  <c r="D93" i="99"/>
  <c r="D91" i="99"/>
  <c r="D89" i="99"/>
  <c r="N72" i="99"/>
  <c r="L72" i="99"/>
  <c r="N71" i="99"/>
  <c r="L71" i="99"/>
  <c r="N70" i="99"/>
  <c r="L70" i="99"/>
  <c r="N69" i="99"/>
  <c r="L69" i="99"/>
  <c r="N68" i="99"/>
  <c r="L68" i="99"/>
  <c r="N67" i="99"/>
  <c r="L67" i="99"/>
  <c r="N66" i="99"/>
  <c r="L66" i="99"/>
  <c r="N65" i="99"/>
  <c r="L65" i="99"/>
  <c r="N64" i="99"/>
  <c r="L64" i="99"/>
  <c r="N63" i="99"/>
  <c r="L63" i="99"/>
  <c r="N62" i="99"/>
  <c r="L62" i="99"/>
  <c r="N61" i="99"/>
  <c r="L61" i="99"/>
  <c r="N60" i="99"/>
  <c r="L60" i="99"/>
  <c r="N59" i="99"/>
  <c r="L59" i="99"/>
  <c r="N58" i="99"/>
  <c r="L58" i="99"/>
  <c r="N57" i="99"/>
  <c r="L57" i="99"/>
  <c r="N56" i="99"/>
  <c r="L56" i="99"/>
  <c r="N55" i="99"/>
  <c r="L55" i="99"/>
  <c r="N54" i="99"/>
  <c r="L54" i="99"/>
  <c r="N53" i="99"/>
  <c r="L53" i="99"/>
  <c r="N52" i="99"/>
  <c r="L52" i="99"/>
  <c r="N51" i="99"/>
  <c r="L51" i="99"/>
  <c r="N50" i="99"/>
  <c r="L50" i="99"/>
  <c r="N49" i="99"/>
  <c r="L49" i="99"/>
  <c r="N48" i="99"/>
  <c r="L48" i="99"/>
  <c r="N47" i="99"/>
  <c r="L47" i="99"/>
  <c r="N46" i="99"/>
  <c r="L46" i="99"/>
  <c r="N45" i="99"/>
  <c r="L45" i="99"/>
  <c r="N44" i="99"/>
  <c r="L44" i="99"/>
  <c r="N43" i="99"/>
  <c r="L43" i="99"/>
  <c r="N42" i="99"/>
  <c r="L42" i="99"/>
  <c r="N41" i="99"/>
  <c r="L41" i="99"/>
  <c r="N40" i="99"/>
  <c r="L40" i="99"/>
  <c r="N39" i="99"/>
  <c r="L39" i="99"/>
  <c r="N38" i="99"/>
  <c r="L38" i="99"/>
  <c r="N37" i="99"/>
  <c r="L37" i="99"/>
  <c r="N36" i="99"/>
  <c r="L36" i="99"/>
  <c r="N35" i="99"/>
  <c r="L35" i="99"/>
  <c r="N34" i="99"/>
  <c r="L34" i="99"/>
  <c r="N33" i="99"/>
  <c r="L33" i="99"/>
  <c r="N32" i="99"/>
  <c r="L32" i="99"/>
  <c r="N31" i="99"/>
  <c r="L31" i="99"/>
  <c r="N30" i="99"/>
  <c r="L30" i="99"/>
  <c r="N29" i="99"/>
  <c r="L29" i="99"/>
  <c r="N28" i="99"/>
  <c r="L28" i="99"/>
  <c r="N27" i="99"/>
  <c r="L27" i="99"/>
  <c r="N26" i="99"/>
  <c r="L26" i="99"/>
  <c r="N25" i="99"/>
  <c r="L25" i="99"/>
  <c r="N24" i="99"/>
  <c r="L24" i="99"/>
  <c r="N23" i="99"/>
  <c r="L23" i="99"/>
  <c r="N22" i="99"/>
  <c r="L22" i="99"/>
  <c r="N20" i="99"/>
  <c r="N19" i="99"/>
  <c r="N18" i="99"/>
  <c r="N17" i="99"/>
  <c r="C17" i="99"/>
  <c r="C18" i="99" s="1"/>
  <c r="C19" i="99" s="1"/>
  <c r="C20" i="99" s="1"/>
  <c r="C21" i="99" s="1"/>
  <c r="C22" i="99" s="1"/>
  <c r="C23" i="99" s="1"/>
  <c r="C24" i="99" s="1"/>
  <c r="C25" i="99" s="1"/>
  <c r="C26" i="99" s="1"/>
  <c r="C27" i="99" s="1"/>
  <c r="C28" i="99" s="1"/>
  <c r="C29" i="99" s="1"/>
  <c r="C30" i="99" s="1"/>
  <c r="C31" i="99" s="1"/>
  <c r="C32" i="99" s="1"/>
  <c r="C33" i="99" s="1"/>
  <c r="C34" i="99" s="1"/>
  <c r="C35" i="99" s="1"/>
  <c r="C36" i="99" s="1"/>
  <c r="C37" i="99" s="1"/>
  <c r="C38" i="99" s="1"/>
  <c r="C39" i="99" s="1"/>
  <c r="C40" i="99" s="1"/>
  <c r="C41" i="99" s="1"/>
  <c r="C42" i="99" s="1"/>
  <c r="C43" i="99" s="1"/>
  <c r="C44" i="99" s="1"/>
  <c r="K11" i="99"/>
  <c r="I11" i="99"/>
  <c r="D8" i="99"/>
  <c r="D90" i="99" s="1"/>
  <c r="D93" i="74"/>
  <c r="O23" i="99" l="1"/>
  <c r="O22" i="99"/>
  <c r="O26" i="99"/>
  <c r="O28" i="99"/>
  <c r="O30" i="99"/>
  <c r="O53" i="99"/>
  <c r="O55" i="99"/>
  <c r="O57" i="99"/>
  <c r="O61" i="99"/>
  <c r="O65" i="99"/>
  <c r="O69" i="99"/>
  <c r="O71" i="99"/>
  <c r="O34" i="99"/>
  <c r="O38" i="99"/>
  <c r="O44" i="99"/>
  <c r="O46" i="99"/>
  <c r="O19" i="99"/>
  <c r="O31" i="99"/>
  <c r="O43" i="99"/>
  <c r="O49" i="99"/>
  <c r="O32" i="99"/>
  <c r="O48" i="99"/>
  <c r="P106" i="99"/>
  <c r="P108" i="99"/>
  <c r="P112" i="99"/>
  <c r="P116" i="99"/>
  <c r="P104" i="99"/>
  <c r="P99" i="99"/>
  <c r="P113" i="99"/>
  <c r="P115" i="99"/>
  <c r="P100" i="99"/>
  <c r="O27" i="99"/>
  <c r="O58" i="99"/>
  <c r="O62" i="99"/>
  <c r="O18" i="99"/>
  <c r="O20" i="99"/>
  <c r="O37" i="99"/>
  <c r="O41" i="99"/>
  <c r="O45" i="99"/>
  <c r="O51" i="99"/>
  <c r="O25" i="99"/>
  <c r="O60" i="99"/>
  <c r="O64" i="99"/>
  <c r="O42" i="99"/>
  <c r="P103" i="99"/>
  <c r="P110" i="99"/>
  <c r="P117" i="99"/>
  <c r="P121" i="99"/>
  <c r="P123" i="99"/>
  <c r="P125" i="99"/>
  <c r="P127" i="99"/>
  <c r="P129" i="99"/>
  <c r="P105" i="99"/>
  <c r="P107" i="99"/>
  <c r="P114" i="99"/>
  <c r="P102" i="99"/>
  <c r="P109" i="99"/>
  <c r="P111" i="99"/>
  <c r="P118" i="99"/>
  <c r="P122" i="99"/>
  <c r="P124" i="99"/>
  <c r="P126" i="99"/>
  <c r="P128" i="99"/>
  <c r="P130" i="99"/>
  <c r="O24" i="99"/>
  <c r="O29" i="99"/>
  <c r="O36" i="99"/>
  <c r="O50" i="99"/>
  <c r="O52" i="99"/>
  <c r="O68" i="99"/>
  <c r="O33" i="99"/>
  <c r="O35" i="99"/>
  <c r="O40" i="99"/>
  <c r="O54" i="99"/>
  <c r="O56" i="99"/>
  <c r="O70" i="99"/>
  <c r="O72" i="99"/>
  <c r="O66" i="99"/>
  <c r="O39" i="99"/>
  <c r="O67" i="99"/>
  <c r="C45" i="99"/>
  <c r="C46" i="99" s="1"/>
  <c r="C47" i="99" s="1"/>
  <c r="C48" i="99" s="1"/>
  <c r="C49" i="99" s="1"/>
  <c r="C50" i="99" s="1"/>
  <c r="C51" i="99" s="1"/>
  <c r="C52" i="99" s="1"/>
  <c r="C53" i="99" s="1"/>
  <c r="C54" i="99" s="1"/>
  <c r="C55" i="99" s="1"/>
  <c r="C56" i="99" s="1"/>
  <c r="C57" i="99" s="1"/>
  <c r="C58" i="99" s="1"/>
  <c r="C59" i="99" s="1"/>
  <c r="C60" i="99" s="1"/>
  <c r="C61" i="99" s="1"/>
  <c r="C62" i="99" s="1"/>
  <c r="C63" i="99" s="1"/>
  <c r="C64" i="99" s="1"/>
  <c r="C65" i="99" s="1"/>
  <c r="C66" i="99" s="1"/>
  <c r="C67" i="99" s="1"/>
  <c r="C68" i="99" s="1"/>
  <c r="C69" i="99" s="1"/>
  <c r="C70" i="99" s="1"/>
  <c r="C71" i="99" s="1"/>
  <c r="C72" i="99" s="1"/>
  <c r="O17" i="99"/>
  <c r="O47" i="99"/>
  <c r="O59" i="99"/>
  <c r="B18" i="99"/>
  <c r="O63" i="99"/>
  <c r="C99" i="99"/>
  <c r="P119" i="99"/>
  <c r="P120" i="99"/>
  <c r="M18" i="96"/>
  <c r="K18" i="96"/>
  <c r="L18" i="96" s="1"/>
  <c r="M18" i="95"/>
  <c r="K18" i="95"/>
  <c r="L18" i="95" s="1"/>
  <c r="M18" i="94"/>
  <c r="K18" i="94"/>
  <c r="L18" i="94" s="1"/>
  <c r="M18" i="93"/>
  <c r="K18" i="93"/>
  <c r="L18" i="93" s="1"/>
  <c r="M19" i="92"/>
  <c r="K19" i="92"/>
  <c r="L19" i="92" s="1"/>
  <c r="M19" i="91"/>
  <c r="K19" i="91"/>
  <c r="L19" i="91" s="1"/>
  <c r="M19" i="90"/>
  <c r="K19" i="90"/>
  <c r="L19" i="90" s="1"/>
  <c r="M19" i="89"/>
  <c r="K19" i="89"/>
  <c r="L19" i="89" s="1"/>
  <c r="M19" i="88"/>
  <c r="K19" i="88"/>
  <c r="L19" i="88" s="1"/>
  <c r="M19" i="87"/>
  <c r="K19" i="87"/>
  <c r="L19" i="87" s="1"/>
  <c r="M19" i="86"/>
  <c r="K19" i="86"/>
  <c r="L19" i="86" s="1"/>
  <c r="M20" i="85"/>
  <c r="K20" i="85"/>
  <c r="L20" i="85" s="1"/>
  <c r="M20" i="84"/>
  <c r="K20" i="84"/>
  <c r="L20" i="84" s="1"/>
  <c r="M20" i="83"/>
  <c r="K20" i="83"/>
  <c r="L20" i="83" s="1"/>
  <c r="M20" i="82"/>
  <c r="K20" i="82"/>
  <c r="L20" i="82" s="1"/>
  <c r="M20" i="81"/>
  <c r="K20" i="81"/>
  <c r="L20" i="81" s="1"/>
  <c r="M20" i="80"/>
  <c r="K20" i="80"/>
  <c r="L20" i="80" s="1"/>
  <c r="M21" i="79"/>
  <c r="K21" i="79"/>
  <c r="L21" i="79" s="1"/>
  <c r="M21" i="78"/>
  <c r="K21" i="78"/>
  <c r="L21" i="78" s="1"/>
  <c r="M21" i="77"/>
  <c r="K21" i="77"/>
  <c r="L21" i="77" s="1"/>
  <c r="M21" i="76"/>
  <c r="K21" i="76"/>
  <c r="L21" i="76" s="1"/>
  <c r="M21" i="75"/>
  <c r="K21" i="75"/>
  <c r="L21" i="75" s="1"/>
  <c r="M25" i="74"/>
  <c r="K25" i="74"/>
  <c r="L25" i="74" s="1"/>
  <c r="M26" i="73"/>
  <c r="K26" i="73"/>
  <c r="L26" i="73" s="1"/>
  <c r="M24" i="72"/>
  <c r="K24" i="72"/>
  <c r="L24" i="72" s="1"/>
  <c r="M28" i="71"/>
  <c r="K28" i="71"/>
  <c r="L28" i="71" s="1"/>
  <c r="M29" i="70"/>
  <c r="K29" i="70"/>
  <c r="L29" i="70" s="1"/>
  <c r="M29" i="69"/>
  <c r="K29" i="69"/>
  <c r="L29" i="69" s="1"/>
  <c r="M22" i="68"/>
  <c r="K22" i="68"/>
  <c r="L22" i="68" s="1"/>
  <c r="M22" i="67"/>
  <c r="K22" i="67"/>
  <c r="L22" i="67" s="1"/>
  <c r="M22" i="66"/>
  <c r="K22" i="66"/>
  <c r="L22" i="66" s="1"/>
  <c r="M22" i="65"/>
  <c r="K22" i="65"/>
  <c r="L22" i="65" s="1"/>
  <c r="M23" i="64"/>
  <c r="K23" i="64"/>
  <c r="L23" i="64" s="1"/>
  <c r="M23" i="60"/>
  <c r="K23" i="60"/>
  <c r="L23" i="60" s="1"/>
  <c r="M23" i="62"/>
  <c r="K23" i="62"/>
  <c r="L23" i="62" s="1"/>
  <c r="M23" i="63"/>
  <c r="K23" i="63"/>
  <c r="L23" i="63" s="1"/>
  <c r="M23" i="61"/>
  <c r="K23" i="61"/>
  <c r="L23" i="61" s="1"/>
  <c r="M23" i="59"/>
  <c r="K23" i="59"/>
  <c r="L23" i="59" s="1"/>
  <c r="M24" i="58"/>
  <c r="K24" i="58"/>
  <c r="L24" i="58" s="1"/>
  <c r="M24" i="57"/>
  <c r="K24" i="57"/>
  <c r="L24" i="57" s="1"/>
  <c r="M24" i="56"/>
  <c r="K24" i="56"/>
  <c r="L24" i="56" s="1"/>
  <c r="M24" i="55"/>
  <c r="K24" i="55"/>
  <c r="L24" i="55" s="1"/>
  <c r="M24" i="54"/>
  <c r="K24" i="54"/>
  <c r="L24" i="54" s="1"/>
  <c r="M24" i="53"/>
  <c r="K24" i="53"/>
  <c r="L24" i="53" s="1"/>
  <c r="M24" i="46"/>
  <c r="K24" i="46"/>
  <c r="L24" i="46" s="1"/>
  <c r="M25" i="45"/>
  <c r="K25" i="45"/>
  <c r="L25" i="45" s="1"/>
  <c r="M26" i="44"/>
  <c r="K26" i="44"/>
  <c r="L26" i="44" s="1"/>
  <c r="M26" i="43"/>
  <c r="K26" i="43"/>
  <c r="L26" i="43" s="1"/>
  <c r="M26" i="42"/>
  <c r="K26" i="42"/>
  <c r="L26" i="42" s="1"/>
  <c r="L1048576" i="42"/>
  <c r="M1048576" i="42"/>
  <c r="M26" i="41"/>
  <c r="K26" i="41"/>
  <c r="L26" i="41" s="1"/>
  <c r="M26" i="39"/>
  <c r="K26" i="39"/>
  <c r="L26" i="39" s="1"/>
  <c r="M28" i="34"/>
  <c r="K28" i="34"/>
  <c r="L28" i="34" s="1"/>
  <c r="M28" i="32"/>
  <c r="K28" i="32"/>
  <c r="L28" i="32" s="1"/>
  <c r="M28" i="31"/>
  <c r="K28" i="31"/>
  <c r="L28" i="31" s="1"/>
  <c r="M29" i="30"/>
  <c r="K29" i="30"/>
  <c r="L29" i="30" s="1"/>
  <c r="M29" i="29"/>
  <c r="N29" i="29" s="1"/>
  <c r="K29" i="29"/>
  <c r="L29" i="29" s="1"/>
  <c r="M30" i="28"/>
  <c r="K30" i="28"/>
  <c r="L30" i="28" s="1"/>
  <c r="M29" i="27"/>
  <c r="K29" i="27"/>
  <c r="L29" i="27" s="1"/>
  <c r="M28" i="24"/>
  <c r="K28" i="24"/>
  <c r="L28" i="24" s="1"/>
  <c r="M28" i="23"/>
  <c r="K28" i="23"/>
  <c r="L28" i="23" s="1"/>
  <c r="M27" i="22"/>
  <c r="K27" i="22"/>
  <c r="L27" i="22" s="1"/>
  <c r="M27" i="21"/>
  <c r="K27" i="21"/>
  <c r="L27" i="21" s="1"/>
  <c r="M27" i="20"/>
  <c r="K27" i="20"/>
  <c r="L27" i="20" s="1"/>
  <c r="M27" i="19"/>
  <c r="K27" i="19"/>
  <c r="L27" i="19" s="1"/>
  <c r="M27" i="18"/>
  <c r="K27" i="18"/>
  <c r="L27" i="18" s="1"/>
  <c r="M27" i="17"/>
  <c r="K27" i="17"/>
  <c r="L27" i="17" s="1"/>
  <c r="M27" i="3"/>
  <c r="K27" i="3"/>
  <c r="L27" i="3" s="1"/>
  <c r="M16" i="2"/>
  <c r="D94" i="97"/>
  <c r="D93" i="98"/>
  <c r="D93" i="97"/>
  <c r="N99" i="96"/>
  <c r="L99" i="96"/>
  <c r="M99" i="96" s="1"/>
  <c r="N99" i="95"/>
  <c r="L99" i="95"/>
  <c r="M99" i="95" s="1"/>
  <c r="N99" i="94"/>
  <c r="L99" i="94"/>
  <c r="M99" i="94" s="1"/>
  <c r="N99" i="93"/>
  <c r="L99" i="93"/>
  <c r="M99" i="93" s="1"/>
  <c r="N100" i="92"/>
  <c r="L100" i="92"/>
  <c r="M100" i="92" s="1"/>
  <c r="N100" i="91"/>
  <c r="L100" i="91"/>
  <c r="M100" i="91" s="1"/>
  <c r="N100" i="90"/>
  <c r="L100" i="90"/>
  <c r="M100" i="90" s="1"/>
  <c r="N100" i="89"/>
  <c r="L100" i="89"/>
  <c r="M100" i="89" s="1"/>
  <c r="N100" i="88"/>
  <c r="L100" i="88"/>
  <c r="M100" i="88" s="1"/>
  <c r="N100" i="87"/>
  <c r="L100" i="87"/>
  <c r="M100" i="87" s="1"/>
  <c r="N100" i="86"/>
  <c r="L100" i="86"/>
  <c r="M100" i="86" s="1"/>
  <c r="N101" i="85"/>
  <c r="L101" i="85"/>
  <c r="M101" i="85" s="1"/>
  <c r="N100" i="84"/>
  <c r="O100" i="84" s="1"/>
  <c r="L100" i="84"/>
  <c r="M100" i="84" s="1"/>
  <c r="N101" i="83"/>
  <c r="L101" i="83"/>
  <c r="M101" i="83" s="1"/>
  <c r="N101" i="82"/>
  <c r="O101" i="82" s="1"/>
  <c r="L101" i="82"/>
  <c r="M101" i="82" s="1"/>
  <c r="N101" i="81"/>
  <c r="O101" i="81" s="1"/>
  <c r="L101" i="81"/>
  <c r="M101" i="81" s="1"/>
  <c r="N101" i="80"/>
  <c r="O101" i="80" s="1"/>
  <c r="L101" i="80"/>
  <c r="M101" i="80" s="1"/>
  <c r="N102" i="79"/>
  <c r="O102" i="79" s="1"/>
  <c r="L102" i="79"/>
  <c r="M102" i="79" s="1"/>
  <c r="N102" i="78"/>
  <c r="O102" i="78" s="1"/>
  <c r="L102" i="78"/>
  <c r="M102" i="78" s="1"/>
  <c r="N102" i="77"/>
  <c r="O102" i="77" s="1"/>
  <c r="L102" i="77"/>
  <c r="M102" i="77" s="1"/>
  <c r="N102" i="76"/>
  <c r="O102" i="76" s="1"/>
  <c r="L102" i="76"/>
  <c r="M102" i="76" s="1"/>
  <c r="N102" i="75"/>
  <c r="O102" i="75" s="1"/>
  <c r="L102" i="75"/>
  <c r="M102" i="75" s="1"/>
  <c r="N106" i="74"/>
  <c r="O106" i="74" s="1"/>
  <c r="L106" i="74"/>
  <c r="M106" i="74" s="1"/>
  <c r="N107" i="73"/>
  <c r="O107" i="73" s="1"/>
  <c r="L107" i="73"/>
  <c r="M107" i="73" s="1"/>
  <c r="N105" i="72"/>
  <c r="O105" i="72" s="1"/>
  <c r="L105" i="72"/>
  <c r="M105" i="72" s="1"/>
  <c r="N109" i="71"/>
  <c r="O109" i="71" s="1"/>
  <c r="L109" i="71"/>
  <c r="M109" i="71" s="1"/>
  <c r="N110" i="70"/>
  <c r="O110" i="70" s="1"/>
  <c r="L110" i="70"/>
  <c r="M110" i="70" s="1"/>
  <c r="N110" i="69"/>
  <c r="O110" i="69" s="1"/>
  <c r="L110" i="69"/>
  <c r="M110" i="69" s="1"/>
  <c r="N103" i="68"/>
  <c r="O103" i="68" s="1"/>
  <c r="L103" i="68"/>
  <c r="M103" i="68" s="1"/>
  <c r="N103" i="67"/>
  <c r="L103" i="67"/>
  <c r="M103" i="67" s="1"/>
  <c r="N103" i="66"/>
  <c r="O103" i="66" s="1"/>
  <c r="L103" i="66"/>
  <c r="M103" i="66" s="1"/>
  <c r="N103" i="65"/>
  <c r="O103" i="65" s="1"/>
  <c r="L103" i="65"/>
  <c r="M103" i="65" s="1"/>
  <c r="N104" i="64"/>
  <c r="L104" i="64"/>
  <c r="M104" i="64" s="1"/>
  <c r="N104" i="60"/>
  <c r="L104" i="60"/>
  <c r="M104" i="60" s="1"/>
  <c r="N104" i="62"/>
  <c r="L104" i="62"/>
  <c r="M104" i="62" s="1"/>
  <c r="N104" i="63"/>
  <c r="L104" i="63"/>
  <c r="M104" i="63" s="1"/>
  <c r="N104" i="61"/>
  <c r="L104" i="61"/>
  <c r="M104" i="61" s="1"/>
  <c r="N104" i="59"/>
  <c r="L104" i="59"/>
  <c r="M104" i="59" s="1"/>
  <c r="N105" i="58"/>
  <c r="L105" i="58"/>
  <c r="M105" i="58" s="1"/>
  <c r="N105" i="57"/>
  <c r="L105" i="57"/>
  <c r="M105" i="57" s="1"/>
  <c r="N105" i="56"/>
  <c r="L105" i="56"/>
  <c r="M105" i="56" s="1"/>
  <c r="N105" i="55"/>
  <c r="L105" i="55"/>
  <c r="M105" i="55" s="1"/>
  <c r="N105" i="54"/>
  <c r="L105" i="54"/>
  <c r="M105" i="54" s="1"/>
  <c r="N105" i="53"/>
  <c r="L105" i="53"/>
  <c r="M105" i="53" s="1"/>
  <c r="N105" i="46"/>
  <c r="L105" i="46"/>
  <c r="M105" i="46" s="1"/>
  <c r="N106" i="45"/>
  <c r="L106" i="45"/>
  <c r="M106" i="45" s="1"/>
  <c r="N107" i="44"/>
  <c r="L107" i="44"/>
  <c r="M107" i="44" s="1"/>
  <c r="N107" i="43"/>
  <c r="L107" i="43"/>
  <c r="M107" i="43" s="1"/>
  <c r="N107" i="42"/>
  <c r="L107" i="42"/>
  <c r="M107" i="42" s="1"/>
  <c r="N1048576" i="42"/>
  <c r="N107" i="41"/>
  <c r="L107" i="41"/>
  <c r="M107" i="41" s="1"/>
  <c r="N107" i="39"/>
  <c r="L107" i="39"/>
  <c r="M107" i="39" s="1"/>
  <c r="N109" i="34"/>
  <c r="O109" i="34" s="1"/>
  <c r="L109" i="34"/>
  <c r="M109" i="34" s="1"/>
  <c r="N109" i="32"/>
  <c r="O109" i="32" s="1"/>
  <c r="L109" i="32"/>
  <c r="M109" i="32" s="1"/>
  <c r="N109" i="31"/>
  <c r="O109" i="31" s="1"/>
  <c r="L109" i="31"/>
  <c r="M109" i="31" s="1"/>
  <c r="N110" i="30"/>
  <c r="O110" i="30" s="1"/>
  <c r="L110" i="30"/>
  <c r="M110" i="30" s="1"/>
  <c r="N110" i="29"/>
  <c r="O110" i="29" s="1"/>
  <c r="L110" i="29"/>
  <c r="M110" i="29" s="1"/>
  <c r="N111" i="28"/>
  <c r="O111" i="28" s="1"/>
  <c r="L111" i="28"/>
  <c r="M111" i="28" s="1"/>
  <c r="N110" i="27"/>
  <c r="O110" i="27" s="1"/>
  <c r="L110" i="27"/>
  <c r="M110" i="27" s="1"/>
  <c r="N109" i="24"/>
  <c r="O109" i="24" s="1"/>
  <c r="L109" i="24"/>
  <c r="M109" i="24" s="1"/>
  <c r="N109" i="23"/>
  <c r="O109" i="23" s="1"/>
  <c r="L109" i="23"/>
  <c r="M109" i="23" s="1"/>
  <c r="N108" i="22"/>
  <c r="O108" i="22" s="1"/>
  <c r="L108" i="22"/>
  <c r="M108" i="22" s="1"/>
  <c r="N108" i="21"/>
  <c r="O108" i="21" s="1"/>
  <c r="L108" i="21"/>
  <c r="M108" i="21" s="1"/>
  <c r="N108" i="20"/>
  <c r="O108" i="20" s="1"/>
  <c r="L108" i="20"/>
  <c r="M108" i="20" s="1"/>
  <c r="N108" i="19"/>
  <c r="O108" i="19" s="1"/>
  <c r="L108" i="19"/>
  <c r="M108" i="19" s="1"/>
  <c r="N108" i="18"/>
  <c r="O108" i="18" s="1"/>
  <c r="L108" i="18"/>
  <c r="M108" i="18" s="1"/>
  <c r="N108" i="17"/>
  <c r="O108" i="17" s="1"/>
  <c r="L108" i="17"/>
  <c r="M108" i="17" s="1"/>
  <c r="N108" i="3"/>
  <c r="O108" i="3" s="1"/>
  <c r="L108" i="3"/>
  <c r="M108" i="3" s="1"/>
  <c r="P90" i="36"/>
  <c r="P89" i="36"/>
  <c r="J92" i="99" l="1"/>
  <c r="L86" i="99" s="1"/>
  <c r="J92" i="100"/>
  <c r="P109" i="24"/>
  <c r="P110" i="30"/>
  <c r="P102" i="75"/>
  <c r="P100" i="84"/>
  <c r="P109" i="23"/>
  <c r="P110" i="29"/>
  <c r="P109" i="34"/>
  <c r="P108" i="17"/>
  <c r="P108" i="22"/>
  <c r="P111" i="28"/>
  <c r="P109" i="32"/>
  <c r="P103" i="66"/>
  <c r="P110" i="69"/>
  <c r="P108" i="19"/>
  <c r="P110" i="27"/>
  <c r="P109" i="31"/>
  <c r="P103" i="65"/>
  <c r="P103" i="68"/>
  <c r="P109" i="71"/>
  <c r="P101" i="82"/>
  <c r="M87" i="99"/>
  <c r="N87" i="99"/>
  <c r="P108" i="18"/>
  <c r="C100" i="99"/>
  <c r="C101" i="99" s="1"/>
  <c r="C102" i="99" s="1"/>
  <c r="C103" i="99" s="1"/>
  <c r="C104" i="99" s="1"/>
  <c r="C105" i="99" s="1"/>
  <c r="C106" i="99" s="1"/>
  <c r="C107" i="99" s="1"/>
  <c r="C108" i="99" s="1"/>
  <c r="C109" i="99" s="1"/>
  <c r="C110" i="99" s="1"/>
  <c r="C111" i="99" s="1"/>
  <c r="C112" i="99" s="1"/>
  <c r="C113" i="99" s="1"/>
  <c r="C114" i="99" s="1"/>
  <c r="C115" i="99" s="1"/>
  <c r="C116" i="99" s="1"/>
  <c r="C117" i="99" s="1"/>
  <c r="C118" i="99" s="1"/>
  <c r="C119" i="99" s="1"/>
  <c r="C120" i="99" s="1"/>
  <c r="C121" i="99" s="1"/>
  <c r="C122" i="99" s="1"/>
  <c r="C123" i="99" s="1"/>
  <c r="C124" i="99" s="1"/>
  <c r="C125" i="99" s="1"/>
  <c r="C126" i="99" s="1"/>
  <c r="I17" i="97"/>
  <c r="L86" i="100" l="1"/>
  <c r="N87" i="100"/>
  <c r="M87" i="100"/>
  <c r="N88" i="100"/>
  <c r="O87" i="99"/>
  <c r="C127" i="99"/>
  <c r="C128" i="99" s="1"/>
  <c r="C129" i="99" s="1"/>
  <c r="C130" i="99" s="1"/>
  <c r="C131" i="99" s="1"/>
  <c r="C132" i="99" s="1"/>
  <c r="C133" i="99" s="1"/>
  <c r="C134" i="99" s="1"/>
  <c r="C135" i="99" s="1"/>
  <c r="C136" i="99" s="1"/>
  <c r="C137" i="99" s="1"/>
  <c r="C138" i="99" s="1"/>
  <c r="C139" i="99" s="1"/>
  <c r="C140" i="99" s="1"/>
  <c r="C141" i="99" s="1"/>
  <c r="C142" i="99" s="1"/>
  <c r="C143" i="99" s="1"/>
  <c r="C144" i="99" s="1"/>
  <c r="C145" i="99" s="1"/>
  <c r="C146" i="99" s="1"/>
  <c r="C147" i="99" s="1"/>
  <c r="C148" i="99" s="1"/>
  <c r="C149" i="99" s="1"/>
  <c r="C150" i="99" s="1"/>
  <c r="C151" i="99" s="1"/>
  <c r="C152" i="99" s="1"/>
  <c r="C153" i="99" s="1"/>
  <c r="C154" i="99" s="1"/>
  <c r="P154" i="98"/>
  <c r="O154" i="98"/>
  <c r="M154" i="98"/>
  <c r="J154" i="98"/>
  <c r="P153" i="98"/>
  <c r="O153" i="98"/>
  <c r="M153" i="98"/>
  <c r="J153" i="98"/>
  <c r="P152" i="98"/>
  <c r="O152" i="98"/>
  <c r="M152" i="98"/>
  <c r="J152" i="98"/>
  <c r="P151" i="98"/>
  <c r="O151" i="98"/>
  <c r="M151" i="98"/>
  <c r="J151" i="98"/>
  <c r="P150" i="98"/>
  <c r="O150" i="98"/>
  <c r="M150" i="98"/>
  <c r="J150" i="98"/>
  <c r="P149" i="98"/>
  <c r="O149" i="98"/>
  <c r="M149" i="98"/>
  <c r="J149" i="98"/>
  <c r="P148" i="98"/>
  <c r="O148" i="98"/>
  <c r="M148" i="98"/>
  <c r="J148" i="98"/>
  <c r="P147" i="98"/>
  <c r="O147" i="98"/>
  <c r="M147" i="98"/>
  <c r="J147" i="98"/>
  <c r="P146" i="98"/>
  <c r="O146" i="98"/>
  <c r="M146" i="98"/>
  <c r="J146" i="98"/>
  <c r="P145" i="98"/>
  <c r="O145" i="98"/>
  <c r="M145" i="98"/>
  <c r="J145" i="98"/>
  <c r="P144" i="98"/>
  <c r="O144" i="98"/>
  <c r="M144" i="98"/>
  <c r="J144" i="98"/>
  <c r="P143" i="98"/>
  <c r="O143" i="98"/>
  <c r="M143" i="98"/>
  <c r="J143" i="98"/>
  <c r="P142" i="98"/>
  <c r="O142" i="98"/>
  <c r="M142" i="98"/>
  <c r="J142" i="98"/>
  <c r="P141" i="98"/>
  <c r="O141" i="98"/>
  <c r="M141" i="98"/>
  <c r="J141" i="98"/>
  <c r="P140" i="98"/>
  <c r="O140" i="98"/>
  <c r="M140" i="98"/>
  <c r="J140" i="98"/>
  <c r="P139" i="98"/>
  <c r="O139" i="98"/>
  <c r="M139" i="98"/>
  <c r="J139" i="98"/>
  <c r="P138" i="98"/>
  <c r="O138" i="98"/>
  <c r="M138" i="98"/>
  <c r="J138" i="98"/>
  <c r="P137" i="98"/>
  <c r="O137" i="98"/>
  <c r="M137" i="98"/>
  <c r="J137" i="98"/>
  <c r="P136" i="98"/>
  <c r="O136" i="98"/>
  <c r="M136" i="98"/>
  <c r="J136" i="98"/>
  <c r="P135" i="98"/>
  <c r="O135" i="98"/>
  <c r="M135" i="98"/>
  <c r="J135" i="98"/>
  <c r="P134" i="98"/>
  <c r="O134" i="98"/>
  <c r="M134" i="98"/>
  <c r="J134" i="98"/>
  <c r="P133" i="98"/>
  <c r="O133" i="98"/>
  <c r="M133" i="98"/>
  <c r="J133" i="98"/>
  <c r="P132" i="98"/>
  <c r="O132" i="98"/>
  <c r="M132" i="98"/>
  <c r="J132" i="98"/>
  <c r="P131" i="98"/>
  <c r="O131" i="98"/>
  <c r="M131" i="98"/>
  <c r="J131" i="98"/>
  <c r="O130" i="98"/>
  <c r="M130" i="98"/>
  <c r="O129" i="98"/>
  <c r="M129" i="98"/>
  <c r="O128" i="98"/>
  <c r="M128" i="98"/>
  <c r="O127" i="98"/>
  <c r="M127" i="98"/>
  <c r="O126" i="98"/>
  <c r="M126" i="98"/>
  <c r="O125" i="98"/>
  <c r="M125" i="98"/>
  <c r="O124" i="98"/>
  <c r="M124" i="98"/>
  <c r="O123" i="98"/>
  <c r="M123" i="98"/>
  <c r="O122" i="98"/>
  <c r="M122" i="98"/>
  <c r="O121" i="98"/>
  <c r="M121" i="98"/>
  <c r="O120" i="98"/>
  <c r="M120" i="98"/>
  <c r="O119" i="98"/>
  <c r="M119" i="98"/>
  <c r="O118" i="98"/>
  <c r="M118" i="98"/>
  <c r="O117" i="98"/>
  <c r="M117" i="98"/>
  <c r="O116" i="98"/>
  <c r="M116" i="98"/>
  <c r="O115" i="98"/>
  <c r="M115" i="98"/>
  <c r="O114" i="98"/>
  <c r="M114" i="98"/>
  <c r="O113" i="98"/>
  <c r="M113" i="98"/>
  <c r="O112" i="98"/>
  <c r="M112" i="98"/>
  <c r="O111" i="98"/>
  <c r="M111" i="98"/>
  <c r="O110" i="98"/>
  <c r="M110" i="98"/>
  <c r="O109" i="98"/>
  <c r="M109" i="98"/>
  <c r="O108" i="98"/>
  <c r="M108" i="98"/>
  <c r="O107" i="98"/>
  <c r="M107" i="98"/>
  <c r="O106" i="98"/>
  <c r="M106" i="98"/>
  <c r="O105" i="98"/>
  <c r="M105" i="98"/>
  <c r="O104" i="98"/>
  <c r="M104" i="98"/>
  <c r="O103" i="98"/>
  <c r="M103" i="98"/>
  <c r="O102" i="98"/>
  <c r="M102" i="98"/>
  <c r="O100" i="98"/>
  <c r="O99" i="98"/>
  <c r="C99" i="98"/>
  <c r="C100" i="98" s="1"/>
  <c r="C101" i="98" s="1"/>
  <c r="C102" i="98" s="1"/>
  <c r="C103" i="98" s="1"/>
  <c r="C104" i="98" s="1"/>
  <c r="C105" i="98" s="1"/>
  <c r="C106" i="98" s="1"/>
  <c r="C107" i="98" s="1"/>
  <c r="C108" i="98" s="1"/>
  <c r="C109" i="98" s="1"/>
  <c r="C110" i="98" s="1"/>
  <c r="C111" i="98" s="1"/>
  <c r="C112" i="98" s="1"/>
  <c r="C113" i="98" s="1"/>
  <c r="C114" i="98" s="1"/>
  <c r="C115" i="98" s="1"/>
  <c r="C116" i="98" s="1"/>
  <c r="C117" i="98" s="1"/>
  <c r="C118" i="98" s="1"/>
  <c r="C119" i="98" s="1"/>
  <c r="C120" i="98" s="1"/>
  <c r="C121" i="98" s="1"/>
  <c r="C122" i="98" s="1"/>
  <c r="C123" i="98" s="1"/>
  <c r="C124" i="98" s="1"/>
  <c r="C125" i="98" s="1"/>
  <c r="C126" i="98" s="1"/>
  <c r="D96" i="98"/>
  <c r="L93" i="98"/>
  <c r="J93" i="98"/>
  <c r="J92" i="98"/>
  <c r="L86" i="98" s="1"/>
  <c r="D91" i="98"/>
  <c r="D89" i="98"/>
  <c r="N72" i="98"/>
  <c r="L72" i="98"/>
  <c r="N71" i="98"/>
  <c r="L71" i="98"/>
  <c r="N70" i="98"/>
  <c r="L70" i="98"/>
  <c r="N69" i="98"/>
  <c r="L69" i="98"/>
  <c r="N68" i="98"/>
  <c r="L68" i="98"/>
  <c r="N67" i="98"/>
  <c r="L67" i="98"/>
  <c r="N66" i="98"/>
  <c r="L66" i="98"/>
  <c r="N65" i="98"/>
  <c r="L65" i="98"/>
  <c r="N64" i="98"/>
  <c r="L64" i="98"/>
  <c r="N63" i="98"/>
  <c r="L63" i="98"/>
  <c r="N62" i="98"/>
  <c r="L62" i="98"/>
  <c r="N61" i="98"/>
  <c r="L61" i="98"/>
  <c r="N60" i="98"/>
  <c r="L60" i="98"/>
  <c r="N59" i="98"/>
  <c r="L59" i="98"/>
  <c r="N58" i="98"/>
  <c r="L58" i="98"/>
  <c r="N57" i="98"/>
  <c r="L57" i="98"/>
  <c r="N56" i="98"/>
  <c r="L56" i="98"/>
  <c r="N55" i="98"/>
  <c r="L55" i="98"/>
  <c r="N54" i="98"/>
  <c r="L54" i="98"/>
  <c r="N53" i="98"/>
  <c r="L53" i="98"/>
  <c r="N52" i="98"/>
  <c r="L52" i="98"/>
  <c r="N51" i="98"/>
  <c r="L51" i="98"/>
  <c r="N50" i="98"/>
  <c r="L50" i="98"/>
  <c r="N49" i="98"/>
  <c r="L49" i="98"/>
  <c r="N48" i="98"/>
  <c r="L48" i="98"/>
  <c r="N47" i="98"/>
  <c r="L47" i="98"/>
  <c r="N46" i="98"/>
  <c r="L46" i="98"/>
  <c r="N45" i="98"/>
  <c r="L45" i="98"/>
  <c r="N44" i="98"/>
  <c r="L44" i="98"/>
  <c r="N43" i="98"/>
  <c r="L43" i="98"/>
  <c r="N42" i="98"/>
  <c r="L42" i="98"/>
  <c r="N41" i="98"/>
  <c r="L41" i="98"/>
  <c r="N40" i="98"/>
  <c r="L40" i="98"/>
  <c r="N39" i="98"/>
  <c r="L39" i="98"/>
  <c r="N38" i="98"/>
  <c r="L38" i="98"/>
  <c r="N37" i="98"/>
  <c r="L37" i="98"/>
  <c r="N36" i="98"/>
  <c r="L36" i="98"/>
  <c r="N35" i="98"/>
  <c r="L35" i="98"/>
  <c r="N34" i="98"/>
  <c r="L34" i="98"/>
  <c r="N33" i="98"/>
  <c r="L33" i="98"/>
  <c r="N32" i="98"/>
  <c r="L32" i="98"/>
  <c r="N31" i="98"/>
  <c r="L31" i="98"/>
  <c r="N30" i="98"/>
  <c r="L30" i="98"/>
  <c r="N29" i="98"/>
  <c r="L29" i="98"/>
  <c r="N28" i="98"/>
  <c r="L28" i="98"/>
  <c r="N27" i="98"/>
  <c r="L27" i="98"/>
  <c r="N26" i="98"/>
  <c r="L26" i="98"/>
  <c r="N25" i="98"/>
  <c r="L25" i="98"/>
  <c r="N24" i="98"/>
  <c r="L24" i="98"/>
  <c r="N23" i="98"/>
  <c r="L23" i="98"/>
  <c r="N22" i="98"/>
  <c r="L22" i="98"/>
  <c r="N20" i="98"/>
  <c r="N19" i="98"/>
  <c r="M17" i="98"/>
  <c r="N17" i="98" s="1"/>
  <c r="K17" i="98"/>
  <c r="L17" i="98" s="1"/>
  <c r="I17" i="98"/>
  <c r="C17" i="98"/>
  <c r="C18" i="98" s="1"/>
  <c r="C19" i="98" s="1"/>
  <c r="C20" i="98" s="1"/>
  <c r="C21" i="98" s="1"/>
  <c r="C22" i="98" s="1"/>
  <c r="C23" i="98" s="1"/>
  <c r="C24" i="98" s="1"/>
  <c r="C25" i="98" s="1"/>
  <c r="C26" i="98" s="1"/>
  <c r="C27" i="98" s="1"/>
  <c r="C28" i="98" s="1"/>
  <c r="C29" i="98" s="1"/>
  <c r="C30" i="98" s="1"/>
  <c r="C31" i="98" s="1"/>
  <c r="C32" i="98" s="1"/>
  <c r="C33" i="98" s="1"/>
  <c r="C34" i="98" s="1"/>
  <c r="C35" i="98" s="1"/>
  <c r="C36" i="98" s="1"/>
  <c r="C37" i="98" s="1"/>
  <c r="C38" i="98" s="1"/>
  <c r="C39" i="98" s="1"/>
  <c r="C40" i="98" s="1"/>
  <c r="C41" i="98" s="1"/>
  <c r="C42" i="98" s="1"/>
  <c r="C43" i="98" s="1"/>
  <c r="C44" i="98" s="1"/>
  <c r="K11" i="98"/>
  <c r="I11" i="98"/>
  <c r="D8" i="98"/>
  <c r="D90" i="98" s="1"/>
  <c r="P1" i="98"/>
  <c r="P83" i="98" s="1"/>
  <c r="P154" i="97"/>
  <c r="O154" i="97"/>
  <c r="M154" i="97"/>
  <c r="J154" i="97"/>
  <c r="P153" i="97"/>
  <c r="O153" i="97"/>
  <c r="M153" i="97"/>
  <c r="J153" i="97"/>
  <c r="P152" i="97"/>
  <c r="O152" i="97"/>
  <c r="M152" i="97"/>
  <c r="J152" i="97"/>
  <c r="P151" i="97"/>
  <c r="O151" i="97"/>
  <c r="M151" i="97"/>
  <c r="J151" i="97"/>
  <c r="P150" i="97"/>
  <c r="O150" i="97"/>
  <c r="M150" i="97"/>
  <c r="J150" i="97"/>
  <c r="P149" i="97"/>
  <c r="O149" i="97"/>
  <c r="M149" i="97"/>
  <c r="J149" i="97"/>
  <c r="P148" i="97"/>
  <c r="O148" i="97"/>
  <c r="M148" i="97"/>
  <c r="J148" i="97"/>
  <c r="P147" i="97"/>
  <c r="O147" i="97"/>
  <c r="M147" i="97"/>
  <c r="J147" i="97"/>
  <c r="P146" i="97"/>
  <c r="O146" i="97"/>
  <c r="M146" i="97"/>
  <c r="J146" i="97"/>
  <c r="P145" i="97"/>
  <c r="O145" i="97"/>
  <c r="M145" i="97"/>
  <c r="J145" i="97"/>
  <c r="P144" i="97"/>
  <c r="O144" i="97"/>
  <c r="M144" i="97"/>
  <c r="J144" i="97"/>
  <c r="P143" i="97"/>
  <c r="O143" i="97"/>
  <c r="M143" i="97"/>
  <c r="J143" i="97"/>
  <c r="P142" i="97"/>
  <c r="O142" i="97"/>
  <c r="M142" i="97"/>
  <c r="J142" i="97"/>
  <c r="P141" i="97"/>
  <c r="O141" i="97"/>
  <c r="M141" i="97"/>
  <c r="J141" i="97"/>
  <c r="P140" i="97"/>
  <c r="O140" i="97"/>
  <c r="M140" i="97"/>
  <c r="J140" i="97"/>
  <c r="P139" i="97"/>
  <c r="O139" i="97"/>
  <c r="M139" i="97"/>
  <c r="J139" i="97"/>
  <c r="P138" i="97"/>
  <c r="O138" i="97"/>
  <c r="M138" i="97"/>
  <c r="J138" i="97"/>
  <c r="P137" i="97"/>
  <c r="O137" i="97"/>
  <c r="M137" i="97"/>
  <c r="J137" i="97"/>
  <c r="P136" i="97"/>
  <c r="O136" i="97"/>
  <c r="M136" i="97"/>
  <c r="J136" i="97"/>
  <c r="P135" i="97"/>
  <c r="O135" i="97"/>
  <c r="M135" i="97"/>
  <c r="J135" i="97"/>
  <c r="P134" i="97"/>
  <c r="O134" i="97"/>
  <c r="M134" i="97"/>
  <c r="J134" i="97"/>
  <c r="P133" i="97"/>
  <c r="O133" i="97"/>
  <c r="M133" i="97"/>
  <c r="J133" i="97"/>
  <c r="P132" i="97"/>
  <c r="O132" i="97"/>
  <c r="M132" i="97"/>
  <c r="J132" i="97"/>
  <c r="P131" i="97"/>
  <c r="O131" i="97"/>
  <c r="M131" i="97"/>
  <c r="J131" i="97"/>
  <c r="O130" i="97"/>
  <c r="M130" i="97"/>
  <c r="O129" i="97"/>
  <c r="M129" i="97"/>
  <c r="O128" i="97"/>
  <c r="M128" i="97"/>
  <c r="O127" i="97"/>
  <c r="M127" i="97"/>
  <c r="O126" i="97"/>
  <c r="M126" i="97"/>
  <c r="O125" i="97"/>
  <c r="M125" i="97"/>
  <c r="O124" i="97"/>
  <c r="M124" i="97"/>
  <c r="O123" i="97"/>
  <c r="M123" i="97"/>
  <c r="O122" i="97"/>
  <c r="M122" i="97"/>
  <c r="O121" i="97"/>
  <c r="M121" i="97"/>
  <c r="O120" i="97"/>
  <c r="M120" i="97"/>
  <c r="O119" i="97"/>
  <c r="M119" i="97"/>
  <c r="O118" i="97"/>
  <c r="M118" i="97"/>
  <c r="O117" i="97"/>
  <c r="M117" i="97"/>
  <c r="O116" i="97"/>
  <c r="M116" i="97"/>
  <c r="O115" i="97"/>
  <c r="M115" i="97"/>
  <c r="O114" i="97"/>
  <c r="M114" i="97"/>
  <c r="O113" i="97"/>
  <c r="M113" i="97"/>
  <c r="O112" i="97"/>
  <c r="M112" i="97"/>
  <c r="O111" i="97"/>
  <c r="M111" i="97"/>
  <c r="O110" i="97"/>
  <c r="M110" i="97"/>
  <c r="O109" i="97"/>
  <c r="M109" i="97"/>
  <c r="O108" i="97"/>
  <c r="M108" i="97"/>
  <c r="O107" i="97"/>
  <c r="M107" i="97"/>
  <c r="O106" i="97"/>
  <c r="M106" i="97"/>
  <c r="O105" i="97"/>
  <c r="M105" i="97"/>
  <c r="O104" i="97"/>
  <c r="M104" i="97"/>
  <c r="O103" i="97"/>
  <c r="M103" i="97"/>
  <c r="O102" i="97"/>
  <c r="M102" i="97"/>
  <c r="O100" i="97"/>
  <c r="O99" i="97"/>
  <c r="C99" i="97"/>
  <c r="D96" i="97"/>
  <c r="L93" i="97"/>
  <c r="J93" i="97"/>
  <c r="J92" i="97"/>
  <c r="L86" i="97" s="1"/>
  <c r="D91" i="97"/>
  <c r="D89" i="97"/>
  <c r="N72" i="97"/>
  <c r="L72" i="97"/>
  <c r="N71" i="97"/>
  <c r="L71" i="97"/>
  <c r="N70" i="97"/>
  <c r="L70" i="97"/>
  <c r="N69" i="97"/>
  <c r="L69" i="97"/>
  <c r="N68" i="97"/>
  <c r="L68" i="97"/>
  <c r="N67" i="97"/>
  <c r="L67" i="97"/>
  <c r="N66" i="97"/>
  <c r="L66" i="97"/>
  <c r="N65" i="97"/>
  <c r="L65" i="97"/>
  <c r="N64" i="97"/>
  <c r="L64" i="97"/>
  <c r="N63" i="97"/>
  <c r="L63" i="97"/>
  <c r="N62" i="97"/>
  <c r="L62" i="97"/>
  <c r="N61" i="97"/>
  <c r="L61" i="97"/>
  <c r="N60" i="97"/>
  <c r="L60" i="97"/>
  <c r="N59" i="97"/>
  <c r="L59" i="97"/>
  <c r="N58" i="97"/>
  <c r="L58" i="97"/>
  <c r="N57" i="97"/>
  <c r="L57" i="97"/>
  <c r="N56" i="97"/>
  <c r="L56" i="97"/>
  <c r="N55" i="97"/>
  <c r="L55" i="97"/>
  <c r="N54" i="97"/>
  <c r="L54" i="97"/>
  <c r="N53" i="97"/>
  <c r="L53" i="97"/>
  <c r="N52" i="97"/>
  <c r="L52" i="97"/>
  <c r="N51" i="97"/>
  <c r="L51" i="97"/>
  <c r="N50" i="97"/>
  <c r="L50" i="97"/>
  <c r="N49" i="97"/>
  <c r="L49" i="97"/>
  <c r="N48" i="97"/>
  <c r="L48" i="97"/>
  <c r="N47" i="97"/>
  <c r="L47" i="97"/>
  <c r="N46" i="97"/>
  <c r="L46" i="97"/>
  <c r="N45" i="97"/>
  <c r="L45" i="97"/>
  <c r="N44" i="97"/>
  <c r="L44" i="97"/>
  <c r="N43" i="97"/>
  <c r="L43" i="97"/>
  <c r="N42" i="97"/>
  <c r="L42" i="97"/>
  <c r="N41" i="97"/>
  <c r="L41" i="97"/>
  <c r="N40" i="97"/>
  <c r="L40" i="97"/>
  <c r="N39" i="97"/>
  <c r="L39" i="97"/>
  <c r="N38" i="97"/>
  <c r="L38" i="97"/>
  <c r="N37" i="97"/>
  <c r="L37" i="97"/>
  <c r="N36" i="97"/>
  <c r="L36" i="97"/>
  <c r="N35" i="97"/>
  <c r="L35" i="97"/>
  <c r="N34" i="97"/>
  <c r="L34" i="97"/>
  <c r="N33" i="97"/>
  <c r="L33" i="97"/>
  <c r="N32" i="97"/>
  <c r="L32" i="97"/>
  <c r="N31" i="97"/>
  <c r="L31" i="97"/>
  <c r="N30" i="97"/>
  <c r="L30" i="97"/>
  <c r="N29" i="97"/>
  <c r="L29" i="97"/>
  <c r="N28" i="97"/>
  <c r="L28" i="97"/>
  <c r="N27" i="97"/>
  <c r="L27" i="97"/>
  <c r="N26" i="97"/>
  <c r="L26" i="97"/>
  <c r="N25" i="97"/>
  <c r="L25" i="97"/>
  <c r="N24" i="97"/>
  <c r="L24" i="97"/>
  <c r="N23" i="97"/>
  <c r="L23" i="97"/>
  <c r="N22" i="97"/>
  <c r="L22" i="97"/>
  <c r="N20" i="97"/>
  <c r="N19" i="97"/>
  <c r="M17" i="97"/>
  <c r="N17" i="97" s="1"/>
  <c r="K17" i="97"/>
  <c r="L17" i="97" s="1"/>
  <c r="C17" i="97"/>
  <c r="C18" i="97" s="1"/>
  <c r="C19" i="97" s="1"/>
  <c r="C20" i="97" s="1"/>
  <c r="C21" i="97" s="1"/>
  <c r="C22" i="97" s="1"/>
  <c r="C23" i="97" s="1"/>
  <c r="C24" i="97" s="1"/>
  <c r="C25" i="97" s="1"/>
  <c r="C26" i="97" s="1"/>
  <c r="C27" i="97" s="1"/>
  <c r="C28" i="97" s="1"/>
  <c r="C29" i="97" s="1"/>
  <c r="C30" i="97" s="1"/>
  <c r="C31" i="97" s="1"/>
  <c r="C32" i="97" s="1"/>
  <c r="C33" i="97" s="1"/>
  <c r="C34" i="97" s="1"/>
  <c r="C35" i="97" s="1"/>
  <c r="C36" i="97" s="1"/>
  <c r="C37" i="97" s="1"/>
  <c r="C38" i="97" s="1"/>
  <c r="C39" i="97" s="1"/>
  <c r="C40" i="97" s="1"/>
  <c r="C41" i="97" s="1"/>
  <c r="C42" i="97" s="1"/>
  <c r="C43" i="97" s="1"/>
  <c r="C44" i="97" s="1"/>
  <c r="K11" i="97"/>
  <c r="I11" i="97"/>
  <c r="D8" i="97"/>
  <c r="D90" i="97" s="1"/>
  <c r="P1" i="97"/>
  <c r="P83" i="97" s="1"/>
  <c r="N89" i="100" l="1"/>
  <c r="O87" i="100"/>
  <c r="O71" i="98"/>
  <c r="P105" i="98"/>
  <c r="B19" i="99"/>
  <c r="I18" i="99"/>
  <c r="O34" i="98"/>
  <c r="O52" i="98"/>
  <c r="O42" i="98"/>
  <c r="O23" i="98"/>
  <c r="O27" i="98"/>
  <c r="O58" i="98"/>
  <c r="O60" i="98"/>
  <c r="O68" i="98"/>
  <c r="O32" i="98"/>
  <c r="O39" i="98"/>
  <c r="O43" i="98"/>
  <c r="O45" i="98"/>
  <c r="O47" i="98"/>
  <c r="O23" i="97"/>
  <c r="O40" i="98"/>
  <c r="O51" i="98"/>
  <c r="O64" i="98"/>
  <c r="O20" i="98"/>
  <c r="O22" i="98"/>
  <c r="O35" i="98"/>
  <c r="O46" i="98"/>
  <c r="O53" i="98"/>
  <c r="O55" i="98"/>
  <c r="O59" i="98"/>
  <c r="O72" i="98"/>
  <c r="O19" i="98"/>
  <c r="O30" i="98"/>
  <c r="O36" i="98"/>
  <c r="O50" i="98"/>
  <c r="O56" i="98"/>
  <c r="O61" i="98"/>
  <c r="O63" i="98"/>
  <c r="O67" i="98"/>
  <c r="O24" i="98"/>
  <c r="O26" i="98"/>
  <c r="O28" i="98"/>
  <c r="O31" i="98"/>
  <c r="O48" i="98"/>
  <c r="O66" i="98"/>
  <c r="O69" i="98"/>
  <c r="O25" i="98"/>
  <c r="O44" i="98"/>
  <c r="O48" i="97"/>
  <c r="O50" i="97"/>
  <c r="O56" i="97"/>
  <c r="O60" i="97"/>
  <c r="O64" i="97"/>
  <c r="O68" i="97"/>
  <c r="O25" i="97"/>
  <c r="O27" i="97"/>
  <c r="O31" i="97"/>
  <c r="O35" i="97"/>
  <c r="O39" i="97"/>
  <c r="O19" i="97"/>
  <c r="O72" i="97"/>
  <c r="O41" i="97"/>
  <c r="O43" i="97"/>
  <c r="O47" i="97"/>
  <c r="O61" i="97"/>
  <c r="O63" i="97"/>
  <c r="O17" i="97"/>
  <c r="O32" i="97"/>
  <c r="O34" i="97"/>
  <c r="O58" i="97"/>
  <c r="O62" i="97"/>
  <c r="O66" i="97"/>
  <c r="O71" i="97"/>
  <c r="O20" i="97"/>
  <c r="O22" i="97"/>
  <c r="O29" i="97"/>
  <c r="O36" i="97"/>
  <c r="O38" i="97"/>
  <c r="O45" i="97"/>
  <c r="O65" i="97"/>
  <c r="O67" i="97"/>
  <c r="O24" i="97"/>
  <c r="O26" i="97"/>
  <c r="O40" i="97"/>
  <c r="O42" i="97"/>
  <c r="O49" i="97"/>
  <c r="O51" i="97"/>
  <c r="O53" i="97"/>
  <c r="O55" i="97"/>
  <c r="O69" i="97"/>
  <c r="O28" i="97"/>
  <c r="O30" i="97"/>
  <c r="O44" i="97"/>
  <c r="O46" i="97"/>
  <c r="O52" i="97"/>
  <c r="O54" i="97"/>
  <c r="O57" i="97"/>
  <c r="O59" i="97"/>
  <c r="O70" i="97"/>
  <c r="C100" i="97"/>
  <c r="C101" i="97" s="1"/>
  <c r="C102" i="97" s="1"/>
  <c r="C103" i="97" s="1"/>
  <c r="C104" i="97" s="1"/>
  <c r="C105" i="97" s="1"/>
  <c r="C106" i="97" s="1"/>
  <c r="C107" i="97" s="1"/>
  <c r="C108" i="97" s="1"/>
  <c r="C109" i="97" s="1"/>
  <c r="C110" i="97" s="1"/>
  <c r="C111" i="97" s="1"/>
  <c r="C112" i="97" s="1"/>
  <c r="C113" i="97" s="1"/>
  <c r="C114" i="97" s="1"/>
  <c r="C115" i="97" s="1"/>
  <c r="C116" i="97" s="1"/>
  <c r="C117" i="97" s="1"/>
  <c r="C118" i="97" s="1"/>
  <c r="C119" i="97" s="1"/>
  <c r="C120" i="97" s="1"/>
  <c r="C121" i="97" s="1"/>
  <c r="C122" i="97" s="1"/>
  <c r="C123" i="97" s="1"/>
  <c r="C124" i="97" s="1"/>
  <c r="C125" i="97" s="1"/>
  <c r="C126" i="97" s="1"/>
  <c r="P99" i="98"/>
  <c r="P103" i="97"/>
  <c r="P105" i="97"/>
  <c r="P107" i="97"/>
  <c r="P109" i="97"/>
  <c r="P111" i="97"/>
  <c r="P119" i="97"/>
  <c r="P123" i="97"/>
  <c r="P100" i="98"/>
  <c r="P102" i="98"/>
  <c r="P104" i="98"/>
  <c r="P106" i="98"/>
  <c r="P110" i="98"/>
  <c r="P114" i="98"/>
  <c r="P116" i="98"/>
  <c r="P118" i="98"/>
  <c r="P104" i="97"/>
  <c r="P106" i="97"/>
  <c r="P108" i="97"/>
  <c r="P110" i="97"/>
  <c r="P122" i="97"/>
  <c r="P107" i="98"/>
  <c r="P109" i="98"/>
  <c r="P111" i="98"/>
  <c r="P113" i="98"/>
  <c r="P115" i="98"/>
  <c r="P117" i="98"/>
  <c r="P122" i="98"/>
  <c r="P126" i="98"/>
  <c r="P130" i="98"/>
  <c r="P108" i="98"/>
  <c r="P112" i="98"/>
  <c r="P113" i="97"/>
  <c r="P115" i="97"/>
  <c r="P117" i="97"/>
  <c r="P126" i="97"/>
  <c r="P130" i="97"/>
  <c r="P99" i="97"/>
  <c r="P112" i="97"/>
  <c r="P114" i="97"/>
  <c r="P116" i="97"/>
  <c r="P118" i="97"/>
  <c r="P127" i="97"/>
  <c r="P127" i="98"/>
  <c r="P103" i="98"/>
  <c r="O17" i="98"/>
  <c r="C45" i="98"/>
  <c r="C46" i="98" s="1"/>
  <c r="C47" i="98" s="1"/>
  <c r="C48" i="98" s="1"/>
  <c r="C49" i="98" s="1"/>
  <c r="C50" i="98" s="1"/>
  <c r="C51" i="98" s="1"/>
  <c r="C52" i="98" s="1"/>
  <c r="C53" i="98" s="1"/>
  <c r="C54" i="98" s="1"/>
  <c r="C55" i="98" s="1"/>
  <c r="C56" i="98" s="1"/>
  <c r="C57" i="98" s="1"/>
  <c r="C58" i="98" s="1"/>
  <c r="C59" i="98" s="1"/>
  <c r="C60" i="98" s="1"/>
  <c r="C61" i="98" s="1"/>
  <c r="C62" i="98" s="1"/>
  <c r="C63" i="98" s="1"/>
  <c r="C64" i="98" s="1"/>
  <c r="C65" i="98" s="1"/>
  <c r="C66" i="98" s="1"/>
  <c r="C67" i="98" s="1"/>
  <c r="C68" i="98" s="1"/>
  <c r="C69" i="98" s="1"/>
  <c r="C70" i="98" s="1"/>
  <c r="C71" i="98" s="1"/>
  <c r="C72" i="98" s="1"/>
  <c r="O37" i="98"/>
  <c r="C127" i="98"/>
  <c r="C128" i="98" s="1"/>
  <c r="C129" i="98" s="1"/>
  <c r="C130" i="98" s="1"/>
  <c r="C131" i="98" s="1"/>
  <c r="C132" i="98" s="1"/>
  <c r="C133" i="98" s="1"/>
  <c r="C134" i="98" s="1"/>
  <c r="C135" i="98" s="1"/>
  <c r="C136" i="98" s="1"/>
  <c r="C137" i="98" s="1"/>
  <c r="C138" i="98" s="1"/>
  <c r="C139" i="98" s="1"/>
  <c r="C140" i="98" s="1"/>
  <c r="C141" i="98" s="1"/>
  <c r="C142" i="98" s="1"/>
  <c r="C143" i="98" s="1"/>
  <c r="C144" i="98" s="1"/>
  <c r="C145" i="98" s="1"/>
  <c r="C146" i="98" s="1"/>
  <c r="C147" i="98" s="1"/>
  <c r="C148" i="98" s="1"/>
  <c r="C149" i="98" s="1"/>
  <c r="C150" i="98" s="1"/>
  <c r="C151" i="98" s="1"/>
  <c r="C152" i="98" s="1"/>
  <c r="C153" i="98" s="1"/>
  <c r="C154" i="98" s="1"/>
  <c r="B18" i="98"/>
  <c r="O29" i="98"/>
  <c r="O38" i="98"/>
  <c r="O33" i="98"/>
  <c r="O49" i="98"/>
  <c r="O54" i="98"/>
  <c r="O57" i="98"/>
  <c r="O62" i="98"/>
  <c r="O65" i="98"/>
  <c r="O70" i="98"/>
  <c r="P119" i="98"/>
  <c r="O41" i="98"/>
  <c r="P123" i="98"/>
  <c r="P120" i="98"/>
  <c r="P124" i="98"/>
  <c r="P128" i="98"/>
  <c r="P121" i="98"/>
  <c r="P125" i="98"/>
  <c r="P129" i="98"/>
  <c r="M87" i="97"/>
  <c r="N87" i="97"/>
  <c r="C45" i="97"/>
  <c r="C46" i="97" s="1"/>
  <c r="C47" i="97" s="1"/>
  <c r="C48" i="97" s="1"/>
  <c r="C49" i="97" s="1"/>
  <c r="C50" i="97" s="1"/>
  <c r="C51" i="97" s="1"/>
  <c r="C52" i="97" s="1"/>
  <c r="C53" i="97" s="1"/>
  <c r="C54" i="97" s="1"/>
  <c r="C55" i="97" s="1"/>
  <c r="C56" i="97" s="1"/>
  <c r="C57" i="97" s="1"/>
  <c r="C58" i="97" s="1"/>
  <c r="C59" i="97" s="1"/>
  <c r="C60" i="97" s="1"/>
  <c r="C61" i="97" s="1"/>
  <c r="C62" i="97" s="1"/>
  <c r="C63" i="97" s="1"/>
  <c r="C64" i="97" s="1"/>
  <c r="C65" i="97" s="1"/>
  <c r="C66" i="97" s="1"/>
  <c r="C67" i="97" s="1"/>
  <c r="C68" i="97" s="1"/>
  <c r="C69" i="97" s="1"/>
  <c r="C70" i="97" s="1"/>
  <c r="C71" i="97" s="1"/>
  <c r="C72" i="97" s="1"/>
  <c r="O37" i="97"/>
  <c r="O33" i="97"/>
  <c r="C127" i="97"/>
  <c r="C128" i="97" s="1"/>
  <c r="C129" i="97" s="1"/>
  <c r="C130" i="97" s="1"/>
  <c r="C131" i="97" s="1"/>
  <c r="C132" i="97" s="1"/>
  <c r="C133" i="97" s="1"/>
  <c r="C134" i="97" s="1"/>
  <c r="C135" i="97" s="1"/>
  <c r="C136" i="97" s="1"/>
  <c r="C137" i="97" s="1"/>
  <c r="C138" i="97" s="1"/>
  <c r="C139" i="97" s="1"/>
  <c r="C140" i="97" s="1"/>
  <c r="C141" i="97" s="1"/>
  <c r="C142" i="97" s="1"/>
  <c r="C143" i="97" s="1"/>
  <c r="C144" i="97" s="1"/>
  <c r="C145" i="97" s="1"/>
  <c r="C146" i="97" s="1"/>
  <c r="C147" i="97" s="1"/>
  <c r="C148" i="97" s="1"/>
  <c r="C149" i="97" s="1"/>
  <c r="C150" i="97" s="1"/>
  <c r="C151" i="97" s="1"/>
  <c r="C152" i="97" s="1"/>
  <c r="C153" i="97" s="1"/>
  <c r="C154" i="97" s="1"/>
  <c r="B18" i="97"/>
  <c r="P102" i="97"/>
  <c r="P100" i="97"/>
  <c r="P120" i="97"/>
  <c r="P124" i="97"/>
  <c r="P128" i="97"/>
  <c r="P121" i="97"/>
  <c r="P125" i="97"/>
  <c r="P129" i="97"/>
  <c r="B19" i="98" l="1"/>
  <c r="K18" i="98"/>
  <c r="M18" i="98"/>
  <c r="N18" i="97"/>
  <c r="O18" i="97" s="1"/>
  <c r="O87" i="97"/>
  <c r="N18" i="98" l="1"/>
  <c r="N87" i="98"/>
  <c r="L18" i="98"/>
  <c r="O18" i="98" s="1"/>
  <c r="M87" i="98"/>
  <c r="I18" i="98"/>
  <c r="B19" i="97"/>
  <c r="I18" i="97"/>
  <c r="O87" i="98" l="1"/>
  <c r="E36" i="1"/>
  <c r="E35" i="1"/>
  <c r="C36" i="1"/>
  <c r="C35" i="1"/>
  <c r="I103" i="36"/>
  <c r="C36" i="2" l="1"/>
  <c r="C35" i="2"/>
  <c r="E36" i="2" l="1"/>
  <c r="E35" i="2"/>
  <c r="M17" i="96" l="1"/>
  <c r="N17" i="96" s="1"/>
  <c r="K17" i="96"/>
  <c r="M17" i="95"/>
  <c r="N17" i="95" s="1"/>
  <c r="K17" i="95"/>
  <c r="L17" i="95" s="1"/>
  <c r="M17" i="94"/>
  <c r="K17" i="94"/>
  <c r="L17" i="94" s="1"/>
  <c r="M17" i="93"/>
  <c r="K17" i="93"/>
  <c r="L17" i="93" s="1"/>
  <c r="N99" i="92"/>
  <c r="L99" i="92"/>
  <c r="M99" i="92"/>
  <c r="M18" i="92"/>
  <c r="N18" i="92" s="1"/>
  <c r="K18" i="92"/>
  <c r="L18" i="92" s="1"/>
  <c r="N99" i="91"/>
  <c r="L99" i="91"/>
  <c r="M18" i="91"/>
  <c r="K18" i="91"/>
  <c r="L18" i="91" s="1"/>
  <c r="N99" i="90"/>
  <c r="O99" i="90" s="1"/>
  <c r="L99" i="90"/>
  <c r="M18" i="90"/>
  <c r="K18" i="90"/>
  <c r="N99" i="89"/>
  <c r="L99" i="89"/>
  <c r="M18" i="89"/>
  <c r="K18" i="89"/>
  <c r="L18" i="89" s="1"/>
  <c r="N99" i="88"/>
  <c r="L99" i="88"/>
  <c r="M18" i="88"/>
  <c r="N18" i="88" s="1"/>
  <c r="K18" i="88"/>
  <c r="N99" i="87"/>
  <c r="L99" i="87"/>
  <c r="M18" i="87"/>
  <c r="N18" i="87" s="1"/>
  <c r="K18" i="87"/>
  <c r="N99" i="86"/>
  <c r="O99" i="86" s="1"/>
  <c r="L99" i="86"/>
  <c r="M18" i="86"/>
  <c r="K18" i="86"/>
  <c r="L18" i="86" s="1"/>
  <c r="N100" i="85"/>
  <c r="L100" i="85"/>
  <c r="M19" i="85"/>
  <c r="N19" i="85" s="1"/>
  <c r="K19" i="85"/>
  <c r="L19" i="85" s="1"/>
  <c r="N99" i="84"/>
  <c r="L99" i="84"/>
  <c r="M19" i="84"/>
  <c r="N19" i="84" s="1"/>
  <c r="K19" i="84"/>
  <c r="L19" i="84" s="1"/>
  <c r="N100" i="83"/>
  <c r="L100" i="83"/>
  <c r="M19" i="83"/>
  <c r="N19" i="83" s="1"/>
  <c r="K19" i="83"/>
  <c r="L19" i="83" s="1"/>
  <c r="N100" i="82"/>
  <c r="L100" i="82"/>
  <c r="M19" i="82"/>
  <c r="N19" i="82" s="1"/>
  <c r="K19" i="82"/>
  <c r="L19" i="82" s="1"/>
  <c r="N100" i="81"/>
  <c r="O100" i="81" s="1"/>
  <c r="L100" i="81"/>
  <c r="M100" i="81" s="1"/>
  <c r="M19" i="81"/>
  <c r="N19" i="81" s="1"/>
  <c r="K19" i="81"/>
  <c r="L19" i="81" s="1"/>
  <c r="N100" i="80"/>
  <c r="L100" i="80"/>
  <c r="M19" i="80"/>
  <c r="N19" i="80" s="1"/>
  <c r="K19" i="80"/>
  <c r="L19" i="80" s="1"/>
  <c r="N101" i="79"/>
  <c r="O101" i="79" s="1"/>
  <c r="L101" i="79"/>
  <c r="M101" i="79" s="1"/>
  <c r="M20" i="79"/>
  <c r="N20" i="79" s="1"/>
  <c r="K20" i="79"/>
  <c r="L20" i="79" s="1"/>
  <c r="N101" i="78"/>
  <c r="O101" i="78" s="1"/>
  <c r="L101" i="78"/>
  <c r="M101" i="78" s="1"/>
  <c r="M20" i="78"/>
  <c r="N20" i="78" s="1"/>
  <c r="K20" i="78"/>
  <c r="L20" i="78" s="1"/>
  <c r="N101" i="77"/>
  <c r="O101" i="77" s="1"/>
  <c r="P101" i="77" s="1"/>
  <c r="L101" i="77"/>
  <c r="M101" i="77" s="1"/>
  <c r="M20" i="77"/>
  <c r="N20" i="77" s="1"/>
  <c r="K20" i="77"/>
  <c r="L20" i="77" s="1"/>
  <c r="M20" i="76"/>
  <c r="N20" i="76" s="1"/>
  <c r="K20" i="76"/>
  <c r="L20" i="76" s="1"/>
  <c r="N101" i="76"/>
  <c r="O101" i="76" s="1"/>
  <c r="L101" i="76"/>
  <c r="M101" i="76" s="1"/>
  <c r="N101" i="75"/>
  <c r="O101" i="75" s="1"/>
  <c r="L101" i="75"/>
  <c r="M101" i="75" s="1"/>
  <c r="M20" i="75"/>
  <c r="N20" i="75" s="1"/>
  <c r="K20" i="75"/>
  <c r="L20" i="75" s="1"/>
  <c r="N105" i="74"/>
  <c r="O105" i="74" s="1"/>
  <c r="L105" i="74"/>
  <c r="M105" i="74" s="1"/>
  <c r="M24" i="74"/>
  <c r="N24" i="74" s="1"/>
  <c r="K24" i="74"/>
  <c r="L24" i="74" s="1"/>
  <c r="N106" i="73"/>
  <c r="O106" i="73"/>
  <c r="L106" i="73"/>
  <c r="M106" i="73" s="1"/>
  <c r="M25" i="73"/>
  <c r="N25" i="73" s="1"/>
  <c r="K25" i="73"/>
  <c r="L25" i="73" s="1"/>
  <c r="N104" i="72"/>
  <c r="O104" i="72" s="1"/>
  <c r="L104" i="72"/>
  <c r="M104" i="72" s="1"/>
  <c r="M23" i="72"/>
  <c r="N23" i="72" s="1"/>
  <c r="K23" i="72"/>
  <c r="L23" i="72" s="1"/>
  <c r="N108" i="71"/>
  <c r="O108" i="71" s="1"/>
  <c r="P108" i="71" s="1"/>
  <c r="L108" i="71"/>
  <c r="M108" i="71" s="1"/>
  <c r="M27" i="71"/>
  <c r="N27" i="71" s="1"/>
  <c r="K27" i="71"/>
  <c r="L27" i="71" s="1"/>
  <c r="N109" i="70"/>
  <c r="O109" i="70" s="1"/>
  <c r="L109" i="70"/>
  <c r="M109" i="70" s="1"/>
  <c r="M28" i="70"/>
  <c r="N28" i="70" s="1"/>
  <c r="O28" i="70" s="1"/>
  <c r="K28" i="70"/>
  <c r="L28" i="70" s="1"/>
  <c r="N109" i="69"/>
  <c r="O109" i="69" s="1"/>
  <c r="P109" i="69" s="1"/>
  <c r="L109" i="69"/>
  <c r="M109" i="69" s="1"/>
  <c r="M28" i="69"/>
  <c r="N28" i="69" s="1"/>
  <c r="K28" i="69"/>
  <c r="L28" i="69" s="1"/>
  <c r="N102" i="68"/>
  <c r="O102" i="68" s="1"/>
  <c r="L102" i="68"/>
  <c r="M102" i="68" s="1"/>
  <c r="M21" i="68"/>
  <c r="N21" i="68" s="1"/>
  <c r="K21" i="68"/>
  <c r="L21" i="68" s="1"/>
  <c r="N102" i="67"/>
  <c r="O102" i="67" s="1"/>
  <c r="P102" i="67" s="1"/>
  <c r="L102" i="67"/>
  <c r="M102" i="67" s="1"/>
  <c r="M21" i="67"/>
  <c r="N21" i="67" s="1"/>
  <c r="K21" i="67"/>
  <c r="L21" i="67" s="1"/>
  <c r="N102" i="66"/>
  <c r="O102" i="66" s="1"/>
  <c r="L102" i="66"/>
  <c r="M102" i="66" s="1"/>
  <c r="M21" i="66"/>
  <c r="N21" i="66" s="1"/>
  <c r="K21" i="66"/>
  <c r="L21" i="66" s="1"/>
  <c r="N102" i="65"/>
  <c r="O102" i="65" s="1"/>
  <c r="P102" i="65" s="1"/>
  <c r="L102" i="65"/>
  <c r="M102" i="65" s="1"/>
  <c r="M21" i="65"/>
  <c r="N21" i="65" s="1"/>
  <c r="K21" i="65"/>
  <c r="L21" i="65" s="1"/>
  <c r="N103" i="64"/>
  <c r="O103" i="64" s="1"/>
  <c r="P103" i="64" s="1"/>
  <c r="L103" i="64"/>
  <c r="M103" i="64" s="1"/>
  <c r="M22" i="64"/>
  <c r="N22" i="64" s="1"/>
  <c r="K22" i="64"/>
  <c r="L22" i="64" s="1"/>
  <c r="N103" i="60"/>
  <c r="O103" i="60" s="1"/>
  <c r="P103" i="60" s="1"/>
  <c r="L103" i="60"/>
  <c r="M103" i="60" s="1"/>
  <c r="M22" i="60"/>
  <c r="N22" i="60" s="1"/>
  <c r="K22" i="60"/>
  <c r="L22" i="60" s="1"/>
  <c r="N103" i="62"/>
  <c r="O103" i="62" s="1"/>
  <c r="P103" i="62" s="1"/>
  <c r="L103" i="62"/>
  <c r="M103" i="62" s="1"/>
  <c r="M22" i="62"/>
  <c r="N22" i="62" s="1"/>
  <c r="K22" i="62"/>
  <c r="L22" i="62" s="1"/>
  <c r="N103" i="63"/>
  <c r="O103" i="63" s="1"/>
  <c r="L103" i="63"/>
  <c r="M103" i="63" s="1"/>
  <c r="M22" i="63"/>
  <c r="N22" i="63" s="1"/>
  <c r="K22" i="63"/>
  <c r="L22" i="63" s="1"/>
  <c r="N103" i="61"/>
  <c r="O103" i="61" s="1"/>
  <c r="L103" i="61"/>
  <c r="M103" i="61" s="1"/>
  <c r="M22" i="61"/>
  <c r="N22" i="61" s="1"/>
  <c r="K22" i="61"/>
  <c r="L22" i="61" s="1"/>
  <c r="N103" i="59"/>
  <c r="O103" i="59" s="1"/>
  <c r="L103" i="59"/>
  <c r="M103" i="59" s="1"/>
  <c r="M22" i="59"/>
  <c r="N22" i="59" s="1"/>
  <c r="O22" i="59" s="1"/>
  <c r="K22" i="59"/>
  <c r="L22" i="59" s="1"/>
  <c r="N104" i="58"/>
  <c r="O104" i="58"/>
  <c r="L104" i="58"/>
  <c r="M104" i="58" s="1"/>
  <c r="M23" i="58"/>
  <c r="N23" i="58" s="1"/>
  <c r="K23" i="58"/>
  <c r="L23" i="58" s="1"/>
  <c r="N104" i="57"/>
  <c r="O104" i="57" s="1"/>
  <c r="L104" i="57"/>
  <c r="M104" i="57" s="1"/>
  <c r="P104" i="57" s="1"/>
  <c r="M23" i="57"/>
  <c r="N23" i="57" s="1"/>
  <c r="K23" i="57"/>
  <c r="L23" i="57" s="1"/>
  <c r="N104" i="56"/>
  <c r="O104" i="56" s="1"/>
  <c r="P104" i="56" s="1"/>
  <c r="L104" i="56"/>
  <c r="M104" i="56" s="1"/>
  <c r="M23" i="56"/>
  <c r="N23" i="56" s="1"/>
  <c r="K23" i="56"/>
  <c r="L23" i="56" s="1"/>
  <c r="N104" i="55"/>
  <c r="O104" i="55" s="1"/>
  <c r="L104" i="55"/>
  <c r="M104" i="55" s="1"/>
  <c r="M23" i="55"/>
  <c r="N23" i="55" s="1"/>
  <c r="K23" i="55"/>
  <c r="L23" i="55" s="1"/>
  <c r="N104" i="54"/>
  <c r="O104" i="54" s="1"/>
  <c r="L104" i="54"/>
  <c r="M104" i="54" s="1"/>
  <c r="M23" i="54"/>
  <c r="N23" i="54" s="1"/>
  <c r="K23" i="54"/>
  <c r="L23" i="54" s="1"/>
  <c r="N104" i="53"/>
  <c r="O104" i="53" s="1"/>
  <c r="L104" i="53"/>
  <c r="M104" i="53" s="1"/>
  <c r="P104" i="53" s="1"/>
  <c r="M23" i="53"/>
  <c r="N23" i="53" s="1"/>
  <c r="K23" i="53"/>
  <c r="L23" i="53" s="1"/>
  <c r="N104" i="46"/>
  <c r="O104" i="46" s="1"/>
  <c r="P104" i="46" s="1"/>
  <c r="L104" i="46"/>
  <c r="M104" i="46" s="1"/>
  <c r="M23" i="46"/>
  <c r="N23" i="46" s="1"/>
  <c r="K23" i="46"/>
  <c r="L23" i="46" s="1"/>
  <c r="N105" i="45"/>
  <c r="O105" i="45" s="1"/>
  <c r="L105" i="45"/>
  <c r="M105" i="45" s="1"/>
  <c r="M24" i="45"/>
  <c r="N24" i="45" s="1"/>
  <c r="K24" i="45"/>
  <c r="L24" i="45" s="1"/>
  <c r="N106" i="44"/>
  <c r="O106" i="44" s="1"/>
  <c r="P106" i="44" s="1"/>
  <c r="L106" i="44"/>
  <c r="M106" i="44" s="1"/>
  <c r="M25" i="44"/>
  <c r="N25" i="44" s="1"/>
  <c r="K25" i="44"/>
  <c r="L25" i="44" s="1"/>
  <c r="N106" i="43"/>
  <c r="O106" i="43" s="1"/>
  <c r="L106" i="43"/>
  <c r="M106" i="43" s="1"/>
  <c r="M25" i="43"/>
  <c r="N25" i="43" s="1"/>
  <c r="K25" i="43"/>
  <c r="L25" i="43" s="1"/>
  <c r="N106" i="42"/>
  <c r="O106" i="42" s="1"/>
  <c r="L106" i="42"/>
  <c r="M106" i="42" s="1"/>
  <c r="M25" i="42"/>
  <c r="N25" i="42" s="1"/>
  <c r="K25" i="42"/>
  <c r="L25" i="42" s="1"/>
  <c r="N106" i="41"/>
  <c r="O106" i="41" s="1"/>
  <c r="P106" i="41" s="1"/>
  <c r="L106" i="41"/>
  <c r="M106" i="41" s="1"/>
  <c r="M25" i="41"/>
  <c r="N25" i="41" s="1"/>
  <c r="O25" i="41" s="1"/>
  <c r="K25" i="41"/>
  <c r="L25" i="41" s="1"/>
  <c r="N106" i="39"/>
  <c r="O106" i="39" s="1"/>
  <c r="L106" i="39"/>
  <c r="M106" i="39" s="1"/>
  <c r="M25" i="39"/>
  <c r="N25" i="39" s="1"/>
  <c r="K25" i="39"/>
  <c r="L25" i="39" s="1"/>
  <c r="N108" i="34"/>
  <c r="O108" i="34" s="1"/>
  <c r="L108" i="34"/>
  <c r="M108" i="34" s="1"/>
  <c r="M27" i="34"/>
  <c r="N27" i="34" s="1"/>
  <c r="K27" i="34"/>
  <c r="L27" i="34" s="1"/>
  <c r="N108" i="32"/>
  <c r="O108" i="32" s="1"/>
  <c r="L108" i="32"/>
  <c r="M108" i="32" s="1"/>
  <c r="M27" i="32"/>
  <c r="N27" i="32" s="1"/>
  <c r="K27" i="32"/>
  <c r="L27" i="32" s="1"/>
  <c r="N108" i="31"/>
  <c r="O108" i="31" s="1"/>
  <c r="L108" i="31"/>
  <c r="M108" i="31" s="1"/>
  <c r="M27" i="31"/>
  <c r="N27" i="31" s="1"/>
  <c r="K27" i="31"/>
  <c r="L27" i="31" s="1"/>
  <c r="N109" i="30"/>
  <c r="O109" i="30" s="1"/>
  <c r="L109" i="30"/>
  <c r="M109" i="30" s="1"/>
  <c r="M28" i="30"/>
  <c r="N28" i="30" s="1"/>
  <c r="K28" i="30"/>
  <c r="L28" i="30" s="1"/>
  <c r="N109" i="29"/>
  <c r="O109" i="29" s="1"/>
  <c r="L109" i="29"/>
  <c r="M109" i="29" s="1"/>
  <c r="M28" i="29"/>
  <c r="N28" i="29" s="1"/>
  <c r="K28" i="29"/>
  <c r="L28" i="29" s="1"/>
  <c r="N110" i="28"/>
  <c r="O110" i="28" s="1"/>
  <c r="L110" i="28"/>
  <c r="M110" i="28" s="1"/>
  <c r="M29" i="28"/>
  <c r="N29" i="28" s="1"/>
  <c r="K29" i="28"/>
  <c r="L29" i="28" s="1"/>
  <c r="N109" i="27"/>
  <c r="O109" i="27" s="1"/>
  <c r="L109" i="27"/>
  <c r="M109" i="27" s="1"/>
  <c r="M28" i="27"/>
  <c r="N28" i="27" s="1"/>
  <c r="K28" i="27"/>
  <c r="L28" i="27" s="1"/>
  <c r="N108" i="24"/>
  <c r="O108" i="24" s="1"/>
  <c r="L108" i="24"/>
  <c r="M108" i="24" s="1"/>
  <c r="M27" i="24"/>
  <c r="N27" i="24" s="1"/>
  <c r="K27" i="24"/>
  <c r="L27" i="24" s="1"/>
  <c r="N108" i="23"/>
  <c r="O108" i="23" s="1"/>
  <c r="P108" i="23" s="1"/>
  <c r="L108" i="23"/>
  <c r="M108" i="23" s="1"/>
  <c r="M27" i="23"/>
  <c r="N27" i="23" s="1"/>
  <c r="K27" i="23"/>
  <c r="L27" i="23" s="1"/>
  <c r="N107" i="22"/>
  <c r="O107" i="22" s="1"/>
  <c r="L107" i="22"/>
  <c r="M107" i="22" s="1"/>
  <c r="M26" i="22"/>
  <c r="N26" i="22" s="1"/>
  <c r="K26" i="22"/>
  <c r="L26" i="22" s="1"/>
  <c r="N107" i="21"/>
  <c r="O107" i="21" s="1"/>
  <c r="P107" i="21" s="1"/>
  <c r="L107" i="21"/>
  <c r="M107" i="21" s="1"/>
  <c r="M26" i="21"/>
  <c r="N26" i="21" s="1"/>
  <c r="K26" i="21"/>
  <c r="L26" i="21" s="1"/>
  <c r="N107" i="20"/>
  <c r="O107" i="20" s="1"/>
  <c r="L107" i="20"/>
  <c r="M107" i="20" s="1"/>
  <c r="M26" i="20"/>
  <c r="N26" i="20" s="1"/>
  <c r="K26" i="20"/>
  <c r="L26" i="20" s="1"/>
  <c r="N107" i="19"/>
  <c r="O107" i="19"/>
  <c r="L107" i="19"/>
  <c r="M107" i="19" s="1"/>
  <c r="M26" i="19"/>
  <c r="N26" i="19" s="1"/>
  <c r="O26" i="19" s="1"/>
  <c r="K26" i="19"/>
  <c r="L26" i="19" s="1"/>
  <c r="N107" i="18"/>
  <c r="O107" i="18" s="1"/>
  <c r="L107" i="18"/>
  <c r="M107" i="18" s="1"/>
  <c r="M26" i="18"/>
  <c r="N26" i="18" s="1"/>
  <c r="K26" i="18"/>
  <c r="L26" i="18" s="1"/>
  <c r="N107" i="17"/>
  <c r="O107" i="17" s="1"/>
  <c r="P107" i="17" s="1"/>
  <c r="L107" i="17"/>
  <c r="M107" i="17" s="1"/>
  <c r="M26" i="17"/>
  <c r="N26" i="17" s="1"/>
  <c r="K26" i="17"/>
  <c r="L26" i="17" s="1"/>
  <c r="N107" i="3"/>
  <c r="O107" i="3" s="1"/>
  <c r="L107" i="3"/>
  <c r="M107" i="3" s="1"/>
  <c r="M26" i="3"/>
  <c r="N26" i="3" s="1"/>
  <c r="K26" i="3"/>
  <c r="L26" i="3" s="1"/>
  <c r="W88" i="36"/>
  <c r="P88" i="36"/>
  <c r="W87" i="36"/>
  <c r="P87" i="36"/>
  <c r="W86" i="36"/>
  <c r="P86" i="36"/>
  <c r="W85" i="36"/>
  <c r="P85" i="36"/>
  <c r="P154" i="96"/>
  <c r="O154" i="96"/>
  <c r="M154" i="96"/>
  <c r="J154" i="96"/>
  <c r="P153" i="96"/>
  <c r="O153" i="96"/>
  <c r="M153" i="96"/>
  <c r="J153" i="96"/>
  <c r="P152" i="96"/>
  <c r="O152" i="96"/>
  <c r="M152" i="96"/>
  <c r="J152" i="96"/>
  <c r="P151" i="96"/>
  <c r="O151" i="96"/>
  <c r="M151" i="96"/>
  <c r="J151" i="96"/>
  <c r="P150" i="96"/>
  <c r="O150" i="96"/>
  <c r="M150" i="96"/>
  <c r="J150" i="96"/>
  <c r="P149" i="96"/>
  <c r="O149" i="96"/>
  <c r="M149" i="96"/>
  <c r="J149" i="96"/>
  <c r="P148" i="96"/>
  <c r="O148" i="96"/>
  <c r="M148" i="96"/>
  <c r="J148" i="96"/>
  <c r="P147" i="96"/>
  <c r="O147" i="96"/>
  <c r="M147" i="96"/>
  <c r="J147" i="96"/>
  <c r="P146" i="96"/>
  <c r="O146" i="96"/>
  <c r="M146" i="96"/>
  <c r="J146" i="96"/>
  <c r="P145" i="96"/>
  <c r="O145" i="96"/>
  <c r="M145" i="96"/>
  <c r="J145" i="96"/>
  <c r="P144" i="96"/>
  <c r="O144" i="96"/>
  <c r="M144" i="96"/>
  <c r="J144" i="96"/>
  <c r="P143" i="96"/>
  <c r="O143" i="96"/>
  <c r="M143" i="96"/>
  <c r="J143" i="96"/>
  <c r="P142" i="96"/>
  <c r="O142" i="96"/>
  <c r="M142" i="96"/>
  <c r="J142" i="96"/>
  <c r="P141" i="96"/>
  <c r="O141" i="96"/>
  <c r="M141" i="96"/>
  <c r="J141" i="96"/>
  <c r="P140" i="96"/>
  <c r="O140" i="96"/>
  <c r="M140" i="96"/>
  <c r="J140" i="96"/>
  <c r="P139" i="96"/>
  <c r="O139" i="96"/>
  <c r="M139" i="96"/>
  <c r="J139" i="96"/>
  <c r="P138" i="96"/>
  <c r="O138" i="96"/>
  <c r="M138" i="96"/>
  <c r="J138" i="96"/>
  <c r="P137" i="96"/>
  <c r="O137" i="96"/>
  <c r="M137" i="96"/>
  <c r="J137" i="96"/>
  <c r="P136" i="96"/>
  <c r="O136" i="96"/>
  <c r="M136" i="96"/>
  <c r="J136" i="96"/>
  <c r="P135" i="96"/>
  <c r="O135" i="96"/>
  <c r="M135" i="96"/>
  <c r="J135" i="96"/>
  <c r="P134" i="96"/>
  <c r="O134" i="96"/>
  <c r="M134" i="96"/>
  <c r="J134" i="96"/>
  <c r="P133" i="96"/>
  <c r="O133" i="96"/>
  <c r="M133" i="96"/>
  <c r="J133" i="96"/>
  <c r="P132" i="96"/>
  <c r="O132" i="96"/>
  <c r="M132" i="96"/>
  <c r="J132" i="96"/>
  <c r="P131" i="96"/>
  <c r="O131" i="96"/>
  <c r="M131" i="96"/>
  <c r="J131" i="96"/>
  <c r="O130" i="96"/>
  <c r="M130" i="96"/>
  <c r="O129" i="96"/>
  <c r="M129" i="96"/>
  <c r="O128" i="96"/>
  <c r="M128" i="96"/>
  <c r="O127" i="96"/>
  <c r="M127" i="96"/>
  <c r="O126" i="96"/>
  <c r="M126" i="96"/>
  <c r="O125" i="96"/>
  <c r="M125" i="96"/>
  <c r="O124" i="96"/>
  <c r="M124" i="96"/>
  <c r="O123" i="96"/>
  <c r="M123" i="96"/>
  <c r="O122" i="96"/>
  <c r="M122" i="96"/>
  <c r="O121" i="96"/>
  <c r="M121" i="96"/>
  <c r="O120" i="96"/>
  <c r="M120" i="96"/>
  <c r="O119" i="96"/>
  <c r="M119" i="96"/>
  <c r="O118" i="96"/>
  <c r="M118" i="96"/>
  <c r="O117" i="96"/>
  <c r="M117" i="96"/>
  <c r="O116" i="96"/>
  <c r="M116" i="96"/>
  <c r="O115" i="96"/>
  <c r="M115" i="96"/>
  <c r="O114" i="96"/>
  <c r="M114" i="96"/>
  <c r="O113" i="96"/>
  <c r="M113" i="96"/>
  <c r="O112" i="96"/>
  <c r="M112" i="96"/>
  <c r="O111" i="96"/>
  <c r="M111" i="96"/>
  <c r="O110" i="96"/>
  <c r="M110" i="96"/>
  <c r="O109" i="96"/>
  <c r="M109" i="96"/>
  <c r="O108" i="96"/>
  <c r="M108" i="96"/>
  <c r="O107" i="96"/>
  <c r="M107" i="96"/>
  <c r="O106" i="96"/>
  <c r="M106" i="96"/>
  <c r="O105" i="96"/>
  <c r="M105" i="96"/>
  <c r="O104" i="96"/>
  <c r="M104" i="96"/>
  <c r="O103" i="96"/>
  <c r="M103" i="96"/>
  <c r="O101" i="96"/>
  <c r="O100" i="96"/>
  <c r="O99" i="96"/>
  <c r="D96" i="96"/>
  <c r="L93" i="96"/>
  <c r="J93" i="96"/>
  <c r="D91" i="96"/>
  <c r="D89" i="96"/>
  <c r="N72" i="96"/>
  <c r="L72" i="96"/>
  <c r="N71" i="96"/>
  <c r="L71" i="96"/>
  <c r="N70" i="96"/>
  <c r="L70" i="96"/>
  <c r="N69" i="96"/>
  <c r="L69" i="96"/>
  <c r="N68" i="96"/>
  <c r="L68" i="96"/>
  <c r="N67" i="96"/>
  <c r="L67" i="96"/>
  <c r="N66" i="96"/>
  <c r="L66" i="96"/>
  <c r="N65" i="96"/>
  <c r="L65" i="96"/>
  <c r="N64" i="96"/>
  <c r="L64" i="96"/>
  <c r="N63" i="96"/>
  <c r="L63" i="96"/>
  <c r="N62" i="96"/>
  <c r="L62" i="96"/>
  <c r="N61" i="96"/>
  <c r="L61" i="96"/>
  <c r="N60" i="96"/>
  <c r="L60" i="96"/>
  <c r="N59" i="96"/>
  <c r="L59" i="96"/>
  <c r="N58" i="96"/>
  <c r="L58" i="96"/>
  <c r="N57" i="96"/>
  <c r="L57" i="96"/>
  <c r="N56" i="96"/>
  <c r="L56" i="96"/>
  <c r="N55" i="96"/>
  <c r="L55" i="96"/>
  <c r="N54" i="96"/>
  <c r="L54" i="96"/>
  <c r="N53" i="96"/>
  <c r="L53" i="96"/>
  <c r="N52" i="96"/>
  <c r="L52" i="96"/>
  <c r="N51" i="96"/>
  <c r="L51" i="96"/>
  <c r="N50" i="96"/>
  <c r="L50" i="96"/>
  <c r="N49" i="96"/>
  <c r="L49" i="96"/>
  <c r="N48" i="96"/>
  <c r="L48" i="96"/>
  <c r="N47" i="96"/>
  <c r="L47" i="96"/>
  <c r="N46" i="96"/>
  <c r="L46" i="96"/>
  <c r="N45" i="96"/>
  <c r="L45" i="96"/>
  <c r="N44" i="96"/>
  <c r="L44" i="96"/>
  <c r="N43" i="96"/>
  <c r="L43" i="96"/>
  <c r="N42" i="96"/>
  <c r="L42" i="96"/>
  <c r="N41" i="96"/>
  <c r="L41" i="96"/>
  <c r="N40" i="96"/>
  <c r="L40" i="96"/>
  <c r="N39" i="96"/>
  <c r="L39" i="96"/>
  <c r="N38" i="96"/>
  <c r="L38" i="96"/>
  <c r="N37" i="96"/>
  <c r="L37" i="96"/>
  <c r="N36" i="96"/>
  <c r="L36" i="96"/>
  <c r="N35" i="96"/>
  <c r="L35" i="96"/>
  <c r="N34" i="96"/>
  <c r="L34" i="96"/>
  <c r="N33" i="96"/>
  <c r="L33" i="96"/>
  <c r="N32" i="96"/>
  <c r="L32" i="96"/>
  <c r="N31" i="96"/>
  <c r="L31" i="96"/>
  <c r="N30" i="96"/>
  <c r="L30" i="96"/>
  <c r="N29" i="96"/>
  <c r="L29" i="96"/>
  <c r="N28" i="96"/>
  <c r="L28" i="96"/>
  <c r="N27" i="96"/>
  <c r="L27" i="96"/>
  <c r="N26" i="96"/>
  <c r="L26" i="96"/>
  <c r="N25" i="96"/>
  <c r="L25" i="96"/>
  <c r="N24" i="96"/>
  <c r="L24" i="96"/>
  <c r="N23" i="96"/>
  <c r="L23" i="96"/>
  <c r="N21" i="96"/>
  <c r="N20" i="96"/>
  <c r="N19" i="96"/>
  <c r="N18" i="96"/>
  <c r="O18" i="96" s="1"/>
  <c r="L17" i="96"/>
  <c r="C17" i="96"/>
  <c r="C18" i="96"/>
  <c r="C19" i="96" s="1"/>
  <c r="C20" i="96" s="1"/>
  <c r="C21" i="96" s="1"/>
  <c r="C22" i="96" s="1"/>
  <c r="C23" i="96" s="1"/>
  <c r="C24" i="96" s="1"/>
  <c r="C25" i="96" s="1"/>
  <c r="C26" i="96" s="1"/>
  <c r="C27" i="96" s="1"/>
  <c r="C28" i="96" s="1"/>
  <c r="C29" i="96" s="1"/>
  <c r="C30" i="96" s="1"/>
  <c r="C31" i="96" s="1"/>
  <c r="C32" i="96" s="1"/>
  <c r="C33" i="96" s="1"/>
  <c r="C34" i="96" s="1"/>
  <c r="C35" i="96" s="1"/>
  <c r="C36" i="96" s="1"/>
  <c r="C37" i="96" s="1"/>
  <c r="C38" i="96" s="1"/>
  <c r="C39" i="96" s="1"/>
  <c r="C40" i="96" s="1"/>
  <c r="C41" i="96" s="1"/>
  <c r="C42" i="96" s="1"/>
  <c r="C43" i="96" s="1"/>
  <c r="C44" i="96" s="1"/>
  <c r="K11" i="96"/>
  <c r="I11" i="96"/>
  <c r="D8" i="96"/>
  <c r="D90" i="96" s="1"/>
  <c r="P1" i="96"/>
  <c r="P83" i="96" s="1"/>
  <c r="P154" i="95"/>
  <c r="O154" i="95"/>
  <c r="M154" i="95"/>
  <c r="J154" i="95"/>
  <c r="P153" i="95"/>
  <c r="O153" i="95"/>
  <c r="M153" i="95"/>
  <c r="J153" i="95"/>
  <c r="P152" i="95"/>
  <c r="O152" i="95"/>
  <c r="M152" i="95"/>
  <c r="J152" i="95"/>
  <c r="P151" i="95"/>
  <c r="O151" i="95"/>
  <c r="M151" i="95"/>
  <c r="J151" i="95"/>
  <c r="P150" i="95"/>
  <c r="O150" i="95"/>
  <c r="M150" i="95"/>
  <c r="J150" i="95"/>
  <c r="P149" i="95"/>
  <c r="O149" i="95"/>
  <c r="M149" i="95"/>
  <c r="J149" i="95"/>
  <c r="P148" i="95"/>
  <c r="O148" i="95"/>
  <c r="M148" i="95"/>
  <c r="J148" i="95"/>
  <c r="P147" i="95"/>
  <c r="O147" i="95"/>
  <c r="M147" i="95"/>
  <c r="J147" i="95"/>
  <c r="P146" i="95"/>
  <c r="O146" i="95"/>
  <c r="M146" i="95"/>
  <c r="J146" i="95"/>
  <c r="P145" i="95"/>
  <c r="O145" i="95"/>
  <c r="M145" i="95"/>
  <c r="J145" i="95"/>
  <c r="P144" i="95"/>
  <c r="O144" i="95"/>
  <c r="M144" i="95"/>
  <c r="J144" i="95"/>
  <c r="P143" i="95"/>
  <c r="O143" i="95"/>
  <c r="M143" i="95"/>
  <c r="J143" i="95"/>
  <c r="P142" i="95"/>
  <c r="O142" i="95"/>
  <c r="M142" i="95"/>
  <c r="J142" i="95"/>
  <c r="P141" i="95"/>
  <c r="O141" i="95"/>
  <c r="M141" i="95"/>
  <c r="J141" i="95"/>
  <c r="P140" i="95"/>
  <c r="O140" i="95"/>
  <c r="M140" i="95"/>
  <c r="J140" i="95"/>
  <c r="P139" i="95"/>
  <c r="O139" i="95"/>
  <c r="M139" i="95"/>
  <c r="J139" i="95"/>
  <c r="P138" i="95"/>
  <c r="O138" i="95"/>
  <c r="M138" i="95"/>
  <c r="J138" i="95"/>
  <c r="P137" i="95"/>
  <c r="O137" i="95"/>
  <c r="M137" i="95"/>
  <c r="J137" i="95"/>
  <c r="P136" i="95"/>
  <c r="O136" i="95"/>
  <c r="M136" i="95"/>
  <c r="J136" i="95"/>
  <c r="P135" i="95"/>
  <c r="O135" i="95"/>
  <c r="M135" i="95"/>
  <c r="J135" i="95"/>
  <c r="P134" i="95"/>
  <c r="O134" i="95"/>
  <c r="M134" i="95"/>
  <c r="J134" i="95"/>
  <c r="P133" i="95"/>
  <c r="O133" i="95"/>
  <c r="M133" i="95"/>
  <c r="J133" i="95"/>
  <c r="P132" i="95"/>
  <c r="O132" i="95"/>
  <c r="M132" i="95"/>
  <c r="J132" i="95"/>
  <c r="P131" i="95"/>
  <c r="O131" i="95"/>
  <c r="M131" i="95"/>
  <c r="J131" i="95"/>
  <c r="O130" i="95"/>
  <c r="M130" i="95"/>
  <c r="O129" i="95"/>
  <c r="M129" i="95"/>
  <c r="O128" i="95"/>
  <c r="M128" i="95"/>
  <c r="O127" i="95"/>
  <c r="M127" i="95"/>
  <c r="O126" i="95"/>
  <c r="M126" i="95"/>
  <c r="O125" i="95"/>
  <c r="M125" i="95"/>
  <c r="O124" i="95"/>
  <c r="M124" i="95"/>
  <c r="O123" i="95"/>
  <c r="M123" i="95"/>
  <c r="O122" i="95"/>
  <c r="M122" i="95"/>
  <c r="O121" i="95"/>
  <c r="M121" i="95"/>
  <c r="O120" i="95"/>
  <c r="M120" i="95"/>
  <c r="O119" i="95"/>
  <c r="M119" i="95"/>
  <c r="O118" i="95"/>
  <c r="M118" i="95"/>
  <c r="O117" i="95"/>
  <c r="M117" i="95"/>
  <c r="O116" i="95"/>
  <c r="M116" i="95"/>
  <c r="O115" i="95"/>
  <c r="M115" i="95"/>
  <c r="O114" i="95"/>
  <c r="M114" i="95"/>
  <c r="O113" i="95"/>
  <c r="M113" i="95"/>
  <c r="O112" i="95"/>
  <c r="M112" i="95"/>
  <c r="O111" i="95"/>
  <c r="M111" i="95"/>
  <c r="O110" i="95"/>
  <c r="M110" i="95"/>
  <c r="O109" i="95"/>
  <c r="M109" i="95"/>
  <c r="O108" i="95"/>
  <c r="M108" i="95"/>
  <c r="O107" i="95"/>
  <c r="M107" i="95"/>
  <c r="O106" i="95"/>
  <c r="M106" i="95"/>
  <c r="O105" i="95"/>
  <c r="M105" i="95"/>
  <c r="O104" i="95"/>
  <c r="M104" i="95"/>
  <c r="O103" i="95"/>
  <c r="M103" i="95"/>
  <c r="O101" i="95"/>
  <c r="O100" i="95"/>
  <c r="O99" i="95"/>
  <c r="P99" i="95" s="1"/>
  <c r="D96" i="95"/>
  <c r="L93" i="95"/>
  <c r="J93" i="95"/>
  <c r="D91" i="95"/>
  <c r="D89" i="95"/>
  <c r="N72" i="95"/>
  <c r="L72" i="95"/>
  <c r="N71" i="95"/>
  <c r="L71" i="95"/>
  <c r="N70" i="95"/>
  <c r="L70" i="95"/>
  <c r="N69" i="95"/>
  <c r="L69" i="95"/>
  <c r="N68" i="95"/>
  <c r="L68" i="95"/>
  <c r="N67" i="95"/>
  <c r="L67" i="95"/>
  <c r="N66" i="95"/>
  <c r="L66" i="95"/>
  <c r="N65" i="95"/>
  <c r="L65" i="95"/>
  <c r="N64" i="95"/>
  <c r="L64" i="95"/>
  <c r="N63" i="95"/>
  <c r="L63" i="95"/>
  <c r="N62" i="95"/>
  <c r="L62" i="95"/>
  <c r="N61" i="95"/>
  <c r="L61" i="95"/>
  <c r="N60" i="95"/>
  <c r="L60" i="95"/>
  <c r="N59" i="95"/>
  <c r="L59" i="95"/>
  <c r="N58" i="95"/>
  <c r="L58" i="95"/>
  <c r="N57" i="95"/>
  <c r="L57" i="95"/>
  <c r="N56" i="95"/>
  <c r="L56" i="95"/>
  <c r="N55" i="95"/>
  <c r="L55" i="95"/>
  <c r="N54" i="95"/>
  <c r="L54" i="95"/>
  <c r="N53" i="95"/>
  <c r="L53" i="95"/>
  <c r="N52" i="95"/>
  <c r="L52" i="95"/>
  <c r="N51" i="95"/>
  <c r="L51" i="95"/>
  <c r="N50" i="95"/>
  <c r="L50" i="95"/>
  <c r="N49" i="95"/>
  <c r="L49" i="95"/>
  <c r="N48" i="95"/>
  <c r="L48" i="95"/>
  <c r="N47" i="95"/>
  <c r="L47" i="95"/>
  <c r="N46" i="95"/>
  <c r="L46" i="95"/>
  <c r="N45" i="95"/>
  <c r="L45" i="95"/>
  <c r="N44" i="95"/>
  <c r="L44" i="95"/>
  <c r="N43" i="95"/>
  <c r="L43" i="95"/>
  <c r="N42" i="95"/>
  <c r="L42" i="95"/>
  <c r="N41" i="95"/>
  <c r="L41" i="95"/>
  <c r="N40" i="95"/>
  <c r="L40" i="95"/>
  <c r="N39" i="95"/>
  <c r="L39" i="95"/>
  <c r="N38" i="95"/>
  <c r="L38" i="95"/>
  <c r="N37" i="95"/>
  <c r="L37" i="95"/>
  <c r="N36" i="95"/>
  <c r="L36" i="95"/>
  <c r="N35" i="95"/>
  <c r="L35" i="95"/>
  <c r="N34" i="95"/>
  <c r="L34" i="95"/>
  <c r="N33" i="95"/>
  <c r="L33" i="95"/>
  <c r="N32" i="95"/>
  <c r="L32" i="95"/>
  <c r="N31" i="95"/>
  <c r="L31" i="95"/>
  <c r="N30" i="95"/>
  <c r="L30" i="95"/>
  <c r="N29" i="95"/>
  <c r="L29" i="95"/>
  <c r="N28" i="95"/>
  <c r="L28" i="95"/>
  <c r="N27" i="95"/>
  <c r="L27" i="95"/>
  <c r="N26" i="95"/>
  <c r="L26" i="95"/>
  <c r="N25" i="95"/>
  <c r="L25" i="95"/>
  <c r="N24" i="95"/>
  <c r="L24" i="95"/>
  <c r="N23" i="95"/>
  <c r="L23" i="95"/>
  <c r="N21" i="95"/>
  <c r="N20" i="95"/>
  <c r="N19" i="95"/>
  <c r="N18" i="95"/>
  <c r="C17" i="95"/>
  <c r="C18" i="95" s="1"/>
  <c r="C19" i="95" s="1"/>
  <c r="C20" i="95" s="1"/>
  <c r="C21" i="95" s="1"/>
  <c r="C22" i="95" s="1"/>
  <c r="C23" i="95" s="1"/>
  <c r="C24" i="95" s="1"/>
  <c r="C25" i="95" s="1"/>
  <c r="C26" i="95" s="1"/>
  <c r="C27" i="95" s="1"/>
  <c r="C28" i="95" s="1"/>
  <c r="C29" i="95" s="1"/>
  <c r="C30" i="95" s="1"/>
  <c r="C31" i="95" s="1"/>
  <c r="C32" i="95" s="1"/>
  <c r="C33" i="95" s="1"/>
  <c r="C34" i="95" s="1"/>
  <c r="C35" i="95" s="1"/>
  <c r="C36" i="95" s="1"/>
  <c r="C37" i="95" s="1"/>
  <c r="C38" i="95" s="1"/>
  <c r="C39" i="95" s="1"/>
  <c r="C40" i="95" s="1"/>
  <c r="C41" i="95" s="1"/>
  <c r="C42" i="95" s="1"/>
  <c r="C43" i="95" s="1"/>
  <c r="C44" i="95" s="1"/>
  <c r="K11" i="95"/>
  <c r="I11" i="95"/>
  <c r="D8" i="95"/>
  <c r="D90" i="95" s="1"/>
  <c r="P1" i="95"/>
  <c r="P83" i="95" s="1"/>
  <c r="P154" i="94"/>
  <c r="O154" i="94"/>
  <c r="M154" i="94"/>
  <c r="J154" i="94"/>
  <c r="P153" i="94"/>
  <c r="O153" i="94"/>
  <c r="M153" i="94"/>
  <c r="J153" i="94"/>
  <c r="P152" i="94"/>
  <c r="O152" i="94"/>
  <c r="M152" i="94"/>
  <c r="J152" i="94"/>
  <c r="P151" i="94"/>
  <c r="O151" i="94"/>
  <c r="M151" i="94"/>
  <c r="J151" i="94"/>
  <c r="P150" i="94"/>
  <c r="O150" i="94"/>
  <c r="M150" i="94"/>
  <c r="J150" i="94"/>
  <c r="P149" i="94"/>
  <c r="O149" i="94"/>
  <c r="M149" i="94"/>
  <c r="J149" i="94"/>
  <c r="P148" i="94"/>
  <c r="O148" i="94"/>
  <c r="M148" i="94"/>
  <c r="J148" i="94"/>
  <c r="P147" i="94"/>
  <c r="O147" i="94"/>
  <c r="M147" i="94"/>
  <c r="J147" i="94"/>
  <c r="P146" i="94"/>
  <c r="O146" i="94"/>
  <c r="M146" i="94"/>
  <c r="J146" i="94"/>
  <c r="P145" i="94"/>
  <c r="O145" i="94"/>
  <c r="M145" i="94"/>
  <c r="J145" i="94"/>
  <c r="P144" i="94"/>
  <c r="O144" i="94"/>
  <c r="M144" i="94"/>
  <c r="J144" i="94"/>
  <c r="P143" i="94"/>
  <c r="O143" i="94"/>
  <c r="M143" i="94"/>
  <c r="J143" i="94"/>
  <c r="P142" i="94"/>
  <c r="O142" i="94"/>
  <c r="M142" i="94"/>
  <c r="J142" i="94"/>
  <c r="P141" i="94"/>
  <c r="O141" i="94"/>
  <c r="M141" i="94"/>
  <c r="J141" i="94"/>
  <c r="P140" i="94"/>
  <c r="O140" i="94"/>
  <c r="M140" i="94"/>
  <c r="J140" i="94"/>
  <c r="P139" i="94"/>
  <c r="O139" i="94"/>
  <c r="M139" i="94"/>
  <c r="J139" i="94"/>
  <c r="P138" i="94"/>
  <c r="O138" i="94"/>
  <c r="M138" i="94"/>
  <c r="J138" i="94"/>
  <c r="P137" i="94"/>
  <c r="O137" i="94"/>
  <c r="M137" i="94"/>
  <c r="J137" i="94"/>
  <c r="P136" i="94"/>
  <c r="O136" i="94"/>
  <c r="M136" i="94"/>
  <c r="J136" i="94"/>
  <c r="P135" i="94"/>
  <c r="O135" i="94"/>
  <c r="M135" i="94"/>
  <c r="J135" i="94"/>
  <c r="P134" i="94"/>
  <c r="O134" i="94"/>
  <c r="M134" i="94"/>
  <c r="J134" i="94"/>
  <c r="P133" i="94"/>
  <c r="O133" i="94"/>
  <c r="M133" i="94"/>
  <c r="J133" i="94"/>
  <c r="P132" i="94"/>
  <c r="O132" i="94"/>
  <c r="M132" i="94"/>
  <c r="J132" i="94"/>
  <c r="P131" i="94"/>
  <c r="O131" i="94"/>
  <c r="M131" i="94"/>
  <c r="J131" i="94"/>
  <c r="O130" i="94"/>
  <c r="M130" i="94"/>
  <c r="O129" i="94"/>
  <c r="M129" i="94"/>
  <c r="O128" i="94"/>
  <c r="M128" i="94"/>
  <c r="O127" i="94"/>
  <c r="M127" i="94"/>
  <c r="O126" i="94"/>
  <c r="M126" i="94"/>
  <c r="O125" i="94"/>
  <c r="M125" i="94"/>
  <c r="O124" i="94"/>
  <c r="M124" i="94"/>
  <c r="O123" i="94"/>
  <c r="M123" i="94"/>
  <c r="O122" i="94"/>
  <c r="M122" i="94"/>
  <c r="O121" i="94"/>
  <c r="M121" i="94"/>
  <c r="O120" i="94"/>
  <c r="M120" i="94"/>
  <c r="O119" i="94"/>
  <c r="M119" i="94"/>
  <c r="O118" i="94"/>
  <c r="M118" i="94"/>
  <c r="O117" i="94"/>
  <c r="M117" i="94"/>
  <c r="O116" i="94"/>
  <c r="M116" i="94"/>
  <c r="O115" i="94"/>
  <c r="M115" i="94"/>
  <c r="O114" i="94"/>
  <c r="M114" i="94"/>
  <c r="O113" i="94"/>
  <c r="M113" i="94"/>
  <c r="O112" i="94"/>
  <c r="M112" i="94"/>
  <c r="O111" i="94"/>
  <c r="M111" i="94"/>
  <c r="O110" i="94"/>
  <c r="M110" i="94"/>
  <c r="O109" i="94"/>
  <c r="M109" i="94"/>
  <c r="O108" i="94"/>
  <c r="M108" i="94"/>
  <c r="O107" i="94"/>
  <c r="M107" i="94"/>
  <c r="O106" i="94"/>
  <c r="M106" i="94"/>
  <c r="O105" i="94"/>
  <c r="M105" i="94"/>
  <c r="O104" i="94"/>
  <c r="M104" i="94"/>
  <c r="O102" i="94"/>
  <c r="O101" i="94"/>
  <c r="O100" i="94"/>
  <c r="O99" i="94"/>
  <c r="D96" i="94"/>
  <c r="L93" i="94"/>
  <c r="J93" i="94"/>
  <c r="D91" i="94"/>
  <c r="D89" i="94"/>
  <c r="N72" i="94"/>
  <c r="L72" i="94"/>
  <c r="N71" i="94"/>
  <c r="L71" i="94"/>
  <c r="N70" i="94"/>
  <c r="L70" i="94"/>
  <c r="N69" i="94"/>
  <c r="L69" i="94"/>
  <c r="N68" i="94"/>
  <c r="L68" i="94"/>
  <c r="N67" i="94"/>
  <c r="L67" i="94"/>
  <c r="N66" i="94"/>
  <c r="L66" i="94"/>
  <c r="N65" i="94"/>
  <c r="L65" i="94"/>
  <c r="N64" i="94"/>
  <c r="L64" i="94"/>
  <c r="N63" i="94"/>
  <c r="L63" i="94"/>
  <c r="N62" i="94"/>
  <c r="L62" i="94"/>
  <c r="N61" i="94"/>
  <c r="L61" i="94"/>
  <c r="N60" i="94"/>
  <c r="L60" i="94"/>
  <c r="N59" i="94"/>
  <c r="L59" i="94"/>
  <c r="N58" i="94"/>
  <c r="L58" i="94"/>
  <c r="N57" i="94"/>
  <c r="L57" i="94"/>
  <c r="N56" i="94"/>
  <c r="L56" i="94"/>
  <c r="N55" i="94"/>
  <c r="L55" i="94"/>
  <c r="N54" i="94"/>
  <c r="L54" i="94"/>
  <c r="N53" i="94"/>
  <c r="L53" i="94"/>
  <c r="N52" i="94"/>
  <c r="L52" i="94"/>
  <c r="N51" i="94"/>
  <c r="L51" i="94"/>
  <c r="N50" i="94"/>
  <c r="L50" i="94"/>
  <c r="N49" i="94"/>
  <c r="L49" i="94"/>
  <c r="N48" i="94"/>
  <c r="L48" i="94"/>
  <c r="N47" i="94"/>
  <c r="L47" i="94"/>
  <c r="N46" i="94"/>
  <c r="L46" i="94"/>
  <c r="N45" i="94"/>
  <c r="L45" i="94"/>
  <c r="N44" i="94"/>
  <c r="L44" i="94"/>
  <c r="N43" i="94"/>
  <c r="L43" i="94"/>
  <c r="N42" i="94"/>
  <c r="L42" i="94"/>
  <c r="N41" i="94"/>
  <c r="L41" i="94"/>
  <c r="N40" i="94"/>
  <c r="L40" i="94"/>
  <c r="N39" i="94"/>
  <c r="L39" i="94"/>
  <c r="N38" i="94"/>
  <c r="L38" i="94"/>
  <c r="N37" i="94"/>
  <c r="L37" i="94"/>
  <c r="N36" i="94"/>
  <c r="L36" i="94"/>
  <c r="N35" i="94"/>
  <c r="L35" i="94"/>
  <c r="N34" i="94"/>
  <c r="L34" i="94"/>
  <c r="N33" i="94"/>
  <c r="L33" i="94"/>
  <c r="N32" i="94"/>
  <c r="L32" i="94"/>
  <c r="N31" i="94"/>
  <c r="L31" i="94"/>
  <c r="N30" i="94"/>
  <c r="L30" i="94"/>
  <c r="N29" i="94"/>
  <c r="L29" i="94"/>
  <c r="N28" i="94"/>
  <c r="L28" i="94"/>
  <c r="N27" i="94"/>
  <c r="L27" i="94"/>
  <c r="N26" i="94"/>
  <c r="L26" i="94"/>
  <c r="N25" i="94"/>
  <c r="L25" i="94"/>
  <c r="N24" i="94"/>
  <c r="L24" i="94"/>
  <c r="N22" i="94"/>
  <c r="N21" i="94"/>
  <c r="N20" i="94"/>
  <c r="N19" i="94"/>
  <c r="O19" i="94" s="1"/>
  <c r="N18" i="94"/>
  <c r="O18" i="94" s="1"/>
  <c r="N17" i="94"/>
  <c r="C17" i="94"/>
  <c r="C18" i="94" s="1"/>
  <c r="C19" i="94" s="1"/>
  <c r="C20" i="94" s="1"/>
  <c r="C21" i="94" s="1"/>
  <c r="C22" i="94" s="1"/>
  <c r="C23" i="94" s="1"/>
  <c r="C24" i="94" s="1"/>
  <c r="C25" i="94" s="1"/>
  <c r="C26" i="94" s="1"/>
  <c r="C27" i="94" s="1"/>
  <c r="C28" i="94" s="1"/>
  <c r="C29" i="94" s="1"/>
  <c r="C30" i="94" s="1"/>
  <c r="C31" i="94" s="1"/>
  <c r="C32" i="94" s="1"/>
  <c r="C33" i="94" s="1"/>
  <c r="C34" i="94" s="1"/>
  <c r="C35" i="94" s="1"/>
  <c r="C36" i="94" s="1"/>
  <c r="C37" i="94" s="1"/>
  <c r="C38" i="94" s="1"/>
  <c r="C39" i="94" s="1"/>
  <c r="C40" i="94" s="1"/>
  <c r="C41" i="94" s="1"/>
  <c r="C42" i="94" s="1"/>
  <c r="C43" i="94" s="1"/>
  <c r="C44" i="94" s="1"/>
  <c r="C45" i="94" s="1"/>
  <c r="C46" i="94" s="1"/>
  <c r="C47" i="94" s="1"/>
  <c r="C48" i="94" s="1"/>
  <c r="C49" i="94" s="1"/>
  <c r="C50" i="94" s="1"/>
  <c r="C51" i="94" s="1"/>
  <c r="C52" i="94" s="1"/>
  <c r="C53" i="94" s="1"/>
  <c r="C54" i="94" s="1"/>
  <c r="C55" i="94" s="1"/>
  <c r="C56" i="94" s="1"/>
  <c r="C57" i="94" s="1"/>
  <c r="C58" i="94" s="1"/>
  <c r="C59" i="94" s="1"/>
  <c r="C60" i="94" s="1"/>
  <c r="C61" i="94" s="1"/>
  <c r="C62" i="94" s="1"/>
  <c r="C63" i="94" s="1"/>
  <c r="C64" i="94" s="1"/>
  <c r="C65" i="94" s="1"/>
  <c r="C66" i="94" s="1"/>
  <c r="C67" i="94" s="1"/>
  <c r="C68" i="94" s="1"/>
  <c r="C69" i="94" s="1"/>
  <c r="C70" i="94" s="1"/>
  <c r="C71" i="94" s="1"/>
  <c r="C72" i="94" s="1"/>
  <c r="K11" i="94"/>
  <c r="I11" i="94"/>
  <c r="D8" i="94"/>
  <c r="D90" i="94" s="1"/>
  <c r="P1" i="94"/>
  <c r="P83" i="94" s="1"/>
  <c r="P154" i="93"/>
  <c r="O154" i="93"/>
  <c r="M154" i="93"/>
  <c r="J154" i="93"/>
  <c r="P153" i="93"/>
  <c r="O153" i="93"/>
  <c r="M153" i="93"/>
  <c r="J153" i="93"/>
  <c r="P152" i="93"/>
  <c r="O152" i="93"/>
  <c r="M152" i="93"/>
  <c r="J152" i="93"/>
  <c r="P151" i="93"/>
  <c r="O151" i="93"/>
  <c r="M151" i="93"/>
  <c r="J151" i="93"/>
  <c r="P150" i="93"/>
  <c r="O150" i="93"/>
  <c r="M150" i="93"/>
  <c r="J150" i="93"/>
  <c r="P149" i="93"/>
  <c r="O149" i="93"/>
  <c r="M149" i="93"/>
  <c r="J149" i="93"/>
  <c r="P148" i="93"/>
  <c r="O148" i="93"/>
  <c r="M148" i="93"/>
  <c r="J148" i="93"/>
  <c r="P147" i="93"/>
  <c r="O147" i="93"/>
  <c r="M147" i="93"/>
  <c r="J147" i="93"/>
  <c r="P146" i="93"/>
  <c r="O146" i="93"/>
  <c r="M146" i="93"/>
  <c r="J146" i="93"/>
  <c r="P145" i="93"/>
  <c r="O145" i="93"/>
  <c r="M145" i="93"/>
  <c r="J145" i="93"/>
  <c r="P144" i="93"/>
  <c r="O144" i="93"/>
  <c r="M144" i="93"/>
  <c r="J144" i="93"/>
  <c r="P143" i="93"/>
  <c r="O143" i="93"/>
  <c r="M143" i="93"/>
  <c r="J143" i="93"/>
  <c r="P142" i="93"/>
  <c r="O142" i="93"/>
  <c r="M142" i="93"/>
  <c r="J142" i="93"/>
  <c r="P141" i="93"/>
  <c r="O141" i="93"/>
  <c r="M141" i="93"/>
  <c r="J141" i="93"/>
  <c r="P140" i="93"/>
  <c r="O140" i="93"/>
  <c r="M140" i="93"/>
  <c r="J140" i="93"/>
  <c r="P139" i="93"/>
  <c r="O139" i="93"/>
  <c r="M139" i="93"/>
  <c r="J139" i="93"/>
  <c r="P138" i="93"/>
  <c r="O138" i="93"/>
  <c r="M138" i="93"/>
  <c r="J138" i="93"/>
  <c r="P137" i="93"/>
  <c r="O137" i="93"/>
  <c r="M137" i="93"/>
  <c r="J137" i="93"/>
  <c r="P136" i="93"/>
  <c r="O136" i="93"/>
  <c r="M136" i="93"/>
  <c r="J136" i="93"/>
  <c r="P135" i="93"/>
  <c r="O135" i="93"/>
  <c r="M135" i="93"/>
  <c r="J135" i="93"/>
  <c r="P134" i="93"/>
  <c r="O134" i="93"/>
  <c r="M134" i="93"/>
  <c r="J134" i="93"/>
  <c r="P133" i="93"/>
  <c r="O133" i="93"/>
  <c r="M133" i="93"/>
  <c r="J133" i="93"/>
  <c r="P132" i="93"/>
  <c r="O132" i="93"/>
  <c r="M132" i="93"/>
  <c r="J132" i="93"/>
  <c r="P131" i="93"/>
  <c r="O131" i="93"/>
  <c r="M131" i="93"/>
  <c r="J131" i="93"/>
  <c r="O130" i="93"/>
  <c r="M130" i="93"/>
  <c r="O129" i="93"/>
  <c r="M129" i="93"/>
  <c r="O128" i="93"/>
  <c r="M128" i="93"/>
  <c r="O127" i="93"/>
  <c r="M127" i="93"/>
  <c r="O126" i="93"/>
  <c r="M126" i="93"/>
  <c r="O125" i="93"/>
  <c r="M125" i="93"/>
  <c r="O124" i="93"/>
  <c r="M124" i="93"/>
  <c r="O123" i="93"/>
  <c r="M123" i="93"/>
  <c r="O122" i="93"/>
  <c r="M122" i="93"/>
  <c r="O121" i="93"/>
  <c r="M121" i="93"/>
  <c r="O120" i="93"/>
  <c r="M120" i="93"/>
  <c r="O119" i="93"/>
  <c r="M119" i="93"/>
  <c r="O118" i="93"/>
  <c r="M118" i="93"/>
  <c r="O117" i="93"/>
  <c r="M117" i="93"/>
  <c r="O116" i="93"/>
  <c r="M116" i="93"/>
  <c r="O115" i="93"/>
  <c r="M115" i="93"/>
  <c r="O114" i="93"/>
  <c r="M114" i="93"/>
  <c r="O113" i="93"/>
  <c r="M113" i="93"/>
  <c r="O112" i="93"/>
  <c r="M112" i="93"/>
  <c r="O111" i="93"/>
  <c r="M111" i="93"/>
  <c r="O110" i="93"/>
  <c r="M110" i="93"/>
  <c r="O109" i="93"/>
  <c r="M109" i="93"/>
  <c r="O108" i="93"/>
  <c r="M108" i="93"/>
  <c r="O107" i="93"/>
  <c r="M107" i="93"/>
  <c r="O106" i="93"/>
  <c r="M106" i="93"/>
  <c r="O105" i="93"/>
  <c r="M105" i="93"/>
  <c r="O104" i="93"/>
  <c r="M104" i="93"/>
  <c r="O103" i="93"/>
  <c r="M103" i="93"/>
  <c r="O101" i="93"/>
  <c r="O100" i="93"/>
  <c r="O99" i="93"/>
  <c r="D96" i="93"/>
  <c r="L93" i="93"/>
  <c r="J93" i="93"/>
  <c r="D91" i="93"/>
  <c r="D89" i="93"/>
  <c r="N72" i="93"/>
  <c r="L72" i="93"/>
  <c r="N71" i="93"/>
  <c r="L71" i="93"/>
  <c r="N70" i="93"/>
  <c r="L70" i="93"/>
  <c r="N69" i="93"/>
  <c r="L69" i="93"/>
  <c r="N68" i="93"/>
  <c r="L68" i="93"/>
  <c r="N67" i="93"/>
  <c r="L67" i="93"/>
  <c r="N66" i="93"/>
  <c r="L66" i="93"/>
  <c r="N65" i="93"/>
  <c r="L65" i="93"/>
  <c r="N64" i="93"/>
  <c r="L64" i="93"/>
  <c r="N63" i="93"/>
  <c r="L63" i="93"/>
  <c r="N62" i="93"/>
  <c r="L62" i="93"/>
  <c r="N61" i="93"/>
  <c r="L61" i="93"/>
  <c r="N60" i="93"/>
  <c r="L60" i="93"/>
  <c r="N59" i="93"/>
  <c r="L59" i="93"/>
  <c r="N58" i="93"/>
  <c r="L58" i="93"/>
  <c r="N57" i="93"/>
  <c r="L57" i="93"/>
  <c r="N56" i="93"/>
  <c r="L56" i="93"/>
  <c r="N55" i="93"/>
  <c r="L55" i="93"/>
  <c r="N54" i="93"/>
  <c r="L54" i="93"/>
  <c r="N53" i="93"/>
  <c r="L53" i="93"/>
  <c r="N52" i="93"/>
  <c r="L52" i="93"/>
  <c r="N51" i="93"/>
  <c r="L51" i="93"/>
  <c r="N50" i="93"/>
  <c r="L50" i="93"/>
  <c r="N49" i="93"/>
  <c r="L49" i="93"/>
  <c r="N48" i="93"/>
  <c r="L48" i="93"/>
  <c r="N47" i="93"/>
  <c r="L47" i="93"/>
  <c r="N46" i="93"/>
  <c r="L46" i="93"/>
  <c r="N45" i="93"/>
  <c r="L45" i="93"/>
  <c r="N44" i="93"/>
  <c r="L44" i="93"/>
  <c r="N43" i="93"/>
  <c r="L43" i="93"/>
  <c r="N42" i="93"/>
  <c r="L42" i="93"/>
  <c r="N41" i="93"/>
  <c r="L41" i="93"/>
  <c r="N40" i="93"/>
  <c r="L40" i="93"/>
  <c r="N39" i="93"/>
  <c r="L39" i="93"/>
  <c r="N38" i="93"/>
  <c r="L38" i="93"/>
  <c r="N37" i="93"/>
  <c r="L37" i="93"/>
  <c r="N36" i="93"/>
  <c r="L36" i="93"/>
  <c r="N35" i="93"/>
  <c r="L35" i="93"/>
  <c r="N34" i="93"/>
  <c r="L34" i="93"/>
  <c r="N33" i="93"/>
  <c r="L33" i="93"/>
  <c r="N32" i="93"/>
  <c r="L32" i="93"/>
  <c r="N31" i="93"/>
  <c r="L31" i="93"/>
  <c r="N30" i="93"/>
  <c r="L30" i="93"/>
  <c r="N29" i="93"/>
  <c r="L29" i="93"/>
  <c r="N28" i="93"/>
  <c r="L28" i="93"/>
  <c r="N27" i="93"/>
  <c r="L27" i="93"/>
  <c r="N26" i="93"/>
  <c r="L26" i="93"/>
  <c r="N25" i="93"/>
  <c r="L25" i="93"/>
  <c r="N24" i="93"/>
  <c r="L24" i="93"/>
  <c r="N23" i="93"/>
  <c r="L23" i="93"/>
  <c r="N21" i="93"/>
  <c r="N20" i="93"/>
  <c r="N19" i="93"/>
  <c r="N18" i="93"/>
  <c r="N17" i="93"/>
  <c r="C17" i="93"/>
  <c r="C18" i="93" s="1"/>
  <c r="C19" i="93" s="1"/>
  <c r="C20" i="93" s="1"/>
  <c r="C21" i="93" s="1"/>
  <c r="C22" i="93" s="1"/>
  <c r="C23" i="93" s="1"/>
  <c r="C24" i="93" s="1"/>
  <c r="C25" i="93" s="1"/>
  <c r="C26" i="93" s="1"/>
  <c r="C27" i="93" s="1"/>
  <c r="C28" i="93" s="1"/>
  <c r="C29" i="93" s="1"/>
  <c r="C30" i="93" s="1"/>
  <c r="C31" i="93" s="1"/>
  <c r="C32" i="93" s="1"/>
  <c r="C33" i="93" s="1"/>
  <c r="C34" i="93" s="1"/>
  <c r="C35" i="93" s="1"/>
  <c r="C36" i="93" s="1"/>
  <c r="C37" i="93" s="1"/>
  <c r="C38" i="93" s="1"/>
  <c r="C39" i="93" s="1"/>
  <c r="C40" i="93" s="1"/>
  <c r="C41" i="93" s="1"/>
  <c r="C42" i="93" s="1"/>
  <c r="C43" i="93" s="1"/>
  <c r="C44" i="93" s="1"/>
  <c r="K11" i="93"/>
  <c r="I11" i="93"/>
  <c r="D8" i="93"/>
  <c r="D90" i="93" s="1"/>
  <c r="P1" i="93"/>
  <c r="P83" i="93" s="1"/>
  <c r="M17" i="92"/>
  <c r="K17" i="92"/>
  <c r="L17" i="92" s="1"/>
  <c r="M17" i="91"/>
  <c r="K17" i="91"/>
  <c r="M17" i="90"/>
  <c r="K17" i="90"/>
  <c r="L17" i="90" s="1"/>
  <c r="M17" i="89"/>
  <c r="N17" i="89" s="1"/>
  <c r="K17" i="89"/>
  <c r="M17" i="88"/>
  <c r="N17" i="88" s="1"/>
  <c r="K17" i="88"/>
  <c r="L17" i="88" s="1"/>
  <c r="M17" i="87"/>
  <c r="K17" i="87"/>
  <c r="L17" i="87" s="1"/>
  <c r="M17" i="86"/>
  <c r="K17" i="86"/>
  <c r="N99" i="85"/>
  <c r="L99" i="85"/>
  <c r="M99" i="85" s="1"/>
  <c r="M18" i="85"/>
  <c r="K18" i="85"/>
  <c r="M18" i="84"/>
  <c r="N18" i="84" s="1"/>
  <c r="K18" i="84"/>
  <c r="L18" i="84" s="1"/>
  <c r="K18" i="83"/>
  <c r="L18" i="83" s="1"/>
  <c r="M18" i="83"/>
  <c r="N18" i="83" s="1"/>
  <c r="N99" i="83"/>
  <c r="L99" i="83"/>
  <c r="M99" i="83" s="1"/>
  <c r="N99" i="82"/>
  <c r="L99" i="82"/>
  <c r="M18" i="82"/>
  <c r="N18" i="82" s="1"/>
  <c r="K18" i="82"/>
  <c r="L18" i="82" s="1"/>
  <c r="N99" i="81"/>
  <c r="N99" i="80"/>
  <c r="L99" i="80"/>
  <c r="L99" i="81"/>
  <c r="M99" i="81" s="1"/>
  <c r="M18" i="81"/>
  <c r="N18" i="81" s="1"/>
  <c r="K18" i="81"/>
  <c r="L18" i="81" s="1"/>
  <c r="M18" i="80"/>
  <c r="N18" i="80" s="1"/>
  <c r="O18" i="80" s="1"/>
  <c r="K18" i="80"/>
  <c r="L18" i="80" s="1"/>
  <c r="N100" i="79"/>
  <c r="O100" i="79" s="1"/>
  <c r="L100" i="79"/>
  <c r="M100" i="79"/>
  <c r="M19" i="79"/>
  <c r="N19" i="79" s="1"/>
  <c r="K19" i="79"/>
  <c r="L19" i="79" s="1"/>
  <c r="N100" i="78"/>
  <c r="O100" i="78" s="1"/>
  <c r="L100" i="78"/>
  <c r="M100" i="78" s="1"/>
  <c r="M19" i="78"/>
  <c r="N19" i="78" s="1"/>
  <c r="K19" i="78"/>
  <c r="L19" i="78" s="1"/>
  <c r="N100" i="77"/>
  <c r="O100" i="77" s="1"/>
  <c r="L100" i="77"/>
  <c r="M100" i="77" s="1"/>
  <c r="M19" i="77"/>
  <c r="N19" i="77" s="1"/>
  <c r="K19" i="77"/>
  <c r="L19" i="77" s="1"/>
  <c r="N100" i="76"/>
  <c r="O100" i="76" s="1"/>
  <c r="L100" i="76"/>
  <c r="M100" i="76" s="1"/>
  <c r="M19" i="76"/>
  <c r="N19" i="76" s="1"/>
  <c r="K19" i="76"/>
  <c r="L19" i="76" s="1"/>
  <c r="N100" i="75"/>
  <c r="O100" i="75" s="1"/>
  <c r="L100" i="75"/>
  <c r="M100" i="75" s="1"/>
  <c r="M19" i="75"/>
  <c r="N19" i="75" s="1"/>
  <c r="K19" i="75"/>
  <c r="L19" i="75" s="1"/>
  <c r="N104" i="74"/>
  <c r="O104" i="74" s="1"/>
  <c r="L104" i="74"/>
  <c r="M104" i="74" s="1"/>
  <c r="M23" i="74"/>
  <c r="N23" i="74" s="1"/>
  <c r="K23" i="74"/>
  <c r="L23" i="74" s="1"/>
  <c r="N105" i="73"/>
  <c r="O105" i="73" s="1"/>
  <c r="L105" i="73"/>
  <c r="M105" i="73" s="1"/>
  <c r="P105" i="73" s="1"/>
  <c r="M24" i="73"/>
  <c r="N24" i="73" s="1"/>
  <c r="K24" i="73"/>
  <c r="L24" i="73" s="1"/>
  <c r="N103" i="72"/>
  <c r="O103" i="72" s="1"/>
  <c r="L103" i="72"/>
  <c r="M103" i="72" s="1"/>
  <c r="M22" i="72"/>
  <c r="N22" i="72" s="1"/>
  <c r="K22" i="72"/>
  <c r="L22" i="72" s="1"/>
  <c r="N107" i="71"/>
  <c r="O107" i="71" s="1"/>
  <c r="L107" i="71"/>
  <c r="M107" i="71" s="1"/>
  <c r="M26" i="71"/>
  <c r="N26" i="71" s="1"/>
  <c r="K26" i="71"/>
  <c r="L26" i="71" s="1"/>
  <c r="N108" i="70"/>
  <c r="O108" i="70" s="1"/>
  <c r="L108" i="70"/>
  <c r="M108" i="70" s="1"/>
  <c r="M27" i="70"/>
  <c r="N27" i="70" s="1"/>
  <c r="K27" i="70"/>
  <c r="L27" i="70" s="1"/>
  <c r="N108" i="69"/>
  <c r="O108" i="69" s="1"/>
  <c r="L108" i="69"/>
  <c r="M108" i="69" s="1"/>
  <c r="M27" i="69"/>
  <c r="N27" i="69" s="1"/>
  <c r="K27" i="69"/>
  <c r="L27" i="69" s="1"/>
  <c r="N101" i="68"/>
  <c r="O101" i="68" s="1"/>
  <c r="L101" i="68"/>
  <c r="M101" i="68" s="1"/>
  <c r="M20" i="68"/>
  <c r="N20" i="68" s="1"/>
  <c r="K20" i="68"/>
  <c r="L20" i="68" s="1"/>
  <c r="O101" i="67"/>
  <c r="N101" i="67"/>
  <c r="L101" i="67"/>
  <c r="M101" i="67" s="1"/>
  <c r="M20" i="67"/>
  <c r="N20" i="67" s="1"/>
  <c r="K20" i="67"/>
  <c r="L20" i="67" s="1"/>
  <c r="N101" i="66"/>
  <c r="O101" i="66" s="1"/>
  <c r="L101" i="66"/>
  <c r="M101" i="66" s="1"/>
  <c r="M20" i="66"/>
  <c r="N20" i="66" s="1"/>
  <c r="K20" i="66"/>
  <c r="L20" i="66" s="1"/>
  <c r="N101" i="65"/>
  <c r="O101" i="65" s="1"/>
  <c r="L101" i="65"/>
  <c r="M101" i="65" s="1"/>
  <c r="M20" i="65"/>
  <c r="N20" i="65" s="1"/>
  <c r="K20" i="65"/>
  <c r="L20" i="65" s="1"/>
  <c r="N102" i="64"/>
  <c r="O102" i="64" s="1"/>
  <c r="L102" i="64"/>
  <c r="M102" i="64" s="1"/>
  <c r="M21" i="64"/>
  <c r="N21" i="64" s="1"/>
  <c r="K21" i="64"/>
  <c r="L21" i="64" s="1"/>
  <c r="N102" i="60"/>
  <c r="O102" i="60" s="1"/>
  <c r="L102" i="60"/>
  <c r="M102" i="60" s="1"/>
  <c r="M21" i="60"/>
  <c r="N21" i="60" s="1"/>
  <c r="K21" i="60"/>
  <c r="L21" i="60" s="1"/>
  <c r="N102" i="62"/>
  <c r="O102" i="62" s="1"/>
  <c r="L102" i="62"/>
  <c r="M102" i="62" s="1"/>
  <c r="M21" i="62"/>
  <c r="N21" i="62" s="1"/>
  <c r="K21" i="62"/>
  <c r="L21" i="62" s="1"/>
  <c r="N102" i="63"/>
  <c r="O102" i="63" s="1"/>
  <c r="P102" i="63" s="1"/>
  <c r="L102" i="63"/>
  <c r="M102" i="63" s="1"/>
  <c r="M21" i="63"/>
  <c r="N21" i="63" s="1"/>
  <c r="K21" i="63"/>
  <c r="L21" i="63" s="1"/>
  <c r="N102" i="61"/>
  <c r="O102" i="61" s="1"/>
  <c r="L102" i="61"/>
  <c r="M102" i="61" s="1"/>
  <c r="M21" i="61"/>
  <c r="N21" i="61" s="1"/>
  <c r="K21" i="61"/>
  <c r="L21" i="61" s="1"/>
  <c r="N102" i="59"/>
  <c r="O102" i="59" s="1"/>
  <c r="L102" i="59"/>
  <c r="M102" i="59" s="1"/>
  <c r="M21" i="59"/>
  <c r="N21" i="59" s="1"/>
  <c r="K21" i="59"/>
  <c r="L21" i="59" s="1"/>
  <c r="N103" i="58"/>
  <c r="O103" i="58" s="1"/>
  <c r="L103" i="58"/>
  <c r="M103" i="58" s="1"/>
  <c r="M22" i="58"/>
  <c r="N22" i="58" s="1"/>
  <c r="K22" i="58"/>
  <c r="L22" i="58" s="1"/>
  <c r="N103" i="57"/>
  <c r="O103" i="57" s="1"/>
  <c r="L103" i="57"/>
  <c r="M103" i="57" s="1"/>
  <c r="M22" i="57"/>
  <c r="N22" i="57" s="1"/>
  <c r="K22" i="57"/>
  <c r="L22" i="57" s="1"/>
  <c r="N103" i="56"/>
  <c r="O103" i="56"/>
  <c r="L103" i="56"/>
  <c r="M103" i="56" s="1"/>
  <c r="M22" i="56"/>
  <c r="N22" i="56" s="1"/>
  <c r="K22" i="56"/>
  <c r="L22" i="56"/>
  <c r="N103" i="55"/>
  <c r="O103" i="55" s="1"/>
  <c r="L103" i="55"/>
  <c r="M103" i="55" s="1"/>
  <c r="M22" i="55"/>
  <c r="N22" i="55" s="1"/>
  <c r="K22" i="55"/>
  <c r="L22" i="55" s="1"/>
  <c r="N103" i="54"/>
  <c r="O103" i="54" s="1"/>
  <c r="P103" i="54" s="1"/>
  <c r="L103" i="54"/>
  <c r="M103" i="54" s="1"/>
  <c r="M22" i="54"/>
  <c r="N22" i="54" s="1"/>
  <c r="K22" i="54"/>
  <c r="L22" i="54" s="1"/>
  <c r="O103" i="53"/>
  <c r="N103" i="53"/>
  <c r="L103" i="53"/>
  <c r="M103" i="53" s="1"/>
  <c r="M22" i="53"/>
  <c r="N22" i="53" s="1"/>
  <c r="O22" i="53" s="1"/>
  <c r="K22" i="53"/>
  <c r="L22" i="53" s="1"/>
  <c r="N103" i="46"/>
  <c r="O103" i="46" s="1"/>
  <c r="L103" i="46"/>
  <c r="M103" i="46" s="1"/>
  <c r="M22" i="46"/>
  <c r="N22" i="46" s="1"/>
  <c r="K22" i="46"/>
  <c r="L22" i="46" s="1"/>
  <c r="N104" i="45"/>
  <c r="O104" i="45" s="1"/>
  <c r="P104" i="45" s="1"/>
  <c r="L104" i="45"/>
  <c r="M104" i="45" s="1"/>
  <c r="M23" i="45"/>
  <c r="N23" i="45" s="1"/>
  <c r="K23" i="45"/>
  <c r="L23" i="45" s="1"/>
  <c r="N105" i="44"/>
  <c r="O105" i="44" s="1"/>
  <c r="L105" i="44"/>
  <c r="M105" i="44" s="1"/>
  <c r="M24" i="44"/>
  <c r="N24" i="44" s="1"/>
  <c r="K24" i="44"/>
  <c r="L24" i="44" s="1"/>
  <c r="N105" i="43"/>
  <c r="O105" i="43" s="1"/>
  <c r="L105" i="43"/>
  <c r="M105" i="43" s="1"/>
  <c r="M24" i="43"/>
  <c r="N24" i="43" s="1"/>
  <c r="O24" i="43" s="1"/>
  <c r="K24" i="43"/>
  <c r="L24" i="43" s="1"/>
  <c r="N105" i="42"/>
  <c r="O105" i="42" s="1"/>
  <c r="L105" i="42"/>
  <c r="M105" i="42"/>
  <c r="M24" i="42"/>
  <c r="N24" i="42" s="1"/>
  <c r="O24" i="42" s="1"/>
  <c r="K24" i="42"/>
  <c r="L24" i="42" s="1"/>
  <c r="N105" i="41"/>
  <c r="O105" i="41" s="1"/>
  <c r="L105" i="41"/>
  <c r="M105" i="41" s="1"/>
  <c r="M24" i="41"/>
  <c r="N24" i="41" s="1"/>
  <c r="K24" i="41"/>
  <c r="L24" i="41" s="1"/>
  <c r="N105" i="39"/>
  <c r="O105" i="39" s="1"/>
  <c r="L105" i="39"/>
  <c r="M105" i="39" s="1"/>
  <c r="M24" i="39"/>
  <c r="N24" i="39" s="1"/>
  <c r="K24" i="39"/>
  <c r="L24" i="39" s="1"/>
  <c r="N107" i="34"/>
  <c r="O107" i="34" s="1"/>
  <c r="P107" i="34" s="1"/>
  <c r="L107" i="34"/>
  <c r="M107" i="34" s="1"/>
  <c r="M26" i="34"/>
  <c r="N26" i="34" s="1"/>
  <c r="K26" i="34"/>
  <c r="L26" i="34" s="1"/>
  <c r="N107" i="32"/>
  <c r="O107" i="32" s="1"/>
  <c r="L107" i="32"/>
  <c r="M107" i="32" s="1"/>
  <c r="M26" i="32"/>
  <c r="N26" i="32" s="1"/>
  <c r="K26" i="32"/>
  <c r="L26" i="32" s="1"/>
  <c r="N107" i="31"/>
  <c r="O107" i="31" s="1"/>
  <c r="L107" i="31"/>
  <c r="M107" i="31" s="1"/>
  <c r="M26" i="31"/>
  <c r="N26" i="31" s="1"/>
  <c r="K26" i="31"/>
  <c r="L26" i="31" s="1"/>
  <c r="N108" i="30"/>
  <c r="O108" i="30" s="1"/>
  <c r="L108" i="30"/>
  <c r="M108" i="30" s="1"/>
  <c r="M27" i="30"/>
  <c r="N27" i="30" s="1"/>
  <c r="K27" i="30"/>
  <c r="L27" i="30" s="1"/>
  <c r="M19" i="29"/>
  <c r="N19" i="29" s="1"/>
  <c r="K19" i="29"/>
  <c r="L19" i="29" s="1"/>
  <c r="N108" i="29"/>
  <c r="O108" i="29" s="1"/>
  <c r="L108" i="29"/>
  <c r="M108" i="29" s="1"/>
  <c r="M27" i="29"/>
  <c r="N27" i="29"/>
  <c r="K27" i="29"/>
  <c r="L27" i="29" s="1"/>
  <c r="N109" i="28"/>
  <c r="O109" i="28" s="1"/>
  <c r="L109" i="28"/>
  <c r="M109" i="28" s="1"/>
  <c r="M28" i="28"/>
  <c r="N28" i="28" s="1"/>
  <c r="K28" i="28"/>
  <c r="L28" i="28" s="1"/>
  <c r="N108" i="27"/>
  <c r="O108" i="27" s="1"/>
  <c r="L108" i="27"/>
  <c r="M108" i="27" s="1"/>
  <c r="M27" i="27"/>
  <c r="N27" i="27" s="1"/>
  <c r="K27" i="27"/>
  <c r="L27" i="27" s="1"/>
  <c r="N107" i="24"/>
  <c r="O107" i="24" s="1"/>
  <c r="L107" i="24"/>
  <c r="M107" i="24" s="1"/>
  <c r="M26" i="24"/>
  <c r="N26" i="24" s="1"/>
  <c r="K26" i="24"/>
  <c r="L26" i="24" s="1"/>
  <c r="N107" i="23"/>
  <c r="O107" i="23" s="1"/>
  <c r="P107" i="23" s="1"/>
  <c r="L107" i="23"/>
  <c r="M107" i="23" s="1"/>
  <c r="M26" i="23"/>
  <c r="N26" i="23" s="1"/>
  <c r="K26" i="23"/>
  <c r="L26" i="23"/>
  <c r="N106" i="22"/>
  <c r="O106" i="22" s="1"/>
  <c r="L106" i="22"/>
  <c r="M106" i="22"/>
  <c r="M25" i="22"/>
  <c r="N25" i="22" s="1"/>
  <c r="K25" i="22"/>
  <c r="L25" i="22" s="1"/>
  <c r="N106" i="21"/>
  <c r="O106" i="21" s="1"/>
  <c r="L106" i="21"/>
  <c r="M106" i="21" s="1"/>
  <c r="M25" i="21"/>
  <c r="N25" i="21" s="1"/>
  <c r="O25" i="21" s="1"/>
  <c r="K25" i="21"/>
  <c r="L25" i="21" s="1"/>
  <c r="N106" i="20"/>
  <c r="O106" i="20" s="1"/>
  <c r="L106" i="20"/>
  <c r="M106" i="20" s="1"/>
  <c r="M25" i="20"/>
  <c r="N25" i="20" s="1"/>
  <c r="K25" i="20"/>
  <c r="L25" i="20" s="1"/>
  <c r="N106" i="19"/>
  <c r="O106" i="19" s="1"/>
  <c r="L106" i="19"/>
  <c r="M106" i="19" s="1"/>
  <c r="M25" i="19"/>
  <c r="N25" i="19" s="1"/>
  <c r="K25" i="19"/>
  <c r="L25" i="19" s="1"/>
  <c r="N106" i="18"/>
  <c r="O106" i="18" s="1"/>
  <c r="L106" i="18"/>
  <c r="M106" i="18" s="1"/>
  <c r="M25" i="18"/>
  <c r="N25" i="18" s="1"/>
  <c r="K25" i="18"/>
  <c r="L25" i="18" s="1"/>
  <c r="N106" i="17"/>
  <c r="O106" i="17" s="1"/>
  <c r="L106" i="17"/>
  <c r="M106" i="17" s="1"/>
  <c r="P106" i="17" s="1"/>
  <c r="M25" i="17"/>
  <c r="N25" i="17" s="1"/>
  <c r="K25" i="17"/>
  <c r="L25" i="17" s="1"/>
  <c r="N106" i="3"/>
  <c r="O106" i="3"/>
  <c r="L106" i="3"/>
  <c r="M106" i="3" s="1"/>
  <c r="M25" i="3"/>
  <c r="N25" i="3" s="1"/>
  <c r="K25" i="3"/>
  <c r="L25" i="3" s="1"/>
  <c r="W77" i="36"/>
  <c r="W78" i="36"/>
  <c r="W79" i="36"/>
  <c r="W80" i="36"/>
  <c r="W81" i="36"/>
  <c r="W82" i="36"/>
  <c r="W83" i="36"/>
  <c r="W84" i="36"/>
  <c r="F66" i="2"/>
  <c r="C66" i="2"/>
  <c r="P84" i="36"/>
  <c r="P83" i="36"/>
  <c r="P82" i="36"/>
  <c r="P81" i="36"/>
  <c r="P80" i="36"/>
  <c r="P79" i="36"/>
  <c r="P78" i="36"/>
  <c r="P77" i="36"/>
  <c r="M17" i="85"/>
  <c r="N17" i="85" s="1"/>
  <c r="K17" i="85"/>
  <c r="C17" i="85"/>
  <c r="C17" i="86"/>
  <c r="C18" i="86" s="1"/>
  <c r="C19" i="86" s="1"/>
  <c r="C20" i="86" s="1"/>
  <c r="C21" i="86" s="1"/>
  <c r="C22" i="86" s="1"/>
  <c r="C23" i="86" s="1"/>
  <c r="C24" i="86" s="1"/>
  <c r="C25" i="86" s="1"/>
  <c r="C26" i="86" s="1"/>
  <c r="C27" i="86" s="1"/>
  <c r="C28" i="86" s="1"/>
  <c r="C29" i="86" s="1"/>
  <c r="C30" i="86" s="1"/>
  <c r="C31" i="86" s="1"/>
  <c r="C32" i="86" s="1"/>
  <c r="C33" i="86" s="1"/>
  <c r="C34" i="86" s="1"/>
  <c r="C35" i="86" s="1"/>
  <c r="C36" i="86" s="1"/>
  <c r="C37" i="86" s="1"/>
  <c r="C38" i="86" s="1"/>
  <c r="C39" i="86" s="1"/>
  <c r="C40" i="86" s="1"/>
  <c r="C41" i="86" s="1"/>
  <c r="C42" i="86" s="1"/>
  <c r="C43" i="86" s="1"/>
  <c r="C44" i="86" s="1"/>
  <c r="C45" i="86" s="1"/>
  <c r="C46" i="86" s="1"/>
  <c r="C47" i="86" s="1"/>
  <c r="C48" i="86" s="1"/>
  <c r="C49" i="86" s="1"/>
  <c r="C50" i="86" s="1"/>
  <c r="C51" i="86" s="1"/>
  <c r="C52" i="86" s="1"/>
  <c r="C53" i="86" s="1"/>
  <c r="C54" i="86" s="1"/>
  <c r="C55" i="86" s="1"/>
  <c r="C56" i="86" s="1"/>
  <c r="C57" i="86" s="1"/>
  <c r="C58" i="86" s="1"/>
  <c r="C59" i="86" s="1"/>
  <c r="C60" i="86" s="1"/>
  <c r="C61" i="86" s="1"/>
  <c r="C62" i="86" s="1"/>
  <c r="C63" i="86" s="1"/>
  <c r="C64" i="86" s="1"/>
  <c r="C65" i="86" s="1"/>
  <c r="C66" i="86" s="1"/>
  <c r="C67" i="86" s="1"/>
  <c r="C68" i="86" s="1"/>
  <c r="C69" i="86" s="1"/>
  <c r="C70" i="86" s="1"/>
  <c r="C71" i="86" s="1"/>
  <c r="C72" i="86" s="1"/>
  <c r="C17" i="87"/>
  <c r="C18" i="87" s="1"/>
  <c r="C17" i="88"/>
  <c r="C17" i="89"/>
  <c r="C18" i="89" s="1"/>
  <c r="C17" i="90"/>
  <c r="C17" i="91"/>
  <c r="C18" i="91" s="1"/>
  <c r="C19" i="91" s="1"/>
  <c r="C17" i="92"/>
  <c r="E17" i="13"/>
  <c r="C17" i="13"/>
  <c r="W76" i="36"/>
  <c r="P76" i="36"/>
  <c r="P1" i="92"/>
  <c r="P83" i="92" s="1"/>
  <c r="P1" i="91"/>
  <c r="P83" i="91" s="1"/>
  <c r="P1" i="90"/>
  <c r="P83" i="90" s="1"/>
  <c r="P1" i="89"/>
  <c r="P83" i="89" s="1"/>
  <c r="P1" i="88"/>
  <c r="P83" i="88" s="1"/>
  <c r="P1" i="87"/>
  <c r="P83" i="87" s="1"/>
  <c r="P1" i="86"/>
  <c r="P83" i="86" s="1"/>
  <c r="P1" i="85"/>
  <c r="P83" i="85" s="1"/>
  <c r="P1" i="84"/>
  <c r="P83" i="84" s="1"/>
  <c r="P154" i="92"/>
  <c r="O154" i="92"/>
  <c r="M154" i="92"/>
  <c r="J154" i="92"/>
  <c r="P153" i="92"/>
  <c r="O153" i="92"/>
  <c r="M153" i="92"/>
  <c r="J153" i="92"/>
  <c r="P152" i="92"/>
  <c r="O152" i="92"/>
  <c r="M152" i="92"/>
  <c r="J152" i="92"/>
  <c r="P151" i="92"/>
  <c r="O151" i="92"/>
  <c r="M151" i="92"/>
  <c r="J151" i="92"/>
  <c r="P150" i="92"/>
  <c r="O150" i="92"/>
  <c r="M150" i="92"/>
  <c r="J150" i="92"/>
  <c r="P149" i="92"/>
  <c r="O149" i="92"/>
  <c r="M149" i="92"/>
  <c r="J149" i="92"/>
  <c r="P148" i="92"/>
  <c r="O148" i="92"/>
  <c r="M148" i="92"/>
  <c r="J148" i="92"/>
  <c r="P147" i="92"/>
  <c r="O147" i="92"/>
  <c r="M147" i="92"/>
  <c r="J147" i="92"/>
  <c r="P146" i="92"/>
  <c r="O146" i="92"/>
  <c r="M146" i="92"/>
  <c r="J146" i="92"/>
  <c r="P145" i="92"/>
  <c r="O145" i="92"/>
  <c r="M145" i="92"/>
  <c r="J145" i="92"/>
  <c r="P144" i="92"/>
  <c r="O144" i="92"/>
  <c r="M144" i="92"/>
  <c r="J144" i="92"/>
  <c r="P143" i="92"/>
  <c r="O143" i="92"/>
  <c r="M143" i="92"/>
  <c r="J143" i="92"/>
  <c r="P142" i="92"/>
  <c r="O142" i="92"/>
  <c r="M142" i="92"/>
  <c r="J142" i="92"/>
  <c r="P141" i="92"/>
  <c r="O141" i="92"/>
  <c r="M141" i="92"/>
  <c r="J141" i="92"/>
  <c r="P140" i="92"/>
  <c r="O140" i="92"/>
  <c r="M140" i="92"/>
  <c r="J140" i="92"/>
  <c r="P139" i="92"/>
  <c r="O139" i="92"/>
  <c r="M139" i="92"/>
  <c r="J139" i="92"/>
  <c r="P138" i="92"/>
  <c r="O138" i="92"/>
  <c r="M138" i="92"/>
  <c r="J138" i="92"/>
  <c r="P137" i="92"/>
  <c r="O137" i="92"/>
  <c r="M137" i="92"/>
  <c r="J137" i="92"/>
  <c r="P136" i="92"/>
  <c r="O136" i="92"/>
  <c r="M136" i="92"/>
  <c r="J136" i="92"/>
  <c r="P135" i="92"/>
  <c r="O135" i="92"/>
  <c r="M135" i="92"/>
  <c r="J135" i="92"/>
  <c r="P134" i="92"/>
  <c r="O134" i="92"/>
  <c r="M134" i="92"/>
  <c r="J134" i="92"/>
  <c r="P133" i="92"/>
  <c r="O133" i="92"/>
  <c r="M133" i="92"/>
  <c r="J133" i="92"/>
  <c r="P132" i="92"/>
  <c r="O132" i="92"/>
  <c r="M132" i="92"/>
  <c r="J132" i="92"/>
  <c r="P131" i="92"/>
  <c r="O131" i="92"/>
  <c r="M131" i="92"/>
  <c r="J131" i="92"/>
  <c r="O130" i="92"/>
  <c r="M130" i="92"/>
  <c r="O129" i="92"/>
  <c r="M129" i="92"/>
  <c r="O128" i="92"/>
  <c r="M128" i="92"/>
  <c r="O127" i="92"/>
  <c r="M127" i="92"/>
  <c r="O126" i="92"/>
  <c r="M126" i="92"/>
  <c r="O125" i="92"/>
  <c r="M125" i="92"/>
  <c r="O124" i="92"/>
  <c r="M124" i="92"/>
  <c r="O123" i="92"/>
  <c r="M123" i="92"/>
  <c r="O122" i="92"/>
  <c r="M122" i="92"/>
  <c r="O121" i="92"/>
  <c r="M121" i="92"/>
  <c r="O120" i="92"/>
  <c r="M120" i="92"/>
  <c r="O119" i="92"/>
  <c r="M119" i="92"/>
  <c r="O118" i="92"/>
  <c r="M118" i="92"/>
  <c r="O117" i="92"/>
  <c r="M117" i="92"/>
  <c r="O116" i="92"/>
  <c r="M116" i="92"/>
  <c r="O115" i="92"/>
  <c r="M115" i="92"/>
  <c r="O114" i="92"/>
  <c r="M114" i="92"/>
  <c r="O113" i="92"/>
  <c r="M113" i="92"/>
  <c r="O112" i="92"/>
  <c r="M112" i="92"/>
  <c r="O111" i="92"/>
  <c r="M111" i="92"/>
  <c r="O110" i="92"/>
  <c r="M110" i="92"/>
  <c r="O109" i="92"/>
  <c r="M109" i="92"/>
  <c r="O108" i="92"/>
  <c r="M108" i="92"/>
  <c r="O107" i="92"/>
  <c r="M107" i="92"/>
  <c r="O106" i="92"/>
  <c r="M106" i="92"/>
  <c r="O105" i="92"/>
  <c r="M105" i="92"/>
  <c r="O104" i="92"/>
  <c r="M104" i="92"/>
  <c r="O102" i="92"/>
  <c r="O101" i="92"/>
  <c r="O100" i="92"/>
  <c r="O99" i="92"/>
  <c r="D96" i="92"/>
  <c r="L93" i="92"/>
  <c r="J93" i="92"/>
  <c r="D91" i="92"/>
  <c r="D89" i="92"/>
  <c r="N72" i="92"/>
  <c r="L72" i="92"/>
  <c r="N71" i="92"/>
  <c r="L71" i="92"/>
  <c r="N70" i="92"/>
  <c r="L70" i="92"/>
  <c r="N69" i="92"/>
  <c r="L69" i="92"/>
  <c r="N68" i="92"/>
  <c r="L68" i="92"/>
  <c r="N67" i="92"/>
  <c r="L67" i="92"/>
  <c r="N66" i="92"/>
  <c r="L66" i="92"/>
  <c r="N65" i="92"/>
  <c r="L65" i="92"/>
  <c r="N64" i="92"/>
  <c r="L64" i="92"/>
  <c r="N63" i="92"/>
  <c r="L63" i="92"/>
  <c r="N62" i="92"/>
  <c r="L62" i="92"/>
  <c r="N61" i="92"/>
  <c r="L61" i="92"/>
  <c r="N60" i="92"/>
  <c r="L60" i="92"/>
  <c r="N59" i="92"/>
  <c r="L59" i="92"/>
  <c r="N58" i="92"/>
  <c r="L58" i="92"/>
  <c r="N57" i="92"/>
  <c r="L57" i="92"/>
  <c r="N56" i="92"/>
  <c r="L56" i="92"/>
  <c r="N55" i="92"/>
  <c r="L55" i="92"/>
  <c r="N54" i="92"/>
  <c r="L54" i="92"/>
  <c r="N53" i="92"/>
  <c r="L53" i="92"/>
  <c r="N52" i="92"/>
  <c r="L52" i="92"/>
  <c r="N51" i="92"/>
  <c r="L51" i="92"/>
  <c r="N50" i="92"/>
  <c r="L50" i="92"/>
  <c r="N49" i="92"/>
  <c r="L49" i="92"/>
  <c r="N48" i="92"/>
  <c r="L48" i="92"/>
  <c r="N47" i="92"/>
  <c r="L47" i="92"/>
  <c r="N46" i="92"/>
  <c r="L46" i="92"/>
  <c r="N45" i="92"/>
  <c r="L45" i="92"/>
  <c r="N44" i="92"/>
  <c r="L44" i="92"/>
  <c r="N43" i="92"/>
  <c r="L43" i="92"/>
  <c r="N42" i="92"/>
  <c r="L42" i="92"/>
  <c r="N41" i="92"/>
  <c r="L41" i="92"/>
  <c r="N40" i="92"/>
  <c r="L40" i="92"/>
  <c r="N39" i="92"/>
  <c r="L39" i="92"/>
  <c r="N38" i="92"/>
  <c r="L38" i="92"/>
  <c r="N37" i="92"/>
  <c r="L37" i="92"/>
  <c r="N36" i="92"/>
  <c r="L36" i="92"/>
  <c r="N35" i="92"/>
  <c r="L35" i="92"/>
  <c r="N34" i="92"/>
  <c r="L34" i="92"/>
  <c r="N33" i="92"/>
  <c r="L33" i="92"/>
  <c r="N32" i="92"/>
  <c r="L32" i="92"/>
  <c r="N31" i="92"/>
  <c r="L31" i="92"/>
  <c r="N30" i="92"/>
  <c r="L30" i="92"/>
  <c r="N29" i="92"/>
  <c r="L29" i="92"/>
  <c r="N28" i="92"/>
  <c r="L28" i="92"/>
  <c r="N27" i="92"/>
  <c r="L27" i="92"/>
  <c r="N26" i="92"/>
  <c r="L26" i="92"/>
  <c r="N25" i="92"/>
  <c r="L25" i="92"/>
  <c r="N24" i="92"/>
  <c r="L24" i="92"/>
  <c r="N22" i="92"/>
  <c r="N21" i="92"/>
  <c r="N20" i="92"/>
  <c r="N19" i="92"/>
  <c r="N17" i="92"/>
  <c r="C18" i="92"/>
  <c r="C19" i="92"/>
  <c r="C20" i="92" s="1"/>
  <c r="C21" i="92" s="1"/>
  <c r="C22" i="92" s="1"/>
  <c r="C23" i="92" s="1"/>
  <c r="C24" i="92" s="1"/>
  <c r="C25" i="92" s="1"/>
  <c r="C26" i="92" s="1"/>
  <c r="C27" i="92" s="1"/>
  <c r="C28" i="92" s="1"/>
  <c r="C29" i="92" s="1"/>
  <c r="C30" i="92" s="1"/>
  <c r="C31" i="92" s="1"/>
  <c r="C32" i="92" s="1"/>
  <c r="C33" i="92" s="1"/>
  <c r="C34" i="92" s="1"/>
  <c r="C35" i="92" s="1"/>
  <c r="C36" i="92" s="1"/>
  <c r="C37" i="92" s="1"/>
  <c r="C38" i="92" s="1"/>
  <c r="C39" i="92" s="1"/>
  <c r="C40" i="92" s="1"/>
  <c r="C41" i="92" s="1"/>
  <c r="C42" i="92" s="1"/>
  <c r="C43" i="92" s="1"/>
  <c r="C44" i="92" s="1"/>
  <c r="C45" i="92" s="1"/>
  <c r="C46" i="92" s="1"/>
  <c r="C47" i="92" s="1"/>
  <c r="C48" i="92" s="1"/>
  <c r="C49" i="92" s="1"/>
  <c r="C50" i="92" s="1"/>
  <c r="C51" i="92" s="1"/>
  <c r="C52" i="92" s="1"/>
  <c r="C53" i="92" s="1"/>
  <c r="C54" i="92" s="1"/>
  <c r="C55" i="92" s="1"/>
  <c r="C56" i="92" s="1"/>
  <c r="C57" i="92" s="1"/>
  <c r="C58" i="92" s="1"/>
  <c r="C59" i="92" s="1"/>
  <c r="C60" i="92" s="1"/>
  <c r="C61" i="92" s="1"/>
  <c r="C62" i="92" s="1"/>
  <c r="C63" i="92" s="1"/>
  <c r="C64" i="92" s="1"/>
  <c r="C65" i="92" s="1"/>
  <c r="C66" i="92" s="1"/>
  <c r="C67" i="92" s="1"/>
  <c r="C68" i="92" s="1"/>
  <c r="C69" i="92" s="1"/>
  <c r="C70" i="92" s="1"/>
  <c r="C71" i="92" s="1"/>
  <c r="C72" i="92" s="1"/>
  <c r="K11" i="92"/>
  <c r="I11" i="92"/>
  <c r="D8" i="92"/>
  <c r="D90" i="92" s="1"/>
  <c r="P154" i="91"/>
  <c r="O154" i="91"/>
  <c r="M154" i="91"/>
  <c r="J154" i="91"/>
  <c r="P153" i="91"/>
  <c r="O153" i="91"/>
  <c r="M153" i="91"/>
  <c r="J153" i="91"/>
  <c r="P152" i="91"/>
  <c r="O152" i="91"/>
  <c r="M152" i="91"/>
  <c r="J152" i="91"/>
  <c r="P151" i="91"/>
  <c r="O151" i="91"/>
  <c r="M151" i="91"/>
  <c r="J151" i="91"/>
  <c r="P150" i="91"/>
  <c r="O150" i="91"/>
  <c r="M150" i="91"/>
  <c r="J150" i="91"/>
  <c r="P149" i="91"/>
  <c r="O149" i="91"/>
  <c r="M149" i="91"/>
  <c r="J149" i="91"/>
  <c r="P148" i="91"/>
  <c r="O148" i="91"/>
  <c r="M148" i="91"/>
  <c r="J148" i="91"/>
  <c r="P147" i="91"/>
  <c r="O147" i="91"/>
  <c r="M147" i="91"/>
  <c r="J147" i="91"/>
  <c r="P146" i="91"/>
  <c r="O146" i="91"/>
  <c r="M146" i="91"/>
  <c r="J146" i="91"/>
  <c r="P145" i="91"/>
  <c r="O145" i="91"/>
  <c r="M145" i="91"/>
  <c r="J145" i="91"/>
  <c r="P144" i="91"/>
  <c r="O144" i="91"/>
  <c r="M144" i="91"/>
  <c r="J144" i="91"/>
  <c r="P143" i="91"/>
  <c r="O143" i="91"/>
  <c r="M143" i="91"/>
  <c r="J143" i="91"/>
  <c r="P142" i="91"/>
  <c r="O142" i="91"/>
  <c r="M142" i="91"/>
  <c r="J142" i="91"/>
  <c r="P141" i="91"/>
  <c r="O141" i="91"/>
  <c r="M141" i="91"/>
  <c r="J141" i="91"/>
  <c r="P140" i="91"/>
  <c r="O140" i="91"/>
  <c r="M140" i="91"/>
  <c r="J140" i="91"/>
  <c r="P139" i="91"/>
  <c r="O139" i="91"/>
  <c r="M139" i="91"/>
  <c r="J139" i="91"/>
  <c r="P138" i="91"/>
  <c r="O138" i="91"/>
  <c r="M138" i="91"/>
  <c r="J138" i="91"/>
  <c r="P137" i="91"/>
  <c r="O137" i="91"/>
  <c r="M137" i="91"/>
  <c r="J137" i="91"/>
  <c r="P136" i="91"/>
  <c r="O136" i="91"/>
  <c r="M136" i="91"/>
  <c r="J136" i="91"/>
  <c r="P135" i="91"/>
  <c r="O135" i="91"/>
  <c r="M135" i="91"/>
  <c r="J135" i="91"/>
  <c r="P134" i="91"/>
  <c r="O134" i="91"/>
  <c r="M134" i="91"/>
  <c r="J134" i="91"/>
  <c r="P133" i="91"/>
  <c r="O133" i="91"/>
  <c r="M133" i="91"/>
  <c r="J133" i="91"/>
  <c r="P132" i="91"/>
  <c r="O132" i="91"/>
  <c r="M132" i="91"/>
  <c r="J132" i="91"/>
  <c r="P131" i="91"/>
  <c r="O131" i="91"/>
  <c r="M131" i="91"/>
  <c r="J131" i="91"/>
  <c r="O130" i="91"/>
  <c r="M130" i="91"/>
  <c r="O129" i="91"/>
  <c r="M129" i="91"/>
  <c r="O128" i="91"/>
  <c r="M128" i="91"/>
  <c r="O127" i="91"/>
  <c r="M127" i="91"/>
  <c r="O126" i="91"/>
  <c r="M126" i="91"/>
  <c r="O125" i="91"/>
  <c r="M125" i="91"/>
  <c r="O124" i="91"/>
  <c r="M124" i="91"/>
  <c r="O123" i="91"/>
  <c r="M123" i="91"/>
  <c r="O122" i="91"/>
  <c r="M122" i="91"/>
  <c r="O121" i="91"/>
  <c r="M121" i="91"/>
  <c r="O120" i="91"/>
  <c r="M120" i="91"/>
  <c r="O119" i="91"/>
  <c r="M119" i="91"/>
  <c r="O118" i="91"/>
  <c r="M118" i="91"/>
  <c r="O117" i="91"/>
  <c r="M117" i="91"/>
  <c r="O116" i="91"/>
  <c r="M116" i="91"/>
  <c r="O115" i="91"/>
  <c r="M115" i="91"/>
  <c r="O114" i="91"/>
  <c r="M114" i="91"/>
  <c r="O113" i="91"/>
  <c r="M113" i="91"/>
  <c r="O112" i="91"/>
  <c r="M112" i="91"/>
  <c r="O111" i="91"/>
  <c r="M111" i="91"/>
  <c r="O110" i="91"/>
  <c r="M110" i="91"/>
  <c r="O109" i="91"/>
  <c r="M109" i="91"/>
  <c r="O108" i="91"/>
  <c r="M108" i="91"/>
  <c r="O107" i="91"/>
  <c r="M107" i="91"/>
  <c r="O106" i="91"/>
  <c r="M106" i="91"/>
  <c r="O105" i="91"/>
  <c r="M105" i="91"/>
  <c r="O104" i="91"/>
  <c r="M104" i="91"/>
  <c r="O102" i="91"/>
  <c r="O101" i="91"/>
  <c r="O100" i="91"/>
  <c r="O99" i="91"/>
  <c r="M99" i="91"/>
  <c r="D96" i="91"/>
  <c r="L93" i="91"/>
  <c r="J93" i="91"/>
  <c r="D91" i="91"/>
  <c r="D89" i="91"/>
  <c r="N72" i="91"/>
  <c r="L72" i="91"/>
  <c r="N71" i="91"/>
  <c r="L71" i="91"/>
  <c r="N70" i="91"/>
  <c r="L70" i="91"/>
  <c r="N69" i="91"/>
  <c r="L69" i="91"/>
  <c r="N68" i="91"/>
  <c r="L68" i="91"/>
  <c r="N67" i="91"/>
  <c r="L67" i="91"/>
  <c r="N66" i="91"/>
  <c r="L66" i="91"/>
  <c r="N65" i="91"/>
  <c r="L65" i="91"/>
  <c r="N64" i="91"/>
  <c r="L64" i="91"/>
  <c r="N63" i="91"/>
  <c r="L63" i="91"/>
  <c r="N62" i="91"/>
  <c r="L62" i="91"/>
  <c r="N61" i="91"/>
  <c r="L61" i="91"/>
  <c r="N60" i="91"/>
  <c r="L60" i="91"/>
  <c r="N59" i="91"/>
  <c r="L59" i="91"/>
  <c r="N58" i="91"/>
  <c r="L58" i="91"/>
  <c r="N57" i="91"/>
  <c r="L57" i="91"/>
  <c r="N56" i="91"/>
  <c r="L56" i="91"/>
  <c r="N55" i="91"/>
  <c r="L55" i="91"/>
  <c r="N54" i="91"/>
  <c r="L54" i="91"/>
  <c r="N53" i="91"/>
  <c r="L53" i="91"/>
  <c r="N52" i="91"/>
  <c r="L52" i="91"/>
  <c r="N51" i="91"/>
  <c r="L51" i="91"/>
  <c r="N50" i="91"/>
  <c r="L50" i="91"/>
  <c r="N49" i="91"/>
  <c r="L49" i="91"/>
  <c r="N48" i="91"/>
  <c r="L48" i="91"/>
  <c r="N47" i="91"/>
  <c r="L47" i="91"/>
  <c r="N46" i="91"/>
  <c r="L46" i="91"/>
  <c r="N45" i="91"/>
  <c r="L45" i="91"/>
  <c r="N44" i="91"/>
  <c r="L44" i="91"/>
  <c r="N43" i="91"/>
  <c r="L43" i="91"/>
  <c r="N42" i="91"/>
  <c r="L42" i="91"/>
  <c r="N41" i="91"/>
  <c r="L41" i="91"/>
  <c r="N40" i="91"/>
  <c r="L40" i="91"/>
  <c r="N39" i="91"/>
  <c r="L39" i="91"/>
  <c r="N38" i="91"/>
  <c r="L38" i="91"/>
  <c r="N37" i="91"/>
  <c r="L37" i="91"/>
  <c r="N36" i="91"/>
  <c r="L36" i="91"/>
  <c r="N35" i="91"/>
  <c r="L35" i="91"/>
  <c r="N34" i="91"/>
  <c r="L34" i="91"/>
  <c r="N33" i="91"/>
  <c r="L33" i="91"/>
  <c r="N32" i="91"/>
  <c r="L32" i="91"/>
  <c r="N31" i="91"/>
  <c r="L31" i="91"/>
  <c r="N30" i="91"/>
  <c r="L30" i="91"/>
  <c r="N29" i="91"/>
  <c r="L29" i="91"/>
  <c r="N28" i="91"/>
  <c r="L28" i="91"/>
  <c r="N27" i="91"/>
  <c r="L27" i="91"/>
  <c r="N26" i="91"/>
  <c r="L26" i="91"/>
  <c r="N25" i="91"/>
  <c r="L25" i="91"/>
  <c r="N24" i="91"/>
  <c r="L24" i="91"/>
  <c r="N22" i="91"/>
  <c r="N21" i="91"/>
  <c r="N20" i="91"/>
  <c r="N19" i="91"/>
  <c r="O19" i="91" s="1"/>
  <c r="N18" i="91"/>
  <c r="N17" i="91"/>
  <c r="C20" i="91"/>
  <c r="C21" i="91" s="1"/>
  <c r="C22" i="91" s="1"/>
  <c r="C23" i="91" s="1"/>
  <c r="C24" i="91" s="1"/>
  <c r="C25" i="91" s="1"/>
  <c r="C26" i="91" s="1"/>
  <c r="C27" i="91" s="1"/>
  <c r="C28" i="91" s="1"/>
  <c r="C29" i="91" s="1"/>
  <c r="C30" i="91" s="1"/>
  <c r="C31" i="91" s="1"/>
  <c r="C32" i="91" s="1"/>
  <c r="C33" i="91" s="1"/>
  <c r="C34" i="91" s="1"/>
  <c r="C35" i="91" s="1"/>
  <c r="C36" i="91" s="1"/>
  <c r="C37" i="91" s="1"/>
  <c r="C38" i="91" s="1"/>
  <c r="C39" i="91" s="1"/>
  <c r="C40" i="91" s="1"/>
  <c r="C41" i="91" s="1"/>
  <c r="C42" i="91" s="1"/>
  <c r="C43" i="91" s="1"/>
  <c r="C44" i="91" s="1"/>
  <c r="C45" i="91" s="1"/>
  <c r="C46" i="91" s="1"/>
  <c r="C47" i="91" s="1"/>
  <c r="C48" i="91" s="1"/>
  <c r="C49" i="91" s="1"/>
  <c r="C50" i="91" s="1"/>
  <c r="C51" i="91" s="1"/>
  <c r="C52" i="91" s="1"/>
  <c r="C53" i="91" s="1"/>
  <c r="C54" i="91" s="1"/>
  <c r="C55" i="91" s="1"/>
  <c r="C56" i="91" s="1"/>
  <c r="C57" i="91" s="1"/>
  <c r="C58" i="91" s="1"/>
  <c r="C59" i="91" s="1"/>
  <c r="C60" i="91" s="1"/>
  <c r="C61" i="91" s="1"/>
  <c r="C62" i="91" s="1"/>
  <c r="C63" i="91" s="1"/>
  <c r="C64" i="91" s="1"/>
  <c r="C65" i="91" s="1"/>
  <c r="C66" i="91" s="1"/>
  <c r="C67" i="91" s="1"/>
  <c r="C68" i="91" s="1"/>
  <c r="C69" i="91" s="1"/>
  <c r="C70" i="91" s="1"/>
  <c r="C71" i="91" s="1"/>
  <c r="C72" i="91" s="1"/>
  <c r="K11" i="91"/>
  <c r="I11" i="91"/>
  <c r="D8" i="91"/>
  <c r="D90" i="91" s="1"/>
  <c r="P154" i="90"/>
  <c r="O154" i="90"/>
  <c r="M154" i="90"/>
  <c r="J154" i="90"/>
  <c r="P153" i="90"/>
  <c r="O153" i="90"/>
  <c r="M153" i="90"/>
  <c r="J153" i="90"/>
  <c r="P152" i="90"/>
  <c r="O152" i="90"/>
  <c r="M152" i="90"/>
  <c r="J152" i="90"/>
  <c r="P151" i="90"/>
  <c r="O151" i="90"/>
  <c r="M151" i="90"/>
  <c r="J151" i="90"/>
  <c r="P150" i="90"/>
  <c r="O150" i="90"/>
  <c r="M150" i="90"/>
  <c r="J150" i="90"/>
  <c r="P149" i="90"/>
  <c r="O149" i="90"/>
  <c r="M149" i="90"/>
  <c r="J149" i="90"/>
  <c r="P148" i="90"/>
  <c r="O148" i="90"/>
  <c r="M148" i="90"/>
  <c r="J148" i="90"/>
  <c r="P147" i="90"/>
  <c r="O147" i="90"/>
  <c r="M147" i="90"/>
  <c r="J147" i="90"/>
  <c r="P146" i="90"/>
  <c r="O146" i="90"/>
  <c r="M146" i="90"/>
  <c r="J146" i="90"/>
  <c r="P145" i="90"/>
  <c r="O145" i="90"/>
  <c r="M145" i="90"/>
  <c r="J145" i="90"/>
  <c r="P144" i="90"/>
  <c r="O144" i="90"/>
  <c r="M144" i="90"/>
  <c r="J144" i="90"/>
  <c r="P143" i="90"/>
  <c r="O143" i="90"/>
  <c r="M143" i="90"/>
  <c r="J143" i="90"/>
  <c r="P142" i="90"/>
  <c r="O142" i="90"/>
  <c r="M142" i="90"/>
  <c r="J142" i="90"/>
  <c r="P141" i="90"/>
  <c r="O141" i="90"/>
  <c r="M141" i="90"/>
  <c r="J141" i="90"/>
  <c r="P140" i="90"/>
  <c r="O140" i="90"/>
  <c r="M140" i="90"/>
  <c r="J140" i="90"/>
  <c r="P139" i="90"/>
  <c r="O139" i="90"/>
  <c r="M139" i="90"/>
  <c r="J139" i="90"/>
  <c r="P138" i="90"/>
  <c r="O138" i="90"/>
  <c r="M138" i="90"/>
  <c r="J138" i="90"/>
  <c r="P137" i="90"/>
  <c r="O137" i="90"/>
  <c r="M137" i="90"/>
  <c r="J137" i="90"/>
  <c r="P136" i="90"/>
  <c r="O136" i="90"/>
  <c r="M136" i="90"/>
  <c r="J136" i="90"/>
  <c r="P135" i="90"/>
  <c r="O135" i="90"/>
  <c r="M135" i="90"/>
  <c r="J135" i="90"/>
  <c r="P134" i="90"/>
  <c r="O134" i="90"/>
  <c r="M134" i="90"/>
  <c r="J134" i="90"/>
  <c r="P133" i="90"/>
  <c r="O133" i="90"/>
  <c r="M133" i="90"/>
  <c r="J133" i="90"/>
  <c r="P132" i="90"/>
  <c r="O132" i="90"/>
  <c r="M132" i="90"/>
  <c r="J132" i="90"/>
  <c r="P131" i="90"/>
  <c r="O131" i="90"/>
  <c r="M131" i="90"/>
  <c r="J131" i="90"/>
  <c r="O130" i="90"/>
  <c r="M130" i="90"/>
  <c r="O129" i="90"/>
  <c r="M129" i="90"/>
  <c r="O128" i="90"/>
  <c r="M128" i="90"/>
  <c r="O127" i="90"/>
  <c r="M127" i="90"/>
  <c r="O126" i="90"/>
  <c r="M126" i="90"/>
  <c r="O125" i="90"/>
  <c r="M125" i="90"/>
  <c r="O124" i="90"/>
  <c r="M124" i="90"/>
  <c r="O123" i="90"/>
  <c r="M123" i="90"/>
  <c r="O122" i="90"/>
  <c r="M122" i="90"/>
  <c r="O121" i="90"/>
  <c r="M121" i="90"/>
  <c r="O120" i="90"/>
  <c r="M120" i="90"/>
  <c r="O119" i="90"/>
  <c r="M119" i="90"/>
  <c r="O118" i="90"/>
  <c r="M118" i="90"/>
  <c r="O117" i="90"/>
  <c r="M117" i="90"/>
  <c r="O116" i="90"/>
  <c r="M116" i="90"/>
  <c r="O115" i="90"/>
  <c r="M115" i="90"/>
  <c r="O114" i="90"/>
  <c r="M114" i="90"/>
  <c r="O113" i="90"/>
  <c r="M113" i="90"/>
  <c r="O112" i="90"/>
  <c r="M112" i="90"/>
  <c r="O111" i="90"/>
  <c r="M111" i="90"/>
  <c r="O110" i="90"/>
  <c r="M110" i="90"/>
  <c r="O109" i="90"/>
  <c r="M109" i="90"/>
  <c r="O108" i="90"/>
  <c r="M108" i="90"/>
  <c r="O107" i="90"/>
  <c r="M107" i="90"/>
  <c r="O106" i="90"/>
  <c r="M106" i="90"/>
  <c r="O105" i="90"/>
  <c r="M105" i="90"/>
  <c r="O104" i="90"/>
  <c r="M104" i="90"/>
  <c r="O102" i="90"/>
  <c r="O101" i="90"/>
  <c r="O100" i="90"/>
  <c r="M99" i="90"/>
  <c r="D96" i="90"/>
  <c r="L93" i="90"/>
  <c r="J93" i="90"/>
  <c r="D91" i="90"/>
  <c r="D89" i="90"/>
  <c r="N72" i="90"/>
  <c r="L72" i="90"/>
  <c r="N71" i="90"/>
  <c r="L71" i="90"/>
  <c r="N70" i="90"/>
  <c r="L70" i="90"/>
  <c r="N69" i="90"/>
  <c r="L69" i="90"/>
  <c r="N68" i="90"/>
  <c r="L68" i="90"/>
  <c r="N67" i="90"/>
  <c r="L67" i="90"/>
  <c r="N66" i="90"/>
  <c r="L66" i="90"/>
  <c r="N65" i="90"/>
  <c r="L65" i="90"/>
  <c r="N64" i="90"/>
  <c r="L64" i="90"/>
  <c r="N63" i="90"/>
  <c r="L63" i="90"/>
  <c r="N62" i="90"/>
  <c r="L62" i="90"/>
  <c r="N61" i="90"/>
  <c r="L61" i="90"/>
  <c r="N60" i="90"/>
  <c r="L60" i="90"/>
  <c r="N59" i="90"/>
  <c r="L59" i="90"/>
  <c r="N58" i="90"/>
  <c r="L58" i="90"/>
  <c r="N57" i="90"/>
  <c r="L57" i="90"/>
  <c r="N56" i="90"/>
  <c r="L56" i="90"/>
  <c r="N55" i="90"/>
  <c r="L55" i="90"/>
  <c r="N54" i="90"/>
  <c r="L54" i="90"/>
  <c r="N53" i="90"/>
  <c r="L53" i="90"/>
  <c r="N52" i="90"/>
  <c r="L52" i="90"/>
  <c r="N51" i="90"/>
  <c r="L51" i="90"/>
  <c r="N50" i="90"/>
  <c r="L50" i="90"/>
  <c r="N49" i="90"/>
  <c r="L49" i="90"/>
  <c r="N48" i="90"/>
  <c r="L48" i="90"/>
  <c r="N47" i="90"/>
  <c r="L47" i="90"/>
  <c r="N46" i="90"/>
  <c r="L46" i="90"/>
  <c r="N45" i="90"/>
  <c r="L45" i="90"/>
  <c r="N44" i="90"/>
  <c r="L44" i="90"/>
  <c r="N43" i="90"/>
  <c r="L43" i="90"/>
  <c r="N42" i="90"/>
  <c r="L42" i="90"/>
  <c r="N41" i="90"/>
  <c r="L41" i="90"/>
  <c r="N40" i="90"/>
  <c r="L40" i="90"/>
  <c r="N39" i="90"/>
  <c r="L39" i="90"/>
  <c r="N38" i="90"/>
  <c r="L38" i="90"/>
  <c r="N37" i="90"/>
  <c r="L37" i="90"/>
  <c r="N36" i="90"/>
  <c r="L36" i="90"/>
  <c r="N35" i="90"/>
  <c r="L35" i="90"/>
  <c r="N34" i="90"/>
  <c r="L34" i="90"/>
  <c r="N33" i="90"/>
  <c r="L33" i="90"/>
  <c r="N32" i="90"/>
  <c r="L32" i="90"/>
  <c r="N31" i="90"/>
  <c r="L31" i="90"/>
  <c r="N30" i="90"/>
  <c r="L30" i="90"/>
  <c r="N29" i="90"/>
  <c r="L29" i="90"/>
  <c r="N28" i="90"/>
  <c r="L28" i="90"/>
  <c r="N27" i="90"/>
  <c r="L27" i="90"/>
  <c r="N26" i="90"/>
  <c r="L26" i="90"/>
  <c r="N25" i="90"/>
  <c r="L25" i="90"/>
  <c r="N24" i="90"/>
  <c r="L24" i="90"/>
  <c r="N22" i="90"/>
  <c r="N21" i="90"/>
  <c r="N20" i="90"/>
  <c r="N19" i="90"/>
  <c r="N18" i="90"/>
  <c r="L18" i="90"/>
  <c r="N17" i="90"/>
  <c r="C18" i="90"/>
  <c r="C19" i="90" s="1"/>
  <c r="C20" i="90" s="1"/>
  <c r="C21" i="90" s="1"/>
  <c r="C22" i="90" s="1"/>
  <c r="C23" i="90" s="1"/>
  <c r="C24" i="90" s="1"/>
  <c r="C25" i="90" s="1"/>
  <c r="C26" i="90" s="1"/>
  <c r="C27" i="90" s="1"/>
  <c r="C28" i="90" s="1"/>
  <c r="C29" i="90" s="1"/>
  <c r="C30" i="90" s="1"/>
  <c r="C31" i="90" s="1"/>
  <c r="C32" i="90" s="1"/>
  <c r="C33" i="90" s="1"/>
  <c r="C34" i="90" s="1"/>
  <c r="C35" i="90" s="1"/>
  <c r="C36" i="90" s="1"/>
  <c r="C37" i="90" s="1"/>
  <c r="C38" i="90" s="1"/>
  <c r="C39" i="90" s="1"/>
  <c r="C40" i="90" s="1"/>
  <c r="C41" i="90" s="1"/>
  <c r="C42" i="90" s="1"/>
  <c r="C43" i="90" s="1"/>
  <c r="C44" i="90" s="1"/>
  <c r="C45" i="90" s="1"/>
  <c r="C46" i="90" s="1"/>
  <c r="C47" i="90" s="1"/>
  <c r="C48" i="90" s="1"/>
  <c r="C49" i="90" s="1"/>
  <c r="C50" i="90" s="1"/>
  <c r="C51" i="90" s="1"/>
  <c r="C52" i="90" s="1"/>
  <c r="C53" i="90" s="1"/>
  <c r="C54" i="90" s="1"/>
  <c r="C55" i="90" s="1"/>
  <c r="C56" i="90" s="1"/>
  <c r="C57" i="90" s="1"/>
  <c r="C58" i="90" s="1"/>
  <c r="C59" i="90" s="1"/>
  <c r="C60" i="90" s="1"/>
  <c r="C61" i="90" s="1"/>
  <c r="C62" i="90" s="1"/>
  <c r="C63" i="90" s="1"/>
  <c r="C64" i="90" s="1"/>
  <c r="C65" i="90" s="1"/>
  <c r="C66" i="90" s="1"/>
  <c r="C67" i="90" s="1"/>
  <c r="C68" i="90" s="1"/>
  <c r="C69" i="90" s="1"/>
  <c r="C70" i="90" s="1"/>
  <c r="C71" i="90" s="1"/>
  <c r="C72" i="90" s="1"/>
  <c r="K11" i="90"/>
  <c r="I11" i="90"/>
  <c r="D8" i="90"/>
  <c r="D90" i="90" s="1"/>
  <c r="P154" i="89"/>
  <c r="O154" i="89"/>
  <c r="M154" i="89"/>
  <c r="J154" i="89"/>
  <c r="P153" i="89"/>
  <c r="O153" i="89"/>
  <c r="M153" i="89"/>
  <c r="J153" i="89"/>
  <c r="P152" i="89"/>
  <c r="O152" i="89"/>
  <c r="M152" i="89"/>
  <c r="J152" i="89"/>
  <c r="P151" i="89"/>
  <c r="O151" i="89"/>
  <c r="M151" i="89"/>
  <c r="J151" i="89"/>
  <c r="P150" i="89"/>
  <c r="O150" i="89"/>
  <c r="M150" i="89"/>
  <c r="J150" i="89"/>
  <c r="P149" i="89"/>
  <c r="O149" i="89"/>
  <c r="M149" i="89"/>
  <c r="J149" i="89"/>
  <c r="P148" i="89"/>
  <c r="O148" i="89"/>
  <c r="M148" i="89"/>
  <c r="J148" i="89"/>
  <c r="P147" i="89"/>
  <c r="O147" i="89"/>
  <c r="M147" i="89"/>
  <c r="J147" i="89"/>
  <c r="P146" i="89"/>
  <c r="O146" i="89"/>
  <c r="M146" i="89"/>
  <c r="J146" i="89"/>
  <c r="P145" i="89"/>
  <c r="O145" i="89"/>
  <c r="M145" i="89"/>
  <c r="J145" i="89"/>
  <c r="P144" i="89"/>
  <c r="O144" i="89"/>
  <c r="M144" i="89"/>
  <c r="J144" i="89"/>
  <c r="P143" i="89"/>
  <c r="O143" i="89"/>
  <c r="M143" i="89"/>
  <c r="J143" i="89"/>
  <c r="P142" i="89"/>
  <c r="O142" i="89"/>
  <c r="M142" i="89"/>
  <c r="J142" i="89"/>
  <c r="P141" i="89"/>
  <c r="O141" i="89"/>
  <c r="M141" i="89"/>
  <c r="J141" i="89"/>
  <c r="P140" i="89"/>
  <c r="O140" i="89"/>
  <c r="M140" i="89"/>
  <c r="J140" i="89"/>
  <c r="P139" i="89"/>
  <c r="O139" i="89"/>
  <c r="M139" i="89"/>
  <c r="J139" i="89"/>
  <c r="P138" i="89"/>
  <c r="O138" i="89"/>
  <c r="M138" i="89"/>
  <c r="J138" i="89"/>
  <c r="P137" i="89"/>
  <c r="O137" i="89"/>
  <c r="M137" i="89"/>
  <c r="J137" i="89"/>
  <c r="P136" i="89"/>
  <c r="O136" i="89"/>
  <c r="M136" i="89"/>
  <c r="J136" i="89"/>
  <c r="P135" i="89"/>
  <c r="O135" i="89"/>
  <c r="M135" i="89"/>
  <c r="J135" i="89"/>
  <c r="P134" i="89"/>
  <c r="O134" i="89"/>
  <c r="M134" i="89"/>
  <c r="J134" i="89"/>
  <c r="P133" i="89"/>
  <c r="O133" i="89"/>
  <c r="M133" i="89"/>
  <c r="J133" i="89"/>
  <c r="P132" i="89"/>
  <c r="O132" i="89"/>
  <c r="M132" i="89"/>
  <c r="J132" i="89"/>
  <c r="P131" i="89"/>
  <c r="O131" i="89"/>
  <c r="M131" i="89"/>
  <c r="J131" i="89"/>
  <c r="O130" i="89"/>
  <c r="M130" i="89"/>
  <c r="O129" i="89"/>
  <c r="M129" i="89"/>
  <c r="O128" i="89"/>
  <c r="M128" i="89"/>
  <c r="O127" i="89"/>
  <c r="M127" i="89"/>
  <c r="O126" i="89"/>
  <c r="M126" i="89"/>
  <c r="O125" i="89"/>
  <c r="M125" i="89"/>
  <c r="O124" i="89"/>
  <c r="M124" i="89"/>
  <c r="O123" i="89"/>
  <c r="M123" i="89"/>
  <c r="O122" i="89"/>
  <c r="M122" i="89"/>
  <c r="O121" i="89"/>
  <c r="M121" i="89"/>
  <c r="O120" i="89"/>
  <c r="M120" i="89"/>
  <c r="O119" i="89"/>
  <c r="M119" i="89"/>
  <c r="O118" i="89"/>
  <c r="M118" i="89"/>
  <c r="O117" i="89"/>
  <c r="M117" i="89"/>
  <c r="O116" i="89"/>
  <c r="M116" i="89"/>
  <c r="O115" i="89"/>
  <c r="M115" i="89"/>
  <c r="O114" i="89"/>
  <c r="M114" i="89"/>
  <c r="O113" i="89"/>
  <c r="M113" i="89"/>
  <c r="O112" i="89"/>
  <c r="M112" i="89"/>
  <c r="O111" i="89"/>
  <c r="M111" i="89"/>
  <c r="O110" i="89"/>
  <c r="M110" i="89"/>
  <c r="O109" i="89"/>
  <c r="M109" i="89"/>
  <c r="O108" i="89"/>
  <c r="M108" i="89"/>
  <c r="O107" i="89"/>
  <c r="M107" i="89"/>
  <c r="O106" i="89"/>
  <c r="M106" i="89"/>
  <c r="O105" i="89"/>
  <c r="M105" i="89"/>
  <c r="O104" i="89"/>
  <c r="M104" i="89"/>
  <c r="O102" i="89"/>
  <c r="O101" i="89"/>
  <c r="O100" i="89"/>
  <c r="O99" i="89"/>
  <c r="M99" i="89"/>
  <c r="D96" i="89"/>
  <c r="L93" i="89"/>
  <c r="J93" i="89"/>
  <c r="D91" i="89"/>
  <c r="D89" i="89"/>
  <c r="N72" i="89"/>
  <c r="L72" i="89"/>
  <c r="N71" i="89"/>
  <c r="L71" i="89"/>
  <c r="N70" i="89"/>
  <c r="L70" i="89"/>
  <c r="N69" i="89"/>
  <c r="L69" i="89"/>
  <c r="N68" i="89"/>
  <c r="L68" i="89"/>
  <c r="N67" i="89"/>
  <c r="L67" i="89"/>
  <c r="N66" i="89"/>
  <c r="L66" i="89"/>
  <c r="N65" i="89"/>
  <c r="L65" i="89"/>
  <c r="N64" i="89"/>
  <c r="L64" i="89"/>
  <c r="N63" i="89"/>
  <c r="L63" i="89"/>
  <c r="N62" i="89"/>
  <c r="L62" i="89"/>
  <c r="N61" i="89"/>
  <c r="L61" i="89"/>
  <c r="N60" i="89"/>
  <c r="L60" i="89"/>
  <c r="N59" i="89"/>
  <c r="L59" i="89"/>
  <c r="N58" i="89"/>
  <c r="L58" i="89"/>
  <c r="N57" i="89"/>
  <c r="L57" i="89"/>
  <c r="N56" i="89"/>
  <c r="L56" i="89"/>
  <c r="N55" i="89"/>
  <c r="L55" i="89"/>
  <c r="N54" i="89"/>
  <c r="L54" i="89"/>
  <c r="N53" i="89"/>
  <c r="L53" i="89"/>
  <c r="N52" i="89"/>
  <c r="L52" i="89"/>
  <c r="N51" i="89"/>
  <c r="L51" i="89"/>
  <c r="N50" i="89"/>
  <c r="L50" i="89"/>
  <c r="N49" i="89"/>
  <c r="L49" i="89"/>
  <c r="N48" i="89"/>
  <c r="L48" i="89"/>
  <c r="N47" i="89"/>
  <c r="L47" i="89"/>
  <c r="N46" i="89"/>
  <c r="L46" i="89"/>
  <c r="N45" i="89"/>
  <c r="L45" i="89"/>
  <c r="N44" i="89"/>
  <c r="L44" i="89"/>
  <c r="N43" i="89"/>
  <c r="L43" i="89"/>
  <c r="N42" i="89"/>
  <c r="L42" i="89"/>
  <c r="N41" i="89"/>
  <c r="L41" i="89"/>
  <c r="N40" i="89"/>
  <c r="L40" i="89"/>
  <c r="N39" i="89"/>
  <c r="L39" i="89"/>
  <c r="N38" i="89"/>
  <c r="L38" i="89"/>
  <c r="N37" i="89"/>
  <c r="L37" i="89"/>
  <c r="N36" i="89"/>
  <c r="L36" i="89"/>
  <c r="N35" i="89"/>
  <c r="L35" i="89"/>
  <c r="N34" i="89"/>
  <c r="L34" i="89"/>
  <c r="N33" i="89"/>
  <c r="L33" i="89"/>
  <c r="N32" i="89"/>
  <c r="L32" i="89"/>
  <c r="N31" i="89"/>
  <c r="L31" i="89"/>
  <c r="N30" i="89"/>
  <c r="L30" i="89"/>
  <c r="N29" i="89"/>
  <c r="L29" i="89"/>
  <c r="N28" i="89"/>
  <c r="L28" i="89"/>
  <c r="N27" i="89"/>
  <c r="L27" i="89"/>
  <c r="N26" i="89"/>
  <c r="L26" i="89"/>
  <c r="N25" i="89"/>
  <c r="L25" i="89"/>
  <c r="N24" i="89"/>
  <c r="L24" i="89"/>
  <c r="N22" i="89"/>
  <c r="N21" i="89"/>
  <c r="N20" i="89"/>
  <c r="N19" i="89"/>
  <c r="O19" i="89" s="1"/>
  <c r="N18" i="89"/>
  <c r="L17" i="89"/>
  <c r="C19" i="89"/>
  <c r="C20" i="89" s="1"/>
  <c r="C21" i="89" s="1"/>
  <c r="C22" i="89" s="1"/>
  <c r="C23" i="89" s="1"/>
  <c r="C24" i="89" s="1"/>
  <c r="C25" i="89" s="1"/>
  <c r="C26" i="89" s="1"/>
  <c r="C27" i="89" s="1"/>
  <c r="C28" i="89" s="1"/>
  <c r="C29" i="89" s="1"/>
  <c r="C30" i="89" s="1"/>
  <c r="C31" i="89" s="1"/>
  <c r="C32" i="89" s="1"/>
  <c r="C33" i="89" s="1"/>
  <c r="C34" i="89" s="1"/>
  <c r="C35" i="89" s="1"/>
  <c r="C36" i="89" s="1"/>
  <c r="C37" i="89" s="1"/>
  <c r="C38" i="89" s="1"/>
  <c r="C39" i="89" s="1"/>
  <c r="C40" i="89" s="1"/>
  <c r="C41" i="89" s="1"/>
  <c r="C42" i="89" s="1"/>
  <c r="C43" i="89" s="1"/>
  <c r="C44" i="89" s="1"/>
  <c r="C45" i="89" s="1"/>
  <c r="C46" i="89" s="1"/>
  <c r="C47" i="89" s="1"/>
  <c r="C48" i="89" s="1"/>
  <c r="C49" i="89" s="1"/>
  <c r="C50" i="89" s="1"/>
  <c r="C51" i="89" s="1"/>
  <c r="C52" i="89" s="1"/>
  <c r="C53" i="89" s="1"/>
  <c r="C54" i="89" s="1"/>
  <c r="C55" i="89" s="1"/>
  <c r="C56" i="89" s="1"/>
  <c r="C57" i="89" s="1"/>
  <c r="C58" i="89" s="1"/>
  <c r="C59" i="89" s="1"/>
  <c r="C60" i="89" s="1"/>
  <c r="C61" i="89" s="1"/>
  <c r="C62" i="89" s="1"/>
  <c r="C63" i="89" s="1"/>
  <c r="C64" i="89" s="1"/>
  <c r="C65" i="89" s="1"/>
  <c r="C66" i="89" s="1"/>
  <c r="C67" i="89" s="1"/>
  <c r="C68" i="89" s="1"/>
  <c r="C69" i="89" s="1"/>
  <c r="C70" i="89" s="1"/>
  <c r="C71" i="89" s="1"/>
  <c r="C72" i="89" s="1"/>
  <c r="K11" i="89"/>
  <c r="I11" i="89"/>
  <c r="D8" i="89"/>
  <c r="D90" i="89" s="1"/>
  <c r="P154" i="88"/>
  <c r="O154" i="88"/>
  <c r="M154" i="88"/>
  <c r="J154" i="88"/>
  <c r="P153" i="88"/>
  <c r="O153" i="88"/>
  <c r="M153" i="88"/>
  <c r="J153" i="88"/>
  <c r="P152" i="88"/>
  <c r="O152" i="88"/>
  <c r="M152" i="88"/>
  <c r="J152" i="88"/>
  <c r="P151" i="88"/>
  <c r="O151" i="88"/>
  <c r="M151" i="88"/>
  <c r="J151" i="88"/>
  <c r="P150" i="88"/>
  <c r="O150" i="88"/>
  <c r="M150" i="88"/>
  <c r="J150" i="88"/>
  <c r="P149" i="88"/>
  <c r="O149" i="88"/>
  <c r="M149" i="88"/>
  <c r="J149" i="88"/>
  <c r="P148" i="88"/>
  <c r="O148" i="88"/>
  <c r="M148" i="88"/>
  <c r="J148" i="88"/>
  <c r="P147" i="88"/>
  <c r="O147" i="88"/>
  <c r="M147" i="88"/>
  <c r="J147" i="88"/>
  <c r="P146" i="88"/>
  <c r="O146" i="88"/>
  <c r="M146" i="88"/>
  <c r="J146" i="88"/>
  <c r="P145" i="88"/>
  <c r="O145" i="88"/>
  <c r="M145" i="88"/>
  <c r="J145" i="88"/>
  <c r="P144" i="88"/>
  <c r="O144" i="88"/>
  <c r="M144" i="88"/>
  <c r="J144" i="88"/>
  <c r="P143" i="88"/>
  <c r="O143" i="88"/>
  <c r="M143" i="88"/>
  <c r="J143" i="88"/>
  <c r="P142" i="88"/>
  <c r="O142" i="88"/>
  <c r="M142" i="88"/>
  <c r="J142" i="88"/>
  <c r="P141" i="88"/>
  <c r="O141" i="88"/>
  <c r="M141" i="88"/>
  <c r="J141" i="88"/>
  <c r="P140" i="88"/>
  <c r="O140" i="88"/>
  <c r="M140" i="88"/>
  <c r="J140" i="88"/>
  <c r="P139" i="88"/>
  <c r="O139" i="88"/>
  <c r="M139" i="88"/>
  <c r="J139" i="88"/>
  <c r="P138" i="88"/>
  <c r="O138" i="88"/>
  <c r="M138" i="88"/>
  <c r="J138" i="88"/>
  <c r="P137" i="88"/>
  <c r="O137" i="88"/>
  <c r="M137" i="88"/>
  <c r="J137" i="88"/>
  <c r="P136" i="88"/>
  <c r="O136" i="88"/>
  <c r="M136" i="88"/>
  <c r="J136" i="88"/>
  <c r="P135" i="88"/>
  <c r="O135" i="88"/>
  <c r="M135" i="88"/>
  <c r="J135" i="88"/>
  <c r="P134" i="88"/>
  <c r="O134" i="88"/>
  <c r="M134" i="88"/>
  <c r="J134" i="88"/>
  <c r="P133" i="88"/>
  <c r="O133" i="88"/>
  <c r="M133" i="88"/>
  <c r="J133" i="88"/>
  <c r="P132" i="88"/>
  <c r="O132" i="88"/>
  <c r="M132" i="88"/>
  <c r="J132" i="88"/>
  <c r="P131" i="88"/>
  <c r="O131" i="88"/>
  <c r="M131" i="88"/>
  <c r="J131" i="88"/>
  <c r="O130" i="88"/>
  <c r="M130" i="88"/>
  <c r="O129" i="88"/>
  <c r="M129" i="88"/>
  <c r="O128" i="88"/>
  <c r="M128" i="88"/>
  <c r="O127" i="88"/>
  <c r="M127" i="88"/>
  <c r="O126" i="88"/>
  <c r="M126" i="88"/>
  <c r="O125" i="88"/>
  <c r="M125" i="88"/>
  <c r="O124" i="88"/>
  <c r="M124" i="88"/>
  <c r="O123" i="88"/>
  <c r="M123" i="88"/>
  <c r="O122" i="88"/>
  <c r="M122" i="88"/>
  <c r="O121" i="88"/>
  <c r="M121" i="88"/>
  <c r="O120" i="88"/>
  <c r="M120" i="88"/>
  <c r="O119" i="88"/>
  <c r="M119" i="88"/>
  <c r="O118" i="88"/>
  <c r="M118" i="88"/>
  <c r="O117" i="88"/>
  <c r="M117" i="88"/>
  <c r="O116" i="88"/>
  <c r="M116" i="88"/>
  <c r="O115" i="88"/>
  <c r="M115" i="88"/>
  <c r="O114" i="88"/>
  <c r="M114" i="88"/>
  <c r="O113" i="88"/>
  <c r="M113" i="88"/>
  <c r="O112" i="88"/>
  <c r="M112" i="88"/>
  <c r="O111" i="88"/>
  <c r="M111" i="88"/>
  <c r="O110" i="88"/>
  <c r="M110" i="88"/>
  <c r="O109" i="88"/>
  <c r="M109" i="88"/>
  <c r="O108" i="88"/>
  <c r="M108" i="88"/>
  <c r="O107" i="88"/>
  <c r="M107" i="88"/>
  <c r="O106" i="88"/>
  <c r="M106" i="88"/>
  <c r="O105" i="88"/>
  <c r="M105" i="88"/>
  <c r="O104" i="88"/>
  <c r="M104" i="88"/>
  <c r="O102" i="88"/>
  <c r="O101" i="88"/>
  <c r="O100" i="88"/>
  <c r="O99" i="88"/>
  <c r="M99" i="88"/>
  <c r="D96" i="88"/>
  <c r="L93" i="88"/>
  <c r="J93" i="88"/>
  <c r="D91" i="88"/>
  <c r="D89" i="88"/>
  <c r="N72" i="88"/>
  <c r="L72" i="88"/>
  <c r="N71" i="88"/>
  <c r="L71" i="88"/>
  <c r="N70" i="88"/>
  <c r="L70" i="88"/>
  <c r="N69" i="88"/>
  <c r="L69" i="88"/>
  <c r="N68" i="88"/>
  <c r="L68" i="88"/>
  <c r="N67" i="88"/>
  <c r="L67" i="88"/>
  <c r="N66" i="88"/>
  <c r="L66" i="88"/>
  <c r="N65" i="88"/>
  <c r="L65" i="88"/>
  <c r="N64" i="88"/>
  <c r="L64" i="88"/>
  <c r="N63" i="88"/>
  <c r="L63" i="88"/>
  <c r="N62" i="88"/>
  <c r="L62" i="88"/>
  <c r="N61" i="88"/>
  <c r="L61" i="88"/>
  <c r="N60" i="88"/>
  <c r="L60" i="88"/>
  <c r="N59" i="88"/>
  <c r="L59" i="88"/>
  <c r="N58" i="88"/>
  <c r="L58" i="88"/>
  <c r="N57" i="88"/>
  <c r="L57" i="88"/>
  <c r="N56" i="88"/>
  <c r="L56" i="88"/>
  <c r="N55" i="88"/>
  <c r="L55" i="88"/>
  <c r="N54" i="88"/>
  <c r="L54" i="88"/>
  <c r="N53" i="88"/>
  <c r="L53" i="88"/>
  <c r="N52" i="88"/>
  <c r="L52" i="88"/>
  <c r="N51" i="88"/>
  <c r="L51" i="88"/>
  <c r="N50" i="88"/>
  <c r="L50" i="88"/>
  <c r="N49" i="88"/>
  <c r="L49" i="88"/>
  <c r="N48" i="88"/>
  <c r="L48" i="88"/>
  <c r="N47" i="88"/>
  <c r="L47" i="88"/>
  <c r="N46" i="88"/>
  <c r="L46" i="88"/>
  <c r="N45" i="88"/>
  <c r="L45" i="88"/>
  <c r="N44" i="88"/>
  <c r="L44" i="88"/>
  <c r="N43" i="88"/>
  <c r="L43" i="88"/>
  <c r="N42" i="88"/>
  <c r="L42" i="88"/>
  <c r="N41" i="88"/>
  <c r="L41" i="88"/>
  <c r="N40" i="88"/>
  <c r="L40" i="88"/>
  <c r="N39" i="88"/>
  <c r="L39" i="88"/>
  <c r="N38" i="88"/>
  <c r="L38" i="88"/>
  <c r="N37" i="88"/>
  <c r="L37" i="88"/>
  <c r="N36" i="88"/>
  <c r="L36" i="88"/>
  <c r="N35" i="88"/>
  <c r="L35" i="88"/>
  <c r="N34" i="88"/>
  <c r="L34" i="88"/>
  <c r="N33" i="88"/>
  <c r="L33" i="88"/>
  <c r="N32" i="88"/>
  <c r="L32" i="88"/>
  <c r="N31" i="88"/>
  <c r="L31" i="88"/>
  <c r="N30" i="88"/>
  <c r="L30" i="88"/>
  <c r="N29" i="88"/>
  <c r="L29" i="88"/>
  <c r="N28" i="88"/>
  <c r="L28" i="88"/>
  <c r="N27" i="88"/>
  <c r="L27" i="88"/>
  <c r="N26" i="88"/>
  <c r="L26" i="88"/>
  <c r="N25" i="88"/>
  <c r="L25" i="88"/>
  <c r="N24" i="88"/>
  <c r="L24" i="88"/>
  <c r="N22" i="88"/>
  <c r="N21" i="88"/>
  <c r="N20" i="88"/>
  <c r="N19" i="88"/>
  <c r="L18" i="88"/>
  <c r="C18" i="88"/>
  <c r="C19" i="88" s="1"/>
  <c r="C20" i="88" s="1"/>
  <c r="C21" i="88" s="1"/>
  <c r="C22" i="88" s="1"/>
  <c r="C23" i="88" s="1"/>
  <c r="C24" i="88" s="1"/>
  <c r="C25" i="88" s="1"/>
  <c r="C26" i="88" s="1"/>
  <c r="C27" i="88" s="1"/>
  <c r="C28" i="88" s="1"/>
  <c r="C29" i="88" s="1"/>
  <c r="C30" i="88" s="1"/>
  <c r="C31" i="88" s="1"/>
  <c r="C32" i="88" s="1"/>
  <c r="C33" i="88" s="1"/>
  <c r="C34" i="88" s="1"/>
  <c r="C35" i="88" s="1"/>
  <c r="C36" i="88" s="1"/>
  <c r="C37" i="88" s="1"/>
  <c r="C38" i="88" s="1"/>
  <c r="C39" i="88" s="1"/>
  <c r="C40" i="88" s="1"/>
  <c r="C41" i="88" s="1"/>
  <c r="C42" i="88" s="1"/>
  <c r="C43" i="88" s="1"/>
  <c r="C44" i="88" s="1"/>
  <c r="C45" i="88" s="1"/>
  <c r="C46" i="88" s="1"/>
  <c r="C47" i="88" s="1"/>
  <c r="C48" i="88" s="1"/>
  <c r="C49" i="88" s="1"/>
  <c r="C50" i="88" s="1"/>
  <c r="C51" i="88" s="1"/>
  <c r="C52" i="88" s="1"/>
  <c r="C53" i="88" s="1"/>
  <c r="C54" i="88" s="1"/>
  <c r="C55" i="88" s="1"/>
  <c r="C56" i="88" s="1"/>
  <c r="C57" i="88" s="1"/>
  <c r="C58" i="88" s="1"/>
  <c r="C59" i="88" s="1"/>
  <c r="C60" i="88" s="1"/>
  <c r="C61" i="88" s="1"/>
  <c r="C62" i="88" s="1"/>
  <c r="C63" i="88" s="1"/>
  <c r="C64" i="88" s="1"/>
  <c r="C65" i="88" s="1"/>
  <c r="C66" i="88" s="1"/>
  <c r="C67" i="88" s="1"/>
  <c r="C68" i="88" s="1"/>
  <c r="C69" i="88" s="1"/>
  <c r="C70" i="88" s="1"/>
  <c r="C71" i="88" s="1"/>
  <c r="C72" i="88" s="1"/>
  <c r="K11" i="88"/>
  <c r="I11" i="88"/>
  <c r="D8" i="88"/>
  <c r="D90" i="88" s="1"/>
  <c r="P154" i="87"/>
  <c r="O154" i="87"/>
  <c r="M154" i="87"/>
  <c r="J154" i="87"/>
  <c r="P153" i="87"/>
  <c r="O153" i="87"/>
  <c r="M153" i="87"/>
  <c r="J153" i="87"/>
  <c r="P152" i="87"/>
  <c r="O152" i="87"/>
  <c r="M152" i="87"/>
  <c r="J152" i="87"/>
  <c r="P151" i="87"/>
  <c r="O151" i="87"/>
  <c r="M151" i="87"/>
  <c r="J151" i="87"/>
  <c r="P150" i="87"/>
  <c r="O150" i="87"/>
  <c r="M150" i="87"/>
  <c r="J150" i="87"/>
  <c r="P149" i="87"/>
  <c r="O149" i="87"/>
  <c r="M149" i="87"/>
  <c r="J149" i="87"/>
  <c r="P148" i="87"/>
  <c r="O148" i="87"/>
  <c r="M148" i="87"/>
  <c r="J148" i="87"/>
  <c r="P147" i="87"/>
  <c r="O147" i="87"/>
  <c r="M147" i="87"/>
  <c r="J147" i="87"/>
  <c r="P146" i="87"/>
  <c r="O146" i="87"/>
  <c r="M146" i="87"/>
  <c r="J146" i="87"/>
  <c r="P145" i="87"/>
  <c r="O145" i="87"/>
  <c r="M145" i="87"/>
  <c r="J145" i="87"/>
  <c r="P144" i="87"/>
  <c r="O144" i="87"/>
  <c r="M144" i="87"/>
  <c r="J144" i="87"/>
  <c r="P143" i="87"/>
  <c r="O143" i="87"/>
  <c r="M143" i="87"/>
  <c r="J143" i="87"/>
  <c r="P142" i="87"/>
  <c r="O142" i="87"/>
  <c r="M142" i="87"/>
  <c r="J142" i="87"/>
  <c r="P141" i="87"/>
  <c r="O141" i="87"/>
  <c r="M141" i="87"/>
  <c r="J141" i="87"/>
  <c r="P140" i="87"/>
  <c r="O140" i="87"/>
  <c r="M140" i="87"/>
  <c r="J140" i="87"/>
  <c r="P139" i="87"/>
  <c r="O139" i="87"/>
  <c r="M139" i="87"/>
  <c r="J139" i="87"/>
  <c r="P138" i="87"/>
  <c r="O138" i="87"/>
  <c r="M138" i="87"/>
  <c r="J138" i="87"/>
  <c r="P137" i="87"/>
  <c r="O137" i="87"/>
  <c r="M137" i="87"/>
  <c r="J137" i="87"/>
  <c r="P136" i="87"/>
  <c r="O136" i="87"/>
  <c r="M136" i="87"/>
  <c r="J136" i="87"/>
  <c r="P135" i="87"/>
  <c r="O135" i="87"/>
  <c r="M135" i="87"/>
  <c r="J135" i="87"/>
  <c r="P134" i="87"/>
  <c r="O134" i="87"/>
  <c r="M134" i="87"/>
  <c r="J134" i="87"/>
  <c r="P133" i="87"/>
  <c r="O133" i="87"/>
  <c r="M133" i="87"/>
  <c r="J133" i="87"/>
  <c r="P132" i="87"/>
  <c r="O132" i="87"/>
  <c r="M132" i="87"/>
  <c r="J132" i="87"/>
  <c r="P131" i="87"/>
  <c r="O131" i="87"/>
  <c r="M131" i="87"/>
  <c r="J131" i="87"/>
  <c r="O130" i="87"/>
  <c r="M130" i="87"/>
  <c r="O129" i="87"/>
  <c r="M129" i="87"/>
  <c r="O128" i="87"/>
  <c r="M128" i="87"/>
  <c r="O127" i="87"/>
  <c r="M127" i="87"/>
  <c r="O126" i="87"/>
  <c r="M126" i="87"/>
  <c r="O125" i="87"/>
  <c r="M125" i="87"/>
  <c r="O124" i="87"/>
  <c r="M124" i="87"/>
  <c r="O123" i="87"/>
  <c r="M123" i="87"/>
  <c r="O122" i="87"/>
  <c r="M122" i="87"/>
  <c r="O121" i="87"/>
  <c r="M121" i="87"/>
  <c r="O120" i="87"/>
  <c r="M120" i="87"/>
  <c r="O119" i="87"/>
  <c r="M119" i="87"/>
  <c r="O118" i="87"/>
  <c r="M118" i="87"/>
  <c r="O117" i="87"/>
  <c r="M117" i="87"/>
  <c r="O116" i="87"/>
  <c r="M116" i="87"/>
  <c r="O115" i="87"/>
  <c r="M115" i="87"/>
  <c r="O114" i="87"/>
  <c r="M114" i="87"/>
  <c r="O113" i="87"/>
  <c r="M113" i="87"/>
  <c r="O112" i="87"/>
  <c r="M112" i="87"/>
  <c r="O111" i="87"/>
  <c r="M111" i="87"/>
  <c r="O110" i="87"/>
  <c r="M110" i="87"/>
  <c r="O109" i="87"/>
  <c r="M109" i="87"/>
  <c r="O108" i="87"/>
  <c r="M108" i="87"/>
  <c r="O107" i="87"/>
  <c r="M107" i="87"/>
  <c r="O106" i="87"/>
  <c r="M106" i="87"/>
  <c r="O105" i="87"/>
  <c r="M105" i="87"/>
  <c r="O104" i="87"/>
  <c r="M104" i="87"/>
  <c r="O102" i="87"/>
  <c r="O101" i="87"/>
  <c r="O100" i="87"/>
  <c r="O99" i="87"/>
  <c r="P99" i="87" s="1"/>
  <c r="M99" i="87"/>
  <c r="D96" i="87"/>
  <c r="L93" i="87"/>
  <c r="J93" i="87"/>
  <c r="D91" i="87"/>
  <c r="D89" i="87"/>
  <c r="N72" i="87"/>
  <c r="L72" i="87"/>
  <c r="N71" i="87"/>
  <c r="L71" i="87"/>
  <c r="N70" i="87"/>
  <c r="L70" i="87"/>
  <c r="N69" i="87"/>
  <c r="L69" i="87"/>
  <c r="N68" i="87"/>
  <c r="L68" i="87"/>
  <c r="N67" i="87"/>
  <c r="L67" i="87"/>
  <c r="N66" i="87"/>
  <c r="L66" i="87"/>
  <c r="N65" i="87"/>
  <c r="L65" i="87"/>
  <c r="N64" i="87"/>
  <c r="L64" i="87"/>
  <c r="N63" i="87"/>
  <c r="L63" i="87"/>
  <c r="N62" i="87"/>
  <c r="L62" i="87"/>
  <c r="N61" i="87"/>
  <c r="L61" i="87"/>
  <c r="N60" i="87"/>
  <c r="L60" i="87"/>
  <c r="N59" i="87"/>
  <c r="L59" i="87"/>
  <c r="N58" i="87"/>
  <c r="L58" i="87"/>
  <c r="N57" i="87"/>
  <c r="L57" i="87"/>
  <c r="N56" i="87"/>
  <c r="L56" i="87"/>
  <c r="N55" i="87"/>
  <c r="L55" i="87"/>
  <c r="N54" i="87"/>
  <c r="L54" i="87"/>
  <c r="N53" i="87"/>
  <c r="L53" i="87"/>
  <c r="N52" i="87"/>
  <c r="L52" i="87"/>
  <c r="N51" i="87"/>
  <c r="L51" i="87"/>
  <c r="N50" i="87"/>
  <c r="L50" i="87"/>
  <c r="N49" i="87"/>
  <c r="L49" i="87"/>
  <c r="N48" i="87"/>
  <c r="L48" i="87"/>
  <c r="N47" i="87"/>
  <c r="L47" i="87"/>
  <c r="N46" i="87"/>
  <c r="L46" i="87"/>
  <c r="N45" i="87"/>
  <c r="L45" i="87"/>
  <c r="N44" i="87"/>
  <c r="L44" i="87"/>
  <c r="N43" i="87"/>
  <c r="L43" i="87"/>
  <c r="N42" i="87"/>
  <c r="L42" i="87"/>
  <c r="N41" i="87"/>
  <c r="L41" i="87"/>
  <c r="N40" i="87"/>
  <c r="L40" i="87"/>
  <c r="N39" i="87"/>
  <c r="L39" i="87"/>
  <c r="N38" i="87"/>
  <c r="L38" i="87"/>
  <c r="N37" i="87"/>
  <c r="L37" i="87"/>
  <c r="N36" i="87"/>
  <c r="L36" i="87"/>
  <c r="N35" i="87"/>
  <c r="L35" i="87"/>
  <c r="N34" i="87"/>
  <c r="L34" i="87"/>
  <c r="N33" i="87"/>
  <c r="L33" i="87"/>
  <c r="N32" i="87"/>
  <c r="L32" i="87"/>
  <c r="N31" i="87"/>
  <c r="L31" i="87"/>
  <c r="N30" i="87"/>
  <c r="L30" i="87"/>
  <c r="N29" i="87"/>
  <c r="L29" i="87"/>
  <c r="N28" i="87"/>
  <c r="L28" i="87"/>
  <c r="N27" i="87"/>
  <c r="L27" i="87"/>
  <c r="N26" i="87"/>
  <c r="L26" i="87"/>
  <c r="N25" i="87"/>
  <c r="L25" i="87"/>
  <c r="N24" i="87"/>
  <c r="L24" i="87"/>
  <c r="N22" i="87"/>
  <c r="N21" i="87"/>
  <c r="N20" i="87"/>
  <c r="N19" i="87"/>
  <c r="L18" i="87"/>
  <c r="N17" i="87"/>
  <c r="C19" i="87"/>
  <c r="C20" i="87" s="1"/>
  <c r="C21" i="87" s="1"/>
  <c r="C22" i="87" s="1"/>
  <c r="C23" i="87" s="1"/>
  <c r="C24" i="87" s="1"/>
  <c r="C25" i="87" s="1"/>
  <c r="C26" i="87" s="1"/>
  <c r="C27" i="87" s="1"/>
  <c r="C28" i="87" s="1"/>
  <c r="C29" i="87" s="1"/>
  <c r="C30" i="87" s="1"/>
  <c r="C31" i="87" s="1"/>
  <c r="C32" i="87" s="1"/>
  <c r="C33" i="87" s="1"/>
  <c r="C34" i="87" s="1"/>
  <c r="C35" i="87" s="1"/>
  <c r="C36" i="87" s="1"/>
  <c r="C37" i="87" s="1"/>
  <c r="C38" i="87" s="1"/>
  <c r="C39" i="87" s="1"/>
  <c r="C40" i="87" s="1"/>
  <c r="C41" i="87" s="1"/>
  <c r="C42" i="87" s="1"/>
  <c r="C43" i="87" s="1"/>
  <c r="C44" i="87" s="1"/>
  <c r="C45" i="87" s="1"/>
  <c r="C46" i="87" s="1"/>
  <c r="C47" i="87" s="1"/>
  <c r="C48" i="87" s="1"/>
  <c r="C49" i="87" s="1"/>
  <c r="C50" i="87" s="1"/>
  <c r="C51" i="87" s="1"/>
  <c r="C52" i="87" s="1"/>
  <c r="C53" i="87" s="1"/>
  <c r="C54" i="87" s="1"/>
  <c r="C55" i="87" s="1"/>
  <c r="C56" i="87" s="1"/>
  <c r="C57" i="87" s="1"/>
  <c r="C58" i="87" s="1"/>
  <c r="C59" i="87" s="1"/>
  <c r="C60" i="87" s="1"/>
  <c r="C61" i="87" s="1"/>
  <c r="C62" i="87" s="1"/>
  <c r="C63" i="87" s="1"/>
  <c r="C64" i="87" s="1"/>
  <c r="C65" i="87" s="1"/>
  <c r="C66" i="87" s="1"/>
  <c r="C67" i="87" s="1"/>
  <c r="C68" i="87" s="1"/>
  <c r="C69" i="87" s="1"/>
  <c r="C70" i="87" s="1"/>
  <c r="C71" i="87" s="1"/>
  <c r="C72" i="87" s="1"/>
  <c r="K11" i="87"/>
  <c r="I11" i="87"/>
  <c r="D8" i="87"/>
  <c r="D90" i="87" s="1"/>
  <c r="P154" i="86"/>
  <c r="O154" i="86"/>
  <c r="M154" i="86"/>
  <c r="J154" i="86"/>
  <c r="P153" i="86"/>
  <c r="O153" i="86"/>
  <c r="M153" i="86"/>
  <c r="J153" i="86"/>
  <c r="P152" i="86"/>
  <c r="O152" i="86"/>
  <c r="M152" i="86"/>
  <c r="J152" i="86"/>
  <c r="P151" i="86"/>
  <c r="O151" i="86"/>
  <c r="M151" i="86"/>
  <c r="J151" i="86"/>
  <c r="P150" i="86"/>
  <c r="O150" i="86"/>
  <c r="M150" i="86"/>
  <c r="J150" i="86"/>
  <c r="P149" i="86"/>
  <c r="O149" i="86"/>
  <c r="M149" i="86"/>
  <c r="J149" i="86"/>
  <c r="P148" i="86"/>
  <c r="O148" i="86"/>
  <c r="M148" i="86"/>
  <c r="J148" i="86"/>
  <c r="P147" i="86"/>
  <c r="O147" i="86"/>
  <c r="M147" i="86"/>
  <c r="J147" i="86"/>
  <c r="P146" i="86"/>
  <c r="O146" i="86"/>
  <c r="M146" i="86"/>
  <c r="J146" i="86"/>
  <c r="P145" i="86"/>
  <c r="O145" i="86"/>
  <c r="M145" i="86"/>
  <c r="J145" i="86"/>
  <c r="P144" i="86"/>
  <c r="O144" i="86"/>
  <c r="M144" i="86"/>
  <c r="J144" i="86"/>
  <c r="P143" i="86"/>
  <c r="O143" i="86"/>
  <c r="M143" i="86"/>
  <c r="J143" i="86"/>
  <c r="P142" i="86"/>
  <c r="O142" i="86"/>
  <c r="M142" i="86"/>
  <c r="J142" i="86"/>
  <c r="P141" i="86"/>
  <c r="O141" i="86"/>
  <c r="M141" i="86"/>
  <c r="J141" i="86"/>
  <c r="P140" i="86"/>
  <c r="O140" i="86"/>
  <c r="M140" i="86"/>
  <c r="J140" i="86"/>
  <c r="P139" i="86"/>
  <c r="O139" i="86"/>
  <c r="M139" i="86"/>
  <c r="J139" i="86"/>
  <c r="P138" i="86"/>
  <c r="O138" i="86"/>
  <c r="M138" i="86"/>
  <c r="J138" i="86"/>
  <c r="P137" i="86"/>
  <c r="O137" i="86"/>
  <c r="M137" i="86"/>
  <c r="J137" i="86"/>
  <c r="P136" i="86"/>
  <c r="O136" i="86"/>
  <c r="M136" i="86"/>
  <c r="J136" i="86"/>
  <c r="P135" i="86"/>
  <c r="O135" i="86"/>
  <c r="M135" i="86"/>
  <c r="J135" i="86"/>
  <c r="P134" i="86"/>
  <c r="O134" i="86"/>
  <c r="M134" i="86"/>
  <c r="J134" i="86"/>
  <c r="P133" i="86"/>
  <c r="O133" i="86"/>
  <c r="M133" i="86"/>
  <c r="J133" i="86"/>
  <c r="P132" i="86"/>
  <c r="O132" i="86"/>
  <c r="M132" i="86"/>
  <c r="J132" i="86"/>
  <c r="P131" i="86"/>
  <c r="O131" i="86"/>
  <c r="M131" i="86"/>
  <c r="J131" i="86"/>
  <c r="O130" i="86"/>
  <c r="M130" i="86"/>
  <c r="O129" i="86"/>
  <c r="M129" i="86"/>
  <c r="O128" i="86"/>
  <c r="M128" i="86"/>
  <c r="O127" i="86"/>
  <c r="M127" i="86"/>
  <c r="O126" i="86"/>
  <c r="M126" i="86"/>
  <c r="O125" i="86"/>
  <c r="M125" i="86"/>
  <c r="O124" i="86"/>
  <c r="M124" i="86"/>
  <c r="O123" i="86"/>
  <c r="M123" i="86"/>
  <c r="O122" i="86"/>
  <c r="M122" i="86"/>
  <c r="O121" i="86"/>
  <c r="M121" i="86"/>
  <c r="O120" i="86"/>
  <c r="M120" i="86"/>
  <c r="O119" i="86"/>
  <c r="M119" i="86"/>
  <c r="O118" i="86"/>
  <c r="M118" i="86"/>
  <c r="O117" i="86"/>
  <c r="M117" i="86"/>
  <c r="O116" i="86"/>
  <c r="M116" i="86"/>
  <c r="O115" i="86"/>
  <c r="M115" i="86"/>
  <c r="O114" i="86"/>
  <c r="M114" i="86"/>
  <c r="O113" i="86"/>
  <c r="M113" i="86"/>
  <c r="O112" i="86"/>
  <c r="M112" i="86"/>
  <c r="O111" i="86"/>
  <c r="M111" i="86"/>
  <c r="O110" i="86"/>
  <c r="M110" i="86"/>
  <c r="O109" i="86"/>
  <c r="M109" i="86"/>
  <c r="O108" i="86"/>
  <c r="M108" i="86"/>
  <c r="O107" i="86"/>
  <c r="M107" i="86"/>
  <c r="O106" i="86"/>
  <c r="M106" i="86"/>
  <c r="O105" i="86"/>
  <c r="M105" i="86"/>
  <c r="O103" i="86"/>
  <c r="O102" i="86"/>
  <c r="O101" i="86"/>
  <c r="O100" i="86"/>
  <c r="M99" i="86"/>
  <c r="D96" i="86"/>
  <c r="L93" i="86"/>
  <c r="J93" i="86"/>
  <c r="D91" i="86"/>
  <c r="D89" i="86"/>
  <c r="N72" i="86"/>
  <c r="L72" i="86"/>
  <c r="N71" i="86"/>
  <c r="L71" i="86"/>
  <c r="N70" i="86"/>
  <c r="L70" i="86"/>
  <c r="N69" i="86"/>
  <c r="L69" i="86"/>
  <c r="N68" i="86"/>
  <c r="L68" i="86"/>
  <c r="N67" i="86"/>
  <c r="L67" i="86"/>
  <c r="N66" i="86"/>
  <c r="L66" i="86"/>
  <c r="N65" i="86"/>
  <c r="L65" i="86"/>
  <c r="N64" i="86"/>
  <c r="L64" i="86"/>
  <c r="N63" i="86"/>
  <c r="L63" i="86"/>
  <c r="N62" i="86"/>
  <c r="L62" i="86"/>
  <c r="N61" i="86"/>
  <c r="L61" i="86"/>
  <c r="N60" i="86"/>
  <c r="L60" i="86"/>
  <c r="N59" i="86"/>
  <c r="L59" i="86"/>
  <c r="N58" i="86"/>
  <c r="L58" i="86"/>
  <c r="N57" i="86"/>
  <c r="L57" i="86"/>
  <c r="N56" i="86"/>
  <c r="L56" i="86"/>
  <c r="N55" i="86"/>
  <c r="L55" i="86"/>
  <c r="N54" i="86"/>
  <c r="L54" i="86"/>
  <c r="N53" i="86"/>
  <c r="L53" i="86"/>
  <c r="N52" i="86"/>
  <c r="L52" i="86"/>
  <c r="N51" i="86"/>
  <c r="L51" i="86"/>
  <c r="N50" i="86"/>
  <c r="L50" i="86"/>
  <c r="N49" i="86"/>
  <c r="L49" i="86"/>
  <c r="N48" i="86"/>
  <c r="L48" i="86"/>
  <c r="N47" i="86"/>
  <c r="L47" i="86"/>
  <c r="N46" i="86"/>
  <c r="L46" i="86"/>
  <c r="N45" i="86"/>
  <c r="L45" i="86"/>
  <c r="N44" i="86"/>
  <c r="L44" i="86"/>
  <c r="N43" i="86"/>
  <c r="L43" i="86"/>
  <c r="N42" i="86"/>
  <c r="L42" i="86"/>
  <c r="N41" i="86"/>
  <c r="L41" i="86"/>
  <c r="N40" i="86"/>
  <c r="L40" i="86"/>
  <c r="N39" i="86"/>
  <c r="L39" i="86"/>
  <c r="N38" i="86"/>
  <c r="L38" i="86"/>
  <c r="N37" i="86"/>
  <c r="L37" i="86"/>
  <c r="N36" i="86"/>
  <c r="L36" i="86"/>
  <c r="N35" i="86"/>
  <c r="L35" i="86"/>
  <c r="N34" i="86"/>
  <c r="L34" i="86"/>
  <c r="N33" i="86"/>
  <c r="L33" i="86"/>
  <c r="N32" i="86"/>
  <c r="L32" i="86"/>
  <c r="N31" i="86"/>
  <c r="L31" i="86"/>
  <c r="N30" i="86"/>
  <c r="L30" i="86"/>
  <c r="N29" i="86"/>
  <c r="L29" i="86"/>
  <c r="N28" i="86"/>
  <c r="L28" i="86"/>
  <c r="N27" i="86"/>
  <c r="L27" i="86"/>
  <c r="N26" i="86"/>
  <c r="L26" i="86"/>
  <c r="N25" i="86"/>
  <c r="L25" i="86"/>
  <c r="N23" i="86"/>
  <c r="N22" i="86"/>
  <c r="N21" i="86"/>
  <c r="N20" i="86"/>
  <c r="N19" i="86"/>
  <c r="N18" i="86"/>
  <c r="N17" i="86"/>
  <c r="L17" i="86"/>
  <c r="K11" i="86"/>
  <c r="I11" i="86"/>
  <c r="D8" i="86"/>
  <c r="D90" i="86" s="1"/>
  <c r="P154" i="85"/>
  <c r="O154" i="85"/>
  <c r="M154" i="85"/>
  <c r="J154" i="85"/>
  <c r="P153" i="85"/>
  <c r="O153" i="85"/>
  <c r="M153" i="85"/>
  <c r="J153" i="85"/>
  <c r="P152" i="85"/>
  <c r="O152" i="85"/>
  <c r="M152" i="85"/>
  <c r="J152" i="85"/>
  <c r="P151" i="85"/>
  <c r="O151" i="85"/>
  <c r="M151" i="85"/>
  <c r="J151" i="85"/>
  <c r="P150" i="85"/>
  <c r="O150" i="85"/>
  <c r="M150" i="85"/>
  <c r="J150" i="85"/>
  <c r="P149" i="85"/>
  <c r="O149" i="85"/>
  <c r="M149" i="85"/>
  <c r="J149" i="85"/>
  <c r="P148" i="85"/>
  <c r="O148" i="85"/>
  <c r="M148" i="85"/>
  <c r="J148" i="85"/>
  <c r="P147" i="85"/>
  <c r="O147" i="85"/>
  <c r="M147" i="85"/>
  <c r="J147" i="85"/>
  <c r="P146" i="85"/>
  <c r="O146" i="85"/>
  <c r="M146" i="85"/>
  <c r="J146" i="85"/>
  <c r="P145" i="85"/>
  <c r="O145" i="85"/>
  <c r="M145" i="85"/>
  <c r="J145" i="85"/>
  <c r="P144" i="85"/>
  <c r="O144" i="85"/>
  <c r="M144" i="85"/>
  <c r="J144" i="85"/>
  <c r="P143" i="85"/>
  <c r="O143" i="85"/>
  <c r="M143" i="85"/>
  <c r="J143" i="85"/>
  <c r="P142" i="85"/>
  <c r="O142" i="85"/>
  <c r="M142" i="85"/>
  <c r="J142" i="85"/>
  <c r="P141" i="85"/>
  <c r="O141" i="85"/>
  <c r="M141" i="85"/>
  <c r="J141" i="85"/>
  <c r="P140" i="85"/>
  <c r="O140" i="85"/>
  <c r="M140" i="85"/>
  <c r="J140" i="85"/>
  <c r="P139" i="85"/>
  <c r="O139" i="85"/>
  <c r="M139" i="85"/>
  <c r="J139" i="85"/>
  <c r="P138" i="85"/>
  <c r="O138" i="85"/>
  <c r="M138" i="85"/>
  <c r="J138" i="85"/>
  <c r="P137" i="85"/>
  <c r="O137" i="85"/>
  <c r="M137" i="85"/>
  <c r="J137" i="85"/>
  <c r="P136" i="85"/>
  <c r="O136" i="85"/>
  <c r="M136" i="85"/>
  <c r="J136" i="85"/>
  <c r="P135" i="85"/>
  <c r="O135" i="85"/>
  <c r="M135" i="85"/>
  <c r="J135" i="85"/>
  <c r="P134" i="85"/>
  <c r="O134" i="85"/>
  <c r="M134" i="85"/>
  <c r="J134" i="85"/>
  <c r="P133" i="85"/>
  <c r="O133" i="85"/>
  <c r="M133" i="85"/>
  <c r="J133" i="85"/>
  <c r="P132" i="85"/>
  <c r="O132" i="85"/>
  <c r="M132" i="85"/>
  <c r="J132" i="85"/>
  <c r="P131" i="85"/>
  <c r="O131" i="85"/>
  <c r="M131" i="85"/>
  <c r="J131" i="85"/>
  <c r="O130" i="85"/>
  <c r="M130" i="85"/>
  <c r="O129" i="85"/>
  <c r="M129" i="85"/>
  <c r="O128" i="85"/>
  <c r="M128" i="85"/>
  <c r="O127" i="85"/>
  <c r="M127" i="85"/>
  <c r="O126" i="85"/>
  <c r="M126" i="85"/>
  <c r="O125" i="85"/>
  <c r="M125" i="85"/>
  <c r="O124" i="85"/>
  <c r="M124" i="85"/>
  <c r="O123" i="85"/>
  <c r="M123" i="85"/>
  <c r="O122" i="85"/>
  <c r="M122" i="85"/>
  <c r="O121" i="85"/>
  <c r="M121" i="85"/>
  <c r="O120" i="85"/>
  <c r="M120" i="85"/>
  <c r="O119" i="85"/>
  <c r="M119" i="85"/>
  <c r="O118" i="85"/>
  <c r="M118" i="85"/>
  <c r="O117" i="85"/>
  <c r="M117" i="85"/>
  <c r="O116" i="85"/>
  <c r="M116" i="85"/>
  <c r="O115" i="85"/>
  <c r="M115" i="85"/>
  <c r="O114" i="85"/>
  <c r="M114" i="85"/>
  <c r="O113" i="85"/>
  <c r="M113" i="85"/>
  <c r="O112" i="85"/>
  <c r="M112" i="85"/>
  <c r="O111" i="85"/>
  <c r="M111" i="85"/>
  <c r="O110" i="85"/>
  <c r="M110" i="85"/>
  <c r="O109" i="85"/>
  <c r="M109" i="85"/>
  <c r="O108" i="85"/>
  <c r="M108" i="85"/>
  <c r="O107" i="85"/>
  <c r="M107" i="85"/>
  <c r="O106" i="85"/>
  <c r="M106" i="85"/>
  <c r="O105" i="85"/>
  <c r="M105" i="85"/>
  <c r="O103" i="85"/>
  <c r="O102" i="85"/>
  <c r="O101" i="85"/>
  <c r="O100" i="85"/>
  <c r="M100" i="85"/>
  <c r="O99" i="85"/>
  <c r="P99" i="85" s="1"/>
  <c r="D96" i="85"/>
  <c r="L93" i="85"/>
  <c r="J93" i="85"/>
  <c r="D91" i="85"/>
  <c r="D89" i="85"/>
  <c r="N72" i="85"/>
  <c r="L72" i="85"/>
  <c r="N71" i="85"/>
  <c r="L71" i="85"/>
  <c r="N70" i="85"/>
  <c r="L70" i="85"/>
  <c r="N69" i="85"/>
  <c r="L69" i="85"/>
  <c r="N68" i="85"/>
  <c r="L68" i="85"/>
  <c r="N67" i="85"/>
  <c r="L67" i="85"/>
  <c r="N66" i="85"/>
  <c r="L66" i="85"/>
  <c r="N65" i="85"/>
  <c r="L65" i="85"/>
  <c r="N64" i="85"/>
  <c r="L64" i="85"/>
  <c r="N63" i="85"/>
  <c r="L63" i="85"/>
  <c r="N62" i="85"/>
  <c r="L62" i="85"/>
  <c r="N61" i="85"/>
  <c r="L61" i="85"/>
  <c r="N60" i="85"/>
  <c r="L60" i="85"/>
  <c r="N59" i="85"/>
  <c r="L59" i="85"/>
  <c r="N58" i="85"/>
  <c r="L58" i="85"/>
  <c r="N57" i="85"/>
  <c r="L57" i="85"/>
  <c r="N56" i="85"/>
  <c r="L56" i="85"/>
  <c r="N55" i="85"/>
  <c r="L55" i="85"/>
  <c r="N54" i="85"/>
  <c r="L54" i="85"/>
  <c r="N53" i="85"/>
  <c r="L53" i="85"/>
  <c r="N52" i="85"/>
  <c r="L52" i="85"/>
  <c r="N51" i="85"/>
  <c r="L51" i="85"/>
  <c r="N50" i="85"/>
  <c r="L50" i="85"/>
  <c r="N49" i="85"/>
  <c r="L49" i="85"/>
  <c r="N48" i="85"/>
  <c r="L48" i="85"/>
  <c r="N47" i="85"/>
  <c r="L47" i="85"/>
  <c r="N46" i="85"/>
  <c r="L46" i="85"/>
  <c r="N45" i="85"/>
  <c r="L45" i="85"/>
  <c r="N44" i="85"/>
  <c r="L44" i="85"/>
  <c r="N43" i="85"/>
  <c r="L43" i="85"/>
  <c r="N42" i="85"/>
  <c r="L42" i="85"/>
  <c r="N41" i="85"/>
  <c r="L41" i="85"/>
  <c r="N40" i="85"/>
  <c r="L40" i="85"/>
  <c r="N39" i="85"/>
  <c r="L39" i="85"/>
  <c r="N38" i="85"/>
  <c r="L38" i="85"/>
  <c r="N37" i="85"/>
  <c r="L37" i="85"/>
  <c r="N36" i="85"/>
  <c r="L36" i="85"/>
  <c r="N35" i="85"/>
  <c r="L35" i="85"/>
  <c r="N34" i="85"/>
  <c r="L34" i="85"/>
  <c r="N33" i="85"/>
  <c r="L33" i="85"/>
  <c r="N32" i="85"/>
  <c r="L32" i="85"/>
  <c r="N31" i="85"/>
  <c r="L31" i="85"/>
  <c r="N30" i="85"/>
  <c r="L30" i="85"/>
  <c r="N29" i="85"/>
  <c r="L29" i="85"/>
  <c r="N28" i="85"/>
  <c r="L28" i="85"/>
  <c r="N27" i="85"/>
  <c r="L27" i="85"/>
  <c r="N26" i="85"/>
  <c r="L26" i="85"/>
  <c r="N25" i="85"/>
  <c r="L25" i="85"/>
  <c r="N23" i="85"/>
  <c r="N22" i="85"/>
  <c r="N21" i="85"/>
  <c r="N20" i="85"/>
  <c r="O20" i="85" s="1"/>
  <c r="N18" i="85"/>
  <c r="L18" i="85"/>
  <c r="L17" i="85"/>
  <c r="C18" i="85"/>
  <c r="C19" i="85" s="1"/>
  <c r="C20" i="85" s="1"/>
  <c r="C21" i="85" s="1"/>
  <c r="C22" i="85" s="1"/>
  <c r="C23" i="85" s="1"/>
  <c r="C24" i="85" s="1"/>
  <c r="C25" i="85" s="1"/>
  <c r="C26" i="85" s="1"/>
  <c r="C27" i="85" s="1"/>
  <c r="C28" i="85" s="1"/>
  <c r="C29" i="85" s="1"/>
  <c r="C30" i="85" s="1"/>
  <c r="C31" i="85" s="1"/>
  <c r="C32" i="85" s="1"/>
  <c r="C33" i="85" s="1"/>
  <c r="C34" i="85" s="1"/>
  <c r="C35" i="85" s="1"/>
  <c r="C36" i="85" s="1"/>
  <c r="C37" i="85" s="1"/>
  <c r="C38" i="85" s="1"/>
  <c r="C39" i="85" s="1"/>
  <c r="C40" i="85" s="1"/>
  <c r="C41" i="85" s="1"/>
  <c r="C42" i="85" s="1"/>
  <c r="C43" i="85" s="1"/>
  <c r="C44" i="85" s="1"/>
  <c r="K11" i="85"/>
  <c r="I11" i="85"/>
  <c r="D8" i="85"/>
  <c r="D90" i="85" s="1"/>
  <c r="C99" i="86"/>
  <c r="C100" i="86" s="1"/>
  <c r="C101" i="86" s="1"/>
  <c r="C102" i="86" s="1"/>
  <c r="C103" i="86" s="1"/>
  <c r="C104" i="86" s="1"/>
  <c r="C105" i="86" s="1"/>
  <c r="C106" i="86" s="1"/>
  <c r="C107" i="86" s="1"/>
  <c r="C108" i="86" s="1"/>
  <c r="C109" i="86" s="1"/>
  <c r="C110" i="86" s="1"/>
  <c r="C111" i="86" s="1"/>
  <c r="C112" i="86" s="1"/>
  <c r="C113" i="86" s="1"/>
  <c r="C114" i="86" s="1"/>
  <c r="C115" i="86" s="1"/>
  <c r="C116" i="86" s="1"/>
  <c r="C117" i="86" s="1"/>
  <c r="C118" i="86" s="1"/>
  <c r="C119" i="86" s="1"/>
  <c r="C120" i="86" s="1"/>
  <c r="C121" i="86" s="1"/>
  <c r="C122" i="86" s="1"/>
  <c r="C123" i="86" s="1"/>
  <c r="C124" i="86" s="1"/>
  <c r="C125" i="86" s="1"/>
  <c r="C126" i="86" s="1"/>
  <c r="C127" i="86" s="1"/>
  <c r="C128" i="86" s="1"/>
  <c r="C129" i="86" s="1"/>
  <c r="C130" i="86" s="1"/>
  <c r="C131" i="86" s="1"/>
  <c r="C132" i="86" s="1"/>
  <c r="C133" i="86" s="1"/>
  <c r="C134" i="86" s="1"/>
  <c r="C135" i="86" s="1"/>
  <c r="C136" i="86" s="1"/>
  <c r="C137" i="86" s="1"/>
  <c r="C138" i="86" s="1"/>
  <c r="C139" i="86" s="1"/>
  <c r="C140" i="86" s="1"/>
  <c r="C141" i="86" s="1"/>
  <c r="C142" i="86" s="1"/>
  <c r="C143" i="86" s="1"/>
  <c r="C144" i="86" s="1"/>
  <c r="C145" i="86" s="1"/>
  <c r="C146" i="86" s="1"/>
  <c r="C147" i="86" s="1"/>
  <c r="C148" i="86" s="1"/>
  <c r="C149" i="86" s="1"/>
  <c r="C150" i="86" s="1"/>
  <c r="C151" i="86" s="1"/>
  <c r="C152" i="86" s="1"/>
  <c r="C153" i="86" s="1"/>
  <c r="C154" i="86" s="1"/>
  <c r="M17" i="84"/>
  <c r="N17" i="84" s="1"/>
  <c r="K17" i="84"/>
  <c r="M17" i="83"/>
  <c r="K17" i="83"/>
  <c r="L17" i="83" s="1"/>
  <c r="M17" i="82"/>
  <c r="N17" i="82" s="1"/>
  <c r="K17" i="82"/>
  <c r="M17" i="81"/>
  <c r="K17" i="81"/>
  <c r="L17" i="81" s="1"/>
  <c r="M17" i="80"/>
  <c r="N17" i="80" s="1"/>
  <c r="O17" i="80" s="1"/>
  <c r="K17" i="80"/>
  <c r="N99" i="79"/>
  <c r="L99" i="79"/>
  <c r="M18" i="79"/>
  <c r="N18" i="79" s="1"/>
  <c r="O18" i="79" s="1"/>
  <c r="K18" i="79"/>
  <c r="L18" i="79" s="1"/>
  <c r="N99" i="78"/>
  <c r="L99" i="78"/>
  <c r="M18" i="78"/>
  <c r="N18" i="78" s="1"/>
  <c r="K18" i="78"/>
  <c r="L18" i="78" s="1"/>
  <c r="N99" i="77"/>
  <c r="L99" i="77"/>
  <c r="M99" i="77" s="1"/>
  <c r="M18" i="77"/>
  <c r="N18" i="77" s="1"/>
  <c r="K18" i="77"/>
  <c r="L18" i="77" s="1"/>
  <c r="N99" i="76"/>
  <c r="L99" i="76"/>
  <c r="M18" i="76"/>
  <c r="N18" i="76" s="1"/>
  <c r="K18" i="76"/>
  <c r="L18" i="76" s="1"/>
  <c r="N99" i="75"/>
  <c r="L99" i="75"/>
  <c r="M18" i="75"/>
  <c r="N18" i="75" s="1"/>
  <c r="K18" i="75"/>
  <c r="L18" i="75" s="1"/>
  <c r="N103" i="74"/>
  <c r="L103" i="74"/>
  <c r="M103" i="74" s="1"/>
  <c r="N104" i="73"/>
  <c r="O104" i="73" s="1"/>
  <c r="L104" i="73"/>
  <c r="M23" i="73"/>
  <c r="N23" i="73" s="1"/>
  <c r="K23" i="73"/>
  <c r="L23" i="73" s="1"/>
  <c r="N102" i="72"/>
  <c r="O102" i="72" s="1"/>
  <c r="P102" i="72" s="1"/>
  <c r="L102" i="72"/>
  <c r="M21" i="72"/>
  <c r="N21" i="72" s="1"/>
  <c r="K21" i="72"/>
  <c r="L21" i="72" s="1"/>
  <c r="N106" i="71"/>
  <c r="O106" i="71" s="1"/>
  <c r="L106" i="71"/>
  <c r="M25" i="71"/>
  <c r="N25" i="71" s="1"/>
  <c r="K25" i="71"/>
  <c r="L25" i="71" s="1"/>
  <c r="N107" i="69"/>
  <c r="O107" i="69" s="1"/>
  <c r="L107" i="69"/>
  <c r="N107" i="70"/>
  <c r="L107" i="70"/>
  <c r="M107" i="70" s="1"/>
  <c r="M26" i="70"/>
  <c r="N26" i="70" s="1"/>
  <c r="O26" i="70" s="1"/>
  <c r="K26" i="70"/>
  <c r="L26" i="70" s="1"/>
  <c r="M26" i="69"/>
  <c r="N26" i="69" s="1"/>
  <c r="K26" i="69"/>
  <c r="L26" i="69" s="1"/>
  <c r="M19" i="68"/>
  <c r="N19" i="68" s="1"/>
  <c r="K19" i="68"/>
  <c r="L19" i="68" s="1"/>
  <c r="N100" i="68"/>
  <c r="O100" i="68" s="1"/>
  <c r="P100" i="68" s="1"/>
  <c r="L100" i="68"/>
  <c r="M100" i="68" s="1"/>
  <c r="N100" i="67"/>
  <c r="O100" i="67" s="1"/>
  <c r="L100" i="67"/>
  <c r="M100" i="67" s="1"/>
  <c r="M19" i="67"/>
  <c r="N19" i="67" s="1"/>
  <c r="K19" i="67"/>
  <c r="L19" i="67" s="1"/>
  <c r="N100" i="66"/>
  <c r="O100" i="66" s="1"/>
  <c r="L100" i="66"/>
  <c r="M100" i="66" s="1"/>
  <c r="M19" i="66"/>
  <c r="N19" i="66" s="1"/>
  <c r="K19" i="66"/>
  <c r="L19" i="66" s="1"/>
  <c r="N100" i="65"/>
  <c r="O100" i="65" s="1"/>
  <c r="P100" i="65" s="1"/>
  <c r="L100" i="65"/>
  <c r="M100" i="65" s="1"/>
  <c r="M19" i="65"/>
  <c r="N19" i="65" s="1"/>
  <c r="K19" i="65"/>
  <c r="L19" i="65" s="1"/>
  <c r="N101" i="64"/>
  <c r="O101" i="64" s="1"/>
  <c r="L101" i="64"/>
  <c r="M101" i="64" s="1"/>
  <c r="M20" i="64"/>
  <c r="N20" i="64" s="1"/>
  <c r="O20" i="64" s="1"/>
  <c r="K20" i="64"/>
  <c r="L20" i="64" s="1"/>
  <c r="N101" i="60"/>
  <c r="O101" i="60" s="1"/>
  <c r="L101" i="60"/>
  <c r="M101" i="60" s="1"/>
  <c r="M20" i="60"/>
  <c r="N20" i="60" s="1"/>
  <c r="K20" i="60"/>
  <c r="L20" i="60" s="1"/>
  <c r="N101" i="62"/>
  <c r="O101" i="62"/>
  <c r="P101" i="62" s="1"/>
  <c r="L101" i="62"/>
  <c r="M101" i="62" s="1"/>
  <c r="M20" i="62"/>
  <c r="N20" i="62" s="1"/>
  <c r="K20" i="62"/>
  <c r="L20" i="62" s="1"/>
  <c r="N101" i="63"/>
  <c r="O101" i="63" s="1"/>
  <c r="L101" i="63"/>
  <c r="M101" i="63" s="1"/>
  <c r="M20" i="63"/>
  <c r="N20" i="63" s="1"/>
  <c r="K20" i="63"/>
  <c r="L20" i="63" s="1"/>
  <c r="N101" i="59"/>
  <c r="O101" i="59" s="1"/>
  <c r="L101" i="59"/>
  <c r="M101" i="59" s="1"/>
  <c r="M20" i="59"/>
  <c r="N20" i="59" s="1"/>
  <c r="K20" i="59"/>
  <c r="L20" i="59" s="1"/>
  <c r="M21" i="58"/>
  <c r="N21" i="58" s="1"/>
  <c r="K21" i="58"/>
  <c r="L21" i="58" s="1"/>
  <c r="N102" i="57"/>
  <c r="O102" i="57" s="1"/>
  <c r="L102" i="57"/>
  <c r="M102" i="57" s="1"/>
  <c r="M21" i="57"/>
  <c r="N21" i="57" s="1"/>
  <c r="K21" i="57"/>
  <c r="L21" i="57" s="1"/>
  <c r="N102" i="56"/>
  <c r="O102" i="56" s="1"/>
  <c r="L102" i="56"/>
  <c r="M102" i="56" s="1"/>
  <c r="M21" i="56"/>
  <c r="N21" i="56" s="1"/>
  <c r="K21" i="56"/>
  <c r="L21" i="56" s="1"/>
  <c r="N102" i="55"/>
  <c r="O102" i="55"/>
  <c r="M102" i="55"/>
  <c r="L102" i="55"/>
  <c r="M21" i="55"/>
  <c r="N21" i="55" s="1"/>
  <c r="K21" i="55"/>
  <c r="L21" i="55" s="1"/>
  <c r="N102" i="54"/>
  <c r="O102" i="54" s="1"/>
  <c r="L102" i="54"/>
  <c r="M102" i="54" s="1"/>
  <c r="M21" i="54"/>
  <c r="N21" i="54" s="1"/>
  <c r="K21" i="54"/>
  <c r="L21" i="54" s="1"/>
  <c r="N102" i="53"/>
  <c r="O102" i="53" s="1"/>
  <c r="P102" i="53" s="1"/>
  <c r="L102" i="53"/>
  <c r="M102" i="53" s="1"/>
  <c r="M21" i="53"/>
  <c r="N21" i="53" s="1"/>
  <c r="K21" i="53"/>
  <c r="L21" i="53" s="1"/>
  <c r="N102" i="46"/>
  <c r="O102" i="46" s="1"/>
  <c r="L102" i="46"/>
  <c r="M102" i="46" s="1"/>
  <c r="M21" i="46"/>
  <c r="N21" i="46" s="1"/>
  <c r="O21" i="46" s="1"/>
  <c r="K21" i="46"/>
  <c r="L21" i="46" s="1"/>
  <c r="N103" i="45"/>
  <c r="O103" i="45" s="1"/>
  <c r="L103" i="45"/>
  <c r="M103" i="45" s="1"/>
  <c r="M22" i="45"/>
  <c r="N22" i="45" s="1"/>
  <c r="K22" i="45"/>
  <c r="L22" i="45" s="1"/>
  <c r="N104" i="44"/>
  <c r="O104" i="44" s="1"/>
  <c r="L104" i="44"/>
  <c r="M104" i="44" s="1"/>
  <c r="M23" i="44"/>
  <c r="N23" i="44" s="1"/>
  <c r="K23" i="44"/>
  <c r="L23" i="44" s="1"/>
  <c r="N104" i="43"/>
  <c r="O104" i="43" s="1"/>
  <c r="L104" i="43"/>
  <c r="M104" i="43" s="1"/>
  <c r="M23" i="43"/>
  <c r="N23" i="43" s="1"/>
  <c r="K23" i="43"/>
  <c r="L23" i="43" s="1"/>
  <c r="N104" i="42"/>
  <c r="O104" i="42" s="1"/>
  <c r="P104" i="42" s="1"/>
  <c r="L104" i="42"/>
  <c r="M104" i="42" s="1"/>
  <c r="M23" i="42"/>
  <c r="N23" i="42" s="1"/>
  <c r="O23" i="42" s="1"/>
  <c r="K23" i="42"/>
  <c r="L23" i="42" s="1"/>
  <c r="N104" i="41"/>
  <c r="O104" i="41" s="1"/>
  <c r="L104" i="41"/>
  <c r="M104" i="41" s="1"/>
  <c r="M23" i="41"/>
  <c r="N23" i="41" s="1"/>
  <c r="K23" i="41"/>
  <c r="L23" i="41" s="1"/>
  <c r="N104" i="39"/>
  <c r="O104" i="39" s="1"/>
  <c r="L104" i="39"/>
  <c r="M104" i="39" s="1"/>
  <c r="M23" i="39"/>
  <c r="N23" i="39" s="1"/>
  <c r="K23" i="39"/>
  <c r="L23" i="39" s="1"/>
  <c r="N106" i="34"/>
  <c r="O106" i="34" s="1"/>
  <c r="L106" i="34"/>
  <c r="M106" i="34" s="1"/>
  <c r="M25" i="34"/>
  <c r="N25" i="34" s="1"/>
  <c r="K25" i="34"/>
  <c r="L25" i="34" s="1"/>
  <c r="N106" i="32"/>
  <c r="O106" i="32" s="1"/>
  <c r="P106" i="32" s="1"/>
  <c r="L106" i="32"/>
  <c r="M106" i="32" s="1"/>
  <c r="M25" i="32"/>
  <c r="N25" i="32" s="1"/>
  <c r="O25" i="32" s="1"/>
  <c r="K25" i="32"/>
  <c r="L25" i="32" s="1"/>
  <c r="N106" i="31"/>
  <c r="O106" i="31" s="1"/>
  <c r="P106" i="31" s="1"/>
  <c r="L106" i="31"/>
  <c r="M106" i="31" s="1"/>
  <c r="M25" i="31"/>
  <c r="N25" i="31" s="1"/>
  <c r="K25" i="31"/>
  <c r="L25" i="31" s="1"/>
  <c r="N107" i="30"/>
  <c r="O107" i="30" s="1"/>
  <c r="L107" i="30"/>
  <c r="M107" i="30" s="1"/>
  <c r="M26" i="30"/>
  <c r="N26" i="30" s="1"/>
  <c r="K26" i="30"/>
  <c r="L26" i="30" s="1"/>
  <c r="N107" i="29"/>
  <c r="O107" i="29" s="1"/>
  <c r="L107" i="29"/>
  <c r="M107" i="29" s="1"/>
  <c r="M26" i="29"/>
  <c r="N26" i="29" s="1"/>
  <c r="K26" i="29"/>
  <c r="L26" i="29" s="1"/>
  <c r="N108" i="28"/>
  <c r="O108" i="28" s="1"/>
  <c r="L108" i="28"/>
  <c r="M108" i="28" s="1"/>
  <c r="M27" i="28"/>
  <c r="N27" i="28" s="1"/>
  <c r="K27" i="28"/>
  <c r="L27" i="28" s="1"/>
  <c r="N107" i="27"/>
  <c r="O107" i="27" s="1"/>
  <c r="L107" i="27"/>
  <c r="M107" i="27" s="1"/>
  <c r="P107" i="27" s="1"/>
  <c r="M26" i="27"/>
  <c r="N26" i="27" s="1"/>
  <c r="K26" i="27"/>
  <c r="L26" i="27" s="1"/>
  <c r="N106" i="24"/>
  <c r="O106" i="24" s="1"/>
  <c r="L106" i="24"/>
  <c r="M106" i="24" s="1"/>
  <c r="M25" i="24"/>
  <c r="N25" i="24" s="1"/>
  <c r="K25" i="24"/>
  <c r="L25" i="24" s="1"/>
  <c r="N106" i="23"/>
  <c r="O106" i="23" s="1"/>
  <c r="L106" i="23"/>
  <c r="M106" i="23" s="1"/>
  <c r="M25" i="23"/>
  <c r="N25" i="23" s="1"/>
  <c r="K25" i="23"/>
  <c r="L25" i="23" s="1"/>
  <c r="M24" i="22"/>
  <c r="N24" i="22" s="1"/>
  <c r="K24" i="22"/>
  <c r="L24" i="22" s="1"/>
  <c r="N105" i="22"/>
  <c r="O105" i="22" s="1"/>
  <c r="L105" i="22"/>
  <c r="M105" i="22" s="1"/>
  <c r="N105" i="21"/>
  <c r="O105" i="21" s="1"/>
  <c r="L105" i="21"/>
  <c r="M105" i="21" s="1"/>
  <c r="M24" i="21"/>
  <c r="N24" i="21" s="1"/>
  <c r="K24" i="21"/>
  <c r="L24" i="21" s="1"/>
  <c r="N105" i="20"/>
  <c r="O105" i="20" s="1"/>
  <c r="L105" i="20"/>
  <c r="M105" i="20" s="1"/>
  <c r="M24" i="20"/>
  <c r="N24" i="20" s="1"/>
  <c r="K24" i="20"/>
  <c r="L24" i="20" s="1"/>
  <c r="N105" i="19"/>
  <c r="O105" i="19" s="1"/>
  <c r="L105" i="19"/>
  <c r="M105" i="19" s="1"/>
  <c r="M24" i="19"/>
  <c r="N24" i="19" s="1"/>
  <c r="K24" i="19"/>
  <c r="L24" i="19" s="1"/>
  <c r="N105" i="18"/>
  <c r="O105" i="18" s="1"/>
  <c r="L105" i="18"/>
  <c r="M105" i="18" s="1"/>
  <c r="M24" i="18"/>
  <c r="N24" i="18" s="1"/>
  <c r="K24" i="18"/>
  <c r="L24" i="18" s="1"/>
  <c r="N105" i="17"/>
  <c r="O105" i="17" s="1"/>
  <c r="L105" i="17"/>
  <c r="M105" i="17" s="1"/>
  <c r="M24" i="17"/>
  <c r="N24" i="17" s="1"/>
  <c r="K24" i="17"/>
  <c r="L24" i="17" s="1"/>
  <c r="N105" i="3"/>
  <c r="O105" i="3" s="1"/>
  <c r="L105" i="3"/>
  <c r="M105" i="3" s="1"/>
  <c r="M24" i="3"/>
  <c r="N24" i="3" s="1"/>
  <c r="K24" i="3"/>
  <c r="L24" i="3" s="1"/>
  <c r="D90" i="70"/>
  <c r="D90" i="71"/>
  <c r="D90" i="72" s="1"/>
  <c r="D90" i="73" s="1"/>
  <c r="D88" i="74" s="1"/>
  <c r="P1" i="83"/>
  <c r="P83" i="83" s="1"/>
  <c r="P1" i="82"/>
  <c r="P83" i="82" s="1"/>
  <c r="P1" i="81"/>
  <c r="P83" i="81" s="1"/>
  <c r="P1" i="80"/>
  <c r="P83" i="80" s="1"/>
  <c r="B18" i="79"/>
  <c r="W75" i="36"/>
  <c r="P75" i="36"/>
  <c r="W74" i="36"/>
  <c r="P74" i="36"/>
  <c r="W73" i="36"/>
  <c r="P73" i="36"/>
  <c r="W72" i="36"/>
  <c r="P72" i="36"/>
  <c r="P154" i="84"/>
  <c r="O154" i="84"/>
  <c r="M154" i="84"/>
  <c r="J154" i="84"/>
  <c r="P153" i="84"/>
  <c r="O153" i="84"/>
  <c r="M153" i="84"/>
  <c r="J153" i="84"/>
  <c r="P152" i="84"/>
  <c r="O152" i="84"/>
  <c r="M152" i="84"/>
  <c r="J152" i="84"/>
  <c r="P151" i="84"/>
  <c r="O151" i="84"/>
  <c r="M151" i="84"/>
  <c r="J151" i="84"/>
  <c r="P150" i="84"/>
  <c r="O150" i="84"/>
  <c r="M150" i="84"/>
  <c r="J150" i="84"/>
  <c r="P149" i="84"/>
  <c r="O149" i="84"/>
  <c r="M149" i="84"/>
  <c r="J149" i="84"/>
  <c r="P148" i="84"/>
  <c r="O148" i="84"/>
  <c r="M148" i="84"/>
  <c r="J148" i="84"/>
  <c r="P147" i="84"/>
  <c r="O147" i="84"/>
  <c r="M147" i="84"/>
  <c r="J147" i="84"/>
  <c r="P146" i="84"/>
  <c r="O146" i="84"/>
  <c r="M146" i="84"/>
  <c r="J146" i="84"/>
  <c r="P145" i="84"/>
  <c r="O145" i="84"/>
  <c r="M145" i="84"/>
  <c r="J145" i="84"/>
  <c r="P144" i="84"/>
  <c r="O144" i="84"/>
  <c r="M144" i="84"/>
  <c r="J144" i="84"/>
  <c r="P143" i="84"/>
  <c r="O143" i="84"/>
  <c r="M143" i="84"/>
  <c r="J143" i="84"/>
  <c r="P142" i="84"/>
  <c r="O142" i="84"/>
  <c r="M142" i="84"/>
  <c r="J142" i="84"/>
  <c r="P141" i="84"/>
  <c r="O141" i="84"/>
  <c r="M141" i="84"/>
  <c r="J141" i="84"/>
  <c r="P140" i="84"/>
  <c r="O140" i="84"/>
  <c r="M140" i="84"/>
  <c r="J140" i="84"/>
  <c r="P139" i="84"/>
  <c r="O139" i="84"/>
  <c r="M139" i="84"/>
  <c r="J139" i="84"/>
  <c r="P138" i="84"/>
  <c r="O138" i="84"/>
  <c r="M138" i="84"/>
  <c r="J138" i="84"/>
  <c r="P137" i="84"/>
  <c r="O137" i="84"/>
  <c r="M137" i="84"/>
  <c r="J137" i="84"/>
  <c r="P136" i="84"/>
  <c r="O136" i="84"/>
  <c r="M136" i="84"/>
  <c r="J136" i="84"/>
  <c r="P135" i="84"/>
  <c r="O135" i="84"/>
  <c r="M135" i="84"/>
  <c r="J135" i="84"/>
  <c r="P134" i="84"/>
  <c r="O134" i="84"/>
  <c r="M134" i="84"/>
  <c r="J134" i="84"/>
  <c r="P133" i="84"/>
  <c r="O133" i="84"/>
  <c r="M133" i="84"/>
  <c r="J133" i="84"/>
  <c r="P132" i="84"/>
  <c r="O132" i="84"/>
  <c r="M132" i="84"/>
  <c r="J132" i="84"/>
  <c r="P131" i="84"/>
  <c r="O131" i="84"/>
  <c r="M131" i="84"/>
  <c r="J131" i="84"/>
  <c r="O130" i="84"/>
  <c r="M130" i="84"/>
  <c r="O129" i="84"/>
  <c r="M129" i="84"/>
  <c r="O128" i="84"/>
  <c r="M128" i="84"/>
  <c r="O127" i="84"/>
  <c r="M127" i="84"/>
  <c r="O126" i="84"/>
  <c r="M126" i="84"/>
  <c r="O125" i="84"/>
  <c r="M125" i="84"/>
  <c r="O124" i="84"/>
  <c r="M124" i="84"/>
  <c r="O123" i="84"/>
  <c r="M123" i="84"/>
  <c r="O122" i="84"/>
  <c r="M122" i="84"/>
  <c r="O121" i="84"/>
  <c r="M121" i="84"/>
  <c r="O120" i="84"/>
  <c r="M120" i="84"/>
  <c r="O119" i="84"/>
  <c r="M119" i="84"/>
  <c r="O118" i="84"/>
  <c r="M118" i="84"/>
  <c r="O117" i="84"/>
  <c r="M117" i="84"/>
  <c r="O116" i="84"/>
  <c r="M116" i="84"/>
  <c r="O115" i="84"/>
  <c r="M115" i="84"/>
  <c r="O114" i="84"/>
  <c r="M114" i="84"/>
  <c r="O113" i="84"/>
  <c r="M113" i="84"/>
  <c r="O112" i="84"/>
  <c r="M112" i="84"/>
  <c r="O111" i="84"/>
  <c r="M111" i="84"/>
  <c r="O110" i="84"/>
  <c r="M110" i="84"/>
  <c r="O109" i="84"/>
  <c r="M109" i="84"/>
  <c r="O108" i="84"/>
  <c r="M108" i="84"/>
  <c r="O107" i="84"/>
  <c r="M107" i="84"/>
  <c r="O106" i="84"/>
  <c r="M106" i="84"/>
  <c r="O105" i="84"/>
  <c r="M105" i="84"/>
  <c r="O104" i="84"/>
  <c r="M104" i="84"/>
  <c r="O102" i="84"/>
  <c r="O101" i="84"/>
  <c r="O99" i="84"/>
  <c r="M99" i="84"/>
  <c r="D96" i="84"/>
  <c r="L93" i="84"/>
  <c r="J93" i="84"/>
  <c r="D91" i="84"/>
  <c r="D89" i="84"/>
  <c r="N72" i="84"/>
  <c r="L72" i="84"/>
  <c r="N71" i="84"/>
  <c r="L71" i="84"/>
  <c r="N70" i="84"/>
  <c r="L70" i="84"/>
  <c r="N69" i="84"/>
  <c r="L69" i="84"/>
  <c r="N68" i="84"/>
  <c r="L68" i="84"/>
  <c r="N67" i="84"/>
  <c r="L67" i="84"/>
  <c r="N66" i="84"/>
  <c r="L66" i="84"/>
  <c r="N65" i="84"/>
  <c r="L65" i="84"/>
  <c r="N64" i="84"/>
  <c r="L64" i="84"/>
  <c r="N63" i="84"/>
  <c r="L63" i="84"/>
  <c r="N62" i="84"/>
  <c r="L62" i="84"/>
  <c r="N61" i="84"/>
  <c r="L61" i="84"/>
  <c r="N60" i="84"/>
  <c r="L60" i="84"/>
  <c r="N59" i="84"/>
  <c r="L59" i="84"/>
  <c r="N58" i="84"/>
  <c r="L58" i="84"/>
  <c r="N57" i="84"/>
  <c r="L57" i="84"/>
  <c r="N56" i="84"/>
  <c r="L56" i="84"/>
  <c r="N55" i="84"/>
  <c r="L55" i="84"/>
  <c r="N54" i="84"/>
  <c r="L54" i="84"/>
  <c r="N53" i="84"/>
  <c r="L53" i="84"/>
  <c r="N52" i="84"/>
  <c r="L52" i="84"/>
  <c r="N51" i="84"/>
  <c r="L51" i="84"/>
  <c r="N50" i="84"/>
  <c r="L50" i="84"/>
  <c r="N49" i="84"/>
  <c r="L49" i="84"/>
  <c r="N48" i="84"/>
  <c r="L48" i="84"/>
  <c r="N47" i="84"/>
  <c r="L47" i="84"/>
  <c r="N46" i="84"/>
  <c r="L46" i="84"/>
  <c r="N45" i="84"/>
  <c r="L45" i="84"/>
  <c r="N44" i="84"/>
  <c r="L44" i="84"/>
  <c r="N43" i="84"/>
  <c r="L43" i="84"/>
  <c r="N42" i="84"/>
  <c r="L42" i="84"/>
  <c r="N41" i="84"/>
  <c r="L41" i="84"/>
  <c r="N40" i="84"/>
  <c r="L40" i="84"/>
  <c r="N39" i="84"/>
  <c r="L39" i="84"/>
  <c r="N38" i="84"/>
  <c r="L38" i="84"/>
  <c r="N37" i="84"/>
  <c r="L37" i="84"/>
  <c r="N36" i="84"/>
  <c r="L36" i="84"/>
  <c r="N35" i="84"/>
  <c r="L35" i="84"/>
  <c r="N34" i="84"/>
  <c r="L34" i="84"/>
  <c r="N33" i="84"/>
  <c r="L33" i="84"/>
  <c r="N32" i="84"/>
  <c r="L32" i="84"/>
  <c r="N31" i="84"/>
  <c r="L31" i="84"/>
  <c r="N30" i="84"/>
  <c r="L30" i="84"/>
  <c r="N29" i="84"/>
  <c r="L29" i="84"/>
  <c r="N28" i="84"/>
  <c r="L28" i="84"/>
  <c r="N27" i="84"/>
  <c r="L27" i="84"/>
  <c r="N26" i="84"/>
  <c r="L26" i="84"/>
  <c r="N25" i="84"/>
  <c r="L25" i="84"/>
  <c r="N23" i="84"/>
  <c r="N22" i="84"/>
  <c r="N21" i="84"/>
  <c r="N20" i="84"/>
  <c r="O20" i="84" s="1"/>
  <c r="L17" i="84"/>
  <c r="C18" i="84"/>
  <c r="C19" i="84"/>
  <c r="C20" i="84" s="1"/>
  <c r="C21" i="84" s="1"/>
  <c r="C22" i="84" s="1"/>
  <c r="C23" i="84" s="1"/>
  <c r="C24" i="84" s="1"/>
  <c r="C25" i="84" s="1"/>
  <c r="C26" i="84" s="1"/>
  <c r="C27" i="84" s="1"/>
  <c r="C28" i="84" s="1"/>
  <c r="C29" i="84" s="1"/>
  <c r="C30" i="84" s="1"/>
  <c r="C31" i="84" s="1"/>
  <c r="C32" i="84" s="1"/>
  <c r="C33" i="84" s="1"/>
  <c r="C34" i="84" s="1"/>
  <c r="C35" i="84" s="1"/>
  <c r="C36" i="84" s="1"/>
  <c r="C37" i="84" s="1"/>
  <c r="C38" i="84" s="1"/>
  <c r="C39" i="84" s="1"/>
  <c r="C40" i="84" s="1"/>
  <c r="C41" i="84" s="1"/>
  <c r="C42" i="84" s="1"/>
  <c r="C43" i="84" s="1"/>
  <c r="C44" i="84" s="1"/>
  <c r="C45" i="84" s="1"/>
  <c r="C46" i="84" s="1"/>
  <c r="C47" i="84" s="1"/>
  <c r="C48" i="84" s="1"/>
  <c r="C49" i="84" s="1"/>
  <c r="C50" i="84" s="1"/>
  <c r="C51" i="84" s="1"/>
  <c r="C52" i="84" s="1"/>
  <c r="C53" i="84" s="1"/>
  <c r="C54" i="84" s="1"/>
  <c r="C55" i="84" s="1"/>
  <c r="C56" i="84" s="1"/>
  <c r="C57" i="84" s="1"/>
  <c r="C58" i="84" s="1"/>
  <c r="C59" i="84" s="1"/>
  <c r="C60" i="84" s="1"/>
  <c r="C61" i="84" s="1"/>
  <c r="C62" i="84" s="1"/>
  <c r="C63" i="84" s="1"/>
  <c r="C64" i="84" s="1"/>
  <c r="C65" i="84" s="1"/>
  <c r="C66" i="84" s="1"/>
  <c r="C67" i="84" s="1"/>
  <c r="C68" i="84" s="1"/>
  <c r="C69" i="84" s="1"/>
  <c r="C70" i="84" s="1"/>
  <c r="C71" i="84" s="1"/>
  <c r="C72" i="84" s="1"/>
  <c r="K11" i="84"/>
  <c r="I11" i="84"/>
  <c r="D8" i="84"/>
  <c r="D90" i="84" s="1"/>
  <c r="P154" i="83"/>
  <c r="O154" i="83"/>
  <c r="M154" i="83"/>
  <c r="J154" i="83"/>
  <c r="P153" i="83"/>
  <c r="O153" i="83"/>
  <c r="M153" i="83"/>
  <c r="J153" i="83"/>
  <c r="P152" i="83"/>
  <c r="O152" i="83"/>
  <c r="M152" i="83"/>
  <c r="J152" i="83"/>
  <c r="P151" i="83"/>
  <c r="O151" i="83"/>
  <c r="M151" i="83"/>
  <c r="J151" i="83"/>
  <c r="P150" i="83"/>
  <c r="O150" i="83"/>
  <c r="M150" i="83"/>
  <c r="J150" i="83"/>
  <c r="P149" i="83"/>
  <c r="O149" i="83"/>
  <c r="M149" i="83"/>
  <c r="J149" i="83"/>
  <c r="P148" i="83"/>
  <c r="O148" i="83"/>
  <c r="M148" i="83"/>
  <c r="J148" i="83"/>
  <c r="P147" i="83"/>
  <c r="O147" i="83"/>
  <c r="M147" i="83"/>
  <c r="J147" i="83"/>
  <c r="P146" i="83"/>
  <c r="O146" i="83"/>
  <c r="M146" i="83"/>
  <c r="J146" i="83"/>
  <c r="P145" i="83"/>
  <c r="O145" i="83"/>
  <c r="M145" i="83"/>
  <c r="J145" i="83"/>
  <c r="P144" i="83"/>
  <c r="O144" i="83"/>
  <c r="M144" i="83"/>
  <c r="J144" i="83"/>
  <c r="P143" i="83"/>
  <c r="O143" i="83"/>
  <c r="M143" i="83"/>
  <c r="J143" i="83"/>
  <c r="P142" i="83"/>
  <c r="O142" i="83"/>
  <c r="M142" i="83"/>
  <c r="J142" i="83"/>
  <c r="P141" i="83"/>
  <c r="O141" i="83"/>
  <c r="M141" i="83"/>
  <c r="J141" i="83"/>
  <c r="P140" i="83"/>
  <c r="O140" i="83"/>
  <c r="M140" i="83"/>
  <c r="J140" i="83"/>
  <c r="P139" i="83"/>
  <c r="O139" i="83"/>
  <c r="M139" i="83"/>
  <c r="J139" i="83"/>
  <c r="P138" i="83"/>
  <c r="O138" i="83"/>
  <c r="M138" i="83"/>
  <c r="J138" i="83"/>
  <c r="P137" i="83"/>
  <c r="O137" i="83"/>
  <c r="M137" i="83"/>
  <c r="J137" i="83"/>
  <c r="P136" i="83"/>
  <c r="O136" i="83"/>
  <c r="M136" i="83"/>
  <c r="J136" i="83"/>
  <c r="P135" i="83"/>
  <c r="O135" i="83"/>
  <c r="M135" i="83"/>
  <c r="J135" i="83"/>
  <c r="P134" i="83"/>
  <c r="O134" i="83"/>
  <c r="M134" i="83"/>
  <c r="J134" i="83"/>
  <c r="P133" i="83"/>
  <c r="O133" i="83"/>
  <c r="M133" i="83"/>
  <c r="J133" i="83"/>
  <c r="P132" i="83"/>
  <c r="O132" i="83"/>
  <c r="M132" i="83"/>
  <c r="J132" i="83"/>
  <c r="P131" i="83"/>
  <c r="O131" i="83"/>
  <c r="M131" i="83"/>
  <c r="J131" i="83"/>
  <c r="O130" i="83"/>
  <c r="M130" i="83"/>
  <c r="O129" i="83"/>
  <c r="M129" i="83"/>
  <c r="O128" i="83"/>
  <c r="M128" i="83"/>
  <c r="O127" i="83"/>
  <c r="M127" i="83"/>
  <c r="O126" i="83"/>
  <c r="M126" i="83"/>
  <c r="O125" i="83"/>
  <c r="M125" i="83"/>
  <c r="O124" i="83"/>
  <c r="M124" i="83"/>
  <c r="O123" i="83"/>
  <c r="M123" i="83"/>
  <c r="O122" i="83"/>
  <c r="M122" i="83"/>
  <c r="O121" i="83"/>
  <c r="M121" i="83"/>
  <c r="O120" i="83"/>
  <c r="M120" i="83"/>
  <c r="O119" i="83"/>
  <c r="M119" i="83"/>
  <c r="O118" i="83"/>
  <c r="M118" i="83"/>
  <c r="O117" i="83"/>
  <c r="M117" i="83"/>
  <c r="O116" i="83"/>
  <c r="M116" i="83"/>
  <c r="O115" i="83"/>
  <c r="M115" i="83"/>
  <c r="O114" i="83"/>
  <c r="M114" i="83"/>
  <c r="O113" i="83"/>
  <c r="M113" i="83"/>
  <c r="O112" i="83"/>
  <c r="M112" i="83"/>
  <c r="O111" i="83"/>
  <c r="M111" i="83"/>
  <c r="O110" i="83"/>
  <c r="M110" i="83"/>
  <c r="O109" i="83"/>
  <c r="M109" i="83"/>
  <c r="O108" i="83"/>
  <c r="M108" i="83"/>
  <c r="O107" i="83"/>
  <c r="M107" i="83"/>
  <c r="O106" i="83"/>
  <c r="M106" i="83"/>
  <c r="O105" i="83"/>
  <c r="M105" i="83"/>
  <c r="O103" i="83"/>
  <c r="O102" i="83"/>
  <c r="O101" i="83"/>
  <c r="O100" i="83"/>
  <c r="M100" i="83"/>
  <c r="O99" i="83"/>
  <c r="P99" i="83" s="1"/>
  <c r="D96" i="83"/>
  <c r="L93" i="83"/>
  <c r="J93" i="83"/>
  <c r="D91" i="83"/>
  <c r="D89" i="83"/>
  <c r="N72" i="83"/>
  <c r="L72" i="83"/>
  <c r="N71" i="83"/>
  <c r="L71" i="83"/>
  <c r="N70" i="83"/>
  <c r="L70" i="83"/>
  <c r="N69" i="83"/>
  <c r="L69" i="83"/>
  <c r="N68" i="83"/>
  <c r="L68" i="83"/>
  <c r="N67" i="83"/>
  <c r="L67" i="83"/>
  <c r="N66" i="83"/>
  <c r="L66" i="83"/>
  <c r="N65" i="83"/>
  <c r="L65" i="83"/>
  <c r="N64" i="83"/>
  <c r="L64" i="83"/>
  <c r="N63" i="83"/>
  <c r="L63" i="83"/>
  <c r="N62" i="83"/>
  <c r="L62" i="83"/>
  <c r="N61" i="83"/>
  <c r="L61" i="83"/>
  <c r="N60" i="83"/>
  <c r="L60" i="83"/>
  <c r="N59" i="83"/>
  <c r="L59" i="83"/>
  <c r="N58" i="83"/>
  <c r="L58" i="83"/>
  <c r="N57" i="83"/>
  <c r="L57" i="83"/>
  <c r="N56" i="83"/>
  <c r="L56" i="83"/>
  <c r="N55" i="83"/>
  <c r="L55" i="83"/>
  <c r="N54" i="83"/>
  <c r="L54" i="83"/>
  <c r="N53" i="83"/>
  <c r="L53" i="83"/>
  <c r="N52" i="83"/>
  <c r="L52" i="83"/>
  <c r="N51" i="83"/>
  <c r="L51" i="83"/>
  <c r="N50" i="83"/>
  <c r="L50" i="83"/>
  <c r="N49" i="83"/>
  <c r="L49" i="83"/>
  <c r="N48" i="83"/>
  <c r="L48" i="83"/>
  <c r="N47" i="83"/>
  <c r="L47" i="83"/>
  <c r="N46" i="83"/>
  <c r="L46" i="83"/>
  <c r="N45" i="83"/>
  <c r="L45" i="83"/>
  <c r="N44" i="83"/>
  <c r="L44" i="83"/>
  <c r="N43" i="83"/>
  <c r="L43" i="83"/>
  <c r="N42" i="83"/>
  <c r="L42" i="83"/>
  <c r="N41" i="83"/>
  <c r="L41" i="83"/>
  <c r="N40" i="83"/>
  <c r="L40" i="83"/>
  <c r="N39" i="83"/>
  <c r="L39" i="83"/>
  <c r="N38" i="83"/>
  <c r="L38" i="83"/>
  <c r="N37" i="83"/>
  <c r="L37" i="83"/>
  <c r="N36" i="83"/>
  <c r="L36" i="83"/>
  <c r="N35" i="83"/>
  <c r="L35" i="83"/>
  <c r="N34" i="83"/>
  <c r="L34" i="83"/>
  <c r="N33" i="83"/>
  <c r="L33" i="83"/>
  <c r="N32" i="83"/>
  <c r="L32" i="83"/>
  <c r="N31" i="83"/>
  <c r="L31" i="83"/>
  <c r="N30" i="83"/>
  <c r="L30" i="83"/>
  <c r="N29" i="83"/>
  <c r="L29" i="83"/>
  <c r="N28" i="83"/>
  <c r="L28" i="83"/>
  <c r="N27" i="83"/>
  <c r="L27" i="83"/>
  <c r="N26" i="83"/>
  <c r="L26" i="83"/>
  <c r="N25" i="83"/>
  <c r="L25" i="83"/>
  <c r="N23" i="83"/>
  <c r="N22" i="83"/>
  <c r="N21" i="83"/>
  <c r="N20" i="83"/>
  <c r="N17" i="83"/>
  <c r="C17" i="83"/>
  <c r="C18" i="83" s="1"/>
  <c r="C19" i="83" s="1"/>
  <c r="C20" i="83" s="1"/>
  <c r="C21" i="83" s="1"/>
  <c r="C22" i="83" s="1"/>
  <c r="C23" i="83" s="1"/>
  <c r="C24" i="83" s="1"/>
  <c r="C25" i="83" s="1"/>
  <c r="C26" i="83" s="1"/>
  <c r="C27" i="83" s="1"/>
  <c r="C28" i="83" s="1"/>
  <c r="C29" i="83" s="1"/>
  <c r="C30" i="83" s="1"/>
  <c r="C31" i="83" s="1"/>
  <c r="C32" i="83" s="1"/>
  <c r="C33" i="83" s="1"/>
  <c r="C34" i="83" s="1"/>
  <c r="C35" i="83" s="1"/>
  <c r="C36" i="83" s="1"/>
  <c r="C37" i="83" s="1"/>
  <c r="C38" i="83" s="1"/>
  <c r="C39" i="83" s="1"/>
  <c r="C40" i="83" s="1"/>
  <c r="C41" i="83" s="1"/>
  <c r="C42" i="83" s="1"/>
  <c r="C43" i="83" s="1"/>
  <c r="C44" i="83" s="1"/>
  <c r="K11" i="83"/>
  <c r="I11" i="83"/>
  <c r="D8" i="83"/>
  <c r="D90" i="83" s="1"/>
  <c r="P154" i="82"/>
  <c r="O154" i="82"/>
  <c r="M154" i="82"/>
  <c r="J154" i="82"/>
  <c r="P153" i="82"/>
  <c r="O153" i="82"/>
  <c r="M153" i="82"/>
  <c r="J153" i="82"/>
  <c r="P152" i="82"/>
  <c r="O152" i="82"/>
  <c r="M152" i="82"/>
  <c r="J152" i="82"/>
  <c r="P151" i="82"/>
  <c r="O151" i="82"/>
  <c r="M151" i="82"/>
  <c r="J151" i="82"/>
  <c r="P150" i="82"/>
  <c r="O150" i="82"/>
  <c r="M150" i="82"/>
  <c r="J150" i="82"/>
  <c r="P149" i="82"/>
  <c r="O149" i="82"/>
  <c r="M149" i="82"/>
  <c r="J149" i="82"/>
  <c r="P148" i="82"/>
  <c r="O148" i="82"/>
  <c r="M148" i="82"/>
  <c r="J148" i="82"/>
  <c r="P147" i="82"/>
  <c r="O147" i="82"/>
  <c r="M147" i="82"/>
  <c r="J147" i="82"/>
  <c r="P146" i="82"/>
  <c r="O146" i="82"/>
  <c r="M146" i="82"/>
  <c r="J146" i="82"/>
  <c r="P145" i="82"/>
  <c r="O145" i="82"/>
  <c r="M145" i="82"/>
  <c r="J145" i="82"/>
  <c r="P144" i="82"/>
  <c r="O144" i="82"/>
  <c r="M144" i="82"/>
  <c r="J144" i="82"/>
  <c r="P143" i="82"/>
  <c r="O143" i="82"/>
  <c r="M143" i="82"/>
  <c r="J143" i="82"/>
  <c r="P142" i="82"/>
  <c r="O142" i="82"/>
  <c r="M142" i="82"/>
  <c r="J142" i="82"/>
  <c r="P141" i="82"/>
  <c r="O141" i="82"/>
  <c r="M141" i="82"/>
  <c r="J141" i="82"/>
  <c r="P140" i="82"/>
  <c r="O140" i="82"/>
  <c r="M140" i="82"/>
  <c r="J140" i="82"/>
  <c r="P139" i="82"/>
  <c r="O139" i="82"/>
  <c r="M139" i="82"/>
  <c r="J139" i="82"/>
  <c r="P138" i="82"/>
  <c r="O138" i="82"/>
  <c r="M138" i="82"/>
  <c r="J138" i="82"/>
  <c r="P137" i="82"/>
  <c r="O137" i="82"/>
  <c r="M137" i="82"/>
  <c r="J137" i="82"/>
  <c r="P136" i="82"/>
  <c r="O136" i="82"/>
  <c r="M136" i="82"/>
  <c r="J136" i="82"/>
  <c r="P135" i="82"/>
  <c r="O135" i="82"/>
  <c r="M135" i="82"/>
  <c r="J135" i="82"/>
  <c r="P134" i="82"/>
  <c r="O134" i="82"/>
  <c r="M134" i="82"/>
  <c r="J134" i="82"/>
  <c r="P133" i="82"/>
  <c r="O133" i="82"/>
  <c r="M133" i="82"/>
  <c r="J133" i="82"/>
  <c r="P132" i="82"/>
  <c r="O132" i="82"/>
  <c r="M132" i="82"/>
  <c r="J132" i="82"/>
  <c r="P131" i="82"/>
  <c r="O131" i="82"/>
  <c r="M131" i="82"/>
  <c r="J131" i="82"/>
  <c r="O130" i="82"/>
  <c r="M130" i="82"/>
  <c r="O129" i="82"/>
  <c r="M129" i="82"/>
  <c r="O128" i="82"/>
  <c r="M128" i="82"/>
  <c r="O127" i="82"/>
  <c r="M127" i="82"/>
  <c r="O126" i="82"/>
  <c r="M126" i="82"/>
  <c r="O125" i="82"/>
  <c r="M125" i="82"/>
  <c r="O124" i="82"/>
  <c r="M124" i="82"/>
  <c r="O123" i="82"/>
  <c r="M123" i="82"/>
  <c r="O122" i="82"/>
  <c r="M122" i="82"/>
  <c r="O121" i="82"/>
  <c r="M121" i="82"/>
  <c r="O120" i="82"/>
  <c r="M120" i="82"/>
  <c r="O119" i="82"/>
  <c r="M119" i="82"/>
  <c r="O118" i="82"/>
  <c r="M118" i="82"/>
  <c r="O117" i="82"/>
  <c r="M117" i="82"/>
  <c r="O116" i="82"/>
  <c r="M116" i="82"/>
  <c r="O115" i="82"/>
  <c r="M115" i="82"/>
  <c r="O114" i="82"/>
  <c r="M114" i="82"/>
  <c r="O113" i="82"/>
  <c r="M113" i="82"/>
  <c r="O112" i="82"/>
  <c r="M112" i="82"/>
  <c r="O111" i="82"/>
  <c r="M111" i="82"/>
  <c r="O110" i="82"/>
  <c r="M110" i="82"/>
  <c r="O109" i="82"/>
  <c r="M109" i="82"/>
  <c r="O108" i="82"/>
  <c r="M108" i="82"/>
  <c r="O107" i="82"/>
  <c r="M107" i="82"/>
  <c r="O106" i="82"/>
  <c r="M106" i="82"/>
  <c r="O105" i="82"/>
  <c r="M105" i="82"/>
  <c r="O103" i="82"/>
  <c r="O102" i="82"/>
  <c r="O100" i="82"/>
  <c r="M100" i="82"/>
  <c r="O99" i="82"/>
  <c r="P99" i="82" s="1"/>
  <c r="M99" i="82"/>
  <c r="D96" i="82"/>
  <c r="L93" i="82"/>
  <c r="J93" i="82"/>
  <c r="D91" i="82"/>
  <c r="D89" i="82"/>
  <c r="N72" i="82"/>
  <c r="L72" i="82"/>
  <c r="N71" i="82"/>
  <c r="L71" i="82"/>
  <c r="N70" i="82"/>
  <c r="L70" i="82"/>
  <c r="N69" i="82"/>
  <c r="L69" i="82"/>
  <c r="N68" i="82"/>
  <c r="L68" i="82"/>
  <c r="N67" i="82"/>
  <c r="L67" i="82"/>
  <c r="N66" i="82"/>
  <c r="L66" i="82"/>
  <c r="N65" i="82"/>
  <c r="L65" i="82"/>
  <c r="N64" i="82"/>
  <c r="L64" i="82"/>
  <c r="N63" i="82"/>
  <c r="L63" i="82"/>
  <c r="N62" i="82"/>
  <c r="L62" i="82"/>
  <c r="N61" i="82"/>
  <c r="L61" i="82"/>
  <c r="N60" i="82"/>
  <c r="L60" i="82"/>
  <c r="N59" i="82"/>
  <c r="L59" i="82"/>
  <c r="N58" i="82"/>
  <c r="L58" i="82"/>
  <c r="N57" i="82"/>
  <c r="L57" i="82"/>
  <c r="N56" i="82"/>
  <c r="L56" i="82"/>
  <c r="N55" i="82"/>
  <c r="L55" i="82"/>
  <c r="N54" i="82"/>
  <c r="L54" i="82"/>
  <c r="N53" i="82"/>
  <c r="L53" i="82"/>
  <c r="N52" i="82"/>
  <c r="L52" i="82"/>
  <c r="N51" i="82"/>
  <c r="L51" i="82"/>
  <c r="N50" i="82"/>
  <c r="L50" i="82"/>
  <c r="N49" i="82"/>
  <c r="L49" i="82"/>
  <c r="N48" i="82"/>
  <c r="L48" i="82"/>
  <c r="N47" i="82"/>
  <c r="L47" i="82"/>
  <c r="N46" i="82"/>
  <c r="L46" i="82"/>
  <c r="N45" i="82"/>
  <c r="L45" i="82"/>
  <c r="N44" i="82"/>
  <c r="L44" i="82"/>
  <c r="N43" i="82"/>
  <c r="L43" i="82"/>
  <c r="N42" i="82"/>
  <c r="L42" i="82"/>
  <c r="N41" i="82"/>
  <c r="L41" i="82"/>
  <c r="N40" i="82"/>
  <c r="L40" i="82"/>
  <c r="N39" i="82"/>
  <c r="L39" i="82"/>
  <c r="N38" i="82"/>
  <c r="L38" i="82"/>
  <c r="N37" i="82"/>
  <c r="L37" i="82"/>
  <c r="N36" i="82"/>
  <c r="L36" i="82"/>
  <c r="N35" i="82"/>
  <c r="L35" i="82"/>
  <c r="N34" i="82"/>
  <c r="L34" i="82"/>
  <c r="N33" i="82"/>
  <c r="L33" i="82"/>
  <c r="N32" i="82"/>
  <c r="L32" i="82"/>
  <c r="N31" i="82"/>
  <c r="L31" i="82"/>
  <c r="N30" i="82"/>
  <c r="L30" i="82"/>
  <c r="N29" i="82"/>
  <c r="L29" i="82"/>
  <c r="N28" i="82"/>
  <c r="L28" i="82"/>
  <c r="N27" i="82"/>
  <c r="L27" i="82"/>
  <c r="N26" i="82"/>
  <c r="L26" i="82"/>
  <c r="N25" i="82"/>
  <c r="L25" i="82"/>
  <c r="N23" i="82"/>
  <c r="N22" i="82"/>
  <c r="N21" i="82"/>
  <c r="N20" i="82"/>
  <c r="L17" i="82"/>
  <c r="C17" i="82"/>
  <c r="C18" i="82" s="1"/>
  <c r="C19" i="82" s="1"/>
  <c r="C20" i="82" s="1"/>
  <c r="C21" i="82" s="1"/>
  <c r="C22" i="82" s="1"/>
  <c r="C23" i="82" s="1"/>
  <c r="C24" i="82" s="1"/>
  <c r="C25" i="82" s="1"/>
  <c r="C26" i="82" s="1"/>
  <c r="C27" i="82" s="1"/>
  <c r="C28" i="82" s="1"/>
  <c r="C29" i="82" s="1"/>
  <c r="C30" i="82" s="1"/>
  <c r="C31" i="82" s="1"/>
  <c r="C32" i="82" s="1"/>
  <c r="C33" i="82" s="1"/>
  <c r="C34" i="82" s="1"/>
  <c r="C35" i="82" s="1"/>
  <c r="C36" i="82" s="1"/>
  <c r="C37" i="82" s="1"/>
  <c r="C38" i="82" s="1"/>
  <c r="C39" i="82" s="1"/>
  <c r="C40" i="82" s="1"/>
  <c r="C41" i="82" s="1"/>
  <c r="C42" i="82" s="1"/>
  <c r="C43" i="82" s="1"/>
  <c r="C44" i="82" s="1"/>
  <c r="K11" i="82"/>
  <c r="I11" i="82"/>
  <c r="D8" i="82"/>
  <c r="D90" i="82" s="1"/>
  <c r="P154" i="81"/>
  <c r="O154" i="81"/>
  <c r="M154" i="81"/>
  <c r="J154" i="81"/>
  <c r="P153" i="81"/>
  <c r="O153" i="81"/>
  <c r="M153" i="81"/>
  <c r="J153" i="81"/>
  <c r="P152" i="81"/>
  <c r="O152" i="81"/>
  <c r="M152" i="81"/>
  <c r="J152" i="81"/>
  <c r="P151" i="81"/>
  <c r="O151" i="81"/>
  <c r="M151" i="81"/>
  <c r="J151" i="81"/>
  <c r="P150" i="81"/>
  <c r="O150" i="81"/>
  <c r="M150" i="81"/>
  <c r="J150" i="81"/>
  <c r="P149" i="81"/>
  <c r="O149" i="81"/>
  <c r="M149" i="81"/>
  <c r="J149" i="81"/>
  <c r="P148" i="81"/>
  <c r="O148" i="81"/>
  <c r="M148" i="81"/>
  <c r="J148" i="81"/>
  <c r="P147" i="81"/>
  <c r="O147" i="81"/>
  <c r="M147" i="81"/>
  <c r="J147" i="81"/>
  <c r="P146" i="81"/>
  <c r="O146" i="81"/>
  <c r="M146" i="81"/>
  <c r="J146" i="81"/>
  <c r="P145" i="81"/>
  <c r="O145" i="81"/>
  <c r="M145" i="81"/>
  <c r="J145" i="81"/>
  <c r="P144" i="81"/>
  <c r="O144" i="81"/>
  <c r="M144" i="81"/>
  <c r="J144" i="81"/>
  <c r="P143" i="81"/>
  <c r="O143" i="81"/>
  <c r="M143" i="81"/>
  <c r="J143" i="81"/>
  <c r="P142" i="81"/>
  <c r="O142" i="81"/>
  <c r="M142" i="81"/>
  <c r="J142" i="81"/>
  <c r="P141" i="81"/>
  <c r="O141" i="81"/>
  <c r="M141" i="81"/>
  <c r="J141" i="81"/>
  <c r="P140" i="81"/>
  <c r="O140" i="81"/>
  <c r="M140" i="81"/>
  <c r="J140" i="81"/>
  <c r="P139" i="81"/>
  <c r="O139" i="81"/>
  <c r="M139" i="81"/>
  <c r="J139" i="81"/>
  <c r="P138" i="81"/>
  <c r="O138" i="81"/>
  <c r="M138" i="81"/>
  <c r="J138" i="81"/>
  <c r="P137" i="81"/>
  <c r="O137" i="81"/>
  <c r="M137" i="81"/>
  <c r="J137" i="81"/>
  <c r="P136" i="81"/>
  <c r="O136" i="81"/>
  <c r="M136" i="81"/>
  <c r="J136" i="81"/>
  <c r="P135" i="81"/>
  <c r="O135" i="81"/>
  <c r="M135" i="81"/>
  <c r="J135" i="81"/>
  <c r="P134" i="81"/>
  <c r="O134" i="81"/>
  <c r="M134" i="81"/>
  <c r="J134" i="81"/>
  <c r="P133" i="81"/>
  <c r="O133" i="81"/>
  <c r="M133" i="81"/>
  <c r="J133" i="81"/>
  <c r="P132" i="81"/>
  <c r="O132" i="81"/>
  <c r="M132" i="81"/>
  <c r="J132" i="81"/>
  <c r="P131" i="81"/>
  <c r="O131" i="81"/>
  <c r="M131" i="81"/>
  <c r="J131" i="81"/>
  <c r="O130" i="81"/>
  <c r="M130" i="81"/>
  <c r="O129" i="81"/>
  <c r="M129" i="81"/>
  <c r="O128" i="81"/>
  <c r="M128" i="81"/>
  <c r="O127" i="81"/>
  <c r="M127" i="81"/>
  <c r="O126" i="81"/>
  <c r="M126" i="81"/>
  <c r="O125" i="81"/>
  <c r="M125" i="81"/>
  <c r="O124" i="81"/>
  <c r="M124" i="81"/>
  <c r="O123" i="81"/>
  <c r="M123" i="81"/>
  <c r="O122" i="81"/>
  <c r="M122" i="81"/>
  <c r="O121" i="81"/>
  <c r="M121" i="81"/>
  <c r="O120" i="81"/>
  <c r="M120" i="81"/>
  <c r="O119" i="81"/>
  <c r="M119" i="81"/>
  <c r="O118" i="81"/>
  <c r="M118" i="81"/>
  <c r="O117" i="81"/>
  <c r="M117" i="81"/>
  <c r="O116" i="81"/>
  <c r="M116" i="81"/>
  <c r="O115" i="81"/>
  <c r="M115" i="81"/>
  <c r="O114" i="81"/>
  <c r="M114" i="81"/>
  <c r="O113" i="81"/>
  <c r="M113" i="81"/>
  <c r="O112" i="81"/>
  <c r="M112" i="81"/>
  <c r="O111" i="81"/>
  <c r="M111" i="81"/>
  <c r="O110" i="81"/>
  <c r="M110" i="81"/>
  <c r="O109" i="81"/>
  <c r="M109" i="81"/>
  <c r="O108" i="81"/>
  <c r="M108" i="81"/>
  <c r="O107" i="81"/>
  <c r="M107" i="81"/>
  <c r="O106" i="81"/>
  <c r="M106" i="81"/>
  <c r="O105" i="81"/>
  <c r="M105" i="81"/>
  <c r="O103" i="81"/>
  <c r="O102" i="81"/>
  <c r="O99" i="81"/>
  <c r="D96" i="81"/>
  <c r="L93" i="81"/>
  <c r="J93" i="81"/>
  <c r="D91" i="81"/>
  <c r="D89" i="81"/>
  <c r="N72" i="81"/>
  <c r="L72" i="81"/>
  <c r="N71" i="81"/>
  <c r="L71" i="81"/>
  <c r="N70" i="81"/>
  <c r="L70" i="81"/>
  <c r="N69" i="81"/>
  <c r="L69" i="81"/>
  <c r="N68" i="81"/>
  <c r="L68" i="81"/>
  <c r="N67" i="81"/>
  <c r="L67" i="81"/>
  <c r="N66" i="81"/>
  <c r="L66" i="81"/>
  <c r="N65" i="81"/>
  <c r="L65" i="81"/>
  <c r="N64" i="81"/>
  <c r="L64" i="81"/>
  <c r="N63" i="81"/>
  <c r="L63" i="81"/>
  <c r="N62" i="81"/>
  <c r="L62" i="81"/>
  <c r="N61" i="81"/>
  <c r="L61" i="81"/>
  <c r="N60" i="81"/>
  <c r="L60" i="81"/>
  <c r="N59" i="81"/>
  <c r="L59" i="81"/>
  <c r="N58" i="81"/>
  <c r="L58" i="81"/>
  <c r="N57" i="81"/>
  <c r="L57" i="81"/>
  <c r="N56" i="81"/>
  <c r="L56" i="81"/>
  <c r="N55" i="81"/>
  <c r="L55" i="81"/>
  <c r="N54" i="81"/>
  <c r="L54" i="81"/>
  <c r="N53" i="81"/>
  <c r="L53" i="81"/>
  <c r="N52" i="81"/>
  <c r="L52" i="81"/>
  <c r="N51" i="81"/>
  <c r="L51" i="81"/>
  <c r="N50" i="81"/>
  <c r="L50" i="81"/>
  <c r="N49" i="81"/>
  <c r="L49" i="81"/>
  <c r="N48" i="81"/>
  <c r="L48" i="81"/>
  <c r="N47" i="81"/>
  <c r="L47" i="81"/>
  <c r="N46" i="81"/>
  <c r="L46" i="81"/>
  <c r="N45" i="81"/>
  <c r="L45" i="81"/>
  <c r="N44" i="81"/>
  <c r="L44" i="81"/>
  <c r="N43" i="81"/>
  <c r="L43" i="81"/>
  <c r="N42" i="81"/>
  <c r="L42" i="81"/>
  <c r="N41" i="81"/>
  <c r="L41" i="81"/>
  <c r="N40" i="81"/>
  <c r="L40" i="81"/>
  <c r="N39" i="81"/>
  <c r="L39" i="81"/>
  <c r="N38" i="81"/>
  <c r="L38" i="81"/>
  <c r="N37" i="81"/>
  <c r="L37" i="81"/>
  <c r="N36" i="81"/>
  <c r="L36" i="81"/>
  <c r="N35" i="81"/>
  <c r="L35" i="81"/>
  <c r="N34" i="81"/>
  <c r="L34" i="81"/>
  <c r="N33" i="81"/>
  <c r="L33" i="81"/>
  <c r="N32" i="81"/>
  <c r="L32" i="81"/>
  <c r="N31" i="81"/>
  <c r="L31" i="81"/>
  <c r="N30" i="81"/>
  <c r="L30" i="81"/>
  <c r="N29" i="81"/>
  <c r="L29" i="81"/>
  <c r="N28" i="81"/>
  <c r="L28" i="81"/>
  <c r="N27" i="81"/>
  <c r="L27" i="81"/>
  <c r="N26" i="81"/>
  <c r="L26" i="81"/>
  <c r="N25" i="81"/>
  <c r="L25" i="81"/>
  <c r="N23" i="81"/>
  <c r="N22" i="81"/>
  <c r="N21" i="81"/>
  <c r="N20" i="81"/>
  <c r="N17" i="81"/>
  <c r="C17" i="81"/>
  <c r="C18" i="81" s="1"/>
  <c r="C19" i="81" s="1"/>
  <c r="C20" i="81" s="1"/>
  <c r="C21" i="81" s="1"/>
  <c r="C22" i="81" s="1"/>
  <c r="C23" i="81" s="1"/>
  <c r="C24" i="81" s="1"/>
  <c r="C25" i="81" s="1"/>
  <c r="C26" i="81" s="1"/>
  <c r="C27" i="81" s="1"/>
  <c r="C28" i="81" s="1"/>
  <c r="C29" i="81" s="1"/>
  <c r="C30" i="81" s="1"/>
  <c r="C31" i="81" s="1"/>
  <c r="C32" i="81" s="1"/>
  <c r="C33" i="81" s="1"/>
  <c r="C34" i="81" s="1"/>
  <c r="C35" i="81" s="1"/>
  <c r="C36" i="81" s="1"/>
  <c r="C37" i="81" s="1"/>
  <c r="C38" i="81" s="1"/>
  <c r="C39" i="81" s="1"/>
  <c r="C40" i="81" s="1"/>
  <c r="C41" i="81" s="1"/>
  <c r="C42" i="81" s="1"/>
  <c r="C43" i="81" s="1"/>
  <c r="C44" i="81" s="1"/>
  <c r="C45" i="81" s="1"/>
  <c r="C46" i="81" s="1"/>
  <c r="C47" i="81" s="1"/>
  <c r="C48" i="81" s="1"/>
  <c r="C49" i="81" s="1"/>
  <c r="C50" i="81" s="1"/>
  <c r="C51" i="81" s="1"/>
  <c r="C52" i="81" s="1"/>
  <c r="C53" i="81" s="1"/>
  <c r="C54" i="81" s="1"/>
  <c r="C55" i="81" s="1"/>
  <c r="C56" i="81" s="1"/>
  <c r="C57" i="81" s="1"/>
  <c r="C58" i="81" s="1"/>
  <c r="C59" i="81" s="1"/>
  <c r="C60" i="81" s="1"/>
  <c r="C61" i="81" s="1"/>
  <c r="C62" i="81" s="1"/>
  <c r="C63" i="81" s="1"/>
  <c r="C64" i="81" s="1"/>
  <c r="C65" i="81" s="1"/>
  <c r="C66" i="81" s="1"/>
  <c r="C67" i="81" s="1"/>
  <c r="C68" i="81" s="1"/>
  <c r="C69" i="81" s="1"/>
  <c r="C70" i="81" s="1"/>
  <c r="C71" i="81" s="1"/>
  <c r="C72" i="81" s="1"/>
  <c r="K11" i="81"/>
  <c r="I11" i="81"/>
  <c r="D8" i="81"/>
  <c r="D90" i="81" s="1"/>
  <c r="P154" i="80"/>
  <c r="O154" i="80"/>
  <c r="M154" i="80"/>
  <c r="J154" i="80"/>
  <c r="P153" i="80"/>
  <c r="O153" i="80"/>
  <c r="M153" i="80"/>
  <c r="J153" i="80"/>
  <c r="P152" i="80"/>
  <c r="O152" i="80"/>
  <c r="M152" i="80"/>
  <c r="J152" i="80"/>
  <c r="P151" i="80"/>
  <c r="O151" i="80"/>
  <c r="M151" i="80"/>
  <c r="J151" i="80"/>
  <c r="P150" i="80"/>
  <c r="O150" i="80"/>
  <c r="M150" i="80"/>
  <c r="J150" i="80"/>
  <c r="P149" i="80"/>
  <c r="O149" i="80"/>
  <c r="M149" i="80"/>
  <c r="J149" i="80"/>
  <c r="P148" i="80"/>
  <c r="O148" i="80"/>
  <c r="M148" i="80"/>
  <c r="J148" i="80"/>
  <c r="P147" i="80"/>
  <c r="O147" i="80"/>
  <c r="M147" i="80"/>
  <c r="J147" i="80"/>
  <c r="P146" i="80"/>
  <c r="O146" i="80"/>
  <c r="M146" i="80"/>
  <c r="J146" i="80"/>
  <c r="P145" i="80"/>
  <c r="O145" i="80"/>
  <c r="M145" i="80"/>
  <c r="J145" i="80"/>
  <c r="P144" i="80"/>
  <c r="O144" i="80"/>
  <c r="M144" i="80"/>
  <c r="J144" i="80"/>
  <c r="P143" i="80"/>
  <c r="O143" i="80"/>
  <c r="M143" i="80"/>
  <c r="J143" i="80"/>
  <c r="P142" i="80"/>
  <c r="O142" i="80"/>
  <c r="M142" i="80"/>
  <c r="J142" i="80"/>
  <c r="P141" i="80"/>
  <c r="O141" i="80"/>
  <c r="M141" i="80"/>
  <c r="J141" i="80"/>
  <c r="P140" i="80"/>
  <c r="O140" i="80"/>
  <c r="M140" i="80"/>
  <c r="J140" i="80"/>
  <c r="P139" i="80"/>
  <c r="O139" i="80"/>
  <c r="M139" i="80"/>
  <c r="J139" i="80"/>
  <c r="P138" i="80"/>
  <c r="O138" i="80"/>
  <c r="M138" i="80"/>
  <c r="J138" i="80"/>
  <c r="P137" i="80"/>
  <c r="O137" i="80"/>
  <c r="M137" i="80"/>
  <c r="J137" i="80"/>
  <c r="P136" i="80"/>
  <c r="O136" i="80"/>
  <c r="M136" i="80"/>
  <c r="J136" i="80"/>
  <c r="P135" i="80"/>
  <c r="O135" i="80"/>
  <c r="M135" i="80"/>
  <c r="J135" i="80"/>
  <c r="P134" i="80"/>
  <c r="O134" i="80"/>
  <c r="M134" i="80"/>
  <c r="J134" i="80"/>
  <c r="P133" i="80"/>
  <c r="O133" i="80"/>
  <c r="M133" i="80"/>
  <c r="J133" i="80"/>
  <c r="P132" i="80"/>
  <c r="O132" i="80"/>
  <c r="M132" i="80"/>
  <c r="J132" i="80"/>
  <c r="P131" i="80"/>
  <c r="O131" i="80"/>
  <c r="M131" i="80"/>
  <c r="J131" i="80"/>
  <c r="O130" i="80"/>
  <c r="M130" i="80"/>
  <c r="O129" i="80"/>
  <c r="M129" i="80"/>
  <c r="O128" i="80"/>
  <c r="M128" i="80"/>
  <c r="O127" i="80"/>
  <c r="M127" i="80"/>
  <c r="O126" i="80"/>
  <c r="M126" i="80"/>
  <c r="O125" i="80"/>
  <c r="M125" i="80"/>
  <c r="O124" i="80"/>
  <c r="M124" i="80"/>
  <c r="O123" i="80"/>
  <c r="M123" i="80"/>
  <c r="O122" i="80"/>
  <c r="M122" i="80"/>
  <c r="O121" i="80"/>
  <c r="M121" i="80"/>
  <c r="O120" i="80"/>
  <c r="M120" i="80"/>
  <c r="O119" i="80"/>
  <c r="M119" i="80"/>
  <c r="O118" i="80"/>
  <c r="M118" i="80"/>
  <c r="O117" i="80"/>
  <c r="M117" i="80"/>
  <c r="O116" i="80"/>
  <c r="M116" i="80"/>
  <c r="O115" i="80"/>
  <c r="M115" i="80"/>
  <c r="O114" i="80"/>
  <c r="M114" i="80"/>
  <c r="O113" i="80"/>
  <c r="M113" i="80"/>
  <c r="O112" i="80"/>
  <c r="M112" i="80"/>
  <c r="O111" i="80"/>
  <c r="M111" i="80"/>
  <c r="O110" i="80"/>
  <c r="M110" i="80"/>
  <c r="O109" i="80"/>
  <c r="M109" i="80"/>
  <c r="O108" i="80"/>
  <c r="M108" i="80"/>
  <c r="O107" i="80"/>
  <c r="M107" i="80"/>
  <c r="O106" i="80"/>
  <c r="M106" i="80"/>
  <c r="O105" i="80"/>
  <c r="M105" i="80"/>
  <c r="O103" i="80"/>
  <c r="O102" i="80"/>
  <c r="O100" i="80"/>
  <c r="M100" i="80"/>
  <c r="O99" i="80"/>
  <c r="M99" i="80"/>
  <c r="D96" i="80"/>
  <c r="L93" i="80"/>
  <c r="J93" i="80"/>
  <c r="D91" i="80"/>
  <c r="D89" i="80"/>
  <c r="N72" i="80"/>
  <c r="L72" i="80"/>
  <c r="N71" i="80"/>
  <c r="L71" i="80"/>
  <c r="N70" i="80"/>
  <c r="L70" i="80"/>
  <c r="N69" i="80"/>
  <c r="L69" i="80"/>
  <c r="N68" i="80"/>
  <c r="L68" i="80"/>
  <c r="N67" i="80"/>
  <c r="L67" i="80"/>
  <c r="N66" i="80"/>
  <c r="L66" i="80"/>
  <c r="N65" i="80"/>
  <c r="L65" i="80"/>
  <c r="N64" i="80"/>
  <c r="L64" i="80"/>
  <c r="N63" i="80"/>
  <c r="L63" i="80"/>
  <c r="N62" i="80"/>
  <c r="L62" i="80"/>
  <c r="N61" i="80"/>
  <c r="L61" i="80"/>
  <c r="N60" i="80"/>
  <c r="L60" i="80"/>
  <c r="N59" i="80"/>
  <c r="L59" i="80"/>
  <c r="N58" i="80"/>
  <c r="L58" i="80"/>
  <c r="N57" i="80"/>
  <c r="L57" i="80"/>
  <c r="N56" i="80"/>
  <c r="L56" i="80"/>
  <c r="N55" i="80"/>
  <c r="L55" i="80"/>
  <c r="N54" i="80"/>
  <c r="L54" i="80"/>
  <c r="N53" i="80"/>
  <c r="L53" i="80"/>
  <c r="N52" i="80"/>
  <c r="L52" i="80"/>
  <c r="N51" i="80"/>
  <c r="L51" i="80"/>
  <c r="N50" i="80"/>
  <c r="L50" i="80"/>
  <c r="N49" i="80"/>
  <c r="L49" i="80"/>
  <c r="N48" i="80"/>
  <c r="L48" i="80"/>
  <c r="N47" i="80"/>
  <c r="L47" i="80"/>
  <c r="N46" i="80"/>
  <c r="L46" i="80"/>
  <c r="N45" i="80"/>
  <c r="L45" i="80"/>
  <c r="N44" i="80"/>
  <c r="L44" i="80"/>
  <c r="N43" i="80"/>
  <c r="L43" i="80"/>
  <c r="N42" i="80"/>
  <c r="L42" i="80"/>
  <c r="N41" i="80"/>
  <c r="L41" i="80"/>
  <c r="N40" i="80"/>
  <c r="L40" i="80"/>
  <c r="N39" i="80"/>
  <c r="L39" i="80"/>
  <c r="N38" i="80"/>
  <c r="L38" i="80"/>
  <c r="N37" i="80"/>
  <c r="L37" i="80"/>
  <c r="N36" i="80"/>
  <c r="L36" i="80"/>
  <c r="N35" i="80"/>
  <c r="L35" i="80"/>
  <c r="N34" i="80"/>
  <c r="L34" i="80"/>
  <c r="N33" i="80"/>
  <c r="L33" i="80"/>
  <c r="N32" i="80"/>
  <c r="L32" i="80"/>
  <c r="N31" i="80"/>
  <c r="L31" i="80"/>
  <c r="N30" i="80"/>
  <c r="L30" i="80"/>
  <c r="N29" i="80"/>
  <c r="L29" i="80"/>
  <c r="N28" i="80"/>
  <c r="L28" i="80"/>
  <c r="N27" i="80"/>
  <c r="L27" i="80"/>
  <c r="N26" i="80"/>
  <c r="L26" i="80"/>
  <c r="N25" i="80"/>
  <c r="L25" i="80"/>
  <c r="N23" i="80"/>
  <c r="N22" i="80"/>
  <c r="N21" i="80"/>
  <c r="N20" i="80"/>
  <c r="L17" i="80"/>
  <c r="C17" i="80"/>
  <c r="C18" i="80" s="1"/>
  <c r="C19" i="80" s="1"/>
  <c r="C20" i="80" s="1"/>
  <c r="C21" i="80" s="1"/>
  <c r="C22" i="80" s="1"/>
  <c r="C23" i="80" s="1"/>
  <c r="C24" i="80" s="1"/>
  <c r="C25" i="80" s="1"/>
  <c r="C26" i="80" s="1"/>
  <c r="C27" i="80" s="1"/>
  <c r="C28" i="80" s="1"/>
  <c r="C29" i="80" s="1"/>
  <c r="C30" i="80" s="1"/>
  <c r="C31" i="80" s="1"/>
  <c r="C32" i="80" s="1"/>
  <c r="C33" i="80" s="1"/>
  <c r="C34" i="80" s="1"/>
  <c r="C35" i="80" s="1"/>
  <c r="C36" i="80" s="1"/>
  <c r="C37" i="80" s="1"/>
  <c r="C38" i="80" s="1"/>
  <c r="C39" i="80" s="1"/>
  <c r="C40" i="80" s="1"/>
  <c r="C41" i="80" s="1"/>
  <c r="C42" i="80" s="1"/>
  <c r="C43" i="80" s="1"/>
  <c r="C44" i="80" s="1"/>
  <c r="K11" i="80"/>
  <c r="I11" i="80"/>
  <c r="D8" i="80"/>
  <c r="D90" i="80" s="1"/>
  <c r="M17" i="79"/>
  <c r="N17" i="79" s="1"/>
  <c r="K17" i="79"/>
  <c r="L17" i="79" s="1"/>
  <c r="M17" i="78"/>
  <c r="N17" i="78" s="1"/>
  <c r="K17" i="78"/>
  <c r="L17" i="78" s="1"/>
  <c r="M17" i="77"/>
  <c r="N17" i="77" s="1"/>
  <c r="K17" i="77"/>
  <c r="L17" i="77" s="1"/>
  <c r="M17" i="76"/>
  <c r="N17" i="76" s="1"/>
  <c r="K17" i="76"/>
  <c r="L17" i="76" s="1"/>
  <c r="D94" i="74"/>
  <c r="C99" i="74"/>
  <c r="C100" i="74" s="1"/>
  <c r="C101" i="74" s="1"/>
  <c r="C102" i="74" s="1"/>
  <c r="C103" i="74" s="1"/>
  <c r="C104" i="74" s="1"/>
  <c r="C105" i="74" s="1"/>
  <c r="C106" i="74" s="1"/>
  <c r="C107" i="74" s="1"/>
  <c r="C108" i="74" s="1"/>
  <c r="C109" i="74" s="1"/>
  <c r="C110" i="74" s="1"/>
  <c r="C111" i="74" s="1"/>
  <c r="C112" i="74" s="1"/>
  <c r="C113" i="74" s="1"/>
  <c r="C114" i="74" s="1"/>
  <c r="C115" i="74" s="1"/>
  <c r="C116" i="74" s="1"/>
  <c r="C117" i="74" s="1"/>
  <c r="C118" i="74" s="1"/>
  <c r="C119" i="74" s="1"/>
  <c r="C120" i="74" s="1"/>
  <c r="C121" i="74" s="1"/>
  <c r="C122" i="74" s="1"/>
  <c r="C123" i="74" s="1"/>
  <c r="C124" i="74" s="1"/>
  <c r="C125" i="74" s="1"/>
  <c r="C126" i="74" s="1"/>
  <c r="C127" i="74" s="1"/>
  <c r="C128" i="74" s="1"/>
  <c r="C129" i="74" s="1"/>
  <c r="C130" i="74" s="1"/>
  <c r="C131" i="74" s="1"/>
  <c r="C132" i="74" s="1"/>
  <c r="C133" i="74" s="1"/>
  <c r="C134" i="74" s="1"/>
  <c r="C135" i="74" s="1"/>
  <c r="C136" i="74" s="1"/>
  <c r="C137" i="74" s="1"/>
  <c r="C138" i="74" s="1"/>
  <c r="C139" i="74" s="1"/>
  <c r="C140" i="74" s="1"/>
  <c r="C141" i="74" s="1"/>
  <c r="C142" i="74" s="1"/>
  <c r="C143" i="74" s="1"/>
  <c r="C144" i="74" s="1"/>
  <c r="C145" i="74" s="1"/>
  <c r="C146" i="74" s="1"/>
  <c r="C147" i="74" s="1"/>
  <c r="C148" i="74" s="1"/>
  <c r="C149" i="74" s="1"/>
  <c r="C150" i="74" s="1"/>
  <c r="C151" i="74" s="1"/>
  <c r="C152" i="74" s="1"/>
  <c r="C153" i="74" s="1"/>
  <c r="C154" i="74" s="1"/>
  <c r="D94" i="73"/>
  <c r="D93" i="73"/>
  <c r="M22" i="73"/>
  <c r="N22" i="73" s="1"/>
  <c r="K22" i="73"/>
  <c r="L22" i="73" s="1"/>
  <c r="D94" i="72"/>
  <c r="D93" i="72"/>
  <c r="M20" i="72"/>
  <c r="N20" i="72" s="1"/>
  <c r="K20" i="72"/>
  <c r="L20" i="72" s="1"/>
  <c r="D94" i="71"/>
  <c r="D93" i="71"/>
  <c r="M24" i="71"/>
  <c r="N24" i="71" s="1"/>
  <c r="K24" i="71"/>
  <c r="L24" i="71" s="1"/>
  <c r="D94" i="70"/>
  <c r="D93" i="70"/>
  <c r="M25" i="70"/>
  <c r="N25" i="70" s="1"/>
  <c r="K25" i="70"/>
  <c r="L25" i="70" s="1"/>
  <c r="M17" i="75"/>
  <c r="N17" i="75" s="1"/>
  <c r="K17" i="75"/>
  <c r="L17" i="75" s="1"/>
  <c r="D94" i="69"/>
  <c r="M25" i="69"/>
  <c r="N25" i="69" s="1"/>
  <c r="K25" i="69"/>
  <c r="L25" i="69" s="1"/>
  <c r="B19" i="68"/>
  <c r="N99" i="68"/>
  <c r="O99" i="68" s="1"/>
  <c r="L99" i="68"/>
  <c r="M99" i="68" s="1"/>
  <c r="P99" i="68" s="1"/>
  <c r="M18" i="68"/>
  <c r="N18" i="68" s="1"/>
  <c r="O18" i="68" s="1"/>
  <c r="K18" i="68"/>
  <c r="L18" i="68" s="1"/>
  <c r="B19" i="67"/>
  <c r="M18" i="67"/>
  <c r="N18" i="67" s="1"/>
  <c r="K18" i="67"/>
  <c r="L18" i="67" s="1"/>
  <c r="N99" i="66"/>
  <c r="O99" i="66" s="1"/>
  <c r="L99" i="66"/>
  <c r="M99" i="66" s="1"/>
  <c r="M18" i="66"/>
  <c r="N18" i="66" s="1"/>
  <c r="K18" i="66"/>
  <c r="L18" i="66" s="1"/>
  <c r="N99" i="65"/>
  <c r="O99" i="65" s="1"/>
  <c r="L99" i="65"/>
  <c r="M99" i="65" s="1"/>
  <c r="P99" i="65" s="1"/>
  <c r="M18" i="65"/>
  <c r="N18" i="65" s="1"/>
  <c r="K18" i="65"/>
  <c r="L18" i="65" s="1"/>
  <c r="N100" i="64"/>
  <c r="O100" i="64" s="1"/>
  <c r="L100" i="64"/>
  <c r="M100" i="64" s="1"/>
  <c r="M19" i="64"/>
  <c r="N19" i="64" s="1"/>
  <c r="K19" i="64"/>
  <c r="L19" i="64" s="1"/>
  <c r="M19" i="60"/>
  <c r="N19" i="60" s="1"/>
  <c r="K19" i="60"/>
  <c r="L19" i="60" s="1"/>
  <c r="N100" i="60"/>
  <c r="O100" i="60" s="1"/>
  <c r="L100" i="60"/>
  <c r="M100" i="60" s="1"/>
  <c r="N100" i="62"/>
  <c r="O100" i="62" s="1"/>
  <c r="L100" i="62"/>
  <c r="M100" i="62" s="1"/>
  <c r="M19" i="62"/>
  <c r="N19" i="62" s="1"/>
  <c r="K19" i="62"/>
  <c r="L19" i="62" s="1"/>
  <c r="N100" i="63"/>
  <c r="O100" i="63" s="1"/>
  <c r="L100" i="63"/>
  <c r="M100" i="63" s="1"/>
  <c r="M19" i="63"/>
  <c r="N19" i="63" s="1"/>
  <c r="K19" i="63"/>
  <c r="L19" i="63" s="1"/>
  <c r="N101" i="61"/>
  <c r="O101" i="61"/>
  <c r="L101" i="61"/>
  <c r="M101" i="61" s="1"/>
  <c r="M20" i="61"/>
  <c r="N20" i="61" s="1"/>
  <c r="K20" i="61"/>
  <c r="L20" i="61" s="1"/>
  <c r="N100" i="61"/>
  <c r="O100" i="61" s="1"/>
  <c r="L100" i="61"/>
  <c r="M100" i="61" s="1"/>
  <c r="M19" i="61"/>
  <c r="N19" i="61" s="1"/>
  <c r="K19" i="61"/>
  <c r="L19" i="61" s="1"/>
  <c r="N100" i="59"/>
  <c r="O100" i="59" s="1"/>
  <c r="L100" i="59"/>
  <c r="M100" i="59" s="1"/>
  <c r="M19" i="59"/>
  <c r="N19" i="59" s="1"/>
  <c r="K19" i="59"/>
  <c r="L19" i="59" s="1"/>
  <c r="N101" i="58"/>
  <c r="O101" i="58" s="1"/>
  <c r="L101" i="58"/>
  <c r="M101" i="58"/>
  <c r="P101" i="58" s="1"/>
  <c r="M20" i="58"/>
  <c r="N20" i="58" s="1"/>
  <c r="K20" i="58"/>
  <c r="L20" i="58" s="1"/>
  <c r="N101" i="57"/>
  <c r="O101" i="57" s="1"/>
  <c r="L101" i="57"/>
  <c r="M101" i="57" s="1"/>
  <c r="P101" i="57" s="1"/>
  <c r="M20" i="57"/>
  <c r="N20" i="57" s="1"/>
  <c r="K20" i="57"/>
  <c r="L20" i="57" s="1"/>
  <c r="N101" i="56"/>
  <c r="O101" i="56" s="1"/>
  <c r="L101" i="56"/>
  <c r="M101" i="56" s="1"/>
  <c r="M20" i="56"/>
  <c r="N20" i="56" s="1"/>
  <c r="K20" i="56"/>
  <c r="L20" i="56" s="1"/>
  <c r="N101" i="55"/>
  <c r="O101" i="55" s="1"/>
  <c r="L101" i="55"/>
  <c r="M101" i="55"/>
  <c r="M20" i="55"/>
  <c r="N20" i="55" s="1"/>
  <c r="K20" i="55"/>
  <c r="L20" i="55" s="1"/>
  <c r="N101" i="54"/>
  <c r="O101" i="54"/>
  <c r="L101" i="54"/>
  <c r="M101" i="54" s="1"/>
  <c r="M20" i="54"/>
  <c r="N20" i="54" s="1"/>
  <c r="K20" i="54"/>
  <c r="L20" i="54" s="1"/>
  <c r="O20" i="54" s="1"/>
  <c r="N101" i="53"/>
  <c r="O101" i="53" s="1"/>
  <c r="L101" i="53"/>
  <c r="M101" i="53" s="1"/>
  <c r="M20" i="53"/>
  <c r="N20" i="53" s="1"/>
  <c r="K20" i="53"/>
  <c r="L20" i="53" s="1"/>
  <c r="N101" i="46"/>
  <c r="O101" i="46" s="1"/>
  <c r="P101" i="46" s="1"/>
  <c r="L101" i="46"/>
  <c r="M101" i="46" s="1"/>
  <c r="M20" i="46"/>
  <c r="N20" i="46" s="1"/>
  <c r="K20" i="46"/>
  <c r="L20" i="46" s="1"/>
  <c r="N102" i="45"/>
  <c r="O102" i="45" s="1"/>
  <c r="L102" i="45"/>
  <c r="M102" i="45" s="1"/>
  <c r="P102" i="45" s="1"/>
  <c r="M21" i="45"/>
  <c r="N21" i="45" s="1"/>
  <c r="K21" i="45"/>
  <c r="L21" i="45" s="1"/>
  <c r="N103" i="44"/>
  <c r="O103" i="44" s="1"/>
  <c r="L103" i="44"/>
  <c r="M103" i="44" s="1"/>
  <c r="M22" i="44"/>
  <c r="N22" i="44" s="1"/>
  <c r="K22" i="44"/>
  <c r="L22" i="44" s="1"/>
  <c r="N103" i="43"/>
  <c r="O103" i="43" s="1"/>
  <c r="L103" i="43"/>
  <c r="M103" i="43" s="1"/>
  <c r="P103" i="43" s="1"/>
  <c r="M22" i="43"/>
  <c r="N22" i="43" s="1"/>
  <c r="K22" i="43"/>
  <c r="L22" i="43" s="1"/>
  <c r="N103" i="42"/>
  <c r="O103" i="42" s="1"/>
  <c r="L103" i="42"/>
  <c r="M103" i="42" s="1"/>
  <c r="M22" i="42"/>
  <c r="N22" i="42" s="1"/>
  <c r="K22" i="42"/>
  <c r="L22" i="42" s="1"/>
  <c r="N103" i="41"/>
  <c r="O103" i="41" s="1"/>
  <c r="P103" i="41" s="1"/>
  <c r="L103" i="41"/>
  <c r="M103" i="41" s="1"/>
  <c r="M22" i="41"/>
  <c r="N22" i="41" s="1"/>
  <c r="K22" i="41"/>
  <c r="L22" i="41" s="1"/>
  <c r="N103" i="39"/>
  <c r="O103" i="39" s="1"/>
  <c r="L103" i="39"/>
  <c r="M103" i="39" s="1"/>
  <c r="M22" i="39"/>
  <c r="N22" i="39" s="1"/>
  <c r="K22" i="39"/>
  <c r="L22" i="39" s="1"/>
  <c r="N105" i="34"/>
  <c r="O105" i="34" s="1"/>
  <c r="L105" i="34"/>
  <c r="M105" i="34" s="1"/>
  <c r="M24" i="34"/>
  <c r="N24" i="34" s="1"/>
  <c r="O24" i="34" s="1"/>
  <c r="K24" i="34"/>
  <c r="L24" i="34" s="1"/>
  <c r="N105" i="32"/>
  <c r="O105" i="32" s="1"/>
  <c r="P105" i="32" s="1"/>
  <c r="L105" i="32"/>
  <c r="M105" i="32" s="1"/>
  <c r="M24" i="32"/>
  <c r="N24" i="32" s="1"/>
  <c r="K24" i="32"/>
  <c r="L24" i="32" s="1"/>
  <c r="N105" i="31"/>
  <c r="O105" i="31" s="1"/>
  <c r="L105" i="31"/>
  <c r="M105" i="31" s="1"/>
  <c r="M24" i="31"/>
  <c r="N24" i="31" s="1"/>
  <c r="K24" i="31"/>
  <c r="L24" i="31" s="1"/>
  <c r="N106" i="30"/>
  <c r="O106" i="30" s="1"/>
  <c r="P106" i="30" s="1"/>
  <c r="L106" i="30"/>
  <c r="M106" i="30" s="1"/>
  <c r="M25" i="30"/>
  <c r="N25" i="30" s="1"/>
  <c r="K25" i="30"/>
  <c r="L25" i="30" s="1"/>
  <c r="N106" i="29"/>
  <c r="O106" i="29" s="1"/>
  <c r="L106" i="29"/>
  <c r="M106" i="29" s="1"/>
  <c r="M25" i="29"/>
  <c r="N25" i="29" s="1"/>
  <c r="K25" i="29"/>
  <c r="L25" i="29" s="1"/>
  <c r="N107" i="28"/>
  <c r="O107" i="28" s="1"/>
  <c r="L107" i="28"/>
  <c r="M107" i="28" s="1"/>
  <c r="M26" i="28"/>
  <c r="N26" i="28" s="1"/>
  <c r="K26" i="28"/>
  <c r="L26" i="28" s="1"/>
  <c r="N106" i="27"/>
  <c r="O106" i="27" s="1"/>
  <c r="L106" i="27"/>
  <c r="M106" i="27" s="1"/>
  <c r="M25" i="27"/>
  <c r="N25" i="27" s="1"/>
  <c r="K25" i="27"/>
  <c r="L25" i="27" s="1"/>
  <c r="N105" i="24"/>
  <c r="O105" i="24" s="1"/>
  <c r="P105" i="24" s="1"/>
  <c r="L105" i="24"/>
  <c r="M105" i="24" s="1"/>
  <c r="M24" i="24"/>
  <c r="N24" i="24" s="1"/>
  <c r="K24" i="24"/>
  <c r="L24" i="24" s="1"/>
  <c r="N105" i="23"/>
  <c r="O105" i="23" s="1"/>
  <c r="L105" i="23"/>
  <c r="M105" i="23" s="1"/>
  <c r="M24" i="23"/>
  <c r="N24" i="23" s="1"/>
  <c r="K24" i="23"/>
  <c r="L24" i="23" s="1"/>
  <c r="N104" i="22"/>
  <c r="O104" i="22" s="1"/>
  <c r="L104" i="22"/>
  <c r="M104" i="22" s="1"/>
  <c r="M23" i="22"/>
  <c r="N23" i="22" s="1"/>
  <c r="K23" i="22"/>
  <c r="L23" i="22" s="1"/>
  <c r="N104" i="21"/>
  <c r="O104" i="21" s="1"/>
  <c r="L104" i="21"/>
  <c r="M104" i="21" s="1"/>
  <c r="M23" i="21"/>
  <c r="N23" i="21" s="1"/>
  <c r="K23" i="21"/>
  <c r="L23" i="21" s="1"/>
  <c r="N104" i="20"/>
  <c r="O104" i="20" s="1"/>
  <c r="L104" i="20"/>
  <c r="M104" i="20" s="1"/>
  <c r="M23" i="20"/>
  <c r="N23" i="20" s="1"/>
  <c r="K23" i="20"/>
  <c r="L23" i="20" s="1"/>
  <c r="N104" i="19"/>
  <c r="O104" i="19" s="1"/>
  <c r="L104" i="19"/>
  <c r="M104" i="19" s="1"/>
  <c r="M23" i="19"/>
  <c r="N23" i="19" s="1"/>
  <c r="K23" i="19"/>
  <c r="L23" i="19" s="1"/>
  <c r="N104" i="18"/>
  <c r="O104" i="18" s="1"/>
  <c r="L104" i="18"/>
  <c r="M104" i="18" s="1"/>
  <c r="M23" i="18"/>
  <c r="N23" i="18" s="1"/>
  <c r="K23" i="18"/>
  <c r="L23" i="18" s="1"/>
  <c r="N104" i="17"/>
  <c r="O104" i="17" s="1"/>
  <c r="P104" i="17" s="1"/>
  <c r="L104" i="17"/>
  <c r="M104" i="17" s="1"/>
  <c r="M23" i="17"/>
  <c r="N23" i="17" s="1"/>
  <c r="K23" i="17"/>
  <c r="L23" i="17" s="1"/>
  <c r="N104" i="3"/>
  <c r="O104" i="3"/>
  <c r="L104" i="3"/>
  <c r="M104" i="3" s="1"/>
  <c r="M23" i="3"/>
  <c r="N23" i="3" s="1"/>
  <c r="O23" i="3" s="1"/>
  <c r="K23" i="3"/>
  <c r="L23" i="3" s="1"/>
  <c r="O105" i="69"/>
  <c r="M105" i="69"/>
  <c r="O104" i="69"/>
  <c r="P104" i="69" s="1"/>
  <c r="M104" i="69"/>
  <c r="O103" i="69"/>
  <c r="M103" i="69"/>
  <c r="O102" i="69"/>
  <c r="M102" i="69"/>
  <c r="O101" i="69"/>
  <c r="M101" i="69"/>
  <c r="O100" i="69"/>
  <c r="P100" i="69" s="1"/>
  <c r="M100" i="69"/>
  <c r="O99" i="69"/>
  <c r="P99" i="69" s="1"/>
  <c r="M99" i="69"/>
  <c r="D92" i="64"/>
  <c r="D92" i="62"/>
  <c r="D92" i="63"/>
  <c r="D92" i="61"/>
  <c r="D92" i="59"/>
  <c r="D92" i="57"/>
  <c r="D92" i="21"/>
  <c r="M24" i="69"/>
  <c r="N24" i="69" s="1"/>
  <c r="K24" i="69"/>
  <c r="L24" i="69" s="1"/>
  <c r="M23" i="69"/>
  <c r="N23" i="69" s="1"/>
  <c r="K23" i="69"/>
  <c r="L23" i="69" s="1"/>
  <c r="M22" i="69"/>
  <c r="N22" i="69" s="1"/>
  <c r="K22" i="69"/>
  <c r="L22" i="69" s="1"/>
  <c r="M21" i="69"/>
  <c r="N21" i="69"/>
  <c r="K21" i="69"/>
  <c r="L21" i="69" s="1"/>
  <c r="M20" i="69"/>
  <c r="N20" i="69" s="1"/>
  <c r="K20" i="69"/>
  <c r="L20" i="69" s="1"/>
  <c r="M19" i="69"/>
  <c r="N19" i="69" s="1"/>
  <c r="K19" i="69"/>
  <c r="L19" i="69" s="1"/>
  <c r="M18" i="69"/>
  <c r="N18" i="69" s="1"/>
  <c r="K18" i="69"/>
  <c r="L18" i="69" s="1"/>
  <c r="M17" i="69"/>
  <c r="N17" i="69" s="1"/>
  <c r="K17" i="69"/>
  <c r="L17" i="69" s="1"/>
  <c r="W71" i="36"/>
  <c r="W70" i="36"/>
  <c r="W69" i="36"/>
  <c r="W68" i="36"/>
  <c r="W67" i="36"/>
  <c r="W66" i="36"/>
  <c r="W65" i="36"/>
  <c r="W64" i="36"/>
  <c r="W63" i="36"/>
  <c r="W62" i="36"/>
  <c r="W61" i="36"/>
  <c r="P71" i="36"/>
  <c r="P70" i="36"/>
  <c r="P69" i="36"/>
  <c r="P68" i="36"/>
  <c r="P67" i="36"/>
  <c r="P66" i="36"/>
  <c r="P65" i="36"/>
  <c r="P64" i="36"/>
  <c r="P63" i="36"/>
  <c r="P62" i="36"/>
  <c r="P61" i="36"/>
  <c r="P154" i="79"/>
  <c r="O154" i="79"/>
  <c r="M154" i="79"/>
  <c r="P153" i="79"/>
  <c r="O153" i="79"/>
  <c r="M153" i="79"/>
  <c r="P152" i="79"/>
  <c r="O152" i="79"/>
  <c r="M152" i="79"/>
  <c r="P151" i="79"/>
  <c r="O151" i="79"/>
  <c r="M151" i="79"/>
  <c r="P150" i="79"/>
  <c r="O150" i="79"/>
  <c r="M150" i="79"/>
  <c r="P149" i="79"/>
  <c r="O149" i="79"/>
  <c r="M149" i="79"/>
  <c r="P148" i="79"/>
  <c r="O148" i="79"/>
  <c r="M148" i="79"/>
  <c r="P147" i="79"/>
  <c r="O147" i="79"/>
  <c r="M147" i="79"/>
  <c r="P146" i="79"/>
  <c r="O146" i="79"/>
  <c r="M146" i="79"/>
  <c r="P145" i="79"/>
  <c r="O145" i="79"/>
  <c r="M145" i="79"/>
  <c r="P144" i="79"/>
  <c r="O144" i="79"/>
  <c r="M144" i="79"/>
  <c r="P143" i="79"/>
  <c r="O143" i="79"/>
  <c r="M143" i="79"/>
  <c r="P142" i="79"/>
  <c r="O142" i="79"/>
  <c r="M142" i="79"/>
  <c r="P141" i="79"/>
  <c r="O141" i="79"/>
  <c r="M141" i="79"/>
  <c r="P140" i="79"/>
  <c r="O140" i="79"/>
  <c r="M140" i="79"/>
  <c r="P139" i="79"/>
  <c r="O139" i="79"/>
  <c r="M139" i="79"/>
  <c r="P138" i="79"/>
  <c r="O138" i="79"/>
  <c r="M138" i="79"/>
  <c r="P137" i="79"/>
  <c r="O137" i="79"/>
  <c r="M137" i="79"/>
  <c r="P136" i="79"/>
  <c r="O136" i="79"/>
  <c r="M136" i="79"/>
  <c r="P135" i="79"/>
  <c r="O135" i="79"/>
  <c r="M135" i="79"/>
  <c r="P134" i="79"/>
  <c r="O134" i="79"/>
  <c r="M134" i="79"/>
  <c r="P133" i="79"/>
  <c r="O133" i="79"/>
  <c r="M133" i="79"/>
  <c r="P132" i="79"/>
  <c r="O132" i="79"/>
  <c r="M132" i="79"/>
  <c r="P131" i="79"/>
  <c r="O131" i="79"/>
  <c r="M131" i="79"/>
  <c r="O130" i="79"/>
  <c r="M130" i="79"/>
  <c r="O129" i="79"/>
  <c r="M129" i="79"/>
  <c r="O128" i="79"/>
  <c r="M128" i="79"/>
  <c r="O127" i="79"/>
  <c r="M127" i="79"/>
  <c r="O126" i="79"/>
  <c r="M126" i="79"/>
  <c r="O125" i="79"/>
  <c r="M125" i="79"/>
  <c r="O124" i="79"/>
  <c r="M124" i="79"/>
  <c r="O123" i="79"/>
  <c r="M123" i="79"/>
  <c r="O122" i="79"/>
  <c r="M122" i="79"/>
  <c r="O121" i="79"/>
  <c r="M121" i="79"/>
  <c r="O120" i="79"/>
  <c r="M120" i="79"/>
  <c r="O119" i="79"/>
  <c r="M119" i="79"/>
  <c r="O118" i="79"/>
  <c r="M118" i="79"/>
  <c r="O117" i="79"/>
  <c r="M117" i="79"/>
  <c r="O116" i="79"/>
  <c r="M116" i="79"/>
  <c r="O115" i="79"/>
  <c r="M115" i="79"/>
  <c r="O114" i="79"/>
  <c r="M114" i="79"/>
  <c r="O113" i="79"/>
  <c r="M113" i="79"/>
  <c r="O112" i="79"/>
  <c r="M112" i="79"/>
  <c r="O111" i="79"/>
  <c r="M111" i="79"/>
  <c r="O110" i="79"/>
  <c r="M110" i="79"/>
  <c r="O109" i="79"/>
  <c r="M109" i="79"/>
  <c r="O108" i="79"/>
  <c r="M108" i="79"/>
  <c r="O107" i="79"/>
  <c r="M107" i="79"/>
  <c r="O106" i="79"/>
  <c r="M106" i="79"/>
  <c r="O104" i="79"/>
  <c r="O103" i="79"/>
  <c r="O99" i="79"/>
  <c r="M99" i="79"/>
  <c r="D96" i="79"/>
  <c r="L93" i="79"/>
  <c r="J93" i="79"/>
  <c r="D91" i="79"/>
  <c r="D89" i="79"/>
  <c r="N72" i="79"/>
  <c r="L72" i="79"/>
  <c r="N71" i="79"/>
  <c r="L71" i="79"/>
  <c r="N70" i="79"/>
  <c r="L70" i="79"/>
  <c r="N69" i="79"/>
  <c r="L69" i="79"/>
  <c r="N68" i="79"/>
  <c r="L68" i="79"/>
  <c r="N67" i="79"/>
  <c r="L67" i="79"/>
  <c r="N66" i="79"/>
  <c r="L66" i="79"/>
  <c r="N65" i="79"/>
  <c r="L65" i="79"/>
  <c r="N64" i="79"/>
  <c r="L64" i="79"/>
  <c r="N63" i="79"/>
  <c r="L63" i="79"/>
  <c r="N62" i="79"/>
  <c r="L62" i="79"/>
  <c r="N61" i="79"/>
  <c r="L61" i="79"/>
  <c r="N60" i="79"/>
  <c r="L60" i="79"/>
  <c r="N59" i="79"/>
  <c r="L59" i="79"/>
  <c r="N58" i="79"/>
  <c r="L58" i="79"/>
  <c r="N57" i="79"/>
  <c r="L57" i="79"/>
  <c r="N56" i="79"/>
  <c r="L56" i="79"/>
  <c r="N55" i="79"/>
  <c r="L55" i="79"/>
  <c r="N54" i="79"/>
  <c r="L54" i="79"/>
  <c r="N53" i="79"/>
  <c r="L53" i="79"/>
  <c r="N52" i="79"/>
  <c r="L52" i="79"/>
  <c r="N51" i="79"/>
  <c r="L51" i="79"/>
  <c r="N50" i="79"/>
  <c r="L50" i="79"/>
  <c r="N49" i="79"/>
  <c r="L49" i="79"/>
  <c r="N48" i="79"/>
  <c r="L48" i="79"/>
  <c r="N47" i="79"/>
  <c r="L47" i="79"/>
  <c r="N46" i="79"/>
  <c r="L46" i="79"/>
  <c r="N45" i="79"/>
  <c r="L45" i="79"/>
  <c r="N44" i="79"/>
  <c r="L44" i="79"/>
  <c r="N43" i="79"/>
  <c r="L43" i="79"/>
  <c r="N42" i="79"/>
  <c r="L42" i="79"/>
  <c r="N41" i="79"/>
  <c r="L41" i="79"/>
  <c r="N40" i="79"/>
  <c r="L40" i="79"/>
  <c r="N39" i="79"/>
  <c r="L39" i="79"/>
  <c r="N38" i="79"/>
  <c r="L38" i="79"/>
  <c r="N37" i="79"/>
  <c r="L37" i="79"/>
  <c r="N36" i="79"/>
  <c r="L36" i="79"/>
  <c r="N35" i="79"/>
  <c r="L35" i="79"/>
  <c r="N34" i="79"/>
  <c r="L34" i="79"/>
  <c r="N33" i="79"/>
  <c r="L33" i="79"/>
  <c r="N32" i="79"/>
  <c r="L32" i="79"/>
  <c r="N31" i="79"/>
  <c r="L31" i="79"/>
  <c r="N30" i="79"/>
  <c r="L30" i="79"/>
  <c r="N29" i="79"/>
  <c r="L29" i="79"/>
  <c r="N28" i="79"/>
  <c r="L28" i="79"/>
  <c r="N27" i="79"/>
  <c r="L27" i="79"/>
  <c r="N26" i="79"/>
  <c r="L26" i="79"/>
  <c r="N24" i="79"/>
  <c r="N23" i="79"/>
  <c r="O23" i="79" s="1"/>
  <c r="N22" i="79"/>
  <c r="N21" i="79"/>
  <c r="C17" i="79"/>
  <c r="C18" i="79" s="1"/>
  <c r="C19" i="79" s="1"/>
  <c r="C20" i="79" s="1"/>
  <c r="C21" i="79" s="1"/>
  <c r="C22" i="79" s="1"/>
  <c r="C23" i="79" s="1"/>
  <c r="C24" i="79" s="1"/>
  <c r="C25" i="79" s="1"/>
  <c r="C26" i="79" s="1"/>
  <c r="C27" i="79" s="1"/>
  <c r="C28" i="79" s="1"/>
  <c r="C29" i="79" s="1"/>
  <c r="C30" i="79" s="1"/>
  <c r="C31" i="79" s="1"/>
  <c r="C32" i="79" s="1"/>
  <c r="C33" i="79" s="1"/>
  <c r="C34" i="79" s="1"/>
  <c r="C35" i="79" s="1"/>
  <c r="C36" i="79" s="1"/>
  <c r="C37" i="79" s="1"/>
  <c r="C38" i="79" s="1"/>
  <c r="C39" i="79" s="1"/>
  <c r="C40" i="79" s="1"/>
  <c r="C41" i="79" s="1"/>
  <c r="C42" i="79" s="1"/>
  <c r="C43" i="79" s="1"/>
  <c r="C44" i="79" s="1"/>
  <c r="C45" i="79" s="1"/>
  <c r="C46" i="79" s="1"/>
  <c r="C47" i="79" s="1"/>
  <c r="C48" i="79" s="1"/>
  <c r="C49" i="79" s="1"/>
  <c r="C50" i="79" s="1"/>
  <c r="C51" i="79" s="1"/>
  <c r="C52" i="79" s="1"/>
  <c r="C53" i="79" s="1"/>
  <c r="C54" i="79" s="1"/>
  <c r="C55" i="79" s="1"/>
  <c r="C56" i="79" s="1"/>
  <c r="C57" i="79" s="1"/>
  <c r="C58" i="79" s="1"/>
  <c r="C59" i="79" s="1"/>
  <c r="C60" i="79" s="1"/>
  <c r="C61" i="79" s="1"/>
  <c r="C62" i="79" s="1"/>
  <c r="C63" i="79" s="1"/>
  <c r="C64" i="79" s="1"/>
  <c r="C65" i="79" s="1"/>
  <c r="C66" i="79" s="1"/>
  <c r="C67" i="79" s="1"/>
  <c r="C68" i="79" s="1"/>
  <c r="C69" i="79" s="1"/>
  <c r="C70" i="79" s="1"/>
  <c r="C71" i="79" s="1"/>
  <c r="C72" i="79" s="1"/>
  <c r="K11" i="79"/>
  <c r="I11" i="79"/>
  <c r="D8" i="79"/>
  <c r="D90" i="79" s="1"/>
  <c r="P1" i="79"/>
  <c r="P83" i="79" s="1"/>
  <c r="P154" i="78"/>
  <c r="O154" i="78"/>
  <c r="M154" i="78"/>
  <c r="P153" i="78"/>
  <c r="O153" i="78"/>
  <c r="M153" i="78"/>
  <c r="P152" i="78"/>
  <c r="O152" i="78"/>
  <c r="M152" i="78"/>
  <c r="P151" i="78"/>
  <c r="O151" i="78"/>
  <c r="M151" i="78"/>
  <c r="P150" i="78"/>
  <c r="O150" i="78"/>
  <c r="M150" i="78"/>
  <c r="P149" i="78"/>
  <c r="O149" i="78"/>
  <c r="M149" i="78"/>
  <c r="P148" i="78"/>
  <c r="O148" i="78"/>
  <c r="M148" i="78"/>
  <c r="P147" i="78"/>
  <c r="O147" i="78"/>
  <c r="M147" i="78"/>
  <c r="P146" i="78"/>
  <c r="O146" i="78"/>
  <c r="M146" i="78"/>
  <c r="P145" i="78"/>
  <c r="O145" i="78"/>
  <c r="M145" i="78"/>
  <c r="P144" i="78"/>
  <c r="O144" i="78"/>
  <c r="M144" i="78"/>
  <c r="P143" i="78"/>
  <c r="O143" i="78"/>
  <c r="M143" i="78"/>
  <c r="P142" i="78"/>
  <c r="O142" i="78"/>
  <c r="M142" i="78"/>
  <c r="P141" i="78"/>
  <c r="O141" i="78"/>
  <c r="M141" i="78"/>
  <c r="P140" i="78"/>
  <c r="O140" i="78"/>
  <c r="M140" i="78"/>
  <c r="P139" i="78"/>
  <c r="O139" i="78"/>
  <c r="M139" i="78"/>
  <c r="P138" i="78"/>
  <c r="O138" i="78"/>
  <c r="M138" i="78"/>
  <c r="P137" i="78"/>
  <c r="O137" i="78"/>
  <c r="M137" i="78"/>
  <c r="P136" i="78"/>
  <c r="O136" i="78"/>
  <c r="M136" i="78"/>
  <c r="P135" i="78"/>
  <c r="O135" i="78"/>
  <c r="M135" i="78"/>
  <c r="P134" i="78"/>
  <c r="O134" i="78"/>
  <c r="M134" i="78"/>
  <c r="P133" i="78"/>
  <c r="O133" i="78"/>
  <c r="M133" i="78"/>
  <c r="P132" i="78"/>
  <c r="O132" i="78"/>
  <c r="M132" i="78"/>
  <c r="P131" i="78"/>
  <c r="O131" i="78"/>
  <c r="M131" i="78"/>
  <c r="O130" i="78"/>
  <c r="M130" i="78"/>
  <c r="O129" i="78"/>
  <c r="M129" i="78"/>
  <c r="O128" i="78"/>
  <c r="M128" i="78"/>
  <c r="O127" i="78"/>
  <c r="M127" i="78"/>
  <c r="O126" i="78"/>
  <c r="M126" i="78"/>
  <c r="O125" i="78"/>
  <c r="M125" i="78"/>
  <c r="O124" i="78"/>
  <c r="M124" i="78"/>
  <c r="O123" i="78"/>
  <c r="M123" i="78"/>
  <c r="O122" i="78"/>
  <c r="M122" i="78"/>
  <c r="O121" i="78"/>
  <c r="M121" i="78"/>
  <c r="O120" i="78"/>
  <c r="M120" i="78"/>
  <c r="O119" i="78"/>
  <c r="M119" i="78"/>
  <c r="O118" i="78"/>
  <c r="M118" i="78"/>
  <c r="O117" i="78"/>
  <c r="M117" i="78"/>
  <c r="O116" i="78"/>
  <c r="M116" i="78"/>
  <c r="O115" i="78"/>
  <c r="M115" i="78"/>
  <c r="O114" i="78"/>
  <c r="M114" i="78"/>
  <c r="O113" i="78"/>
  <c r="M113" i="78"/>
  <c r="O112" i="78"/>
  <c r="M112" i="78"/>
  <c r="O111" i="78"/>
  <c r="M111" i="78"/>
  <c r="O110" i="78"/>
  <c r="M110" i="78"/>
  <c r="O109" i="78"/>
  <c r="M109" i="78"/>
  <c r="O108" i="78"/>
  <c r="M108" i="78"/>
  <c r="O107" i="78"/>
  <c r="M107" i="78"/>
  <c r="O106" i="78"/>
  <c r="M106" i="78"/>
  <c r="O104" i="78"/>
  <c r="O103" i="78"/>
  <c r="O99" i="78"/>
  <c r="M99" i="78"/>
  <c r="D96" i="78"/>
  <c r="L93" i="78"/>
  <c r="J93" i="78"/>
  <c r="D91" i="78"/>
  <c r="D89" i="78"/>
  <c r="N72" i="78"/>
  <c r="L72" i="78"/>
  <c r="N71" i="78"/>
  <c r="L71" i="78"/>
  <c r="N70" i="78"/>
  <c r="L70" i="78"/>
  <c r="N69" i="78"/>
  <c r="L69" i="78"/>
  <c r="N68" i="78"/>
  <c r="L68" i="78"/>
  <c r="N67" i="78"/>
  <c r="L67" i="78"/>
  <c r="N66" i="78"/>
  <c r="L66" i="78"/>
  <c r="N65" i="78"/>
  <c r="L65" i="78"/>
  <c r="N64" i="78"/>
  <c r="L64" i="78"/>
  <c r="N63" i="78"/>
  <c r="L63" i="78"/>
  <c r="N62" i="78"/>
  <c r="L62" i="78"/>
  <c r="N61" i="78"/>
  <c r="L61" i="78"/>
  <c r="N60" i="78"/>
  <c r="L60" i="78"/>
  <c r="N59" i="78"/>
  <c r="L59" i="78"/>
  <c r="N58" i="78"/>
  <c r="L58" i="78"/>
  <c r="N57" i="78"/>
  <c r="L57" i="78"/>
  <c r="N56" i="78"/>
  <c r="L56" i="78"/>
  <c r="N55" i="78"/>
  <c r="L55" i="78"/>
  <c r="N54" i="78"/>
  <c r="L54" i="78"/>
  <c r="N53" i="78"/>
  <c r="L53" i="78"/>
  <c r="N52" i="78"/>
  <c r="L52" i="78"/>
  <c r="N51" i="78"/>
  <c r="L51" i="78"/>
  <c r="N50" i="78"/>
  <c r="L50" i="78"/>
  <c r="N49" i="78"/>
  <c r="L49" i="78"/>
  <c r="N48" i="78"/>
  <c r="L48" i="78"/>
  <c r="N47" i="78"/>
  <c r="L47" i="78"/>
  <c r="N46" i="78"/>
  <c r="L46" i="78"/>
  <c r="N45" i="78"/>
  <c r="L45" i="78"/>
  <c r="N44" i="78"/>
  <c r="L44" i="78"/>
  <c r="N43" i="78"/>
  <c r="L43" i="78"/>
  <c r="N42" i="78"/>
  <c r="L42" i="78"/>
  <c r="N41" i="78"/>
  <c r="L41" i="78"/>
  <c r="N40" i="78"/>
  <c r="L40" i="78"/>
  <c r="N39" i="78"/>
  <c r="L39" i="78"/>
  <c r="N38" i="78"/>
  <c r="L38" i="78"/>
  <c r="N37" i="78"/>
  <c r="L37" i="78"/>
  <c r="N36" i="78"/>
  <c r="L36" i="78"/>
  <c r="N35" i="78"/>
  <c r="L35" i="78"/>
  <c r="N34" i="78"/>
  <c r="L34" i="78"/>
  <c r="N33" i="78"/>
  <c r="L33" i="78"/>
  <c r="N32" i="78"/>
  <c r="L32" i="78"/>
  <c r="N31" i="78"/>
  <c r="L31" i="78"/>
  <c r="N30" i="78"/>
  <c r="L30" i="78"/>
  <c r="N29" i="78"/>
  <c r="L29" i="78"/>
  <c r="N28" i="78"/>
  <c r="L28" i="78"/>
  <c r="N27" i="78"/>
  <c r="L27" i="78"/>
  <c r="N26" i="78"/>
  <c r="L26" i="78"/>
  <c r="N24" i="78"/>
  <c r="N23" i="78"/>
  <c r="N22" i="78"/>
  <c r="N21" i="78"/>
  <c r="C17" i="78"/>
  <c r="C18" i="78" s="1"/>
  <c r="C19" i="78" s="1"/>
  <c r="C20" i="78" s="1"/>
  <c r="C21" i="78" s="1"/>
  <c r="C22" i="78" s="1"/>
  <c r="C23" i="78" s="1"/>
  <c r="C24" i="78" s="1"/>
  <c r="C25" i="78" s="1"/>
  <c r="C26" i="78" s="1"/>
  <c r="C27" i="78" s="1"/>
  <c r="C28" i="78" s="1"/>
  <c r="C29" i="78" s="1"/>
  <c r="C30" i="78" s="1"/>
  <c r="C31" i="78" s="1"/>
  <c r="C32" i="78" s="1"/>
  <c r="C33" i="78"/>
  <c r="C34" i="78" s="1"/>
  <c r="C35" i="78" s="1"/>
  <c r="C36" i="78" s="1"/>
  <c r="C37" i="78" s="1"/>
  <c r="C38" i="78" s="1"/>
  <c r="C39" i="78" s="1"/>
  <c r="C40" i="78" s="1"/>
  <c r="C41" i="78" s="1"/>
  <c r="C42" i="78" s="1"/>
  <c r="C43" i="78" s="1"/>
  <c r="C44" i="78" s="1"/>
  <c r="K11" i="78"/>
  <c r="I11" i="78"/>
  <c r="D8" i="78"/>
  <c r="D90" i="78" s="1"/>
  <c r="P1" i="78"/>
  <c r="P83" i="78" s="1"/>
  <c r="P154" i="77"/>
  <c r="O154" i="77"/>
  <c r="M154" i="77"/>
  <c r="P153" i="77"/>
  <c r="O153" i="77"/>
  <c r="M153" i="77"/>
  <c r="P152" i="77"/>
  <c r="O152" i="77"/>
  <c r="M152" i="77"/>
  <c r="P151" i="77"/>
  <c r="O151" i="77"/>
  <c r="M151" i="77"/>
  <c r="P150" i="77"/>
  <c r="O150" i="77"/>
  <c r="M150" i="77"/>
  <c r="P149" i="77"/>
  <c r="O149" i="77"/>
  <c r="M149" i="77"/>
  <c r="P148" i="77"/>
  <c r="O148" i="77"/>
  <c r="M148" i="77"/>
  <c r="P147" i="77"/>
  <c r="O147" i="77"/>
  <c r="M147" i="77"/>
  <c r="P146" i="77"/>
  <c r="O146" i="77"/>
  <c r="M146" i="77"/>
  <c r="P145" i="77"/>
  <c r="O145" i="77"/>
  <c r="M145" i="77"/>
  <c r="P144" i="77"/>
  <c r="O144" i="77"/>
  <c r="M144" i="77"/>
  <c r="P143" i="77"/>
  <c r="O143" i="77"/>
  <c r="M143" i="77"/>
  <c r="P142" i="77"/>
  <c r="O142" i="77"/>
  <c r="M142" i="77"/>
  <c r="P141" i="77"/>
  <c r="O141" i="77"/>
  <c r="M141" i="77"/>
  <c r="P140" i="77"/>
  <c r="O140" i="77"/>
  <c r="M140" i="77"/>
  <c r="P139" i="77"/>
  <c r="O139" i="77"/>
  <c r="M139" i="77"/>
  <c r="P138" i="77"/>
  <c r="O138" i="77"/>
  <c r="M138" i="77"/>
  <c r="P137" i="77"/>
  <c r="O137" i="77"/>
  <c r="M137" i="77"/>
  <c r="P136" i="77"/>
  <c r="O136" i="77"/>
  <c r="M136" i="77"/>
  <c r="P135" i="77"/>
  <c r="O135" i="77"/>
  <c r="M135" i="77"/>
  <c r="P134" i="77"/>
  <c r="O134" i="77"/>
  <c r="M134" i="77"/>
  <c r="P133" i="77"/>
  <c r="O133" i="77"/>
  <c r="M133" i="77"/>
  <c r="P132" i="77"/>
  <c r="O132" i="77"/>
  <c r="M132" i="77"/>
  <c r="P131" i="77"/>
  <c r="O131" i="77"/>
  <c r="M131" i="77"/>
  <c r="O130" i="77"/>
  <c r="M130" i="77"/>
  <c r="O129" i="77"/>
  <c r="M129" i="77"/>
  <c r="O128" i="77"/>
  <c r="M128" i="77"/>
  <c r="O127" i="77"/>
  <c r="M127" i="77"/>
  <c r="O126" i="77"/>
  <c r="M126" i="77"/>
  <c r="O125" i="77"/>
  <c r="M125" i="77"/>
  <c r="O124" i="77"/>
  <c r="M124" i="77"/>
  <c r="O123" i="77"/>
  <c r="M123" i="77"/>
  <c r="O122" i="77"/>
  <c r="M122" i="77"/>
  <c r="O121" i="77"/>
  <c r="M121" i="77"/>
  <c r="O120" i="77"/>
  <c r="M120" i="77"/>
  <c r="O119" i="77"/>
  <c r="M119" i="77"/>
  <c r="O118" i="77"/>
  <c r="M118" i="77"/>
  <c r="O117" i="77"/>
  <c r="M117" i="77"/>
  <c r="O116" i="77"/>
  <c r="M116" i="77"/>
  <c r="O115" i="77"/>
  <c r="M115" i="77"/>
  <c r="O114" i="77"/>
  <c r="M114" i="77"/>
  <c r="O113" i="77"/>
  <c r="M113" i="77"/>
  <c r="O112" i="77"/>
  <c r="M112" i="77"/>
  <c r="O111" i="77"/>
  <c r="M111" i="77"/>
  <c r="O110" i="77"/>
  <c r="M110" i="77"/>
  <c r="O109" i="77"/>
  <c r="M109" i="77"/>
  <c r="O108" i="77"/>
  <c r="M108" i="77"/>
  <c r="O107" i="77"/>
  <c r="M107" i="77"/>
  <c r="O106" i="77"/>
  <c r="M106" i="77"/>
  <c r="O104" i="77"/>
  <c r="O103" i="77"/>
  <c r="O99" i="77"/>
  <c r="P99" i="77"/>
  <c r="D96" i="77"/>
  <c r="L93" i="77"/>
  <c r="J93" i="77"/>
  <c r="D91" i="77"/>
  <c r="D89" i="77"/>
  <c r="N72" i="77"/>
  <c r="L72" i="77"/>
  <c r="N71" i="77"/>
  <c r="L71" i="77"/>
  <c r="N70" i="77"/>
  <c r="L70" i="77"/>
  <c r="N69" i="77"/>
  <c r="L69" i="77"/>
  <c r="N68" i="77"/>
  <c r="L68" i="77"/>
  <c r="N67" i="77"/>
  <c r="L67" i="77"/>
  <c r="N66" i="77"/>
  <c r="L66" i="77"/>
  <c r="N65" i="77"/>
  <c r="L65" i="77"/>
  <c r="N64" i="77"/>
  <c r="L64" i="77"/>
  <c r="N63" i="77"/>
  <c r="L63" i="77"/>
  <c r="N62" i="77"/>
  <c r="L62" i="77"/>
  <c r="N61" i="77"/>
  <c r="L61" i="77"/>
  <c r="N60" i="77"/>
  <c r="L60" i="77"/>
  <c r="N59" i="77"/>
  <c r="L59" i="77"/>
  <c r="N58" i="77"/>
  <c r="L58" i="77"/>
  <c r="N57" i="77"/>
  <c r="L57" i="77"/>
  <c r="N56" i="77"/>
  <c r="L56" i="77"/>
  <c r="N55" i="77"/>
  <c r="L55" i="77"/>
  <c r="N54" i="77"/>
  <c r="L54" i="77"/>
  <c r="N53" i="77"/>
  <c r="L53" i="77"/>
  <c r="N52" i="77"/>
  <c r="L52" i="77"/>
  <c r="N51" i="77"/>
  <c r="L51" i="77"/>
  <c r="N50" i="77"/>
  <c r="L50" i="77"/>
  <c r="N49" i="77"/>
  <c r="L49" i="77"/>
  <c r="N48" i="77"/>
  <c r="L48" i="77"/>
  <c r="N47" i="77"/>
  <c r="L47" i="77"/>
  <c r="N46" i="77"/>
  <c r="L46" i="77"/>
  <c r="N45" i="77"/>
  <c r="L45" i="77"/>
  <c r="N44" i="77"/>
  <c r="L44" i="77"/>
  <c r="N43" i="77"/>
  <c r="L43" i="77"/>
  <c r="N42" i="77"/>
  <c r="L42" i="77"/>
  <c r="N41" i="77"/>
  <c r="L41" i="77"/>
  <c r="N40" i="77"/>
  <c r="L40" i="77"/>
  <c r="N39" i="77"/>
  <c r="L39" i="77"/>
  <c r="N38" i="77"/>
  <c r="L38" i="77"/>
  <c r="N37" i="77"/>
  <c r="L37" i="77"/>
  <c r="N36" i="77"/>
  <c r="L36" i="77"/>
  <c r="N35" i="77"/>
  <c r="L35" i="77"/>
  <c r="N34" i="77"/>
  <c r="L34" i="77"/>
  <c r="N33" i="77"/>
  <c r="L33" i="77"/>
  <c r="N32" i="77"/>
  <c r="L32" i="77"/>
  <c r="N31" i="77"/>
  <c r="L31" i="77"/>
  <c r="N30" i="77"/>
  <c r="L30" i="77"/>
  <c r="N29" i="77"/>
  <c r="L29" i="77"/>
  <c r="N28" i="77"/>
  <c r="L28" i="77"/>
  <c r="N27" i="77"/>
  <c r="L27" i="77"/>
  <c r="N26" i="77"/>
  <c r="L26" i="77"/>
  <c r="N24" i="77"/>
  <c r="N23" i="77"/>
  <c r="N22" i="77"/>
  <c r="N21" i="77"/>
  <c r="C17" i="77"/>
  <c r="C18" i="77" s="1"/>
  <c r="C19" i="77" s="1"/>
  <c r="C20" i="77" s="1"/>
  <c r="C21" i="77" s="1"/>
  <c r="C22" i="77" s="1"/>
  <c r="C23" i="77" s="1"/>
  <c r="C24" i="77" s="1"/>
  <c r="C25" i="77" s="1"/>
  <c r="C26" i="77" s="1"/>
  <c r="C27" i="77" s="1"/>
  <c r="C28" i="77" s="1"/>
  <c r="C29" i="77" s="1"/>
  <c r="C30" i="77" s="1"/>
  <c r="C31" i="77" s="1"/>
  <c r="C32" i="77" s="1"/>
  <c r="C33" i="77" s="1"/>
  <c r="C34" i="77" s="1"/>
  <c r="C35" i="77" s="1"/>
  <c r="C36" i="77" s="1"/>
  <c r="C37" i="77" s="1"/>
  <c r="C38" i="77" s="1"/>
  <c r="C39" i="77" s="1"/>
  <c r="C40" i="77" s="1"/>
  <c r="C41" i="77" s="1"/>
  <c r="C42" i="77" s="1"/>
  <c r="C43" i="77" s="1"/>
  <c r="C44" i="77" s="1"/>
  <c r="K11" i="77"/>
  <c r="I11" i="77"/>
  <c r="D8" i="77"/>
  <c r="D90" i="77" s="1"/>
  <c r="P1" i="77"/>
  <c r="P83" i="77" s="1"/>
  <c r="P154" i="76"/>
  <c r="O154" i="76"/>
  <c r="M154" i="76"/>
  <c r="P153" i="76"/>
  <c r="O153" i="76"/>
  <c r="M153" i="76"/>
  <c r="P152" i="76"/>
  <c r="O152" i="76"/>
  <c r="M152" i="76"/>
  <c r="P151" i="76"/>
  <c r="O151" i="76"/>
  <c r="M151" i="76"/>
  <c r="P150" i="76"/>
  <c r="O150" i="76"/>
  <c r="M150" i="76"/>
  <c r="P149" i="76"/>
  <c r="O149" i="76"/>
  <c r="M149" i="76"/>
  <c r="P148" i="76"/>
  <c r="O148" i="76"/>
  <c r="M148" i="76"/>
  <c r="P147" i="76"/>
  <c r="O147" i="76"/>
  <c r="M147" i="76"/>
  <c r="P146" i="76"/>
  <c r="O146" i="76"/>
  <c r="M146" i="76"/>
  <c r="P145" i="76"/>
  <c r="O145" i="76"/>
  <c r="M145" i="76"/>
  <c r="P144" i="76"/>
  <c r="O144" i="76"/>
  <c r="M144" i="76"/>
  <c r="P143" i="76"/>
  <c r="O143" i="76"/>
  <c r="M143" i="76"/>
  <c r="P142" i="76"/>
  <c r="O142" i="76"/>
  <c r="M142" i="76"/>
  <c r="P141" i="76"/>
  <c r="O141" i="76"/>
  <c r="M141" i="76"/>
  <c r="P140" i="76"/>
  <c r="O140" i="76"/>
  <c r="M140" i="76"/>
  <c r="P139" i="76"/>
  <c r="O139" i="76"/>
  <c r="M139" i="76"/>
  <c r="P138" i="76"/>
  <c r="O138" i="76"/>
  <c r="M138" i="76"/>
  <c r="P137" i="76"/>
  <c r="O137" i="76"/>
  <c r="M137" i="76"/>
  <c r="P136" i="76"/>
  <c r="O136" i="76"/>
  <c r="M136" i="76"/>
  <c r="P135" i="76"/>
  <c r="O135" i="76"/>
  <c r="M135" i="76"/>
  <c r="P134" i="76"/>
  <c r="O134" i="76"/>
  <c r="M134" i="76"/>
  <c r="P133" i="76"/>
  <c r="O133" i="76"/>
  <c r="M133" i="76"/>
  <c r="P132" i="76"/>
  <c r="O132" i="76"/>
  <c r="M132" i="76"/>
  <c r="P131" i="76"/>
  <c r="O131" i="76"/>
  <c r="M131" i="76"/>
  <c r="O130" i="76"/>
  <c r="M130" i="76"/>
  <c r="O129" i="76"/>
  <c r="M129" i="76"/>
  <c r="O128" i="76"/>
  <c r="M128" i="76"/>
  <c r="O127" i="76"/>
  <c r="M127" i="76"/>
  <c r="O126" i="76"/>
  <c r="M126" i="76"/>
  <c r="O125" i="76"/>
  <c r="M125" i="76"/>
  <c r="O124" i="76"/>
  <c r="M124" i="76"/>
  <c r="O123" i="76"/>
  <c r="M123" i="76"/>
  <c r="O122" i="76"/>
  <c r="M122" i="76"/>
  <c r="O121" i="76"/>
  <c r="M121" i="76"/>
  <c r="O120" i="76"/>
  <c r="M120" i="76"/>
  <c r="O119" i="76"/>
  <c r="M119" i="76"/>
  <c r="O118" i="76"/>
  <c r="M118" i="76"/>
  <c r="O117" i="76"/>
  <c r="M117" i="76"/>
  <c r="O116" i="76"/>
  <c r="M116" i="76"/>
  <c r="O115" i="76"/>
  <c r="M115" i="76"/>
  <c r="O114" i="76"/>
  <c r="M114" i="76"/>
  <c r="O113" i="76"/>
  <c r="M113" i="76"/>
  <c r="O112" i="76"/>
  <c r="M112" i="76"/>
  <c r="O111" i="76"/>
  <c r="M111" i="76"/>
  <c r="O110" i="76"/>
  <c r="M110" i="76"/>
  <c r="O109" i="76"/>
  <c r="M109" i="76"/>
  <c r="O108" i="76"/>
  <c r="M108" i="76"/>
  <c r="O107" i="76"/>
  <c r="M107" i="76"/>
  <c r="O106" i="76"/>
  <c r="M106" i="76"/>
  <c r="O104" i="76"/>
  <c r="O103" i="76"/>
  <c r="O99" i="76"/>
  <c r="M99" i="76"/>
  <c r="D96" i="76"/>
  <c r="L93" i="76"/>
  <c r="J93" i="76"/>
  <c r="D91" i="76"/>
  <c r="D89" i="76"/>
  <c r="N72" i="76"/>
  <c r="L72" i="76"/>
  <c r="N71" i="76"/>
  <c r="L71" i="76"/>
  <c r="N70" i="76"/>
  <c r="L70" i="76"/>
  <c r="N69" i="76"/>
  <c r="L69" i="76"/>
  <c r="N68" i="76"/>
  <c r="L68" i="76"/>
  <c r="N67" i="76"/>
  <c r="L67" i="76"/>
  <c r="N66" i="76"/>
  <c r="L66" i="76"/>
  <c r="N65" i="76"/>
  <c r="L65" i="76"/>
  <c r="N64" i="76"/>
  <c r="L64" i="76"/>
  <c r="N63" i="76"/>
  <c r="L63" i="76"/>
  <c r="N62" i="76"/>
  <c r="L62" i="76"/>
  <c r="N61" i="76"/>
  <c r="L61" i="76"/>
  <c r="N60" i="76"/>
  <c r="L60" i="76"/>
  <c r="N59" i="76"/>
  <c r="L59" i="76"/>
  <c r="N58" i="76"/>
  <c r="L58" i="76"/>
  <c r="N57" i="76"/>
  <c r="L57" i="76"/>
  <c r="N56" i="76"/>
  <c r="L56" i="76"/>
  <c r="N55" i="76"/>
  <c r="L55" i="76"/>
  <c r="N54" i="76"/>
  <c r="L54" i="76"/>
  <c r="N53" i="76"/>
  <c r="L53" i="76"/>
  <c r="N52" i="76"/>
  <c r="L52" i="76"/>
  <c r="N51" i="76"/>
  <c r="L51" i="76"/>
  <c r="N50" i="76"/>
  <c r="L50" i="76"/>
  <c r="N49" i="76"/>
  <c r="L49" i="76"/>
  <c r="N48" i="76"/>
  <c r="L48" i="76"/>
  <c r="N47" i="76"/>
  <c r="L47" i="76"/>
  <c r="N46" i="76"/>
  <c r="L46" i="76"/>
  <c r="N45" i="76"/>
  <c r="L45" i="76"/>
  <c r="N44" i="76"/>
  <c r="L44" i="76"/>
  <c r="N43" i="76"/>
  <c r="L43" i="76"/>
  <c r="N42" i="76"/>
  <c r="L42" i="76"/>
  <c r="N41" i="76"/>
  <c r="L41" i="76"/>
  <c r="N40" i="76"/>
  <c r="L40" i="76"/>
  <c r="N39" i="76"/>
  <c r="L39" i="76"/>
  <c r="N38" i="76"/>
  <c r="L38" i="76"/>
  <c r="N37" i="76"/>
  <c r="L37" i="76"/>
  <c r="N36" i="76"/>
  <c r="L36" i="76"/>
  <c r="N35" i="76"/>
  <c r="L35" i="76"/>
  <c r="N34" i="76"/>
  <c r="L34" i="76"/>
  <c r="N33" i="76"/>
  <c r="L33" i="76"/>
  <c r="N32" i="76"/>
  <c r="L32" i="76"/>
  <c r="N31" i="76"/>
  <c r="L31" i="76"/>
  <c r="N30" i="76"/>
  <c r="L30" i="76"/>
  <c r="N29" i="76"/>
  <c r="L29" i="76"/>
  <c r="N28" i="76"/>
  <c r="L28" i="76"/>
  <c r="N27" i="76"/>
  <c r="L27" i="76"/>
  <c r="N26" i="76"/>
  <c r="L26" i="76"/>
  <c r="N24" i="76"/>
  <c r="N23" i="76"/>
  <c r="N22" i="76"/>
  <c r="N21" i="76"/>
  <c r="O21" i="76" s="1"/>
  <c r="C17" i="76"/>
  <c r="C18" i="76" s="1"/>
  <c r="C19" i="76" s="1"/>
  <c r="C20" i="76" s="1"/>
  <c r="C21" i="76" s="1"/>
  <c r="C22" i="76" s="1"/>
  <c r="C23" i="76" s="1"/>
  <c r="C24" i="76" s="1"/>
  <c r="C25" i="76" s="1"/>
  <c r="C26" i="76" s="1"/>
  <c r="C27" i="76" s="1"/>
  <c r="C28" i="76" s="1"/>
  <c r="C29" i="76" s="1"/>
  <c r="C30" i="76" s="1"/>
  <c r="C31" i="76" s="1"/>
  <c r="C32" i="76" s="1"/>
  <c r="C33" i="76" s="1"/>
  <c r="C34" i="76" s="1"/>
  <c r="C35" i="76" s="1"/>
  <c r="C36" i="76" s="1"/>
  <c r="C37" i="76" s="1"/>
  <c r="C38" i="76" s="1"/>
  <c r="C39" i="76" s="1"/>
  <c r="C40" i="76" s="1"/>
  <c r="C41" i="76" s="1"/>
  <c r="C42" i="76" s="1"/>
  <c r="C43" i="76" s="1"/>
  <c r="C44" i="76" s="1"/>
  <c r="K11" i="76"/>
  <c r="I11" i="76"/>
  <c r="D8" i="76"/>
  <c r="D90" i="76" s="1"/>
  <c r="P1" i="76"/>
  <c r="P83" i="76" s="1"/>
  <c r="P154" i="75"/>
  <c r="O154" i="75"/>
  <c r="M154" i="75"/>
  <c r="P153" i="75"/>
  <c r="O153" i="75"/>
  <c r="M153" i="75"/>
  <c r="P152" i="75"/>
  <c r="O152" i="75"/>
  <c r="M152" i="75"/>
  <c r="P151" i="75"/>
  <c r="O151" i="75"/>
  <c r="M151" i="75"/>
  <c r="P150" i="75"/>
  <c r="O150" i="75"/>
  <c r="M150" i="75"/>
  <c r="P149" i="75"/>
  <c r="O149" i="75"/>
  <c r="M149" i="75"/>
  <c r="P148" i="75"/>
  <c r="O148" i="75"/>
  <c r="M148" i="75"/>
  <c r="P147" i="75"/>
  <c r="O147" i="75"/>
  <c r="M147" i="75"/>
  <c r="P146" i="75"/>
  <c r="O146" i="75"/>
  <c r="M146" i="75"/>
  <c r="P145" i="75"/>
  <c r="O145" i="75"/>
  <c r="M145" i="75"/>
  <c r="P144" i="75"/>
  <c r="O144" i="75"/>
  <c r="M144" i="75"/>
  <c r="P143" i="75"/>
  <c r="O143" i="75"/>
  <c r="M143" i="75"/>
  <c r="P142" i="75"/>
  <c r="O142" i="75"/>
  <c r="M142" i="75"/>
  <c r="P141" i="75"/>
  <c r="O141" i="75"/>
  <c r="M141" i="75"/>
  <c r="P140" i="75"/>
  <c r="O140" i="75"/>
  <c r="M140" i="75"/>
  <c r="P139" i="75"/>
  <c r="O139" i="75"/>
  <c r="M139" i="75"/>
  <c r="P138" i="75"/>
  <c r="O138" i="75"/>
  <c r="M138" i="75"/>
  <c r="P137" i="75"/>
  <c r="O137" i="75"/>
  <c r="M137" i="75"/>
  <c r="P136" i="75"/>
  <c r="O136" i="75"/>
  <c r="M136" i="75"/>
  <c r="P135" i="75"/>
  <c r="O135" i="75"/>
  <c r="M135" i="75"/>
  <c r="P134" i="75"/>
  <c r="O134" i="75"/>
  <c r="M134" i="75"/>
  <c r="P133" i="75"/>
  <c r="O133" i="75"/>
  <c r="M133" i="75"/>
  <c r="P132" i="75"/>
  <c r="O132" i="75"/>
  <c r="M132" i="75"/>
  <c r="P131" i="75"/>
  <c r="O131" i="75"/>
  <c r="M131" i="75"/>
  <c r="O130" i="75"/>
  <c r="M130" i="75"/>
  <c r="O129" i="75"/>
  <c r="M129" i="75"/>
  <c r="O128" i="75"/>
  <c r="M128" i="75"/>
  <c r="O127" i="75"/>
  <c r="M127" i="75"/>
  <c r="O126" i="75"/>
  <c r="M126" i="75"/>
  <c r="O125" i="75"/>
  <c r="M125" i="75"/>
  <c r="O124" i="75"/>
  <c r="M124" i="75"/>
  <c r="O123" i="75"/>
  <c r="M123" i="75"/>
  <c r="O122" i="75"/>
  <c r="M122" i="75"/>
  <c r="O121" i="75"/>
  <c r="M121" i="75"/>
  <c r="O120" i="75"/>
  <c r="M120" i="75"/>
  <c r="O119" i="75"/>
  <c r="M119" i="75"/>
  <c r="O118" i="75"/>
  <c r="M118" i="75"/>
  <c r="O117" i="75"/>
  <c r="M117" i="75"/>
  <c r="O116" i="75"/>
  <c r="M116" i="75"/>
  <c r="O115" i="75"/>
  <c r="M115" i="75"/>
  <c r="O114" i="75"/>
  <c r="M114" i="75"/>
  <c r="O113" i="75"/>
  <c r="M113" i="75"/>
  <c r="O112" i="75"/>
  <c r="M112" i="75"/>
  <c r="O111" i="75"/>
  <c r="M111" i="75"/>
  <c r="O110" i="75"/>
  <c r="M110" i="75"/>
  <c r="O109" i="75"/>
  <c r="M109" i="75"/>
  <c r="O108" i="75"/>
  <c r="M108" i="75"/>
  <c r="O107" i="75"/>
  <c r="M107" i="75"/>
  <c r="O106" i="75"/>
  <c r="M106" i="75"/>
  <c r="O104" i="75"/>
  <c r="O103" i="75"/>
  <c r="O99" i="75"/>
  <c r="M99" i="75"/>
  <c r="D96" i="75"/>
  <c r="L93" i="75"/>
  <c r="J93" i="75"/>
  <c r="D91" i="75"/>
  <c r="D89" i="75"/>
  <c r="N72" i="75"/>
  <c r="L72" i="75"/>
  <c r="N71" i="75"/>
  <c r="L71" i="75"/>
  <c r="N70" i="75"/>
  <c r="L70" i="75"/>
  <c r="N69" i="75"/>
  <c r="L69" i="75"/>
  <c r="N68" i="75"/>
  <c r="L68" i="75"/>
  <c r="N67" i="75"/>
  <c r="L67" i="75"/>
  <c r="N66" i="75"/>
  <c r="L66" i="75"/>
  <c r="N65" i="75"/>
  <c r="L65" i="75"/>
  <c r="N64" i="75"/>
  <c r="L64" i="75"/>
  <c r="N63" i="75"/>
  <c r="L63" i="75"/>
  <c r="N62" i="75"/>
  <c r="L62" i="75"/>
  <c r="N61" i="75"/>
  <c r="L61" i="75"/>
  <c r="N60" i="75"/>
  <c r="L60" i="75"/>
  <c r="N59" i="75"/>
  <c r="L59" i="75"/>
  <c r="N58" i="75"/>
  <c r="L58" i="75"/>
  <c r="N57" i="75"/>
  <c r="L57" i="75"/>
  <c r="N56" i="75"/>
  <c r="L56" i="75"/>
  <c r="N55" i="75"/>
  <c r="L55" i="75"/>
  <c r="N54" i="75"/>
  <c r="L54" i="75"/>
  <c r="N53" i="75"/>
  <c r="L53" i="75"/>
  <c r="N52" i="75"/>
  <c r="L52" i="75"/>
  <c r="N51" i="75"/>
  <c r="L51" i="75"/>
  <c r="N50" i="75"/>
  <c r="L50" i="75"/>
  <c r="N49" i="75"/>
  <c r="L49" i="75"/>
  <c r="N48" i="75"/>
  <c r="L48" i="75"/>
  <c r="N47" i="75"/>
  <c r="L47" i="75"/>
  <c r="N46" i="75"/>
  <c r="L46" i="75"/>
  <c r="N45" i="75"/>
  <c r="L45" i="75"/>
  <c r="N44" i="75"/>
  <c r="L44" i="75"/>
  <c r="N43" i="75"/>
  <c r="L43" i="75"/>
  <c r="N42" i="75"/>
  <c r="L42" i="75"/>
  <c r="N41" i="75"/>
  <c r="L41" i="75"/>
  <c r="N40" i="75"/>
  <c r="L40" i="75"/>
  <c r="N39" i="75"/>
  <c r="L39" i="75"/>
  <c r="N38" i="75"/>
  <c r="L38" i="75"/>
  <c r="N37" i="75"/>
  <c r="L37" i="75"/>
  <c r="N36" i="75"/>
  <c r="L36" i="75"/>
  <c r="N35" i="75"/>
  <c r="L35" i="75"/>
  <c r="N34" i="75"/>
  <c r="L34" i="75"/>
  <c r="N33" i="75"/>
  <c r="L33" i="75"/>
  <c r="N32" i="75"/>
  <c r="L32" i="75"/>
  <c r="N31" i="75"/>
  <c r="L31" i="75"/>
  <c r="N30" i="75"/>
  <c r="L30" i="75"/>
  <c r="N29" i="75"/>
  <c r="L29" i="75"/>
  <c r="N28" i="75"/>
  <c r="L28" i="75"/>
  <c r="N27" i="75"/>
  <c r="L27" i="75"/>
  <c r="N26" i="75"/>
  <c r="L26" i="75"/>
  <c r="N24" i="75"/>
  <c r="N23" i="75"/>
  <c r="N22" i="75"/>
  <c r="N21" i="75"/>
  <c r="C17" i="75"/>
  <c r="C18" i="75"/>
  <c r="C19" i="75" s="1"/>
  <c r="C20" i="75" s="1"/>
  <c r="C21" i="75" s="1"/>
  <c r="C22" i="75" s="1"/>
  <c r="C23" i="75" s="1"/>
  <c r="C24" i="75" s="1"/>
  <c r="C25" i="75" s="1"/>
  <c r="C26" i="75" s="1"/>
  <c r="C27" i="75" s="1"/>
  <c r="C28" i="75" s="1"/>
  <c r="C29" i="75" s="1"/>
  <c r="C30" i="75" s="1"/>
  <c r="C31" i="75" s="1"/>
  <c r="C32" i="75" s="1"/>
  <c r="C33" i="75" s="1"/>
  <c r="C34" i="75" s="1"/>
  <c r="C35" i="75" s="1"/>
  <c r="C36" i="75" s="1"/>
  <c r="C37" i="75" s="1"/>
  <c r="C38" i="75" s="1"/>
  <c r="C39" i="75" s="1"/>
  <c r="C40" i="75" s="1"/>
  <c r="C41" i="75" s="1"/>
  <c r="C42" i="75" s="1"/>
  <c r="C43" i="75" s="1"/>
  <c r="C44" i="75" s="1"/>
  <c r="K11" i="75"/>
  <c r="I11" i="75"/>
  <c r="D8" i="75"/>
  <c r="D90" i="75" s="1"/>
  <c r="P1" i="75"/>
  <c r="P83" i="75" s="1"/>
  <c r="P154" i="74"/>
  <c r="O154" i="74"/>
  <c r="M154" i="74"/>
  <c r="P153" i="74"/>
  <c r="O153" i="74"/>
  <c r="M153" i="74"/>
  <c r="P152" i="74"/>
  <c r="O152" i="74"/>
  <c r="M152" i="74"/>
  <c r="P151" i="74"/>
  <c r="O151" i="74"/>
  <c r="M151" i="74"/>
  <c r="P150" i="74"/>
  <c r="O150" i="74"/>
  <c r="M150" i="74"/>
  <c r="P149" i="74"/>
  <c r="O149" i="74"/>
  <c r="M149" i="74"/>
  <c r="P148" i="74"/>
  <c r="O148" i="74"/>
  <c r="M148" i="74"/>
  <c r="P147" i="74"/>
  <c r="O147" i="74"/>
  <c r="M147" i="74"/>
  <c r="P146" i="74"/>
  <c r="O146" i="74"/>
  <c r="M146" i="74"/>
  <c r="P145" i="74"/>
  <c r="O145" i="74"/>
  <c r="M145" i="74"/>
  <c r="P144" i="74"/>
  <c r="O144" i="74"/>
  <c r="M144" i="74"/>
  <c r="P143" i="74"/>
  <c r="O143" i="74"/>
  <c r="M143" i="74"/>
  <c r="P142" i="74"/>
  <c r="O142" i="74"/>
  <c r="M142" i="74"/>
  <c r="P141" i="74"/>
  <c r="O141" i="74"/>
  <c r="M141" i="74"/>
  <c r="P140" i="74"/>
  <c r="O140" i="74"/>
  <c r="M140" i="74"/>
  <c r="P139" i="74"/>
  <c r="O139" i="74"/>
  <c r="M139" i="74"/>
  <c r="P138" i="74"/>
  <c r="O138" i="74"/>
  <c r="M138" i="74"/>
  <c r="P137" i="74"/>
  <c r="O137" i="74"/>
  <c r="M137" i="74"/>
  <c r="P136" i="74"/>
  <c r="O136" i="74"/>
  <c r="M136" i="74"/>
  <c r="P135" i="74"/>
  <c r="O135" i="74"/>
  <c r="M135" i="74"/>
  <c r="P134" i="74"/>
  <c r="O134" i="74"/>
  <c r="M134" i="74"/>
  <c r="P133" i="74"/>
  <c r="O133" i="74"/>
  <c r="M133" i="74"/>
  <c r="P132" i="74"/>
  <c r="O132" i="74"/>
  <c r="M132" i="74"/>
  <c r="P131" i="74"/>
  <c r="O131" i="74"/>
  <c r="M131" i="74"/>
  <c r="O130" i="74"/>
  <c r="M130" i="74"/>
  <c r="O129" i="74"/>
  <c r="M129" i="74"/>
  <c r="O128" i="74"/>
  <c r="M128" i="74"/>
  <c r="O127" i="74"/>
  <c r="M127" i="74"/>
  <c r="O126" i="74"/>
  <c r="M126" i="74"/>
  <c r="O125" i="74"/>
  <c r="M125" i="74"/>
  <c r="O124" i="74"/>
  <c r="M124" i="74"/>
  <c r="O123" i="74"/>
  <c r="M123" i="74"/>
  <c r="O122" i="74"/>
  <c r="M122" i="74"/>
  <c r="O121" i="74"/>
  <c r="M121" i="74"/>
  <c r="O120" i="74"/>
  <c r="M120" i="74"/>
  <c r="O119" i="74"/>
  <c r="M119" i="74"/>
  <c r="O118" i="74"/>
  <c r="M118" i="74"/>
  <c r="O117" i="74"/>
  <c r="M117" i="74"/>
  <c r="O116" i="74"/>
  <c r="M116" i="74"/>
  <c r="O115" i="74"/>
  <c r="M115" i="74"/>
  <c r="O114" i="74"/>
  <c r="M114" i="74"/>
  <c r="O113" i="74"/>
  <c r="M113" i="74"/>
  <c r="O112" i="74"/>
  <c r="M112" i="74"/>
  <c r="O111" i="74"/>
  <c r="M111" i="74"/>
  <c r="O109" i="74"/>
  <c r="O108" i="74"/>
  <c r="O107" i="74"/>
  <c r="O103" i="74"/>
  <c r="P103" i="74"/>
  <c r="O102" i="74"/>
  <c r="M102" i="74"/>
  <c r="O101" i="74"/>
  <c r="M101" i="74"/>
  <c r="O100" i="74"/>
  <c r="M100" i="74"/>
  <c r="O99" i="74"/>
  <c r="M99" i="74"/>
  <c r="D96" i="74"/>
  <c r="L93" i="74"/>
  <c r="J93" i="74"/>
  <c r="D91" i="74"/>
  <c r="D89" i="74"/>
  <c r="N72" i="74"/>
  <c r="L72" i="74"/>
  <c r="N71" i="74"/>
  <c r="L71" i="74"/>
  <c r="N70" i="74"/>
  <c r="L70" i="74"/>
  <c r="N69" i="74"/>
  <c r="L69" i="74"/>
  <c r="N68" i="74"/>
  <c r="L68" i="74"/>
  <c r="N67" i="74"/>
  <c r="L67" i="74"/>
  <c r="N66" i="74"/>
  <c r="L66" i="74"/>
  <c r="N65" i="74"/>
  <c r="L65" i="74"/>
  <c r="N64" i="74"/>
  <c r="L64" i="74"/>
  <c r="N63" i="74"/>
  <c r="L63" i="74"/>
  <c r="N62" i="74"/>
  <c r="L62" i="74"/>
  <c r="N61" i="74"/>
  <c r="L61" i="74"/>
  <c r="N60" i="74"/>
  <c r="L60" i="74"/>
  <c r="N59" i="74"/>
  <c r="L59" i="74"/>
  <c r="N58" i="74"/>
  <c r="L58" i="74"/>
  <c r="N57" i="74"/>
  <c r="L57" i="74"/>
  <c r="N56" i="74"/>
  <c r="L56" i="74"/>
  <c r="N55" i="74"/>
  <c r="L55" i="74"/>
  <c r="N54" i="74"/>
  <c r="L54" i="74"/>
  <c r="N53" i="74"/>
  <c r="L53" i="74"/>
  <c r="N52" i="74"/>
  <c r="L52" i="74"/>
  <c r="N51" i="74"/>
  <c r="L51" i="74"/>
  <c r="N50" i="74"/>
  <c r="L50" i="74"/>
  <c r="N49" i="74"/>
  <c r="L49" i="74"/>
  <c r="N48" i="74"/>
  <c r="L48" i="74"/>
  <c r="N47" i="74"/>
  <c r="L47" i="74"/>
  <c r="N46" i="74"/>
  <c r="L46" i="74"/>
  <c r="N45" i="74"/>
  <c r="L45" i="74"/>
  <c r="N44" i="74"/>
  <c r="L44" i="74"/>
  <c r="N43" i="74"/>
  <c r="L43" i="74"/>
  <c r="N42" i="74"/>
  <c r="L42" i="74"/>
  <c r="N41" i="74"/>
  <c r="L41" i="74"/>
  <c r="N40" i="74"/>
  <c r="L40" i="74"/>
  <c r="N39" i="74"/>
  <c r="L39" i="74"/>
  <c r="N38" i="74"/>
  <c r="L38" i="74"/>
  <c r="N37" i="74"/>
  <c r="L37" i="74"/>
  <c r="N36" i="74"/>
  <c r="L36" i="74"/>
  <c r="N35" i="74"/>
  <c r="L35" i="74"/>
  <c r="N34" i="74"/>
  <c r="L34" i="74"/>
  <c r="N33" i="74"/>
  <c r="L33" i="74"/>
  <c r="N32" i="74"/>
  <c r="L32" i="74"/>
  <c r="N31" i="74"/>
  <c r="L31" i="74"/>
  <c r="N29" i="74"/>
  <c r="N28" i="74"/>
  <c r="N27" i="74"/>
  <c r="N26" i="74"/>
  <c r="N25" i="74"/>
  <c r="C17" i="74"/>
  <c r="C18" i="74" s="1"/>
  <c r="C19" i="74" s="1"/>
  <c r="C20" i="74" s="1"/>
  <c r="C21" i="74" s="1"/>
  <c r="C22" i="74" s="1"/>
  <c r="C23" i="74" s="1"/>
  <c r="C24" i="74" s="1"/>
  <c r="C25" i="74" s="1"/>
  <c r="C26" i="74" s="1"/>
  <c r="C27" i="74" s="1"/>
  <c r="C28" i="74" s="1"/>
  <c r="C29" i="74" s="1"/>
  <c r="C30" i="74" s="1"/>
  <c r="C31" i="74" s="1"/>
  <c r="C32" i="74" s="1"/>
  <c r="C33" i="74" s="1"/>
  <c r="C34" i="74" s="1"/>
  <c r="C35" i="74" s="1"/>
  <c r="C36" i="74" s="1"/>
  <c r="C37" i="74" s="1"/>
  <c r="C38" i="74" s="1"/>
  <c r="C39" i="74" s="1"/>
  <c r="C40" i="74" s="1"/>
  <c r="C41" i="74" s="1"/>
  <c r="C42" i="74" s="1"/>
  <c r="C43" i="74" s="1"/>
  <c r="C44" i="74" s="1"/>
  <c r="C45" i="74" s="1"/>
  <c r="C46" i="74" s="1"/>
  <c r="C47" i="74" s="1"/>
  <c r="C48" i="74" s="1"/>
  <c r="C49" i="74" s="1"/>
  <c r="C50" i="74" s="1"/>
  <c r="C51" i="74" s="1"/>
  <c r="C52" i="74" s="1"/>
  <c r="C53" i="74" s="1"/>
  <c r="C54" i="74" s="1"/>
  <c r="C55" i="74" s="1"/>
  <c r="C56" i="74" s="1"/>
  <c r="C57" i="74" s="1"/>
  <c r="C58" i="74" s="1"/>
  <c r="C59" i="74" s="1"/>
  <c r="C60" i="74" s="1"/>
  <c r="C61" i="74" s="1"/>
  <c r="C62" i="74" s="1"/>
  <c r="C63" i="74" s="1"/>
  <c r="C64" i="74" s="1"/>
  <c r="C65" i="74" s="1"/>
  <c r="C66" i="74" s="1"/>
  <c r="C67" i="74" s="1"/>
  <c r="C68" i="74" s="1"/>
  <c r="C69" i="74" s="1"/>
  <c r="C70" i="74" s="1"/>
  <c r="C71" i="74" s="1"/>
  <c r="C72" i="74" s="1"/>
  <c r="K11" i="74"/>
  <c r="I11" i="74"/>
  <c r="D8" i="74"/>
  <c r="D90" i="74" s="1"/>
  <c r="P1" i="74"/>
  <c r="P83" i="74" s="1"/>
  <c r="P154" i="73"/>
  <c r="O154" i="73"/>
  <c r="M154" i="73"/>
  <c r="P153" i="73"/>
  <c r="O153" i="73"/>
  <c r="M153" i="73"/>
  <c r="P152" i="73"/>
  <c r="O152" i="73"/>
  <c r="M152" i="73"/>
  <c r="P151" i="73"/>
  <c r="O151" i="73"/>
  <c r="M151" i="73"/>
  <c r="P150" i="73"/>
  <c r="O150" i="73"/>
  <c r="M150" i="73"/>
  <c r="P149" i="73"/>
  <c r="O149" i="73"/>
  <c r="M149" i="73"/>
  <c r="P148" i="73"/>
  <c r="O148" i="73"/>
  <c r="M148" i="73"/>
  <c r="P147" i="73"/>
  <c r="O147" i="73"/>
  <c r="M147" i="73"/>
  <c r="P146" i="73"/>
  <c r="O146" i="73"/>
  <c r="M146" i="73"/>
  <c r="P145" i="73"/>
  <c r="O145" i="73"/>
  <c r="M145" i="73"/>
  <c r="P144" i="73"/>
  <c r="O144" i="73"/>
  <c r="M144" i="73"/>
  <c r="P143" i="73"/>
  <c r="O143" i="73"/>
  <c r="M143" i="73"/>
  <c r="P142" i="73"/>
  <c r="O142" i="73"/>
  <c r="M142" i="73"/>
  <c r="P141" i="73"/>
  <c r="O141" i="73"/>
  <c r="M141" i="73"/>
  <c r="P140" i="73"/>
  <c r="O140" i="73"/>
  <c r="M140" i="73"/>
  <c r="P139" i="73"/>
  <c r="O139" i="73"/>
  <c r="M139" i="73"/>
  <c r="P138" i="73"/>
  <c r="O138" i="73"/>
  <c r="M138" i="73"/>
  <c r="P137" i="73"/>
  <c r="O137" i="73"/>
  <c r="M137" i="73"/>
  <c r="P136" i="73"/>
  <c r="O136" i="73"/>
  <c r="M136" i="73"/>
  <c r="P135" i="73"/>
  <c r="O135" i="73"/>
  <c r="M135" i="73"/>
  <c r="P134" i="73"/>
  <c r="O134" i="73"/>
  <c r="M134" i="73"/>
  <c r="P133" i="73"/>
  <c r="O133" i="73"/>
  <c r="M133" i="73"/>
  <c r="P132" i="73"/>
  <c r="O132" i="73"/>
  <c r="M132" i="73"/>
  <c r="P131" i="73"/>
  <c r="O131" i="73"/>
  <c r="M131" i="73"/>
  <c r="O130" i="73"/>
  <c r="M130" i="73"/>
  <c r="O129" i="73"/>
  <c r="M129" i="73"/>
  <c r="O128" i="73"/>
  <c r="M128" i="73"/>
  <c r="O127" i="73"/>
  <c r="M127" i="73"/>
  <c r="O126" i="73"/>
  <c r="M126" i="73"/>
  <c r="O125" i="73"/>
  <c r="M125" i="73"/>
  <c r="O124" i="73"/>
  <c r="M124" i="73"/>
  <c r="O123" i="73"/>
  <c r="M123" i="73"/>
  <c r="O122" i="73"/>
  <c r="M122" i="73"/>
  <c r="O121" i="73"/>
  <c r="M121" i="73"/>
  <c r="O120" i="73"/>
  <c r="M120" i="73"/>
  <c r="O119" i="73"/>
  <c r="M119" i="73"/>
  <c r="O118" i="73"/>
  <c r="M118" i="73"/>
  <c r="O117" i="73"/>
  <c r="M117" i="73"/>
  <c r="O116" i="73"/>
  <c r="M116" i="73"/>
  <c r="O115" i="73"/>
  <c r="M115" i="73"/>
  <c r="O114" i="73"/>
  <c r="M114" i="73"/>
  <c r="O113" i="73"/>
  <c r="M113" i="73"/>
  <c r="O112" i="73"/>
  <c r="M112" i="73"/>
  <c r="O111" i="73"/>
  <c r="M111" i="73"/>
  <c r="O109" i="73"/>
  <c r="O108" i="73"/>
  <c r="M104" i="73"/>
  <c r="O103" i="73"/>
  <c r="M103" i="73"/>
  <c r="O102" i="73"/>
  <c r="M102" i="73"/>
  <c r="O101" i="73"/>
  <c r="P101" i="73" s="1"/>
  <c r="M101" i="73"/>
  <c r="O100" i="73"/>
  <c r="M100" i="73"/>
  <c r="O99" i="73"/>
  <c r="M99" i="73"/>
  <c r="D96" i="73"/>
  <c r="L93" i="73"/>
  <c r="J93" i="73"/>
  <c r="D91" i="73"/>
  <c r="D89" i="73"/>
  <c r="N72" i="73"/>
  <c r="L72" i="73"/>
  <c r="N71" i="73"/>
  <c r="L71" i="73"/>
  <c r="N70" i="73"/>
  <c r="L70" i="73"/>
  <c r="N69" i="73"/>
  <c r="L69" i="73"/>
  <c r="N68" i="73"/>
  <c r="L68" i="73"/>
  <c r="N67" i="73"/>
  <c r="L67" i="73"/>
  <c r="N66" i="73"/>
  <c r="L66" i="73"/>
  <c r="N65" i="73"/>
  <c r="L65" i="73"/>
  <c r="N64" i="73"/>
  <c r="L64" i="73"/>
  <c r="N63" i="73"/>
  <c r="L63" i="73"/>
  <c r="N62" i="73"/>
  <c r="L62" i="73"/>
  <c r="N61" i="73"/>
  <c r="L61" i="73"/>
  <c r="N60" i="73"/>
  <c r="L60" i="73"/>
  <c r="N59" i="73"/>
  <c r="L59" i="73"/>
  <c r="N58" i="73"/>
  <c r="L58" i="73"/>
  <c r="N57" i="73"/>
  <c r="L57" i="73"/>
  <c r="N56" i="73"/>
  <c r="L56" i="73"/>
  <c r="N55" i="73"/>
  <c r="L55" i="73"/>
  <c r="N54" i="73"/>
  <c r="L54" i="73"/>
  <c r="N53" i="73"/>
  <c r="L53" i="73"/>
  <c r="N52" i="73"/>
  <c r="L52" i="73"/>
  <c r="N51" i="73"/>
  <c r="L51" i="73"/>
  <c r="N50" i="73"/>
  <c r="L50" i="73"/>
  <c r="N49" i="73"/>
  <c r="L49" i="73"/>
  <c r="N48" i="73"/>
  <c r="L48" i="73"/>
  <c r="N47" i="73"/>
  <c r="L47" i="73"/>
  <c r="N46" i="73"/>
  <c r="L46" i="73"/>
  <c r="N45" i="73"/>
  <c r="L45" i="73"/>
  <c r="N44" i="73"/>
  <c r="L44" i="73"/>
  <c r="N43" i="73"/>
  <c r="L43" i="73"/>
  <c r="N42" i="73"/>
  <c r="L42" i="73"/>
  <c r="N41" i="73"/>
  <c r="L41" i="73"/>
  <c r="N40" i="73"/>
  <c r="L40" i="73"/>
  <c r="N39" i="73"/>
  <c r="L39" i="73"/>
  <c r="N38" i="73"/>
  <c r="L38" i="73"/>
  <c r="N37" i="73"/>
  <c r="L37" i="73"/>
  <c r="N36" i="73"/>
  <c r="L36" i="73"/>
  <c r="N35" i="73"/>
  <c r="L35" i="73"/>
  <c r="N34" i="73"/>
  <c r="L34" i="73"/>
  <c r="N33" i="73"/>
  <c r="L33" i="73"/>
  <c r="N32" i="73"/>
  <c r="L32" i="73"/>
  <c r="N31" i="73"/>
  <c r="L31" i="73"/>
  <c r="N29" i="73"/>
  <c r="N28" i="73"/>
  <c r="N27" i="73"/>
  <c r="N26" i="73"/>
  <c r="C17" i="73"/>
  <c r="C18" i="73" s="1"/>
  <c r="C19" i="73" s="1"/>
  <c r="C20" i="73" s="1"/>
  <c r="C21" i="73" s="1"/>
  <c r="C22" i="73" s="1"/>
  <c r="C23" i="73" s="1"/>
  <c r="C24" i="73" s="1"/>
  <c r="C25" i="73" s="1"/>
  <c r="C26" i="73" s="1"/>
  <c r="C27" i="73" s="1"/>
  <c r="C28" i="73" s="1"/>
  <c r="C29" i="73" s="1"/>
  <c r="C30" i="73" s="1"/>
  <c r="C31" i="73" s="1"/>
  <c r="C32" i="73" s="1"/>
  <c r="C33" i="73" s="1"/>
  <c r="C34" i="73" s="1"/>
  <c r="C35" i="73" s="1"/>
  <c r="C36" i="73" s="1"/>
  <c r="C37" i="73" s="1"/>
  <c r="C38" i="73" s="1"/>
  <c r="C39" i="73" s="1"/>
  <c r="C40" i="73" s="1"/>
  <c r="C41" i="73" s="1"/>
  <c r="C42" i="73" s="1"/>
  <c r="C43" i="73" s="1"/>
  <c r="C44" i="73" s="1"/>
  <c r="K11" i="73"/>
  <c r="I11" i="73"/>
  <c r="P1" i="73"/>
  <c r="P83" i="73" s="1"/>
  <c r="P154" i="72"/>
  <c r="O154" i="72"/>
  <c r="M154" i="72"/>
  <c r="P153" i="72"/>
  <c r="O153" i="72"/>
  <c r="M153" i="72"/>
  <c r="P152" i="72"/>
  <c r="O152" i="72"/>
  <c r="M152" i="72"/>
  <c r="P151" i="72"/>
  <c r="O151" i="72"/>
  <c r="M151" i="72"/>
  <c r="P150" i="72"/>
  <c r="O150" i="72"/>
  <c r="M150" i="72"/>
  <c r="P149" i="72"/>
  <c r="O149" i="72"/>
  <c r="M149" i="72"/>
  <c r="P148" i="72"/>
  <c r="O148" i="72"/>
  <c r="M148" i="72"/>
  <c r="P147" i="72"/>
  <c r="O147" i="72"/>
  <c r="M147" i="72"/>
  <c r="P146" i="72"/>
  <c r="O146" i="72"/>
  <c r="M146" i="72"/>
  <c r="P145" i="72"/>
  <c r="O145" i="72"/>
  <c r="M145" i="72"/>
  <c r="P144" i="72"/>
  <c r="O144" i="72"/>
  <c r="M144" i="72"/>
  <c r="P143" i="72"/>
  <c r="O143" i="72"/>
  <c r="M143" i="72"/>
  <c r="P142" i="72"/>
  <c r="O142" i="72"/>
  <c r="M142" i="72"/>
  <c r="P141" i="72"/>
  <c r="O141" i="72"/>
  <c r="M141" i="72"/>
  <c r="P140" i="72"/>
  <c r="O140" i="72"/>
  <c r="M140" i="72"/>
  <c r="P139" i="72"/>
  <c r="O139" i="72"/>
  <c r="M139" i="72"/>
  <c r="P138" i="72"/>
  <c r="O138" i="72"/>
  <c r="M138" i="72"/>
  <c r="P137" i="72"/>
  <c r="O137" i="72"/>
  <c r="M137" i="72"/>
  <c r="P136" i="72"/>
  <c r="O136" i="72"/>
  <c r="M136" i="72"/>
  <c r="P135" i="72"/>
  <c r="O135" i="72"/>
  <c r="M135" i="72"/>
  <c r="P134" i="72"/>
  <c r="O134" i="72"/>
  <c r="M134" i="72"/>
  <c r="P133" i="72"/>
  <c r="O133" i="72"/>
  <c r="M133" i="72"/>
  <c r="P132" i="72"/>
  <c r="O132" i="72"/>
  <c r="M132" i="72"/>
  <c r="P131" i="72"/>
  <c r="O131" i="72"/>
  <c r="M131" i="72"/>
  <c r="O130" i="72"/>
  <c r="M130" i="72"/>
  <c r="O129" i="72"/>
  <c r="M129" i="72"/>
  <c r="O128" i="72"/>
  <c r="M128" i="72"/>
  <c r="O127" i="72"/>
  <c r="M127" i="72"/>
  <c r="O126" i="72"/>
  <c r="M126" i="72"/>
  <c r="O125" i="72"/>
  <c r="M125" i="72"/>
  <c r="O124" i="72"/>
  <c r="M124" i="72"/>
  <c r="O123" i="72"/>
  <c r="M123" i="72"/>
  <c r="O122" i="72"/>
  <c r="M122" i="72"/>
  <c r="O121" i="72"/>
  <c r="M121" i="72"/>
  <c r="O120" i="72"/>
  <c r="M120" i="72"/>
  <c r="O119" i="72"/>
  <c r="M119" i="72"/>
  <c r="O118" i="72"/>
  <c r="M118" i="72"/>
  <c r="O117" i="72"/>
  <c r="M117" i="72"/>
  <c r="O116" i="72"/>
  <c r="M116" i="72"/>
  <c r="O115" i="72"/>
  <c r="M115" i="72"/>
  <c r="O114" i="72"/>
  <c r="M114" i="72"/>
  <c r="O113" i="72"/>
  <c r="M113" i="72"/>
  <c r="O112" i="72"/>
  <c r="M112" i="72"/>
  <c r="O111" i="72"/>
  <c r="M111" i="72"/>
  <c r="O110" i="72"/>
  <c r="M110" i="72"/>
  <c r="O109" i="72"/>
  <c r="M109" i="72"/>
  <c r="O107" i="72"/>
  <c r="O106" i="72"/>
  <c r="M102" i="72"/>
  <c r="O101" i="72"/>
  <c r="M101" i="72"/>
  <c r="O100" i="72"/>
  <c r="M100" i="72"/>
  <c r="O99" i="72"/>
  <c r="M99" i="72"/>
  <c r="D96" i="72"/>
  <c r="L93" i="72"/>
  <c r="J93" i="72"/>
  <c r="D91" i="72"/>
  <c r="D89" i="72"/>
  <c r="N72" i="72"/>
  <c r="L72" i="72"/>
  <c r="N71" i="72"/>
  <c r="L71" i="72"/>
  <c r="N70" i="72"/>
  <c r="L70" i="72"/>
  <c r="N69" i="72"/>
  <c r="L69" i="72"/>
  <c r="N68" i="72"/>
  <c r="L68" i="72"/>
  <c r="N67" i="72"/>
  <c r="L67" i="72"/>
  <c r="N66" i="72"/>
  <c r="L66" i="72"/>
  <c r="N65" i="72"/>
  <c r="L65" i="72"/>
  <c r="N64" i="72"/>
  <c r="L64" i="72"/>
  <c r="N63" i="72"/>
  <c r="L63" i="72"/>
  <c r="N62" i="72"/>
  <c r="L62" i="72"/>
  <c r="N61" i="72"/>
  <c r="L61" i="72"/>
  <c r="N60" i="72"/>
  <c r="L60" i="72"/>
  <c r="N59" i="72"/>
  <c r="L59" i="72"/>
  <c r="N58" i="72"/>
  <c r="L58" i="72"/>
  <c r="N57" i="72"/>
  <c r="L57" i="72"/>
  <c r="N56" i="72"/>
  <c r="L56" i="72"/>
  <c r="N55" i="72"/>
  <c r="L55" i="72"/>
  <c r="N54" i="72"/>
  <c r="L54" i="72"/>
  <c r="N53" i="72"/>
  <c r="L53" i="72"/>
  <c r="N52" i="72"/>
  <c r="L52" i="72"/>
  <c r="N51" i="72"/>
  <c r="L51" i="72"/>
  <c r="N50" i="72"/>
  <c r="L50" i="72"/>
  <c r="N49" i="72"/>
  <c r="L49" i="72"/>
  <c r="N48" i="72"/>
  <c r="L48" i="72"/>
  <c r="N47" i="72"/>
  <c r="L47" i="72"/>
  <c r="N46" i="72"/>
  <c r="L46" i="72"/>
  <c r="N45" i="72"/>
  <c r="L45" i="72"/>
  <c r="N44" i="72"/>
  <c r="L44" i="72"/>
  <c r="N43" i="72"/>
  <c r="L43" i="72"/>
  <c r="N42" i="72"/>
  <c r="L42" i="72"/>
  <c r="N41" i="72"/>
  <c r="L41" i="72"/>
  <c r="N40" i="72"/>
  <c r="L40" i="72"/>
  <c r="N39" i="72"/>
  <c r="L39" i="72"/>
  <c r="N38" i="72"/>
  <c r="L38" i="72"/>
  <c r="N37" i="72"/>
  <c r="L37" i="72"/>
  <c r="N36" i="72"/>
  <c r="L36" i="72"/>
  <c r="N35" i="72"/>
  <c r="L35" i="72"/>
  <c r="N34" i="72"/>
  <c r="L34" i="72"/>
  <c r="N33" i="72"/>
  <c r="L33" i="72"/>
  <c r="N32" i="72"/>
  <c r="L32" i="72"/>
  <c r="N31" i="72"/>
  <c r="L31" i="72"/>
  <c r="N30" i="72"/>
  <c r="L30" i="72"/>
  <c r="N29" i="72"/>
  <c r="L29" i="72"/>
  <c r="N27" i="72"/>
  <c r="N26" i="72"/>
  <c r="N25" i="72"/>
  <c r="N24" i="72"/>
  <c r="O24" i="72" s="1"/>
  <c r="C17" i="72"/>
  <c r="C18" i="72" s="1"/>
  <c r="C19" i="72" s="1"/>
  <c r="C20" i="72" s="1"/>
  <c r="C21" i="72" s="1"/>
  <c r="C22" i="72" s="1"/>
  <c r="C23" i="72" s="1"/>
  <c r="C24" i="72" s="1"/>
  <c r="C25" i="72" s="1"/>
  <c r="C26" i="72" s="1"/>
  <c r="C27" i="72" s="1"/>
  <c r="C28" i="72" s="1"/>
  <c r="C29" i="72" s="1"/>
  <c r="C30" i="72" s="1"/>
  <c r="C31" i="72" s="1"/>
  <c r="C32" i="72" s="1"/>
  <c r="C33" i="72" s="1"/>
  <c r="C34" i="72" s="1"/>
  <c r="C35" i="72" s="1"/>
  <c r="C36" i="72" s="1"/>
  <c r="C37" i="72" s="1"/>
  <c r="C38" i="72" s="1"/>
  <c r="C39" i="72" s="1"/>
  <c r="C40" i="72" s="1"/>
  <c r="C41" i="72" s="1"/>
  <c r="C42" i="72" s="1"/>
  <c r="C43" i="72" s="1"/>
  <c r="C44" i="72" s="1"/>
  <c r="M17" i="72"/>
  <c r="N17" i="72" s="1"/>
  <c r="K11" i="72"/>
  <c r="I11" i="72"/>
  <c r="P1" i="72"/>
  <c r="P83" i="72" s="1"/>
  <c r="P154" i="71"/>
  <c r="O154" i="71"/>
  <c r="M154" i="71"/>
  <c r="P153" i="71"/>
  <c r="O153" i="71"/>
  <c r="M153" i="71"/>
  <c r="P152" i="71"/>
  <c r="O152" i="71"/>
  <c r="M152" i="71"/>
  <c r="P151" i="71"/>
  <c r="O151" i="71"/>
  <c r="M151" i="71"/>
  <c r="P150" i="71"/>
  <c r="O150" i="71"/>
  <c r="M150" i="71"/>
  <c r="P149" i="71"/>
  <c r="O149" i="71"/>
  <c r="M149" i="71"/>
  <c r="P148" i="71"/>
  <c r="O148" i="71"/>
  <c r="M148" i="71"/>
  <c r="P147" i="71"/>
  <c r="O147" i="71"/>
  <c r="M147" i="71"/>
  <c r="P146" i="71"/>
  <c r="O146" i="71"/>
  <c r="M146" i="71"/>
  <c r="P145" i="71"/>
  <c r="O145" i="71"/>
  <c r="M145" i="71"/>
  <c r="P144" i="71"/>
  <c r="O144" i="71"/>
  <c r="M144" i="71"/>
  <c r="P143" i="71"/>
  <c r="O143" i="71"/>
  <c r="M143" i="71"/>
  <c r="P142" i="71"/>
  <c r="O142" i="71"/>
  <c r="M142" i="71"/>
  <c r="P141" i="71"/>
  <c r="O141" i="71"/>
  <c r="M141" i="71"/>
  <c r="P140" i="71"/>
  <c r="O140" i="71"/>
  <c r="M140" i="71"/>
  <c r="P139" i="71"/>
  <c r="O139" i="71"/>
  <c r="M139" i="71"/>
  <c r="P138" i="71"/>
  <c r="O138" i="71"/>
  <c r="M138" i="71"/>
  <c r="P137" i="71"/>
  <c r="O137" i="71"/>
  <c r="M137" i="71"/>
  <c r="P136" i="71"/>
  <c r="O136" i="71"/>
  <c r="M136" i="71"/>
  <c r="P135" i="71"/>
  <c r="O135" i="71"/>
  <c r="M135" i="71"/>
  <c r="P134" i="71"/>
  <c r="O134" i="71"/>
  <c r="M134" i="71"/>
  <c r="P133" i="71"/>
  <c r="O133" i="71"/>
  <c r="M133" i="71"/>
  <c r="P132" i="71"/>
  <c r="O132" i="71"/>
  <c r="M132" i="71"/>
  <c r="P131" i="71"/>
  <c r="O131" i="71"/>
  <c r="M131" i="71"/>
  <c r="O130" i="71"/>
  <c r="M130" i="71"/>
  <c r="O129" i="71"/>
  <c r="M129" i="71"/>
  <c r="O128" i="71"/>
  <c r="M128" i="71"/>
  <c r="O127" i="71"/>
  <c r="M127" i="71"/>
  <c r="O126" i="71"/>
  <c r="M126" i="71"/>
  <c r="O125" i="71"/>
  <c r="M125" i="71"/>
  <c r="O124" i="71"/>
  <c r="M124" i="71"/>
  <c r="O123" i="71"/>
  <c r="M123" i="71"/>
  <c r="O122" i="71"/>
  <c r="M122" i="71"/>
  <c r="O121" i="71"/>
  <c r="M121" i="71"/>
  <c r="O120" i="71"/>
  <c r="M120" i="71"/>
  <c r="O119" i="71"/>
  <c r="M119" i="71"/>
  <c r="O118" i="71"/>
  <c r="M118" i="71"/>
  <c r="O117" i="71"/>
  <c r="M117" i="71"/>
  <c r="O116" i="71"/>
  <c r="M116" i="71"/>
  <c r="O115" i="71"/>
  <c r="M115" i="71"/>
  <c r="O114" i="71"/>
  <c r="M114" i="71"/>
  <c r="O113" i="71"/>
  <c r="M113" i="71"/>
  <c r="O111" i="71"/>
  <c r="O110" i="71"/>
  <c r="M106" i="71"/>
  <c r="O105" i="71"/>
  <c r="M105" i="71"/>
  <c r="O104" i="71"/>
  <c r="M104" i="71"/>
  <c r="O103" i="71"/>
  <c r="M103" i="71"/>
  <c r="O102" i="71"/>
  <c r="M102" i="71"/>
  <c r="O101" i="71"/>
  <c r="M101" i="71"/>
  <c r="O100" i="71"/>
  <c r="M100" i="71"/>
  <c r="O99" i="71"/>
  <c r="M99" i="71"/>
  <c r="D96" i="71"/>
  <c r="L93" i="71"/>
  <c r="J93" i="71"/>
  <c r="D91" i="71"/>
  <c r="D89" i="71"/>
  <c r="N72" i="71"/>
  <c r="L72" i="71"/>
  <c r="N71" i="71"/>
  <c r="L71" i="71"/>
  <c r="N70" i="71"/>
  <c r="L70" i="71"/>
  <c r="N69" i="71"/>
  <c r="L69" i="71"/>
  <c r="N68" i="71"/>
  <c r="L68" i="71"/>
  <c r="N67" i="71"/>
  <c r="L67" i="71"/>
  <c r="N66" i="71"/>
  <c r="L66" i="71"/>
  <c r="N65" i="71"/>
  <c r="L65" i="71"/>
  <c r="N64" i="71"/>
  <c r="L64" i="71"/>
  <c r="N63" i="71"/>
  <c r="L63" i="71"/>
  <c r="N62" i="71"/>
  <c r="L62" i="71"/>
  <c r="N61" i="71"/>
  <c r="L61" i="71"/>
  <c r="N60" i="71"/>
  <c r="L60" i="71"/>
  <c r="N59" i="71"/>
  <c r="L59" i="71"/>
  <c r="N58" i="71"/>
  <c r="L58" i="71"/>
  <c r="N57" i="71"/>
  <c r="L57" i="71"/>
  <c r="N56" i="71"/>
  <c r="L56" i="71"/>
  <c r="N55" i="71"/>
  <c r="L55" i="71"/>
  <c r="N54" i="71"/>
  <c r="L54" i="71"/>
  <c r="N53" i="71"/>
  <c r="L53" i="71"/>
  <c r="N52" i="71"/>
  <c r="L52" i="71"/>
  <c r="N51" i="71"/>
  <c r="L51" i="71"/>
  <c r="N50" i="71"/>
  <c r="L50" i="71"/>
  <c r="N49" i="71"/>
  <c r="L49" i="71"/>
  <c r="N48" i="71"/>
  <c r="L48" i="71"/>
  <c r="N47" i="71"/>
  <c r="L47" i="71"/>
  <c r="N46" i="71"/>
  <c r="L46" i="71"/>
  <c r="N45" i="71"/>
  <c r="L45" i="71"/>
  <c r="N44" i="71"/>
  <c r="L44" i="71"/>
  <c r="N43" i="71"/>
  <c r="L43" i="71"/>
  <c r="N42" i="71"/>
  <c r="L42" i="71"/>
  <c r="N41" i="71"/>
  <c r="L41" i="71"/>
  <c r="N40" i="71"/>
  <c r="L40" i="71"/>
  <c r="N39" i="71"/>
  <c r="L39" i="71"/>
  <c r="N38" i="71"/>
  <c r="L38" i="71"/>
  <c r="N37" i="71"/>
  <c r="L37" i="71"/>
  <c r="N36" i="71"/>
  <c r="L36" i="71"/>
  <c r="N35" i="71"/>
  <c r="L35" i="71"/>
  <c r="N34" i="71"/>
  <c r="L34" i="71"/>
  <c r="N33" i="71"/>
  <c r="L33" i="71"/>
  <c r="N31" i="71"/>
  <c r="N30" i="71"/>
  <c r="N29" i="71"/>
  <c r="O29" i="71" s="1"/>
  <c r="N28" i="71"/>
  <c r="O28" i="71" s="1"/>
  <c r="C17" i="71"/>
  <c r="C18" i="71" s="1"/>
  <c r="C19" i="71" s="1"/>
  <c r="C20" i="71" s="1"/>
  <c r="C21" i="71" s="1"/>
  <c r="C22" i="71" s="1"/>
  <c r="C23" i="71" s="1"/>
  <c r="C24" i="71" s="1"/>
  <c r="C25" i="71" s="1"/>
  <c r="C26" i="71" s="1"/>
  <c r="C27" i="71" s="1"/>
  <c r="C28" i="71" s="1"/>
  <c r="C29" i="71" s="1"/>
  <c r="C30" i="71" s="1"/>
  <c r="C31" i="71" s="1"/>
  <c r="C32" i="71" s="1"/>
  <c r="C33" i="71" s="1"/>
  <c r="C34" i="71" s="1"/>
  <c r="C35" i="71" s="1"/>
  <c r="C36" i="71" s="1"/>
  <c r="C37" i="71" s="1"/>
  <c r="C38" i="71" s="1"/>
  <c r="C39" i="71" s="1"/>
  <c r="C40" i="71" s="1"/>
  <c r="C41" i="71" s="1"/>
  <c r="C42" i="71" s="1"/>
  <c r="C43" i="71" s="1"/>
  <c r="C44" i="71" s="1"/>
  <c r="K11" i="71"/>
  <c r="I11" i="71"/>
  <c r="P1" i="71"/>
  <c r="P83" i="71" s="1"/>
  <c r="P154" i="70"/>
  <c r="O154" i="70"/>
  <c r="M154" i="70"/>
  <c r="P153" i="70"/>
  <c r="O153" i="70"/>
  <c r="M153" i="70"/>
  <c r="P152" i="70"/>
  <c r="O152" i="70"/>
  <c r="M152" i="70"/>
  <c r="P151" i="70"/>
  <c r="O151" i="70"/>
  <c r="M151" i="70"/>
  <c r="P150" i="70"/>
  <c r="O150" i="70"/>
  <c r="M150" i="70"/>
  <c r="P149" i="70"/>
  <c r="O149" i="70"/>
  <c r="M149" i="70"/>
  <c r="P148" i="70"/>
  <c r="O148" i="70"/>
  <c r="M148" i="70"/>
  <c r="P147" i="70"/>
  <c r="O147" i="70"/>
  <c r="M147" i="70"/>
  <c r="P146" i="70"/>
  <c r="O146" i="70"/>
  <c r="M146" i="70"/>
  <c r="P145" i="70"/>
  <c r="O145" i="70"/>
  <c r="M145" i="70"/>
  <c r="P144" i="70"/>
  <c r="O144" i="70"/>
  <c r="M144" i="70"/>
  <c r="P143" i="70"/>
  <c r="O143" i="70"/>
  <c r="M143" i="70"/>
  <c r="P142" i="70"/>
  <c r="O142" i="70"/>
  <c r="M142" i="70"/>
  <c r="P141" i="70"/>
  <c r="O141" i="70"/>
  <c r="M141" i="70"/>
  <c r="P140" i="70"/>
  <c r="O140" i="70"/>
  <c r="M140" i="70"/>
  <c r="P139" i="70"/>
  <c r="O139" i="70"/>
  <c r="M139" i="70"/>
  <c r="P138" i="70"/>
  <c r="O138" i="70"/>
  <c r="M138" i="70"/>
  <c r="P137" i="70"/>
  <c r="O137" i="70"/>
  <c r="M137" i="70"/>
  <c r="P136" i="70"/>
  <c r="O136" i="70"/>
  <c r="M136" i="70"/>
  <c r="P135" i="70"/>
  <c r="O135" i="70"/>
  <c r="M135" i="70"/>
  <c r="P134" i="70"/>
  <c r="O134" i="70"/>
  <c r="M134" i="70"/>
  <c r="P133" i="70"/>
  <c r="O133" i="70"/>
  <c r="M133" i="70"/>
  <c r="P132" i="70"/>
  <c r="O132" i="70"/>
  <c r="M132" i="70"/>
  <c r="P131" i="70"/>
  <c r="O131" i="70"/>
  <c r="M131" i="70"/>
  <c r="O130" i="70"/>
  <c r="M130" i="70"/>
  <c r="O129" i="70"/>
  <c r="M129" i="70"/>
  <c r="O128" i="70"/>
  <c r="M128" i="70"/>
  <c r="O127" i="70"/>
  <c r="M127" i="70"/>
  <c r="O126" i="70"/>
  <c r="M126" i="70"/>
  <c r="O125" i="70"/>
  <c r="M125" i="70"/>
  <c r="O124" i="70"/>
  <c r="M124" i="70"/>
  <c r="O123" i="70"/>
  <c r="M123" i="70"/>
  <c r="O122" i="70"/>
  <c r="M122" i="70"/>
  <c r="O121" i="70"/>
  <c r="M121" i="70"/>
  <c r="O120" i="70"/>
  <c r="M120" i="70"/>
  <c r="O119" i="70"/>
  <c r="M119" i="70"/>
  <c r="O118" i="70"/>
  <c r="M118" i="70"/>
  <c r="O117" i="70"/>
  <c r="M117" i="70"/>
  <c r="O116" i="70"/>
  <c r="M116" i="70"/>
  <c r="O115" i="70"/>
  <c r="M115" i="70"/>
  <c r="O114" i="70"/>
  <c r="M114" i="70"/>
  <c r="O112" i="70"/>
  <c r="O111" i="70"/>
  <c r="O107" i="70"/>
  <c r="P107" i="70" s="1"/>
  <c r="O106" i="70"/>
  <c r="M106" i="70"/>
  <c r="O105" i="70"/>
  <c r="M105" i="70"/>
  <c r="O104" i="70"/>
  <c r="M104" i="70"/>
  <c r="O103" i="70"/>
  <c r="M103" i="70"/>
  <c r="O102" i="70"/>
  <c r="M102" i="70"/>
  <c r="O101" i="70"/>
  <c r="M101" i="70"/>
  <c r="O100" i="70"/>
  <c r="M100" i="70"/>
  <c r="O99" i="70"/>
  <c r="M99" i="70"/>
  <c r="D96" i="70"/>
  <c r="L93" i="70"/>
  <c r="J93" i="70"/>
  <c r="D91" i="70"/>
  <c r="D89" i="70"/>
  <c r="N72" i="70"/>
  <c r="L72" i="70"/>
  <c r="N71" i="70"/>
  <c r="L71" i="70"/>
  <c r="N70" i="70"/>
  <c r="L70" i="70"/>
  <c r="N69" i="70"/>
  <c r="L69" i="70"/>
  <c r="N68" i="70"/>
  <c r="L68" i="70"/>
  <c r="N67" i="70"/>
  <c r="L67" i="70"/>
  <c r="N66" i="70"/>
  <c r="L66" i="70"/>
  <c r="N65" i="70"/>
  <c r="L65" i="70"/>
  <c r="N64" i="70"/>
  <c r="L64" i="70"/>
  <c r="N63" i="70"/>
  <c r="L63" i="70"/>
  <c r="N62" i="70"/>
  <c r="L62" i="70"/>
  <c r="N61" i="70"/>
  <c r="L61" i="70"/>
  <c r="N60" i="70"/>
  <c r="L60" i="70"/>
  <c r="N59" i="70"/>
  <c r="L59" i="70"/>
  <c r="N58" i="70"/>
  <c r="L58" i="70"/>
  <c r="N57" i="70"/>
  <c r="L57" i="70"/>
  <c r="N56" i="70"/>
  <c r="L56" i="70"/>
  <c r="N55" i="70"/>
  <c r="L55" i="70"/>
  <c r="N54" i="70"/>
  <c r="L54" i="70"/>
  <c r="N53" i="70"/>
  <c r="L53" i="70"/>
  <c r="N52" i="70"/>
  <c r="L52" i="70"/>
  <c r="N51" i="70"/>
  <c r="L51" i="70"/>
  <c r="N50" i="70"/>
  <c r="L50" i="70"/>
  <c r="N49" i="70"/>
  <c r="L49" i="70"/>
  <c r="N48" i="70"/>
  <c r="L48" i="70"/>
  <c r="N47" i="70"/>
  <c r="L47" i="70"/>
  <c r="N46" i="70"/>
  <c r="L46" i="70"/>
  <c r="N45" i="70"/>
  <c r="L45" i="70"/>
  <c r="N44" i="70"/>
  <c r="L44" i="70"/>
  <c r="N43" i="70"/>
  <c r="L43" i="70"/>
  <c r="N42" i="70"/>
  <c r="L42" i="70"/>
  <c r="N41" i="70"/>
  <c r="L41" i="70"/>
  <c r="N40" i="70"/>
  <c r="L40" i="70"/>
  <c r="N39" i="70"/>
  <c r="L39" i="70"/>
  <c r="N38" i="70"/>
  <c r="L38" i="70"/>
  <c r="N37" i="70"/>
  <c r="L37" i="70"/>
  <c r="N36" i="70"/>
  <c r="L36" i="70"/>
  <c r="N35" i="70"/>
  <c r="L35" i="70"/>
  <c r="N34" i="70"/>
  <c r="L34" i="70"/>
  <c r="N32" i="70"/>
  <c r="N31" i="70"/>
  <c r="N30" i="70"/>
  <c r="N29" i="70"/>
  <c r="O29" i="70" s="1"/>
  <c r="C17" i="70"/>
  <c r="C18" i="70" s="1"/>
  <c r="C19" i="70" s="1"/>
  <c r="C20" i="70" s="1"/>
  <c r="C21" i="70" s="1"/>
  <c r="C22" i="70" s="1"/>
  <c r="C23" i="70" s="1"/>
  <c r="C24" i="70" s="1"/>
  <c r="C25" i="70" s="1"/>
  <c r="C26" i="70" s="1"/>
  <c r="C27" i="70" s="1"/>
  <c r="C28" i="70" s="1"/>
  <c r="C29" i="70" s="1"/>
  <c r="C30" i="70" s="1"/>
  <c r="C31" i="70" s="1"/>
  <c r="C32" i="70" s="1"/>
  <c r="C33" i="70" s="1"/>
  <c r="C34" i="70" s="1"/>
  <c r="C35" i="70" s="1"/>
  <c r="C36" i="70" s="1"/>
  <c r="C37" i="70" s="1"/>
  <c r="C38" i="70" s="1"/>
  <c r="C39" i="70" s="1"/>
  <c r="C40" i="70" s="1"/>
  <c r="C41" i="70" s="1"/>
  <c r="C42" i="70" s="1"/>
  <c r="C43" i="70" s="1"/>
  <c r="C44" i="70" s="1"/>
  <c r="K11" i="70"/>
  <c r="I11" i="70"/>
  <c r="P1" i="70"/>
  <c r="P83" i="70" s="1"/>
  <c r="D96" i="69"/>
  <c r="P154" i="69"/>
  <c r="O154" i="69"/>
  <c r="M154" i="69"/>
  <c r="P153" i="69"/>
  <c r="O153" i="69"/>
  <c r="M153" i="69"/>
  <c r="P152" i="69"/>
  <c r="O152" i="69"/>
  <c r="M152" i="69"/>
  <c r="P151" i="69"/>
  <c r="O151" i="69"/>
  <c r="M151" i="69"/>
  <c r="P150" i="69"/>
  <c r="O150" i="69"/>
  <c r="M150" i="69"/>
  <c r="P149" i="69"/>
  <c r="O149" i="69"/>
  <c r="M149" i="69"/>
  <c r="P148" i="69"/>
  <c r="O148" i="69"/>
  <c r="M148" i="69"/>
  <c r="P147" i="69"/>
  <c r="O147" i="69"/>
  <c r="M147" i="69"/>
  <c r="P146" i="69"/>
  <c r="O146" i="69"/>
  <c r="M146" i="69"/>
  <c r="P145" i="69"/>
  <c r="O145" i="69"/>
  <c r="M145" i="69"/>
  <c r="P144" i="69"/>
  <c r="O144" i="69"/>
  <c r="M144" i="69"/>
  <c r="P143" i="69"/>
  <c r="O143" i="69"/>
  <c r="M143" i="69"/>
  <c r="P142" i="69"/>
  <c r="O142" i="69"/>
  <c r="M142" i="69"/>
  <c r="P141" i="69"/>
  <c r="O141" i="69"/>
  <c r="M141" i="69"/>
  <c r="P140" i="69"/>
  <c r="O140" i="69"/>
  <c r="M140" i="69"/>
  <c r="P139" i="69"/>
  <c r="O139" i="69"/>
  <c r="M139" i="69"/>
  <c r="P138" i="69"/>
  <c r="O138" i="69"/>
  <c r="M138" i="69"/>
  <c r="P137" i="69"/>
  <c r="O137" i="69"/>
  <c r="M137" i="69"/>
  <c r="P136" i="69"/>
  <c r="O136" i="69"/>
  <c r="M136" i="69"/>
  <c r="P135" i="69"/>
  <c r="O135" i="69"/>
  <c r="M135" i="69"/>
  <c r="P134" i="69"/>
  <c r="O134" i="69"/>
  <c r="M134" i="69"/>
  <c r="P133" i="69"/>
  <c r="O133" i="69"/>
  <c r="M133" i="69"/>
  <c r="P132" i="69"/>
  <c r="O132" i="69"/>
  <c r="M132" i="69"/>
  <c r="P131" i="69"/>
  <c r="O131" i="69"/>
  <c r="M131" i="69"/>
  <c r="O130" i="69"/>
  <c r="M130" i="69"/>
  <c r="O129" i="69"/>
  <c r="M129" i="69"/>
  <c r="O128" i="69"/>
  <c r="M128" i="69"/>
  <c r="O127" i="69"/>
  <c r="M127" i="69"/>
  <c r="O126" i="69"/>
  <c r="M126" i="69"/>
  <c r="O125" i="69"/>
  <c r="M125" i="69"/>
  <c r="O124" i="69"/>
  <c r="M124" i="69"/>
  <c r="O123" i="69"/>
  <c r="M123" i="69"/>
  <c r="O122" i="69"/>
  <c r="M122" i="69"/>
  <c r="O121" i="69"/>
  <c r="M121" i="69"/>
  <c r="O120" i="69"/>
  <c r="M120" i="69"/>
  <c r="O119" i="69"/>
  <c r="M119" i="69"/>
  <c r="O118" i="69"/>
  <c r="M118" i="69"/>
  <c r="O117" i="69"/>
  <c r="M117" i="69"/>
  <c r="O116" i="69"/>
  <c r="M116" i="69"/>
  <c r="O115" i="69"/>
  <c r="M115" i="69"/>
  <c r="O114" i="69"/>
  <c r="M114" i="69"/>
  <c r="O112" i="69"/>
  <c r="O111" i="69"/>
  <c r="M107" i="69"/>
  <c r="O106" i="69"/>
  <c r="M106" i="69"/>
  <c r="L93" i="69"/>
  <c r="J93" i="69"/>
  <c r="D91" i="69"/>
  <c r="D89" i="69"/>
  <c r="N72" i="69"/>
  <c r="L72" i="69"/>
  <c r="N71" i="69"/>
  <c r="L71" i="69"/>
  <c r="N70" i="69"/>
  <c r="L70" i="69"/>
  <c r="N69" i="69"/>
  <c r="L69" i="69"/>
  <c r="N68" i="69"/>
  <c r="L68" i="69"/>
  <c r="N67" i="69"/>
  <c r="L67" i="69"/>
  <c r="N66" i="69"/>
  <c r="L66" i="69"/>
  <c r="N65" i="69"/>
  <c r="L65" i="69"/>
  <c r="N64" i="69"/>
  <c r="L64" i="69"/>
  <c r="N63" i="69"/>
  <c r="L63" i="69"/>
  <c r="N62" i="69"/>
  <c r="L62" i="69"/>
  <c r="N61" i="69"/>
  <c r="L61" i="69"/>
  <c r="N60" i="69"/>
  <c r="L60" i="69"/>
  <c r="N59" i="69"/>
  <c r="L59" i="69"/>
  <c r="N58" i="69"/>
  <c r="L58" i="69"/>
  <c r="N57" i="69"/>
  <c r="L57" i="69"/>
  <c r="N56" i="69"/>
  <c r="L56" i="69"/>
  <c r="N55" i="69"/>
  <c r="L55" i="69"/>
  <c r="N54" i="69"/>
  <c r="L54" i="69"/>
  <c r="N53" i="69"/>
  <c r="L53" i="69"/>
  <c r="N52" i="69"/>
  <c r="L52" i="69"/>
  <c r="N51" i="69"/>
  <c r="L51" i="69"/>
  <c r="N50" i="69"/>
  <c r="L50" i="69"/>
  <c r="N49" i="69"/>
  <c r="L49" i="69"/>
  <c r="N48" i="69"/>
  <c r="L48" i="69"/>
  <c r="N47" i="69"/>
  <c r="L47" i="69"/>
  <c r="N46" i="69"/>
  <c r="L46" i="69"/>
  <c r="N45" i="69"/>
  <c r="L45" i="69"/>
  <c r="N44" i="69"/>
  <c r="L44" i="69"/>
  <c r="N43" i="69"/>
  <c r="L43" i="69"/>
  <c r="N42" i="69"/>
  <c r="L42" i="69"/>
  <c r="N41" i="69"/>
  <c r="L41" i="69"/>
  <c r="N40" i="69"/>
  <c r="L40" i="69"/>
  <c r="N39" i="69"/>
  <c r="L39" i="69"/>
  <c r="N38" i="69"/>
  <c r="L38" i="69"/>
  <c r="N37" i="69"/>
  <c r="L37" i="69"/>
  <c r="N36" i="69"/>
  <c r="L36" i="69"/>
  <c r="N35" i="69"/>
  <c r="L35" i="69"/>
  <c r="N34" i="69"/>
  <c r="L34" i="69"/>
  <c r="N32" i="69"/>
  <c r="N31" i="69"/>
  <c r="N30" i="69"/>
  <c r="N29" i="69"/>
  <c r="C17" i="69"/>
  <c r="C18" i="69" s="1"/>
  <c r="C19" i="69" s="1"/>
  <c r="C20" i="69" s="1"/>
  <c r="C21" i="69" s="1"/>
  <c r="C22" i="69" s="1"/>
  <c r="C23" i="69" s="1"/>
  <c r="C24" i="69" s="1"/>
  <c r="C25" i="69" s="1"/>
  <c r="C26" i="69" s="1"/>
  <c r="C27" i="69" s="1"/>
  <c r="C28" i="69" s="1"/>
  <c r="C29" i="69" s="1"/>
  <c r="C30" i="69" s="1"/>
  <c r="C31" i="69" s="1"/>
  <c r="C32" i="69" s="1"/>
  <c r="C33" i="69" s="1"/>
  <c r="C34" i="69" s="1"/>
  <c r="C35" i="69" s="1"/>
  <c r="C36" i="69" s="1"/>
  <c r="C37" i="69" s="1"/>
  <c r="C38" i="69" s="1"/>
  <c r="C39" i="69" s="1"/>
  <c r="C40" i="69" s="1"/>
  <c r="C41" i="69" s="1"/>
  <c r="C42" i="69" s="1"/>
  <c r="C43" i="69" s="1"/>
  <c r="C44" i="69" s="1"/>
  <c r="K11" i="69"/>
  <c r="I11" i="69"/>
  <c r="P1" i="69"/>
  <c r="P83" i="69" s="1"/>
  <c r="M17" i="68"/>
  <c r="N17" i="68" s="1"/>
  <c r="K17" i="68"/>
  <c r="L17" i="68" s="1"/>
  <c r="M17" i="67"/>
  <c r="N17" i="67" s="1"/>
  <c r="K17" i="67"/>
  <c r="L17" i="67" s="1"/>
  <c r="M17" i="66"/>
  <c r="N17" i="66" s="1"/>
  <c r="K17" i="66"/>
  <c r="L17" i="66" s="1"/>
  <c r="M17" i="65"/>
  <c r="N17" i="65" s="1"/>
  <c r="K17" i="65"/>
  <c r="L17" i="65" s="1"/>
  <c r="N99" i="64"/>
  <c r="O99" i="64" s="1"/>
  <c r="L99" i="64"/>
  <c r="M99" i="64" s="1"/>
  <c r="M18" i="64"/>
  <c r="N18" i="64" s="1"/>
  <c r="K18" i="64"/>
  <c r="L18" i="64" s="1"/>
  <c r="M17" i="64"/>
  <c r="N17" i="64" s="1"/>
  <c r="K17" i="64"/>
  <c r="L17" i="64" s="1"/>
  <c r="N99" i="60"/>
  <c r="O99" i="60"/>
  <c r="M99" i="60"/>
  <c r="L99" i="60"/>
  <c r="M18" i="60"/>
  <c r="N18" i="60" s="1"/>
  <c r="K18" i="60"/>
  <c r="L18" i="60" s="1"/>
  <c r="N99" i="62"/>
  <c r="O99" i="62" s="1"/>
  <c r="L99" i="62"/>
  <c r="M99" i="62" s="1"/>
  <c r="P99" i="62" s="1"/>
  <c r="M18" i="62"/>
  <c r="N18" i="62" s="1"/>
  <c r="K18" i="62"/>
  <c r="L18" i="62" s="1"/>
  <c r="N99" i="63"/>
  <c r="O99" i="63" s="1"/>
  <c r="L99" i="63"/>
  <c r="M99" i="63" s="1"/>
  <c r="M18" i="63"/>
  <c r="N18" i="63" s="1"/>
  <c r="K18" i="63"/>
  <c r="L18" i="63" s="1"/>
  <c r="N99" i="61"/>
  <c r="O99" i="61" s="1"/>
  <c r="L99" i="61"/>
  <c r="M99" i="61" s="1"/>
  <c r="M18" i="61"/>
  <c r="N18" i="61" s="1"/>
  <c r="K18" i="61"/>
  <c r="L18" i="61" s="1"/>
  <c r="N99" i="59"/>
  <c r="O99" i="59" s="1"/>
  <c r="L99" i="59"/>
  <c r="M99" i="59" s="1"/>
  <c r="M18" i="59"/>
  <c r="N18" i="59" s="1"/>
  <c r="K18" i="59"/>
  <c r="L18" i="59" s="1"/>
  <c r="N100" i="58"/>
  <c r="O100" i="58" s="1"/>
  <c r="P100" i="58" s="1"/>
  <c r="L100" i="58"/>
  <c r="M100" i="58" s="1"/>
  <c r="M19" i="58"/>
  <c r="N19" i="58" s="1"/>
  <c r="K19" i="58"/>
  <c r="L19" i="58" s="1"/>
  <c r="N100" i="57"/>
  <c r="O100" i="57" s="1"/>
  <c r="L100" i="57"/>
  <c r="M100" i="57" s="1"/>
  <c r="M19" i="57"/>
  <c r="N19" i="57" s="1"/>
  <c r="K19" i="57"/>
  <c r="L19" i="57" s="1"/>
  <c r="N100" i="56"/>
  <c r="O100" i="56" s="1"/>
  <c r="L100" i="56"/>
  <c r="M100" i="56" s="1"/>
  <c r="M19" i="56"/>
  <c r="N19" i="56" s="1"/>
  <c r="K19" i="56"/>
  <c r="L19" i="56" s="1"/>
  <c r="N100" i="55"/>
  <c r="O100" i="55" s="1"/>
  <c r="L100" i="55"/>
  <c r="M100" i="55" s="1"/>
  <c r="P100" i="55" s="1"/>
  <c r="M19" i="55"/>
  <c r="N19" i="55" s="1"/>
  <c r="K19" i="55"/>
  <c r="L19" i="55" s="1"/>
  <c r="N100" i="54"/>
  <c r="O100" i="54" s="1"/>
  <c r="L100" i="54"/>
  <c r="M100" i="54" s="1"/>
  <c r="M19" i="54"/>
  <c r="N19" i="54" s="1"/>
  <c r="K19" i="54"/>
  <c r="L19" i="54" s="1"/>
  <c r="N100" i="53"/>
  <c r="O100" i="53" s="1"/>
  <c r="L100" i="53"/>
  <c r="M100" i="53" s="1"/>
  <c r="M19" i="53"/>
  <c r="N19" i="53" s="1"/>
  <c r="K19" i="53"/>
  <c r="L19" i="53" s="1"/>
  <c r="N100" i="46"/>
  <c r="O100" i="46" s="1"/>
  <c r="L100" i="46"/>
  <c r="M100" i="46" s="1"/>
  <c r="M19" i="46"/>
  <c r="N19" i="46" s="1"/>
  <c r="K19" i="46"/>
  <c r="L19" i="46" s="1"/>
  <c r="N101" i="45"/>
  <c r="O101" i="45" s="1"/>
  <c r="L101" i="45"/>
  <c r="M101" i="45" s="1"/>
  <c r="M20" i="45"/>
  <c r="N20" i="45" s="1"/>
  <c r="K20" i="45"/>
  <c r="L20" i="45" s="1"/>
  <c r="N102" i="44"/>
  <c r="O102" i="44" s="1"/>
  <c r="L102" i="44"/>
  <c r="M102" i="44" s="1"/>
  <c r="M21" i="44"/>
  <c r="N21" i="44" s="1"/>
  <c r="K21" i="44"/>
  <c r="L21" i="44"/>
  <c r="N102" i="43"/>
  <c r="O102" i="43" s="1"/>
  <c r="P102" i="43" s="1"/>
  <c r="L102" i="43"/>
  <c r="M102" i="43" s="1"/>
  <c r="M21" i="43"/>
  <c r="N21" i="43" s="1"/>
  <c r="K21" i="43"/>
  <c r="L21" i="43" s="1"/>
  <c r="N102" i="42"/>
  <c r="O102" i="42" s="1"/>
  <c r="L102" i="42"/>
  <c r="M102" i="42" s="1"/>
  <c r="M21" i="42"/>
  <c r="N21" i="42" s="1"/>
  <c r="K21" i="42"/>
  <c r="L21" i="42" s="1"/>
  <c r="N102" i="41"/>
  <c r="O102" i="41" s="1"/>
  <c r="P102" i="41" s="1"/>
  <c r="L102" i="41"/>
  <c r="M102" i="41"/>
  <c r="M21" i="41"/>
  <c r="N21" i="41" s="1"/>
  <c r="K21" i="41"/>
  <c r="L21" i="41" s="1"/>
  <c r="B102" i="39"/>
  <c r="B103" i="39"/>
  <c r="M21" i="39"/>
  <c r="N21" i="39" s="1"/>
  <c r="K21" i="39"/>
  <c r="L21" i="39" s="1"/>
  <c r="M23" i="34"/>
  <c r="N23" i="34" s="1"/>
  <c r="K23" i="34"/>
  <c r="L23" i="34" s="1"/>
  <c r="N104" i="32"/>
  <c r="O104" i="32" s="1"/>
  <c r="L104" i="32"/>
  <c r="M104" i="32" s="1"/>
  <c r="M23" i="32"/>
  <c r="N23" i="32" s="1"/>
  <c r="K23" i="32"/>
  <c r="L23" i="32" s="1"/>
  <c r="N104" i="31"/>
  <c r="O104" i="31" s="1"/>
  <c r="L104" i="31"/>
  <c r="M104" i="31" s="1"/>
  <c r="M23" i="31"/>
  <c r="N23" i="31" s="1"/>
  <c r="K23" i="31"/>
  <c r="L23" i="31" s="1"/>
  <c r="N105" i="30"/>
  <c r="O105" i="30" s="1"/>
  <c r="L105" i="30"/>
  <c r="M105" i="30" s="1"/>
  <c r="M24" i="30"/>
  <c r="N24" i="30" s="1"/>
  <c r="K24" i="30"/>
  <c r="L24" i="30" s="1"/>
  <c r="N105" i="29"/>
  <c r="O105" i="29" s="1"/>
  <c r="L105" i="29"/>
  <c r="M105" i="29" s="1"/>
  <c r="M24" i="29"/>
  <c r="N24" i="29" s="1"/>
  <c r="K24" i="29"/>
  <c r="L24" i="29" s="1"/>
  <c r="N106" i="28"/>
  <c r="O106" i="28" s="1"/>
  <c r="L106" i="28"/>
  <c r="M106" i="28" s="1"/>
  <c r="M25" i="28"/>
  <c r="N25" i="28" s="1"/>
  <c r="K25" i="28"/>
  <c r="L25" i="28" s="1"/>
  <c r="N105" i="27"/>
  <c r="O105" i="27" s="1"/>
  <c r="L105" i="27"/>
  <c r="M105" i="27" s="1"/>
  <c r="M24" i="27"/>
  <c r="N24" i="27" s="1"/>
  <c r="K24" i="27"/>
  <c r="L24" i="27" s="1"/>
  <c r="N104" i="24"/>
  <c r="O104" i="24" s="1"/>
  <c r="L104" i="24"/>
  <c r="M104" i="24" s="1"/>
  <c r="M23" i="24"/>
  <c r="N23" i="24" s="1"/>
  <c r="K23" i="24"/>
  <c r="L23" i="24" s="1"/>
  <c r="N104" i="23"/>
  <c r="O104" i="23" s="1"/>
  <c r="L104" i="23"/>
  <c r="M104" i="23" s="1"/>
  <c r="M23" i="23"/>
  <c r="N23" i="23" s="1"/>
  <c r="K23" i="23"/>
  <c r="L23" i="23" s="1"/>
  <c r="N103" i="22"/>
  <c r="O103" i="22" s="1"/>
  <c r="L103" i="22"/>
  <c r="M103" i="22" s="1"/>
  <c r="M22" i="22"/>
  <c r="N22" i="22" s="1"/>
  <c r="K22" i="22"/>
  <c r="L22" i="22" s="1"/>
  <c r="N103" i="21"/>
  <c r="O103" i="21" s="1"/>
  <c r="L103" i="21"/>
  <c r="M103" i="21" s="1"/>
  <c r="M22" i="21"/>
  <c r="N22" i="21" s="1"/>
  <c r="K22" i="21"/>
  <c r="L22" i="21" s="1"/>
  <c r="N103" i="20"/>
  <c r="O103" i="20" s="1"/>
  <c r="L103" i="20"/>
  <c r="M103" i="20" s="1"/>
  <c r="P103" i="20" s="1"/>
  <c r="M22" i="20"/>
  <c r="N22" i="20" s="1"/>
  <c r="K22" i="20"/>
  <c r="L22" i="20" s="1"/>
  <c r="N103" i="19"/>
  <c r="O103" i="19" s="1"/>
  <c r="L103" i="19"/>
  <c r="M103" i="19" s="1"/>
  <c r="M22" i="19"/>
  <c r="N22" i="19" s="1"/>
  <c r="K22" i="19"/>
  <c r="L22" i="19" s="1"/>
  <c r="N103" i="18"/>
  <c r="O103" i="18" s="1"/>
  <c r="L103" i="18"/>
  <c r="M103" i="18" s="1"/>
  <c r="M22" i="18"/>
  <c r="N22" i="18" s="1"/>
  <c r="K22" i="18"/>
  <c r="L22" i="18" s="1"/>
  <c r="N103" i="17"/>
  <c r="O103" i="17" s="1"/>
  <c r="L103" i="17"/>
  <c r="M103" i="17" s="1"/>
  <c r="M22" i="17"/>
  <c r="N22" i="17" s="1"/>
  <c r="K22" i="17"/>
  <c r="L22" i="17" s="1"/>
  <c r="O22" i="17" s="1"/>
  <c r="N103" i="3"/>
  <c r="O103" i="3" s="1"/>
  <c r="L103" i="3"/>
  <c r="M103" i="3" s="1"/>
  <c r="M22" i="3"/>
  <c r="N22" i="3" s="1"/>
  <c r="K22" i="3"/>
  <c r="L22" i="3" s="1"/>
  <c r="P1" i="65"/>
  <c r="P83" i="65" s="1"/>
  <c r="P1" i="66"/>
  <c r="P83" i="66" s="1"/>
  <c r="P1" i="67"/>
  <c r="P83" i="67" s="1"/>
  <c r="P1" i="68"/>
  <c r="P83" i="68" s="1"/>
  <c r="P1" i="64"/>
  <c r="P83" i="64" s="1"/>
  <c r="W60" i="36"/>
  <c r="P60" i="36"/>
  <c r="W59" i="36"/>
  <c r="P59" i="36"/>
  <c r="W58" i="36"/>
  <c r="P58" i="36"/>
  <c r="W57" i="36"/>
  <c r="P57" i="36"/>
  <c r="W56" i="36"/>
  <c r="P56" i="36"/>
  <c r="P154" i="68"/>
  <c r="O154" i="68"/>
  <c r="M154" i="68"/>
  <c r="P153" i="68"/>
  <c r="O153" i="68"/>
  <c r="M153" i="68"/>
  <c r="P152" i="68"/>
  <c r="O152" i="68"/>
  <c r="M152" i="68"/>
  <c r="P151" i="68"/>
  <c r="O151" i="68"/>
  <c r="M151" i="68"/>
  <c r="P150" i="68"/>
  <c r="O150" i="68"/>
  <c r="M150" i="68"/>
  <c r="P149" i="68"/>
  <c r="O149" i="68"/>
  <c r="M149" i="68"/>
  <c r="P148" i="68"/>
  <c r="O148" i="68"/>
  <c r="M148" i="68"/>
  <c r="P147" i="68"/>
  <c r="O147" i="68"/>
  <c r="M147" i="68"/>
  <c r="P146" i="68"/>
  <c r="O146" i="68"/>
  <c r="M146" i="68"/>
  <c r="P145" i="68"/>
  <c r="O145" i="68"/>
  <c r="M145" i="68"/>
  <c r="P144" i="68"/>
  <c r="O144" i="68"/>
  <c r="M144" i="68"/>
  <c r="P143" i="68"/>
  <c r="O143" i="68"/>
  <c r="M143" i="68"/>
  <c r="P142" i="68"/>
  <c r="O142" i="68"/>
  <c r="M142" i="68"/>
  <c r="P141" i="68"/>
  <c r="O141" i="68"/>
  <c r="M141" i="68"/>
  <c r="P140" i="68"/>
  <c r="O140" i="68"/>
  <c r="M140" i="68"/>
  <c r="P139" i="68"/>
  <c r="O139" i="68"/>
  <c r="M139" i="68"/>
  <c r="P138" i="68"/>
  <c r="O138" i="68"/>
  <c r="M138" i="68"/>
  <c r="P137" i="68"/>
  <c r="O137" i="68"/>
  <c r="M137" i="68"/>
  <c r="P136" i="68"/>
  <c r="O136" i="68"/>
  <c r="M136" i="68"/>
  <c r="P135" i="68"/>
  <c r="O135" i="68"/>
  <c r="M135" i="68"/>
  <c r="P134" i="68"/>
  <c r="O134" i="68"/>
  <c r="M134" i="68"/>
  <c r="P133" i="68"/>
  <c r="O133" i="68"/>
  <c r="M133" i="68"/>
  <c r="P132" i="68"/>
  <c r="O132" i="68"/>
  <c r="M132" i="68"/>
  <c r="P131" i="68"/>
  <c r="O131" i="68"/>
  <c r="M131" i="68"/>
  <c r="O130" i="68"/>
  <c r="M130" i="68"/>
  <c r="O129" i="68"/>
  <c r="M129" i="68"/>
  <c r="O128" i="68"/>
  <c r="M128" i="68"/>
  <c r="O127" i="68"/>
  <c r="M127" i="68"/>
  <c r="O126" i="68"/>
  <c r="M126" i="68"/>
  <c r="O125" i="68"/>
  <c r="M125" i="68"/>
  <c r="O124" i="68"/>
  <c r="M124" i="68"/>
  <c r="O123" i="68"/>
  <c r="M123" i="68"/>
  <c r="O122" i="68"/>
  <c r="M122" i="68"/>
  <c r="O121" i="68"/>
  <c r="M121" i="68"/>
  <c r="O120" i="68"/>
  <c r="M120" i="68"/>
  <c r="O119" i="68"/>
  <c r="M119" i="68"/>
  <c r="O118" i="68"/>
  <c r="M118" i="68"/>
  <c r="O117" i="68"/>
  <c r="M117" i="68"/>
  <c r="O116" i="68"/>
  <c r="M116" i="68"/>
  <c r="O115" i="68"/>
  <c r="M115" i="68"/>
  <c r="O114" i="68"/>
  <c r="M114" i="68"/>
  <c r="O113" i="68"/>
  <c r="M113" i="68"/>
  <c r="O112" i="68"/>
  <c r="M112" i="68"/>
  <c r="O111" i="68"/>
  <c r="M111" i="68"/>
  <c r="O110" i="68"/>
  <c r="M110" i="68"/>
  <c r="O109" i="68"/>
  <c r="M109" i="68"/>
  <c r="O108" i="68"/>
  <c r="M108" i="68"/>
  <c r="O107" i="68"/>
  <c r="M107" i="68"/>
  <c r="O105" i="68"/>
  <c r="O104" i="68"/>
  <c r="D96" i="68"/>
  <c r="L93" i="68"/>
  <c r="J93" i="68"/>
  <c r="D91" i="68"/>
  <c r="D89" i="68"/>
  <c r="N72" i="68"/>
  <c r="L72" i="68"/>
  <c r="N71" i="68"/>
  <c r="L71" i="68"/>
  <c r="N70" i="68"/>
  <c r="L70" i="68"/>
  <c r="N69" i="68"/>
  <c r="L69" i="68"/>
  <c r="N68" i="68"/>
  <c r="L68" i="68"/>
  <c r="N67" i="68"/>
  <c r="L67" i="68"/>
  <c r="N66" i="68"/>
  <c r="L66" i="68"/>
  <c r="N65" i="68"/>
  <c r="L65" i="68"/>
  <c r="N64" i="68"/>
  <c r="L64" i="68"/>
  <c r="N63" i="68"/>
  <c r="L63" i="68"/>
  <c r="N62" i="68"/>
  <c r="L62" i="68"/>
  <c r="N61" i="68"/>
  <c r="L61" i="68"/>
  <c r="N60" i="68"/>
  <c r="L60" i="68"/>
  <c r="N59" i="68"/>
  <c r="L59" i="68"/>
  <c r="N58" i="68"/>
  <c r="L58" i="68"/>
  <c r="N57" i="68"/>
  <c r="L57" i="68"/>
  <c r="N56" i="68"/>
  <c r="L56" i="68"/>
  <c r="N55" i="68"/>
  <c r="L55" i="68"/>
  <c r="N54" i="68"/>
  <c r="L54" i="68"/>
  <c r="N53" i="68"/>
  <c r="L53" i="68"/>
  <c r="N52" i="68"/>
  <c r="L52" i="68"/>
  <c r="N51" i="68"/>
  <c r="L51" i="68"/>
  <c r="N50" i="68"/>
  <c r="L50" i="68"/>
  <c r="N49" i="68"/>
  <c r="L49" i="68"/>
  <c r="N48" i="68"/>
  <c r="L48" i="68"/>
  <c r="N47" i="68"/>
  <c r="L47" i="68"/>
  <c r="N46" i="68"/>
  <c r="L46" i="68"/>
  <c r="N45" i="68"/>
  <c r="L45" i="68"/>
  <c r="N44" i="68"/>
  <c r="L44" i="68"/>
  <c r="N43" i="68"/>
  <c r="L43" i="68"/>
  <c r="N42" i="68"/>
  <c r="L42" i="68"/>
  <c r="N41" i="68"/>
  <c r="L41" i="68"/>
  <c r="N40" i="68"/>
  <c r="L40" i="68"/>
  <c r="N39" i="68"/>
  <c r="L39" i="68"/>
  <c r="N38" i="68"/>
  <c r="L38" i="68"/>
  <c r="N37" i="68"/>
  <c r="L37" i="68"/>
  <c r="N36" i="68"/>
  <c r="L36" i="68"/>
  <c r="N35" i="68"/>
  <c r="L35" i="68"/>
  <c r="N34" i="68"/>
  <c r="L34" i="68"/>
  <c r="N33" i="68"/>
  <c r="L33" i="68"/>
  <c r="N32" i="68"/>
  <c r="L32" i="68"/>
  <c r="N31" i="68"/>
  <c r="L31" i="68"/>
  <c r="N30" i="68"/>
  <c r="L30" i="68"/>
  <c r="N29" i="68"/>
  <c r="L29" i="68"/>
  <c r="N28" i="68"/>
  <c r="L28" i="68"/>
  <c r="N27" i="68"/>
  <c r="L27" i="68"/>
  <c r="N25" i="68"/>
  <c r="N24" i="68"/>
  <c r="N23" i="68"/>
  <c r="N22" i="68"/>
  <c r="C17" i="68"/>
  <c r="C18" i="68" s="1"/>
  <c r="C19" i="68" s="1"/>
  <c r="C20" i="68" s="1"/>
  <c r="C21" i="68" s="1"/>
  <c r="C22" i="68" s="1"/>
  <c r="C23" i="68" s="1"/>
  <c r="C24" i="68" s="1"/>
  <c r="C25" i="68" s="1"/>
  <c r="C26" i="68" s="1"/>
  <c r="C27" i="68" s="1"/>
  <c r="C28" i="68" s="1"/>
  <c r="C29" i="68" s="1"/>
  <c r="C30" i="68" s="1"/>
  <c r="C31" i="68" s="1"/>
  <c r="C32" i="68" s="1"/>
  <c r="C33" i="68" s="1"/>
  <c r="C34" i="68" s="1"/>
  <c r="C35" i="68" s="1"/>
  <c r="C36" i="68" s="1"/>
  <c r="C37" i="68" s="1"/>
  <c r="C38" i="68" s="1"/>
  <c r="C39" i="68" s="1"/>
  <c r="C40" i="68" s="1"/>
  <c r="C41" i="68" s="1"/>
  <c r="C42" i="68" s="1"/>
  <c r="C43" i="68" s="1"/>
  <c r="C44" i="68" s="1"/>
  <c r="K11" i="68"/>
  <c r="I11" i="68"/>
  <c r="D8" i="68"/>
  <c r="D90" i="68" s="1"/>
  <c r="P154" i="67"/>
  <c r="O154" i="67"/>
  <c r="M154" i="67"/>
  <c r="P153" i="67"/>
  <c r="O153" i="67"/>
  <c r="M153" i="67"/>
  <c r="P152" i="67"/>
  <c r="O152" i="67"/>
  <c r="M152" i="67"/>
  <c r="P151" i="67"/>
  <c r="O151" i="67"/>
  <c r="M151" i="67"/>
  <c r="P150" i="67"/>
  <c r="O150" i="67"/>
  <c r="M150" i="67"/>
  <c r="P149" i="67"/>
  <c r="O149" i="67"/>
  <c r="M149" i="67"/>
  <c r="P148" i="67"/>
  <c r="O148" i="67"/>
  <c r="M148" i="67"/>
  <c r="P147" i="67"/>
  <c r="O147" i="67"/>
  <c r="M147" i="67"/>
  <c r="P146" i="67"/>
  <c r="O146" i="67"/>
  <c r="M146" i="67"/>
  <c r="P145" i="67"/>
  <c r="O145" i="67"/>
  <c r="M145" i="67"/>
  <c r="P144" i="67"/>
  <c r="O144" i="67"/>
  <c r="M144" i="67"/>
  <c r="P143" i="67"/>
  <c r="O143" i="67"/>
  <c r="M143" i="67"/>
  <c r="P142" i="67"/>
  <c r="O142" i="67"/>
  <c r="M142" i="67"/>
  <c r="P141" i="67"/>
  <c r="O141" i="67"/>
  <c r="M141" i="67"/>
  <c r="P140" i="67"/>
  <c r="O140" i="67"/>
  <c r="M140" i="67"/>
  <c r="P139" i="67"/>
  <c r="O139" i="67"/>
  <c r="M139" i="67"/>
  <c r="P138" i="67"/>
  <c r="O138" i="67"/>
  <c r="M138" i="67"/>
  <c r="P137" i="67"/>
  <c r="O137" i="67"/>
  <c r="M137" i="67"/>
  <c r="P136" i="67"/>
  <c r="O136" i="67"/>
  <c r="M136" i="67"/>
  <c r="P135" i="67"/>
  <c r="O135" i="67"/>
  <c r="M135" i="67"/>
  <c r="P134" i="67"/>
  <c r="O134" i="67"/>
  <c r="M134" i="67"/>
  <c r="P133" i="67"/>
  <c r="O133" i="67"/>
  <c r="M133" i="67"/>
  <c r="P132" i="67"/>
  <c r="O132" i="67"/>
  <c r="M132" i="67"/>
  <c r="P131" i="67"/>
  <c r="O131" i="67"/>
  <c r="M131" i="67"/>
  <c r="O130" i="67"/>
  <c r="M130" i="67"/>
  <c r="O129" i="67"/>
  <c r="M129" i="67"/>
  <c r="O128" i="67"/>
  <c r="M128" i="67"/>
  <c r="O127" i="67"/>
  <c r="M127" i="67"/>
  <c r="O126" i="67"/>
  <c r="M126" i="67"/>
  <c r="O125" i="67"/>
  <c r="M125" i="67"/>
  <c r="O124" i="67"/>
  <c r="M124" i="67"/>
  <c r="O123" i="67"/>
  <c r="M123" i="67"/>
  <c r="O122" i="67"/>
  <c r="M122" i="67"/>
  <c r="O121" i="67"/>
  <c r="M121" i="67"/>
  <c r="O120" i="67"/>
  <c r="M120" i="67"/>
  <c r="O119" i="67"/>
  <c r="M119" i="67"/>
  <c r="O118" i="67"/>
  <c r="M118" i="67"/>
  <c r="O117" i="67"/>
  <c r="M117" i="67"/>
  <c r="O116" i="67"/>
  <c r="M116" i="67"/>
  <c r="O115" i="67"/>
  <c r="M115" i="67"/>
  <c r="O114" i="67"/>
  <c r="M114" i="67"/>
  <c r="O113" i="67"/>
  <c r="M113" i="67"/>
  <c r="O112" i="67"/>
  <c r="M112" i="67"/>
  <c r="O111" i="67"/>
  <c r="M111" i="67"/>
  <c r="O110" i="67"/>
  <c r="M110" i="67"/>
  <c r="O109" i="67"/>
  <c r="M109" i="67"/>
  <c r="O108" i="67"/>
  <c r="M108" i="67"/>
  <c r="O107" i="67"/>
  <c r="M107" i="67"/>
  <c r="O105" i="67"/>
  <c r="O104" i="67"/>
  <c r="O103" i="67"/>
  <c r="D96" i="67"/>
  <c r="L93" i="67"/>
  <c r="J93" i="67"/>
  <c r="D91" i="67"/>
  <c r="D89" i="67"/>
  <c r="N72" i="67"/>
  <c r="L72" i="67"/>
  <c r="N71" i="67"/>
  <c r="L71" i="67"/>
  <c r="N70" i="67"/>
  <c r="L70" i="67"/>
  <c r="N69" i="67"/>
  <c r="L69" i="67"/>
  <c r="N68" i="67"/>
  <c r="L68" i="67"/>
  <c r="N67" i="67"/>
  <c r="L67" i="67"/>
  <c r="N66" i="67"/>
  <c r="L66" i="67"/>
  <c r="N65" i="67"/>
  <c r="L65" i="67"/>
  <c r="N64" i="67"/>
  <c r="L64" i="67"/>
  <c r="N63" i="67"/>
  <c r="L63" i="67"/>
  <c r="N62" i="67"/>
  <c r="L62" i="67"/>
  <c r="N61" i="67"/>
  <c r="L61" i="67"/>
  <c r="N60" i="67"/>
  <c r="L60" i="67"/>
  <c r="N59" i="67"/>
  <c r="L59" i="67"/>
  <c r="N58" i="67"/>
  <c r="L58" i="67"/>
  <c r="N57" i="67"/>
  <c r="L57" i="67"/>
  <c r="N56" i="67"/>
  <c r="L56" i="67"/>
  <c r="N55" i="67"/>
  <c r="L55" i="67"/>
  <c r="N54" i="67"/>
  <c r="L54" i="67"/>
  <c r="N53" i="67"/>
  <c r="L53" i="67"/>
  <c r="N52" i="67"/>
  <c r="L52" i="67"/>
  <c r="N51" i="67"/>
  <c r="L51" i="67"/>
  <c r="N50" i="67"/>
  <c r="L50" i="67"/>
  <c r="N49" i="67"/>
  <c r="L49" i="67"/>
  <c r="N48" i="67"/>
  <c r="L48" i="67"/>
  <c r="N47" i="67"/>
  <c r="L47" i="67"/>
  <c r="N46" i="67"/>
  <c r="L46" i="67"/>
  <c r="N45" i="67"/>
  <c r="L45" i="67"/>
  <c r="N44" i="67"/>
  <c r="L44" i="67"/>
  <c r="N43" i="67"/>
  <c r="L43" i="67"/>
  <c r="N42" i="67"/>
  <c r="L42" i="67"/>
  <c r="N41" i="67"/>
  <c r="L41" i="67"/>
  <c r="N40" i="67"/>
  <c r="L40" i="67"/>
  <c r="N39" i="67"/>
  <c r="L39" i="67"/>
  <c r="N38" i="67"/>
  <c r="L38" i="67"/>
  <c r="N37" i="67"/>
  <c r="L37" i="67"/>
  <c r="N36" i="67"/>
  <c r="L36" i="67"/>
  <c r="N35" i="67"/>
  <c r="L35" i="67"/>
  <c r="N34" i="67"/>
  <c r="L34" i="67"/>
  <c r="N33" i="67"/>
  <c r="L33" i="67"/>
  <c r="N32" i="67"/>
  <c r="L32" i="67"/>
  <c r="N31" i="67"/>
  <c r="L31" i="67"/>
  <c r="N30" i="67"/>
  <c r="L30" i="67"/>
  <c r="N29" i="67"/>
  <c r="L29" i="67"/>
  <c r="N28" i="67"/>
  <c r="L28" i="67"/>
  <c r="N27" i="67"/>
  <c r="L27" i="67"/>
  <c r="N25" i="67"/>
  <c r="N24" i="67"/>
  <c r="N23" i="67"/>
  <c r="N22" i="67"/>
  <c r="C17" i="67"/>
  <c r="C18" i="67" s="1"/>
  <c r="C19" i="67" s="1"/>
  <c r="C20" i="67" s="1"/>
  <c r="C21" i="67" s="1"/>
  <c r="C22" i="67" s="1"/>
  <c r="C23" i="67" s="1"/>
  <c r="C24" i="67" s="1"/>
  <c r="C25" i="67" s="1"/>
  <c r="C26" i="67" s="1"/>
  <c r="C27" i="67" s="1"/>
  <c r="C28" i="67" s="1"/>
  <c r="C29" i="67" s="1"/>
  <c r="C30" i="67" s="1"/>
  <c r="C31" i="67" s="1"/>
  <c r="C32" i="67" s="1"/>
  <c r="C33" i="67"/>
  <c r="C34" i="67" s="1"/>
  <c r="C35" i="67" s="1"/>
  <c r="C36" i="67" s="1"/>
  <c r="C37" i="67" s="1"/>
  <c r="C38" i="67" s="1"/>
  <c r="C39" i="67" s="1"/>
  <c r="C40" i="67" s="1"/>
  <c r="C41" i="67" s="1"/>
  <c r="C42" i="67" s="1"/>
  <c r="C43" i="67" s="1"/>
  <c r="C44" i="67" s="1"/>
  <c r="C45" i="67" s="1"/>
  <c r="C46" i="67" s="1"/>
  <c r="C47" i="67" s="1"/>
  <c r="C48" i="67" s="1"/>
  <c r="C49" i="67" s="1"/>
  <c r="C50" i="67" s="1"/>
  <c r="C51" i="67" s="1"/>
  <c r="C52" i="67" s="1"/>
  <c r="C53" i="67" s="1"/>
  <c r="C54" i="67" s="1"/>
  <c r="C55" i="67" s="1"/>
  <c r="C56" i="67" s="1"/>
  <c r="C57" i="67" s="1"/>
  <c r="C58" i="67" s="1"/>
  <c r="C59" i="67" s="1"/>
  <c r="C60" i="67" s="1"/>
  <c r="C61" i="67" s="1"/>
  <c r="C62" i="67" s="1"/>
  <c r="C63" i="67" s="1"/>
  <c r="C64" i="67" s="1"/>
  <c r="C65" i="67" s="1"/>
  <c r="C66" i="67" s="1"/>
  <c r="C67" i="67" s="1"/>
  <c r="C68" i="67" s="1"/>
  <c r="C69" i="67" s="1"/>
  <c r="C70" i="67" s="1"/>
  <c r="C71" i="67" s="1"/>
  <c r="C72" i="67" s="1"/>
  <c r="K11" i="67"/>
  <c r="I11" i="67"/>
  <c r="D8" i="67"/>
  <c r="D90" i="67" s="1"/>
  <c r="P154" i="66"/>
  <c r="O154" i="66"/>
  <c r="M154" i="66"/>
  <c r="P153" i="66"/>
  <c r="O153" i="66"/>
  <c r="M153" i="66"/>
  <c r="P152" i="66"/>
  <c r="O152" i="66"/>
  <c r="M152" i="66"/>
  <c r="P151" i="66"/>
  <c r="O151" i="66"/>
  <c r="M151" i="66"/>
  <c r="P150" i="66"/>
  <c r="O150" i="66"/>
  <c r="M150" i="66"/>
  <c r="P149" i="66"/>
  <c r="O149" i="66"/>
  <c r="M149" i="66"/>
  <c r="P148" i="66"/>
  <c r="O148" i="66"/>
  <c r="M148" i="66"/>
  <c r="P147" i="66"/>
  <c r="O147" i="66"/>
  <c r="M147" i="66"/>
  <c r="P146" i="66"/>
  <c r="O146" i="66"/>
  <c r="M146" i="66"/>
  <c r="P145" i="66"/>
  <c r="O145" i="66"/>
  <c r="M145" i="66"/>
  <c r="P144" i="66"/>
  <c r="O144" i="66"/>
  <c r="M144" i="66"/>
  <c r="P143" i="66"/>
  <c r="O143" i="66"/>
  <c r="M143" i="66"/>
  <c r="P142" i="66"/>
  <c r="O142" i="66"/>
  <c r="M142" i="66"/>
  <c r="P141" i="66"/>
  <c r="O141" i="66"/>
  <c r="M141" i="66"/>
  <c r="P140" i="66"/>
  <c r="O140" i="66"/>
  <c r="M140" i="66"/>
  <c r="P139" i="66"/>
  <c r="O139" i="66"/>
  <c r="M139" i="66"/>
  <c r="P138" i="66"/>
  <c r="O138" i="66"/>
  <c r="M138" i="66"/>
  <c r="P137" i="66"/>
  <c r="O137" i="66"/>
  <c r="M137" i="66"/>
  <c r="P136" i="66"/>
  <c r="O136" i="66"/>
  <c r="M136" i="66"/>
  <c r="P135" i="66"/>
  <c r="O135" i="66"/>
  <c r="M135" i="66"/>
  <c r="P134" i="66"/>
  <c r="O134" i="66"/>
  <c r="M134" i="66"/>
  <c r="P133" i="66"/>
  <c r="O133" i="66"/>
  <c r="M133" i="66"/>
  <c r="P132" i="66"/>
  <c r="O132" i="66"/>
  <c r="M132" i="66"/>
  <c r="P131" i="66"/>
  <c r="O131" i="66"/>
  <c r="M131" i="66"/>
  <c r="O130" i="66"/>
  <c r="M130" i="66"/>
  <c r="O129" i="66"/>
  <c r="M129" i="66"/>
  <c r="O128" i="66"/>
  <c r="M128" i="66"/>
  <c r="O127" i="66"/>
  <c r="M127" i="66"/>
  <c r="O126" i="66"/>
  <c r="M126" i="66"/>
  <c r="O125" i="66"/>
  <c r="M125" i="66"/>
  <c r="O124" i="66"/>
  <c r="M124" i="66"/>
  <c r="O123" i="66"/>
  <c r="M123" i="66"/>
  <c r="O122" i="66"/>
  <c r="M122" i="66"/>
  <c r="O121" i="66"/>
  <c r="M121" i="66"/>
  <c r="O120" i="66"/>
  <c r="M120" i="66"/>
  <c r="O119" i="66"/>
  <c r="M119" i="66"/>
  <c r="O118" i="66"/>
  <c r="M118" i="66"/>
  <c r="O117" i="66"/>
  <c r="M117" i="66"/>
  <c r="O116" i="66"/>
  <c r="M116" i="66"/>
  <c r="O115" i="66"/>
  <c r="M115" i="66"/>
  <c r="O114" i="66"/>
  <c r="M114" i="66"/>
  <c r="O113" i="66"/>
  <c r="M113" i="66"/>
  <c r="O112" i="66"/>
  <c r="M112" i="66"/>
  <c r="O111" i="66"/>
  <c r="M111" i="66"/>
  <c r="O110" i="66"/>
  <c r="M110" i="66"/>
  <c r="O109" i="66"/>
  <c r="M109" i="66"/>
  <c r="O108" i="66"/>
  <c r="M108" i="66"/>
  <c r="O107" i="66"/>
  <c r="M107" i="66"/>
  <c r="O105" i="66"/>
  <c r="O104" i="66"/>
  <c r="D96" i="66"/>
  <c r="L93" i="66"/>
  <c r="J93" i="66"/>
  <c r="D91" i="66"/>
  <c r="D89" i="66"/>
  <c r="N72" i="66"/>
  <c r="L72" i="66"/>
  <c r="N71" i="66"/>
  <c r="L71" i="66"/>
  <c r="N70" i="66"/>
  <c r="L70" i="66"/>
  <c r="N69" i="66"/>
  <c r="L69" i="66"/>
  <c r="N68" i="66"/>
  <c r="L68" i="66"/>
  <c r="N67" i="66"/>
  <c r="L67" i="66"/>
  <c r="N66" i="66"/>
  <c r="L66" i="66"/>
  <c r="N65" i="66"/>
  <c r="L65" i="66"/>
  <c r="N64" i="66"/>
  <c r="L64" i="66"/>
  <c r="N63" i="66"/>
  <c r="L63" i="66"/>
  <c r="N62" i="66"/>
  <c r="L62" i="66"/>
  <c r="N61" i="66"/>
  <c r="L61" i="66"/>
  <c r="N60" i="66"/>
  <c r="L60" i="66"/>
  <c r="N59" i="66"/>
  <c r="L59" i="66"/>
  <c r="N58" i="66"/>
  <c r="L58" i="66"/>
  <c r="N57" i="66"/>
  <c r="L57" i="66"/>
  <c r="N56" i="66"/>
  <c r="L56" i="66"/>
  <c r="N55" i="66"/>
  <c r="L55" i="66"/>
  <c r="N54" i="66"/>
  <c r="L54" i="66"/>
  <c r="N53" i="66"/>
  <c r="L53" i="66"/>
  <c r="N52" i="66"/>
  <c r="L52" i="66"/>
  <c r="N51" i="66"/>
  <c r="L51" i="66"/>
  <c r="N50" i="66"/>
  <c r="L50" i="66"/>
  <c r="N49" i="66"/>
  <c r="L49" i="66"/>
  <c r="N48" i="66"/>
  <c r="L48" i="66"/>
  <c r="N47" i="66"/>
  <c r="L47" i="66"/>
  <c r="N46" i="66"/>
  <c r="L46" i="66"/>
  <c r="N45" i="66"/>
  <c r="L45" i="66"/>
  <c r="N44" i="66"/>
  <c r="L44" i="66"/>
  <c r="N43" i="66"/>
  <c r="L43" i="66"/>
  <c r="N42" i="66"/>
  <c r="L42" i="66"/>
  <c r="N41" i="66"/>
  <c r="L41" i="66"/>
  <c r="N40" i="66"/>
  <c r="L40" i="66"/>
  <c r="N39" i="66"/>
  <c r="L39" i="66"/>
  <c r="N38" i="66"/>
  <c r="L38" i="66"/>
  <c r="N37" i="66"/>
  <c r="L37" i="66"/>
  <c r="N36" i="66"/>
  <c r="L36" i="66"/>
  <c r="N35" i="66"/>
  <c r="L35" i="66"/>
  <c r="N34" i="66"/>
  <c r="L34" i="66"/>
  <c r="N33" i="66"/>
  <c r="L33" i="66"/>
  <c r="N32" i="66"/>
  <c r="L32" i="66"/>
  <c r="N31" i="66"/>
  <c r="L31" i="66"/>
  <c r="N30" i="66"/>
  <c r="L30" i="66"/>
  <c r="N29" i="66"/>
  <c r="L29" i="66"/>
  <c r="N28" i="66"/>
  <c r="L28" i="66"/>
  <c r="N27" i="66"/>
  <c r="L27" i="66"/>
  <c r="N25" i="66"/>
  <c r="N24" i="66"/>
  <c r="N23" i="66"/>
  <c r="N22" i="66"/>
  <c r="C17" i="66"/>
  <c r="C18" i="66"/>
  <c r="C19" i="66" s="1"/>
  <c r="C20" i="66" s="1"/>
  <c r="C21" i="66" s="1"/>
  <c r="C22" i="66" s="1"/>
  <c r="C23" i="66" s="1"/>
  <c r="C24" i="66" s="1"/>
  <c r="C25" i="66" s="1"/>
  <c r="C26" i="66" s="1"/>
  <c r="C27" i="66" s="1"/>
  <c r="C28" i="66" s="1"/>
  <c r="C29" i="66" s="1"/>
  <c r="C30" i="66" s="1"/>
  <c r="C31" i="66" s="1"/>
  <c r="C32" i="66" s="1"/>
  <c r="C33" i="66" s="1"/>
  <c r="C34" i="66" s="1"/>
  <c r="C35" i="66" s="1"/>
  <c r="C36" i="66" s="1"/>
  <c r="C37" i="66" s="1"/>
  <c r="C38" i="66" s="1"/>
  <c r="C39" i="66" s="1"/>
  <c r="C40" i="66" s="1"/>
  <c r="C41" i="66" s="1"/>
  <c r="C42" i="66" s="1"/>
  <c r="C43" i="66" s="1"/>
  <c r="C44" i="66" s="1"/>
  <c r="K11" i="66"/>
  <c r="I11" i="66"/>
  <c r="D8" i="66"/>
  <c r="D90" i="66" s="1"/>
  <c r="P154" i="65"/>
  <c r="O154" i="65"/>
  <c r="M154" i="65"/>
  <c r="P153" i="65"/>
  <c r="O153" i="65"/>
  <c r="M153" i="65"/>
  <c r="P152" i="65"/>
  <c r="O152" i="65"/>
  <c r="M152" i="65"/>
  <c r="P151" i="65"/>
  <c r="O151" i="65"/>
  <c r="M151" i="65"/>
  <c r="P150" i="65"/>
  <c r="O150" i="65"/>
  <c r="M150" i="65"/>
  <c r="P149" i="65"/>
  <c r="O149" i="65"/>
  <c r="M149" i="65"/>
  <c r="P148" i="65"/>
  <c r="O148" i="65"/>
  <c r="M148" i="65"/>
  <c r="P147" i="65"/>
  <c r="O147" i="65"/>
  <c r="M147" i="65"/>
  <c r="P146" i="65"/>
  <c r="O146" i="65"/>
  <c r="M146" i="65"/>
  <c r="P145" i="65"/>
  <c r="O145" i="65"/>
  <c r="M145" i="65"/>
  <c r="P144" i="65"/>
  <c r="O144" i="65"/>
  <c r="M144" i="65"/>
  <c r="P143" i="65"/>
  <c r="O143" i="65"/>
  <c r="M143" i="65"/>
  <c r="P142" i="65"/>
  <c r="O142" i="65"/>
  <c r="M142" i="65"/>
  <c r="P141" i="65"/>
  <c r="O141" i="65"/>
  <c r="M141" i="65"/>
  <c r="P140" i="65"/>
  <c r="O140" i="65"/>
  <c r="M140" i="65"/>
  <c r="P139" i="65"/>
  <c r="O139" i="65"/>
  <c r="M139" i="65"/>
  <c r="P138" i="65"/>
  <c r="O138" i="65"/>
  <c r="M138" i="65"/>
  <c r="P137" i="65"/>
  <c r="O137" i="65"/>
  <c r="M137" i="65"/>
  <c r="P136" i="65"/>
  <c r="O136" i="65"/>
  <c r="M136" i="65"/>
  <c r="P135" i="65"/>
  <c r="O135" i="65"/>
  <c r="M135" i="65"/>
  <c r="P134" i="65"/>
  <c r="O134" i="65"/>
  <c r="M134" i="65"/>
  <c r="P133" i="65"/>
  <c r="O133" i="65"/>
  <c r="M133" i="65"/>
  <c r="P132" i="65"/>
  <c r="O132" i="65"/>
  <c r="M132" i="65"/>
  <c r="P131" i="65"/>
  <c r="O131" i="65"/>
  <c r="M131" i="65"/>
  <c r="O130" i="65"/>
  <c r="M130" i="65"/>
  <c r="O129" i="65"/>
  <c r="M129" i="65"/>
  <c r="O128" i="65"/>
  <c r="M128" i="65"/>
  <c r="O127" i="65"/>
  <c r="M127" i="65"/>
  <c r="O126" i="65"/>
  <c r="M126" i="65"/>
  <c r="O125" i="65"/>
  <c r="M125" i="65"/>
  <c r="O124" i="65"/>
  <c r="M124" i="65"/>
  <c r="O123" i="65"/>
  <c r="M123" i="65"/>
  <c r="O122" i="65"/>
  <c r="M122" i="65"/>
  <c r="O121" i="65"/>
  <c r="M121" i="65"/>
  <c r="O120" i="65"/>
  <c r="M120" i="65"/>
  <c r="O119" i="65"/>
  <c r="M119" i="65"/>
  <c r="O118" i="65"/>
  <c r="M118" i="65"/>
  <c r="O117" i="65"/>
  <c r="M117" i="65"/>
  <c r="O116" i="65"/>
  <c r="M116" i="65"/>
  <c r="O115" i="65"/>
  <c r="M115" i="65"/>
  <c r="O114" i="65"/>
  <c r="M114" i="65"/>
  <c r="O113" i="65"/>
  <c r="M113" i="65"/>
  <c r="O112" i="65"/>
  <c r="M112" i="65"/>
  <c r="O111" i="65"/>
  <c r="M111" i="65"/>
  <c r="O110" i="65"/>
  <c r="M110" i="65"/>
  <c r="O109" i="65"/>
  <c r="M109" i="65"/>
  <c r="O108" i="65"/>
  <c r="M108" i="65"/>
  <c r="O107" i="65"/>
  <c r="M107" i="65"/>
  <c r="O105" i="65"/>
  <c r="O104" i="65"/>
  <c r="D96" i="65"/>
  <c r="L93" i="65"/>
  <c r="J93" i="65"/>
  <c r="D91" i="65"/>
  <c r="D89" i="65"/>
  <c r="N72" i="65"/>
  <c r="L72" i="65"/>
  <c r="N71" i="65"/>
  <c r="L71" i="65"/>
  <c r="N70" i="65"/>
  <c r="L70" i="65"/>
  <c r="N69" i="65"/>
  <c r="L69" i="65"/>
  <c r="N68" i="65"/>
  <c r="L68" i="65"/>
  <c r="N67" i="65"/>
  <c r="L67" i="65"/>
  <c r="N66" i="65"/>
  <c r="L66" i="65"/>
  <c r="N65" i="65"/>
  <c r="L65" i="65"/>
  <c r="N64" i="65"/>
  <c r="L64" i="65"/>
  <c r="N63" i="65"/>
  <c r="L63" i="65"/>
  <c r="N62" i="65"/>
  <c r="L62" i="65"/>
  <c r="N61" i="65"/>
  <c r="L61" i="65"/>
  <c r="N60" i="65"/>
  <c r="L60" i="65"/>
  <c r="N59" i="65"/>
  <c r="L59" i="65"/>
  <c r="N58" i="65"/>
  <c r="L58" i="65"/>
  <c r="N57" i="65"/>
  <c r="L57" i="65"/>
  <c r="N56" i="65"/>
  <c r="L56" i="65"/>
  <c r="N55" i="65"/>
  <c r="L55" i="65"/>
  <c r="N54" i="65"/>
  <c r="L54" i="65"/>
  <c r="N53" i="65"/>
  <c r="L53" i="65"/>
  <c r="N52" i="65"/>
  <c r="L52" i="65"/>
  <c r="N51" i="65"/>
  <c r="L51" i="65"/>
  <c r="N50" i="65"/>
  <c r="L50" i="65"/>
  <c r="N49" i="65"/>
  <c r="L49" i="65"/>
  <c r="N48" i="65"/>
  <c r="L48" i="65"/>
  <c r="N47" i="65"/>
  <c r="L47" i="65"/>
  <c r="N46" i="65"/>
  <c r="L46" i="65"/>
  <c r="N45" i="65"/>
  <c r="L45" i="65"/>
  <c r="N44" i="65"/>
  <c r="L44" i="65"/>
  <c r="N43" i="65"/>
  <c r="L43" i="65"/>
  <c r="N42" i="65"/>
  <c r="L42" i="65"/>
  <c r="N41" i="65"/>
  <c r="L41" i="65"/>
  <c r="N40" i="65"/>
  <c r="L40" i="65"/>
  <c r="N39" i="65"/>
  <c r="L39" i="65"/>
  <c r="N38" i="65"/>
  <c r="L38" i="65"/>
  <c r="N37" i="65"/>
  <c r="L37" i="65"/>
  <c r="N36" i="65"/>
  <c r="L36" i="65"/>
  <c r="N35" i="65"/>
  <c r="L35" i="65"/>
  <c r="N34" i="65"/>
  <c r="L34" i="65"/>
  <c r="N33" i="65"/>
  <c r="L33" i="65"/>
  <c r="N32" i="65"/>
  <c r="L32" i="65"/>
  <c r="N31" i="65"/>
  <c r="L31" i="65"/>
  <c r="N30" i="65"/>
  <c r="L30" i="65"/>
  <c r="N29" i="65"/>
  <c r="L29" i="65"/>
  <c r="N28" i="65"/>
  <c r="L28" i="65"/>
  <c r="N27" i="65"/>
  <c r="L27" i="65"/>
  <c r="N25" i="65"/>
  <c r="N24" i="65"/>
  <c r="N23" i="65"/>
  <c r="N22" i="65"/>
  <c r="C17" i="65"/>
  <c r="C18" i="65" s="1"/>
  <c r="C19" i="65" s="1"/>
  <c r="C20" i="65" s="1"/>
  <c r="C21" i="65" s="1"/>
  <c r="C22" i="65" s="1"/>
  <c r="C23" i="65" s="1"/>
  <c r="C24" i="65" s="1"/>
  <c r="C25" i="65" s="1"/>
  <c r="C26" i="65" s="1"/>
  <c r="C27" i="65" s="1"/>
  <c r="C28" i="65" s="1"/>
  <c r="C29" i="65" s="1"/>
  <c r="C30" i="65" s="1"/>
  <c r="C31" i="65" s="1"/>
  <c r="C32" i="65" s="1"/>
  <c r="C33" i="65" s="1"/>
  <c r="C34" i="65" s="1"/>
  <c r="C35" i="65" s="1"/>
  <c r="C36" i="65" s="1"/>
  <c r="C37" i="65" s="1"/>
  <c r="C38" i="65" s="1"/>
  <c r="C39" i="65" s="1"/>
  <c r="C40" i="65" s="1"/>
  <c r="C41" i="65" s="1"/>
  <c r="C42" i="65" s="1"/>
  <c r="C43" i="65" s="1"/>
  <c r="C44" i="65" s="1"/>
  <c r="C45" i="65" s="1"/>
  <c r="C46" i="65" s="1"/>
  <c r="C47" i="65" s="1"/>
  <c r="C48" i="65" s="1"/>
  <c r="C49" i="65" s="1"/>
  <c r="C50" i="65" s="1"/>
  <c r="C51" i="65" s="1"/>
  <c r="C52" i="65" s="1"/>
  <c r="C53" i="65" s="1"/>
  <c r="C54" i="65" s="1"/>
  <c r="C55" i="65" s="1"/>
  <c r="C56" i="65" s="1"/>
  <c r="C57" i="65" s="1"/>
  <c r="C58" i="65" s="1"/>
  <c r="C59" i="65" s="1"/>
  <c r="C60" i="65" s="1"/>
  <c r="C61" i="65" s="1"/>
  <c r="C62" i="65" s="1"/>
  <c r="C63" i="65" s="1"/>
  <c r="C64" i="65" s="1"/>
  <c r="C65" i="65" s="1"/>
  <c r="C66" i="65" s="1"/>
  <c r="C67" i="65" s="1"/>
  <c r="C68" i="65" s="1"/>
  <c r="C69" i="65" s="1"/>
  <c r="C70" i="65" s="1"/>
  <c r="C71" i="65" s="1"/>
  <c r="C72" i="65" s="1"/>
  <c r="K11" i="65"/>
  <c r="I11" i="65"/>
  <c r="D8" i="65"/>
  <c r="D90" i="65" s="1"/>
  <c r="P154" i="64"/>
  <c r="O154" i="64"/>
  <c r="M154" i="64"/>
  <c r="P153" i="64"/>
  <c r="O153" i="64"/>
  <c r="M153" i="64"/>
  <c r="P152" i="64"/>
  <c r="O152" i="64"/>
  <c r="M152" i="64"/>
  <c r="P151" i="64"/>
  <c r="O151" i="64"/>
  <c r="M151" i="64"/>
  <c r="P150" i="64"/>
  <c r="O150" i="64"/>
  <c r="M150" i="64"/>
  <c r="P149" i="64"/>
  <c r="O149" i="64"/>
  <c r="M149" i="64"/>
  <c r="P148" i="64"/>
  <c r="O148" i="64"/>
  <c r="M148" i="64"/>
  <c r="P147" i="64"/>
  <c r="O147" i="64"/>
  <c r="M147" i="64"/>
  <c r="P146" i="64"/>
  <c r="O146" i="64"/>
  <c r="M146" i="64"/>
  <c r="P145" i="64"/>
  <c r="O145" i="64"/>
  <c r="M145" i="64"/>
  <c r="P144" i="64"/>
  <c r="O144" i="64"/>
  <c r="M144" i="64"/>
  <c r="P143" i="64"/>
  <c r="O143" i="64"/>
  <c r="M143" i="64"/>
  <c r="P142" i="64"/>
  <c r="O142" i="64"/>
  <c r="M142" i="64"/>
  <c r="P141" i="64"/>
  <c r="O141" i="64"/>
  <c r="M141" i="64"/>
  <c r="P140" i="64"/>
  <c r="O140" i="64"/>
  <c r="M140" i="64"/>
  <c r="P139" i="64"/>
  <c r="O139" i="64"/>
  <c r="M139" i="64"/>
  <c r="P138" i="64"/>
  <c r="O138" i="64"/>
  <c r="M138" i="64"/>
  <c r="P137" i="64"/>
  <c r="O137" i="64"/>
  <c r="M137" i="64"/>
  <c r="P136" i="64"/>
  <c r="O136" i="64"/>
  <c r="M136" i="64"/>
  <c r="P135" i="64"/>
  <c r="O135" i="64"/>
  <c r="M135" i="64"/>
  <c r="P134" i="64"/>
  <c r="O134" i="64"/>
  <c r="M134" i="64"/>
  <c r="P133" i="64"/>
  <c r="O133" i="64"/>
  <c r="M133" i="64"/>
  <c r="P132" i="64"/>
  <c r="O132" i="64"/>
  <c r="M132" i="64"/>
  <c r="P131" i="64"/>
  <c r="O131" i="64"/>
  <c r="M131" i="64"/>
  <c r="O130" i="64"/>
  <c r="M130" i="64"/>
  <c r="O129" i="64"/>
  <c r="M129" i="64"/>
  <c r="O128" i="64"/>
  <c r="M128" i="64"/>
  <c r="O127" i="64"/>
  <c r="M127" i="64"/>
  <c r="O126" i="64"/>
  <c r="M126" i="64"/>
  <c r="O125" i="64"/>
  <c r="M125" i="64"/>
  <c r="O124" i="64"/>
  <c r="M124" i="64"/>
  <c r="O123" i="64"/>
  <c r="M123" i="64"/>
  <c r="O122" i="64"/>
  <c r="M122" i="64"/>
  <c r="O121" i="64"/>
  <c r="M121" i="64"/>
  <c r="O120" i="64"/>
  <c r="M120" i="64"/>
  <c r="O119" i="64"/>
  <c r="M119" i="64"/>
  <c r="O118" i="64"/>
  <c r="M118" i="64"/>
  <c r="O117" i="64"/>
  <c r="M117" i="64"/>
  <c r="O116" i="64"/>
  <c r="M116" i="64"/>
  <c r="O115" i="64"/>
  <c r="M115" i="64"/>
  <c r="O114" i="64"/>
  <c r="M114" i="64"/>
  <c r="O113" i="64"/>
  <c r="M113" i="64"/>
  <c r="O112" i="64"/>
  <c r="M112" i="64"/>
  <c r="O111" i="64"/>
  <c r="M111" i="64"/>
  <c r="O110" i="64"/>
  <c r="M110" i="64"/>
  <c r="O109" i="64"/>
  <c r="M109" i="64"/>
  <c r="O108" i="64"/>
  <c r="M108" i="64"/>
  <c r="O106" i="64"/>
  <c r="O105" i="64"/>
  <c r="O104" i="64"/>
  <c r="D96" i="64"/>
  <c r="L93" i="64"/>
  <c r="J93" i="64"/>
  <c r="D91" i="64"/>
  <c r="D89" i="64"/>
  <c r="N72" i="64"/>
  <c r="L72" i="64"/>
  <c r="N71" i="64"/>
  <c r="L71" i="64"/>
  <c r="N70" i="64"/>
  <c r="L70" i="64"/>
  <c r="N69" i="64"/>
  <c r="L69" i="64"/>
  <c r="N68" i="64"/>
  <c r="L68" i="64"/>
  <c r="N67" i="64"/>
  <c r="L67" i="64"/>
  <c r="N66" i="64"/>
  <c r="L66" i="64"/>
  <c r="N65" i="64"/>
  <c r="L65" i="64"/>
  <c r="N64" i="64"/>
  <c r="L64" i="64"/>
  <c r="N63" i="64"/>
  <c r="L63" i="64"/>
  <c r="N62" i="64"/>
  <c r="L62" i="64"/>
  <c r="N61" i="64"/>
  <c r="L61" i="64"/>
  <c r="N60" i="64"/>
  <c r="L60" i="64"/>
  <c r="N59" i="64"/>
  <c r="L59" i="64"/>
  <c r="N58" i="64"/>
  <c r="L58" i="64"/>
  <c r="N57" i="64"/>
  <c r="L57" i="64"/>
  <c r="N56" i="64"/>
  <c r="L56" i="64"/>
  <c r="N55" i="64"/>
  <c r="L55" i="64"/>
  <c r="N54" i="64"/>
  <c r="L54" i="64"/>
  <c r="N53" i="64"/>
  <c r="L53" i="64"/>
  <c r="N52" i="64"/>
  <c r="L52" i="64"/>
  <c r="N51" i="64"/>
  <c r="L51" i="64"/>
  <c r="N50" i="64"/>
  <c r="L50" i="64"/>
  <c r="N49" i="64"/>
  <c r="L49" i="64"/>
  <c r="N48" i="64"/>
  <c r="L48" i="64"/>
  <c r="N47" i="64"/>
  <c r="L47" i="64"/>
  <c r="N46" i="64"/>
  <c r="L46" i="64"/>
  <c r="N45" i="64"/>
  <c r="L45" i="64"/>
  <c r="N44" i="64"/>
  <c r="L44" i="64"/>
  <c r="N43" i="64"/>
  <c r="L43" i="64"/>
  <c r="N42" i="64"/>
  <c r="L42" i="64"/>
  <c r="N41" i="64"/>
  <c r="L41" i="64"/>
  <c r="N40" i="64"/>
  <c r="L40" i="64"/>
  <c r="N39" i="64"/>
  <c r="L39" i="64"/>
  <c r="N38" i="64"/>
  <c r="L38" i="64"/>
  <c r="N37" i="64"/>
  <c r="L37" i="64"/>
  <c r="N36" i="64"/>
  <c r="L36" i="64"/>
  <c r="N35" i="64"/>
  <c r="L35" i="64"/>
  <c r="N34" i="64"/>
  <c r="L34" i="64"/>
  <c r="N33" i="64"/>
  <c r="L33" i="64"/>
  <c r="N32" i="64"/>
  <c r="L32" i="64"/>
  <c r="N31" i="64"/>
  <c r="L31" i="64"/>
  <c r="N30" i="64"/>
  <c r="L30" i="64"/>
  <c r="N29" i="64"/>
  <c r="L29" i="64"/>
  <c r="N28" i="64"/>
  <c r="L28" i="64"/>
  <c r="N26" i="64"/>
  <c r="N25" i="64"/>
  <c r="N24" i="64"/>
  <c r="N23" i="64"/>
  <c r="O23" i="64" s="1"/>
  <c r="C17" i="64"/>
  <c r="C18" i="64" s="1"/>
  <c r="C19" i="64" s="1"/>
  <c r="C20" i="64" s="1"/>
  <c r="C21" i="64" s="1"/>
  <c r="C22" i="64" s="1"/>
  <c r="C23" i="64" s="1"/>
  <c r="C24" i="64" s="1"/>
  <c r="C25" i="64" s="1"/>
  <c r="C26" i="64" s="1"/>
  <c r="C27" i="64" s="1"/>
  <c r="C28" i="64" s="1"/>
  <c r="C29" i="64" s="1"/>
  <c r="C30" i="64" s="1"/>
  <c r="C31" i="64" s="1"/>
  <c r="C32" i="64" s="1"/>
  <c r="C33" i="64" s="1"/>
  <c r="C34" i="64" s="1"/>
  <c r="C35" i="64" s="1"/>
  <c r="C36" i="64" s="1"/>
  <c r="C37" i="64" s="1"/>
  <c r="C38" i="64" s="1"/>
  <c r="C39" i="64" s="1"/>
  <c r="C40" i="64" s="1"/>
  <c r="C41" i="64" s="1"/>
  <c r="C42" i="64" s="1"/>
  <c r="C43" i="64" s="1"/>
  <c r="C44" i="64" s="1"/>
  <c r="C45" i="64" s="1"/>
  <c r="C46" i="64" s="1"/>
  <c r="C47" i="64" s="1"/>
  <c r="C48" i="64" s="1"/>
  <c r="C49" i="64" s="1"/>
  <c r="C50" i="64" s="1"/>
  <c r="C51" i="64" s="1"/>
  <c r="C52" i="64" s="1"/>
  <c r="C53" i="64" s="1"/>
  <c r="C54" i="64" s="1"/>
  <c r="C55" i="64" s="1"/>
  <c r="C56" i="64" s="1"/>
  <c r="C57" i="64" s="1"/>
  <c r="C58" i="64" s="1"/>
  <c r="C59" i="64" s="1"/>
  <c r="C60" i="64" s="1"/>
  <c r="C61" i="64" s="1"/>
  <c r="C62" i="64" s="1"/>
  <c r="C63" i="64" s="1"/>
  <c r="C64" i="64" s="1"/>
  <c r="C65" i="64" s="1"/>
  <c r="C66" i="64" s="1"/>
  <c r="C67" i="64" s="1"/>
  <c r="C68" i="64" s="1"/>
  <c r="C69" i="64" s="1"/>
  <c r="C70" i="64" s="1"/>
  <c r="C71" i="64" s="1"/>
  <c r="C72" i="64" s="1"/>
  <c r="K11" i="64"/>
  <c r="I11" i="64"/>
  <c r="D8" i="64"/>
  <c r="D90" i="64" s="1"/>
  <c r="D94" i="60"/>
  <c r="D92" i="60"/>
  <c r="D94" i="62"/>
  <c r="D94" i="63"/>
  <c r="D94" i="61"/>
  <c r="D93" i="61"/>
  <c r="D94" i="59"/>
  <c r="D93" i="59"/>
  <c r="M22" i="34"/>
  <c r="N22" i="34" s="1"/>
  <c r="K22" i="34"/>
  <c r="L22" i="34" s="1"/>
  <c r="M21" i="22"/>
  <c r="N21" i="22" s="1"/>
  <c r="O21" i="22" s="1"/>
  <c r="K21" i="22"/>
  <c r="L21" i="22" s="1"/>
  <c r="M22" i="23"/>
  <c r="N22" i="23" s="1"/>
  <c r="K22" i="23"/>
  <c r="L22" i="23" s="1"/>
  <c r="M22" i="24"/>
  <c r="N22" i="24" s="1"/>
  <c r="K22" i="24"/>
  <c r="L22" i="24" s="1"/>
  <c r="M23" i="27"/>
  <c r="N23" i="27" s="1"/>
  <c r="K23" i="27"/>
  <c r="L23" i="27" s="1"/>
  <c r="M24" i="28"/>
  <c r="N24" i="28" s="1"/>
  <c r="K24" i="28"/>
  <c r="L24" i="28" s="1"/>
  <c r="M23" i="29"/>
  <c r="N23" i="29" s="1"/>
  <c r="K23" i="29"/>
  <c r="L23" i="29" s="1"/>
  <c r="M23" i="30"/>
  <c r="N23" i="30" s="1"/>
  <c r="K23" i="30"/>
  <c r="L23" i="30" s="1"/>
  <c r="M22" i="31"/>
  <c r="N22" i="31" s="1"/>
  <c r="K22" i="31"/>
  <c r="L22" i="31" s="1"/>
  <c r="O22" i="31" s="1"/>
  <c r="M22" i="32"/>
  <c r="N22" i="32" s="1"/>
  <c r="K22" i="32"/>
  <c r="L22" i="32" s="1"/>
  <c r="M20" i="39"/>
  <c r="N20" i="39" s="1"/>
  <c r="K20" i="39"/>
  <c r="L20" i="39" s="1"/>
  <c r="M20" i="41"/>
  <c r="N20" i="41" s="1"/>
  <c r="K20" i="41"/>
  <c r="L20" i="41" s="1"/>
  <c r="M20" i="42"/>
  <c r="N20" i="42" s="1"/>
  <c r="K20" i="42"/>
  <c r="L20" i="42" s="1"/>
  <c r="M20" i="43"/>
  <c r="N20" i="43" s="1"/>
  <c r="K20" i="43"/>
  <c r="L20" i="43" s="1"/>
  <c r="M20" i="44"/>
  <c r="N20" i="44" s="1"/>
  <c r="K20" i="44"/>
  <c r="L20" i="44" s="1"/>
  <c r="M19" i="45"/>
  <c r="N19" i="45" s="1"/>
  <c r="K19" i="45"/>
  <c r="L19" i="45" s="1"/>
  <c r="M18" i="46"/>
  <c r="N18" i="46" s="1"/>
  <c r="K18" i="46"/>
  <c r="L18" i="46" s="1"/>
  <c r="M18" i="53"/>
  <c r="N18" i="53" s="1"/>
  <c r="K18" i="53"/>
  <c r="L18" i="53" s="1"/>
  <c r="M18" i="54"/>
  <c r="N18" i="54" s="1"/>
  <c r="K18" i="54"/>
  <c r="L18" i="54" s="1"/>
  <c r="M18" i="55"/>
  <c r="N18" i="55" s="1"/>
  <c r="O18" i="55" s="1"/>
  <c r="K18" i="55"/>
  <c r="L18" i="55" s="1"/>
  <c r="M18" i="56"/>
  <c r="N18" i="56"/>
  <c r="K18" i="56"/>
  <c r="L18" i="56" s="1"/>
  <c r="M18" i="57"/>
  <c r="N18" i="57" s="1"/>
  <c r="K18" i="57"/>
  <c r="L18" i="57" s="1"/>
  <c r="M18" i="58"/>
  <c r="N18" i="58" s="1"/>
  <c r="K18" i="58"/>
  <c r="L18" i="58" s="1"/>
  <c r="M17" i="59"/>
  <c r="N17" i="59" s="1"/>
  <c r="K17" i="59"/>
  <c r="L17" i="59" s="1"/>
  <c r="M17" i="61"/>
  <c r="N17" i="61" s="1"/>
  <c r="K17" i="61"/>
  <c r="L17" i="61" s="1"/>
  <c r="M17" i="63"/>
  <c r="N17" i="63" s="1"/>
  <c r="K17" i="63"/>
  <c r="L17" i="63" s="1"/>
  <c r="M17" i="62"/>
  <c r="N17" i="62" s="1"/>
  <c r="K17" i="62"/>
  <c r="L17" i="62" s="1"/>
  <c r="M17" i="60"/>
  <c r="N17" i="60" s="1"/>
  <c r="K17" i="60"/>
  <c r="L17" i="60" s="1"/>
  <c r="N99" i="58"/>
  <c r="O99" i="58" s="1"/>
  <c r="L99" i="58"/>
  <c r="M99" i="58" s="1"/>
  <c r="N99" i="57"/>
  <c r="O99" i="57" s="1"/>
  <c r="P99" i="57" s="1"/>
  <c r="L99" i="57"/>
  <c r="N99" i="56"/>
  <c r="O99" i="56" s="1"/>
  <c r="L99" i="56"/>
  <c r="M99" i="56" s="1"/>
  <c r="N99" i="55"/>
  <c r="L99" i="55"/>
  <c r="N99" i="54"/>
  <c r="O99" i="54" s="1"/>
  <c r="L99" i="54"/>
  <c r="M99" i="54" s="1"/>
  <c r="P99" i="54" s="1"/>
  <c r="N99" i="53"/>
  <c r="L99" i="53"/>
  <c r="M99" i="53" s="1"/>
  <c r="N99" i="46"/>
  <c r="O99" i="46" s="1"/>
  <c r="L99" i="46"/>
  <c r="N100" i="45"/>
  <c r="L100" i="45"/>
  <c r="N101" i="44"/>
  <c r="O101" i="44" s="1"/>
  <c r="P101" i="44" s="1"/>
  <c r="L101" i="44"/>
  <c r="M101" i="44" s="1"/>
  <c r="N101" i="43"/>
  <c r="L101" i="43"/>
  <c r="N101" i="42"/>
  <c r="O101" i="42" s="1"/>
  <c r="L101" i="42"/>
  <c r="M101" i="42" s="1"/>
  <c r="N101" i="41"/>
  <c r="L101" i="41"/>
  <c r="N101" i="39"/>
  <c r="L101" i="39"/>
  <c r="M101" i="39" s="1"/>
  <c r="N103" i="35"/>
  <c r="L103" i="35"/>
  <c r="N103" i="34"/>
  <c r="O103" i="34" s="1"/>
  <c r="L103" i="34"/>
  <c r="M103" i="34" s="1"/>
  <c r="N103" i="32"/>
  <c r="L103" i="32"/>
  <c r="N103" i="31"/>
  <c r="O103" i="31" s="1"/>
  <c r="L103" i="31"/>
  <c r="N104" i="30"/>
  <c r="L104" i="30"/>
  <c r="M104" i="30" s="1"/>
  <c r="P104" i="30" s="1"/>
  <c r="N104" i="29"/>
  <c r="O104" i="29" s="1"/>
  <c r="L104" i="29"/>
  <c r="M104" i="29" s="1"/>
  <c r="N105" i="28"/>
  <c r="L105" i="28"/>
  <c r="N104" i="27"/>
  <c r="O104" i="27" s="1"/>
  <c r="L104" i="27"/>
  <c r="M104" i="27" s="1"/>
  <c r="N103" i="24"/>
  <c r="L103" i="24"/>
  <c r="N103" i="23"/>
  <c r="O103" i="23" s="1"/>
  <c r="L103" i="23"/>
  <c r="N102" i="22"/>
  <c r="L102" i="22"/>
  <c r="N102" i="21"/>
  <c r="L102" i="21"/>
  <c r="M21" i="21"/>
  <c r="N21" i="21" s="1"/>
  <c r="K21" i="21"/>
  <c r="L21" i="21" s="1"/>
  <c r="M21" i="20"/>
  <c r="N21" i="20" s="1"/>
  <c r="K21" i="20"/>
  <c r="L21" i="20" s="1"/>
  <c r="N102" i="20"/>
  <c r="L102" i="20"/>
  <c r="N102" i="19"/>
  <c r="L102" i="19"/>
  <c r="M21" i="19"/>
  <c r="N21" i="19" s="1"/>
  <c r="K21" i="19"/>
  <c r="L21" i="19" s="1"/>
  <c r="N102" i="18"/>
  <c r="L102" i="18"/>
  <c r="M102" i="18" s="1"/>
  <c r="M21" i="18"/>
  <c r="N21" i="18" s="1"/>
  <c r="K21" i="18"/>
  <c r="L21" i="18" s="1"/>
  <c r="N102" i="17"/>
  <c r="O102" i="17" s="1"/>
  <c r="L102" i="17"/>
  <c r="M21" i="17"/>
  <c r="N21" i="17" s="1"/>
  <c r="K21" i="17"/>
  <c r="L21" i="17" s="1"/>
  <c r="N102" i="3"/>
  <c r="O102" i="3" s="1"/>
  <c r="L102" i="3"/>
  <c r="M102" i="3" s="1"/>
  <c r="M21" i="3"/>
  <c r="N21" i="3" s="1"/>
  <c r="K21" i="3"/>
  <c r="L21" i="3" s="1"/>
  <c r="Q60" i="1"/>
  <c r="Q60" i="2"/>
  <c r="Q58" i="3"/>
  <c r="Q58" i="17"/>
  <c r="Q58" i="18"/>
  <c r="Q58" i="19"/>
  <c r="Q58" i="20"/>
  <c r="Q58" i="21"/>
  <c r="Q58" i="22"/>
  <c r="Q58" i="23"/>
  <c r="Q58" i="24"/>
  <c r="Q58" i="25"/>
  <c r="Q58" i="26"/>
  <c r="Q58" i="27"/>
  <c r="Q58" i="28"/>
  <c r="Q58" i="29"/>
  <c r="Q58" i="30"/>
  <c r="Q58" i="31"/>
  <c r="Q58" i="32"/>
  <c r="Q58" i="33"/>
  <c r="Q58" i="34"/>
  <c r="Q58" i="35"/>
  <c r="Q58" i="39"/>
  <c r="Q58" i="41"/>
  <c r="Q58" i="42"/>
  <c r="Q58" i="43"/>
  <c r="Q58" i="44"/>
  <c r="Q58" i="45"/>
  <c r="Q58" i="46"/>
  <c r="Q58" i="53"/>
  <c r="Q58" i="54"/>
  <c r="Q58" i="55"/>
  <c r="Q58" i="56"/>
  <c r="Q58" i="57"/>
  <c r="Q58" i="58"/>
  <c r="Q58" i="59"/>
  <c r="Q58" i="61"/>
  <c r="Q58" i="63"/>
  <c r="Q58" i="62"/>
  <c r="Q58" i="60"/>
  <c r="P1" i="60"/>
  <c r="P83" i="60" s="1"/>
  <c r="P1" i="62"/>
  <c r="P83" i="62" s="1"/>
  <c r="P1" i="63"/>
  <c r="P83" i="63" s="1"/>
  <c r="P1" i="61"/>
  <c r="P83" i="61" s="1"/>
  <c r="P1" i="59"/>
  <c r="P83" i="59" s="1"/>
  <c r="P1" i="58"/>
  <c r="P83" i="58" s="1"/>
  <c r="B21" i="21"/>
  <c r="N101" i="21"/>
  <c r="O101" i="21" s="1"/>
  <c r="L101" i="21"/>
  <c r="M101" i="21" s="1"/>
  <c r="I18" i="21"/>
  <c r="I19" i="21"/>
  <c r="M20" i="21"/>
  <c r="N20" i="21" s="1"/>
  <c r="K20" i="21"/>
  <c r="W55" i="36"/>
  <c r="P55" i="36"/>
  <c r="W54" i="36"/>
  <c r="P54" i="36"/>
  <c r="W53" i="36"/>
  <c r="P53" i="36"/>
  <c r="W52" i="36"/>
  <c r="P52" i="36"/>
  <c r="W51" i="36"/>
  <c r="P51" i="36"/>
  <c r="P154" i="63"/>
  <c r="O154" i="63"/>
  <c r="M154" i="63"/>
  <c r="P153" i="63"/>
  <c r="O153" i="63"/>
  <c r="M153" i="63"/>
  <c r="P152" i="63"/>
  <c r="O152" i="63"/>
  <c r="M152" i="63"/>
  <c r="P151" i="63"/>
  <c r="O151" i="63"/>
  <c r="M151" i="63"/>
  <c r="P150" i="63"/>
  <c r="O150" i="63"/>
  <c r="M150" i="63"/>
  <c r="P149" i="63"/>
  <c r="O149" i="63"/>
  <c r="M149" i="63"/>
  <c r="P148" i="63"/>
  <c r="O148" i="63"/>
  <c r="M148" i="63"/>
  <c r="P147" i="63"/>
  <c r="O147" i="63"/>
  <c r="M147" i="63"/>
  <c r="P146" i="63"/>
  <c r="O146" i="63"/>
  <c r="M146" i="63"/>
  <c r="P145" i="63"/>
  <c r="O145" i="63"/>
  <c r="M145" i="63"/>
  <c r="P144" i="63"/>
  <c r="O144" i="63"/>
  <c r="M144" i="63"/>
  <c r="P143" i="63"/>
  <c r="O143" i="63"/>
  <c r="M143" i="63"/>
  <c r="P142" i="63"/>
  <c r="O142" i="63"/>
  <c r="M142" i="63"/>
  <c r="P141" i="63"/>
  <c r="O141" i="63"/>
  <c r="M141" i="63"/>
  <c r="P140" i="63"/>
  <c r="O140" i="63"/>
  <c r="M140" i="63"/>
  <c r="P139" i="63"/>
  <c r="O139" i="63"/>
  <c r="M139" i="63"/>
  <c r="P138" i="63"/>
  <c r="O138" i="63"/>
  <c r="M138" i="63"/>
  <c r="P137" i="63"/>
  <c r="O137" i="63"/>
  <c r="M137" i="63"/>
  <c r="P136" i="63"/>
  <c r="O136" i="63"/>
  <c r="M136" i="63"/>
  <c r="P135" i="63"/>
  <c r="O135" i="63"/>
  <c r="M135" i="63"/>
  <c r="P134" i="63"/>
  <c r="O134" i="63"/>
  <c r="M134" i="63"/>
  <c r="P133" i="63"/>
  <c r="O133" i="63"/>
  <c r="M133" i="63"/>
  <c r="P132" i="63"/>
  <c r="O132" i="63"/>
  <c r="M132" i="63"/>
  <c r="P131" i="63"/>
  <c r="O131" i="63"/>
  <c r="M131" i="63"/>
  <c r="O130" i="63"/>
  <c r="M130" i="63"/>
  <c r="O129" i="63"/>
  <c r="M129" i="63"/>
  <c r="O128" i="63"/>
  <c r="M128" i="63"/>
  <c r="O127" i="63"/>
  <c r="M127" i="63"/>
  <c r="O126" i="63"/>
  <c r="M126" i="63"/>
  <c r="O125" i="63"/>
  <c r="M125" i="63"/>
  <c r="O124" i="63"/>
  <c r="M124" i="63"/>
  <c r="O123" i="63"/>
  <c r="M123" i="63"/>
  <c r="O122" i="63"/>
  <c r="M122" i="63"/>
  <c r="O121" i="63"/>
  <c r="M121" i="63"/>
  <c r="O120" i="63"/>
  <c r="M120" i="63"/>
  <c r="O119" i="63"/>
  <c r="M119" i="63"/>
  <c r="O118" i="63"/>
  <c r="M118" i="63"/>
  <c r="O117" i="63"/>
  <c r="M117" i="63"/>
  <c r="O116" i="63"/>
  <c r="M116" i="63"/>
  <c r="O115" i="63"/>
  <c r="M115" i="63"/>
  <c r="O114" i="63"/>
  <c r="M114" i="63"/>
  <c r="O113" i="63"/>
  <c r="M113" i="63"/>
  <c r="O112" i="63"/>
  <c r="M112" i="63"/>
  <c r="O111" i="63"/>
  <c r="M111" i="63"/>
  <c r="O110" i="63"/>
  <c r="M110" i="63"/>
  <c r="O109" i="63"/>
  <c r="M109" i="63"/>
  <c r="O108" i="63"/>
  <c r="M108" i="63"/>
  <c r="O106" i="63"/>
  <c r="O105" i="63"/>
  <c r="O104" i="63"/>
  <c r="D96" i="63"/>
  <c r="L93" i="63"/>
  <c r="J93" i="63"/>
  <c r="D91" i="63"/>
  <c r="D89" i="63"/>
  <c r="N72" i="63"/>
  <c r="L72" i="63"/>
  <c r="N71" i="63"/>
  <c r="L71" i="63"/>
  <c r="N70" i="63"/>
  <c r="L70" i="63"/>
  <c r="N69" i="63"/>
  <c r="L69" i="63"/>
  <c r="N68" i="63"/>
  <c r="L68" i="63"/>
  <c r="N67" i="63"/>
  <c r="L67" i="63"/>
  <c r="N66" i="63"/>
  <c r="L66" i="63"/>
  <c r="N65" i="63"/>
  <c r="L65" i="63"/>
  <c r="N64" i="63"/>
  <c r="L64" i="63"/>
  <c r="N63" i="63"/>
  <c r="L63" i="63"/>
  <c r="N62" i="63"/>
  <c r="L62" i="63"/>
  <c r="N61" i="63"/>
  <c r="L61" i="63"/>
  <c r="N60" i="63"/>
  <c r="L60" i="63"/>
  <c r="N59" i="63"/>
  <c r="L59" i="63"/>
  <c r="N58" i="63"/>
  <c r="L58" i="63"/>
  <c r="N57" i="63"/>
  <c r="L57" i="63"/>
  <c r="N56" i="63"/>
  <c r="L56" i="63"/>
  <c r="N55" i="63"/>
  <c r="L55" i="63"/>
  <c r="N54" i="63"/>
  <c r="L54" i="63"/>
  <c r="N53" i="63"/>
  <c r="L53" i="63"/>
  <c r="N52" i="63"/>
  <c r="L52" i="63"/>
  <c r="N51" i="63"/>
  <c r="L51" i="63"/>
  <c r="N50" i="63"/>
  <c r="L50" i="63"/>
  <c r="N49" i="63"/>
  <c r="L49" i="63"/>
  <c r="N48" i="63"/>
  <c r="L48" i="63"/>
  <c r="N47" i="63"/>
  <c r="L47" i="63"/>
  <c r="N46" i="63"/>
  <c r="L46" i="63"/>
  <c r="N45" i="63"/>
  <c r="L45" i="63"/>
  <c r="N44" i="63"/>
  <c r="L44" i="63"/>
  <c r="N43" i="63"/>
  <c r="L43" i="63"/>
  <c r="N42" i="63"/>
  <c r="L42" i="63"/>
  <c r="N41" i="63"/>
  <c r="L41" i="63"/>
  <c r="N40" i="63"/>
  <c r="L40" i="63"/>
  <c r="N39" i="63"/>
  <c r="L39" i="63"/>
  <c r="N38" i="63"/>
  <c r="L38" i="63"/>
  <c r="N37" i="63"/>
  <c r="L37" i="63"/>
  <c r="N36" i="63"/>
  <c r="L36" i="63"/>
  <c r="N35" i="63"/>
  <c r="L35" i="63"/>
  <c r="N34" i="63"/>
  <c r="L34" i="63"/>
  <c r="N33" i="63"/>
  <c r="L33" i="63"/>
  <c r="N32" i="63"/>
  <c r="L32" i="63"/>
  <c r="N31" i="63"/>
  <c r="L31" i="63"/>
  <c r="N30" i="63"/>
  <c r="L30" i="63"/>
  <c r="N29" i="63"/>
  <c r="L29" i="63"/>
  <c r="N28" i="63"/>
  <c r="L28" i="63"/>
  <c r="N26" i="63"/>
  <c r="N25" i="63"/>
  <c r="N24" i="63"/>
  <c r="N23" i="63"/>
  <c r="C17" i="63"/>
  <c r="C18" i="63" s="1"/>
  <c r="C19" i="63" s="1"/>
  <c r="C20" i="63" s="1"/>
  <c r="C21" i="63" s="1"/>
  <c r="C22" i="63" s="1"/>
  <c r="C23" i="63" s="1"/>
  <c r="C24" i="63" s="1"/>
  <c r="C25" i="63" s="1"/>
  <c r="C26" i="63" s="1"/>
  <c r="C27" i="63" s="1"/>
  <c r="C28" i="63" s="1"/>
  <c r="C29" i="63" s="1"/>
  <c r="C30" i="63" s="1"/>
  <c r="C31" i="63" s="1"/>
  <c r="C32" i="63" s="1"/>
  <c r="C33" i="63" s="1"/>
  <c r="C34" i="63" s="1"/>
  <c r="C35" i="63" s="1"/>
  <c r="C36" i="63" s="1"/>
  <c r="C37" i="63" s="1"/>
  <c r="C38" i="63" s="1"/>
  <c r="C39" i="63" s="1"/>
  <c r="C40" i="63" s="1"/>
  <c r="C41" i="63" s="1"/>
  <c r="C42" i="63" s="1"/>
  <c r="C43" i="63" s="1"/>
  <c r="C44" i="63" s="1"/>
  <c r="K11" i="63"/>
  <c r="I11" i="63"/>
  <c r="D8" i="63"/>
  <c r="D90" i="63" s="1"/>
  <c r="P154" i="62"/>
  <c r="O154" i="62"/>
  <c r="M154" i="62"/>
  <c r="P153" i="62"/>
  <c r="O153" i="62"/>
  <c r="M153" i="62"/>
  <c r="P152" i="62"/>
  <c r="O152" i="62"/>
  <c r="M152" i="62"/>
  <c r="P151" i="62"/>
  <c r="O151" i="62"/>
  <c r="M151" i="62"/>
  <c r="P150" i="62"/>
  <c r="O150" i="62"/>
  <c r="M150" i="62"/>
  <c r="P149" i="62"/>
  <c r="O149" i="62"/>
  <c r="M149" i="62"/>
  <c r="P148" i="62"/>
  <c r="O148" i="62"/>
  <c r="M148" i="62"/>
  <c r="P147" i="62"/>
  <c r="O147" i="62"/>
  <c r="M147" i="62"/>
  <c r="P146" i="62"/>
  <c r="O146" i="62"/>
  <c r="M146" i="62"/>
  <c r="P145" i="62"/>
  <c r="O145" i="62"/>
  <c r="M145" i="62"/>
  <c r="P144" i="62"/>
  <c r="O144" i="62"/>
  <c r="M144" i="62"/>
  <c r="P143" i="62"/>
  <c r="O143" i="62"/>
  <c r="M143" i="62"/>
  <c r="P142" i="62"/>
  <c r="O142" i="62"/>
  <c r="M142" i="62"/>
  <c r="P141" i="62"/>
  <c r="O141" i="62"/>
  <c r="M141" i="62"/>
  <c r="P140" i="62"/>
  <c r="O140" i="62"/>
  <c r="M140" i="62"/>
  <c r="P139" i="62"/>
  <c r="O139" i="62"/>
  <c r="M139" i="62"/>
  <c r="P138" i="62"/>
  <c r="O138" i="62"/>
  <c r="M138" i="62"/>
  <c r="P137" i="62"/>
  <c r="O137" i="62"/>
  <c r="M137" i="62"/>
  <c r="P136" i="62"/>
  <c r="O136" i="62"/>
  <c r="M136" i="62"/>
  <c r="P135" i="62"/>
  <c r="O135" i="62"/>
  <c r="M135" i="62"/>
  <c r="P134" i="62"/>
  <c r="O134" i="62"/>
  <c r="M134" i="62"/>
  <c r="P133" i="62"/>
  <c r="O133" i="62"/>
  <c r="M133" i="62"/>
  <c r="P132" i="62"/>
  <c r="O132" i="62"/>
  <c r="M132" i="62"/>
  <c r="P131" i="62"/>
  <c r="O131" i="62"/>
  <c r="M131" i="62"/>
  <c r="O130" i="62"/>
  <c r="M130" i="62"/>
  <c r="O129" i="62"/>
  <c r="M129" i="62"/>
  <c r="O128" i="62"/>
  <c r="M128" i="62"/>
  <c r="O127" i="62"/>
  <c r="M127" i="62"/>
  <c r="O126" i="62"/>
  <c r="M126" i="62"/>
  <c r="O125" i="62"/>
  <c r="M125" i="62"/>
  <c r="O124" i="62"/>
  <c r="M124" i="62"/>
  <c r="O123" i="62"/>
  <c r="M123" i="62"/>
  <c r="O122" i="62"/>
  <c r="M122" i="62"/>
  <c r="O121" i="62"/>
  <c r="M121" i="62"/>
  <c r="O120" i="62"/>
  <c r="M120" i="62"/>
  <c r="O119" i="62"/>
  <c r="M119" i="62"/>
  <c r="O118" i="62"/>
  <c r="M118" i="62"/>
  <c r="O117" i="62"/>
  <c r="M117" i="62"/>
  <c r="O116" i="62"/>
  <c r="M116" i="62"/>
  <c r="O115" i="62"/>
  <c r="M115" i="62"/>
  <c r="O114" i="62"/>
  <c r="M114" i="62"/>
  <c r="O113" i="62"/>
  <c r="M113" i="62"/>
  <c r="O112" i="62"/>
  <c r="M112" i="62"/>
  <c r="O111" i="62"/>
  <c r="M111" i="62"/>
  <c r="O110" i="62"/>
  <c r="M110" i="62"/>
  <c r="O109" i="62"/>
  <c r="M109" i="62"/>
  <c r="O108" i="62"/>
  <c r="M108" i="62"/>
  <c r="O106" i="62"/>
  <c r="O105" i="62"/>
  <c r="O104" i="62"/>
  <c r="D96" i="62"/>
  <c r="L93" i="62"/>
  <c r="J93" i="62"/>
  <c r="D91" i="62"/>
  <c r="D89" i="62"/>
  <c r="N72" i="62"/>
  <c r="L72" i="62"/>
  <c r="N71" i="62"/>
  <c r="L71" i="62"/>
  <c r="N70" i="62"/>
  <c r="L70" i="62"/>
  <c r="N69" i="62"/>
  <c r="L69" i="62"/>
  <c r="N68" i="62"/>
  <c r="L68" i="62"/>
  <c r="N67" i="62"/>
  <c r="L67" i="62"/>
  <c r="N66" i="62"/>
  <c r="L66" i="62"/>
  <c r="N65" i="62"/>
  <c r="L65" i="62"/>
  <c r="N64" i="62"/>
  <c r="L64" i="62"/>
  <c r="N63" i="62"/>
  <c r="L63" i="62"/>
  <c r="N62" i="62"/>
  <c r="L62" i="62"/>
  <c r="N61" i="62"/>
  <c r="L61" i="62"/>
  <c r="N60" i="62"/>
  <c r="L60" i="62"/>
  <c r="N59" i="62"/>
  <c r="L59" i="62"/>
  <c r="N58" i="62"/>
  <c r="L58" i="62"/>
  <c r="N57" i="62"/>
  <c r="L57" i="62"/>
  <c r="N56" i="62"/>
  <c r="L56" i="62"/>
  <c r="N55" i="62"/>
  <c r="L55" i="62"/>
  <c r="N54" i="62"/>
  <c r="L54" i="62"/>
  <c r="N53" i="62"/>
  <c r="L53" i="62"/>
  <c r="N52" i="62"/>
  <c r="L52" i="62"/>
  <c r="N51" i="62"/>
  <c r="L51" i="62"/>
  <c r="N50" i="62"/>
  <c r="L50" i="62"/>
  <c r="N49" i="62"/>
  <c r="L49" i="62"/>
  <c r="N48" i="62"/>
  <c r="L48" i="62"/>
  <c r="N47" i="62"/>
  <c r="L47" i="62"/>
  <c r="N46" i="62"/>
  <c r="L46" i="62"/>
  <c r="N45" i="62"/>
  <c r="L45" i="62"/>
  <c r="N44" i="62"/>
  <c r="L44" i="62"/>
  <c r="N43" i="62"/>
  <c r="L43" i="62"/>
  <c r="N42" i="62"/>
  <c r="L42" i="62"/>
  <c r="N41" i="62"/>
  <c r="L41" i="62"/>
  <c r="N40" i="62"/>
  <c r="L40" i="62"/>
  <c r="N39" i="62"/>
  <c r="L39" i="62"/>
  <c r="N38" i="62"/>
  <c r="L38" i="62"/>
  <c r="N37" i="62"/>
  <c r="L37" i="62"/>
  <c r="N36" i="62"/>
  <c r="L36" i="62"/>
  <c r="N35" i="62"/>
  <c r="L35" i="62"/>
  <c r="N34" i="62"/>
  <c r="L34" i="62"/>
  <c r="N33" i="62"/>
  <c r="L33" i="62"/>
  <c r="N32" i="62"/>
  <c r="L32" i="62"/>
  <c r="N31" i="62"/>
  <c r="L31" i="62"/>
  <c r="N30" i="62"/>
  <c r="L30" i="62"/>
  <c r="N29" i="62"/>
  <c r="L29" i="62"/>
  <c r="N28" i="62"/>
  <c r="L28" i="62"/>
  <c r="N26" i="62"/>
  <c r="N25" i="62"/>
  <c r="N24" i="62"/>
  <c r="N23" i="62"/>
  <c r="O23" i="62" s="1"/>
  <c r="C17" i="62"/>
  <c r="C18" i="62" s="1"/>
  <c r="C19" i="62" s="1"/>
  <c r="C20" i="62" s="1"/>
  <c r="C21" i="62" s="1"/>
  <c r="C22" i="62" s="1"/>
  <c r="C23" i="62" s="1"/>
  <c r="C24" i="62" s="1"/>
  <c r="C25" i="62" s="1"/>
  <c r="C26" i="62" s="1"/>
  <c r="C27" i="62" s="1"/>
  <c r="C28" i="62" s="1"/>
  <c r="C29" i="62" s="1"/>
  <c r="C30" i="62" s="1"/>
  <c r="C31" i="62" s="1"/>
  <c r="C32" i="62" s="1"/>
  <c r="C33" i="62" s="1"/>
  <c r="C34" i="62" s="1"/>
  <c r="C35" i="62" s="1"/>
  <c r="C36" i="62" s="1"/>
  <c r="C37" i="62" s="1"/>
  <c r="C38" i="62" s="1"/>
  <c r="C39" i="62" s="1"/>
  <c r="C40" i="62" s="1"/>
  <c r="C41" i="62" s="1"/>
  <c r="C42" i="62" s="1"/>
  <c r="C43" i="62" s="1"/>
  <c r="C44" i="62" s="1"/>
  <c r="K11" i="62"/>
  <c r="I11" i="62"/>
  <c r="D8" i="62"/>
  <c r="D90" i="62" s="1"/>
  <c r="P154" i="61"/>
  <c r="O154" i="61"/>
  <c r="M154" i="61"/>
  <c r="P153" i="61"/>
  <c r="O153" i="61"/>
  <c r="M153" i="61"/>
  <c r="P152" i="61"/>
  <c r="O152" i="61"/>
  <c r="M152" i="61"/>
  <c r="P151" i="61"/>
  <c r="O151" i="61"/>
  <c r="M151" i="61"/>
  <c r="P150" i="61"/>
  <c r="O150" i="61"/>
  <c r="M150" i="61"/>
  <c r="P149" i="61"/>
  <c r="O149" i="61"/>
  <c r="M149" i="61"/>
  <c r="P148" i="61"/>
  <c r="O148" i="61"/>
  <c r="M148" i="61"/>
  <c r="P147" i="61"/>
  <c r="O147" i="61"/>
  <c r="M147" i="61"/>
  <c r="P146" i="61"/>
  <c r="O146" i="61"/>
  <c r="M146" i="61"/>
  <c r="P145" i="61"/>
  <c r="O145" i="61"/>
  <c r="M145" i="61"/>
  <c r="P144" i="61"/>
  <c r="O144" i="61"/>
  <c r="M144" i="61"/>
  <c r="P143" i="61"/>
  <c r="O143" i="61"/>
  <c r="M143" i="61"/>
  <c r="P142" i="61"/>
  <c r="O142" i="61"/>
  <c r="M142" i="61"/>
  <c r="P141" i="61"/>
  <c r="O141" i="61"/>
  <c r="M141" i="61"/>
  <c r="P140" i="61"/>
  <c r="O140" i="61"/>
  <c r="M140" i="61"/>
  <c r="P139" i="61"/>
  <c r="O139" i="61"/>
  <c r="M139" i="61"/>
  <c r="P138" i="61"/>
  <c r="O138" i="61"/>
  <c r="M138" i="61"/>
  <c r="P137" i="61"/>
  <c r="O137" i="61"/>
  <c r="M137" i="61"/>
  <c r="P136" i="61"/>
  <c r="O136" i="61"/>
  <c r="M136" i="61"/>
  <c r="P135" i="61"/>
  <c r="O135" i="61"/>
  <c r="M135" i="61"/>
  <c r="P134" i="61"/>
  <c r="O134" i="61"/>
  <c r="M134" i="61"/>
  <c r="P133" i="61"/>
  <c r="O133" i="61"/>
  <c r="M133" i="61"/>
  <c r="P132" i="61"/>
  <c r="O132" i="61"/>
  <c r="M132" i="61"/>
  <c r="P131" i="61"/>
  <c r="O131" i="61"/>
  <c r="M131" i="61"/>
  <c r="O130" i="61"/>
  <c r="M130" i="61"/>
  <c r="O129" i="61"/>
  <c r="M129" i="61"/>
  <c r="O128" i="61"/>
  <c r="M128" i="61"/>
  <c r="O127" i="61"/>
  <c r="M127" i="61"/>
  <c r="O126" i="61"/>
  <c r="M126" i="61"/>
  <c r="O125" i="61"/>
  <c r="M125" i="61"/>
  <c r="O124" i="61"/>
  <c r="M124" i="61"/>
  <c r="O123" i="61"/>
  <c r="M123" i="61"/>
  <c r="O122" i="61"/>
  <c r="M122" i="61"/>
  <c r="O121" i="61"/>
  <c r="M121" i="61"/>
  <c r="O120" i="61"/>
  <c r="M120" i="61"/>
  <c r="O119" i="61"/>
  <c r="M119" i="61"/>
  <c r="O118" i="61"/>
  <c r="M118" i="61"/>
  <c r="O117" i="61"/>
  <c r="M117" i="61"/>
  <c r="O116" i="61"/>
  <c r="M116" i="61"/>
  <c r="O115" i="61"/>
  <c r="M115" i="61"/>
  <c r="O114" i="61"/>
  <c r="M114" i="61"/>
  <c r="O113" i="61"/>
  <c r="M113" i="61"/>
  <c r="O112" i="61"/>
  <c r="M112" i="61"/>
  <c r="O111" i="61"/>
  <c r="M111" i="61"/>
  <c r="O110" i="61"/>
  <c r="M110" i="61"/>
  <c r="O109" i="61"/>
  <c r="M109" i="61"/>
  <c r="O108" i="61"/>
  <c r="M108" i="61"/>
  <c r="O106" i="61"/>
  <c r="O105" i="61"/>
  <c r="O104" i="61"/>
  <c r="D96" i="61"/>
  <c r="L93" i="61"/>
  <c r="J93" i="61"/>
  <c r="D91" i="61"/>
  <c r="D89" i="61"/>
  <c r="N72" i="61"/>
  <c r="L72" i="61"/>
  <c r="N71" i="61"/>
  <c r="L71" i="61"/>
  <c r="N70" i="61"/>
  <c r="L70" i="61"/>
  <c r="N69" i="61"/>
  <c r="L69" i="61"/>
  <c r="N68" i="61"/>
  <c r="L68" i="61"/>
  <c r="N67" i="61"/>
  <c r="L67" i="61"/>
  <c r="N66" i="61"/>
  <c r="L66" i="61"/>
  <c r="N65" i="61"/>
  <c r="L65" i="61"/>
  <c r="N64" i="61"/>
  <c r="L64" i="61"/>
  <c r="N63" i="61"/>
  <c r="L63" i="61"/>
  <c r="N62" i="61"/>
  <c r="L62" i="61"/>
  <c r="N61" i="61"/>
  <c r="L61" i="61"/>
  <c r="N60" i="61"/>
  <c r="L60" i="61"/>
  <c r="N59" i="61"/>
  <c r="L59" i="61"/>
  <c r="N58" i="61"/>
  <c r="L58" i="61"/>
  <c r="N57" i="61"/>
  <c r="L57" i="61"/>
  <c r="N56" i="61"/>
  <c r="L56" i="61"/>
  <c r="N55" i="61"/>
  <c r="L55" i="61"/>
  <c r="N54" i="61"/>
  <c r="L54" i="61"/>
  <c r="N53" i="61"/>
  <c r="L53" i="61"/>
  <c r="N52" i="61"/>
  <c r="L52" i="61"/>
  <c r="N51" i="61"/>
  <c r="L51" i="61"/>
  <c r="N50" i="61"/>
  <c r="L50" i="61"/>
  <c r="N49" i="61"/>
  <c r="L49" i="61"/>
  <c r="N48" i="61"/>
  <c r="L48" i="61"/>
  <c r="N47" i="61"/>
  <c r="L47" i="61"/>
  <c r="N46" i="61"/>
  <c r="L46" i="61"/>
  <c r="N45" i="61"/>
  <c r="L45" i="61"/>
  <c r="N44" i="61"/>
  <c r="L44" i="61"/>
  <c r="N43" i="61"/>
  <c r="L43" i="61"/>
  <c r="N42" i="61"/>
  <c r="L42" i="61"/>
  <c r="N41" i="61"/>
  <c r="L41" i="61"/>
  <c r="N40" i="61"/>
  <c r="L40" i="61"/>
  <c r="N39" i="61"/>
  <c r="L39" i="61"/>
  <c r="N38" i="61"/>
  <c r="L38" i="61"/>
  <c r="N37" i="61"/>
  <c r="L37" i="61"/>
  <c r="N36" i="61"/>
  <c r="L36" i="61"/>
  <c r="N35" i="61"/>
  <c r="L35" i="61"/>
  <c r="N34" i="61"/>
  <c r="L34" i="61"/>
  <c r="N33" i="61"/>
  <c r="L33" i="61"/>
  <c r="N32" i="61"/>
  <c r="L32" i="61"/>
  <c r="N31" i="61"/>
  <c r="L31" i="61"/>
  <c r="N30" i="61"/>
  <c r="L30" i="61"/>
  <c r="N29" i="61"/>
  <c r="L29" i="61"/>
  <c r="N28" i="61"/>
  <c r="L28" i="61"/>
  <c r="N26" i="61"/>
  <c r="N25" i="61"/>
  <c r="N24" i="61"/>
  <c r="O24" i="61" s="1"/>
  <c r="N23" i="61"/>
  <c r="C17" i="61"/>
  <c r="C18" i="61" s="1"/>
  <c r="C19" i="61" s="1"/>
  <c r="C20" i="61" s="1"/>
  <c r="C21" i="61" s="1"/>
  <c r="C22" i="61" s="1"/>
  <c r="C23" i="61" s="1"/>
  <c r="C24" i="61" s="1"/>
  <c r="C25" i="61" s="1"/>
  <c r="C26" i="61" s="1"/>
  <c r="C27" i="61" s="1"/>
  <c r="C28" i="61" s="1"/>
  <c r="C29" i="61" s="1"/>
  <c r="C30" i="61" s="1"/>
  <c r="C31" i="61" s="1"/>
  <c r="C32" i="61" s="1"/>
  <c r="C33" i="61" s="1"/>
  <c r="C34" i="61" s="1"/>
  <c r="C35" i="61" s="1"/>
  <c r="C36" i="61" s="1"/>
  <c r="C37" i="61" s="1"/>
  <c r="C38" i="61" s="1"/>
  <c r="C39" i="61" s="1"/>
  <c r="C40" i="61" s="1"/>
  <c r="C41" i="61" s="1"/>
  <c r="C42" i="61" s="1"/>
  <c r="C43" i="61" s="1"/>
  <c r="C44" i="61" s="1"/>
  <c r="K11" i="61"/>
  <c r="I11" i="61"/>
  <c r="D8" i="61"/>
  <c r="D90" i="61" s="1"/>
  <c r="P154" i="60"/>
  <c r="O154" i="60"/>
  <c r="M154" i="60"/>
  <c r="P153" i="60"/>
  <c r="O153" i="60"/>
  <c r="M153" i="60"/>
  <c r="P152" i="60"/>
  <c r="O152" i="60"/>
  <c r="M152" i="60"/>
  <c r="P151" i="60"/>
  <c r="O151" i="60"/>
  <c r="M151" i="60"/>
  <c r="P150" i="60"/>
  <c r="O150" i="60"/>
  <c r="M150" i="60"/>
  <c r="P149" i="60"/>
  <c r="O149" i="60"/>
  <c r="M149" i="60"/>
  <c r="P148" i="60"/>
  <c r="O148" i="60"/>
  <c r="M148" i="60"/>
  <c r="P147" i="60"/>
  <c r="O147" i="60"/>
  <c r="M147" i="60"/>
  <c r="P146" i="60"/>
  <c r="O146" i="60"/>
  <c r="M146" i="60"/>
  <c r="P145" i="60"/>
  <c r="O145" i="60"/>
  <c r="M145" i="60"/>
  <c r="P144" i="60"/>
  <c r="O144" i="60"/>
  <c r="M144" i="60"/>
  <c r="P143" i="60"/>
  <c r="O143" i="60"/>
  <c r="M143" i="60"/>
  <c r="P142" i="60"/>
  <c r="O142" i="60"/>
  <c r="M142" i="60"/>
  <c r="P141" i="60"/>
  <c r="O141" i="60"/>
  <c r="M141" i="60"/>
  <c r="P140" i="60"/>
  <c r="O140" i="60"/>
  <c r="M140" i="60"/>
  <c r="P139" i="60"/>
  <c r="O139" i="60"/>
  <c r="M139" i="60"/>
  <c r="P138" i="60"/>
  <c r="O138" i="60"/>
  <c r="M138" i="60"/>
  <c r="P137" i="60"/>
  <c r="O137" i="60"/>
  <c r="M137" i="60"/>
  <c r="P136" i="60"/>
  <c r="O136" i="60"/>
  <c r="M136" i="60"/>
  <c r="P135" i="60"/>
  <c r="O135" i="60"/>
  <c r="M135" i="60"/>
  <c r="P134" i="60"/>
  <c r="O134" i="60"/>
  <c r="M134" i="60"/>
  <c r="P133" i="60"/>
  <c r="O133" i="60"/>
  <c r="M133" i="60"/>
  <c r="P132" i="60"/>
  <c r="O132" i="60"/>
  <c r="M132" i="60"/>
  <c r="P131" i="60"/>
  <c r="O131" i="60"/>
  <c r="M131" i="60"/>
  <c r="O130" i="60"/>
  <c r="M130" i="60"/>
  <c r="O129" i="60"/>
  <c r="M129" i="60"/>
  <c r="O128" i="60"/>
  <c r="M128" i="60"/>
  <c r="O127" i="60"/>
  <c r="M127" i="60"/>
  <c r="O126" i="60"/>
  <c r="M126" i="60"/>
  <c r="O125" i="60"/>
  <c r="M125" i="60"/>
  <c r="O124" i="60"/>
  <c r="M124" i="60"/>
  <c r="O123" i="60"/>
  <c r="M123" i="60"/>
  <c r="O122" i="60"/>
  <c r="M122" i="60"/>
  <c r="O121" i="60"/>
  <c r="M121" i="60"/>
  <c r="O120" i="60"/>
  <c r="M120" i="60"/>
  <c r="O119" i="60"/>
  <c r="M119" i="60"/>
  <c r="O118" i="60"/>
  <c r="M118" i="60"/>
  <c r="O117" i="60"/>
  <c r="M117" i="60"/>
  <c r="O116" i="60"/>
  <c r="M116" i="60"/>
  <c r="O115" i="60"/>
  <c r="M115" i="60"/>
  <c r="O114" i="60"/>
  <c r="M114" i="60"/>
  <c r="O113" i="60"/>
  <c r="M113" i="60"/>
  <c r="O112" i="60"/>
  <c r="M112" i="60"/>
  <c r="O111" i="60"/>
  <c r="M111" i="60"/>
  <c r="O110" i="60"/>
  <c r="M110" i="60"/>
  <c r="O109" i="60"/>
  <c r="M109" i="60"/>
  <c r="O108" i="60"/>
  <c r="M108" i="60"/>
  <c r="O106" i="60"/>
  <c r="O105" i="60"/>
  <c r="O104" i="60"/>
  <c r="D96" i="60"/>
  <c r="L93" i="60"/>
  <c r="J93" i="60"/>
  <c r="D91" i="60"/>
  <c r="D89" i="60"/>
  <c r="N72" i="60"/>
  <c r="L72" i="60"/>
  <c r="N71" i="60"/>
  <c r="L71" i="60"/>
  <c r="N70" i="60"/>
  <c r="L70" i="60"/>
  <c r="N69" i="60"/>
  <c r="L69" i="60"/>
  <c r="N68" i="60"/>
  <c r="L68" i="60"/>
  <c r="N67" i="60"/>
  <c r="L67" i="60"/>
  <c r="N66" i="60"/>
  <c r="L66" i="60"/>
  <c r="N65" i="60"/>
  <c r="L65" i="60"/>
  <c r="N64" i="60"/>
  <c r="L64" i="60"/>
  <c r="N63" i="60"/>
  <c r="L63" i="60"/>
  <c r="N62" i="60"/>
  <c r="L62" i="60"/>
  <c r="N61" i="60"/>
  <c r="L61" i="60"/>
  <c r="N60" i="60"/>
  <c r="L60" i="60"/>
  <c r="N59" i="60"/>
  <c r="L59" i="60"/>
  <c r="N58" i="60"/>
  <c r="L58" i="60"/>
  <c r="N57" i="60"/>
  <c r="L57" i="60"/>
  <c r="N56" i="60"/>
  <c r="L56" i="60"/>
  <c r="N55" i="60"/>
  <c r="L55" i="60"/>
  <c r="N54" i="60"/>
  <c r="L54" i="60"/>
  <c r="N53" i="60"/>
  <c r="L53" i="60"/>
  <c r="N52" i="60"/>
  <c r="L52" i="60"/>
  <c r="N51" i="60"/>
  <c r="L51" i="60"/>
  <c r="N50" i="60"/>
  <c r="L50" i="60"/>
  <c r="N49" i="60"/>
  <c r="L49" i="60"/>
  <c r="N48" i="60"/>
  <c r="L48" i="60"/>
  <c r="N47" i="60"/>
  <c r="L47" i="60"/>
  <c r="N46" i="60"/>
  <c r="L46" i="60"/>
  <c r="N45" i="60"/>
  <c r="L45" i="60"/>
  <c r="N44" i="60"/>
  <c r="L44" i="60"/>
  <c r="N43" i="60"/>
  <c r="L43" i="60"/>
  <c r="N42" i="60"/>
  <c r="L42" i="60"/>
  <c r="N41" i="60"/>
  <c r="L41" i="60"/>
  <c r="N40" i="60"/>
  <c r="L40" i="60"/>
  <c r="N39" i="60"/>
  <c r="L39" i="60"/>
  <c r="N38" i="60"/>
  <c r="L38" i="60"/>
  <c r="N37" i="60"/>
  <c r="L37" i="60"/>
  <c r="N36" i="60"/>
  <c r="L36" i="60"/>
  <c r="N35" i="60"/>
  <c r="L35" i="60"/>
  <c r="N34" i="60"/>
  <c r="L34" i="60"/>
  <c r="N33" i="60"/>
  <c r="L33" i="60"/>
  <c r="N32" i="60"/>
  <c r="L32" i="60"/>
  <c r="N31" i="60"/>
  <c r="L31" i="60"/>
  <c r="N30" i="60"/>
  <c r="L30" i="60"/>
  <c r="N29" i="60"/>
  <c r="L29" i="60"/>
  <c r="N28" i="60"/>
  <c r="L28" i="60"/>
  <c r="N26" i="60"/>
  <c r="N25" i="60"/>
  <c r="N24" i="60"/>
  <c r="N23" i="60"/>
  <c r="C17" i="60"/>
  <c r="C18" i="60" s="1"/>
  <c r="C19" i="60" s="1"/>
  <c r="C20" i="60" s="1"/>
  <c r="C21" i="60" s="1"/>
  <c r="C22" i="60" s="1"/>
  <c r="C23" i="60" s="1"/>
  <c r="C24" i="60" s="1"/>
  <c r="C25" i="60" s="1"/>
  <c r="C26" i="60" s="1"/>
  <c r="C27" i="60" s="1"/>
  <c r="C28" i="60" s="1"/>
  <c r="C29" i="60" s="1"/>
  <c r="C30" i="60" s="1"/>
  <c r="C31" i="60" s="1"/>
  <c r="C32" i="60" s="1"/>
  <c r="C33" i="60" s="1"/>
  <c r="C34" i="60" s="1"/>
  <c r="C35" i="60" s="1"/>
  <c r="C36" i="60" s="1"/>
  <c r="C37" i="60" s="1"/>
  <c r="C38" i="60" s="1"/>
  <c r="C39" i="60" s="1"/>
  <c r="C40" i="60" s="1"/>
  <c r="C41" i="60" s="1"/>
  <c r="C42" i="60" s="1"/>
  <c r="C43" i="60" s="1"/>
  <c r="C44" i="60" s="1"/>
  <c r="C45" i="60" s="1"/>
  <c r="C46" i="60" s="1"/>
  <c r="C47" i="60" s="1"/>
  <c r="C48" i="60" s="1"/>
  <c r="C49" i="60" s="1"/>
  <c r="C50" i="60" s="1"/>
  <c r="C51" i="60" s="1"/>
  <c r="C52" i="60" s="1"/>
  <c r="C53" i="60" s="1"/>
  <c r="C54" i="60" s="1"/>
  <c r="C55" i="60" s="1"/>
  <c r="C56" i="60" s="1"/>
  <c r="C57" i="60" s="1"/>
  <c r="C58" i="60" s="1"/>
  <c r="C59" i="60" s="1"/>
  <c r="C60" i="60" s="1"/>
  <c r="C61" i="60" s="1"/>
  <c r="C62" i="60" s="1"/>
  <c r="C63" i="60" s="1"/>
  <c r="C64" i="60" s="1"/>
  <c r="C65" i="60" s="1"/>
  <c r="C66" i="60" s="1"/>
  <c r="C67" i="60" s="1"/>
  <c r="C68" i="60" s="1"/>
  <c r="C69" i="60" s="1"/>
  <c r="C70" i="60" s="1"/>
  <c r="C71" i="60" s="1"/>
  <c r="C72" i="60" s="1"/>
  <c r="K11" i="60"/>
  <c r="I11" i="60"/>
  <c r="D8" i="60"/>
  <c r="D90" i="60" s="1"/>
  <c r="P154" i="59"/>
  <c r="O154" i="59"/>
  <c r="M154" i="59"/>
  <c r="P153" i="59"/>
  <c r="O153" i="59"/>
  <c r="M153" i="59"/>
  <c r="P152" i="59"/>
  <c r="O152" i="59"/>
  <c r="M152" i="59"/>
  <c r="P151" i="59"/>
  <c r="O151" i="59"/>
  <c r="M151" i="59"/>
  <c r="P150" i="59"/>
  <c r="O150" i="59"/>
  <c r="M150" i="59"/>
  <c r="P149" i="59"/>
  <c r="O149" i="59"/>
  <c r="M149" i="59"/>
  <c r="P148" i="59"/>
  <c r="O148" i="59"/>
  <c r="M148" i="59"/>
  <c r="P147" i="59"/>
  <c r="O147" i="59"/>
  <c r="M147" i="59"/>
  <c r="P146" i="59"/>
  <c r="O146" i="59"/>
  <c r="M146" i="59"/>
  <c r="P145" i="59"/>
  <c r="O145" i="59"/>
  <c r="M145" i="59"/>
  <c r="P144" i="59"/>
  <c r="O144" i="59"/>
  <c r="M144" i="59"/>
  <c r="P143" i="59"/>
  <c r="O143" i="59"/>
  <c r="M143" i="59"/>
  <c r="P142" i="59"/>
  <c r="O142" i="59"/>
  <c r="M142" i="59"/>
  <c r="P141" i="59"/>
  <c r="O141" i="59"/>
  <c r="M141" i="59"/>
  <c r="P140" i="59"/>
  <c r="O140" i="59"/>
  <c r="M140" i="59"/>
  <c r="P139" i="59"/>
  <c r="O139" i="59"/>
  <c r="M139" i="59"/>
  <c r="P138" i="59"/>
  <c r="O138" i="59"/>
  <c r="M138" i="59"/>
  <c r="P137" i="59"/>
  <c r="O137" i="59"/>
  <c r="M137" i="59"/>
  <c r="P136" i="59"/>
  <c r="O136" i="59"/>
  <c r="M136" i="59"/>
  <c r="P135" i="59"/>
  <c r="O135" i="59"/>
  <c r="M135" i="59"/>
  <c r="P134" i="59"/>
  <c r="O134" i="59"/>
  <c r="M134" i="59"/>
  <c r="P133" i="59"/>
  <c r="O133" i="59"/>
  <c r="M133" i="59"/>
  <c r="P132" i="59"/>
  <c r="O132" i="59"/>
  <c r="M132" i="59"/>
  <c r="P131" i="59"/>
  <c r="O131" i="59"/>
  <c r="M131" i="59"/>
  <c r="O130" i="59"/>
  <c r="M130" i="59"/>
  <c r="O129" i="59"/>
  <c r="M129" i="59"/>
  <c r="O128" i="59"/>
  <c r="M128" i="59"/>
  <c r="O127" i="59"/>
  <c r="M127" i="59"/>
  <c r="O126" i="59"/>
  <c r="M126" i="59"/>
  <c r="O125" i="59"/>
  <c r="M125" i="59"/>
  <c r="O124" i="59"/>
  <c r="M124" i="59"/>
  <c r="O123" i="59"/>
  <c r="M123" i="59"/>
  <c r="O122" i="59"/>
  <c r="M122" i="59"/>
  <c r="O121" i="59"/>
  <c r="M121" i="59"/>
  <c r="O120" i="59"/>
  <c r="M120" i="59"/>
  <c r="O119" i="59"/>
  <c r="M119" i="59"/>
  <c r="O118" i="59"/>
  <c r="M118" i="59"/>
  <c r="O117" i="59"/>
  <c r="M117" i="59"/>
  <c r="O116" i="59"/>
  <c r="M116" i="59"/>
  <c r="O115" i="59"/>
  <c r="M115" i="59"/>
  <c r="O114" i="59"/>
  <c r="M114" i="59"/>
  <c r="O113" i="59"/>
  <c r="M113" i="59"/>
  <c r="O112" i="59"/>
  <c r="M112" i="59"/>
  <c r="O111" i="59"/>
  <c r="M111" i="59"/>
  <c r="O110" i="59"/>
  <c r="M110" i="59"/>
  <c r="O109" i="59"/>
  <c r="M109" i="59"/>
  <c r="O108" i="59"/>
  <c r="M108" i="59"/>
  <c r="O106" i="59"/>
  <c r="O105" i="59"/>
  <c r="O104" i="59"/>
  <c r="D96" i="59"/>
  <c r="L93" i="59"/>
  <c r="J93" i="59"/>
  <c r="D91" i="59"/>
  <c r="D89" i="59"/>
  <c r="N72" i="59"/>
  <c r="L72" i="59"/>
  <c r="N71" i="59"/>
  <c r="L71" i="59"/>
  <c r="N70" i="59"/>
  <c r="L70" i="59"/>
  <c r="N69" i="59"/>
  <c r="L69" i="59"/>
  <c r="N68" i="59"/>
  <c r="L68" i="59"/>
  <c r="N67" i="59"/>
  <c r="L67" i="59"/>
  <c r="N66" i="59"/>
  <c r="L66" i="59"/>
  <c r="N65" i="59"/>
  <c r="L65" i="59"/>
  <c r="N64" i="59"/>
  <c r="L64" i="59"/>
  <c r="N63" i="59"/>
  <c r="L63" i="59"/>
  <c r="N62" i="59"/>
  <c r="L62" i="59"/>
  <c r="N61" i="59"/>
  <c r="L61" i="59"/>
  <c r="N60" i="59"/>
  <c r="L60" i="59"/>
  <c r="N59" i="59"/>
  <c r="L59" i="59"/>
  <c r="N58" i="59"/>
  <c r="L58" i="59"/>
  <c r="N57" i="59"/>
  <c r="L57" i="59"/>
  <c r="N56" i="59"/>
  <c r="L56" i="59"/>
  <c r="N55" i="59"/>
  <c r="L55" i="59"/>
  <c r="N54" i="59"/>
  <c r="L54" i="59"/>
  <c r="N53" i="59"/>
  <c r="L53" i="59"/>
  <c r="N52" i="59"/>
  <c r="L52" i="59"/>
  <c r="N51" i="59"/>
  <c r="L51" i="59"/>
  <c r="N50" i="59"/>
  <c r="L50" i="59"/>
  <c r="N49" i="59"/>
  <c r="L49" i="59"/>
  <c r="N48" i="59"/>
  <c r="L48" i="59"/>
  <c r="N47" i="59"/>
  <c r="L47" i="59"/>
  <c r="N46" i="59"/>
  <c r="L46" i="59"/>
  <c r="N45" i="59"/>
  <c r="L45" i="59"/>
  <c r="N44" i="59"/>
  <c r="L44" i="59"/>
  <c r="N43" i="59"/>
  <c r="L43" i="59"/>
  <c r="N42" i="59"/>
  <c r="L42" i="59"/>
  <c r="N41" i="59"/>
  <c r="L41" i="59"/>
  <c r="N40" i="59"/>
  <c r="L40" i="59"/>
  <c r="N39" i="59"/>
  <c r="L39" i="59"/>
  <c r="N38" i="59"/>
  <c r="L38" i="59"/>
  <c r="N37" i="59"/>
  <c r="L37" i="59"/>
  <c r="N36" i="59"/>
  <c r="L36" i="59"/>
  <c r="N35" i="59"/>
  <c r="L35" i="59"/>
  <c r="N34" i="59"/>
  <c r="L34" i="59"/>
  <c r="N33" i="59"/>
  <c r="L33" i="59"/>
  <c r="N32" i="59"/>
  <c r="L32" i="59"/>
  <c r="N31" i="59"/>
  <c r="L31" i="59"/>
  <c r="N30" i="59"/>
  <c r="L30" i="59"/>
  <c r="N29" i="59"/>
  <c r="L29" i="59"/>
  <c r="N28" i="59"/>
  <c r="L28" i="59"/>
  <c r="N26" i="59"/>
  <c r="N25" i="59"/>
  <c r="N24" i="59"/>
  <c r="O24" i="59" s="1"/>
  <c r="N23" i="59"/>
  <c r="C17" i="59"/>
  <c r="C18" i="59" s="1"/>
  <c r="C19" i="59" s="1"/>
  <c r="C20" i="59" s="1"/>
  <c r="C21" i="59" s="1"/>
  <c r="C22" i="59" s="1"/>
  <c r="C23" i="59" s="1"/>
  <c r="C24" i="59" s="1"/>
  <c r="C25" i="59" s="1"/>
  <c r="C26" i="59" s="1"/>
  <c r="C27" i="59" s="1"/>
  <c r="C28" i="59" s="1"/>
  <c r="C29" i="59" s="1"/>
  <c r="C30" i="59" s="1"/>
  <c r="C31" i="59" s="1"/>
  <c r="C32" i="59" s="1"/>
  <c r="C33" i="59" s="1"/>
  <c r="C34" i="59" s="1"/>
  <c r="C35" i="59" s="1"/>
  <c r="C36" i="59" s="1"/>
  <c r="C37" i="59" s="1"/>
  <c r="C38" i="59" s="1"/>
  <c r="C39" i="59" s="1"/>
  <c r="C40" i="59" s="1"/>
  <c r="C41" i="59" s="1"/>
  <c r="C42" i="59" s="1"/>
  <c r="C43" i="59" s="1"/>
  <c r="C44" i="59" s="1"/>
  <c r="C45" i="59" s="1"/>
  <c r="C46" i="59" s="1"/>
  <c r="C47" i="59" s="1"/>
  <c r="C48" i="59" s="1"/>
  <c r="C49" i="59" s="1"/>
  <c r="C50" i="59" s="1"/>
  <c r="C51" i="59" s="1"/>
  <c r="C52" i="59" s="1"/>
  <c r="C53" i="59" s="1"/>
  <c r="C54" i="59" s="1"/>
  <c r="C55" i="59" s="1"/>
  <c r="C56" i="59" s="1"/>
  <c r="C57" i="59" s="1"/>
  <c r="C58" i="59" s="1"/>
  <c r="C59" i="59" s="1"/>
  <c r="C60" i="59" s="1"/>
  <c r="C61" i="59" s="1"/>
  <c r="C62" i="59" s="1"/>
  <c r="C63" i="59" s="1"/>
  <c r="C64" i="59" s="1"/>
  <c r="C65" i="59" s="1"/>
  <c r="C66" i="59" s="1"/>
  <c r="C67" i="59" s="1"/>
  <c r="C68" i="59" s="1"/>
  <c r="C69" i="59" s="1"/>
  <c r="C70" i="59" s="1"/>
  <c r="C71" i="59" s="1"/>
  <c r="C72" i="59" s="1"/>
  <c r="K11" i="59"/>
  <c r="I11" i="59"/>
  <c r="D8" i="59"/>
  <c r="D90" i="59" s="1"/>
  <c r="M17" i="58"/>
  <c r="N17" i="58" s="1"/>
  <c r="K17" i="58"/>
  <c r="L17" i="58" s="1"/>
  <c r="M17" i="57"/>
  <c r="N17" i="57" s="1"/>
  <c r="O17" i="57" s="1"/>
  <c r="K17" i="57"/>
  <c r="L17" i="57" s="1"/>
  <c r="M17" i="56"/>
  <c r="K17" i="56"/>
  <c r="M17" i="55"/>
  <c r="K17" i="55"/>
  <c r="L17" i="55" s="1"/>
  <c r="M17" i="54"/>
  <c r="K17" i="54"/>
  <c r="L17" i="54" s="1"/>
  <c r="M17" i="53"/>
  <c r="K17" i="53"/>
  <c r="L17" i="53" s="1"/>
  <c r="M17" i="46"/>
  <c r="K17" i="46"/>
  <c r="L17" i="46" s="1"/>
  <c r="N99" i="45"/>
  <c r="L99" i="45"/>
  <c r="M18" i="45"/>
  <c r="N18" i="45" s="1"/>
  <c r="K18" i="45"/>
  <c r="L18" i="45" s="1"/>
  <c r="N100" i="44"/>
  <c r="O100" i="44" s="1"/>
  <c r="L100" i="44"/>
  <c r="M100" i="44" s="1"/>
  <c r="M19" i="44"/>
  <c r="K19" i="44"/>
  <c r="N100" i="43"/>
  <c r="L100" i="43"/>
  <c r="M100" i="43" s="1"/>
  <c r="M19" i="43"/>
  <c r="K19" i="43"/>
  <c r="N100" i="42"/>
  <c r="O100" i="42" s="1"/>
  <c r="P100" i="42" s="1"/>
  <c r="L100" i="42"/>
  <c r="M19" i="42"/>
  <c r="K19" i="42"/>
  <c r="L19" i="42" s="1"/>
  <c r="N100" i="41"/>
  <c r="O100" i="41" s="1"/>
  <c r="L100" i="41"/>
  <c r="M100" i="41" s="1"/>
  <c r="M19" i="41"/>
  <c r="K19" i="41"/>
  <c r="L19" i="41" s="1"/>
  <c r="N100" i="39"/>
  <c r="O100" i="39" s="1"/>
  <c r="P100" i="39" s="1"/>
  <c r="L100" i="39"/>
  <c r="M100" i="39" s="1"/>
  <c r="M19" i="39"/>
  <c r="K19" i="39"/>
  <c r="N102" i="34"/>
  <c r="O102" i="34" s="1"/>
  <c r="L102" i="34"/>
  <c r="M102" i="34" s="1"/>
  <c r="P102" i="34" s="1"/>
  <c r="M21" i="34"/>
  <c r="K21" i="34"/>
  <c r="L21" i="34" s="1"/>
  <c r="N102" i="32"/>
  <c r="L102" i="32"/>
  <c r="M102" i="32" s="1"/>
  <c r="M21" i="32"/>
  <c r="K21" i="32"/>
  <c r="L21" i="32" s="1"/>
  <c r="N102" i="31"/>
  <c r="L102" i="31"/>
  <c r="M102" i="31" s="1"/>
  <c r="M21" i="31"/>
  <c r="K21" i="31"/>
  <c r="N103" i="30"/>
  <c r="O103" i="30" s="1"/>
  <c r="L103" i="30"/>
  <c r="M103" i="30" s="1"/>
  <c r="M22" i="30"/>
  <c r="K22" i="30"/>
  <c r="L22" i="30" s="1"/>
  <c r="N103" i="29"/>
  <c r="O103" i="29" s="1"/>
  <c r="L103" i="29"/>
  <c r="M22" i="29"/>
  <c r="K22" i="29"/>
  <c r="L22" i="29" s="1"/>
  <c r="N104" i="28"/>
  <c r="O104" i="28" s="1"/>
  <c r="L104" i="28"/>
  <c r="M23" i="28"/>
  <c r="K23" i="28"/>
  <c r="L23" i="28" s="1"/>
  <c r="N103" i="27"/>
  <c r="O103" i="27" s="1"/>
  <c r="L103" i="27"/>
  <c r="M22" i="27"/>
  <c r="K22" i="27"/>
  <c r="N102" i="24"/>
  <c r="O102" i="24" s="1"/>
  <c r="L102" i="24"/>
  <c r="M21" i="24"/>
  <c r="K21" i="24"/>
  <c r="N102" i="23"/>
  <c r="L102" i="23"/>
  <c r="M21" i="23"/>
  <c r="K21" i="23"/>
  <c r="N101" i="22"/>
  <c r="O101" i="22" s="1"/>
  <c r="L101" i="22"/>
  <c r="M20" i="22"/>
  <c r="N20" i="22" s="1"/>
  <c r="K20" i="22"/>
  <c r="L20" i="22" s="1"/>
  <c r="N101" i="20"/>
  <c r="O101" i="20" s="1"/>
  <c r="P101" i="20" s="1"/>
  <c r="L101" i="20"/>
  <c r="M20" i="20"/>
  <c r="K20" i="20"/>
  <c r="L20" i="20" s="1"/>
  <c r="N101" i="19"/>
  <c r="O101" i="19" s="1"/>
  <c r="L101" i="19"/>
  <c r="M20" i="19"/>
  <c r="K20" i="19"/>
  <c r="L20" i="19" s="1"/>
  <c r="N101" i="18"/>
  <c r="O101" i="18" s="1"/>
  <c r="P101" i="18" s="1"/>
  <c r="L101" i="18"/>
  <c r="M20" i="18"/>
  <c r="N20" i="18" s="1"/>
  <c r="K20" i="18"/>
  <c r="N101" i="17"/>
  <c r="L101" i="17"/>
  <c r="M101" i="17" s="1"/>
  <c r="P101" i="17" s="1"/>
  <c r="M20" i="17"/>
  <c r="K20" i="17"/>
  <c r="N101" i="3"/>
  <c r="L101" i="3"/>
  <c r="M20" i="3"/>
  <c r="K20" i="3"/>
  <c r="J96" i="35"/>
  <c r="E101" i="35" s="1"/>
  <c r="F101" i="35" s="1"/>
  <c r="E102" i="35" s="1"/>
  <c r="F102" i="35" s="1"/>
  <c r="L19" i="1"/>
  <c r="F81" i="2"/>
  <c r="F87" i="2"/>
  <c r="F86" i="2"/>
  <c r="F90" i="2"/>
  <c r="C17" i="3"/>
  <c r="C18" i="3"/>
  <c r="C19" i="3" s="1"/>
  <c r="C20" i="3" s="1"/>
  <c r="C21" i="3" s="1"/>
  <c r="C22" i="3" s="1"/>
  <c r="C23" i="3" s="1"/>
  <c r="C24" i="3" s="1"/>
  <c r="C25" i="3" s="1"/>
  <c r="C26" i="3" s="1"/>
  <c r="C27" i="3" s="1"/>
  <c r="C28" i="3" s="1"/>
  <c r="C29" i="3" s="1"/>
  <c r="C30" i="3" s="1"/>
  <c r="C31" i="3" s="1"/>
  <c r="C32" i="3" s="1"/>
  <c r="C33" i="3" s="1"/>
  <c r="C34" i="3" s="1"/>
  <c r="C35" i="3" s="1"/>
  <c r="C36" i="3" s="1"/>
  <c r="C37" i="3" s="1"/>
  <c r="C38" i="3" s="1"/>
  <c r="C39" i="3" s="1"/>
  <c r="C40" i="3" s="1"/>
  <c r="C41" i="3" s="1"/>
  <c r="C42" i="3" s="1"/>
  <c r="C43" i="3" s="1"/>
  <c r="C44" i="3" s="1"/>
  <c r="K19" i="3"/>
  <c r="L19" i="3" s="1"/>
  <c r="P18" i="36"/>
  <c r="F87" i="1"/>
  <c r="F86" i="1"/>
  <c r="F90" i="1"/>
  <c r="C17" i="17"/>
  <c r="C18" i="17"/>
  <c r="C19" i="17" s="1"/>
  <c r="C20" i="17" s="1"/>
  <c r="C21" i="17" s="1"/>
  <c r="K19" i="17"/>
  <c r="P19" i="36"/>
  <c r="C17" i="18"/>
  <c r="C18" i="18" s="1"/>
  <c r="C19" i="18" s="1"/>
  <c r="C20" i="18" s="1"/>
  <c r="C21" i="18" s="1"/>
  <c r="C22" i="18" s="1"/>
  <c r="C23" i="18" s="1"/>
  <c r="C24" i="18" s="1"/>
  <c r="C25" i="18" s="1"/>
  <c r="C26" i="18" s="1"/>
  <c r="C27" i="18" s="1"/>
  <c r="C28" i="18" s="1"/>
  <c r="C29" i="18" s="1"/>
  <c r="C30" i="18" s="1"/>
  <c r="C31" i="18" s="1"/>
  <c r="C32" i="18" s="1"/>
  <c r="C33" i="18"/>
  <c r="C34" i="18" s="1"/>
  <c r="C35" i="18" s="1"/>
  <c r="C36" i="18" s="1"/>
  <c r="C37" i="18" s="1"/>
  <c r="C38" i="18" s="1"/>
  <c r="C39" i="18" s="1"/>
  <c r="C40" i="18" s="1"/>
  <c r="C41" i="18" s="1"/>
  <c r="C42" i="18" s="1"/>
  <c r="C43" i="18" s="1"/>
  <c r="C44" i="18" s="1"/>
  <c r="K19" i="18"/>
  <c r="L19" i="18" s="1"/>
  <c r="P20" i="36"/>
  <c r="C17" i="19"/>
  <c r="C18" i="19" s="1"/>
  <c r="C19" i="19"/>
  <c r="C20" i="19" s="1"/>
  <c r="C21" i="19" s="1"/>
  <c r="C22" i="19" s="1"/>
  <c r="C23" i="19" s="1"/>
  <c r="C24" i="19" s="1"/>
  <c r="C25" i="19" s="1"/>
  <c r="C26" i="19" s="1"/>
  <c r="C27" i="19" s="1"/>
  <c r="C28" i="19" s="1"/>
  <c r="C29" i="19" s="1"/>
  <c r="C30" i="19" s="1"/>
  <c r="C31" i="19" s="1"/>
  <c r="C32" i="19" s="1"/>
  <c r="C33" i="19" s="1"/>
  <c r="C34" i="19" s="1"/>
  <c r="C35" i="19" s="1"/>
  <c r="C36" i="19" s="1"/>
  <c r="C37" i="19" s="1"/>
  <c r="C38" i="19" s="1"/>
  <c r="C39" i="19" s="1"/>
  <c r="C40" i="19" s="1"/>
  <c r="C41" i="19" s="1"/>
  <c r="C42" i="19" s="1"/>
  <c r="C43" i="19" s="1"/>
  <c r="C44" i="19" s="1"/>
  <c r="K19" i="19"/>
  <c r="L19" i="19" s="1"/>
  <c r="P21" i="36"/>
  <c r="C17" i="20"/>
  <c r="C18" i="20" s="1"/>
  <c r="C19" i="20" s="1"/>
  <c r="C20" i="20" s="1"/>
  <c r="C21" i="20"/>
  <c r="C22" i="20" s="1"/>
  <c r="C23" i="20" s="1"/>
  <c r="C24" i="20" s="1"/>
  <c r="C25" i="20" s="1"/>
  <c r="C26" i="20" s="1"/>
  <c r="C27" i="20" s="1"/>
  <c r="C28" i="20" s="1"/>
  <c r="C29" i="20" s="1"/>
  <c r="C30" i="20" s="1"/>
  <c r="C31" i="20" s="1"/>
  <c r="C32" i="20" s="1"/>
  <c r="C33" i="20" s="1"/>
  <c r="C34" i="20" s="1"/>
  <c r="C35" i="20" s="1"/>
  <c r="C36" i="20" s="1"/>
  <c r="C37" i="20" s="1"/>
  <c r="C38" i="20" s="1"/>
  <c r="C39" i="20" s="1"/>
  <c r="C40" i="20" s="1"/>
  <c r="C41" i="20" s="1"/>
  <c r="C42" i="20" s="1"/>
  <c r="C43" i="20" s="1"/>
  <c r="C44" i="20" s="1"/>
  <c r="K19" i="20"/>
  <c r="P22" i="36"/>
  <c r="C17" i="21"/>
  <c r="C18" i="21" s="1"/>
  <c r="C19" i="21" s="1"/>
  <c r="C20" i="21" s="1"/>
  <c r="C21" i="21" s="1"/>
  <c r="C22" i="21" s="1"/>
  <c r="C23" i="21" s="1"/>
  <c r="C24" i="21" s="1"/>
  <c r="C25" i="21" s="1"/>
  <c r="C26" i="21" s="1"/>
  <c r="C27" i="21" s="1"/>
  <c r="C28" i="21" s="1"/>
  <c r="C29" i="21" s="1"/>
  <c r="C30" i="21" s="1"/>
  <c r="C31" i="21" s="1"/>
  <c r="C32" i="21" s="1"/>
  <c r="C33" i="21" s="1"/>
  <c r="C34" i="21" s="1"/>
  <c r="C35" i="21" s="1"/>
  <c r="C36" i="21" s="1"/>
  <c r="C37" i="21" s="1"/>
  <c r="C38" i="21" s="1"/>
  <c r="C39" i="21" s="1"/>
  <c r="C40" i="21" s="1"/>
  <c r="C41" i="21" s="1"/>
  <c r="C42" i="21" s="1"/>
  <c r="C43" i="21" s="1"/>
  <c r="C44" i="21" s="1"/>
  <c r="K19" i="21"/>
  <c r="P23" i="36"/>
  <c r="C17" i="22"/>
  <c r="C18" i="22" s="1"/>
  <c r="C19" i="22" s="1"/>
  <c r="C20" i="22" s="1"/>
  <c r="C21" i="22" s="1"/>
  <c r="C22" i="22" s="1"/>
  <c r="C23" i="22" s="1"/>
  <c r="C24" i="22" s="1"/>
  <c r="C25" i="22" s="1"/>
  <c r="C26" i="22" s="1"/>
  <c r="C27" i="22" s="1"/>
  <c r="C28" i="22" s="1"/>
  <c r="C29" i="22" s="1"/>
  <c r="C30" i="22" s="1"/>
  <c r="C31" i="22" s="1"/>
  <c r="C32" i="22" s="1"/>
  <c r="C33" i="22" s="1"/>
  <c r="C34" i="22" s="1"/>
  <c r="C35" i="22" s="1"/>
  <c r="C36" i="22" s="1"/>
  <c r="C37" i="22" s="1"/>
  <c r="C38" i="22" s="1"/>
  <c r="C39" i="22" s="1"/>
  <c r="C40" i="22" s="1"/>
  <c r="C41" i="22" s="1"/>
  <c r="C42" i="22" s="1"/>
  <c r="C43" i="22" s="1"/>
  <c r="C44" i="22" s="1"/>
  <c r="C45" i="22" s="1"/>
  <c r="C46" i="22" s="1"/>
  <c r="C47" i="22" s="1"/>
  <c r="C48" i="22" s="1"/>
  <c r="K19" i="22"/>
  <c r="P24" i="36"/>
  <c r="C17" i="23"/>
  <c r="C18" i="23" s="1"/>
  <c r="C19" i="23" s="1"/>
  <c r="C20" i="23" s="1"/>
  <c r="C21" i="23" s="1"/>
  <c r="C22" i="23" s="1"/>
  <c r="C23" i="23" s="1"/>
  <c r="C24" i="23" s="1"/>
  <c r="C25" i="23" s="1"/>
  <c r="C26" i="23" s="1"/>
  <c r="C27" i="23" s="1"/>
  <c r="C28" i="23" s="1"/>
  <c r="C29" i="23" s="1"/>
  <c r="C30" i="23" s="1"/>
  <c r="C31" i="23" s="1"/>
  <c r="C32" i="23" s="1"/>
  <c r="C33" i="23" s="1"/>
  <c r="C34" i="23" s="1"/>
  <c r="C35" i="23" s="1"/>
  <c r="C36" i="23" s="1"/>
  <c r="C37" i="23" s="1"/>
  <c r="C38" i="23" s="1"/>
  <c r="C39" i="23" s="1"/>
  <c r="C40" i="23" s="1"/>
  <c r="C41" i="23" s="1"/>
  <c r="C42" i="23" s="1"/>
  <c r="C43" i="23" s="1"/>
  <c r="C44" i="23" s="1"/>
  <c r="C45" i="23" s="1"/>
  <c r="C46" i="23" s="1"/>
  <c r="C47" i="23" s="1"/>
  <c r="C48" i="23" s="1"/>
  <c r="C49" i="23" s="1"/>
  <c r="C50" i="23" s="1"/>
  <c r="C51" i="23" s="1"/>
  <c r="C52" i="23" s="1"/>
  <c r="C53" i="23" s="1"/>
  <c r="C54" i="23" s="1"/>
  <c r="C55" i="23" s="1"/>
  <c r="C56" i="23" s="1"/>
  <c r="C57" i="23" s="1"/>
  <c r="C58" i="23" s="1"/>
  <c r="C59" i="23" s="1"/>
  <c r="C60" i="23" s="1"/>
  <c r="C61" i="23" s="1"/>
  <c r="C62" i="23" s="1"/>
  <c r="C63" i="23" s="1"/>
  <c r="C64" i="23" s="1"/>
  <c r="C65" i="23" s="1"/>
  <c r="C66" i="23" s="1"/>
  <c r="C67" i="23" s="1"/>
  <c r="C68" i="23" s="1"/>
  <c r="C69" i="23" s="1"/>
  <c r="C70" i="23" s="1"/>
  <c r="C71" i="23" s="1"/>
  <c r="C72" i="23" s="1"/>
  <c r="K20" i="23"/>
  <c r="L20" i="23" s="1"/>
  <c r="P25" i="36"/>
  <c r="C17" i="24"/>
  <c r="C18" i="24" s="1"/>
  <c r="C19" i="24" s="1"/>
  <c r="C20" i="24" s="1"/>
  <c r="C21" i="24" s="1"/>
  <c r="C22" i="24" s="1"/>
  <c r="C23" i="24" s="1"/>
  <c r="C24" i="24" s="1"/>
  <c r="C25" i="24" s="1"/>
  <c r="C26" i="24" s="1"/>
  <c r="C27" i="24" s="1"/>
  <c r="C28" i="24" s="1"/>
  <c r="C29" i="24" s="1"/>
  <c r="C30" i="24" s="1"/>
  <c r="C31" i="24" s="1"/>
  <c r="C32" i="24" s="1"/>
  <c r="C33" i="24" s="1"/>
  <c r="C34" i="24" s="1"/>
  <c r="C35" i="24" s="1"/>
  <c r="C36" i="24" s="1"/>
  <c r="C37" i="24" s="1"/>
  <c r="C38" i="24" s="1"/>
  <c r="C39" i="24" s="1"/>
  <c r="C40" i="24" s="1"/>
  <c r="C41" i="24" s="1"/>
  <c r="C42" i="24" s="1"/>
  <c r="C43" i="24" s="1"/>
  <c r="C44" i="24" s="1"/>
  <c r="K20" i="24"/>
  <c r="L20" i="24" s="1"/>
  <c r="P26" i="36"/>
  <c r="C17" i="25"/>
  <c r="C18" i="25" s="1"/>
  <c r="C19" i="25" s="1"/>
  <c r="C20" i="25" s="1"/>
  <c r="C21" i="25" s="1"/>
  <c r="C22" i="25" s="1"/>
  <c r="C23" i="25"/>
  <c r="C24" i="25" s="1"/>
  <c r="C25" i="25" s="1"/>
  <c r="C26" i="25" s="1"/>
  <c r="C27" i="25" s="1"/>
  <c r="C28" i="25" s="1"/>
  <c r="C29" i="25" s="1"/>
  <c r="C30" i="25" s="1"/>
  <c r="C31" i="25" s="1"/>
  <c r="C32" i="25" s="1"/>
  <c r="C33" i="25" s="1"/>
  <c r="C34" i="25" s="1"/>
  <c r="C35" i="25" s="1"/>
  <c r="C36" i="25" s="1"/>
  <c r="C37" i="25" s="1"/>
  <c r="C38" i="25" s="1"/>
  <c r="C39" i="25" s="1"/>
  <c r="C40" i="25" s="1"/>
  <c r="C41" i="25" s="1"/>
  <c r="C42" i="25" s="1"/>
  <c r="C43" i="25" s="1"/>
  <c r="C44" i="25" s="1"/>
  <c r="C45" i="25" s="1"/>
  <c r="C46" i="25" s="1"/>
  <c r="C47" i="25" s="1"/>
  <c r="C48" i="25" s="1"/>
  <c r="C49" i="25" s="1"/>
  <c r="C50" i="25" s="1"/>
  <c r="C51" i="25" s="1"/>
  <c r="C52" i="25" s="1"/>
  <c r="C53" i="25" s="1"/>
  <c r="C54" i="25" s="1"/>
  <c r="C55" i="25" s="1"/>
  <c r="C56" i="25" s="1"/>
  <c r="C57" i="25" s="1"/>
  <c r="C58" i="25" s="1"/>
  <c r="C59" i="25" s="1"/>
  <c r="C60" i="25" s="1"/>
  <c r="C61" i="25" s="1"/>
  <c r="C62" i="25" s="1"/>
  <c r="C63" i="25" s="1"/>
  <c r="C64" i="25" s="1"/>
  <c r="C65" i="25" s="1"/>
  <c r="C66" i="25" s="1"/>
  <c r="C67" i="25" s="1"/>
  <c r="C68" i="25" s="1"/>
  <c r="C69" i="25" s="1"/>
  <c r="C70" i="25" s="1"/>
  <c r="C71" i="25" s="1"/>
  <c r="C72" i="25" s="1"/>
  <c r="P27" i="36"/>
  <c r="C17" i="26"/>
  <c r="C18" i="26" s="1"/>
  <c r="C19" i="26" s="1"/>
  <c r="C20" i="26" s="1"/>
  <c r="C21" i="26" s="1"/>
  <c r="C22" i="26" s="1"/>
  <c r="C23" i="26" s="1"/>
  <c r="C24" i="26" s="1"/>
  <c r="C25" i="26" s="1"/>
  <c r="C26" i="26" s="1"/>
  <c r="C27" i="26" s="1"/>
  <c r="C28" i="26" s="1"/>
  <c r="C29" i="26" s="1"/>
  <c r="C30" i="26" s="1"/>
  <c r="C31" i="26" s="1"/>
  <c r="C32" i="26" s="1"/>
  <c r="C33" i="26" s="1"/>
  <c r="C34" i="26" s="1"/>
  <c r="C35" i="26" s="1"/>
  <c r="C36" i="26" s="1"/>
  <c r="C37" i="26" s="1"/>
  <c r="C38" i="26" s="1"/>
  <c r="C39" i="26" s="1"/>
  <c r="C40" i="26" s="1"/>
  <c r="C41" i="26" s="1"/>
  <c r="C42" i="26" s="1"/>
  <c r="C43" i="26" s="1"/>
  <c r="C44" i="26" s="1"/>
  <c r="C45" i="26" s="1"/>
  <c r="C46" i="26" s="1"/>
  <c r="C47" i="26" s="1"/>
  <c r="C48" i="26" s="1"/>
  <c r="C49" i="26" s="1"/>
  <c r="C50" i="26" s="1"/>
  <c r="C51" i="26" s="1"/>
  <c r="C52" i="26" s="1"/>
  <c r="C53" i="26" s="1"/>
  <c r="C54" i="26" s="1"/>
  <c r="C55" i="26" s="1"/>
  <c r="C56" i="26" s="1"/>
  <c r="C57" i="26" s="1"/>
  <c r="C58" i="26" s="1"/>
  <c r="C59" i="26" s="1"/>
  <c r="C60" i="26" s="1"/>
  <c r="C61" i="26" s="1"/>
  <c r="C62" i="26" s="1"/>
  <c r="C63" i="26" s="1"/>
  <c r="C64" i="26" s="1"/>
  <c r="C65" i="26" s="1"/>
  <c r="C66" i="26" s="1"/>
  <c r="C67" i="26" s="1"/>
  <c r="C68" i="26" s="1"/>
  <c r="C69" i="26" s="1"/>
  <c r="C70" i="26" s="1"/>
  <c r="C71" i="26" s="1"/>
  <c r="C72" i="26" s="1"/>
  <c r="P28" i="36"/>
  <c r="C17" i="27"/>
  <c r="C18" i="27" s="1"/>
  <c r="C19" i="27" s="1"/>
  <c r="C20" i="27" s="1"/>
  <c r="C21" i="27" s="1"/>
  <c r="C22" i="27" s="1"/>
  <c r="C23" i="27" s="1"/>
  <c r="C24" i="27" s="1"/>
  <c r="C25" i="27" s="1"/>
  <c r="C26" i="27" s="1"/>
  <c r="C27" i="27" s="1"/>
  <c r="C28" i="27" s="1"/>
  <c r="C29" i="27" s="1"/>
  <c r="C30" i="27" s="1"/>
  <c r="C31" i="27" s="1"/>
  <c r="C32" i="27" s="1"/>
  <c r="C33" i="27" s="1"/>
  <c r="C34" i="27" s="1"/>
  <c r="C35" i="27" s="1"/>
  <c r="C36" i="27" s="1"/>
  <c r="C37" i="27" s="1"/>
  <c r="C38" i="27" s="1"/>
  <c r="C39" i="27" s="1"/>
  <c r="C40" i="27" s="1"/>
  <c r="C41" i="27" s="1"/>
  <c r="C42" i="27" s="1"/>
  <c r="C43" i="27" s="1"/>
  <c r="C44" i="27" s="1"/>
  <c r="K21" i="27"/>
  <c r="P29" i="36"/>
  <c r="C17" i="28"/>
  <c r="C18" i="28" s="1"/>
  <c r="C19" i="28" s="1"/>
  <c r="C20" i="28" s="1"/>
  <c r="C21" i="28" s="1"/>
  <c r="C22" i="28" s="1"/>
  <c r="C23" i="28" s="1"/>
  <c r="C24" i="28" s="1"/>
  <c r="C25" i="28" s="1"/>
  <c r="C26" i="28" s="1"/>
  <c r="C27" i="28" s="1"/>
  <c r="C28" i="28" s="1"/>
  <c r="C29" i="28" s="1"/>
  <c r="C30" i="28" s="1"/>
  <c r="C31" i="28" s="1"/>
  <c r="C32" i="28" s="1"/>
  <c r="C33" i="28" s="1"/>
  <c r="C34" i="28" s="1"/>
  <c r="C35" i="28" s="1"/>
  <c r="C36" i="28" s="1"/>
  <c r="C37" i="28" s="1"/>
  <c r="C38" i="28" s="1"/>
  <c r="C39" i="28" s="1"/>
  <c r="C40" i="28" s="1"/>
  <c r="C41" i="28" s="1"/>
  <c r="C42" i="28" s="1"/>
  <c r="C43" i="28" s="1"/>
  <c r="C44" i="28" s="1"/>
  <c r="C45" i="28" s="1"/>
  <c r="C46" i="28" s="1"/>
  <c r="C47" i="28" s="1"/>
  <c r="C48" i="28" s="1"/>
  <c r="C49" i="28" s="1"/>
  <c r="C50" i="28" s="1"/>
  <c r="C51" i="28" s="1"/>
  <c r="C52" i="28" s="1"/>
  <c r="C53" i="28" s="1"/>
  <c r="C54" i="28" s="1"/>
  <c r="C55" i="28" s="1"/>
  <c r="C56" i="28" s="1"/>
  <c r="C57" i="28" s="1"/>
  <c r="C58" i="28" s="1"/>
  <c r="C59" i="28" s="1"/>
  <c r="C60" i="28" s="1"/>
  <c r="C61" i="28" s="1"/>
  <c r="C62" i="28" s="1"/>
  <c r="C63" i="28" s="1"/>
  <c r="C64" i="28" s="1"/>
  <c r="C65" i="28" s="1"/>
  <c r="C66" i="28" s="1"/>
  <c r="C67" i="28" s="1"/>
  <c r="C68" i="28" s="1"/>
  <c r="C69" i="28" s="1"/>
  <c r="C70" i="28" s="1"/>
  <c r="C71" i="28" s="1"/>
  <c r="C72" i="28" s="1"/>
  <c r="K22" i="28"/>
  <c r="P30" i="36"/>
  <c r="C17" i="29"/>
  <c r="C18" i="29" s="1"/>
  <c r="C19" i="29" s="1"/>
  <c r="C20" i="29" s="1"/>
  <c r="C21" i="29" s="1"/>
  <c r="C22" i="29" s="1"/>
  <c r="C23" i="29" s="1"/>
  <c r="C24" i="29" s="1"/>
  <c r="C25" i="29" s="1"/>
  <c r="C26" i="29" s="1"/>
  <c r="C27" i="29" s="1"/>
  <c r="C28" i="29" s="1"/>
  <c r="C29" i="29" s="1"/>
  <c r="C30" i="29" s="1"/>
  <c r="C31" i="29" s="1"/>
  <c r="C32" i="29" s="1"/>
  <c r="C33" i="29" s="1"/>
  <c r="C34" i="29" s="1"/>
  <c r="C35" i="29" s="1"/>
  <c r="C36" i="29" s="1"/>
  <c r="C37" i="29" s="1"/>
  <c r="C38" i="29" s="1"/>
  <c r="C39" i="29" s="1"/>
  <c r="C40" i="29" s="1"/>
  <c r="C41" i="29" s="1"/>
  <c r="C42" i="29" s="1"/>
  <c r="C43" i="29" s="1"/>
  <c r="C44" i="29" s="1"/>
  <c r="C45" i="29" s="1"/>
  <c r="C46" i="29" s="1"/>
  <c r="C47" i="29" s="1"/>
  <c r="C48" i="29" s="1"/>
  <c r="C49" i="29" s="1"/>
  <c r="C50" i="29" s="1"/>
  <c r="C51" i="29" s="1"/>
  <c r="C52" i="29" s="1"/>
  <c r="C53" i="29" s="1"/>
  <c r="C54" i="29" s="1"/>
  <c r="C55" i="29" s="1"/>
  <c r="C56" i="29" s="1"/>
  <c r="C57" i="29" s="1"/>
  <c r="C58" i="29" s="1"/>
  <c r="C59" i="29" s="1"/>
  <c r="C60" i="29" s="1"/>
  <c r="C61" i="29" s="1"/>
  <c r="C62" i="29" s="1"/>
  <c r="C63" i="29" s="1"/>
  <c r="C64" i="29" s="1"/>
  <c r="C65" i="29" s="1"/>
  <c r="C66" i="29" s="1"/>
  <c r="C67" i="29" s="1"/>
  <c r="C68" i="29" s="1"/>
  <c r="C69" i="29" s="1"/>
  <c r="C70" i="29" s="1"/>
  <c r="C71" i="29" s="1"/>
  <c r="C72" i="29" s="1"/>
  <c r="K21" i="29"/>
  <c r="P31" i="36"/>
  <c r="C17" i="30"/>
  <c r="C18" i="30" s="1"/>
  <c r="C19" i="30" s="1"/>
  <c r="C20" i="30" s="1"/>
  <c r="C21" i="30" s="1"/>
  <c r="C22" i="30" s="1"/>
  <c r="C23" i="30" s="1"/>
  <c r="C24" i="30" s="1"/>
  <c r="C25" i="30" s="1"/>
  <c r="C26" i="30" s="1"/>
  <c r="C27" i="30" s="1"/>
  <c r="C28" i="30" s="1"/>
  <c r="C29" i="30" s="1"/>
  <c r="C30" i="30" s="1"/>
  <c r="C31" i="30" s="1"/>
  <c r="C32" i="30" s="1"/>
  <c r="C33" i="30" s="1"/>
  <c r="C34" i="30" s="1"/>
  <c r="C35" i="30" s="1"/>
  <c r="C36" i="30" s="1"/>
  <c r="C37" i="30" s="1"/>
  <c r="C38" i="30" s="1"/>
  <c r="C39" i="30" s="1"/>
  <c r="C40" i="30" s="1"/>
  <c r="C41" i="30" s="1"/>
  <c r="C42" i="30" s="1"/>
  <c r="C43" i="30" s="1"/>
  <c r="C44" i="30" s="1"/>
  <c r="C45" i="30" s="1"/>
  <c r="C46" i="30" s="1"/>
  <c r="C47" i="30" s="1"/>
  <c r="C48" i="30" s="1"/>
  <c r="C49" i="30" s="1"/>
  <c r="C50" i="30" s="1"/>
  <c r="C51" i="30" s="1"/>
  <c r="C52" i="30" s="1"/>
  <c r="C53" i="30" s="1"/>
  <c r="C54" i="30" s="1"/>
  <c r="C55" i="30" s="1"/>
  <c r="C56" i="30" s="1"/>
  <c r="C57" i="30" s="1"/>
  <c r="C58" i="30" s="1"/>
  <c r="C59" i="30" s="1"/>
  <c r="C60" i="30" s="1"/>
  <c r="C61" i="30" s="1"/>
  <c r="C62" i="30" s="1"/>
  <c r="C63" i="30" s="1"/>
  <c r="C64" i="30" s="1"/>
  <c r="C65" i="30" s="1"/>
  <c r="C66" i="30" s="1"/>
  <c r="C67" i="30" s="1"/>
  <c r="C68" i="30" s="1"/>
  <c r="C69" i="30" s="1"/>
  <c r="C70" i="30" s="1"/>
  <c r="C71" i="30" s="1"/>
  <c r="C72" i="30" s="1"/>
  <c r="K21" i="30"/>
  <c r="P32" i="36"/>
  <c r="C17" i="31"/>
  <c r="C18" i="31" s="1"/>
  <c r="C19" i="31" s="1"/>
  <c r="C20" i="31" s="1"/>
  <c r="C21" i="31" s="1"/>
  <c r="C22" i="31" s="1"/>
  <c r="C23" i="31" s="1"/>
  <c r="C24" i="31" s="1"/>
  <c r="C25" i="31" s="1"/>
  <c r="C26" i="31" s="1"/>
  <c r="C27" i="31" s="1"/>
  <c r="C28" i="31" s="1"/>
  <c r="C29" i="31" s="1"/>
  <c r="C30" i="31" s="1"/>
  <c r="C31" i="31" s="1"/>
  <c r="C32" i="31" s="1"/>
  <c r="C33" i="31" s="1"/>
  <c r="C34" i="31" s="1"/>
  <c r="C35" i="31" s="1"/>
  <c r="C36" i="31" s="1"/>
  <c r="C37" i="31" s="1"/>
  <c r="C38" i="31" s="1"/>
  <c r="C39" i="31" s="1"/>
  <c r="C40" i="31" s="1"/>
  <c r="C41" i="31" s="1"/>
  <c r="C42" i="31" s="1"/>
  <c r="C43" i="31" s="1"/>
  <c r="C44" i="31" s="1"/>
  <c r="C45" i="31" s="1"/>
  <c r="C46" i="31" s="1"/>
  <c r="C47" i="31" s="1"/>
  <c r="C48" i="31" s="1"/>
  <c r="C49" i="31" s="1"/>
  <c r="C50" i="31" s="1"/>
  <c r="C51" i="31" s="1"/>
  <c r="C52" i="31" s="1"/>
  <c r="C53" i="31" s="1"/>
  <c r="C54" i="31" s="1"/>
  <c r="C55" i="31" s="1"/>
  <c r="C56" i="31" s="1"/>
  <c r="C57" i="31" s="1"/>
  <c r="C58" i="31" s="1"/>
  <c r="C59" i="31" s="1"/>
  <c r="C60" i="31" s="1"/>
  <c r="C61" i="31" s="1"/>
  <c r="C62" i="31" s="1"/>
  <c r="C63" i="31" s="1"/>
  <c r="C64" i="31" s="1"/>
  <c r="C65" i="31" s="1"/>
  <c r="C66" i="31" s="1"/>
  <c r="C67" i="31" s="1"/>
  <c r="C68" i="31" s="1"/>
  <c r="C69" i="31" s="1"/>
  <c r="C70" i="31" s="1"/>
  <c r="C71" i="31" s="1"/>
  <c r="C72" i="31" s="1"/>
  <c r="K20" i="31"/>
  <c r="L20" i="31" s="1"/>
  <c r="P33" i="36"/>
  <c r="C17" i="32"/>
  <c r="C18" i="32" s="1"/>
  <c r="C19" i="32"/>
  <c r="C20" i="32" s="1"/>
  <c r="C21" i="32" s="1"/>
  <c r="C22" i="32" s="1"/>
  <c r="C23" i="32" s="1"/>
  <c r="C24" i="32" s="1"/>
  <c r="C25" i="32" s="1"/>
  <c r="C26" i="32" s="1"/>
  <c r="C27" i="32" s="1"/>
  <c r="C28" i="32" s="1"/>
  <c r="C29" i="32" s="1"/>
  <c r="C30" i="32" s="1"/>
  <c r="C31" i="32" s="1"/>
  <c r="C32" i="32" s="1"/>
  <c r="C33" i="32" s="1"/>
  <c r="C34" i="32" s="1"/>
  <c r="C35" i="32" s="1"/>
  <c r="C36" i="32" s="1"/>
  <c r="C37" i="32" s="1"/>
  <c r="C38" i="32" s="1"/>
  <c r="C39" i="32" s="1"/>
  <c r="C40" i="32" s="1"/>
  <c r="C41" i="32" s="1"/>
  <c r="C42" i="32" s="1"/>
  <c r="C43" i="32" s="1"/>
  <c r="C44" i="32" s="1"/>
  <c r="C45" i="32" s="1"/>
  <c r="C46" i="32" s="1"/>
  <c r="C47" i="32" s="1"/>
  <c r="C48" i="32" s="1"/>
  <c r="C49" i="32" s="1"/>
  <c r="C50" i="32" s="1"/>
  <c r="C51" i="32" s="1"/>
  <c r="C52" i="32" s="1"/>
  <c r="C53" i="32" s="1"/>
  <c r="C54" i="32" s="1"/>
  <c r="C55" i="32" s="1"/>
  <c r="C56" i="32" s="1"/>
  <c r="C57" i="32" s="1"/>
  <c r="C58" i="32" s="1"/>
  <c r="C59" i="32" s="1"/>
  <c r="C60" i="32" s="1"/>
  <c r="C61" i="32" s="1"/>
  <c r="C62" i="32" s="1"/>
  <c r="C63" i="32" s="1"/>
  <c r="C64" i="32" s="1"/>
  <c r="C65" i="32" s="1"/>
  <c r="C66" i="32" s="1"/>
  <c r="C67" i="32" s="1"/>
  <c r="C68" i="32" s="1"/>
  <c r="C69" i="32" s="1"/>
  <c r="C70" i="32" s="1"/>
  <c r="C71" i="32" s="1"/>
  <c r="C72" i="32" s="1"/>
  <c r="K20" i="32"/>
  <c r="L20" i="32" s="1"/>
  <c r="P34" i="36"/>
  <c r="C17" i="33"/>
  <c r="C18" i="33" s="1"/>
  <c r="C19" i="33" s="1"/>
  <c r="C20" i="33" s="1"/>
  <c r="C21" i="33"/>
  <c r="C22" i="33" s="1"/>
  <c r="C23" i="33" s="1"/>
  <c r="C24" i="33" s="1"/>
  <c r="C25" i="33" s="1"/>
  <c r="C26" i="33" s="1"/>
  <c r="C27" i="33" s="1"/>
  <c r="C28" i="33" s="1"/>
  <c r="C29" i="33" s="1"/>
  <c r="C30" i="33" s="1"/>
  <c r="C31" i="33" s="1"/>
  <c r="C32" i="33" s="1"/>
  <c r="C33" i="33" s="1"/>
  <c r="C34" i="33" s="1"/>
  <c r="C35" i="33" s="1"/>
  <c r="C36" i="33" s="1"/>
  <c r="C37" i="33" s="1"/>
  <c r="C38" i="33" s="1"/>
  <c r="C39" i="33" s="1"/>
  <c r="C40" i="33" s="1"/>
  <c r="C41" i="33" s="1"/>
  <c r="C42" i="33" s="1"/>
  <c r="C43" i="33" s="1"/>
  <c r="C44" i="33" s="1"/>
  <c r="C45" i="33" s="1"/>
  <c r="C46" i="33" s="1"/>
  <c r="C47" i="33" s="1"/>
  <c r="C48" i="33" s="1"/>
  <c r="C49" i="33" s="1"/>
  <c r="C50" i="33" s="1"/>
  <c r="C51" i="33" s="1"/>
  <c r="C52" i="33" s="1"/>
  <c r="C53" i="33" s="1"/>
  <c r="C54" i="33" s="1"/>
  <c r="C55" i="33" s="1"/>
  <c r="C56" i="33" s="1"/>
  <c r="C57" i="33" s="1"/>
  <c r="C58" i="33" s="1"/>
  <c r="C59" i="33" s="1"/>
  <c r="C60" i="33" s="1"/>
  <c r="C61" i="33" s="1"/>
  <c r="C62" i="33" s="1"/>
  <c r="C63" i="33" s="1"/>
  <c r="C64" i="33" s="1"/>
  <c r="C65" i="33" s="1"/>
  <c r="C66" i="33" s="1"/>
  <c r="C67" i="33" s="1"/>
  <c r="C68" i="33" s="1"/>
  <c r="C69" i="33" s="1"/>
  <c r="C70" i="33" s="1"/>
  <c r="C71" i="33" s="1"/>
  <c r="C72" i="33" s="1"/>
  <c r="P35" i="36"/>
  <c r="C17" i="34"/>
  <c r="C18" i="34"/>
  <c r="C19" i="34" s="1"/>
  <c r="C20" i="34" s="1"/>
  <c r="C21" i="34" s="1"/>
  <c r="C22" i="34" s="1"/>
  <c r="C23" i="34" s="1"/>
  <c r="C24" i="34" s="1"/>
  <c r="C25" i="34" s="1"/>
  <c r="C26" i="34" s="1"/>
  <c r="C27" i="34" s="1"/>
  <c r="C28" i="34" s="1"/>
  <c r="C29" i="34" s="1"/>
  <c r="C30" i="34" s="1"/>
  <c r="C31" i="34" s="1"/>
  <c r="C32" i="34" s="1"/>
  <c r="C33" i="34" s="1"/>
  <c r="C34" i="34" s="1"/>
  <c r="C35" i="34" s="1"/>
  <c r="C36" i="34" s="1"/>
  <c r="C37" i="34" s="1"/>
  <c r="C38" i="34" s="1"/>
  <c r="C39" i="34" s="1"/>
  <c r="C40" i="34" s="1"/>
  <c r="C41" i="34" s="1"/>
  <c r="C42" i="34" s="1"/>
  <c r="C43" i="34" s="1"/>
  <c r="C44" i="34" s="1"/>
  <c r="C45" i="34" s="1"/>
  <c r="C46" i="34" s="1"/>
  <c r="C47" i="34" s="1"/>
  <c r="C48" i="34" s="1"/>
  <c r="C49" i="34" s="1"/>
  <c r="C50" i="34" s="1"/>
  <c r="C51" i="34" s="1"/>
  <c r="C52" i="34" s="1"/>
  <c r="C53" i="34" s="1"/>
  <c r="C54" i="34" s="1"/>
  <c r="C55" i="34" s="1"/>
  <c r="C56" i="34" s="1"/>
  <c r="C57" i="34" s="1"/>
  <c r="C58" i="34" s="1"/>
  <c r="C59" i="34" s="1"/>
  <c r="C60" i="34" s="1"/>
  <c r="C61" i="34" s="1"/>
  <c r="C62" i="34" s="1"/>
  <c r="C63" i="34" s="1"/>
  <c r="C64" i="34" s="1"/>
  <c r="C65" i="34" s="1"/>
  <c r="C66" i="34" s="1"/>
  <c r="C67" i="34" s="1"/>
  <c r="C68" i="34" s="1"/>
  <c r="C69" i="34" s="1"/>
  <c r="C70" i="34" s="1"/>
  <c r="C71" i="34" s="1"/>
  <c r="C72" i="34" s="1"/>
  <c r="K20" i="34"/>
  <c r="L20" i="34" s="1"/>
  <c r="P36" i="36"/>
  <c r="P37" i="36"/>
  <c r="C17" i="39"/>
  <c r="C18" i="39" s="1"/>
  <c r="C19" i="39" s="1"/>
  <c r="C20" i="39" s="1"/>
  <c r="C21" i="39" s="1"/>
  <c r="C22" i="39" s="1"/>
  <c r="C23" i="39" s="1"/>
  <c r="C24" i="39" s="1"/>
  <c r="C25" i="39" s="1"/>
  <c r="C26" i="39" s="1"/>
  <c r="C27" i="39" s="1"/>
  <c r="C28" i="39" s="1"/>
  <c r="C29" i="39" s="1"/>
  <c r="C30" i="39" s="1"/>
  <c r="C31" i="39" s="1"/>
  <c r="C32" i="39" s="1"/>
  <c r="C33" i="39" s="1"/>
  <c r="C34" i="39" s="1"/>
  <c r="C35" i="39" s="1"/>
  <c r="C36" i="39" s="1"/>
  <c r="C37" i="39" s="1"/>
  <c r="C38" i="39" s="1"/>
  <c r="C39" i="39" s="1"/>
  <c r="C40" i="39" s="1"/>
  <c r="C41" i="39" s="1"/>
  <c r="C42" i="39" s="1"/>
  <c r="C43" i="39" s="1"/>
  <c r="C44" i="39" s="1"/>
  <c r="C45" i="39" s="1"/>
  <c r="C46" i="39" s="1"/>
  <c r="C47" i="39" s="1"/>
  <c r="C48" i="39" s="1"/>
  <c r="C49" i="39" s="1"/>
  <c r="C50" i="39" s="1"/>
  <c r="C51" i="39" s="1"/>
  <c r="C52" i="39" s="1"/>
  <c r="C53" i="39" s="1"/>
  <c r="C54" i="39" s="1"/>
  <c r="C55" i="39" s="1"/>
  <c r="C56" i="39" s="1"/>
  <c r="C57" i="39" s="1"/>
  <c r="C58" i="39" s="1"/>
  <c r="C59" i="39" s="1"/>
  <c r="C60" i="39" s="1"/>
  <c r="C61" i="39" s="1"/>
  <c r="C62" i="39" s="1"/>
  <c r="C63" i="39" s="1"/>
  <c r="C64" i="39" s="1"/>
  <c r="C65" i="39" s="1"/>
  <c r="C66" i="39" s="1"/>
  <c r="C67" i="39" s="1"/>
  <c r="C68" i="39" s="1"/>
  <c r="C69" i="39" s="1"/>
  <c r="C70" i="39" s="1"/>
  <c r="C71" i="39" s="1"/>
  <c r="C72" i="39" s="1"/>
  <c r="K18" i="39"/>
  <c r="L18" i="39" s="1"/>
  <c r="P38" i="36"/>
  <c r="C17" i="41"/>
  <c r="C18" i="41" s="1"/>
  <c r="C19" i="41" s="1"/>
  <c r="C20" i="41" s="1"/>
  <c r="C21" i="41" s="1"/>
  <c r="C22" i="41" s="1"/>
  <c r="C23" i="41" s="1"/>
  <c r="C24" i="41" s="1"/>
  <c r="C25" i="41" s="1"/>
  <c r="C26" i="41" s="1"/>
  <c r="C27" i="41" s="1"/>
  <c r="C28" i="41" s="1"/>
  <c r="C29" i="41" s="1"/>
  <c r="C30" i="41" s="1"/>
  <c r="C31" i="41" s="1"/>
  <c r="C32" i="41" s="1"/>
  <c r="C33" i="41" s="1"/>
  <c r="C34" i="41" s="1"/>
  <c r="C35" i="41" s="1"/>
  <c r="C36" i="41" s="1"/>
  <c r="C37" i="41" s="1"/>
  <c r="C38" i="41" s="1"/>
  <c r="C39" i="41" s="1"/>
  <c r="C40" i="41" s="1"/>
  <c r="C41" i="41" s="1"/>
  <c r="C42" i="41" s="1"/>
  <c r="C43" i="41" s="1"/>
  <c r="C44" i="41" s="1"/>
  <c r="C45" i="41" s="1"/>
  <c r="C46" i="41" s="1"/>
  <c r="C47" i="41" s="1"/>
  <c r="C48" i="41" s="1"/>
  <c r="C49" i="41" s="1"/>
  <c r="C50" i="41" s="1"/>
  <c r="C51" i="41" s="1"/>
  <c r="C52" i="41" s="1"/>
  <c r="C53" i="41" s="1"/>
  <c r="C54" i="41" s="1"/>
  <c r="C55" i="41" s="1"/>
  <c r="C56" i="41" s="1"/>
  <c r="C57" i="41" s="1"/>
  <c r="C58" i="41" s="1"/>
  <c r="C59" i="41" s="1"/>
  <c r="C60" i="41" s="1"/>
  <c r="C61" i="41" s="1"/>
  <c r="C62" i="41" s="1"/>
  <c r="C63" i="41" s="1"/>
  <c r="C64" i="41" s="1"/>
  <c r="C65" i="41" s="1"/>
  <c r="C66" i="41" s="1"/>
  <c r="C67" i="41" s="1"/>
  <c r="C68" i="41" s="1"/>
  <c r="C69" i="41" s="1"/>
  <c r="C70" i="41" s="1"/>
  <c r="C71" i="41" s="1"/>
  <c r="C72" i="41" s="1"/>
  <c r="K18" i="41"/>
  <c r="P39" i="36"/>
  <c r="C17" i="42"/>
  <c r="C18" i="42" s="1"/>
  <c r="C19" i="42" s="1"/>
  <c r="C20" i="42" s="1"/>
  <c r="C21" i="42" s="1"/>
  <c r="C22" i="42" s="1"/>
  <c r="C23" i="42" s="1"/>
  <c r="C24" i="42" s="1"/>
  <c r="C25" i="42" s="1"/>
  <c r="C26" i="42" s="1"/>
  <c r="C27" i="42" s="1"/>
  <c r="C28" i="42" s="1"/>
  <c r="C29" i="42" s="1"/>
  <c r="C30" i="42" s="1"/>
  <c r="C31" i="42" s="1"/>
  <c r="C32" i="42" s="1"/>
  <c r="C33" i="42"/>
  <c r="C34" i="42" s="1"/>
  <c r="C35" i="42" s="1"/>
  <c r="C36" i="42" s="1"/>
  <c r="C37" i="42" s="1"/>
  <c r="C38" i="42" s="1"/>
  <c r="C39" i="42" s="1"/>
  <c r="C40" i="42" s="1"/>
  <c r="C41" i="42" s="1"/>
  <c r="C42" i="42" s="1"/>
  <c r="C43" i="42" s="1"/>
  <c r="C44" i="42" s="1"/>
  <c r="C45" i="42" s="1"/>
  <c r="C46" i="42" s="1"/>
  <c r="C47" i="42" s="1"/>
  <c r="C48" i="42" s="1"/>
  <c r="C49" i="42" s="1"/>
  <c r="C50" i="42" s="1"/>
  <c r="C51" i="42" s="1"/>
  <c r="C52" i="42" s="1"/>
  <c r="C53" i="42" s="1"/>
  <c r="C54" i="42" s="1"/>
  <c r="C55" i="42" s="1"/>
  <c r="C56" i="42" s="1"/>
  <c r="C57" i="42" s="1"/>
  <c r="C58" i="42" s="1"/>
  <c r="C59" i="42" s="1"/>
  <c r="C60" i="42" s="1"/>
  <c r="C61" i="42" s="1"/>
  <c r="C62" i="42" s="1"/>
  <c r="C63" i="42" s="1"/>
  <c r="C64" i="42" s="1"/>
  <c r="C65" i="42" s="1"/>
  <c r="C66" i="42" s="1"/>
  <c r="C67" i="42" s="1"/>
  <c r="C68" i="42" s="1"/>
  <c r="C69" i="42" s="1"/>
  <c r="C70" i="42" s="1"/>
  <c r="C71" i="42" s="1"/>
  <c r="C72" i="42" s="1"/>
  <c r="K18" i="42"/>
  <c r="P40" i="36"/>
  <c r="C17" i="43"/>
  <c r="C18" i="43" s="1"/>
  <c r="C19" i="43"/>
  <c r="C20" i="43" s="1"/>
  <c r="C21" i="43" s="1"/>
  <c r="C22" i="43" s="1"/>
  <c r="C23" i="43" s="1"/>
  <c r="C24" i="43" s="1"/>
  <c r="C25" i="43" s="1"/>
  <c r="C26" i="43" s="1"/>
  <c r="C27" i="43" s="1"/>
  <c r="C28" i="43" s="1"/>
  <c r="C29" i="43" s="1"/>
  <c r="C30" i="43" s="1"/>
  <c r="C31" i="43" s="1"/>
  <c r="C32" i="43" s="1"/>
  <c r="C33" i="43" s="1"/>
  <c r="C34" i="43" s="1"/>
  <c r="C35" i="43" s="1"/>
  <c r="C36" i="43" s="1"/>
  <c r="C37" i="43" s="1"/>
  <c r="C38" i="43" s="1"/>
  <c r="C39" i="43" s="1"/>
  <c r="C40" i="43" s="1"/>
  <c r="C41" i="43" s="1"/>
  <c r="C42" i="43" s="1"/>
  <c r="C43" i="43" s="1"/>
  <c r="C44" i="43" s="1"/>
  <c r="C45" i="43" s="1"/>
  <c r="C46" i="43" s="1"/>
  <c r="C47" i="43" s="1"/>
  <c r="C48" i="43" s="1"/>
  <c r="C49" i="43" s="1"/>
  <c r="C50" i="43" s="1"/>
  <c r="C51" i="43" s="1"/>
  <c r="C52" i="43" s="1"/>
  <c r="C53" i="43" s="1"/>
  <c r="C54" i="43" s="1"/>
  <c r="C55" i="43" s="1"/>
  <c r="C56" i="43" s="1"/>
  <c r="C57" i="43" s="1"/>
  <c r="C58" i="43" s="1"/>
  <c r="C59" i="43" s="1"/>
  <c r="C60" i="43" s="1"/>
  <c r="C61" i="43" s="1"/>
  <c r="C62" i="43" s="1"/>
  <c r="C63" i="43" s="1"/>
  <c r="C64" i="43" s="1"/>
  <c r="C65" i="43" s="1"/>
  <c r="C66" i="43" s="1"/>
  <c r="C67" i="43" s="1"/>
  <c r="C68" i="43" s="1"/>
  <c r="C69" i="43" s="1"/>
  <c r="C70" i="43" s="1"/>
  <c r="C71" i="43" s="1"/>
  <c r="C72" i="43" s="1"/>
  <c r="K18" i="43"/>
  <c r="L18" i="43" s="1"/>
  <c r="P41" i="36"/>
  <c r="C17" i="44"/>
  <c r="C18" i="44" s="1"/>
  <c r="C19" i="44" s="1"/>
  <c r="C20" i="44" s="1"/>
  <c r="C21" i="44"/>
  <c r="C22" i="44" s="1"/>
  <c r="C23" i="44" s="1"/>
  <c r="C24" i="44" s="1"/>
  <c r="C25" i="44" s="1"/>
  <c r="C26" i="44" s="1"/>
  <c r="C27" i="44" s="1"/>
  <c r="C28" i="44" s="1"/>
  <c r="C29" i="44" s="1"/>
  <c r="C30" i="44" s="1"/>
  <c r="C31" i="44" s="1"/>
  <c r="C32" i="44" s="1"/>
  <c r="C33" i="44" s="1"/>
  <c r="C34" i="44" s="1"/>
  <c r="C35" i="44" s="1"/>
  <c r="C36" i="44" s="1"/>
  <c r="C37" i="44" s="1"/>
  <c r="C38" i="44" s="1"/>
  <c r="C39" i="44" s="1"/>
  <c r="C40" i="44" s="1"/>
  <c r="C41" i="44" s="1"/>
  <c r="C42" i="44" s="1"/>
  <c r="C43" i="44" s="1"/>
  <c r="C44" i="44" s="1"/>
  <c r="C45" i="44" s="1"/>
  <c r="C46" i="44" s="1"/>
  <c r="C47" i="44" s="1"/>
  <c r="C48" i="44" s="1"/>
  <c r="C49" i="44" s="1"/>
  <c r="C50" i="44" s="1"/>
  <c r="C51" i="44" s="1"/>
  <c r="C52" i="44" s="1"/>
  <c r="C53" i="44" s="1"/>
  <c r="C54" i="44" s="1"/>
  <c r="C55" i="44" s="1"/>
  <c r="C56" i="44" s="1"/>
  <c r="C57" i="44" s="1"/>
  <c r="C58" i="44" s="1"/>
  <c r="C59" i="44" s="1"/>
  <c r="C60" i="44" s="1"/>
  <c r="C61" i="44" s="1"/>
  <c r="C62" i="44" s="1"/>
  <c r="C63" i="44" s="1"/>
  <c r="C64" i="44" s="1"/>
  <c r="C65" i="44" s="1"/>
  <c r="C66" i="44" s="1"/>
  <c r="C67" i="44" s="1"/>
  <c r="C68" i="44" s="1"/>
  <c r="C69" i="44" s="1"/>
  <c r="C70" i="44" s="1"/>
  <c r="C71" i="44" s="1"/>
  <c r="C72" i="44" s="1"/>
  <c r="K18" i="44"/>
  <c r="P42" i="36"/>
  <c r="C17" i="45"/>
  <c r="C18" i="45"/>
  <c r="C19" i="45" s="1"/>
  <c r="C20" i="45" s="1"/>
  <c r="C21" i="45" s="1"/>
  <c r="C22" i="45" s="1"/>
  <c r="C23" i="45" s="1"/>
  <c r="C24" i="45" s="1"/>
  <c r="C25" i="45" s="1"/>
  <c r="C26" i="45" s="1"/>
  <c r="C27" i="45" s="1"/>
  <c r="C28" i="45" s="1"/>
  <c r="C29" i="45" s="1"/>
  <c r="C30" i="45" s="1"/>
  <c r="C31" i="45" s="1"/>
  <c r="C32" i="45" s="1"/>
  <c r="C33" i="45" s="1"/>
  <c r="C34" i="45" s="1"/>
  <c r="C35" i="45" s="1"/>
  <c r="C36" i="45" s="1"/>
  <c r="C37" i="45" s="1"/>
  <c r="C38" i="45" s="1"/>
  <c r="C39" i="45" s="1"/>
  <c r="C40" i="45" s="1"/>
  <c r="C41" i="45" s="1"/>
  <c r="C42" i="45" s="1"/>
  <c r="C43" i="45" s="1"/>
  <c r="C44" i="45" s="1"/>
  <c r="C45" i="45" s="1"/>
  <c r="C46" i="45" s="1"/>
  <c r="C47" i="45" s="1"/>
  <c r="C48" i="45" s="1"/>
  <c r="C49" i="45" s="1"/>
  <c r="C50" i="45" s="1"/>
  <c r="C51" i="45" s="1"/>
  <c r="C52" i="45" s="1"/>
  <c r="C53" i="45" s="1"/>
  <c r="C54" i="45" s="1"/>
  <c r="C55" i="45" s="1"/>
  <c r="C56" i="45" s="1"/>
  <c r="C57" i="45" s="1"/>
  <c r="C58" i="45" s="1"/>
  <c r="C59" i="45" s="1"/>
  <c r="C60" i="45" s="1"/>
  <c r="C61" i="45" s="1"/>
  <c r="C62" i="45" s="1"/>
  <c r="C63" i="45" s="1"/>
  <c r="C64" i="45" s="1"/>
  <c r="C65" i="45" s="1"/>
  <c r="C66" i="45" s="1"/>
  <c r="C67" i="45" s="1"/>
  <c r="C68" i="45" s="1"/>
  <c r="C69" i="45" s="1"/>
  <c r="C70" i="45" s="1"/>
  <c r="C71" i="45" s="1"/>
  <c r="C72" i="45" s="1"/>
  <c r="K17" i="45"/>
  <c r="P43" i="36"/>
  <c r="P44" i="36"/>
  <c r="P45" i="36"/>
  <c r="P46" i="36"/>
  <c r="P47" i="36"/>
  <c r="P48" i="36"/>
  <c r="P49" i="36"/>
  <c r="P50" i="36"/>
  <c r="W44" i="36"/>
  <c r="W45" i="36"/>
  <c r="W46" i="36"/>
  <c r="W47" i="36"/>
  <c r="W48" i="36"/>
  <c r="W49" i="36"/>
  <c r="W50" i="36"/>
  <c r="F81" i="1"/>
  <c r="C17" i="58"/>
  <c r="C18" i="58" s="1"/>
  <c r="C19" i="58" s="1"/>
  <c r="C20" i="58" s="1"/>
  <c r="C21" i="58" s="1"/>
  <c r="C22" i="58" s="1"/>
  <c r="C23" i="58" s="1"/>
  <c r="C24" i="58" s="1"/>
  <c r="C25" i="58" s="1"/>
  <c r="C26" i="58" s="1"/>
  <c r="C27" i="58" s="1"/>
  <c r="C28" i="58" s="1"/>
  <c r="C29" i="58" s="1"/>
  <c r="C30" i="58" s="1"/>
  <c r="C31" i="58" s="1"/>
  <c r="C32" i="58" s="1"/>
  <c r="C33" i="58" s="1"/>
  <c r="C34" i="58" s="1"/>
  <c r="C35" i="58" s="1"/>
  <c r="C36" i="58" s="1"/>
  <c r="C37" i="58" s="1"/>
  <c r="C38" i="58" s="1"/>
  <c r="C39" i="58" s="1"/>
  <c r="C40" i="58" s="1"/>
  <c r="C41" i="58" s="1"/>
  <c r="C42" i="58" s="1"/>
  <c r="C43" i="58" s="1"/>
  <c r="C44" i="58" s="1"/>
  <c r="C45" i="58" s="1"/>
  <c r="C46" i="58" s="1"/>
  <c r="C47" i="58" s="1"/>
  <c r="C48" i="58" s="1"/>
  <c r="C49" i="58" s="1"/>
  <c r="C50" i="58" s="1"/>
  <c r="C51" i="58" s="1"/>
  <c r="C52" i="58" s="1"/>
  <c r="C53" i="58" s="1"/>
  <c r="C54" i="58" s="1"/>
  <c r="C55" i="58" s="1"/>
  <c r="C56" i="58" s="1"/>
  <c r="C57" i="58" s="1"/>
  <c r="C58" i="58" s="1"/>
  <c r="C59" i="58" s="1"/>
  <c r="C60" i="58" s="1"/>
  <c r="C61" i="58" s="1"/>
  <c r="C62" i="58" s="1"/>
  <c r="C63" i="58" s="1"/>
  <c r="C64" i="58" s="1"/>
  <c r="C65" i="58" s="1"/>
  <c r="C66" i="58" s="1"/>
  <c r="C67" i="58" s="1"/>
  <c r="C68" i="58" s="1"/>
  <c r="C69" i="58" s="1"/>
  <c r="C70" i="58" s="1"/>
  <c r="C71" i="58" s="1"/>
  <c r="C72" i="58" s="1"/>
  <c r="C17" i="57"/>
  <c r="C18" i="57" s="1"/>
  <c r="C19" i="57" s="1"/>
  <c r="C20" i="57" s="1"/>
  <c r="C21" i="57" s="1"/>
  <c r="C22" i="57" s="1"/>
  <c r="C23" i="57" s="1"/>
  <c r="C24" i="57" s="1"/>
  <c r="C25" i="57" s="1"/>
  <c r="C26" i="57" s="1"/>
  <c r="C27" i="57" s="1"/>
  <c r="C28" i="57" s="1"/>
  <c r="C29" i="57" s="1"/>
  <c r="C30" i="57" s="1"/>
  <c r="C31" i="57" s="1"/>
  <c r="C32" i="57" s="1"/>
  <c r="C33" i="57" s="1"/>
  <c r="C34" i="57" s="1"/>
  <c r="C35" i="57" s="1"/>
  <c r="C36" i="57" s="1"/>
  <c r="C37" i="57" s="1"/>
  <c r="C38" i="57" s="1"/>
  <c r="C39" i="57" s="1"/>
  <c r="C40" i="57" s="1"/>
  <c r="C41" i="57" s="1"/>
  <c r="C42" i="57" s="1"/>
  <c r="C43" i="57" s="1"/>
  <c r="C44" i="57" s="1"/>
  <c r="C45" i="57" s="1"/>
  <c r="C46" i="57" s="1"/>
  <c r="C47" i="57" s="1"/>
  <c r="C48" i="57" s="1"/>
  <c r="C49" i="57" s="1"/>
  <c r="C50" i="57" s="1"/>
  <c r="C51" i="57" s="1"/>
  <c r="C52" i="57" s="1"/>
  <c r="C53" i="57" s="1"/>
  <c r="C54" i="57" s="1"/>
  <c r="C55" i="57" s="1"/>
  <c r="C56" i="57" s="1"/>
  <c r="C57" i="57" s="1"/>
  <c r="C58" i="57" s="1"/>
  <c r="C59" i="57" s="1"/>
  <c r="C60" i="57" s="1"/>
  <c r="C61" i="57" s="1"/>
  <c r="C62" i="57" s="1"/>
  <c r="C63" i="57" s="1"/>
  <c r="C64" i="57" s="1"/>
  <c r="C65" i="57" s="1"/>
  <c r="C66" i="57" s="1"/>
  <c r="C67" i="57" s="1"/>
  <c r="C68" i="57" s="1"/>
  <c r="C69" i="57" s="1"/>
  <c r="C70" i="57" s="1"/>
  <c r="C71" i="57" s="1"/>
  <c r="C72" i="57" s="1"/>
  <c r="C17" i="56"/>
  <c r="C18" i="56"/>
  <c r="C19" i="56" s="1"/>
  <c r="C20" i="56" s="1"/>
  <c r="C21" i="56" s="1"/>
  <c r="C22" i="56" s="1"/>
  <c r="C23" i="56" s="1"/>
  <c r="C24" i="56" s="1"/>
  <c r="C25" i="56" s="1"/>
  <c r="C26" i="56" s="1"/>
  <c r="C27" i="56" s="1"/>
  <c r="C28" i="56" s="1"/>
  <c r="C29" i="56" s="1"/>
  <c r="C30" i="56" s="1"/>
  <c r="C31" i="56" s="1"/>
  <c r="C32" i="56" s="1"/>
  <c r="C33" i="56" s="1"/>
  <c r="C34" i="56" s="1"/>
  <c r="C35" i="56" s="1"/>
  <c r="C36" i="56" s="1"/>
  <c r="C37" i="56" s="1"/>
  <c r="C38" i="56" s="1"/>
  <c r="C39" i="56" s="1"/>
  <c r="C40" i="56" s="1"/>
  <c r="C41" i="56" s="1"/>
  <c r="C42" i="56" s="1"/>
  <c r="C43" i="56" s="1"/>
  <c r="C44" i="56" s="1"/>
  <c r="C45" i="56" s="1"/>
  <c r="C46" i="56" s="1"/>
  <c r="C47" i="56" s="1"/>
  <c r="C48" i="56" s="1"/>
  <c r="C49" i="56" s="1"/>
  <c r="C50" i="56" s="1"/>
  <c r="C51" i="56" s="1"/>
  <c r="C52" i="56" s="1"/>
  <c r="C53" i="56" s="1"/>
  <c r="C54" i="56" s="1"/>
  <c r="C55" i="56" s="1"/>
  <c r="C56" i="56" s="1"/>
  <c r="C57" i="56" s="1"/>
  <c r="C58" i="56" s="1"/>
  <c r="C59" i="56" s="1"/>
  <c r="C60" i="56" s="1"/>
  <c r="C61" i="56" s="1"/>
  <c r="C62" i="56" s="1"/>
  <c r="C63" i="56" s="1"/>
  <c r="C64" i="56" s="1"/>
  <c r="C65" i="56" s="1"/>
  <c r="C66" i="56" s="1"/>
  <c r="C67" i="56" s="1"/>
  <c r="C68" i="56" s="1"/>
  <c r="C69" i="56" s="1"/>
  <c r="C70" i="56" s="1"/>
  <c r="C71" i="56" s="1"/>
  <c r="C72" i="56" s="1"/>
  <c r="C17" i="55"/>
  <c r="C18" i="55"/>
  <c r="C19" i="55" s="1"/>
  <c r="C20" i="55" s="1"/>
  <c r="C21" i="55" s="1"/>
  <c r="C22" i="55" s="1"/>
  <c r="C23" i="55" s="1"/>
  <c r="C24" i="55" s="1"/>
  <c r="C25" i="55" s="1"/>
  <c r="C26" i="55" s="1"/>
  <c r="C27" i="55" s="1"/>
  <c r="C28" i="55" s="1"/>
  <c r="C29" i="55" s="1"/>
  <c r="C30" i="55" s="1"/>
  <c r="C31" i="55" s="1"/>
  <c r="C32" i="55" s="1"/>
  <c r="C33" i="55" s="1"/>
  <c r="C34" i="55" s="1"/>
  <c r="C35" i="55" s="1"/>
  <c r="C36" i="55" s="1"/>
  <c r="C37" i="55" s="1"/>
  <c r="C38" i="55" s="1"/>
  <c r="C39" i="55" s="1"/>
  <c r="C40" i="55" s="1"/>
  <c r="C41" i="55" s="1"/>
  <c r="C42" i="55" s="1"/>
  <c r="C43" i="55" s="1"/>
  <c r="C44" i="55" s="1"/>
  <c r="C17" i="54"/>
  <c r="C18" i="54" s="1"/>
  <c r="C19" i="54" s="1"/>
  <c r="C20" i="54" s="1"/>
  <c r="C21" i="54" s="1"/>
  <c r="C22" i="54" s="1"/>
  <c r="C23" i="54" s="1"/>
  <c r="C24" i="54" s="1"/>
  <c r="C25" i="54" s="1"/>
  <c r="C26" i="54" s="1"/>
  <c r="C27" i="54" s="1"/>
  <c r="C28" i="54" s="1"/>
  <c r="C29" i="54" s="1"/>
  <c r="C30" i="54" s="1"/>
  <c r="C31" i="54" s="1"/>
  <c r="C32" i="54" s="1"/>
  <c r="C33" i="54" s="1"/>
  <c r="C34" i="54" s="1"/>
  <c r="C35" i="54" s="1"/>
  <c r="C36" i="54" s="1"/>
  <c r="C37" i="54" s="1"/>
  <c r="C38" i="54" s="1"/>
  <c r="C39" i="54" s="1"/>
  <c r="C40" i="54" s="1"/>
  <c r="C41" i="54" s="1"/>
  <c r="C42" i="54" s="1"/>
  <c r="C43" i="54" s="1"/>
  <c r="C44" i="54" s="1"/>
  <c r="C17" i="53"/>
  <c r="C18" i="53" s="1"/>
  <c r="C19" i="53" s="1"/>
  <c r="C20" i="53" s="1"/>
  <c r="C21" i="53" s="1"/>
  <c r="C22" i="53" s="1"/>
  <c r="C23" i="53" s="1"/>
  <c r="C24" i="53" s="1"/>
  <c r="C25" i="53" s="1"/>
  <c r="C26" i="53" s="1"/>
  <c r="C27" i="53" s="1"/>
  <c r="C28" i="53" s="1"/>
  <c r="C29" i="53" s="1"/>
  <c r="C30" i="53" s="1"/>
  <c r="C31" i="53" s="1"/>
  <c r="C32" i="53" s="1"/>
  <c r="C33" i="53" s="1"/>
  <c r="C34" i="53" s="1"/>
  <c r="C35" i="53" s="1"/>
  <c r="C36" i="53" s="1"/>
  <c r="C37" i="53" s="1"/>
  <c r="C38" i="53" s="1"/>
  <c r="C39" i="53" s="1"/>
  <c r="C40" i="53" s="1"/>
  <c r="C41" i="53" s="1"/>
  <c r="C42" i="53" s="1"/>
  <c r="C43" i="53" s="1"/>
  <c r="C44" i="53" s="1"/>
  <c r="C45" i="53" s="1"/>
  <c r="C17" i="46"/>
  <c r="C18" i="46" s="1"/>
  <c r="C19" i="46" s="1"/>
  <c r="C20" i="46" s="1"/>
  <c r="C21" i="46" s="1"/>
  <c r="C22" i="46" s="1"/>
  <c r="C23" i="46" s="1"/>
  <c r="C24" i="46" s="1"/>
  <c r="C25" i="46" s="1"/>
  <c r="C26" i="46" s="1"/>
  <c r="C27" i="46" s="1"/>
  <c r="C28" i="46" s="1"/>
  <c r="C29" i="46" s="1"/>
  <c r="C30" i="46" s="1"/>
  <c r="C31" i="46" s="1"/>
  <c r="C32" i="46" s="1"/>
  <c r="C33" i="46" s="1"/>
  <c r="C34" i="46" s="1"/>
  <c r="C35" i="46" s="1"/>
  <c r="C36" i="46" s="1"/>
  <c r="C37" i="46" s="1"/>
  <c r="C38" i="46" s="1"/>
  <c r="C39" i="46" s="1"/>
  <c r="C40" i="46" s="1"/>
  <c r="C41" i="46" s="1"/>
  <c r="C42" i="46" s="1"/>
  <c r="C43" i="46" s="1"/>
  <c r="C44" i="46" s="1"/>
  <c r="C45" i="46" s="1"/>
  <c r="C46" i="46" s="1"/>
  <c r="C47" i="46" s="1"/>
  <c r="C48" i="46" s="1"/>
  <c r="C49" i="46" s="1"/>
  <c r="C50" i="46" s="1"/>
  <c r="C51" i="46" s="1"/>
  <c r="C52" i="46" s="1"/>
  <c r="C53" i="46" s="1"/>
  <c r="C54" i="46" s="1"/>
  <c r="C55" i="46" s="1"/>
  <c r="C56" i="46" s="1"/>
  <c r="C57" i="46" s="1"/>
  <c r="C58" i="46" s="1"/>
  <c r="C59" i="46" s="1"/>
  <c r="C60" i="46" s="1"/>
  <c r="C61" i="46" s="1"/>
  <c r="C62" i="46" s="1"/>
  <c r="C63" i="46" s="1"/>
  <c r="C64" i="46" s="1"/>
  <c r="C65" i="46" s="1"/>
  <c r="C66" i="46" s="1"/>
  <c r="C67" i="46" s="1"/>
  <c r="C68" i="46" s="1"/>
  <c r="C69" i="46" s="1"/>
  <c r="C70" i="46" s="1"/>
  <c r="C71" i="46" s="1"/>
  <c r="C72" i="46" s="1"/>
  <c r="O3" i="58"/>
  <c r="D8" i="58"/>
  <c r="D90" i="58" s="1"/>
  <c r="K11" i="58"/>
  <c r="N24" i="58"/>
  <c r="N25" i="58"/>
  <c r="N26" i="58"/>
  <c r="N27" i="58"/>
  <c r="L29" i="58"/>
  <c r="N29" i="58"/>
  <c r="L30" i="58"/>
  <c r="N30" i="58"/>
  <c r="L31" i="58"/>
  <c r="N31" i="58"/>
  <c r="L32" i="58"/>
  <c r="N32" i="58"/>
  <c r="L33" i="58"/>
  <c r="N33" i="58"/>
  <c r="L34" i="58"/>
  <c r="N34" i="58"/>
  <c r="L35" i="58"/>
  <c r="N35" i="58"/>
  <c r="L36" i="58"/>
  <c r="N36" i="58"/>
  <c r="L37" i="58"/>
  <c r="N37" i="58"/>
  <c r="L38" i="58"/>
  <c r="N38" i="58"/>
  <c r="L39" i="58"/>
  <c r="N39" i="58"/>
  <c r="L40" i="58"/>
  <c r="N40" i="58"/>
  <c r="L41" i="58"/>
  <c r="N41" i="58"/>
  <c r="L42" i="58"/>
  <c r="N42" i="58"/>
  <c r="L43" i="58"/>
  <c r="N43" i="58"/>
  <c r="L44" i="58"/>
  <c r="N44" i="58"/>
  <c r="L45" i="58"/>
  <c r="N45" i="58"/>
  <c r="L46" i="58"/>
  <c r="N46" i="58"/>
  <c r="L47" i="58"/>
  <c r="N47" i="58"/>
  <c r="L48" i="58"/>
  <c r="N48" i="58"/>
  <c r="L49" i="58"/>
  <c r="N49" i="58"/>
  <c r="L50" i="58"/>
  <c r="N50" i="58"/>
  <c r="L51" i="58"/>
  <c r="N51" i="58"/>
  <c r="L52" i="58"/>
  <c r="N52" i="58"/>
  <c r="L53" i="58"/>
  <c r="N53" i="58"/>
  <c r="L54" i="58"/>
  <c r="N54" i="58"/>
  <c r="L55" i="58"/>
  <c r="N55" i="58"/>
  <c r="L56" i="58"/>
  <c r="N56" i="58"/>
  <c r="L57" i="58"/>
  <c r="N57" i="58"/>
  <c r="L58" i="58"/>
  <c r="N58" i="58"/>
  <c r="L59" i="58"/>
  <c r="N59" i="58"/>
  <c r="L60" i="58"/>
  <c r="N60" i="58"/>
  <c r="L61" i="58"/>
  <c r="N61" i="58"/>
  <c r="L62" i="58"/>
  <c r="N62" i="58"/>
  <c r="L63" i="58"/>
  <c r="N63" i="58"/>
  <c r="L64" i="58"/>
  <c r="N64" i="58"/>
  <c r="L65" i="58"/>
  <c r="N65" i="58"/>
  <c r="L66" i="58"/>
  <c r="N66" i="58"/>
  <c r="L67" i="58"/>
  <c r="N67" i="58"/>
  <c r="L68" i="58"/>
  <c r="N68" i="58"/>
  <c r="L69" i="58"/>
  <c r="N69" i="58"/>
  <c r="L70" i="58"/>
  <c r="N70" i="58"/>
  <c r="L71" i="58"/>
  <c r="N71" i="58"/>
  <c r="L72" i="58"/>
  <c r="N72" i="58"/>
  <c r="D89" i="58"/>
  <c r="D91" i="58"/>
  <c r="J93" i="58"/>
  <c r="L93" i="58"/>
  <c r="D96" i="58"/>
  <c r="O105" i="58"/>
  <c r="O106" i="58"/>
  <c r="O107" i="58"/>
  <c r="M109" i="58"/>
  <c r="O109" i="58"/>
  <c r="M110" i="58"/>
  <c r="O110" i="58"/>
  <c r="M111" i="58"/>
  <c r="O111" i="58"/>
  <c r="M112" i="58"/>
  <c r="O112" i="58"/>
  <c r="M113" i="58"/>
  <c r="O113" i="58"/>
  <c r="M114" i="58"/>
  <c r="O114" i="58"/>
  <c r="M115" i="58"/>
  <c r="O115" i="58"/>
  <c r="M116" i="58"/>
  <c r="O116" i="58"/>
  <c r="M117" i="58"/>
  <c r="O117" i="58"/>
  <c r="M118" i="58"/>
  <c r="O118" i="58"/>
  <c r="M119" i="58"/>
  <c r="O119" i="58"/>
  <c r="M120" i="58"/>
  <c r="O120" i="58"/>
  <c r="M121" i="58"/>
  <c r="O121" i="58"/>
  <c r="M122" i="58"/>
  <c r="O122" i="58"/>
  <c r="M123" i="58"/>
  <c r="O123" i="58"/>
  <c r="M124" i="58"/>
  <c r="O124" i="58"/>
  <c r="M125" i="58"/>
  <c r="O125" i="58"/>
  <c r="M126" i="58"/>
  <c r="O126" i="58"/>
  <c r="M127" i="58"/>
  <c r="O127" i="58"/>
  <c r="M128" i="58"/>
  <c r="O128" i="58"/>
  <c r="M129" i="58"/>
  <c r="O129" i="58"/>
  <c r="M130" i="58"/>
  <c r="O130" i="58"/>
  <c r="M131" i="58"/>
  <c r="O131" i="58"/>
  <c r="M132" i="58"/>
  <c r="O132" i="58"/>
  <c r="M133" i="58"/>
  <c r="O133" i="58"/>
  <c r="M134" i="58"/>
  <c r="O134" i="58"/>
  <c r="M135" i="58"/>
  <c r="O135" i="58"/>
  <c r="M136" i="58"/>
  <c r="O136" i="58"/>
  <c r="M137" i="58"/>
  <c r="O137" i="58"/>
  <c r="M138" i="58"/>
  <c r="O138" i="58"/>
  <c r="M139" i="58"/>
  <c r="O139" i="58"/>
  <c r="M140" i="58"/>
  <c r="O140" i="58"/>
  <c r="M141" i="58"/>
  <c r="O141" i="58"/>
  <c r="M142" i="58"/>
  <c r="O142" i="58"/>
  <c r="M143" i="58"/>
  <c r="O143" i="58"/>
  <c r="M144" i="58"/>
  <c r="O144" i="58"/>
  <c r="M145" i="58"/>
  <c r="O145" i="58"/>
  <c r="M146" i="58"/>
  <c r="O146" i="58"/>
  <c r="M147" i="58"/>
  <c r="O147" i="58"/>
  <c r="M148" i="58"/>
  <c r="O148" i="58"/>
  <c r="M149" i="58"/>
  <c r="O149" i="58"/>
  <c r="M150" i="58"/>
  <c r="O150" i="58"/>
  <c r="M151" i="58"/>
  <c r="O151" i="58"/>
  <c r="M152" i="58"/>
  <c r="O152" i="58"/>
  <c r="M153" i="58"/>
  <c r="O153" i="58"/>
  <c r="M154" i="58"/>
  <c r="O154" i="58"/>
  <c r="P1" i="57"/>
  <c r="P83" i="57" s="1"/>
  <c r="O3" i="57"/>
  <c r="D8" i="57"/>
  <c r="D90" i="57" s="1"/>
  <c r="K11" i="57"/>
  <c r="N24" i="57"/>
  <c r="N25" i="57"/>
  <c r="N26" i="57"/>
  <c r="N27" i="57"/>
  <c r="L29" i="57"/>
  <c r="N29" i="57"/>
  <c r="L30" i="57"/>
  <c r="N30" i="57"/>
  <c r="L31" i="57"/>
  <c r="N31" i="57"/>
  <c r="L32" i="57"/>
  <c r="N32" i="57"/>
  <c r="L33" i="57"/>
  <c r="N33" i="57"/>
  <c r="L34" i="57"/>
  <c r="N34" i="57"/>
  <c r="L35" i="57"/>
  <c r="N35" i="57"/>
  <c r="L36" i="57"/>
  <c r="N36" i="57"/>
  <c r="L37" i="57"/>
  <c r="N37" i="57"/>
  <c r="L38" i="57"/>
  <c r="N38" i="57"/>
  <c r="L39" i="57"/>
  <c r="N39" i="57"/>
  <c r="L40" i="57"/>
  <c r="N40" i="57"/>
  <c r="L41" i="57"/>
  <c r="N41" i="57"/>
  <c r="L42" i="57"/>
  <c r="N42" i="57"/>
  <c r="L43" i="57"/>
  <c r="N43" i="57"/>
  <c r="L44" i="57"/>
  <c r="N44" i="57"/>
  <c r="L45" i="57"/>
  <c r="N45" i="57"/>
  <c r="L46" i="57"/>
  <c r="N46" i="57"/>
  <c r="L47" i="57"/>
  <c r="N47" i="57"/>
  <c r="L48" i="57"/>
  <c r="N48" i="57"/>
  <c r="L49" i="57"/>
  <c r="N49" i="57"/>
  <c r="L50" i="57"/>
  <c r="N50" i="57"/>
  <c r="L51" i="57"/>
  <c r="N51" i="57"/>
  <c r="L52" i="57"/>
  <c r="N52" i="57"/>
  <c r="L53" i="57"/>
  <c r="N53" i="57"/>
  <c r="L54" i="57"/>
  <c r="N54" i="57"/>
  <c r="L55" i="57"/>
  <c r="N55" i="57"/>
  <c r="L56" i="57"/>
  <c r="N56" i="57"/>
  <c r="L57" i="57"/>
  <c r="N57" i="57"/>
  <c r="L58" i="57"/>
  <c r="N58" i="57"/>
  <c r="L59" i="57"/>
  <c r="N59" i="57"/>
  <c r="L60" i="57"/>
  <c r="N60" i="57"/>
  <c r="L61" i="57"/>
  <c r="N61" i="57"/>
  <c r="L62" i="57"/>
  <c r="N62" i="57"/>
  <c r="L63" i="57"/>
  <c r="N63" i="57"/>
  <c r="L64" i="57"/>
  <c r="N64" i="57"/>
  <c r="L65" i="57"/>
  <c r="N65" i="57"/>
  <c r="L66" i="57"/>
  <c r="N66" i="57"/>
  <c r="L67" i="57"/>
  <c r="N67" i="57"/>
  <c r="L68" i="57"/>
  <c r="N68" i="57"/>
  <c r="L69" i="57"/>
  <c r="N69" i="57"/>
  <c r="L70" i="57"/>
  <c r="N70" i="57"/>
  <c r="L71" i="57"/>
  <c r="N71" i="57"/>
  <c r="L72" i="57"/>
  <c r="N72" i="57"/>
  <c r="D89" i="57"/>
  <c r="D91" i="57"/>
  <c r="J93" i="57"/>
  <c r="L93" i="57"/>
  <c r="D96" i="57"/>
  <c r="M99" i="57"/>
  <c r="O105" i="57"/>
  <c r="O106" i="57"/>
  <c r="O107" i="57"/>
  <c r="M109" i="57"/>
  <c r="O109" i="57"/>
  <c r="M110" i="57"/>
  <c r="O110" i="57"/>
  <c r="M111" i="57"/>
  <c r="O111" i="57"/>
  <c r="M112" i="57"/>
  <c r="O112" i="57"/>
  <c r="M113" i="57"/>
  <c r="O113" i="57"/>
  <c r="M114" i="57"/>
  <c r="O114" i="57"/>
  <c r="M115" i="57"/>
  <c r="O115" i="57"/>
  <c r="M116" i="57"/>
  <c r="O116" i="57"/>
  <c r="M117" i="57"/>
  <c r="O117" i="57"/>
  <c r="M118" i="57"/>
  <c r="O118" i="57"/>
  <c r="M119" i="57"/>
  <c r="O119" i="57"/>
  <c r="M120" i="57"/>
  <c r="O120" i="57"/>
  <c r="M121" i="57"/>
  <c r="O121" i="57"/>
  <c r="M122" i="57"/>
  <c r="O122" i="57"/>
  <c r="M123" i="57"/>
  <c r="O123" i="57"/>
  <c r="M124" i="57"/>
  <c r="O124" i="57"/>
  <c r="M125" i="57"/>
  <c r="O125" i="57"/>
  <c r="M126" i="57"/>
  <c r="O126" i="57"/>
  <c r="M127" i="57"/>
  <c r="O127" i="57"/>
  <c r="M128" i="57"/>
  <c r="O128" i="57"/>
  <c r="M129" i="57"/>
  <c r="O129" i="57"/>
  <c r="M130" i="57"/>
  <c r="O130" i="57"/>
  <c r="M131" i="57"/>
  <c r="O131" i="57"/>
  <c r="M132" i="57"/>
  <c r="O132" i="57"/>
  <c r="M133" i="57"/>
  <c r="O133" i="57"/>
  <c r="M134" i="57"/>
  <c r="O134" i="57"/>
  <c r="M135" i="57"/>
  <c r="O135" i="57"/>
  <c r="M136" i="57"/>
  <c r="O136" i="57"/>
  <c r="M137" i="57"/>
  <c r="O137" i="57"/>
  <c r="M138" i="57"/>
  <c r="O138" i="57"/>
  <c r="M139" i="57"/>
  <c r="O139" i="57"/>
  <c r="M140" i="57"/>
  <c r="O140" i="57"/>
  <c r="M141" i="57"/>
  <c r="O141" i="57"/>
  <c r="M142" i="57"/>
  <c r="O142" i="57"/>
  <c r="M143" i="57"/>
  <c r="O143" i="57"/>
  <c r="M144" i="57"/>
  <c r="O144" i="57"/>
  <c r="M145" i="57"/>
  <c r="O145" i="57"/>
  <c r="M146" i="57"/>
  <c r="O146" i="57"/>
  <c r="M147" i="57"/>
  <c r="O147" i="57"/>
  <c r="M148" i="57"/>
  <c r="O148" i="57"/>
  <c r="M149" i="57"/>
  <c r="O149" i="57"/>
  <c r="M150" i="57"/>
  <c r="O150" i="57"/>
  <c r="M151" i="57"/>
  <c r="O151" i="57"/>
  <c r="M152" i="57"/>
  <c r="O152" i="57"/>
  <c r="M153" i="57"/>
  <c r="O153" i="57"/>
  <c r="M154" i="57"/>
  <c r="O154" i="57"/>
  <c r="P1" i="56"/>
  <c r="P83" i="56" s="1"/>
  <c r="O3" i="56"/>
  <c r="D8" i="56"/>
  <c r="D90" i="56" s="1"/>
  <c r="K11" i="56"/>
  <c r="L17" i="56"/>
  <c r="N17" i="56"/>
  <c r="N24" i="56"/>
  <c r="N25" i="56"/>
  <c r="N26" i="56"/>
  <c r="N27" i="56"/>
  <c r="L29" i="56"/>
  <c r="N29" i="56"/>
  <c r="L30" i="56"/>
  <c r="N30" i="56"/>
  <c r="L31" i="56"/>
  <c r="N31" i="56"/>
  <c r="L32" i="56"/>
  <c r="N32" i="56"/>
  <c r="L33" i="56"/>
  <c r="N33" i="56"/>
  <c r="L34" i="56"/>
  <c r="N34" i="56"/>
  <c r="L35" i="56"/>
  <c r="N35" i="56"/>
  <c r="L36" i="56"/>
  <c r="N36" i="56"/>
  <c r="L37" i="56"/>
  <c r="N37" i="56"/>
  <c r="L38" i="56"/>
  <c r="N38" i="56"/>
  <c r="L39" i="56"/>
  <c r="N39" i="56"/>
  <c r="L40" i="56"/>
  <c r="N40" i="56"/>
  <c r="L41" i="56"/>
  <c r="N41" i="56"/>
  <c r="L42" i="56"/>
  <c r="N42" i="56"/>
  <c r="L43" i="56"/>
  <c r="N43" i="56"/>
  <c r="L44" i="56"/>
  <c r="N44" i="56"/>
  <c r="L45" i="56"/>
  <c r="N45" i="56"/>
  <c r="L46" i="56"/>
  <c r="N46" i="56"/>
  <c r="L47" i="56"/>
  <c r="N47" i="56"/>
  <c r="L48" i="56"/>
  <c r="N48" i="56"/>
  <c r="L49" i="56"/>
  <c r="N49" i="56"/>
  <c r="L50" i="56"/>
  <c r="N50" i="56"/>
  <c r="L51" i="56"/>
  <c r="N51" i="56"/>
  <c r="L52" i="56"/>
  <c r="N52" i="56"/>
  <c r="L53" i="56"/>
  <c r="N53" i="56"/>
  <c r="L54" i="56"/>
  <c r="N54" i="56"/>
  <c r="L55" i="56"/>
  <c r="N55" i="56"/>
  <c r="L56" i="56"/>
  <c r="N56" i="56"/>
  <c r="L57" i="56"/>
  <c r="N57" i="56"/>
  <c r="L58" i="56"/>
  <c r="N58" i="56"/>
  <c r="L59" i="56"/>
  <c r="N59" i="56"/>
  <c r="L60" i="56"/>
  <c r="N60" i="56"/>
  <c r="L61" i="56"/>
  <c r="N61" i="56"/>
  <c r="L62" i="56"/>
  <c r="N62" i="56"/>
  <c r="L63" i="56"/>
  <c r="N63" i="56"/>
  <c r="L64" i="56"/>
  <c r="N64" i="56"/>
  <c r="L65" i="56"/>
  <c r="N65" i="56"/>
  <c r="L66" i="56"/>
  <c r="N66" i="56"/>
  <c r="L67" i="56"/>
  <c r="N67" i="56"/>
  <c r="L68" i="56"/>
  <c r="N68" i="56"/>
  <c r="L69" i="56"/>
  <c r="N69" i="56"/>
  <c r="L70" i="56"/>
  <c r="N70" i="56"/>
  <c r="L71" i="56"/>
  <c r="N71" i="56"/>
  <c r="L72" i="56"/>
  <c r="N72" i="56"/>
  <c r="D89" i="56"/>
  <c r="D91" i="56"/>
  <c r="J93" i="56"/>
  <c r="L93" i="56"/>
  <c r="D96" i="56"/>
  <c r="O105" i="56"/>
  <c r="O106" i="56"/>
  <c r="O107" i="56"/>
  <c r="M109" i="56"/>
  <c r="O109" i="56"/>
  <c r="M110" i="56"/>
  <c r="O110" i="56"/>
  <c r="M111" i="56"/>
  <c r="O111" i="56"/>
  <c r="M112" i="56"/>
  <c r="O112" i="56"/>
  <c r="M113" i="56"/>
  <c r="O113" i="56"/>
  <c r="M114" i="56"/>
  <c r="O114" i="56"/>
  <c r="M115" i="56"/>
  <c r="O115" i="56"/>
  <c r="M116" i="56"/>
  <c r="O116" i="56"/>
  <c r="M117" i="56"/>
  <c r="O117" i="56"/>
  <c r="M118" i="56"/>
  <c r="O118" i="56"/>
  <c r="M119" i="56"/>
  <c r="O119" i="56"/>
  <c r="M120" i="56"/>
  <c r="O120" i="56"/>
  <c r="M121" i="56"/>
  <c r="O121" i="56"/>
  <c r="M122" i="56"/>
  <c r="O122" i="56"/>
  <c r="M123" i="56"/>
  <c r="O123" i="56"/>
  <c r="M124" i="56"/>
  <c r="O124" i="56"/>
  <c r="M125" i="56"/>
  <c r="O125" i="56"/>
  <c r="M126" i="56"/>
  <c r="O126" i="56"/>
  <c r="M127" i="56"/>
  <c r="O127" i="56"/>
  <c r="M128" i="56"/>
  <c r="O128" i="56"/>
  <c r="M129" i="56"/>
  <c r="O129" i="56"/>
  <c r="M130" i="56"/>
  <c r="O130" i="56"/>
  <c r="M131" i="56"/>
  <c r="O131" i="56"/>
  <c r="M132" i="56"/>
  <c r="O132" i="56"/>
  <c r="M133" i="56"/>
  <c r="O133" i="56"/>
  <c r="M134" i="56"/>
  <c r="O134" i="56"/>
  <c r="M135" i="56"/>
  <c r="O135" i="56"/>
  <c r="M136" i="56"/>
  <c r="O136" i="56"/>
  <c r="M137" i="56"/>
  <c r="O137" i="56"/>
  <c r="M138" i="56"/>
  <c r="O138" i="56"/>
  <c r="M139" i="56"/>
  <c r="O139" i="56"/>
  <c r="M140" i="56"/>
  <c r="O140" i="56"/>
  <c r="M141" i="56"/>
  <c r="O141" i="56"/>
  <c r="M142" i="56"/>
  <c r="O142" i="56"/>
  <c r="M143" i="56"/>
  <c r="O143" i="56"/>
  <c r="M144" i="56"/>
  <c r="O144" i="56"/>
  <c r="M145" i="56"/>
  <c r="O145" i="56"/>
  <c r="M146" i="56"/>
  <c r="O146" i="56"/>
  <c r="M147" i="56"/>
  <c r="O147" i="56"/>
  <c r="M148" i="56"/>
  <c r="O148" i="56"/>
  <c r="M149" i="56"/>
  <c r="O149" i="56"/>
  <c r="M150" i="56"/>
  <c r="O150" i="56"/>
  <c r="M151" i="56"/>
  <c r="O151" i="56"/>
  <c r="M152" i="56"/>
  <c r="O152" i="56"/>
  <c r="M153" i="56"/>
  <c r="O153" i="56"/>
  <c r="M154" i="56"/>
  <c r="O154" i="56"/>
  <c r="P1" i="55"/>
  <c r="P83" i="55" s="1"/>
  <c r="O3" i="55"/>
  <c r="D8" i="55"/>
  <c r="D90" i="55" s="1"/>
  <c r="K11" i="55"/>
  <c r="N17" i="55"/>
  <c r="O17" i="55" s="1"/>
  <c r="N24" i="55"/>
  <c r="N25" i="55"/>
  <c r="N26" i="55"/>
  <c r="N27" i="55"/>
  <c r="L29" i="55"/>
  <c r="N29" i="55"/>
  <c r="L30" i="55"/>
  <c r="N30" i="55"/>
  <c r="L31" i="55"/>
  <c r="N31" i="55"/>
  <c r="L32" i="55"/>
  <c r="N32" i="55"/>
  <c r="L33" i="55"/>
  <c r="N33" i="55"/>
  <c r="L34" i="55"/>
  <c r="N34" i="55"/>
  <c r="L35" i="55"/>
  <c r="N35" i="55"/>
  <c r="L36" i="55"/>
  <c r="N36" i="55"/>
  <c r="L37" i="55"/>
  <c r="N37" i="55"/>
  <c r="L38" i="55"/>
  <c r="N38" i="55"/>
  <c r="L39" i="55"/>
  <c r="N39" i="55"/>
  <c r="L40" i="55"/>
  <c r="N40" i="55"/>
  <c r="L41" i="55"/>
  <c r="N41" i="55"/>
  <c r="L42" i="55"/>
  <c r="N42" i="55"/>
  <c r="L43" i="55"/>
  <c r="N43" i="55"/>
  <c r="L44" i="55"/>
  <c r="N44" i="55"/>
  <c r="L45" i="55"/>
  <c r="N45" i="55"/>
  <c r="L46" i="55"/>
  <c r="N46" i="55"/>
  <c r="L47" i="55"/>
  <c r="N47" i="55"/>
  <c r="L48" i="55"/>
  <c r="N48" i="55"/>
  <c r="L49" i="55"/>
  <c r="N49" i="55"/>
  <c r="L50" i="55"/>
  <c r="N50" i="55"/>
  <c r="L51" i="55"/>
  <c r="N51" i="55"/>
  <c r="L52" i="55"/>
  <c r="N52" i="55"/>
  <c r="L53" i="55"/>
  <c r="N53" i="55"/>
  <c r="L54" i="55"/>
  <c r="N54" i="55"/>
  <c r="L55" i="55"/>
  <c r="N55" i="55"/>
  <c r="L56" i="55"/>
  <c r="N56" i="55"/>
  <c r="L57" i="55"/>
  <c r="N57" i="55"/>
  <c r="L58" i="55"/>
  <c r="N58" i="55"/>
  <c r="L59" i="55"/>
  <c r="N59" i="55"/>
  <c r="L60" i="55"/>
  <c r="N60" i="55"/>
  <c r="L61" i="55"/>
  <c r="N61" i="55"/>
  <c r="L62" i="55"/>
  <c r="N62" i="55"/>
  <c r="L63" i="55"/>
  <c r="N63" i="55"/>
  <c r="L64" i="55"/>
  <c r="N64" i="55"/>
  <c r="L65" i="55"/>
  <c r="N65" i="55"/>
  <c r="L66" i="55"/>
  <c r="N66" i="55"/>
  <c r="L67" i="55"/>
  <c r="N67" i="55"/>
  <c r="L68" i="55"/>
  <c r="N68" i="55"/>
  <c r="L69" i="55"/>
  <c r="N69" i="55"/>
  <c r="L70" i="55"/>
  <c r="N70" i="55"/>
  <c r="L71" i="55"/>
  <c r="N71" i="55"/>
  <c r="L72" i="55"/>
  <c r="N72" i="55"/>
  <c r="D89" i="55"/>
  <c r="J93" i="55"/>
  <c r="L93" i="55"/>
  <c r="D96" i="55"/>
  <c r="M99" i="55"/>
  <c r="O99" i="55"/>
  <c r="O105" i="55"/>
  <c r="O106" i="55"/>
  <c r="O107" i="55"/>
  <c r="M109" i="55"/>
  <c r="O109" i="55"/>
  <c r="M110" i="55"/>
  <c r="O110" i="55"/>
  <c r="M111" i="55"/>
  <c r="O111" i="55"/>
  <c r="M112" i="55"/>
  <c r="O112" i="55"/>
  <c r="M113" i="55"/>
  <c r="O113" i="55"/>
  <c r="M114" i="55"/>
  <c r="O114" i="55"/>
  <c r="M115" i="55"/>
  <c r="O115" i="55"/>
  <c r="M116" i="55"/>
  <c r="O116" i="55"/>
  <c r="M117" i="55"/>
  <c r="O117" i="55"/>
  <c r="M118" i="55"/>
  <c r="O118" i="55"/>
  <c r="M119" i="55"/>
  <c r="O119" i="55"/>
  <c r="M120" i="55"/>
  <c r="O120" i="55"/>
  <c r="M121" i="55"/>
  <c r="O121" i="55"/>
  <c r="M122" i="55"/>
  <c r="O122" i="55"/>
  <c r="M123" i="55"/>
  <c r="O123" i="55"/>
  <c r="M124" i="55"/>
  <c r="O124" i="55"/>
  <c r="M125" i="55"/>
  <c r="O125" i="55"/>
  <c r="M126" i="55"/>
  <c r="O126" i="55"/>
  <c r="M127" i="55"/>
  <c r="O127" i="55"/>
  <c r="M128" i="55"/>
  <c r="O128" i="55"/>
  <c r="M129" i="55"/>
  <c r="O129" i="55"/>
  <c r="M130" i="55"/>
  <c r="O130" i="55"/>
  <c r="M131" i="55"/>
  <c r="O131" i="55"/>
  <c r="M132" i="55"/>
  <c r="O132" i="55"/>
  <c r="M133" i="55"/>
  <c r="O133" i="55"/>
  <c r="M134" i="55"/>
  <c r="O134" i="55"/>
  <c r="M135" i="55"/>
  <c r="O135" i="55"/>
  <c r="M136" i="55"/>
  <c r="O136" i="55"/>
  <c r="M137" i="55"/>
  <c r="O137" i="55"/>
  <c r="M138" i="55"/>
  <c r="O138" i="55"/>
  <c r="M139" i="55"/>
  <c r="O139" i="55"/>
  <c r="M140" i="55"/>
  <c r="O140" i="55"/>
  <c r="M141" i="55"/>
  <c r="O141" i="55"/>
  <c r="M142" i="55"/>
  <c r="O142" i="55"/>
  <c r="M143" i="55"/>
  <c r="O143" i="55"/>
  <c r="M144" i="55"/>
  <c r="O144" i="55"/>
  <c r="M145" i="55"/>
  <c r="O145" i="55"/>
  <c r="M146" i="55"/>
  <c r="O146" i="55"/>
  <c r="M147" i="55"/>
  <c r="O147" i="55"/>
  <c r="M148" i="55"/>
  <c r="O148" i="55"/>
  <c r="M149" i="55"/>
  <c r="O149" i="55"/>
  <c r="M150" i="55"/>
  <c r="O150" i="55"/>
  <c r="M151" i="55"/>
  <c r="O151" i="55"/>
  <c r="M152" i="55"/>
  <c r="O152" i="55"/>
  <c r="M153" i="55"/>
  <c r="O153" i="55"/>
  <c r="M154" i="55"/>
  <c r="O154" i="55"/>
  <c r="P1" i="54"/>
  <c r="P83" i="54" s="1"/>
  <c r="O3" i="54"/>
  <c r="D8" i="54"/>
  <c r="D90" i="54" s="1"/>
  <c r="K11" i="54"/>
  <c r="N17" i="54"/>
  <c r="N24" i="54"/>
  <c r="N25" i="54"/>
  <c r="N26" i="54"/>
  <c r="N27" i="54"/>
  <c r="L29" i="54"/>
  <c r="N29" i="54"/>
  <c r="L30" i="54"/>
  <c r="N30" i="54"/>
  <c r="L31" i="54"/>
  <c r="N31" i="54"/>
  <c r="L32" i="54"/>
  <c r="N32" i="54"/>
  <c r="L33" i="54"/>
  <c r="N33" i="54"/>
  <c r="L34" i="54"/>
  <c r="N34" i="54"/>
  <c r="L35" i="54"/>
  <c r="N35" i="54"/>
  <c r="L36" i="54"/>
  <c r="N36" i="54"/>
  <c r="L37" i="54"/>
  <c r="N37" i="54"/>
  <c r="L38" i="54"/>
  <c r="N38" i="54"/>
  <c r="L39" i="54"/>
  <c r="N39" i="54"/>
  <c r="L40" i="54"/>
  <c r="N40" i="54"/>
  <c r="L41" i="54"/>
  <c r="N41" i="54"/>
  <c r="L42" i="54"/>
  <c r="N42" i="54"/>
  <c r="L43" i="54"/>
  <c r="N43" i="54"/>
  <c r="L44" i="54"/>
  <c r="N44" i="54"/>
  <c r="L45" i="54"/>
  <c r="N45" i="54"/>
  <c r="L46" i="54"/>
  <c r="N46" i="54"/>
  <c r="L47" i="54"/>
  <c r="N47" i="54"/>
  <c r="L48" i="54"/>
  <c r="N48" i="54"/>
  <c r="L49" i="54"/>
  <c r="N49" i="54"/>
  <c r="L50" i="54"/>
  <c r="N50" i="54"/>
  <c r="L51" i="54"/>
  <c r="N51" i="54"/>
  <c r="L52" i="54"/>
  <c r="N52" i="54"/>
  <c r="L53" i="54"/>
  <c r="N53" i="54"/>
  <c r="L54" i="54"/>
  <c r="N54" i="54"/>
  <c r="L55" i="54"/>
  <c r="N55" i="54"/>
  <c r="L56" i="54"/>
  <c r="N56" i="54"/>
  <c r="L57" i="54"/>
  <c r="N57" i="54"/>
  <c r="L58" i="54"/>
  <c r="N58" i="54"/>
  <c r="L59" i="54"/>
  <c r="N59" i="54"/>
  <c r="L60" i="54"/>
  <c r="N60" i="54"/>
  <c r="L61" i="54"/>
  <c r="N61" i="54"/>
  <c r="L62" i="54"/>
  <c r="N62" i="54"/>
  <c r="L63" i="54"/>
  <c r="N63" i="54"/>
  <c r="L64" i="54"/>
  <c r="N64" i="54"/>
  <c r="L65" i="54"/>
  <c r="N65" i="54"/>
  <c r="L66" i="54"/>
  <c r="N66" i="54"/>
  <c r="L67" i="54"/>
  <c r="N67" i="54"/>
  <c r="L68" i="54"/>
  <c r="N68" i="54"/>
  <c r="L69" i="54"/>
  <c r="N69" i="54"/>
  <c r="L70" i="54"/>
  <c r="N70" i="54"/>
  <c r="L71" i="54"/>
  <c r="N71" i="54"/>
  <c r="L72" i="54"/>
  <c r="N72" i="54"/>
  <c r="D89" i="54"/>
  <c r="D91" i="54"/>
  <c r="J93" i="54"/>
  <c r="L93" i="54"/>
  <c r="D96" i="54"/>
  <c r="O105" i="54"/>
  <c r="O106" i="54"/>
  <c r="O107" i="54"/>
  <c r="M109" i="54"/>
  <c r="O109" i="54"/>
  <c r="M110" i="54"/>
  <c r="O110" i="54"/>
  <c r="M111" i="54"/>
  <c r="O111" i="54"/>
  <c r="M112" i="54"/>
  <c r="O112" i="54"/>
  <c r="M113" i="54"/>
  <c r="O113" i="54"/>
  <c r="M114" i="54"/>
  <c r="O114" i="54"/>
  <c r="M115" i="54"/>
  <c r="O115" i="54"/>
  <c r="M116" i="54"/>
  <c r="O116" i="54"/>
  <c r="M117" i="54"/>
  <c r="O117" i="54"/>
  <c r="M118" i="54"/>
  <c r="O118" i="54"/>
  <c r="M119" i="54"/>
  <c r="O119" i="54"/>
  <c r="M120" i="54"/>
  <c r="O120" i="54"/>
  <c r="M121" i="54"/>
  <c r="O121" i="54"/>
  <c r="M122" i="54"/>
  <c r="O122" i="54"/>
  <c r="M123" i="54"/>
  <c r="O123" i="54"/>
  <c r="M124" i="54"/>
  <c r="O124" i="54"/>
  <c r="M125" i="54"/>
  <c r="O125" i="54"/>
  <c r="M126" i="54"/>
  <c r="O126" i="54"/>
  <c r="M127" i="54"/>
  <c r="O127" i="54"/>
  <c r="M128" i="54"/>
  <c r="O128" i="54"/>
  <c r="M129" i="54"/>
  <c r="O129" i="54"/>
  <c r="M130" i="54"/>
  <c r="O130" i="54"/>
  <c r="M131" i="54"/>
  <c r="O131" i="54"/>
  <c r="M132" i="54"/>
  <c r="O132" i="54"/>
  <c r="M133" i="54"/>
  <c r="O133" i="54"/>
  <c r="M134" i="54"/>
  <c r="O134" i="54"/>
  <c r="M135" i="54"/>
  <c r="O135" i="54"/>
  <c r="M136" i="54"/>
  <c r="O136" i="54"/>
  <c r="M137" i="54"/>
  <c r="O137" i="54"/>
  <c r="M138" i="54"/>
  <c r="O138" i="54"/>
  <c r="M139" i="54"/>
  <c r="O139" i="54"/>
  <c r="M140" i="54"/>
  <c r="O140" i="54"/>
  <c r="M141" i="54"/>
  <c r="O141" i="54"/>
  <c r="M142" i="54"/>
  <c r="O142" i="54"/>
  <c r="M143" i="54"/>
  <c r="O143" i="54"/>
  <c r="M144" i="54"/>
  <c r="O144" i="54"/>
  <c r="M145" i="54"/>
  <c r="O145" i="54"/>
  <c r="M146" i="54"/>
  <c r="O146" i="54"/>
  <c r="M147" i="54"/>
  <c r="O147" i="54"/>
  <c r="M148" i="54"/>
  <c r="O148" i="54"/>
  <c r="M149" i="54"/>
  <c r="O149" i="54"/>
  <c r="M150" i="54"/>
  <c r="O150" i="54"/>
  <c r="M151" i="54"/>
  <c r="O151" i="54"/>
  <c r="M152" i="54"/>
  <c r="O152" i="54"/>
  <c r="M153" i="54"/>
  <c r="O153" i="54"/>
  <c r="M154" i="54"/>
  <c r="O154" i="54"/>
  <c r="P1" i="53"/>
  <c r="P83" i="53" s="1"/>
  <c r="O3" i="53"/>
  <c r="D8" i="53"/>
  <c r="D90" i="53" s="1"/>
  <c r="K11" i="53"/>
  <c r="N17" i="53"/>
  <c r="O17" i="53" s="1"/>
  <c r="N24" i="53"/>
  <c r="N25" i="53"/>
  <c r="N26" i="53"/>
  <c r="N27" i="53"/>
  <c r="L29" i="53"/>
  <c r="N29" i="53"/>
  <c r="L30" i="53"/>
  <c r="N30" i="53"/>
  <c r="L31" i="53"/>
  <c r="N31" i="53"/>
  <c r="L32" i="53"/>
  <c r="N32" i="53"/>
  <c r="L33" i="53"/>
  <c r="N33" i="53"/>
  <c r="L34" i="53"/>
  <c r="N34" i="53"/>
  <c r="L35" i="53"/>
  <c r="N35" i="53"/>
  <c r="L36" i="53"/>
  <c r="N36" i="53"/>
  <c r="L37" i="53"/>
  <c r="N37" i="53"/>
  <c r="L38" i="53"/>
  <c r="N38" i="53"/>
  <c r="L39" i="53"/>
  <c r="N39" i="53"/>
  <c r="L40" i="53"/>
  <c r="N40" i="53"/>
  <c r="L41" i="53"/>
  <c r="N41" i="53"/>
  <c r="L42" i="53"/>
  <c r="N42" i="53"/>
  <c r="L43" i="53"/>
  <c r="N43" i="53"/>
  <c r="L44" i="53"/>
  <c r="N44" i="53"/>
  <c r="L45" i="53"/>
  <c r="N45" i="53"/>
  <c r="L46" i="53"/>
  <c r="N46" i="53"/>
  <c r="L47" i="53"/>
  <c r="N47" i="53"/>
  <c r="L48" i="53"/>
  <c r="N48" i="53"/>
  <c r="L49" i="53"/>
  <c r="N49" i="53"/>
  <c r="L50" i="53"/>
  <c r="N50" i="53"/>
  <c r="L51" i="53"/>
  <c r="N51" i="53"/>
  <c r="L52" i="53"/>
  <c r="N52" i="53"/>
  <c r="L53" i="53"/>
  <c r="N53" i="53"/>
  <c r="L54" i="53"/>
  <c r="N54" i="53"/>
  <c r="L55" i="53"/>
  <c r="N55" i="53"/>
  <c r="L56" i="53"/>
  <c r="N56" i="53"/>
  <c r="L57" i="53"/>
  <c r="N57" i="53"/>
  <c r="L58" i="53"/>
  <c r="N58" i="53"/>
  <c r="L59" i="53"/>
  <c r="N59" i="53"/>
  <c r="L60" i="53"/>
  <c r="N60" i="53"/>
  <c r="L61" i="53"/>
  <c r="N61" i="53"/>
  <c r="L62" i="53"/>
  <c r="N62" i="53"/>
  <c r="L63" i="53"/>
  <c r="N63" i="53"/>
  <c r="L64" i="53"/>
  <c r="N64" i="53"/>
  <c r="L65" i="53"/>
  <c r="N65" i="53"/>
  <c r="L66" i="53"/>
  <c r="N66" i="53"/>
  <c r="L67" i="53"/>
  <c r="N67" i="53"/>
  <c r="L68" i="53"/>
  <c r="N68" i="53"/>
  <c r="L69" i="53"/>
  <c r="N69" i="53"/>
  <c r="L70" i="53"/>
  <c r="N70" i="53"/>
  <c r="L71" i="53"/>
  <c r="N71" i="53"/>
  <c r="L72" i="53"/>
  <c r="N72" i="53"/>
  <c r="D89" i="53"/>
  <c r="D91" i="53"/>
  <c r="J93" i="53"/>
  <c r="L93" i="53"/>
  <c r="D96" i="53"/>
  <c r="O99" i="53"/>
  <c r="O105" i="53"/>
  <c r="O106" i="53"/>
  <c r="O107" i="53"/>
  <c r="M109" i="53"/>
  <c r="O109" i="53"/>
  <c r="M110" i="53"/>
  <c r="O110" i="53"/>
  <c r="M111" i="53"/>
  <c r="O111" i="53"/>
  <c r="M112" i="53"/>
  <c r="O112" i="53"/>
  <c r="M113" i="53"/>
  <c r="O113" i="53"/>
  <c r="M114" i="53"/>
  <c r="O114" i="53"/>
  <c r="M115" i="53"/>
  <c r="O115" i="53"/>
  <c r="M116" i="53"/>
  <c r="O116" i="53"/>
  <c r="M117" i="53"/>
  <c r="O117" i="53"/>
  <c r="M118" i="53"/>
  <c r="O118" i="53"/>
  <c r="M119" i="53"/>
  <c r="O119" i="53"/>
  <c r="M120" i="53"/>
  <c r="O120" i="53"/>
  <c r="M121" i="53"/>
  <c r="O121" i="53"/>
  <c r="M122" i="53"/>
  <c r="O122" i="53"/>
  <c r="M123" i="53"/>
  <c r="O123" i="53"/>
  <c r="M124" i="53"/>
  <c r="O124" i="53"/>
  <c r="M125" i="53"/>
  <c r="O125" i="53"/>
  <c r="M126" i="53"/>
  <c r="O126" i="53"/>
  <c r="M127" i="53"/>
  <c r="O127" i="53"/>
  <c r="M128" i="53"/>
  <c r="O128" i="53"/>
  <c r="M129" i="53"/>
  <c r="O129" i="53"/>
  <c r="M130" i="53"/>
  <c r="O130" i="53"/>
  <c r="M131" i="53"/>
  <c r="O131" i="53"/>
  <c r="M132" i="53"/>
  <c r="O132" i="53"/>
  <c r="M133" i="53"/>
  <c r="O133" i="53"/>
  <c r="M134" i="53"/>
  <c r="O134" i="53"/>
  <c r="M135" i="53"/>
  <c r="O135" i="53"/>
  <c r="M136" i="53"/>
  <c r="O136" i="53"/>
  <c r="M137" i="53"/>
  <c r="O137" i="53"/>
  <c r="M138" i="53"/>
  <c r="O138" i="53"/>
  <c r="M139" i="53"/>
  <c r="O139" i="53"/>
  <c r="M140" i="53"/>
  <c r="O140" i="53"/>
  <c r="M141" i="53"/>
  <c r="O141" i="53"/>
  <c r="M142" i="53"/>
  <c r="O142" i="53"/>
  <c r="M143" i="53"/>
  <c r="O143" i="53"/>
  <c r="M144" i="53"/>
  <c r="O144" i="53"/>
  <c r="M145" i="53"/>
  <c r="O145" i="53"/>
  <c r="M146" i="53"/>
  <c r="O146" i="53"/>
  <c r="M147" i="53"/>
  <c r="O147" i="53"/>
  <c r="M148" i="53"/>
  <c r="O148" i="53"/>
  <c r="M149" i="53"/>
  <c r="O149" i="53"/>
  <c r="M150" i="53"/>
  <c r="O150" i="53"/>
  <c r="M151" i="53"/>
  <c r="O151" i="53"/>
  <c r="M152" i="53"/>
  <c r="O152" i="53"/>
  <c r="M153" i="53"/>
  <c r="O153" i="53"/>
  <c r="M154" i="53"/>
  <c r="O154" i="53"/>
  <c r="N99" i="44"/>
  <c r="O99" i="44" s="1"/>
  <c r="L99" i="44"/>
  <c r="M99" i="44" s="1"/>
  <c r="N99" i="43"/>
  <c r="O99" i="43" s="1"/>
  <c r="L99" i="43"/>
  <c r="N99" i="42"/>
  <c r="O99" i="42" s="1"/>
  <c r="L99" i="42"/>
  <c r="M99" i="42" s="1"/>
  <c r="N99" i="41"/>
  <c r="O99" i="41" s="1"/>
  <c r="L99" i="41"/>
  <c r="N99" i="39"/>
  <c r="O99" i="39" s="1"/>
  <c r="L99" i="39"/>
  <c r="M99" i="39" s="1"/>
  <c r="N101" i="34"/>
  <c r="O101" i="34" s="1"/>
  <c r="L101" i="34"/>
  <c r="N101" i="32"/>
  <c r="O101" i="32" s="1"/>
  <c r="L101" i="32"/>
  <c r="M101" i="32" s="1"/>
  <c r="P101" i="32" s="1"/>
  <c r="N101" i="31"/>
  <c r="O101" i="31" s="1"/>
  <c r="L101" i="31"/>
  <c r="N102" i="30"/>
  <c r="O102" i="30" s="1"/>
  <c r="L102" i="30"/>
  <c r="M102" i="30" s="1"/>
  <c r="P102" i="30" s="1"/>
  <c r="N102" i="29"/>
  <c r="O102" i="29" s="1"/>
  <c r="L102" i="29"/>
  <c r="N103" i="28"/>
  <c r="L103" i="28"/>
  <c r="N102" i="27"/>
  <c r="O102" i="27" s="1"/>
  <c r="L102" i="27"/>
  <c r="N101" i="24"/>
  <c r="L101" i="24"/>
  <c r="M101" i="24" s="1"/>
  <c r="N101" i="23"/>
  <c r="L101" i="23"/>
  <c r="N100" i="22"/>
  <c r="L100" i="22"/>
  <c r="M100" i="22" s="1"/>
  <c r="N100" i="21"/>
  <c r="L100" i="21"/>
  <c r="N100" i="20"/>
  <c r="L100" i="20"/>
  <c r="N100" i="19"/>
  <c r="O100" i="19" s="1"/>
  <c r="L100" i="19"/>
  <c r="M100" i="19" s="1"/>
  <c r="N100" i="18"/>
  <c r="L100" i="18"/>
  <c r="M100" i="18" s="1"/>
  <c r="N100" i="17"/>
  <c r="L100" i="17"/>
  <c r="N100" i="3"/>
  <c r="L100" i="3"/>
  <c r="M100" i="3" s="1"/>
  <c r="P100" i="3" s="1"/>
  <c r="M17" i="45"/>
  <c r="N17" i="45" s="1"/>
  <c r="P1" i="46"/>
  <c r="P83" i="46" s="1"/>
  <c r="O3" i="46"/>
  <c r="D8" i="46"/>
  <c r="D90" i="46" s="1"/>
  <c r="K11" i="46"/>
  <c r="N17" i="46"/>
  <c r="N24" i="46"/>
  <c r="O24" i="46" s="1"/>
  <c r="N25" i="46"/>
  <c r="N26" i="46"/>
  <c r="N27" i="46"/>
  <c r="L29" i="46"/>
  <c r="N29" i="46"/>
  <c r="L30" i="46"/>
  <c r="N30" i="46"/>
  <c r="L31" i="46"/>
  <c r="N31" i="46"/>
  <c r="L32" i="46"/>
  <c r="N32" i="46"/>
  <c r="L33" i="46"/>
  <c r="N33" i="46"/>
  <c r="L34" i="46"/>
  <c r="N34" i="46"/>
  <c r="L35" i="46"/>
  <c r="N35" i="46"/>
  <c r="L36" i="46"/>
  <c r="N36" i="46"/>
  <c r="L37" i="46"/>
  <c r="N37" i="46"/>
  <c r="L38" i="46"/>
  <c r="N38" i="46"/>
  <c r="L39" i="46"/>
  <c r="N39" i="46"/>
  <c r="L40" i="46"/>
  <c r="N40" i="46"/>
  <c r="L41" i="46"/>
  <c r="N41" i="46"/>
  <c r="L42" i="46"/>
  <c r="N42" i="46"/>
  <c r="L43" i="46"/>
  <c r="N43" i="46"/>
  <c r="L44" i="46"/>
  <c r="N44" i="46"/>
  <c r="L45" i="46"/>
  <c r="N45" i="46"/>
  <c r="L46" i="46"/>
  <c r="N46" i="46"/>
  <c r="L47" i="46"/>
  <c r="N47" i="46"/>
  <c r="L48" i="46"/>
  <c r="N48" i="46"/>
  <c r="L49" i="46"/>
  <c r="N49" i="46"/>
  <c r="L50" i="46"/>
  <c r="N50" i="46"/>
  <c r="L51" i="46"/>
  <c r="N51" i="46"/>
  <c r="L52" i="46"/>
  <c r="N52" i="46"/>
  <c r="L53" i="46"/>
  <c r="N53" i="46"/>
  <c r="L54" i="46"/>
  <c r="N54" i="46"/>
  <c r="L55" i="46"/>
  <c r="N55" i="46"/>
  <c r="L56" i="46"/>
  <c r="N56" i="46"/>
  <c r="L57" i="46"/>
  <c r="N57" i="46"/>
  <c r="L58" i="46"/>
  <c r="N58" i="46"/>
  <c r="L59" i="46"/>
  <c r="N59" i="46"/>
  <c r="L60" i="46"/>
  <c r="N60" i="46"/>
  <c r="L61" i="46"/>
  <c r="N61" i="46"/>
  <c r="L62" i="46"/>
  <c r="N62" i="46"/>
  <c r="L63" i="46"/>
  <c r="N63" i="46"/>
  <c r="L64" i="46"/>
  <c r="N64" i="46"/>
  <c r="L65" i="46"/>
  <c r="N65" i="46"/>
  <c r="L66" i="46"/>
  <c r="N66" i="46"/>
  <c r="L67" i="46"/>
  <c r="N67" i="46"/>
  <c r="L68" i="46"/>
  <c r="N68" i="46"/>
  <c r="L69" i="46"/>
  <c r="N69" i="46"/>
  <c r="L70" i="46"/>
  <c r="N70" i="46"/>
  <c r="L71" i="46"/>
  <c r="N71" i="46"/>
  <c r="L72" i="46"/>
  <c r="N72" i="46"/>
  <c r="D89" i="46"/>
  <c r="D91" i="46"/>
  <c r="J93" i="46"/>
  <c r="L93" i="46"/>
  <c r="D96" i="46"/>
  <c r="M99" i="46"/>
  <c r="O105" i="46"/>
  <c r="O106" i="46"/>
  <c r="O107" i="46"/>
  <c r="M109" i="46"/>
  <c r="O109" i="46"/>
  <c r="M110" i="46"/>
  <c r="O110" i="46"/>
  <c r="M111" i="46"/>
  <c r="O111" i="46"/>
  <c r="M112" i="46"/>
  <c r="O112" i="46"/>
  <c r="M113" i="46"/>
  <c r="O113" i="46"/>
  <c r="M114" i="46"/>
  <c r="O114" i="46"/>
  <c r="M115" i="46"/>
  <c r="O115" i="46"/>
  <c r="M116" i="46"/>
  <c r="O116" i="46"/>
  <c r="M117" i="46"/>
  <c r="O117" i="46"/>
  <c r="M118" i="46"/>
  <c r="O118" i="46"/>
  <c r="M119" i="46"/>
  <c r="O119" i="46"/>
  <c r="M120" i="46"/>
  <c r="O120" i="46"/>
  <c r="M121" i="46"/>
  <c r="O121" i="46"/>
  <c r="M122" i="46"/>
  <c r="O122" i="46"/>
  <c r="M123" i="46"/>
  <c r="O123" i="46"/>
  <c r="M124" i="46"/>
  <c r="O124" i="46"/>
  <c r="M125" i="46"/>
  <c r="O125" i="46"/>
  <c r="M126" i="46"/>
  <c r="O126" i="46"/>
  <c r="M127" i="46"/>
  <c r="O127" i="46"/>
  <c r="M128" i="46"/>
  <c r="O128" i="46"/>
  <c r="M129" i="46"/>
  <c r="O129" i="46"/>
  <c r="M130" i="46"/>
  <c r="O130" i="46"/>
  <c r="M131" i="46"/>
  <c r="O131" i="46"/>
  <c r="M132" i="46"/>
  <c r="O132" i="46"/>
  <c r="M133" i="46"/>
  <c r="O133" i="46"/>
  <c r="M134" i="46"/>
  <c r="O134" i="46"/>
  <c r="M135" i="46"/>
  <c r="O135" i="46"/>
  <c r="M136" i="46"/>
  <c r="O136" i="46"/>
  <c r="M137" i="46"/>
  <c r="O137" i="46"/>
  <c r="M138" i="46"/>
  <c r="O138" i="46"/>
  <c r="M139" i="46"/>
  <c r="O139" i="46"/>
  <c r="M140" i="46"/>
  <c r="O140" i="46"/>
  <c r="M141" i="46"/>
  <c r="O141" i="46"/>
  <c r="M142" i="46"/>
  <c r="O142" i="46"/>
  <c r="M143" i="46"/>
  <c r="O143" i="46"/>
  <c r="M144" i="46"/>
  <c r="O144" i="46"/>
  <c r="M145" i="46"/>
  <c r="O145" i="46"/>
  <c r="M146" i="46"/>
  <c r="O146" i="46"/>
  <c r="M147" i="46"/>
  <c r="O147" i="46"/>
  <c r="M148" i="46"/>
  <c r="O148" i="46"/>
  <c r="M149" i="46"/>
  <c r="O149" i="46"/>
  <c r="M150" i="46"/>
  <c r="O150" i="46"/>
  <c r="M151" i="46"/>
  <c r="O151" i="46"/>
  <c r="M152" i="46"/>
  <c r="O152" i="46"/>
  <c r="M153" i="46"/>
  <c r="O153" i="46"/>
  <c r="M154" i="46"/>
  <c r="O154" i="46"/>
  <c r="M18" i="44"/>
  <c r="N18" i="44" s="1"/>
  <c r="M18" i="43"/>
  <c r="N18" i="43" s="1"/>
  <c r="M18" i="42"/>
  <c r="M18" i="41"/>
  <c r="M18" i="39"/>
  <c r="N18" i="39" s="1"/>
  <c r="M20" i="35"/>
  <c r="K20" i="35"/>
  <c r="M20" i="34"/>
  <c r="N20" i="34" s="1"/>
  <c r="M20" i="32"/>
  <c r="N20" i="32" s="1"/>
  <c r="M20" i="31"/>
  <c r="N20" i="31" s="1"/>
  <c r="M21" i="30"/>
  <c r="M21" i="29"/>
  <c r="M22" i="28"/>
  <c r="N22" i="28" s="1"/>
  <c r="M21" i="27"/>
  <c r="N21" i="27" s="1"/>
  <c r="M20" i="24"/>
  <c r="M20" i="23"/>
  <c r="M19" i="22"/>
  <c r="M19" i="21"/>
  <c r="N19" i="21" s="1"/>
  <c r="M19" i="20"/>
  <c r="M19" i="19"/>
  <c r="N19" i="19" s="1"/>
  <c r="M19" i="18"/>
  <c r="M19" i="17"/>
  <c r="N19" i="17" s="1"/>
  <c r="M19" i="3"/>
  <c r="N19" i="3" s="1"/>
  <c r="K18" i="3"/>
  <c r="L18" i="3" s="1"/>
  <c r="K18" i="17"/>
  <c r="K18" i="18"/>
  <c r="L18" i="18" s="1"/>
  <c r="K18" i="19"/>
  <c r="K18" i="20"/>
  <c r="K18" i="21"/>
  <c r="K18" i="22"/>
  <c r="K19" i="23"/>
  <c r="K19" i="24"/>
  <c r="L19" i="24" s="1"/>
  <c r="K20" i="27"/>
  <c r="K21" i="28"/>
  <c r="K20" i="29"/>
  <c r="K20" i="30"/>
  <c r="L20" i="30" s="1"/>
  <c r="K19" i="31"/>
  <c r="L19" i="31" s="1"/>
  <c r="K19" i="32"/>
  <c r="L19" i="32" s="1"/>
  <c r="K19" i="34"/>
  <c r="K17" i="39"/>
  <c r="L17" i="39" s="1"/>
  <c r="O17" i="39" s="1"/>
  <c r="K17" i="41"/>
  <c r="L17" i="41" s="1"/>
  <c r="K17" i="42"/>
  <c r="L17" i="42" s="1"/>
  <c r="K17" i="43"/>
  <c r="L17" i="43" s="1"/>
  <c r="K17" i="44"/>
  <c r="L17" i="44" s="1"/>
  <c r="W43" i="36"/>
  <c r="D17" i="25"/>
  <c r="I14" i="25"/>
  <c r="E17" i="25" s="1"/>
  <c r="D17" i="26"/>
  <c r="I14" i="26"/>
  <c r="E17" i="26" s="1"/>
  <c r="D17" i="33"/>
  <c r="I14" i="33"/>
  <c r="E17" i="33" s="1"/>
  <c r="C17" i="35"/>
  <c r="C18" i="35" s="1"/>
  <c r="C19" i="35" s="1"/>
  <c r="C20" i="35" s="1"/>
  <c r="C21" i="35" s="1"/>
  <c r="C22" i="35" s="1"/>
  <c r="C23" i="35" s="1"/>
  <c r="C24" i="35" s="1"/>
  <c r="C25" i="35" s="1"/>
  <c r="C26" i="35" s="1"/>
  <c r="C27" i="35" s="1"/>
  <c r="C28" i="35" s="1"/>
  <c r="C29" i="35" s="1"/>
  <c r="C30" i="35" s="1"/>
  <c r="C31" i="35" s="1"/>
  <c r="C32" i="35" s="1"/>
  <c r="C33" i="35" s="1"/>
  <c r="C34" i="35" s="1"/>
  <c r="C35" i="35" s="1"/>
  <c r="C36" i="35" s="1"/>
  <c r="C37" i="35" s="1"/>
  <c r="C38" i="35" s="1"/>
  <c r="C39" i="35" s="1"/>
  <c r="C40" i="35" s="1"/>
  <c r="C41" i="35" s="1"/>
  <c r="C42" i="35" s="1"/>
  <c r="C43" i="35" s="1"/>
  <c r="C44" i="35" s="1"/>
  <c r="C45" i="35" s="1"/>
  <c r="C46" i="35" s="1"/>
  <c r="C47" i="35" s="1"/>
  <c r="C48" i="35" s="1"/>
  <c r="C49" i="35" s="1"/>
  <c r="C50" i="35" s="1"/>
  <c r="C51" i="35" s="1"/>
  <c r="C52" i="35" s="1"/>
  <c r="C53" i="35" s="1"/>
  <c r="C54" i="35" s="1"/>
  <c r="C55" i="35" s="1"/>
  <c r="C56" i="35" s="1"/>
  <c r="C57" i="35" s="1"/>
  <c r="C58" i="35" s="1"/>
  <c r="C59" i="35" s="1"/>
  <c r="C60" i="35" s="1"/>
  <c r="C61" i="35" s="1"/>
  <c r="C62" i="35" s="1"/>
  <c r="C63" i="35" s="1"/>
  <c r="C64" i="35" s="1"/>
  <c r="C65" i="35" s="1"/>
  <c r="C66" i="35" s="1"/>
  <c r="C67" i="35" s="1"/>
  <c r="C68" i="35" s="1"/>
  <c r="C69" i="35" s="1"/>
  <c r="C70" i="35" s="1"/>
  <c r="C71" i="35" s="1"/>
  <c r="C72" i="35" s="1"/>
  <c r="I14" i="35"/>
  <c r="E21" i="35" s="1"/>
  <c r="F21" i="35" s="1"/>
  <c r="K19" i="35"/>
  <c r="L19" i="35" s="1"/>
  <c r="P1" i="45"/>
  <c r="P83" i="45" s="1"/>
  <c r="O3" i="45"/>
  <c r="D8" i="45"/>
  <c r="D90" i="45" s="1"/>
  <c r="K11" i="45"/>
  <c r="L17" i="45"/>
  <c r="B18" i="45"/>
  <c r="N25" i="45"/>
  <c r="O25" i="45" s="1"/>
  <c r="N26" i="45"/>
  <c r="N27" i="45"/>
  <c r="N28" i="45"/>
  <c r="L30" i="45"/>
  <c r="N30" i="45"/>
  <c r="L31" i="45"/>
  <c r="N31" i="45"/>
  <c r="L32" i="45"/>
  <c r="N32" i="45"/>
  <c r="L33" i="45"/>
  <c r="N33" i="45"/>
  <c r="L34" i="45"/>
  <c r="N34" i="45"/>
  <c r="L35" i="45"/>
  <c r="N35" i="45"/>
  <c r="L36" i="45"/>
  <c r="N36" i="45"/>
  <c r="L37" i="45"/>
  <c r="N37" i="45"/>
  <c r="L38" i="45"/>
  <c r="N38" i="45"/>
  <c r="L39" i="45"/>
  <c r="N39" i="45"/>
  <c r="L40" i="45"/>
  <c r="N40" i="45"/>
  <c r="L41" i="45"/>
  <c r="N41" i="45"/>
  <c r="L42" i="45"/>
  <c r="N42" i="45"/>
  <c r="L43" i="45"/>
  <c r="N43" i="45"/>
  <c r="L44" i="45"/>
  <c r="N44" i="45"/>
  <c r="L45" i="45"/>
  <c r="N45" i="45"/>
  <c r="L46" i="45"/>
  <c r="N46" i="45"/>
  <c r="L47" i="45"/>
  <c r="N47" i="45"/>
  <c r="L48" i="45"/>
  <c r="N48" i="45"/>
  <c r="L49" i="45"/>
  <c r="N49" i="45"/>
  <c r="L50" i="45"/>
  <c r="N50" i="45"/>
  <c r="L51" i="45"/>
  <c r="N51" i="45"/>
  <c r="L52" i="45"/>
  <c r="N52" i="45"/>
  <c r="L53" i="45"/>
  <c r="N53" i="45"/>
  <c r="L54" i="45"/>
  <c r="N54" i="45"/>
  <c r="L55" i="45"/>
  <c r="N55" i="45"/>
  <c r="L56" i="45"/>
  <c r="N56" i="45"/>
  <c r="L57" i="45"/>
  <c r="N57" i="45"/>
  <c r="L58" i="45"/>
  <c r="N58" i="45"/>
  <c r="L59" i="45"/>
  <c r="N59" i="45"/>
  <c r="L60" i="45"/>
  <c r="N60" i="45"/>
  <c r="L61" i="45"/>
  <c r="N61" i="45"/>
  <c r="L62" i="45"/>
  <c r="N62" i="45"/>
  <c r="L63" i="45"/>
  <c r="N63" i="45"/>
  <c r="L64" i="45"/>
  <c r="N64" i="45"/>
  <c r="L65" i="45"/>
  <c r="N65" i="45"/>
  <c r="L66" i="45"/>
  <c r="N66" i="45"/>
  <c r="L67" i="45"/>
  <c r="N67" i="45"/>
  <c r="L68" i="45"/>
  <c r="N68" i="45"/>
  <c r="L69" i="45"/>
  <c r="N69" i="45"/>
  <c r="L70" i="45"/>
  <c r="N70" i="45"/>
  <c r="L71" i="45"/>
  <c r="N71" i="45"/>
  <c r="L72" i="45"/>
  <c r="N72" i="45"/>
  <c r="D89" i="45"/>
  <c r="D91" i="45"/>
  <c r="J93" i="45"/>
  <c r="L93" i="45"/>
  <c r="D96" i="45"/>
  <c r="M99" i="45"/>
  <c r="P99" i="45" s="1"/>
  <c r="O99" i="45"/>
  <c r="M100" i="45"/>
  <c r="O100" i="45"/>
  <c r="P100" i="45" s="1"/>
  <c r="O106" i="45"/>
  <c r="O107" i="45"/>
  <c r="O108" i="45"/>
  <c r="M110" i="45"/>
  <c r="O110" i="45"/>
  <c r="M111" i="45"/>
  <c r="O111" i="45"/>
  <c r="M112" i="45"/>
  <c r="O112" i="45"/>
  <c r="M113" i="45"/>
  <c r="O113" i="45"/>
  <c r="M114" i="45"/>
  <c r="O114" i="45"/>
  <c r="M115" i="45"/>
  <c r="O115" i="45"/>
  <c r="M116" i="45"/>
  <c r="O116" i="45"/>
  <c r="M117" i="45"/>
  <c r="O117" i="45"/>
  <c r="M118" i="45"/>
  <c r="O118" i="45"/>
  <c r="M119" i="45"/>
  <c r="O119" i="45"/>
  <c r="M120" i="45"/>
  <c r="O120" i="45"/>
  <c r="M121" i="45"/>
  <c r="O121" i="45"/>
  <c r="M122" i="45"/>
  <c r="O122" i="45"/>
  <c r="M123" i="45"/>
  <c r="O123" i="45"/>
  <c r="M124" i="45"/>
  <c r="O124" i="45"/>
  <c r="M125" i="45"/>
  <c r="O125" i="45"/>
  <c r="M126" i="45"/>
  <c r="O126" i="45"/>
  <c r="M127" i="45"/>
  <c r="O127" i="45"/>
  <c r="M128" i="45"/>
  <c r="O128" i="45"/>
  <c r="M129" i="45"/>
  <c r="O129" i="45"/>
  <c r="M130" i="45"/>
  <c r="O130" i="45"/>
  <c r="M131" i="45"/>
  <c r="O131" i="45"/>
  <c r="M132" i="45"/>
  <c r="O132" i="45"/>
  <c r="M133" i="45"/>
  <c r="O133" i="45"/>
  <c r="M134" i="45"/>
  <c r="O134" i="45"/>
  <c r="M135" i="45"/>
  <c r="O135" i="45"/>
  <c r="M136" i="45"/>
  <c r="O136" i="45"/>
  <c r="M137" i="45"/>
  <c r="O137" i="45"/>
  <c r="M138" i="45"/>
  <c r="O138" i="45"/>
  <c r="M139" i="45"/>
  <c r="O139" i="45"/>
  <c r="M140" i="45"/>
  <c r="O140" i="45"/>
  <c r="M141" i="45"/>
  <c r="O141" i="45"/>
  <c r="M142" i="45"/>
  <c r="O142" i="45"/>
  <c r="M143" i="45"/>
  <c r="O143" i="45"/>
  <c r="M144" i="45"/>
  <c r="O144" i="45"/>
  <c r="M145" i="45"/>
  <c r="O145" i="45"/>
  <c r="M146" i="45"/>
  <c r="O146" i="45"/>
  <c r="M147" i="45"/>
  <c r="O147" i="45"/>
  <c r="M148" i="45"/>
  <c r="O148" i="45"/>
  <c r="M149" i="45"/>
  <c r="O149" i="45"/>
  <c r="M150" i="45"/>
  <c r="O150" i="45"/>
  <c r="M151" i="45"/>
  <c r="O151" i="45"/>
  <c r="M152" i="45"/>
  <c r="O152" i="45"/>
  <c r="M153" i="45"/>
  <c r="O153" i="45"/>
  <c r="M154" i="45"/>
  <c r="O154" i="45"/>
  <c r="M17" i="44"/>
  <c r="N17" i="44" s="1"/>
  <c r="M17" i="43"/>
  <c r="N17" i="43" s="1"/>
  <c r="M17" i="42"/>
  <c r="N17" i="42" s="1"/>
  <c r="O17" i="42" s="1"/>
  <c r="M17" i="41"/>
  <c r="M17" i="39"/>
  <c r="N17" i="39" s="1"/>
  <c r="N100" i="35"/>
  <c r="L100" i="35"/>
  <c r="M100" i="35" s="1"/>
  <c r="M19" i="35"/>
  <c r="N19" i="35" s="1"/>
  <c r="N100" i="34"/>
  <c r="O100" i="34" s="1"/>
  <c r="L100" i="34"/>
  <c r="M19" i="34"/>
  <c r="N19" i="34" s="1"/>
  <c r="N100" i="32"/>
  <c r="O100" i="32" s="1"/>
  <c r="L100" i="32"/>
  <c r="M19" i="32"/>
  <c r="N100" i="31"/>
  <c r="O100" i="31" s="1"/>
  <c r="L100" i="31"/>
  <c r="M19" i="31"/>
  <c r="N101" i="30"/>
  <c r="O101" i="30" s="1"/>
  <c r="L101" i="30"/>
  <c r="M101" i="30" s="1"/>
  <c r="M20" i="30"/>
  <c r="N101" i="29"/>
  <c r="L101" i="29"/>
  <c r="M101" i="29" s="1"/>
  <c r="M20" i="29"/>
  <c r="N20" i="29" s="1"/>
  <c r="N102" i="28"/>
  <c r="L102" i="28"/>
  <c r="M21" i="28"/>
  <c r="N21" i="28" s="1"/>
  <c r="N101" i="27"/>
  <c r="O101" i="27" s="1"/>
  <c r="L101" i="27"/>
  <c r="M101" i="27" s="1"/>
  <c r="M20" i="27"/>
  <c r="N20" i="27" s="1"/>
  <c r="N100" i="24"/>
  <c r="L100" i="24"/>
  <c r="M19" i="24"/>
  <c r="N100" i="23"/>
  <c r="L100" i="23"/>
  <c r="M19" i="23"/>
  <c r="N19" i="23" s="1"/>
  <c r="N99" i="22"/>
  <c r="L99" i="22"/>
  <c r="M18" i="22"/>
  <c r="N99" i="21"/>
  <c r="O99" i="21" s="1"/>
  <c r="L99" i="21"/>
  <c r="M18" i="21"/>
  <c r="N99" i="20"/>
  <c r="L99" i="20"/>
  <c r="M99" i="20" s="1"/>
  <c r="M18" i="20"/>
  <c r="N99" i="19"/>
  <c r="L99" i="19"/>
  <c r="M18" i="19"/>
  <c r="N18" i="19" s="1"/>
  <c r="N99" i="18"/>
  <c r="L99" i="18"/>
  <c r="M18" i="18"/>
  <c r="N99" i="17"/>
  <c r="L99" i="17"/>
  <c r="M99" i="17" s="1"/>
  <c r="M18" i="17"/>
  <c r="N99" i="3"/>
  <c r="L99" i="3"/>
  <c r="M18" i="3"/>
  <c r="I17" i="3"/>
  <c r="I14" i="13"/>
  <c r="W100" i="29"/>
  <c r="W99" i="29"/>
  <c r="B100" i="27"/>
  <c r="L17" i="25"/>
  <c r="B19" i="27"/>
  <c r="B101" i="17"/>
  <c r="B100" i="17"/>
  <c r="B101" i="18"/>
  <c r="B100" i="18"/>
  <c r="B101" i="19"/>
  <c r="B100" i="19"/>
  <c r="B101" i="20"/>
  <c r="B100" i="20"/>
  <c r="B101" i="21"/>
  <c r="B100" i="21"/>
  <c r="B101" i="22"/>
  <c r="B100" i="22"/>
  <c r="B102" i="23"/>
  <c r="B101" i="23"/>
  <c r="B100" i="23"/>
  <c r="B102" i="24"/>
  <c r="B101" i="24"/>
  <c r="B100" i="24"/>
  <c r="B103" i="27"/>
  <c r="B102" i="27"/>
  <c r="B104" i="28"/>
  <c r="B103" i="28"/>
  <c r="B102" i="28"/>
  <c r="B101" i="28"/>
  <c r="B100" i="28"/>
  <c r="B103" i="29"/>
  <c r="B102" i="29"/>
  <c r="B101" i="29"/>
  <c r="B100" i="29"/>
  <c r="B102" i="30"/>
  <c r="B101" i="30"/>
  <c r="B100" i="30"/>
  <c r="B101" i="31"/>
  <c r="B100" i="31"/>
  <c r="B102" i="32"/>
  <c r="B101" i="32"/>
  <c r="B100" i="32"/>
  <c r="B102" i="34"/>
  <c r="B101" i="34"/>
  <c r="B100" i="34"/>
  <c r="B101" i="35"/>
  <c r="B100" i="35"/>
  <c r="B100" i="39"/>
  <c r="B101" i="3"/>
  <c r="B100" i="3"/>
  <c r="B20" i="17"/>
  <c r="B19" i="17"/>
  <c r="B18" i="17"/>
  <c r="B20" i="18"/>
  <c r="B19" i="18"/>
  <c r="B18" i="18"/>
  <c r="B21" i="19"/>
  <c r="B20" i="19"/>
  <c r="B19" i="19"/>
  <c r="B18" i="19"/>
  <c r="B20" i="20"/>
  <c r="B19" i="20"/>
  <c r="B18" i="20"/>
  <c r="B20" i="21"/>
  <c r="B19" i="21"/>
  <c r="B18" i="21"/>
  <c r="B20" i="22"/>
  <c r="B19" i="22"/>
  <c r="B18" i="22"/>
  <c r="B22" i="23"/>
  <c r="B21" i="23"/>
  <c r="B20" i="23"/>
  <c r="B19" i="23"/>
  <c r="B18" i="23"/>
  <c r="B21" i="24"/>
  <c r="B20" i="24"/>
  <c r="B19" i="24"/>
  <c r="B18" i="24"/>
  <c r="B22" i="27"/>
  <c r="B21" i="27"/>
  <c r="B18" i="27"/>
  <c r="B23" i="28"/>
  <c r="B22" i="28"/>
  <c r="B21" i="28"/>
  <c r="B20" i="28"/>
  <c r="B19" i="28"/>
  <c r="B18" i="28"/>
  <c r="B22" i="29"/>
  <c r="B21" i="29"/>
  <c r="B20" i="29"/>
  <c r="B19" i="29"/>
  <c r="B18" i="29"/>
  <c r="B23" i="30"/>
  <c r="B22" i="30"/>
  <c r="B21" i="30"/>
  <c r="B20" i="30"/>
  <c r="B19" i="30"/>
  <c r="B18" i="30"/>
  <c r="B21" i="31"/>
  <c r="B20" i="31"/>
  <c r="B19" i="31"/>
  <c r="B18" i="31"/>
  <c r="B21" i="32"/>
  <c r="B20" i="32"/>
  <c r="B19" i="32"/>
  <c r="B18" i="32"/>
  <c r="B21" i="34"/>
  <c r="B20" i="34"/>
  <c r="B19" i="34"/>
  <c r="B18" i="34"/>
  <c r="B21" i="35"/>
  <c r="B20" i="35"/>
  <c r="B19" i="35"/>
  <c r="B18" i="35"/>
  <c r="B19" i="39"/>
  <c r="B18" i="39"/>
  <c r="B19" i="41"/>
  <c r="B18" i="41"/>
  <c r="B19" i="42"/>
  <c r="B18" i="42"/>
  <c r="B19" i="43"/>
  <c r="B18" i="43"/>
  <c r="B19" i="44"/>
  <c r="B18" i="44"/>
  <c r="B20" i="3"/>
  <c r="B19" i="3"/>
  <c r="B18" i="3"/>
  <c r="D8" i="17"/>
  <c r="D90" i="17" s="1"/>
  <c r="D8" i="18"/>
  <c r="D90" i="18" s="1"/>
  <c r="D8" i="19"/>
  <c r="D90" i="19" s="1"/>
  <c r="D8" i="20"/>
  <c r="D90" i="20" s="1"/>
  <c r="D8" i="21"/>
  <c r="D90" i="21" s="1"/>
  <c r="D8" i="22"/>
  <c r="D90" i="22" s="1"/>
  <c r="D8" i="23"/>
  <c r="D90" i="23" s="1"/>
  <c r="D8" i="24"/>
  <c r="D90" i="24" s="1"/>
  <c r="D8" i="25"/>
  <c r="D90" i="25" s="1"/>
  <c r="D8" i="26"/>
  <c r="D90" i="26" s="1"/>
  <c r="D8" i="27"/>
  <c r="D90" i="27" s="1"/>
  <c r="D8" i="28"/>
  <c r="D90" i="28" s="1"/>
  <c r="D8" i="29"/>
  <c r="D90" i="29" s="1"/>
  <c r="D8" i="30"/>
  <c r="D90" i="30" s="1"/>
  <c r="D8" i="31"/>
  <c r="D90" i="31" s="1"/>
  <c r="D8" i="32"/>
  <c r="D90" i="32" s="1"/>
  <c r="D8" i="33"/>
  <c r="D90" i="33" s="1"/>
  <c r="D8" i="34"/>
  <c r="D8" i="39"/>
  <c r="D90" i="39" s="1"/>
  <c r="D8" i="41"/>
  <c r="D90" i="41" s="1"/>
  <c r="D8" i="42"/>
  <c r="D90" i="42" s="1"/>
  <c r="D8" i="43"/>
  <c r="D90" i="43" s="1"/>
  <c r="D8" i="44"/>
  <c r="D90" i="44" s="1"/>
  <c r="D8" i="13"/>
  <c r="D90" i="13" s="1"/>
  <c r="D8" i="3"/>
  <c r="D90" i="3" s="1"/>
  <c r="D90" i="34"/>
  <c r="D90" i="35"/>
  <c r="C18" i="13"/>
  <c r="C19" i="13" s="1"/>
  <c r="C20" i="13" s="1"/>
  <c r="C21" i="13" s="1"/>
  <c r="C22" i="13" s="1"/>
  <c r="C23" i="13" s="1"/>
  <c r="C24" i="13" s="1"/>
  <c r="C25" i="13" s="1"/>
  <c r="C26" i="13" s="1"/>
  <c r="C27" i="13" s="1"/>
  <c r="C28" i="13" s="1"/>
  <c r="C29" i="13" s="1"/>
  <c r="C30" i="13" s="1"/>
  <c r="C31" i="13" s="1"/>
  <c r="C32" i="13" s="1"/>
  <c r="C33" i="13" s="1"/>
  <c r="C34" i="13" s="1"/>
  <c r="C35" i="13" s="1"/>
  <c r="C36" i="13" s="1"/>
  <c r="C37" i="13" s="1"/>
  <c r="C38" i="13" s="1"/>
  <c r="C39" i="13" s="1"/>
  <c r="C40" i="13" s="1"/>
  <c r="C41" i="13" s="1"/>
  <c r="C42" i="13" s="1"/>
  <c r="C43" i="13" s="1"/>
  <c r="C44" i="13" s="1"/>
  <c r="W42" i="36"/>
  <c r="W41" i="36"/>
  <c r="W40" i="36"/>
  <c r="W39" i="36"/>
  <c r="W38" i="36"/>
  <c r="P1" i="44"/>
  <c r="P83" i="44" s="1"/>
  <c r="O3" i="44"/>
  <c r="K11" i="44"/>
  <c r="L18" i="44"/>
  <c r="L19" i="44"/>
  <c r="N19" i="44"/>
  <c r="N26" i="44"/>
  <c r="O26" i="44" s="1"/>
  <c r="N27" i="44"/>
  <c r="N28" i="44"/>
  <c r="N29" i="44"/>
  <c r="L31" i="44"/>
  <c r="N31" i="44"/>
  <c r="L32" i="44"/>
  <c r="N32" i="44"/>
  <c r="L33" i="44"/>
  <c r="N33" i="44"/>
  <c r="L34" i="44"/>
  <c r="N34" i="44"/>
  <c r="L35" i="44"/>
  <c r="N35" i="44"/>
  <c r="L36" i="44"/>
  <c r="N36" i="44"/>
  <c r="L37" i="44"/>
  <c r="N37" i="44"/>
  <c r="L38" i="44"/>
  <c r="N38" i="44"/>
  <c r="L39" i="44"/>
  <c r="N39" i="44"/>
  <c r="L40" i="44"/>
  <c r="N40" i="44"/>
  <c r="L41" i="44"/>
  <c r="N41" i="44"/>
  <c r="L42" i="44"/>
  <c r="N42" i="44"/>
  <c r="L43" i="44"/>
  <c r="N43" i="44"/>
  <c r="L44" i="44"/>
  <c r="N44" i="44"/>
  <c r="L45" i="44"/>
  <c r="N45" i="44"/>
  <c r="L46" i="44"/>
  <c r="N46" i="44"/>
  <c r="L47" i="44"/>
  <c r="N47" i="44"/>
  <c r="L48" i="44"/>
  <c r="N48" i="44"/>
  <c r="L49" i="44"/>
  <c r="N49" i="44"/>
  <c r="L50" i="44"/>
  <c r="N50" i="44"/>
  <c r="L51" i="44"/>
  <c r="N51" i="44"/>
  <c r="L52" i="44"/>
  <c r="N52" i="44"/>
  <c r="L53" i="44"/>
  <c r="N53" i="44"/>
  <c r="L54" i="44"/>
  <c r="N54" i="44"/>
  <c r="L55" i="44"/>
  <c r="N55" i="44"/>
  <c r="L56" i="44"/>
  <c r="N56" i="44"/>
  <c r="L57" i="44"/>
  <c r="N57" i="44"/>
  <c r="L58" i="44"/>
  <c r="N58" i="44"/>
  <c r="L59" i="44"/>
  <c r="N59" i="44"/>
  <c r="L60" i="44"/>
  <c r="N60" i="44"/>
  <c r="L61" i="44"/>
  <c r="N61" i="44"/>
  <c r="L62" i="44"/>
  <c r="N62" i="44"/>
  <c r="L63" i="44"/>
  <c r="N63" i="44"/>
  <c r="L64" i="44"/>
  <c r="N64" i="44"/>
  <c r="L65" i="44"/>
  <c r="N65" i="44"/>
  <c r="L66" i="44"/>
  <c r="N66" i="44"/>
  <c r="L67" i="44"/>
  <c r="N67" i="44"/>
  <c r="L68" i="44"/>
  <c r="N68" i="44"/>
  <c r="L69" i="44"/>
  <c r="N69" i="44"/>
  <c r="L70" i="44"/>
  <c r="N70" i="44"/>
  <c r="L71" i="44"/>
  <c r="N71" i="44"/>
  <c r="L72" i="44"/>
  <c r="N72" i="44"/>
  <c r="D89" i="44"/>
  <c r="D91" i="44"/>
  <c r="J93" i="44"/>
  <c r="L93" i="44"/>
  <c r="D96" i="44"/>
  <c r="J99" i="44"/>
  <c r="O107" i="44"/>
  <c r="O108" i="44"/>
  <c r="O109" i="44"/>
  <c r="M111" i="44"/>
  <c r="O111" i="44"/>
  <c r="M112" i="44"/>
  <c r="O112" i="44"/>
  <c r="M113" i="44"/>
  <c r="O113" i="44"/>
  <c r="M114" i="44"/>
  <c r="O114" i="44"/>
  <c r="M115" i="44"/>
  <c r="O115" i="44"/>
  <c r="M116" i="44"/>
  <c r="O116" i="44"/>
  <c r="M117" i="44"/>
  <c r="O117" i="44"/>
  <c r="M118" i="44"/>
  <c r="O118" i="44"/>
  <c r="M119" i="44"/>
  <c r="O119" i="44"/>
  <c r="M120" i="44"/>
  <c r="O120" i="44"/>
  <c r="M121" i="44"/>
  <c r="O121" i="44"/>
  <c r="M122" i="44"/>
  <c r="O122" i="44"/>
  <c r="M123" i="44"/>
  <c r="O123" i="44"/>
  <c r="M124" i="44"/>
  <c r="O124" i="44"/>
  <c r="M125" i="44"/>
  <c r="O125" i="44"/>
  <c r="M126" i="44"/>
  <c r="O126" i="44"/>
  <c r="M127" i="44"/>
  <c r="O127" i="44"/>
  <c r="M128" i="44"/>
  <c r="O128" i="44"/>
  <c r="M129" i="44"/>
  <c r="O129" i="44"/>
  <c r="M130" i="44"/>
  <c r="O130" i="44"/>
  <c r="M131" i="44"/>
  <c r="O131" i="44"/>
  <c r="M132" i="44"/>
  <c r="O132" i="44"/>
  <c r="M133" i="44"/>
  <c r="O133" i="44"/>
  <c r="M134" i="44"/>
  <c r="O134" i="44"/>
  <c r="M135" i="44"/>
  <c r="O135" i="44"/>
  <c r="M136" i="44"/>
  <c r="O136" i="44"/>
  <c r="M137" i="44"/>
  <c r="O137" i="44"/>
  <c r="M138" i="44"/>
  <c r="O138" i="44"/>
  <c r="M139" i="44"/>
  <c r="O139" i="44"/>
  <c r="M140" i="44"/>
  <c r="O140" i="44"/>
  <c r="M141" i="44"/>
  <c r="O141" i="44"/>
  <c r="M142" i="44"/>
  <c r="O142" i="44"/>
  <c r="M143" i="44"/>
  <c r="O143" i="44"/>
  <c r="M144" i="44"/>
  <c r="O144" i="44"/>
  <c r="M145" i="44"/>
  <c r="O145" i="44"/>
  <c r="M146" i="44"/>
  <c r="O146" i="44"/>
  <c r="M147" i="44"/>
  <c r="O147" i="44"/>
  <c r="M148" i="44"/>
  <c r="O148" i="44"/>
  <c r="M149" i="44"/>
  <c r="O149" i="44"/>
  <c r="M150" i="44"/>
  <c r="O150" i="44"/>
  <c r="M151" i="44"/>
  <c r="O151" i="44"/>
  <c r="M152" i="44"/>
  <c r="O152" i="44"/>
  <c r="M153" i="44"/>
  <c r="O153" i="44"/>
  <c r="M154" i="44"/>
  <c r="O154" i="44"/>
  <c r="P1" i="43"/>
  <c r="P83" i="43" s="1"/>
  <c r="O3" i="43"/>
  <c r="K11" i="43"/>
  <c r="L19" i="43"/>
  <c r="N19" i="43"/>
  <c r="N26" i="43"/>
  <c r="N27" i="43"/>
  <c r="N28" i="43"/>
  <c r="N29" i="43"/>
  <c r="L31" i="43"/>
  <c r="N31" i="43"/>
  <c r="L32" i="43"/>
  <c r="N32" i="43"/>
  <c r="L33" i="43"/>
  <c r="N33" i="43"/>
  <c r="L34" i="43"/>
  <c r="N34" i="43"/>
  <c r="L35" i="43"/>
  <c r="N35" i="43"/>
  <c r="L36" i="43"/>
  <c r="N36" i="43"/>
  <c r="L37" i="43"/>
  <c r="N37" i="43"/>
  <c r="L38" i="43"/>
  <c r="N38" i="43"/>
  <c r="L39" i="43"/>
  <c r="N39" i="43"/>
  <c r="L40" i="43"/>
  <c r="N40" i="43"/>
  <c r="L41" i="43"/>
  <c r="N41" i="43"/>
  <c r="L42" i="43"/>
  <c r="N42" i="43"/>
  <c r="L43" i="43"/>
  <c r="N43" i="43"/>
  <c r="L44" i="43"/>
  <c r="N44" i="43"/>
  <c r="L45" i="43"/>
  <c r="N45" i="43"/>
  <c r="L46" i="43"/>
  <c r="N46" i="43"/>
  <c r="L47" i="43"/>
  <c r="N47" i="43"/>
  <c r="L48" i="43"/>
  <c r="N48" i="43"/>
  <c r="L49" i="43"/>
  <c r="N49" i="43"/>
  <c r="L50" i="43"/>
  <c r="N50" i="43"/>
  <c r="L51" i="43"/>
  <c r="N51" i="43"/>
  <c r="L52" i="43"/>
  <c r="N52" i="43"/>
  <c r="L53" i="43"/>
  <c r="N53" i="43"/>
  <c r="L54" i="43"/>
  <c r="N54" i="43"/>
  <c r="L55" i="43"/>
  <c r="N55" i="43"/>
  <c r="L56" i="43"/>
  <c r="N56" i="43"/>
  <c r="L57" i="43"/>
  <c r="N57" i="43"/>
  <c r="L58" i="43"/>
  <c r="N58" i="43"/>
  <c r="L59" i="43"/>
  <c r="N59" i="43"/>
  <c r="L60" i="43"/>
  <c r="N60" i="43"/>
  <c r="L61" i="43"/>
  <c r="N61" i="43"/>
  <c r="L62" i="43"/>
  <c r="N62" i="43"/>
  <c r="L63" i="43"/>
  <c r="N63" i="43"/>
  <c r="L64" i="43"/>
  <c r="N64" i="43"/>
  <c r="L65" i="43"/>
  <c r="N65" i="43"/>
  <c r="L66" i="43"/>
  <c r="N66" i="43"/>
  <c r="L67" i="43"/>
  <c r="N67" i="43"/>
  <c r="L68" i="43"/>
  <c r="N68" i="43"/>
  <c r="L69" i="43"/>
  <c r="N69" i="43"/>
  <c r="L70" i="43"/>
  <c r="N70" i="43"/>
  <c r="L71" i="43"/>
  <c r="N71" i="43"/>
  <c r="L72" i="43"/>
  <c r="N72" i="43"/>
  <c r="D89" i="43"/>
  <c r="D91" i="43"/>
  <c r="J93" i="43"/>
  <c r="L93" i="43"/>
  <c r="D96" i="43"/>
  <c r="J99" i="43"/>
  <c r="M99" i="43"/>
  <c r="O100" i="43"/>
  <c r="M101" i="43"/>
  <c r="O101" i="43"/>
  <c r="P101" i="43" s="1"/>
  <c r="O107" i="43"/>
  <c r="O108" i="43"/>
  <c r="O109" i="43"/>
  <c r="M111" i="43"/>
  <c r="O111" i="43"/>
  <c r="M112" i="43"/>
  <c r="O112" i="43"/>
  <c r="M113" i="43"/>
  <c r="O113" i="43"/>
  <c r="M114" i="43"/>
  <c r="O114" i="43"/>
  <c r="M115" i="43"/>
  <c r="O115" i="43"/>
  <c r="M116" i="43"/>
  <c r="O116" i="43"/>
  <c r="M117" i="43"/>
  <c r="O117" i="43"/>
  <c r="M118" i="43"/>
  <c r="O118" i="43"/>
  <c r="M119" i="43"/>
  <c r="O119" i="43"/>
  <c r="M120" i="43"/>
  <c r="O120" i="43"/>
  <c r="M121" i="43"/>
  <c r="O121" i="43"/>
  <c r="M122" i="43"/>
  <c r="O122" i="43"/>
  <c r="M123" i="43"/>
  <c r="O123" i="43"/>
  <c r="M124" i="43"/>
  <c r="O124" i="43"/>
  <c r="M125" i="43"/>
  <c r="O125" i="43"/>
  <c r="M126" i="43"/>
  <c r="O126" i="43"/>
  <c r="M127" i="43"/>
  <c r="O127" i="43"/>
  <c r="M128" i="43"/>
  <c r="O128" i="43"/>
  <c r="M129" i="43"/>
  <c r="O129" i="43"/>
  <c r="M130" i="43"/>
  <c r="O130" i="43"/>
  <c r="M131" i="43"/>
  <c r="O131" i="43"/>
  <c r="M132" i="43"/>
  <c r="O132" i="43"/>
  <c r="M133" i="43"/>
  <c r="O133" i="43"/>
  <c r="M134" i="43"/>
  <c r="O134" i="43"/>
  <c r="M135" i="43"/>
  <c r="O135" i="43"/>
  <c r="M136" i="43"/>
  <c r="O136" i="43"/>
  <c r="M137" i="43"/>
  <c r="O137" i="43"/>
  <c r="M138" i="43"/>
  <c r="O138" i="43"/>
  <c r="M139" i="43"/>
  <c r="O139" i="43"/>
  <c r="M140" i="43"/>
  <c r="O140" i="43"/>
  <c r="M141" i="43"/>
  <c r="O141" i="43"/>
  <c r="M142" i="43"/>
  <c r="O142" i="43"/>
  <c r="M143" i="43"/>
  <c r="O143" i="43"/>
  <c r="M144" i="43"/>
  <c r="O144" i="43"/>
  <c r="M145" i="43"/>
  <c r="O145" i="43"/>
  <c r="M146" i="43"/>
  <c r="O146" i="43"/>
  <c r="M147" i="43"/>
  <c r="O147" i="43"/>
  <c r="M148" i="43"/>
  <c r="O148" i="43"/>
  <c r="M149" i="43"/>
  <c r="O149" i="43"/>
  <c r="M150" i="43"/>
  <c r="O150" i="43"/>
  <c r="M151" i="43"/>
  <c r="O151" i="43"/>
  <c r="M152" i="43"/>
  <c r="O152" i="43"/>
  <c r="M153" i="43"/>
  <c r="O153" i="43"/>
  <c r="M154" i="43"/>
  <c r="O154" i="43"/>
  <c r="P1" i="42"/>
  <c r="P83" i="42" s="1"/>
  <c r="O3" i="42"/>
  <c r="K11" i="42"/>
  <c r="L18" i="42"/>
  <c r="N18" i="42"/>
  <c r="N19" i="42"/>
  <c r="N26" i="42"/>
  <c r="O26" i="42" s="1"/>
  <c r="N27" i="42"/>
  <c r="N28" i="42"/>
  <c r="N29" i="42"/>
  <c r="L31" i="42"/>
  <c r="N31" i="42"/>
  <c r="L32" i="42"/>
  <c r="N32" i="42"/>
  <c r="L33" i="42"/>
  <c r="N33" i="42"/>
  <c r="L34" i="42"/>
  <c r="N34" i="42"/>
  <c r="L35" i="42"/>
  <c r="N35" i="42"/>
  <c r="L36" i="42"/>
  <c r="N36" i="42"/>
  <c r="L37" i="42"/>
  <c r="N37" i="42"/>
  <c r="L38" i="42"/>
  <c r="N38" i="42"/>
  <c r="L39" i="42"/>
  <c r="N39" i="42"/>
  <c r="L40" i="42"/>
  <c r="N40" i="42"/>
  <c r="L41" i="42"/>
  <c r="N41" i="42"/>
  <c r="L42" i="42"/>
  <c r="N42" i="42"/>
  <c r="L43" i="42"/>
  <c r="N43" i="42"/>
  <c r="L44" i="42"/>
  <c r="N44" i="42"/>
  <c r="L45" i="42"/>
  <c r="N45" i="42"/>
  <c r="L46" i="42"/>
  <c r="N46" i="42"/>
  <c r="L47" i="42"/>
  <c r="N47" i="42"/>
  <c r="L48" i="42"/>
  <c r="N48" i="42"/>
  <c r="L49" i="42"/>
  <c r="N49" i="42"/>
  <c r="L50" i="42"/>
  <c r="N50" i="42"/>
  <c r="L51" i="42"/>
  <c r="N51" i="42"/>
  <c r="L52" i="42"/>
  <c r="N52" i="42"/>
  <c r="L53" i="42"/>
  <c r="N53" i="42"/>
  <c r="L54" i="42"/>
  <c r="N54" i="42"/>
  <c r="L55" i="42"/>
  <c r="N55" i="42"/>
  <c r="L56" i="42"/>
  <c r="N56" i="42"/>
  <c r="L57" i="42"/>
  <c r="N57" i="42"/>
  <c r="L58" i="42"/>
  <c r="N58" i="42"/>
  <c r="L59" i="42"/>
  <c r="N59" i="42"/>
  <c r="L60" i="42"/>
  <c r="N60" i="42"/>
  <c r="L61" i="42"/>
  <c r="N61" i="42"/>
  <c r="L62" i="42"/>
  <c r="N62" i="42"/>
  <c r="L63" i="42"/>
  <c r="N63" i="42"/>
  <c r="L64" i="42"/>
  <c r="N64" i="42"/>
  <c r="L65" i="42"/>
  <c r="N65" i="42"/>
  <c r="L66" i="42"/>
  <c r="N66" i="42"/>
  <c r="L67" i="42"/>
  <c r="N67" i="42"/>
  <c r="L68" i="42"/>
  <c r="N68" i="42"/>
  <c r="L69" i="42"/>
  <c r="N69" i="42"/>
  <c r="L70" i="42"/>
  <c r="N70" i="42"/>
  <c r="L71" i="42"/>
  <c r="N71" i="42"/>
  <c r="L72" i="42"/>
  <c r="N72" i="42"/>
  <c r="D89" i="42"/>
  <c r="D91" i="42"/>
  <c r="J93" i="42"/>
  <c r="L93" i="42"/>
  <c r="D96" i="42"/>
  <c r="J99" i="42"/>
  <c r="M100" i="42"/>
  <c r="O107" i="42"/>
  <c r="O108" i="42"/>
  <c r="O109" i="42"/>
  <c r="M111" i="42"/>
  <c r="O111" i="42"/>
  <c r="M112" i="42"/>
  <c r="O112" i="42"/>
  <c r="M113" i="42"/>
  <c r="O113" i="42"/>
  <c r="M114" i="42"/>
  <c r="O114" i="42"/>
  <c r="M115" i="42"/>
  <c r="O115" i="42"/>
  <c r="M116" i="42"/>
  <c r="O116" i="42"/>
  <c r="M117" i="42"/>
  <c r="O117" i="42"/>
  <c r="M118" i="42"/>
  <c r="O118" i="42"/>
  <c r="M119" i="42"/>
  <c r="O119" i="42"/>
  <c r="M120" i="42"/>
  <c r="O120" i="42"/>
  <c r="M121" i="42"/>
  <c r="O121" i="42"/>
  <c r="M122" i="42"/>
  <c r="O122" i="42"/>
  <c r="M123" i="42"/>
  <c r="O123" i="42"/>
  <c r="M124" i="42"/>
  <c r="O124" i="42"/>
  <c r="M125" i="42"/>
  <c r="O125" i="42"/>
  <c r="M126" i="42"/>
  <c r="O126" i="42"/>
  <c r="M127" i="42"/>
  <c r="O127" i="42"/>
  <c r="M128" i="42"/>
  <c r="O128" i="42"/>
  <c r="M129" i="42"/>
  <c r="O129" i="42"/>
  <c r="M130" i="42"/>
  <c r="O130" i="42"/>
  <c r="M131" i="42"/>
  <c r="O131" i="42"/>
  <c r="M132" i="42"/>
  <c r="O132" i="42"/>
  <c r="M133" i="42"/>
  <c r="O133" i="42"/>
  <c r="M134" i="42"/>
  <c r="O134" i="42"/>
  <c r="M135" i="42"/>
  <c r="O135" i="42"/>
  <c r="M136" i="42"/>
  <c r="O136" i="42"/>
  <c r="M137" i="42"/>
  <c r="O137" i="42"/>
  <c r="M138" i="42"/>
  <c r="O138" i="42"/>
  <c r="M139" i="42"/>
  <c r="O139" i="42"/>
  <c r="M140" i="42"/>
  <c r="O140" i="42"/>
  <c r="M141" i="42"/>
  <c r="O141" i="42"/>
  <c r="M142" i="42"/>
  <c r="O142" i="42"/>
  <c r="M143" i="42"/>
  <c r="O143" i="42"/>
  <c r="M144" i="42"/>
  <c r="O144" i="42"/>
  <c r="M145" i="42"/>
  <c r="O145" i="42"/>
  <c r="M146" i="42"/>
  <c r="O146" i="42"/>
  <c r="M147" i="42"/>
  <c r="O147" i="42"/>
  <c r="M148" i="42"/>
  <c r="O148" i="42"/>
  <c r="M149" i="42"/>
  <c r="O149" i="42"/>
  <c r="M150" i="42"/>
  <c r="O150" i="42"/>
  <c r="M151" i="42"/>
  <c r="O151" i="42"/>
  <c r="M152" i="42"/>
  <c r="O152" i="42"/>
  <c r="M153" i="42"/>
  <c r="O153" i="42"/>
  <c r="M154" i="42"/>
  <c r="O154" i="42"/>
  <c r="P1" i="41"/>
  <c r="P83" i="41" s="1"/>
  <c r="O3" i="41"/>
  <c r="K11" i="41"/>
  <c r="N17" i="41"/>
  <c r="L18" i="41"/>
  <c r="N18" i="41"/>
  <c r="N19" i="41"/>
  <c r="N26" i="41"/>
  <c r="N27" i="41"/>
  <c r="O27" i="41" s="1"/>
  <c r="N28" i="41"/>
  <c r="N29" i="41"/>
  <c r="L31" i="41"/>
  <c r="N31" i="41"/>
  <c r="L32" i="41"/>
  <c r="N32" i="41"/>
  <c r="L33" i="41"/>
  <c r="N33" i="41"/>
  <c r="L34" i="41"/>
  <c r="N34" i="41"/>
  <c r="L35" i="41"/>
  <c r="N35" i="41"/>
  <c r="L36" i="41"/>
  <c r="N36" i="41"/>
  <c r="L37" i="41"/>
  <c r="N37" i="41"/>
  <c r="L38" i="41"/>
  <c r="N38" i="41"/>
  <c r="L39" i="41"/>
  <c r="N39" i="41"/>
  <c r="L40" i="41"/>
  <c r="N40" i="41"/>
  <c r="L41" i="41"/>
  <c r="N41" i="41"/>
  <c r="L42" i="41"/>
  <c r="N42" i="41"/>
  <c r="L43" i="41"/>
  <c r="N43" i="41"/>
  <c r="L44" i="41"/>
  <c r="N44" i="41"/>
  <c r="L45" i="41"/>
  <c r="N45" i="41"/>
  <c r="L46" i="41"/>
  <c r="N46" i="41"/>
  <c r="L47" i="41"/>
  <c r="N47" i="41"/>
  <c r="L48" i="41"/>
  <c r="N48" i="41"/>
  <c r="L49" i="41"/>
  <c r="N49" i="41"/>
  <c r="L50" i="41"/>
  <c r="N50" i="41"/>
  <c r="L51" i="41"/>
  <c r="N51" i="41"/>
  <c r="L52" i="41"/>
  <c r="N52" i="41"/>
  <c r="L53" i="41"/>
  <c r="N53" i="41"/>
  <c r="L54" i="41"/>
  <c r="N54" i="41"/>
  <c r="L55" i="41"/>
  <c r="N55" i="41"/>
  <c r="L56" i="41"/>
  <c r="N56" i="41"/>
  <c r="L57" i="41"/>
  <c r="N57" i="41"/>
  <c r="L58" i="41"/>
  <c r="N58" i="41"/>
  <c r="L59" i="41"/>
  <c r="N59" i="41"/>
  <c r="L60" i="41"/>
  <c r="N60" i="41"/>
  <c r="L61" i="41"/>
  <c r="N61" i="41"/>
  <c r="L62" i="41"/>
  <c r="N62" i="41"/>
  <c r="L63" i="41"/>
  <c r="N63" i="41"/>
  <c r="L64" i="41"/>
  <c r="N64" i="41"/>
  <c r="L65" i="41"/>
  <c r="N65" i="41"/>
  <c r="L66" i="41"/>
  <c r="N66" i="41"/>
  <c r="L67" i="41"/>
  <c r="N67" i="41"/>
  <c r="L68" i="41"/>
  <c r="N68" i="41"/>
  <c r="L69" i="41"/>
  <c r="N69" i="41"/>
  <c r="L70" i="41"/>
  <c r="N70" i="41"/>
  <c r="L71" i="41"/>
  <c r="N71" i="41"/>
  <c r="L72" i="41"/>
  <c r="N72" i="41"/>
  <c r="D89" i="41"/>
  <c r="D91" i="41"/>
  <c r="J93" i="41"/>
  <c r="L93" i="41"/>
  <c r="D96" i="41"/>
  <c r="J99" i="41"/>
  <c r="M99" i="41"/>
  <c r="P100" i="41"/>
  <c r="M101" i="41"/>
  <c r="O101" i="41"/>
  <c r="O107" i="41"/>
  <c r="O108" i="41"/>
  <c r="O109" i="41"/>
  <c r="M111" i="41"/>
  <c r="O111" i="41"/>
  <c r="M112" i="41"/>
  <c r="O112" i="41"/>
  <c r="M113" i="41"/>
  <c r="O113" i="41"/>
  <c r="M114" i="41"/>
  <c r="O114" i="41"/>
  <c r="M115" i="41"/>
  <c r="O115" i="41"/>
  <c r="M116" i="41"/>
  <c r="O116" i="41"/>
  <c r="M117" i="41"/>
  <c r="O117" i="41"/>
  <c r="M118" i="41"/>
  <c r="O118" i="41"/>
  <c r="M119" i="41"/>
  <c r="O119" i="41"/>
  <c r="M120" i="41"/>
  <c r="O120" i="41"/>
  <c r="M121" i="41"/>
  <c r="O121" i="41"/>
  <c r="M122" i="41"/>
  <c r="O122" i="41"/>
  <c r="M123" i="41"/>
  <c r="O123" i="41"/>
  <c r="M124" i="41"/>
  <c r="O124" i="41"/>
  <c r="M125" i="41"/>
  <c r="O125" i="41"/>
  <c r="M126" i="41"/>
  <c r="O126" i="41"/>
  <c r="M127" i="41"/>
  <c r="O127" i="41"/>
  <c r="M128" i="41"/>
  <c r="O128" i="41"/>
  <c r="M129" i="41"/>
  <c r="O129" i="41"/>
  <c r="M130" i="41"/>
  <c r="O130" i="41"/>
  <c r="M131" i="41"/>
  <c r="O131" i="41"/>
  <c r="M132" i="41"/>
  <c r="O132" i="41"/>
  <c r="M133" i="41"/>
  <c r="O133" i="41"/>
  <c r="M134" i="41"/>
  <c r="O134" i="41"/>
  <c r="M135" i="41"/>
  <c r="O135" i="41"/>
  <c r="M136" i="41"/>
  <c r="O136" i="41"/>
  <c r="M137" i="41"/>
  <c r="O137" i="41"/>
  <c r="M138" i="41"/>
  <c r="O138" i="41"/>
  <c r="M139" i="41"/>
  <c r="O139" i="41"/>
  <c r="M140" i="41"/>
  <c r="O140" i="41"/>
  <c r="M141" i="41"/>
  <c r="O141" i="41"/>
  <c r="M142" i="41"/>
  <c r="O142" i="41"/>
  <c r="M143" i="41"/>
  <c r="O143" i="41"/>
  <c r="M144" i="41"/>
  <c r="O144" i="41"/>
  <c r="M145" i="41"/>
  <c r="O145" i="41"/>
  <c r="M146" i="41"/>
  <c r="O146" i="41"/>
  <c r="M147" i="41"/>
  <c r="O147" i="41"/>
  <c r="M148" i="41"/>
  <c r="O148" i="41"/>
  <c r="M149" i="41"/>
  <c r="O149" i="41"/>
  <c r="M150" i="41"/>
  <c r="O150" i="41"/>
  <c r="M151" i="41"/>
  <c r="O151" i="41"/>
  <c r="M152" i="41"/>
  <c r="O152" i="41"/>
  <c r="M153" i="41"/>
  <c r="O153" i="41"/>
  <c r="M154" i="41"/>
  <c r="O154" i="41"/>
  <c r="P1" i="39"/>
  <c r="P83" i="39" s="1"/>
  <c r="O3" i="39"/>
  <c r="K11" i="39"/>
  <c r="L19" i="39"/>
  <c r="O19" i="39" s="1"/>
  <c r="N19" i="39"/>
  <c r="N26" i="39"/>
  <c r="O26" i="39" s="1"/>
  <c r="N27" i="39"/>
  <c r="N28" i="39"/>
  <c r="N29" i="39"/>
  <c r="L31" i="39"/>
  <c r="N31" i="39"/>
  <c r="L32" i="39"/>
  <c r="N32" i="39"/>
  <c r="L33" i="39"/>
  <c r="N33" i="39"/>
  <c r="L34" i="39"/>
  <c r="N34" i="39"/>
  <c r="L35" i="39"/>
  <c r="N35" i="39"/>
  <c r="L36" i="39"/>
  <c r="N36" i="39"/>
  <c r="L37" i="39"/>
  <c r="N37" i="39"/>
  <c r="L38" i="39"/>
  <c r="N38" i="39"/>
  <c r="L39" i="39"/>
  <c r="N39" i="39"/>
  <c r="L40" i="39"/>
  <c r="N40" i="39"/>
  <c r="L41" i="39"/>
  <c r="N41" i="39"/>
  <c r="L42" i="39"/>
  <c r="N42" i="39"/>
  <c r="L43" i="39"/>
  <c r="N43" i="39"/>
  <c r="L44" i="39"/>
  <c r="N44" i="39"/>
  <c r="L45" i="39"/>
  <c r="N45" i="39"/>
  <c r="L46" i="39"/>
  <c r="N46" i="39"/>
  <c r="L47" i="39"/>
  <c r="N47" i="39"/>
  <c r="L48" i="39"/>
  <c r="N48" i="39"/>
  <c r="L49" i="39"/>
  <c r="N49" i="39"/>
  <c r="L50" i="39"/>
  <c r="N50" i="39"/>
  <c r="L51" i="39"/>
  <c r="N51" i="39"/>
  <c r="L52" i="39"/>
  <c r="N52" i="39"/>
  <c r="L53" i="39"/>
  <c r="N53" i="39"/>
  <c r="L54" i="39"/>
  <c r="N54" i="39"/>
  <c r="L55" i="39"/>
  <c r="N55" i="39"/>
  <c r="L56" i="39"/>
  <c r="N56" i="39"/>
  <c r="L57" i="39"/>
  <c r="N57" i="39"/>
  <c r="L58" i="39"/>
  <c r="N58" i="39"/>
  <c r="L59" i="39"/>
  <c r="N59" i="39"/>
  <c r="L60" i="39"/>
  <c r="N60" i="39"/>
  <c r="L61" i="39"/>
  <c r="N61" i="39"/>
  <c r="L62" i="39"/>
  <c r="N62" i="39"/>
  <c r="L63" i="39"/>
  <c r="N63" i="39"/>
  <c r="L64" i="39"/>
  <c r="N64" i="39"/>
  <c r="L65" i="39"/>
  <c r="N65" i="39"/>
  <c r="L66" i="39"/>
  <c r="N66" i="39"/>
  <c r="L67" i="39"/>
  <c r="N67" i="39"/>
  <c r="L68" i="39"/>
  <c r="N68" i="39"/>
  <c r="L69" i="39"/>
  <c r="N69" i="39"/>
  <c r="L70" i="39"/>
  <c r="N70" i="39"/>
  <c r="L71" i="39"/>
  <c r="N71" i="39"/>
  <c r="L72" i="39"/>
  <c r="N72" i="39"/>
  <c r="D89" i="39"/>
  <c r="D91" i="39"/>
  <c r="J93" i="39"/>
  <c r="L93" i="39"/>
  <c r="D96" i="39"/>
  <c r="J99" i="39"/>
  <c r="O101" i="39"/>
  <c r="O107" i="39"/>
  <c r="O108" i="39"/>
  <c r="O109" i="39"/>
  <c r="M111" i="39"/>
  <c r="O111" i="39"/>
  <c r="M112" i="39"/>
  <c r="O112" i="39"/>
  <c r="M113" i="39"/>
  <c r="O113" i="39"/>
  <c r="M114" i="39"/>
  <c r="O114" i="39"/>
  <c r="M115" i="39"/>
  <c r="O115" i="39"/>
  <c r="M116" i="39"/>
  <c r="O116" i="39"/>
  <c r="M117" i="39"/>
  <c r="O117" i="39"/>
  <c r="M118" i="39"/>
  <c r="O118" i="39"/>
  <c r="M119" i="39"/>
  <c r="O119" i="39"/>
  <c r="M120" i="39"/>
  <c r="O120" i="39"/>
  <c r="M121" i="39"/>
  <c r="O121" i="39"/>
  <c r="M122" i="39"/>
  <c r="O122" i="39"/>
  <c r="M123" i="39"/>
  <c r="O123" i="39"/>
  <c r="M124" i="39"/>
  <c r="O124" i="39"/>
  <c r="M125" i="39"/>
  <c r="O125" i="39"/>
  <c r="M126" i="39"/>
  <c r="O126" i="39"/>
  <c r="M127" i="39"/>
  <c r="O127" i="39"/>
  <c r="M128" i="39"/>
  <c r="O128" i="39"/>
  <c r="M129" i="39"/>
  <c r="O129" i="39"/>
  <c r="M130" i="39"/>
  <c r="O130" i="39"/>
  <c r="M131" i="39"/>
  <c r="O131" i="39"/>
  <c r="M132" i="39"/>
  <c r="O132" i="39"/>
  <c r="M133" i="39"/>
  <c r="O133" i="39"/>
  <c r="M134" i="39"/>
  <c r="O134" i="39"/>
  <c r="M135" i="39"/>
  <c r="O135" i="39"/>
  <c r="M136" i="39"/>
  <c r="O136" i="39"/>
  <c r="M137" i="39"/>
  <c r="O137" i="39"/>
  <c r="M138" i="39"/>
  <c r="O138" i="39"/>
  <c r="M139" i="39"/>
  <c r="O139" i="39"/>
  <c r="M140" i="39"/>
  <c r="O140" i="39"/>
  <c r="M141" i="39"/>
  <c r="O141" i="39"/>
  <c r="M142" i="39"/>
  <c r="O142" i="39"/>
  <c r="M143" i="39"/>
  <c r="O143" i="39"/>
  <c r="M144" i="39"/>
  <c r="O144" i="39"/>
  <c r="M145" i="39"/>
  <c r="O145" i="39"/>
  <c r="M146" i="39"/>
  <c r="O146" i="39"/>
  <c r="M147" i="39"/>
  <c r="O147" i="39"/>
  <c r="M148" i="39"/>
  <c r="O148" i="39"/>
  <c r="M149" i="39"/>
  <c r="O149" i="39"/>
  <c r="M150" i="39"/>
  <c r="O150" i="39"/>
  <c r="M151" i="39"/>
  <c r="O151" i="39"/>
  <c r="M152" i="39"/>
  <c r="O152" i="39"/>
  <c r="M153" i="39"/>
  <c r="O153" i="39"/>
  <c r="M154" i="39"/>
  <c r="O154" i="39"/>
  <c r="J92" i="13"/>
  <c r="O100" i="28"/>
  <c r="O101" i="28"/>
  <c r="O102" i="28"/>
  <c r="O103" i="28"/>
  <c r="M100" i="28"/>
  <c r="P100" i="28" s="1"/>
  <c r="M101" i="28"/>
  <c r="W19" i="36"/>
  <c r="W20" i="36"/>
  <c r="W21" i="36"/>
  <c r="W22" i="36"/>
  <c r="W23" i="36"/>
  <c r="W24" i="36"/>
  <c r="W25" i="36"/>
  <c r="W26" i="36"/>
  <c r="W27" i="36"/>
  <c r="W28" i="36"/>
  <c r="W29" i="36"/>
  <c r="W30" i="36"/>
  <c r="W31" i="36"/>
  <c r="W32" i="36"/>
  <c r="W33" i="36"/>
  <c r="W34" i="36"/>
  <c r="W35" i="36"/>
  <c r="W36" i="36"/>
  <c r="W37" i="36"/>
  <c r="W18" i="36"/>
  <c r="L12" i="36"/>
  <c r="P12" i="36"/>
  <c r="G12" i="36"/>
  <c r="A9" i="36" s="1"/>
  <c r="D89" i="35"/>
  <c r="P1" i="35"/>
  <c r="P83" i="35" s="1"/>
  <c r="O3" i="35"/>
  <c r="K11" i="35"/>
  <c r="I17" i="35"/>
  <c r="L17" i="35"/>
  <c r="N17" i="35"/>
  <c r="I18" i="35"/>
  <c r="L18" i="35"/>
  <c r="N18" i="35"/>
  <c r="L20" i="35"/>
  <c r="N20" i="35"/>
  <c r="L21" i="35"/>
  <c r="N21" i="35"/>
  <c r="L22" i="35"/>
  <c r="N22" i="35"/>
  <c r="L23" i="35"/>
  <c r="N23" i="35"/>
  <c r="L24" i="35"/>
  <c r="N24" i="35"/>
  <c r="L25" i="35"/>
  <c r="N25" i="35"/>
  <c r="L26" i="35"/>
  <c r="N26" i="35"/>
  <c r="L27" i="35"/>
  <c r="N27" i="35"/>
  <c r="L28" i="35"/>
  <c r="N28" i="35"/>
  <c r="L29" i="35"/>
  <c r="N29" i="35"/>
  <c r="L30" i="35"/>
  <c r="N30" i="35"/>
  <c r="L31" i="35"/>
  <c r="N31" i="35"/>
  <c r="L32" i="35"/>
  <c r="N32" i="35"/>
  <c r="L33" i="35"/>
  <c r="N33" i="35"/>
  <c r="L34" i="35"/>
  <c r="N34" i="35"/>
  <c r="L35" i="35"/>
  <c r="N35" i="35"/>
  <c r="L36" i="35"/>
  <c r="N36" i="35"/>
  <c r="L37" i="35"/>
  <c r="N37" i="35"/>
  <c r="L38" i="35"/>
  <c r="N38" i="35"/>
  <c r="L39" i="35"/>
  <c r="N39" i="35"/>
  <c r="L40" i="35"/>
  <c r="N40" i="35"/>
  <c r="L41" i="35"/>
  <c r="N41" i="35"/>
  <c r="L42" i="35"/>
  <c r="N42" i="35"/>
  <c r="L43" i="35"/>
  <c r="N43" i="35"/>
  <c r="L44" i="35"/>
  <c r="N44" i="35"/>
  <c r="L45" i="35"/>
  <c r="N45" i="35"/>
  <c r="L46" i="35"/>
  <c r="N46" i="35"/>
  <c r="L47" i="35"/>
  <c r="N47" i="35"/>
  <c r="L48" i="35"/>
  <c r="N48" i="35"/>
  <c r="L49" i="35"/>
  <c r="N49" i="35"/>
  <c r="L50" i="35"/>
  <c r="N50" i="35"/>
  <c r="L51" i="35"/>
  <c r="N51" i="35"/>
  <c r="L52" i="35"/>
  <c r="N52" i="35"/>
  <c r="L53" i="35"/>
  <c r="N53" i="35"/>
  <c r="L54" i="35"/>
  <c r="N54" i="35"/>
  <c r="L55" i="35"/>
  <c r="N55" i="35"/>
  <c r="L56" i="35"/>
  <c r="N56" i="35"/>
  <c r="L57" i="35"/>
  <c r="N57" i="35"/>
  <c r="L58" i="35"/>
  <c r="N58" i="35"/>
  <c r="L59" i="35"/>
  <c r="N59" i="35"/>
  <c r="L60" i="35"/>
  <c r="N60" i="35"/>
  <c r="L61" i="35"/>
  <c r="N61" i="35"/>
  <c r="L62" i="35"/>
  <c r="N62" i="35"/>
  <c r="L63" i="35"/>
  <c r="N63" i="35"/>
  <c r="L64" i="35"/>
  <c r="N64" i="35"/>
  <c r="L65" i="35"/>
  <c r="N65" i="35"/>
  <c r="L66" i="35"/>
  <c r="N66" i="35"/>
  <c r="L67" i="35"/>
  <c r="N67" i="35"/>
  <c r="L68" i="35"/>
  <c r="N68" i="35"/>
  <c r="L69" i="35"/>
  <c r="N69" i="35"/>
  <c r="L70" i="35"/>
  <c r="N70" i="35"/>
  <c r="L71" i="35"/>
  <c r="N71" i="35"/>
  <c r="L72" i="35"/>
  <c r="N72" i="35"/>
  <c r="O87" i="35"/>
  <c r="D91" i="35"/>
  <c r="J93" i="35"/>
  <c r="L93" i="35"/>
  <c r="D96" i="35"/>
  <c r="J99" i="35"/>
  <c r="M99" i="35"/>
  <c r="O99" i="35"/>
  <c r="J100" i="35"/>
  <c r="O100" i="35"/>
  <c r="M101" i="35"/>
  <c r="O101" i="35"/>
  <c r="M102" i="35"/>
  <c r="O102" i="35"/>
  <c r="M103" i="35"/>
  <c r="P103" i="35" s="1"/>
  <c r="O103" i="35"/>
  <c r="M104" i="35"/>
  <c r="O104" i="35"/>
  <c r="M105" i="35"/>
  <c r="O105" i="35"/>
  <c r="M106" i="35"/>
  <c r="O106" i="35"/>
  <c r="M107" i="35"/>
  <c r="O107" i="35"/>
  <c r="M108" i="35"/>
  <c r="O108" i="35"/>
  <c r="M109" i="35"/>
  <c r="O109" i="35"/>
  <c r="M110" i="35"/>
  <c r="O110" i="35"/>
  <c r="M111" i="35"/>
  <c r="O111" i="35"/>
  <c r="M112" i="35"/>
  <c r="O112" i="35"/>
  <c r="M113" i="35"/>
  <c r="O113" i="35"/>
  <c r="M114" i="35"/>
  <c r="O114" i="35"/>
  <c r="M115" i="35"/>
  <c r="O115" i="35"/>
  <c r="M116" i="35"/>
  <c r="O116" i="35"/>
  <c r="M117" i="35"/>
  <c r="O117" i="35"/>
  <c r="M118" i="35"/>
  <c r="O118" i="35"/>
  <c r="M119" i="35"/>
  <c r="O119" i="35"/>
  <c r="M120" i="35"/>
  <c r="O120" i="35"/>
  <c r="M121" i="35"/>
  <c r="O121" i="35"/>
  <c r="M122" i="35"/>
  <c r="O122" i="35"/>
  <c r="M123" i="35"/>
  <c r="O123" i="35"/>
  <c r="M124" i="35"/>
  <c r="O124" i="35"/>
  <c r="M125" i="35"/>
  <c r="O125" i="35"/>
  <c r="M126" i="35"/>
  <c r="O126" i="35"/>
  <c r="M127" i="35"/>
  <c r="O127" i="35"/>
  <c r="M128" i="35"/>
  <c r="O128" i="35"/>
  <c r="M129" i="35"/>
  <c r="O129" i="35"/>
  <c r="M130" i="35"/>
  <c r="O130" i="35"/>
  <c r="M131" i="35"/>
  <c r="O131" i="35"/>
  <c r="M132" i="35"/>
  <c r="O132" i="35"/>
  <c r="M133" i="35"/>
  <c r="O133" i="35"/>
  <c r="M134" i="35"/>
  <c r="O134" i="35"/>
  <c r="M135" i="35"/>
  <c r="O135" i="35"/>
  <c r="M136" i="35"/>
  <c r="O136" i="35"/>
  <c r="M137" i="35"/>
  <c r="O137" i="35"/>
  <c r="M138" i="35"/>
  <c r="O138" i="35"/>
  <c r="M139" i="35"/>
  <c r="O139" i="35"/>
  <c r="M140" i="35"/>
  <c r="O140" i="35"/>
  <c r="M141" i="35"/>
  <c r="O141" i="35"/>
  <c r="M142" i="35"/>
  <c r="O142" i="35"/>
  <c r="M143" i="35"/>
  <c r="O143" i="35"/>
  <c r="M144" i="35"/>
  <c r="O144" i="35"/>
  <c r="M145" i="35"/>
  <c r="O145" i="35"/>
  <c r="M146" i="35"/>
  <c r="O146" i="35"/>
  <c r="M147" i="35"/>
  <c r="O147" i="35"/>
  <c r="M148" i="35"/>
  <c r="O148" i="35"/>
  <c r="M149" i="35"/>
  <c r="O149" i="35"/>
  <c r="M150" i="35"/>
  <c r="O150" i="35"/>
  <c r="M151" i="35"/>
  <c r="O151" i="35"/>
  <c r="M152" i="35"/>
  <c r="O152" i="35"/>
  <c r="M153" i="35"/>
  <c r="O153" i="35"/>
  <c r="M154" i="35"/>
  <c r="O154" i="35"/>
  <c r="M17" i="24"/>
  <c r="N17" i="24" s="1"/>
  <c r="M19" i="28"/>
  <c r="M17" i="23"/>
  <c r="N99" i="28"/>
  <c r="O99" i="28" s="1"/>
  <c r="L99" i="28"/>
  <c r="M17" i="26"/>
  <c r="N99" i="26" s="1"/>
  <c r="L99" i="26"/>
  <c r="P1" i="26"/>
  <c r="P83" i="26" s="1"/>
  <c r="P1" i="27"/>
  <c r="P83" i="27" s="1"/>
  <c r="P1" i="28"/>
  <c r="P83" i="28" s="1"/>
  <c r="P1" i="29"/>
  <c r="P83" i="29" s="1"/>
  <c r="P1" i="30"/>
  <c r="P83" i="30" s="1"/>
  <c r="P1" i="31"/>
  <c r="P83" i="31" s="1"/>
  <c r="P1" i="32"/>
  <c r="P83" i="32" s="1"/>
  <c r="P1" i="33"/>
  <c r="P83" i="33" s="1"/>
  <c r="P1" i="34"/>
  <c r="P83" i="34" s="1"/>
  <c r="P1" i="13"/>
  <c r="P83" i="13" s="1"/>
  <c r="P1" i="25"/>
  <c r="P83" i="25" s="1"/>
  <c r="P1" i="3"/>
  <c r="P83" i="3" s="1"/>
  <c r="P1" i="17"/>
  <c r="P83" i="17" s="1"/>
  <c r="P1" i="18"/>
  <c r="P83" i="18" s="1"/>
  <c r="P1" i="19"/>
  <c r="P83" i="19" s="1"/>
  <c r="P1" i="20"/>
  <c r="P83" i="20" s="1"/>
  <c r="P1" i="21"/>
  <c r="P83" i="21" s="1"/>
  <c r="P1" i="22"/>
  <c r="P83" i="22" s="1"/>
  <c r="P1" i="23"/>
  <c r="P83" i="23" s="1"/>
  <c r="P1" i="24"/>
  <c r="P83" i="24" s="1"/>
  <c r="O3" i="34"/>
  <c r="K11" i="34"/>
  <c r="I17" i="34"/>
  <c r="L17" i="34"/>
  <c r="N17" i="34"/>
  <c r="I18" i="34"/>
  <c r="L18" i="34"/>
  <c r="N18" i="34"/>
  <c r="L19" i="34"/>
  <c r="N21" i="34"/>
  <c r="N28" i="34"/>
  <c r="N29" i="34"/>
  <c r="N30" i="34"/>
  <c r="N31" i="34"/>
  <c r="L33" i="34"/>
  <c r="N33" i="34"/>
  <c r="L34" i="34"/>
  <c r="N34" i="34"/>
  <c r="L35" i="34"/>
  <c r="N35" i="34"/>
  <c r="L36" i="34"/>
  <c r="N36" i="34"/>
  <c r="L37" i="34"/>
  <c r="N37" i="34"/>
  <c r="L38" i="34"/>
  <c r="N38" i="34"/>
  <c r="L39" i="34"/>
  <c r="N39" i="34"/>
  <c r="L40" i="34"/>
  <c r="N40" i="34"/>
  <c r="L41" i="34"/>
  <c r="N41" i="34"/>
  <c r="L42" i="34"/>
  <c r="N42" i="34"/>
  <c r="L43" i="34"/>
  <c r="N43" i="34"/>
  <c r="L44" i="34"/>
  <c r="N44" i="34"/>
  <c r="L45" i="34"/>
  <c r="N45" i="34"/>
  <c r="L46" i="34"/>
  <c r="N46" i="34"/>
  <c r="L47" i="34"/>
  <c r="N47" i="34"/>
  <c r="L48" i="34"/>
  <c r="N48" i="34"/>
  <c r="L49" i="34"/>
  <c r="N49" i="34"/>
  <c r="L50" i="34"/>
  <c r="N50" i="34"/>
  <c r="L51" i="34"/>
  <c r="N51" i="34"/>
  <c r="L52" i="34"/>
  <c r="N52" i="34"/>
  <c r="L53" i="34"/>
  <c r="N53" i="34"/>
  <c r="L54" i="34"/>
  <c r="N54" i="34"/>
  <c r="L55" i="34"/>
  <c r="N55" i="34"/>
  <c r="L56" i="34"/>
  <c r="N56" i="34"/>
  <c r="L57" i="34"/>
  <c r="N57" i="34"/>
  <c r="L58" i="34"/>
  <c r="N58" i="34"/>
  <c r="L59" i="34"/>
  <c r="N59" i="34"/>
  <c r="L60" i="34"/>
  <c r="N60" i="34"/>
  <c r="L61" i="34"/>
  <c r="N61" i="34"/>
  <c r="L62" i="34"/>
  <c r="N62" i="34"/>
  <c r="L63" i="34"/>
  <c r="N63" i="34"/>
  <c r="L64" i="34"/>
  <c r="N64" i="34"/>
  <c r="L65" i="34"/>
  <c r="N65" i="34"/>
  <c r="L66" i="34"/>
  <c r="N66" i="34"/>
  <c r="L67" i="34"/>
  <c r="N67" i="34"/>
  <c r="L68" i="34"/>
  <c r="N68" i="34"/>
  <c r="L69" i="34"/>
  <c r="N69" i="34"/>
  <c r="L70" i="34"/>
  <c r="N70" i="34"/>
  <c r="L71" i="34"/>
  <c r="N71" i="34"/>
  <c r="L72" i="34"/>
  <c r="N72" i="34"/>
  <c r="D89" i="34"/>
  <c r="D91" i="34"/>
  <c r="J93" i="34"/>
  <c r="L93" i="34"/>
  <c r="D96" i="34"/>
  <c r="J99" i="34"/>
  <c r="M99" i="34"/>
  <c r="O99" i="34"/>
  <c r="J100" i="34"/>
  <c r="M100" i="34"/>
  <c r="J101" i="34"/>
  <c r="M101" i="34"/>
  <c r="O110" i="34"/>
  <c r="O111" i="34"/>
  <c r="M113" i="34"/>
  <c r="O113" i="34"/>
  <c r="M114" i="34"/>
  <c r="O114" i="34"/>
  <c r="M115" i="34"/>
  <c r="O115" i="34"/>
  <c r="M116" i="34"/>
  <c r="O116" i="34"/>
  <c r="M117" i="34"/>
  <c r="O117" i="34"/>
  <c r="M118" i="34"/>
  <c r="O118" i="34"/>
  <c r="M119" i="34"/>
  <c r="O119" i="34"/>
  <c r="M120" i="34"/>
  <c r="O120" i="34"/>
  <c r="M121" i="34"/>
  <c r="O121" i="34"/>
  <c r="M122" i="34"/>
  <c r="O122" i="34"/>
  <c r="M123" i="34"/>
  <c r="O123" i="34"/>
  <c r="M124" i="34"/>
  <c r="O124" i="34"/>
  <c r="M125" i="34"/>
  <c r="O125" i="34"/>
  <c r="M126" i="34"/>
  <c r="O126" i="34"/>
  <c r="M127" i="34"/>
  <c r="O127" i="34"/>
  <c r="M128" i="34"/>
  <c r="O128" i="34"/>
  <c r="M129" i="34"/>
  <c r="O129" i="34"/>
  <c r="M130" i="34"/>
  <c r="O130" i="34"/>
  <c r="M131" i="34"/>
  <c r="O131" i="34"/>
  <c r="M132" i="34"/>
  <c r="O132" i="34"/>
  <c r="M133" i="34"/>
  <c r="O133" i="34"/>
  <c r="M134" i="34"/>
  <c r="O134" i="34"/>
  <c r="M135" i="34"/>
  <c r="O135" i="34"/>
  <c r="M136" i="34"/>
  <c r="O136" i="34"/>
  <c r="M137" i="34"/>
  <c r="O137" i="34"/>
  <c r="M138" i="34"/>
  <c r="O138" i="34"/>
  <c r="M139" i="34"/>
  <c r="O139" i="34"/>
  <c r="M140" i="34"/>
  <c r="O140" i="34"/>
  <c r="M141" i="34"/>
  <c r="O141" i="34"/>
  <c r="M142" i="34"/>
  <c r="O142" i="34"/>
  <c r="M143" i="34"/>
  <c r="O143" i="34"/>
  <c r="M144" i="34"/>
  <c r="O144" i="34"/>
  <c r="M145" i="34"/>
  <c r="O145" i="34"/>
  <c r="M146" i="34"/>
  <c r="O146" i="34"/>
  <c r="M147" i="34"/>
  <c r="O147" i="34"/>
  <c r="M148" i="34"/>
  <c r="O148" i="34"/>
  <c r="M149" i="34"/>
  <c r="O149" i="34"/>
  <c r="M150" i="34"/>
  <c r="O150" i="34"/>
  <c r="M151" i="34"/>
  <c r="O151" i="34"/>
  <c r="M152" i="34"/>
  <c r="O152" i="34"/>
  <c r="M153" i="34"/>
  <c r="O153" i="34"/>
  <c r="M154" i="34"/>
  <c r="O154" i="34"/>
  <c r="O3" i="33"/>
  <c r="K11" i="33"/>
  <c r="L17" i="33"/>
  <c r="N17" i="33"/>
  <c r="L18" i="33"/>
  <c r="N18" i="33"/>
  <c r="L19" i="33"/>
  <c r="N19" i="33"/>
  <c r="L20" i="33"/>
  <c r="N20" i="33"/>
  <c r="L21" i="33"/>
  <c r="N21" i="33"/>
  <c r="L22" i="33"/>
  <c r="N22" i="33"/>
  <c r="L23" i="33"/>
  <c r="N23" i="33"/>
  <c r="L24" i="33"/>
  <c r="N24" i="33"/>
  <c r="L25" i="33"/>
  <c r="N25" i="33"/>
  <c r="L26" i="33"/>
  <c r="N26" i="33"/>
  <c r="L27" i="33"/>
  <c r="N27" i="33"/>
  <c r="L28" i="33"/>
  <c r="N28" i="33"/>
  <c r="L29" i="33"/>
  <c r="N29" i="33"/>
  <c r="L30" i="33"/>
  <c r="N30" i="33"/>
  <c r="L31" i="33"/>
  <c r="N31" i="33"/>
  <c r="L32" i="33"/>
  <c r="N32" i="33"/>
  <c r="L33" i="33"/>
  <c r="N33" i="33"/>
  <c r="L34" i="33"/>
  <c r="N34" i="33"/>
  <c r="L35" i="33"/>
  <c r="N35" i="33"/>
  <c r="L36" i="33"/>
  <c r="N36" i="33"/>
  <c r="L37" i="33"/>
  <c r="N37" i="33"/>
  <c r="L38" i="33"/>
  <c r="N38" i="33"/>
  <c r="L39" i="33"/>
  <c r="N39" i="33"/>
  <c r="L40" i="33"/>
  <c r="N40" i="33"/>
  <c r="L41" i="33"/>
  <c r="N41" i="33"/>
  <c r="L42" i="33"/>
  <c r="N42" i="33"/>
  <c r="L43" i="33"/>
  <c r="N43" i="33"/>
  <c r="L44" i="33"/>
  <c r="N44" i="33"/>
  <c r="L45" i="33"/>
  <c r="N45" i="33"/>
  <c r="L46" i="33"/>
  <c r="N46" i="33"/>
  <c r="L47" i="33"/>
  <c r="N47" i="33"/>
  <c r="L48" i="33"/>
  <c r="N48" i="33"/>
  <c r="L49" i="33"/>
  <c r="N49" i="33"/>
  <c r="L50" i="33"/>
  <c r="N50" i="33"/>
  <c r="L51" i="33"/>
  <c r="N51" i="33"/>
  <c r="L52" i="33"/>
  <c r="N52" i="33"/>
  <c r="L53" i="33"/>
  <c r="N53" i="33"/>
  <c r="L54" i="33"/>
  <c r="N54" i="33"/>
  <c r="L55" i="33"/>
  <c r="N55" i="33"/>
  <c r="L56" i="33"/>
  <c r="N56" i="33"/>
  <c r="L57" i="33"/>
  <c r="N57" i="33"/>
  <c r="L58" i="33"/>
  <c r="N58" i="33"/>
  <c r="L59" i="33"/>
  <c r="N59" i="33"/>
  <c r="L60" i="33"/>
  <c r="N60" i="33"/>
  <c r="L61" i="33"/>
  <c r="N61" i="33"/>
  <c r="L62" i="33"/>
  <c r="N62" i="33"/>
  <c r="L63" i="33"/>
  <c r="N63" i="33"/>
  <c r="L64" i="33"/>
  <c r="N64" i="33"/>
  <c r="L65" i="33"/>
  <c r="N65" i="33"/>
  <c r="L66" i="33"/>
  <c r="N66" i="33"/>
  <c r="L67" i="33"/>
  <c r="N67" i="33"/>
  <c r="L68" i="33"/>
  <c r="N68" i="33"/>
  <c r="L69" i="33"/>
  <c r="N69" i="33"/>
  <c r="L70" i="33"/>
  <c r="N70" i="33"/>
  <c r="L71" i="33"/>
  <c r="N71" i="33"/>
  <c r="L72" i="33"/>
  <c r="N72" i="33"/>
  <c r="D89" i="33"/>
  <c r="D91" i="33"/>
  <c r="J93" i="33"/>
  <c r="L93" i="33"/>
  <c r="D96" i="33"/>
  <c r="M99" i="33"/>
  <c r="O99" i="33"/>
  <c r="M100" i="33"/>
  <c r="O100" i="33"/>
  <c r="M101" i="33"/>
  <c r="O101" i="33"/>
  <c r="M102" i="33"/>
  <c r="O102" i="33"/>
  <c r="M103" i="33"/>
  <c r="O103" i="33"/>
  <c r="M104" i="33"/>
  <c r="O104" i="33"/>
  <c r="M105" i="33"/>
  <c r="O105" i="33"/>
  <c r="M106" i="33"/>
  <c r="O106" i="33"/>
  <c r="M107" i="33"/>
  <c r="O107" i="33"/>
  <c r="M108" i="33"/>
  <c r="O108" i="33"/>
  <c r="M109" i="33"/>
  <c r="O109" i="33"/>
  <c r="M110" i="33"/>
  <c r="O110" i="33"/>
  <c r="M111" i="33"/>
  <c r="O111" i="33"/>
  <c r="M112" i="33"/>
  <c r="O112" i="33"/>
  <c r="M113" i="33"/>
  <c r="O113" i="33"/>
  <c r="M114" i="33"/>
  <c r="O114" i="33"/>
  <c r="M115" i="33"/>
  <c r="O115" i="33"/>
  <c r="M116" i="33"/>
  <c r="O116" i="33"/>
  <c r="M117" i="33"/>
  <c r="O117" i="33"/>
  <c r="M118" i="33"/>
  <c r="O118" i="33"/>
  <c r="M119" i="33"/>
  <c r="O119" i="33"/>
  <c r="M120" i="33"/>
  <c r="O120" i="33"/>
  <c r="M121" i="33"/>
  <c r="O121" i="33"/>
  <c r="M122" i="33"/>
  <c r="O122" i="33"/>
  <c r="M123" i="33"/>
  <c r="O123" i="33"/>
  <c r="M124" i="33"/>
  <c r="O124" i="33"/>
  <c r="M125" i="33"/>
  <c r="O125" i="33"/>
  <c r="M126" i="33"/>
  <c r="O126" i="33"/>
  <c r="M127" i="33"/>
  <c r="O127" i="33"/>
  <c r="M128" i="33"/>
  <c r="O128" i="33"/>
  <c r="M129" i="33"/>
  <c r="O129" i="33"/>
  <c r="M130" i="33"/>
  <c r="O130" i="33"/>
  <c r="M131" i="33"/>
  <c r="O131" i="33"/>
  <c r="M132" i="33"/>
  <c r="O132" i="33"/>
  <c r="M133" i="33"/>
  <c r="O133" i="33"/>
  <c r="M134" i="33"/>
  <c r="O134" i="33"/>
  <c r="M135" i="33"/>
  <c r="O135" i="33"/>
  <c r="M136" i="33"/>
  <c r="O136" i="33"/>
  <c r="M137" i="33"/>
  <c r="O137" i="33"/>
  <c r="M138" i="33"/>
  <c r="O138" i="33"/>
  <c r="M139" i="33"/>
  <c r="O139" i="33"/>
  <c r="M140" i="33"/>
  <c r="O140" i="33"/>
  <c r="M141" i="33"/>
  <c r="O141" i="33"/>
  <c r="M142" i="33"/>
  <c r="O142" i="33"/>
  <c r="M143" i="33"/>
  <c r="O143" i="33"/>
  <c r="M144" i="33"/>
  <c r="O144" i="33"/>
  <c r="M145" i="33"/>
  <c r="O145" i="33"/>
  <c r="M146" i="33"/>
  <c r="O146" i="33"/>
  <c r="M147" i="33"/>
  <c r="O147" i="33"/>
  <c r="M148" i="33"/>
  <c r="O148" i="33"/>
  <c r="M149" i="33"/>
  <c r="O149" i="33"/>
  <c r="M150" i="33"/>
  <c r="O150" i="33"/>
  <c r="M151" i="33"/>
  <c r="O151" i="33"/>
  <c r="M152" i="33"/>
  <c r="O152" i="33"/>
  <c r="M153" i="33"/>
  <c r="O153" i="33"/>
  <c r="M154" i="33"/>
  <c r="O154" i="33"/>
  <c r="O3" i="32"/>
  <c r="K11" i="32"/>
  <c r="I17" i="32"/>
  <c r="L17" i="32"/>
  <c r="N17" i="32"/>
  <c r="O17" i="32" s="1"/>
  <c r="I18" i="32"/>
  <c r="L18" i="32"/>
  <c r="N18" i="32"/>
  <c r="N19" i="32"/>
  <c r="N21" i="32"/>
  <c r="N28" i="32"/>
  <c r="N29" i="32"/>
  <c r="N30" i="32"/>
  <c r="N31" i="32"/>
  <c r="L33" i="32"/>
  <c r="N33" i="32"/>
  <c r="L34" i="32"/>
  <c r="N34" i="32"/>
  <c r="L35" i="32"/>
  <c r="N35" i="32"/>
  <c r="L36" i="32"/>
  <c r="N36" i="32"/>
  <c r="L37" i="32"/>
  <c r="N37" i="32"/>
  <c r="L38" i="32"/>
  <c r="N38" i="32"/>
  <c r="L39" i="32"/>
  <c r="N39" i="32"/>
  <c r="L40" i="32"/>
  <c r="N40" i="32"/>
  <c r="L41" i="32"/>
  <c r="N41" i="32"/>
  <c r="L42" i="32"/>
  <c r="N42" i="32"/>
  <c r="L43" i="32"/>
  <c r="N43" i="32"/>
  <c r="L44" i="32"/>
  <c r="N44" i="32"/>
  <c r="L45" i="32"/>
  <c r="N45" i="32"/>
  <c r="L46" i="32"/>
  <c r="N46" i="32"/>
  <c r="L47" i="32"/>
  <c r="N47" i="32"/>
  <c r="L48" i="32"/>
  <c r="N48" i="32"/>
  <c r="L49" i="32"/>
  <c r="N49" i="32"/>
  <c r="L50" i="32"/>
  <c r="N50" i="32"/>
  <c r="L51" i="32"/>
  <c r="N51" i="32"/>
  <c r="L52" i="32"/>
  <c r="N52" i="32"/>
  <c r="L53" i="32"/>
  <c r="N53" i="32"/>
  <c r="L54" i="32"/>
  <c r="N54" i="32"/>
  <c r="L55" i="32"/>
  <c r="N55" i="32"/>
  <c r="L56" i="32"/>
  <c r="N56" i="32"/>
  <c r="L57" i="32"/>
  <c r="N57" i="32"/>
  <c r="L58" i="32"/>
  <c r="N58" i="32"/>
  <c r="L59" i="32"/>
  <c r="N59" i="32"/>
  <c r="L60" i="32"/>
  <c r="N60" i="32"/>
  <c r="L61" i="32"/>
  <c r="N61" i="32"/>
  <c r="L62" i="32"/>
  <c r="N62" i="32"/>
  <c r="L63" i="32"/>
  <c r="N63" i="32"/>
  <c r="L64" i="32"/>
  <c r="N64" i="32"/>
  <c r="L65" i="32"/>
  <c r="N65" i="32"/>
  <c r="L66" i="32"/>
  <c r="N66" i="32"/>
  <c r="L67" i="32"/>
  <c r="N67" i="32"/>
  <c r="L68" i="32"/>
  <c r="N68" i="32"/>
  <c r="L69" i="32"/>
  <c r="N69" i="32"/>
  <c r="L70" i="32"/>
  <c r="N70" i="32"/>
  <c r="L71" i="32"/>
  <c r="N71" i="32"/>
  <c r="L72" i="32"/>
  <c r="N72" i="32"/>
  <c r="D89" i="32"/>
  <c r="D91" i="32"/>
  <c r="J93" i="32"/>
  <c r="L93" i="32"/>
  <c r="D96" i="32"/>
  <c r="J99" i="32"/>
  <c r="M99" i="32"/>
  <c r="O99" i="32"/>
  <c r="J100" i="32"/>
  <c r="M100" i="32"/>
  <c r="P100" i="32" s="1"/>
  <c r="J101" i="32"/>
  <c r="O102" i="32"/>
  <c r="M103" i="32"/>
  <c r="O103" i="32"/>
  <c r="O110" i="32"/>
  <c r="O111" i="32"/>
  <c r="M113" i="32"/>
  <c r="O113" i="32"/>
  <c r="M114" i="32"/>
  <c r="O114" i="32"/>
  <c r="M115" i="32"/>
  <c r="O115" i="32"/>
  <c r="M116" i="32"/>
  <c r="O116" i="32"/>
  <c r="M117" i="32"/>
  <c r="O117" i="32"/>
  <c r="M118" i="32"/>
  <c r="O118" i="32"/>
  <c r="M119" i="32"/>
  <c r="O119" i="32"/>
  <c r="M120" i="32"/>
  <c r="O120" i="32"/>
  <c r="M121" i="32"/>
  <c r="O121" i="32"/>
  <c r="M122" i="32"/>
  <c r="O122" i="32"/>
  <c r="M123" i="32"/>
  <c r="O123" i="32"/>
  <c r="M124" i="32"/>
  <c r="O124" i="32"/>
  <c r="M125" i="32"/>
  <c r="O125" i="32"/>
  <c r="M126" i="32"/>
  <c r="O126" i="32"/>
  <c r="M127" i="32"/>
  <c r="O127" i="32"/>
  <c r="M128" i="32"/>
  <c r="O128" i="32"/>
  <c r="M129" i="32"/>
  <c r="O129" i="32"/>
  <c r="M130" i="32"/>
  <c r="O130" i="32"/>
  <c r="M131" i="32"/>
  <c r="O131" i="32"/>
  <c r="M132" i="32"/>
  <c r="O132" i="32"/>
  <c r="M133" i="32"/>
  <c r="O133" i="32"/>
  <c r="M134" i="32"/>
  <c r="O134" i="32"/>
  <c r="M135" i="32"/>
  <c r="O135" i="32"/>
  <c r="M136" i="32"/>
  <c r="O136" i="32"/>
  <c r="M137" i="32"/>
  <c r="O137" i="32"/>
  <c r="M138" i="32"/>
  <c r="O138" i="32"/>
  <c r="M139" i="32"/>
  <c r="O139" i="32"/>
  <c r="M140" i="32"/>
  <c r="O140" i="32"/>
  <c r="M141" i="32"/>
  <c r="O141" i="32"/>
  <c r="M142" i="32"/>
  <c r="O142" i="32"/>
  <c r="M143" i="32"/>
  <c r="O143" i="32"/>
  <c r="M144" i="32"/>
  <c r="O144" i="32"/>
  <c r="M145" i="32"/>
  <c r="O145" i="32"/>
  <c r="M146" i="32"/>
  <c r="O146" i="32"/>
  <c r="M147" i="32"/>
  <c r="O147" i="32"/>
  <c r="M148" i="32"/>
  <c r="O148" i="32"/>
  <c r="M149" i="32"/>
  <c r="O149" i="32"/>
  <c r="M150" i="32"/>
  <c r="O150" i="32"/>
  <c r="M151" i="32"/>
  <c r="O151" i="32"/>
  <c r="M152" i="32"/>
  <c r="O152" i="32"/>
  <c r="M153" i="32"/>
  <c r="O153" i="32"/>
  <c r="M154" i="32"/>
  <c r="O154" i="32"/>
  <c r="O3" i="31"/>
  <c r="K11" i="31"/>
  <c r="I17" i="31"/>
  <c r="L17" i="31"/>
  <c r="N17" i="31"/>
  <c r="O17" i="31" s="1"/>
  <c r="I18" i="31"/>
  <c r="L18" i="31"/>
  <c r="N18" i="31"/>
  <c r="N19" i="31"/>
  <c r="O19" i="31" s="1"/>
  <c r="L21" i="31"/>
  <c r="N21" i="31"/>
  <c r="N28" i="31"/>
  <c r="O28" i="31" s="1"/>
  <c r="N29" i="31"/>
  <c r="N30" i="31"/>
  <c r="N31" i="31"/>
  <c r="L33" i="31"/>
  <c r="N33" i="31"/>
  <c r="L34" i="31"/>
  <c r="N34" i="31"/>
  <c r="L35" i="31"/>
  <c r="N35" i="31"/>
  <c r="L36" i="31"/>
  <c r="N36" i="31"/>
  <c r="L37" i="31"/>
  <c r="N37" i="31"/>
  <c r="L38" i="31"/>
  <c r="N38" i="31"/>
  <c r="L39" i="31"/>
  <c r="N39" i="31"/>
  <c r="L40" i="31"/>
  <c r="N40" i="31"/>
  <c r="L41" i="31"/>
  <c r="N41" i="31"/>
  <c r="L42" i="31"/>
  <c r="N42" i="31"/>
  <c r="L43" i="31"/>
  <c r="N43" i="31"/>
  <c r="L44" i="31"/>
  <c r="N44" i="31"/>
  <c r="L45" i="31"/>
  <c r="N45" i="31"/>
  <c r="L46" i="31"/>
  <c r="N46" i="31"/>
  <c r="L47" i="31"/>
  <c r="N47" i="31"/>
  <c r="L48" i="31"/>
  <c r="N48" i="31"/>
  <c r="L49" i="31"/>
  <c r="N49" i="31"/>
  <c r="L50" i="31"/>
  <c r="N50" i="31"/>
  <c r="L51" i="31"/>
  <c r="N51" i="31"/>
  <c r="L52" i="31"/>
  <c r="N52" i="31"/>
  <c r="L53" i="31"/>
  <c r="N53" i="31"/>
  <c r="L54" i="31"/>
  <c r="N54" i="31"/>
  <c r="L55" i="31"/>
  <c r="N55" i="31"/>
  <c r="L56" i="31"/>
  <c r="N56" i="31"/>
  <c r="L57" i="31"/>
  <c r="N57" i="31"/>
  <c r="L58" i="31"/>
  <c r="N58" i="31"/>
  <c r="L59" i="31"/>
  <c r="N59" i="31"/>
  <c r="L60" i="31"/>
  <c r="N60" i="31"/>
  <c r="L61" i="31"/>
  <c r="N61" i="31"/>
  <c r="L62" i="31"/>
  <c r="N62" i="31"/>
  <c r="L63" i="31"/>
  <c r="N63" i="31"/>
  <c r="L64" i="31"/>
  <c r="N64" i="31"/>
  <c r="L65" i="31"/>
  <c r="N65" i="31"/>
  <c r="L66" i="31"/>
  <c r="N66" i="31"/>
  <c r="L67" i="31"/>
  <c r="N67" i="31"/>
  <c r="L68" i="31"/>
  <c r="N68" i="31"/>
  <c r="L69" i="31"/>
  <c r="N69" i="31"/>
  <c r="L70" i="31"/>
  <c r="N70" i="31"/>
  <c r="L71" i="31"/>
  <c r="N71" i="31"/>
  <c r="L72" i="31"/>
  <c r="N72" i="31"/>
  <c r="D89" i="31"/>
  <c r="D91" i="31"/>
  <c r="J93" i="31"/>
  <c r="L93" i="31"/>
  <c r="D96" i="31"/>
  <c r="J99" i="31"/>
  <c r="M99" i="31"/>
  <c r="O99" i="31"/>
  <c r="J100" i="31"/>
  <c r="M100" i="31"/>
  <c r="J101" i="31"/>
  <c r="M101" i="31"/>
  <c r="O102" i="31"/>
  <c r="M103" i="31"/>
  <c r="O110" i="31"/>
  <c r="O111" i="31"/>
  <c r="M113" i="31"/>
  <c r="O113" i="31"/>
  <c r="M114" i="31"/>
  <c r="O114" i="31"/>
  <c r="M115" i="31"/>
  <c r="O115" i="31"/>
  <c r="M116" i="31"/>
  <c r="O116" i="31"/>
  <c r="M117" i="31"/>
  <c r="O117" i="31"/>
  <c r="M118" i="31"/>
  <c r="O118" i="31"/>
  <c r="M119" i="31"/>
  <c r="O119" i="31"/>
  <c r="M120" i="31"/>
  <c r="O120" i="31"/>
  <c r="M121" i="31"/>
  <c r="O121" i="31"/>
  <c r="M122" i="31"/>
  <c r="O122" i="31"/>
  <c r="M123" i="31"/>
  <c r="O123" i="31"/>
  <c r="M124" i="31"/>
  <c r="O124" i="31"/>
  <c r="M125" i="31"/>
  <c r="O125" i="31"/>
  <c r="M126" i="31"/>
  <c r="O126" i="31"/>
  <c r="M127" i="31"/>
  <c r="O127" i="31"/>
  <c r="M128" i="31"/>
  <c r="O128" i="31"/>
  <c r="M129" i="31"/>
  <c r="O129" i="31"/>
  <c r="M130" i="31"/>
  <c r="O130" i="31"/>
  <c r="M131" i="31"/>
  <c r="O131" i="31"/>
  <c r="M132" i="31"/>
  <c r="O132" i="31"/>
  <c r="M133" i="31"/>
  <c r="O133" i="31"/>
  <c r="M134" i="31"/>
  <c r="O134" i="31"/>
  <c r="M135" i="31"/>
  <c r="O135" i="31"/>
  <c r="M136" i="31"/>
  <c r="O136" i="31"/>
  <c r="M137" i="31"/>
  <c r="O137" i="31"/>
  <c r="M138" i="31"/>
  <c r="O138" i="31"/>
  <c r="M139" i="31"/>
  <c r="O139" i="31"/>
  <c r="M140" i="31"/>
  <c r="O140" i="31"/>
  <c r="M141" i="31"/>
  <c r="O141" i="31"/>
  <c r="M142" i="31"/>
  <c r="O142" i="31"/>
  <c r="M143" i="31"/>
  <c r="O143" i="31"/>
  <c r="M144" i="31"/>
  <c r="O144" i="31"/>
  <c r="M145" i="31"/>
  <c r="O145" i="31"/>
  <c r="M146" i="31"/>
  <c r="O146" i="31"/>
  <c r="M147" i="31"/>
  <c r="O147" i="31"/>
  <c r="M148" i="31"/>
  <c r="O148" i="31"/>
  <c r="M149" i="31"/>
  <c r="O149" i="31"/>
  <c r="M150" i="31"/>
  <c r="O150" i="31"/>
  <c r="M151" i="31"/>
  <c r="O151" i="31"/>
  <c r="M152" i="31"/>
  <c r="O152" i="31"/>
  <c r="M153" i="31"/>
  <c r="O153" i="31"/>
  <c r="M154" i="31"/>
  <c r="O154" i="31"/>
  <c r="O3" i="30"/>
  <c r="K11" i="30"/>
  <c r="I17" i="30"/>
  <c r="L17" i="30"/>
  <c r="N17" i="30"/>
  <c r="I18" i="30"/>
  <c r="L18" i="30"/>
  <c r="N18" i="30"/>
  <c r="I19" i="30"/>
  <c r="L19" i="30"/>
  <c r="N19" i="30"/>
  <c r="N20" i="30"/>
  <c r="L21" i="30"/>
  <c r="N21" i="30"/>
  <c r="N22" i="30"/>
  <c r="N29" i="30"/>
  <c r="O29" i="30" s="1"/>
  <c r="N30" i="30"/>
  <c r="N31" i="30"/>
  <c r="N32" i="30"/>
  <c r="L34" i="30"/>
  <c r="N34" i="30"/>
  <c r="L35" i="30"/>
  <c r="N35" i="30"/>
  <c r="L36" i="30"/>
  <c r="N36" i="30"/>
  <c r="L37" i="30"/>
  <c r="N37" i="30"/>
  <c r="L38" i="30"/>
  <c r="N38" i="30"/>
  <c r="L39" i="30"/>
  <c r="N39" i="30"/>
  <c r="L40" i="30"/>
  <c r="N40" i="30"/>
  <c r="L41" i="30"/>
  <c r="N41" i="30"/>
  <c r="L42" i="30"/>
  <c r="N42" i="30"/>
  <c r="L43" i="30"/>
  <c r="N43" i="30"/>
  <c r="L44" i="30"/>
  <c r="N44" i="30"/>
  <c r="L45" i="30"/>
  <c r="N45" i="30"/>
  <c r="L46" i="30"/>
  <c r="N46" i="30"/>
  <c r="L47" i="30"/>
  <c r="N47" i="30"/>
  <c r="L48" i="30"/>
  <c r="N48" i="30"/>
  <c r="L49" i="30"/>
  <c r="N49" i="30"/>
  <c r="L50" i="30"/>
  <c r="N50" i="30"/>
  <c r="L51" i="30"/>
  <c r="N51" i="30"/>
  <c r="L52" i="30"/>
  <c r="N52" i="30"/>
  <c r="L53" i="30"/>
  <c r="N53" i="30"/>
  <c r="L54" i="30"/>
  <c r="N54" i="30"/>
  <c r="L55" i="30"/>
  <c r="N55" i="30"/>
  <c r="L56" i="30"/>
  <c r="N56" i="30"/>
  <c r="L57" i="30"/>
  <c r="N57" i="30"/>
  <c r="L58" i="30"/>
  <c r="N58" i="30"/>
  <c r="L59" i="30"/>
  <c r="N59" i="30"/>
  <c r="L60" i="30"/>
  <c r="N60" i="30"/>
  <c r="L61" i="30"/>
  <c r="N61" i="30"/>
  <c r="L62" i="30"/>
  <c r="N62" i="30"/>
  <c r="L63" i="30"/>
  <c r="N63" i="30"/>
  <c r="L64" i="30"/>
  <c r="N64" i="30"/>
  <c r="L65" i="30"/>
  <c r="N65" i="30"/>
  <c r="L66" i="30"/>
  <c r="N66" i="30"/>
  <c r="L67" i="30"/>
  <c r="N67" i="30"/>
  <c r="L68" i="30"/>
  <c r="N68" i="30"/>
  <c r="L69" i="30"/>
  <c r="N69" i="30"/>
  <c r="L70" i="30"/>
  <c r="N70" i="30"/>
  <c r="L71" i="30"/>
  <c r="N71" i="30"/>
  <c r="L72" i="30"/>
  <c r="N72" i="30"/>
  <c r="D89" i="30"/>
  <c r="D91" i="30"/>
  <c r="J93" i="30"/>
  <c r="L93" i="30"/>
  <c r="D96" i="30"/>
  <c r="J99" i="30"/>
  <c r="M99" i="30"/>
  <c r="O99" i="30"/>
  <c r="P99" i="30" s="1"/>
  <c r="J100" i="30"/>
  <c r="M100" i="30"/>
  <c r="O100" i="30"/>
  <c r="J101" i="30"/>
  <c r="J102" i="30"/>
  <c r="O104" i="30"/>
  <c r="O111" i="30"/>
  <c r="O112" i="30"/>
  <c r="M114" i="30"/>
  <c r="O114" i="30"/>
  <c r="M115" i="30"/>
  <c r="O115" i="30"/>
  <c r="M116" i="30"/>
  <c r="O116" i="30"/>
  <c r="M117" i="30"/>
  <c r="O117" i="30"/>
  <c r="M118" i="30"/>
  <c r="O118" i="30"/>
  <c r="M119" i="30"/>
  <c r="O119" i="30"/>
  <c r="M120" i="30"/>
  <c r="O120" i="30"/>
  <c r="M121" i="30"/>
  <c r="O121" i="30"/>
  <c r="M122" i="30"/>
  <c r="O122" i="30"/>
  <c r="M123" i="30"/>
  <c r="O123" i="30"/>
  <c r="M124" i="30"/>
  <c r="O124" i="30"/>
  <c r="M125" i="30"/>
  <c r="O125" i="30"/>
  <c r="M126" i="30"/>
  <c r="O126" i="30"/>
  <c r="M127" i="30"/>
  <c r="O127" i="30"/>
  <c r="M128" i="30"/>
  <c r="O128" i="30"/>
  <c r="M129" i="30"/>
  <c r="O129" i="30"/>
  <c r="M130" i="30"/>
  <c r="O130" i="30"/>
  <c r="M131" i="30"/>
  <c r="O131" i="30"/>
  <c r="M132" i="30"/>
  <c r="O132" i="30"/>
  <c r="M133" i="30"/>
  <c r="O133" i="30"/>
  <c r="M134" i="30"/>
  <c r="O134" i="30"/>
  <c r="M135" i="30"/>
  <c r="O135" i="30"/>
  <c r="M136" i="30"/>
  <c r="O136" i="30"/>
  <c r="M137" i="30"/>
  <c r="O137" i="30"/>
  <c r="M138" i="30"/>
  <c r="O138" i="30"/>
  <c r="M139" i="30"/>
  <c r="O139" i="30"/>
  <c r="M140" i="30"/>
  <c r="O140" i="30"/>
  <c r="M141" i="30"/>
  <c r="O141" i="30"/>
  <c r="M142" i="30"/>
  <c r="O142" i="30"/>
  <c r="M143" i="30"/>
  <c r="O143" i="30"/>
  <c r="M144" i="30"/>
  <c r="O144" i="30"/>
  <c r="M145" i="30"/>
  <c r="O145" i="30"/>
  <c r="M146" i="30"/>
  <c r="O146" i="30"/>
  <c r="M147" i="30"/>
  <c r="O147" i="30"/>
  <c r="M148" i="30"/>
  <c r="O148" i="30"/>
  <c r="M149" i="30"/>
  <c r="O149" i="30"/>
  <c r="M150" i="30"/>
  <c r="O150" i="30"/>
  <c r="M151" i="30"/>
  <c r="O151" i="30"/>
  <c r="M152" i="30"/>
  <c r="O152" i="30"/>
  <c r="M153" i="30"/>
  <c r="O153" i="30"/>
  <c r="M154" i="30"/>
  <c r="O154" i="30"/>
  <c r="O3" i="29"/>
  <c r="K11" i="29"/>
  <c r="I17" i="29"/>
  <c r="L17" i="29"/>
  <c r="N17" i="29"/>
  <c r="O17" i="29" s="1"/>
  <c r="I18" i="29"/>
  <c r="L18" i="29"/>
  <c r="N18" i="29"/>
  <c r="I19" i="29"/>
  <c r="L20" i="29"/>
  <c r="L21" i="29"/>
  <c r="N21" i="29"/>
  <c r="N22" i="29"/>
  <c r="O29" i="29"/>
  <c r="N30" i="29"/>
  <c r="N31" i="29"/>
  <c r="N32" i="29"/>
  <c r="L34" i="29"/>
  <c r="N34" i="29"/>
  <c r="L35" i="29"/>
  <c r="N35" i="29"/>
  <c r="L36" i="29"/>
  <c r="N36" i="29"/>
  <c r="L37" i="29"/>
  <c r="N37" i="29"/>
  <c r="L38" i="29"/>
  <c r="N38" i="29"/>
  <c r="L39" i="29"/>
  <c r="N39" i="29"/>
  <c r="L40" i="29"/>
  <c r="N40" i="29"/>
  <c r="L41" i="29"/>
  <c r="N41" i="29"/>
  <c r="L42" i="29"/>
  <c r="N42" i="29"/>
  <c r="L43" i="29"/>
  <c r="N43" i="29"/>
  <c r="L44" i="29"/>
  <c r="N44" i="29"/>
  <c r="L45" i="29"/>
  <c r="N45" i="29"/>
  <c r="L46" i="29"/>
  <c r="N46" i="29"/>
  <c r="L47" i="29"/>
  <c r="N47" i="29"/>
  <c r="L48" i="29"/>
  <c r="N48" i="29"/>
  <c r="L49" i="29"/>
  <c r="N49" i="29"/>
  <c r="L50" i="29"/>
  <c r="N50" i="29"/>
  <c r="L51" i="29"/>
  <c r="N51" i="29"/>
  <c r="L52" i="29"/>
  <c r="N52" i="29"/>
  <c r="L53" i="29"/>
  <c r="N53" i="29"/>
  <c r="L54" i="29"/>
  <c r="N54" i="29"/>
  <c r="L55" i="29"/>
  <c r="N55" i="29"/>
  <c r="L56" i="29"/>
  <c r="N56" i="29"/>
  <c r="L57" i="29"/>
  <c r="N57" i="29"/>
  <c r="L58" i="29"/>
  <c r="N58" i="29"/>
  <c r="L59" i="29"/>
  <c r="N59" i="29"/>
  <c r="L60" i="29"/>
  <c r="N60" i="29"/>
  <c r="L61" i="29"/>
  <c r="N61" i="29"/>
  <c r="L62" i="29"/>
  <c r="N62" i="29"/>
  <c r="L63" i="29"/>
  <c r="N63" i="29"/>
  <c r="L64" i="29"/>
  <c r="N64" i="29"/>
  <c r="L65" i="29"/>
  <c r="N65" i="29"/>
  <c r="L66" i="29"/>
  <c r="N66" i="29"/>
  <c r="L67" i="29"/>
  <c r="N67" i="29"/>
  <c r="L68" i="29"/>
  <c r="N68" i="29"/>
  <c r="L69" i="29"/>
  <c r="N69" i="29"/>
  <c r="L70" i="29"/>
  <c r="N70" i="29"/>
  <c r="L71" i="29"/>
  <c r="N71" i="29"/>
  <c r="L72" i="29"/>
  <c r="N72" i="29"/>
  <c r="D89" i="29"/>
  <c r="D91" i="29"/>
  <c r="J93" i="29"/>
  <c r="L93" i="29"/>
  <c r="D96" i="29"/>
  <c r="J99" i="29"/>
  <c r="M99" i="29"/>
  <c r="O99" i="29"/>
  <c r="J100" i="29"/>
  <c r="M100" i="29"/>
  <c r="O100" i="29"/>
  <c r="P100" i="29" s="1"/>
  <c r="J101" i="29"/>
  <c r="O101" i="29"/>
  <c r="J102" i="29"/>
  <c r="M102" i="29"/>
  <c r="M103" i="29"/>
  <c r="P104" i="29"/>
  <c r="O111" i="29"/>
  <c r="O112" i="29"/>
  <c r="M114" i="29"/>
  <c r="O114" i="29"/>
  <c r="M115" i="29"/>
  <c r="O115" i="29"/>
  <c r="M116" i="29"/>
  <c r="O116" i="29"/>
  <c r="M117" i="29"/>
  <c r="O117" i="29"/>
  <c r="M118" i="29"/>
  <c r="O118" i="29"/>
  <c r="M119" i="29"/>
  <c r="O119" i="29"/>
  <c r="M120" i="29"/>
  <c r="O120" i="29"/>
  <c r="M121" i="29"/>
  <c r="O121" i="29"/>
  <c r="M122" i="29"/>
  <c r="O122" i="29"/>
  <c r="M123" i="29"/>
  <c r="O123" i="29"/>
  <c r="M124" i="29"/>
  <c r="O124" i="29"/>
  <c r="M125" i="29"/>
  <c r="O125" i="29"/>
  <c r="M126" i="29"/>
  <c r="O126" i="29"/>
  <c r="M127" i="29"/>
  <c r="O127" i="29"/>
  <c r="M128" i="29"/>
  <c r="O128" i="29"/>
  <c r="M129" i="29"/>
  <c r="O129" i="29"/>
  <c r="M130" i="29"/>
  <c r="O130" i="29"/>
  <c r="M131" i="29"/>
  <c r="O131" i="29"/>
  <c r="M132" i="29"/>
  <c r="O132" i="29"/>
  <c r="M133" i="29"/>
  <c r="O133" i="29"/>
  <c r="M134" i="29"/>
  <c r="O134" i="29"/>
  <c r="M135" i="29"/>
  <c r="O135" i="29"/>
  <c r="M136" i="29"/>
  <c r="O136" i="29"/>
  <c r="M137" i="29"/>
  <c r="O137" i="29"/>
  <c r="M138" i="29"/>
  <c r="O138" i="29"/>
  <c r="M139" i="29"/>
  <c r="O139" i="29"/>
  <c r="M140" i="29"/>
  <c r="O140" i="29"/>
  <c r="M141" i="29"/>
  <c r="O141" i="29"/>
  <c r="M142" i="29"/>
  <c r="O142" i="29"/>
  <c r="M143" i="29"/>
  <c r="O143" i="29"/>
  <c r="M144" i="29"/>
  <c r="O144" i="29"/>
  <c r="M145" i="29"/>
  <c r="O145" i="29"/>
  <c r="M146" i="29"/>
  <c r="O146" i="29"/>
  <c r="M147" i="29"/>
  <c r="O147" i="29"/>
  <c r="M148" i="29"/>
  <c r="O148" i="29"/>
  <c r="M149" i="29"/>
  <c r="O149" i="29"/>
  <c r="M150" i="29"/>
  <c r="O150" i="29"/>
  <c r="M151" i="29"/>
  <c r="O151" i="29"/>
  <c r="M152" i="29"/>
  <c r="O152" i="29"/>
  <c r="M153" i="29"/>
  <c r="O153" i="29"/>
  <c r="M154" i="29"/>
  <c r="O154" i="29"/>
  <c r="O3" i="28"/>
  <c r="K11" i="28"/>
  <c r="I17" i="28"/>
  <c r="L17" i="28"/>
  <c r="N17" i="28"/>
  <c r="I18" i="28"/>
  <c r="L18" i="28"/>
  <c r="N18" i="28"/>
  <c r="I19" i="28"/>
  <c r="L19" i="28"/>
  <c r="N19" i="28"/>
  <c r="I20" i="28"/>
  <c r="L20" i="28"/>
  <c r="N20" i="28"/>
  <c r="L21" i="28"/>
  <c r="L22" i="28"/>
  <c r="N23" i="28"/>
  <c r="N30" i="28"/>
  <c r="N31" i="28"/>
  <c r="O31" i="28" s="1"/>
  <c r="N32" i="28"/>
  <c r="N33" i="28"/>
  <c r="L35" i="28"/>
  <c r="N35" i="28"/>
  <c r="L36" i="28"/>
  <c r="N36" i="28"/>
  <c r="L37" i="28"/>
  <c r="N37" i="28"/>
  <c r="L38" i="28"/>
  <c r="N38" i="28"/>
  <c r="L39" i="28"/>
  <c r="N39" i="28"/>
  <c r="L40" i="28"/>
  <c r="N40" i="28"/>
  <c r="L41" i="28"/>
  <c r="N41" i="28"/>
  <c r="L42" i="28"/>
  <c r="N42" i="28"/>
  <c r="L43" i="28"/>
  <c r="N43" i="28"/>
  <c r="L44" i="28"/>
  <c r="N44" i="28"/>
  <c r="L45" i="28"/>
  <c r="N45" i="28"/>
  <c r="L46" i="28"/>
  <c r="N46" i="28"/>
  <c r="L47" i="28"/>
  <c r="N47" i="28"/>
  <c r="L48" i="28"/>
  <c r="N48" i="28"/>
  <c r="L49" i="28"/>
  <c r="N49" i="28"/>
  <c r="L50" i="28"/>
  <c r="N50" i="28"/>
  <c r="L51" i="28"/>
  <c r="N51" i="28"/>
  <c r="L52" i="28"/>
  <c r="N52" i="28"/>
  <c r="L53" i="28"/>
  <c r="N53" i="28"/>
  <c r="L54" i="28"/>
  <c r="N54" i="28"/>
  <c r="L55" i="28"/>
  <c r="N55" i="28"/>
  <c r="L56" i="28"/>
  <c r="N56" i="28"/>
  <c r="L57" i="28"/>
  <c r="N57" i="28"/>
  <c r="L58" i="28"/>
  <c r="N58" i="28"/>
  <c r="L59" i="28"/>
  <c r="N59" i="28"/>
  <c r="L60" i="28"/>
  <c r="N60" i="28"/>
  <c r="L61" i="28"/>
  <c r="N61" i="28"/>
  <c r="L62" i="28"/>
  <c r="N62" i="28"/>
  <c r="L63" i="28"/>
  <c r="N63" i="28"/>
  <c r="L64" i="28"/>
  <c r="N64" i="28"/>
  <c r="L65" i="28"/>
  <c r="N65" i="28"/>
  <c r="L66" i="28"/>
  <c r="N66" i="28"/>
  <c r="L67" i="28"/>
  <c r="N67" i="28"/>
  <c r="L68" i="28"/>
  <c r="N68" i="28"/>
  <c r="L69" i="28"/>
  <c r="N69" i="28"/>
  <c r="L70" i="28"/>
  <c r="N70" i="28"/>
  <c r="L71" i="28"/>
  <c r="N71" i="28"/>
  <c r="L72" i="28"/>
  <c r="N72" i="28"/>
  <c r="D89" i="28"/>
  <c r="D91" i="28"/>
  <c r="J93" i="28"/>
  <c r="L93" i="28"/>
  <c r="D96" i="28"/>
  <c r="J99" i="28"/>
  <c r="M99" i="28"/>
  <c r="J100" i="28"/>
  <c r="J101" i="28"/>
  <c r="J102" i="28"/>
  <c r="M102" i="28"/>
  <c r="P102" i="28" s="1"/>
  <c r="J103" i="28"/>
  <c r="M103" i="28"/>
  <c r="M104" i="28"/>
  <c r="M105" i="28"/>
  <c r="O105" i="28"/>
  <c r="O112" i="28"/>
  <c r="O113" i="28"/>
  <c r="M115" i="28"/>
  <c r="O115" i="28"/>
  <c r="M116" i="28"/>
  <c r="O116" i="28"/>
  <c r="M117" i="28"/>
  <c r="O117" i="28"/>
  <c r="M118" i="28"/>
  <c r="O118" i="28"/>
  <c r="M119" i="28"/>
  <c r="O119" i="28"/>
  <c r="M120" i="28"/>
  <c r="O120" i="28"/>
  <c r="M121" i="28"/>
  <c r="O121" i="28"/>
  <c r="M122" i="28"/>
  <c r="O122" i="28"/>
  <c r="M123" i="28"/>
  <c r="O123" i="28"/>
  <c r="M124" i="28"/>
  <c r="O124" i="28"/>
  <c r="M125" i="28"/>
  <c r="O125" i="28"/>
  <c r="M126" i="28"/>
  <c r="O126" i="28"/>
  <c r="M127" i="28"/>
  <c r="O127" i="28"/>
  <c r="M128" i="28"/>
  <c r="O128" i="28"/>
  <c r="M129" i="28"/>
  <c r="O129" i="28"/>
  <c r="M130" i="28"/>
  <c r="O130" i="28"/>
  <c r="M131" i="28"/>
  <c r="O131" i="28"/>
  <c r="M132" i="28"/>
  <c r="O132" i="28"/>
  <c r="M133" i="28"/>
  <c r="O133" i="28"/>
  <c r="M134" i="28"/>
  <c r="O134" i="28"/>
  <c r="M135" i="28"/>
  <c r="O135" i="28"/>
  <c r="M136" i="28"/>
  <c r="O136" i="28"/>
  <c r="M137" i="28"/>
  <c r="O137" i="28"/>
  <c r="M138" i="28"/>
  <c r="O138" i="28"/>
  <c r="M139" i="28"/>
  <c r="O139" i="28"/>
  <c r="M140" i="28"/>
  <c r="O140" i="28"/>
  <c r="M141" i="28"/>
  <c r="O141" i="28"/>
  <c r="M142" i="28"/>
  <c r="O142" i="28"/>
  <c r="M143" i="28"/>
  <c r="O143" i="28"/>
  <c r="M144" i="28"/>
  <c r="O144" i="28"/>
  <c r="M145" i="28"/>
  <c r="O145" i="28"/>
  <c r="M146" i="28"/>
  <c r="O146" i="28"/>
  <c r="M147" i="28"/>
  <c r="O147" i="28"/>
  <c r="M148" i="28"/>
  <c r="O148" i="28"/>
  <c r="M149" i="28"/>
  <c r="O149" i="28"/>
  <c r="M150" i="28"/>
  <c r="O150" i="28"/>
  <c r="M151" i="28"/>
  <c r="O151" i="28"/>
  <c r="M152" i="28"/>
  <c r="O152" i="28"/>
  <c r="M153" i="28"/>
  <c r="O153" i="28"/>
  <c r="M154" i="28"/>
  <c r="O154" i="28"/>
  <c r="O3" i="27"/>
  <c r="K11" i="27"/>
  <c r="I17" i="27"/>
  <c r="L17" i="27"/>
  <c r="N17" i="27"/>
  <c r="I18" i="27"/>
  <c r="L18" i="27"/>
  <c r="N18" i="27"/>
  <c r="I19" i="27"/>
  <c r="L19" i="27"/>
  <c r="N19" i="27"/>
  <c r="L20" i="27"/>
  <c r="L21" i="27"/>
  <c r="L22" i="27"/>
  <c r="N22" i="27"/>
  <c r="N29" i="27"/>
  <c r="N30" i="27"/>
  <c r="N31" i="27"/>
  <c r="N32" i="27"/>
  <c r="L34" i="27"/>
  <c r="N34" i="27"/>
  <c r="L35" i="27"/>
  <c r="N35" i="27"/>
  <c r="L36" i="27"/>
  <c r="N36" i="27"/>
  <c r="L37" i="27"/>
  <c r="N37" i="27"/>
  <c r="L38" i="27"/>
  <c r="N38" i="27"/>
  <c r="L39" i="27"/>
  <c r="N39" i="27"/>
  <c r="L40" i="27"/>
  <c r="N40" i="27"/>
  <c r="L41" i="27"/>
  <c r="N41" i="27"/>
  <c r="L42" i="27"/>
  <c r="N42" i="27"/>
  <c r="L43" i="27"/>
  <c r="N43" i="27"/>
  <c r="L44" i="27"/>
  <c r="N44" i="27"/>
  <c r="C45" i="27"/>
  <c r="C46" i="27" s="1"/>
  <c r="C47" i="27" s="1"/>
  <c r="C48" i="27" s="1"/>
  <c r="C49" i="27" s="1"/>
  <c r="C50" i="27" s="1"/>
  <c r="C51" i="27" s="1"/>
  <c r="C52" i="27" s="1"/>
  <c r="C53" i="27" s="1"/>
  <c r="C54" i="27" s="1"/>
  <c r="C55" i="27" s="1"/>
  <c r="C56" i="27" s="1"/>
  <c r="C57" i="27" s="1"/>
  <c r="C58" i="27" s="1"/>
  <c r="C59" i="27" s="1"/>
  <c r="C60" i="27" s="1"/>
  <c r="C61" i="27" s="1"/>
  <c r="C62" i="27" s="1"/>
  <c r="C63" i="27" s="1"/>
  <c r="C64" i="27" s="1"/>
  <c r="C65" i="27" s="1"/>
  <c r="C66" i="27" s="1"/>
  <c r="C67" i="27" s="1"/>
  <c r="C68" i="27" s="1"/>
  <c r="C69" i="27" s="1"/>
  <c r="C70" i="27" s="1"/>
  <c r="C71" i="27" s="1"/>
  <c r="C72" i="27" s="1"/>
  <c r="L45" i="27"/>
  <c r="N45" i="27"/>
  <c r="L46" i="27"/>
  <c r="N46" i="27"/>
  <c r="L47" i="27"/>
  <c r="N47" i="27"/>
  <c r="L48" i="27"/>
  <c r="N48" i="27"/>
  <c r="L49" i="27"/>
  <c r="N49" i="27"/>
  <c r="L50" i="27"/>
  <c r="N50" i="27"/>
  <c r="L51" i="27"/>
  <c r="N51" i="27"/>
  <c r="L52" i="27"/>
  <c r="N52" i="27"/>
  <c r="L53" i="27"/>
  <c r="N53" i="27"/>
  <c r="L54" i="27"/>
  <c r="N54" i="27"/>
  <c r="L55" i="27"/>
  <c r="N55" i="27"/>
  <c r="L56" i="27"/>
  <c r="N56" i="27"/>
  <c r="L57" i="27"/>
  <c r="N57" i="27"/>
  <c r="L58" i="27"/>
  <c r="N58" i="27"/>
  <c r="L59" i="27"/>
  <c r="N59" i="27"/>
  <c r="L60" i="27"/>
  <c r="N60" i="27"/>
  <c r="L61" i="27"/>
  <c r="N61" i="27"/>
  <c r="L62" i="27"/>
  <c r="N62" i="27"/>
  <c r="L63" i="27"/>
  <c r="N63" i="27"/>
  <c r="L64" i="27"/>
  <c r="N64" i="27"/>
  <c r="L65" i="27"/>
  <c r="N65" i="27"/>
  <c r="L66" i="27"/>
  <c r="N66" i="27"/>
  <c r="L67" i="27"/>
  <c r="N67" i="27"/>
  <c r="L68" i="27"/>
  <c r="N68" i="27"/>
  <c r="L69" i="27"/>
  <c r="N69" i="27"/>
  <c r="L70" i="27"/>
  <c r="N70" i="27"/>
  <c r="L71" i="27"/>
  <c r="N71" i="27"/>
  <c r="L72" i="27"/>
  <c r="N72" i="27"/>
  <c r="D89" i="27"/>
  <c r="D91" i="27"/>
  <c r="J93" i="27"/>
  <c r="L93" i="27"/>
  <c r="D96" i="27"/>
  <c r="J99" i="27"/>
  <c r="M99" i="27"/>
  <c r="O99" i="27"/>
  <c r="J100" i="27"/>
  <c r="M100" i="27"/>
  <c r="O100" i="27"/>
  <c r="P100" i="27" s="1"/>
  <c r="J101" i="27"/>
  <c r="J102" i="27"/>
  <c r="M102" i="27"/>
  <c r="M103" i="27"/>
  <c r="O111" i="27"/>
  <c r="O112" i="27"/>
  <c r="M114" i="27"/>
  <c r="O114" i="27"/>
  <c r="M115" i="27"/>
  <c r="O115" i="27"/>
  <c r="M116" i="27"/>
  <c r="O116" i="27"/>
  <c r="M117" i="27"/>
  <c r="O117" i="27"/>
  <c r="M118" i="27"/>
  <c r="O118" i="27"/>
  <c r="M119" i="27"/>
  <c r="O119" i="27"/>
  <c r="M120" i="27"/>
  <c r="O120" i="27"/>
  <c r="M121" i="27"/>
  <c r="O121" i="27"/>
  <c r="M122" i="27"/>
  <c r="O122" i="27"/>
  <c r="M123" i="27"/>
  <c r="O123" i="27"/>
  <c r="M124" i="27"/>
  <c r="O124" i="27"/>
  <c r="M125" i="27"/>
  <c r="O125" i="27"/>
  <c r="M126" i="27"/>
  <c r="O126" i="27"/>
  <c r="M127" i="27"/>
  <c r="O127" i="27"/>
  <c r="M128" i="27"/>
  <c r="O128" i="27"/>
  <c r="M129" i="27"/>
  <c r="O129" i="27"/>
  <c r="M130" i="27"/>
  <c r="O130" i="27"/>
  <c r="M131" i="27"/>
  <c r="O131" i="27"/>
  <c r="M132" i="27"/>
  <c r="O132" i="27"/>
  <c r="M133" i="27"/>
  <c r="O133" i="27"/>
  <c r="M134" i="27"/>
  <c r="O134" i="27"/>
  <c r="M135" i="27"/>
  <c r="O135" i="27"/>
  <c r="M136" i="27"/>
  <c r="O136" i="27"/>
  <c r="M137" i="27"/>
  <c r="O137" i="27"/>
  <c r="M138" i="27"/>
  <c r="O138" i="27"/>
  <c r="M139" i="27"/>
  <c r="O139" i="27"/>
  <c r="M140" i="27"/>
  <c r="O140" i="27"/>
  <c r="M141" i="27"/>
  <c r="O141" i="27"/>
  <c r="M142" i="27"/>
  <c r="O142" i="27"/>
  <c r="M143" i="27"/>
  <c r="O143" i="27"/>
  <c r="M144" i="27"/>
  <c r="O144" i="27"/>
  <c r="M145" i="27"/>
  <c r="O145" i="27"/>
  <c r="M146" i="27"/>
  <c r="O146" i="27"/>
  <c r="M147" i="27"/>
  <c r="O147" i="27"/>
  <c r="M148" i="27"/>
  <c r="O148" i="27"/>
  <c r="M149" i="27"/>
  <c r="O149" i="27"/>
  <c r="M150" i="27"/>
  <c r="O150" i="27"/>
  <c r="M151" i="27"/>
  <c r="O151" i="27"/>
  <c r="M152" i="27"/>
  <c r="O152" i="27"/>
  <c r="M153" i="27"/>
  <c r="O153" i="27"/>
  <c r="M154" i="27"/>
  <c r="O154" i="27"/>
  <c r="O3" i="26"/>
  <c r="K11" i="26"/>
  <c r="L18" i="26"/>
  <c r="N18" i="26"/>
  <c r="L19" i="26"/>
  <c r="N19" i="26"/>
  <c r="L20" i="26"/>
  <c r="N20" i="26"/>
  <c r="L21" i="26"/>
  <c r="N21" i="26"/>
  <c r="L22" i="26"/>
  <c r="N22" i="26"/>
  <c r="L23" i="26"/>
  <c r="N23" i="26"/>
  <c r="L24" i="26"/>
  <c r="N24" i="26"/>
  <c r="L25" i="26"/>
  <c r="N25" i="26"/>
  <c r="L26" i="26"/>
  <c r="N26" i="26"/>
  <c r="L27" i="26"/>
  <c r="N27" i="26"/>
  <c r="L28" i="26"/>
  <c r="N28" i="26"/>
  <c r="L29" i="26"/>
  <c r="N29" i="26"/>
  <c r="L30" i="26"/>
  <c r="N30" i="26"/>
  <c r="L31" i="26"/>
  <c r="N31" i="26"/>
  <c r="L32" i="26"/>
  <c r="N32" i="26"/>
  <c r="L33" i="26"/>
  <c r="N33" i="26"/>
  <c r="L34" i="26"/>
  <c r="N34" i="26"/>
  <c r="L35" i="26"/>
  <c r="N35" i="26"/>
  <c r="L36" i="26"/>
  <c r="N36" i="26"/>
  <c r="L37" i="26"/>
  <c r="N37" i="26"/>
  <c r="L38" i="26"/>
  <c r="N38" i="26"/>
  <c r="L39" i="26"/>
  <c r="N39" i="26"/>
  <c r="L40" i="26"/>
  <c r="N40" i="26"/>
  <c r="L41" i="26"/>
  <c r="N41" i="26"/>
  <c r="L42" i="26"/>
  <c r="N42" i="26"/>
  <c r="L43" i="26"/>
  <c r="N43" i="26"/>
  <c r="L44" i="26"/>
  <c r="N44" i="26"/>
  <c r="L45" i="26"/>
  <c r="N45" i="26"/>
  <c r="L46" i="26"/>
  <c r="N46" i="26"/>
  <c r="L47" i="26"/>
  <c r="N47" i="26"/>
  <c r="L48" i="26"/>
  <c r="N48" i="26"/>
  <c r="L49" i="26"/>
  <c r="N49" i="26"/>
  <c r="L50" i="26"/>
  <c r="N50" i="26"/>
  <c r="L51" i="26"/>
  <c r="N51" i="26"/>
  <c r="L52" i="26"/>
  <c r="N52" i="26"/>
  <c r="L53" i="26"/>
  <c r="N53" i="26"/>
  <c r="L54" i="26"/>
  <c r="N54" i="26"/>
  <c r="L55" i="26"/>
  <c r="N55" i="26"/>
  <c r="L56" i="26"/>
  <c r="N56" i="26"/>
  <c r="L57" i="26"/>
  <c r="N57" i="26"/>
  <c r="L58" i="26"/>
  <c r="N58" i="26"/>
  <c r="L59" i="26"/>
  <c r="N59" i="26"/>
  <c r="L60" i="26"/>
  <c r="N60" i="26"/>
  <c r="L61" i="26"/>
  <c r="N61" i="26"/>
  <c r="L62" i="26"/>
  <c r="N62" i="26"/>
  <c r="L63" i="26"/>
  <c r="N63" i="26"/>
  <c r="L64" i="26"/>
  <c r="N64" i="26"/>
  <c r="L65" i="26"/>
  <c r="N65" i="26"/>
  <c r="L66" i="26"/>
  <c r="N66" i="26"/>
  <c r="L67" i="26"/>
  <c r="N67" i="26"/>
  <c r="L68" i="26"/>
  <c r="N68" i="26"/>
  <c r="L69" i="26"/>
  <c r="N69" i="26"/>
  <c r="L70" i="26"/>
  <c r="N70" i="26"/>
  <c r="L71" i="26"/>
  <c r="N71" i="26"/>
  <c r="L72" i="26"/>
  <c r="N72" i="26"/>
  <c r="D89" i="26"/>
  <c r="D91" i="26"/>
  <c r="J93" i="26"/>
  <c r="L93" i="26"/>
  <c r="D96" i="26"/>
  <c r="M100" i="26"/>
  <c r="O100" i="26"/>
  <c r="M101" i="26"/>
  <c r="O101" i="26"/>
  <c r="M102" i="26"/>
  <c r="O102" i="26"/>
  <c r="M103" i="26"/>
  <c r="O103" i="26"/>
  <c r="M104" i="26"/>
  <c r="O104" i="26"/>
  <c r="M105" i="26"/>
  <c r="O105" i="26"/>
  <c r="M106" i="26"/>
  <c r="O106" i="26"/>
  <c r="M107" i="26"/>
  <c r="O107" i="26"/>
  <c r="M108" i="26"/>
  <c r="O108" i="26"/>
  <c r="M109" i="26"/>
  <c r="O109" i="26"/>
  <c r="M110" i="26"/>
  <c r="O110" i="26"/>
  <c r="M111" i="26"/>
  <c r="O111" i="26"/>
  <c r="M112" i="26"/>
  <c r="O112" i="26"/>
  <c r="M113" i="26"/>
  <c r="O113" i="26"/>
  <c r="M114" i="26"/>
  <c r="O114" i="26"/>
  <c r="M115" i="26"/>
  <c r="O115" i="26"/>
  <c r="M116" i="26"/>
  <c r="O116" i="26"/>
  <c r="M117" i="26"/>
  <c r="O117" i="26"/>
  <c r="M118" i="26"/>
  <c r="O118" i="26"/>
  <c r="M119" i="26"/>
  <c r="O119" i="26"/>
  <c r="M120" i="26"/>
  <c r="O120" i="26"/>
  <c r="M121" i="26"/>
  <c r="O121" i="26"/>
  <c r="M122" i="26"/>
  <c r="O122" i="26"/>
  <c r="M123" i="26"/>
  <c r="O123" i="26"/>
  <c r="M124" i="26"/>
  <c r="O124" i="26"/>
  <c r="M125" i="26"/>
  <c r="O125" i="26"/>
  <c r="M126" i="26"/>
  <c r="O126" i="26"/>
  <c r="M127" i="26"/>
  <c r="O127" i="26"/>
  <c r="M128" i="26"/>
  <c r="O128" i="26"/>
  <c r="M129" i="26"/>
  <c r="O129" i="26"/>
  <c r="M130" i="26"/>
  <c r="O130" i="26"/>
  <c r="M131" i="26"/>
  <c r="O131" i="26"/>
  <c r="M132" i="26"/>
  <c r="O132" i="26"/>
  <c r="M133" i="26"/>
  <c r="O133" i="26"/>
  <c r="M134" i="26"/>
  <c r="O134" i="26"/>
  <c r="M135" i="26"/>
  <c r="O135" i="26"/>
  <c r="M136" i="26"/>
  <c r="O136" i="26"/>
  <c r="M137" i="26"/>
  <c r="O137" i="26"/>
  <c r="M138" i="26"/>
  <c r="O138" i="26"/>
  <c r="M139" i="26"/>
  <c r="O139" i="26"/>
  <c r="M140" i="26"/>
  <c r="O140" i="26"/>
  <c r="M141" i="26"/>
  <c r="O141" i="26"/>
  <c r="M142" i="26"/>
  <c r="O142" i="26"/>
  <c r="M143" i="26"/>
  <c r="O143" i="26"/>
  <c r="M144" i="26"/>
  <c r="O144" i="26"/>
  <c r="M145" i="26"/>
  <c r="O145" i="26"/>
  <c r="M146" i="26"/>
  <c r="O146" i="26"/>
  <c r="M147" i="26"/>
  <c r="O147" i="26"/>
  <c r="M148" i="26"/>
  <c r="O148" i="26"/>
  <c r="M149" i="26"/>
  <c r="O149" i="26"/>
  <c r="M150" i="26"/>
  <c r="O150" i="26"/>
  <c r="M151" i="26"/>
  <c r="O151" i="26"/>
  <c r="M152" i="26"/>
  <c r="O152" i="26"/>
  <c r="M153" i="26"/>
  <c r="O153" i="26"/>
  <c r="M154" i="26"/>
  <c r="O154" i="26"/>
  <c r="O3" i="25"/>
  <c r="K11" i="25"/>
  <c r="N17" i="25"/>
  <c r="L18" i="25"/>
  <c r="N18" i="25"/>
  <c r="L19" i="25"/>
  <c r="N19" i="25"/>
  <c r="L20" i="25"/>
  <c r="N20" i="25"/>
  <c r="L21" i="25"/>
  <c r="N21" i="25"/>
  <c r="L22" i="25"/>
  <c r="N22" i="25"/>
  <c r="L23" i="25"/>
  <c r="N23" i="25"/>
  <c r="L24" i="25"/>
  <c r="N24" i="25"/>
  <c r="L25" i="25"/>
  <c r="N25" i="25"/>
  <c r="L26" i="25"/>
  <c r="N26" i="25"/>
  <c r="L27" i="25"/>
  <c r="N27" i="25"/>
  <c r="L28" i="25"/>
  <c r="N28" i="25"/>
  <c r="L29" i="25"/>
  <c r="N29" i="25"/>
  <c r="L30" i="25"/>
  <c r="N30" i="25"/>
  <c r="L31" i="25"/>
  <c r="N31" i="25"/>
  <c r="L32" i="25"/>
  <c r="N32" i="25"/>
  <c r="L33" i="25"/>
  <c r="N33" i="25"/>
  <c r="L34" i="25"/>
  <c r="N34" i="25"/>
  <c r="L35" i="25"/>
  <c r="N35" i="25"/>
  <c r="L36" i="25"/>
  <c r="N36" i="25"/>
  <c r="L37" i="25"/>
  <c r="N37" i="25"/>
  <c r="L38" i="25"/>
  <c r="N38" i="25"/>
  <c r="L39" i="25"/>
  <c r="N39" i="25"/>
  <c r="L40" i="25"/>
  <c r="N40" i="25"/>
  <c r="L41" i="25"/>
  <c r="N41" i="25"/>
  <c r="L42" i="25"/>
  <c r="N42" i="25"/>
  <c r="L43" i="25"/>
  <c r="N43" i="25"/>
  <c r="L44" i="25"/>
  <c r="N44" i="25"/>
  <c r="L45" i="25"/>
  <c r="N45" i="25"/>
  <c r="L46" i="25"/>
  <c r="N46" i="25"/>
  <c r="L47" i="25"/>
  <c r="N47" i="25"/>
  <c r="L48" i="25"/>
  <c r="N48" i="25"/>
  <c r="L49" i="25"/>
  <c r="N49" i="25"/>
  <c r="L50" i="25"/>
  <c r="N50" i="25"/>
  <c r="L51" i="25"/>
  <c r="N51" i="25"/>
  <c r="L52" i="25"/>
  <c r="N52" i="25"/>
  <c r="L53" i="25"/>
  <c r="N53" i="25"/>
  <c r="L54" i="25"/>
  <c r="N54" i="25"/>
  <c r="L55" i="25"/>
  <c r="N55" i="25"/>
  <c r="L56" i="25"/>
  <c r="N56" i="25"/>
  <c r="L57" i="25"/>
  <c r="N57" i="25"/>
  <c r="L58" i="25"/>
  <c r="N58" i="25"/>
  <c r="L59" i="25"/>
  <c r="N59" i="25"/>
  <c r="L60" i="25"/>
  <c r="N60" i="25"/>
  <c r="L61" i="25"/>
  <c r="N61" i="25"/>
  <c r="L62" i="25"/>
  <c r="N62" i="25"/>
  <c r="L63" i="25"/>
  <c r="N63" i="25"/>
  <c r="L64" i="25"/>
  <c r="N64" i="25"/>
  <c r="L65" i="25"/>
  <c r="N65" i="25"/>
  <c r="L66" i="25"/>
  <c r="N66" i="25"/>
  <c r="L67" i="25"/>
  <c r="N67" i="25"/>
  <c r="L68" i="25"/>
  <c r="N68" i="25"/>
  <c r="L69" i="25"/>
  <c r="N69" i="25"/>
  <c r="L70" i="25"/>
  <c r="N70" i="25"/>
  <c r="L71" i="25"/>
  <c r="N71" i="25"/>
  <c r="L72" i="25"/>
  <c r="N72" i="25"/>
  <c r="D89" i="25"/>
  <c r="D91" i="25"/>
  <c r="J93" i="25"/>
  <c r="L93" i="25"/>
  <c r="D96" i="25"/>
  <c r="M99" i="25"/>
  <c r="O99" i="25"/>
  <c r="M100" i="25"/>
  <c r="O100" i="25"/>
  <c r="M101" i="25"/>
  <c r="O101" i="25"/>
  <c r="M102" i="25"/>
  <c r="O102" i="25"/>
  <c r="M103" i="25"/>
  <c r="O103" i="25"/>
  <c r="M104" i="25"/>
  <c r="O104" i="25"/>
  <c r="M105" i="25"/>
  <c r="O105" i="25"/>
  <c r="M106" i="25"/>
  <c r="O106" i="25"/>
  <c r="M107" i="25"/>
  <c r="O107" i="25"/>
  <c r="M108" i="25"/>
  <c r="O108" i="25"/>
  <c r="M109" i="25"/>
  <c r="O109" i="25"/>
  <c r="M110" i="25"/>
  <c r="O110" i="25"/>
  <c r="M111" i="25"/>
  <c r="O111" i="25"/>
  <c r="M112" i="25"/>
  <c r="O112" i="25"/>
  <c r="M113" i="25"/>
  <c r="O113" i="25"/>
  <c r="M114" i="25"/>
  <c r="O114" i="25"/>
  <c r="M115" i="25"/>
  <c r="O115" i="25"/>
  <c r="M116" i="25"/>
  <c r="O116" i="25"/>
  <c r="M117" i="25"/>
  <c r="O117" i="25"/>
  <c r="M118" i="25"/>
  <c r="O118" i="25"/>
  <c r="M119" i="25"/>
  <c r="O119" i="25"/>
  <c r="M120" i="25"/>
  <c r="O120" i="25"/>
  <c r="M121" i="25"/>
  <c r="O121" i="25"/>
  <c r="M122" i="25"/>
  <c r="O122" i="25"/>
  <c r="M123" i="25"/>
  <c r="O123" i="25"/>
  <c r="M124" i="25"/>
  <c r="O124" i="25"/>
  <c r="M125" i="25"/>
  <c r="O125" i="25"/>
  <c r="M126" i="25"/>
  <c r="O126" i="25"/>
  <c r="M127" i="25"/>
  <c r="O127" i="25"/>
  <c r="M128" i="25"/>
  <c r="O128" i="25"/>
  <c r="M129" i="25"/>
  <c r="O129" i="25"/>
  <c r="M130" i="25"/>
  <c r="O130" i="25"/>
  <c r="M131" i="25"/>
  <c r="O131" i="25"/>
  <c r="M132" i="25"/>
  <c r="O132" i="25"/>
  <c r="M133" i="25"/>
  <c r="O133" i="25"/>
  <c r="M134" i="25"/>
  <c r="O134" i="25"/>
  <c r="M135" i="25"/>
  <c r="O135" i="25"/>
  <c r="M136" i="25"/>
  <c r="O136" i="25"/>
  <c r="M137" i="25"/>
  <c r="O137" i="25"/>
  <c r="M138" i="25"/>
  <c r="O138" i="25"/>
  <c r="M139" i="25"/>
  <c r="O139" i="25"/>
  <c r="M140" i="25"/>
  <c r="O140" i="25"/>
  <c r="M141" i="25"/>
  <c r="O141" i="25"/>
  <c r="M142" i="25"/>
  <c r="O142" i="25"/>
  <c r="M143" i="25"/>
  <c r="O143" i="25"/>
  <c r="M144" i="25"/>
  <c r="O144" i="25"/>
  <c r="M145" i="25"/>
  <c r="O145" i="25"/>
  <c r="M146" i="25"/>
  <c r="O146" i="25"/>
  <c r="M147" i="25"/>
  <c r="O147" i="25"/>
  <c r="M148" i="25"/>
  <c r="O148" i="25"/>
  <c r="M149" i="25"/>
  <c r="O149" i="25"/>
  <c r="M150" i="25"/>
  <c r="O150" i="25"/>
  <c r="M151" i="25"/>
  <c r="O151" i="25"/>
  <c r="M152" i="25"/>
  <c r="O152" i="25"/>
  <c r="M153" i="25"/>
  <c r="O153" i="25"/>
  <c r="M154" i="25"/>
  <c r="O154" i="25"/>
  <c r="O3" i="24"/>
  <c r="K11" i="24"/>
  <c r="I17" i="24"/>
  <c r="L17" i="24"/>
  <c r="I18" i="24"/>
  <c r="L18" i="24"/>
  <c r="N18" i="24"/>
  <c r="N19" i="24"/>
  <c r="N20" i="24"/>
  <c r="O20" i="24" s="1"/>
  <c r="L21" i="24"/>
  <c r="N21" i="24"/>
  <c r="N28" i="24"/>
  <c r="O28" i="24" s="1"/>
  <c r="N29" i="24"/>
  <c r="O29" i="24" s="1"/>
  <c r="N30" i="24"/>
  <c r="N31" i="24"/>
  <c r="L33" i="24"/>
  <c r="N33" i="24"/>
  <c r="L34" i="24"/>
  <c r="N34" i="24"/>
  <c r="L35" i="24"/>
  <c r="N35" i="24"/>
  <c r="L36" i="24"/>
  <c r="N36" i="24"/>
  <c r="L37" i="24"/>
  <c r="N37" i="24"/>
  <c r="L38" i="24"/>
  <c r="N38" i="24"/>
  <c r="L39" i="24"/>
  <c r="N39" i="24"/>
  <c r="L40" i="24"/>
  <c r="N40" i="24"/>
  <c r="L41" i="24"/>
  <c r="N41" i="24"/>
  <c r="L42" i="24"/>
  <c r="N42" i="24"/>
  <c r="L43" i="24"/>
  <c r="N43" i="24"/>
  <c r="L44" i="24"/>
  <c r="N44" i="24"/>
  <c r="C45" i="24"/>
  <c r="C46" i="24" s="1"/>
  <c r="C47" i="24" s="1"/>
  <c r="C48" i="24" s="1"/>
  <c r="C49" i="24" s="1"/>
  <c r="C50" i="24" s="1"/>
  <c r="C51" i="24" s="1"/>
  <c r="C52" i="24" s="1"/>
  <c r="C53" i="24" s="1"/>
  <c r="C54" i="24" s="1"/>
  <c r="C55" i="24" s="1"/>
  <c r="C56" i="24" s="1"/>
  <c r="C57" i="24" s="1"/>
  <c r="C58" i="24" s="1"/>
  <c r="C59" i="24" s="1"/>
  <c r="C60" i="24" s="1"/>
  <c r="C61" i="24" s="1"/>
  <c r="C62" i="24" s="1"/>
  <c r="C63" i="24" s="1"/>
  <c r="C64" i="24" s="1"/>
  <c r="C65" i="24" s="1"/>
  <c r="C66" i="24" s="1"/>
  <c r="C67" i="24" s="1"/>
  <c r="C68" i="24" s="1"/>
  <c r="C69" i="24" s="1"/>
  <c r="C70" i="24" s="1"/>
  <c r="C71" i="24" s="1"/>
  <c r="C72" i="24" s="1"/>
  <c r="L45" i="24"/>
  <c r="N45" i="24"/>
  <c r="L46" i="24"/>
  <c r="N46" i="24"/>
  <c r="L47" i="24"/>
  <c r="N47" i="24"/>
  <c r="L48" i="24"/>
  <c r="N48" i="24"/>
  <c r="L49" i="24"/>
  <c r="N49" i="24"/>
  <c r="L50" i="24"/>
  <c r="N50" i="24"/>
  <c r="L51" i="24"/>
  <c r="N51" i="24"/>
  <c r="L52" i="24"/>
  <c r="N52" i="24"/>
  <c r="L53" i="24"/>
  <c r="N53" i="24"/>
  <c r="L54" i="24"/>
  <c r="N54" i="24"/>
  <c r="L55" i="24"/>
  <c r="N55" i="24"/>
  <c r="L56" i="24"/>
  <c r="N56" i="24"/>
  <c r="L57" i="24"/>
  <c r="N57" i="24"/>
  <c r="L58" i="24"/>
  <c r="N58" i="24"/>
  <c r="L59" i="24"/>
  <c r="N59" i="24"/>
  <c r="L60" i="24"/>
  <c r="N60" i="24"/>
  <c r="L61" i="24"/>
  <c r="N61" i="24"/>
  <c r="L62" i="24"/>
  <c r="N62" i="24"/>
  <c r="L63" i="24"/>
  <c r="N63" i="24"/>
  <c r="L64" i="24"/>
  <c r="N64" i="24"/>
  <c r="L65" i="24"/>
  <c r="N65" i="24"/>
  <c r="L66" i="24"/>
  <c r="N66" i="24"/>
  <c r="L67" i="24"/>
  <c r="N67" i="24"/>
  <c r="L68" i="24"/>
  <c r="N68" i="24"/>
  <c r="L69" i="24"/>
  <c r="N69" i="24"/>
  <c r="L70" i="24"/>
  <c r="N70" i="24"/>
  <c r="L71" i="24"/>
  <c r="N71" i="24"/>
  <c r="L72" i="24"/>
  <c r="N72" i="24"/>
  <c r="D89" i="24"/>
  <c r="D91" i="24"/>
  <c r="J93" i="24"/>
  <c r="L93" i="24"/>
  <c r="D96" i="24"/>
  <c r="J99" i="24"/>
  <c r="M99" i="24"/>
  <c r="O99" i="24"/>
  <c r="J100" i="24"/>
  <c r="M100" i="24"/>
  <c r="O100" i="24"/>
  <c r="J101" i="24"/>
  <c r="O101" i="24"/>
  <c r="M102" i="24"/>
  <c r="M103" i="24"/>
  <c r="O103" i="24"/>
  <c r="O110" i="24"/>
  <c r="O111" i="24"/>
  <c r="M113" i="24"/>
  <c r="O113" i="24"/>
  <c r="M114" i="24"/>
  <c r="O114" i="24"/>
  <c r="M115" i="24"/>
  <c r="O115" i="24"/>
  <c r="M116" i="24"/>
  <c r="O116" i="24"/>
  <c r="M117" i="24"/>
  <c r="O117" i="24"/>
  <c r="M118" i="24"/>
  <c r="O118" i="24"/>
  <c r="M119" i="24"/>
  <c r="O119" i="24"/>
  <c r="M120" i="24"/>
  <c r="O120" i="24"/>
  <c r="M121" i="24"/>
  <c r="O121" i="24"/>
  <c r="M122" i="24"/>
  <c r="O122" i="24"/>
  <c r="M123" i="24"/>
  <c r="O123" i="24"/>
  <c r="M124" i="24"/>
  <c r="O124" i="24"/>
  <c r="M125" i="24"/>
  <c r="O125" i="24"/>
  <c r="M126" i="24"/>
  <c r="O126" i="24"/>
  <c r="M127" i="24"/>
  <c r="O127" i="24"/>
  <c r="M128" i="24"/>
  <c r="O128" i="24"/>
  <c r="M129" i="24"/>
  <c r="O129" i="24"/>
  <c r="M130" i="24"/>
  <c r="O130" i="24"/>
  <c r="M131" i="24"/>
  <c r="O131" i="24"/>
  <c r="M132" i="24"/>
  <c r="O132" i="24"/>
  <c r="M133" i="24"/>
  <c r="O133" i="24"/>
  <c r="M134" i="24"/>
  <c r="O134" i="24"/>
  <c r="M135" i="24"/>
  <c r="O135" i="24"/>
  <c r="M136" i="24"/>
  <c r="O136" i="24"/>
  <c r="M137" i="24"/>
  <c r="O137" i="24"/>
  <c r="M138" i="24"/>
  <c r="O138" i="24"/>
  <c r="M139" i="24"/>
  <c r="O139" i="24"/>
  <c r="M140" i="24"/>
  <c r="O140" i="24"/>
  <c r="M141" i="24"/>
  <c r="O141" i="24"/>
  <c r="M142" i="24"/>
  <c r="O142" i="24"/>
  <c r="M143" i="24"/>
  <c r="O143" i="24"/>
  <c r="M144" i="24"/>
  <c r="O144" i="24"/>
  <c r="M145" i="24"/>
  <c r="O145" i="24"/>
  <c r="M146" i="24"/>
  <c r="O146" i="24"/>
  <c r="M147" i="24"/>
  <c r="O147" i="24"/>
  <c r="M148" i="24"/>
  <c r="O148" i="24"/>
  <c r="M149" i="24"/>
  <c r="O149" i="24"/>
  <c r="M150" i="24"/>
  <c r="O150" i="24"/>
  <c r="M151" i="24"/>
  <c r="O151" i="24"/>
  <c r="M152" i="24"/>
  <c r="O152" i="24"/>
  <c r="M153" i="24"/>
  <c r="O153" i="24"/>
  <c r="M154" i="24"/>
  <c r="O154" i="24"/>
  <c r="O3" i="23"/>
  <c r="K11" i="23"/>
  <c r="I17" i="23"/>
  <c r="L17" i="23"/>
  <c r="N17" i="23"/>
  <c r="I18" i="23"/>
  <c r="L18" i="23"/>
  <c r="N18" i="23"/>
  <c r="L19" i="23"/>
  <c r="N20" i="23"/>
  <c r="O20" i="23" s="1"/>
  <c r="L21" i="23"/>
  <c r="N21" i="23"/>
  <c r="N28" i="23"/>
  <c r="O28" i="23" s="1"/>
  <c r="N29" i="23"/>
  <c r="N30" i="23"/>
  <c r="N31" i="23"/>
  <c r="L33" i="23"/>
  <c r="N33" i="23"/>
  <c r="L34" i="23"/>
  <c r="N34" i="23"/>
  <c r="L35" i="23"/>
  <c r="N35" i="23"/>
  <c r="L36" i="23"/>
  <c r="N36" i="23"/>
  <c r="L37" i="23"/>
  <c r="N37" i="23"/>
  <c r="L38" i="23"/>
  <c r="N38" i="23"/>
  <c r="L39" i="23"/>
  <c r="N39" i="23"/>
  <c r="L40" i="23"/>
  <c r="N40" i="23"/>
  <c r="L41" i="23"/>
  <c r="N41" i="23"/>
  <c r="L42" i="23"/>
  <c r="N42" i="23"/>
  <c r="L43" i="23"/>
  <c r="N43" i="23"/>
  <c r="L44" i="23"/>
  <c r="N44" i="23"/>
  <c r="L45" i="23"/>
  <c r="N45" i="23"/>
  <c r="L46" i="23"/>
  <c r="N46" i="23"/>
  <c r="L47" i="23"/>
  <c r="N47" i="23"/>
  <c r="L48" i="23"/>
  <c r="N48" i="23"/>
  <c r="L49" i="23"/>
  <c r="N49" i="23"/>
  <c r="L50" i="23"/>
  <c r="N50" i="23"/>
  <c r="L51" i="23"/>
  <c r="N51" i="23"/>
  <c r="L52" i="23"/>
  <c r="N52" i="23"/>
  <c r="L53" i="23"/>
  <c r="N53" i="23"/>
  <c r="L54" i="23"/>
  <c r="N54" i="23"/>
  <c r="L55" i="23"/>
  <c r="N55" i="23"/>
  <c r="L56" i="23"/>
  <c r="N56" i="23"/>
  <c r="L57" i="23"/>
  <c r="N57" i="23"/>
  <c r="L58" i="23"/>
  <c r="N58" i="23"/>
  <c r="L59" i="23"/>
  <c r="N59" i="23"/>
  <c r="L60" i="23"/>
  <c r="N60" i="23"/>
  <c r="L61" i="23"/>
  <c r="N61" i="23"/>
  <c r="L62" i="23"/>
  <c r="N62" i="23"/>
  <c r="L63" i="23"/>
  <c r="N63" i="23"/>
  <c r="L64" i="23"/>
  <c r="N64" i="23"/>
  <c r="L65" i="23"/>
  <c r="N65" i="23"/>
  <c r="L66" i="23"/>
  <c r="N66" i="23"/>
  <c r="L67" i="23"/>
  <c r="N67" i="23"/>
  <c r="L68" i="23"/>
  <c r="N68" i="23"/>
  <c r="L69" i="23"/>
  <c r="N69" i="23"/>
  <c r="L70" i="23"/>
  <c r="N70" i="23"/>
  <c r="L71" i="23"/>
  <c r="N71" i="23"/>
  <c r="L72" i="23"/>
  <c r="N72" i="23"/>
  <c r="D89" i="23"/>
  <c r="D91" i="23"/>
  <c r="J93" i="23"/>
  <c r="L93" i="23"/>
  <c r="D96" i="23"/>
  <c r="J99" i="23"/>
  <c r="M99" i="23"/>
  <c r="O99" i="23"/>
  <c r="P99" i="23" s="1"/>
  <c r="J100" i="23"/>
  <c r="M100" i="23"/>
  <c r="O100" i="23"/>
  <c r="J101" i="23"/>
  <c r="M101" i="23"/>
  <c r="O101" i="23"/>
  <c r="M102" i="23"/>
  <c r="O102" i="23"/>
  <c r="P102" i="23" s="1"/>
  <c r="M103" i="23"/>
  <c r="O110" i="23"/>
  <c r="O111" i="23"/>
  <c r="M113" i="23"/>
  <c r="O113" i="23"/>
  <c r="M114" i="23"/>
  <c r="O114" i="23"/>
  <c r="M115" i="23"/>
  <c r="O115" i="23"/>
  <c r="M116" i="23"/>
  <c r="O116" i="23"/>
  <c r="M117" i="23"/>
  <c r="O117" i="23"/>
  <c r="M118" i="23"/>
  <c r="O118" i="23"/>
  <c r="M119" i="23"/>
  <c r="O119" i="23"/>
  <c r="M120" i="23"/>
  <c r="O120" i="23"/>
  <c r="M121" i="23"/>
  <c r="O121" i="23"/>
  <c r="M122" i="23"/>
  <c r="O122" i="23"/>
  <c r="M123" i="23"/>
  <c r="O123" i="23"/>
  <c r="M124" i="23"/>
  <c r="O124" i="23"/>
  <c r="M125" i="23"/>
  <c r="O125" i="23"/>
  <c r="M126" i="23"/>
  <c r="O126" i="23"/>
  <c r="M127" i="23"/>
  <c r="O127" i="23"/>
  <c r="M128" i="23"/>
  <c r="O128" i="23"/>
  <c r="M129" i="23"/>
  <c r="O129" i="23"/>
  <c r="M130" i="23"/>
  <c r="O130" i="23"/>
  <c r="M131" i="23"/>
  <c r="O131" i="23"/>
  <c r="M132" i="23"/>
  <c r="O132" i="23"/>
  <c r="M133" i="23"/>
  <c r="O133" i="23"/>
  <c r="M134" i="23"/>
  <c r="O134" i="23"/>
  <c r="M135" i="23"/>
  <c r="O135" i="23"/>
  <c r="M136" i="23"/>
  <c r="O136" i="23"/>
  <c r="M137" i="23"/>
  <c r="O137" i="23"/>
  <c r="M138" i="23"/>
  <c r="O138" i="23"/>
  <c r="M139" i="23"/>
  <c r="O139" i="23"/>
  <c r="M140" i="23"/>
  <c r="O140" i="23"/>
  <c r="M141" i="23"/>
  <c r="O141" i="23"/>
  <c r="M142" i="23"/>
  <c r="O142" i="23"/>
  <c r="M143" i="23"/>
  <c r="O143" i="23"/>
  <c r="M144" i="23"/>
  <c r="O144" i="23"/>
  <c r="M145" i="23"/>
  <c r="O145" i="23"/>
  <c r="M146" i="23"/>
  <c r="O146" i="23"/>
  <c r="M147" i="23"/>
  <c r="O147" i="23"/>
  <c r="M148" i="23"/>
  <c r="O148" i="23"/>
  <c r="M149" i="23"/>
  <c r="O149" i="23"/>
  <c r="M150" i="23"/>
  <c r="O150" i="23"/>
  <c r="M151" i="23"/>
  <c r="O151" i="23"/>
  <c r="M152" i="23"/>
  <c r="O152" i="23"/>
  <c r="M153" i="23"/>
  <c r="O153" i="23"/>
  <c r="M154" i="23"/>
  <c r="O154" i="23"/>
  <c r="O3" i="22"/>
  <c r="K11" i="22"/>
  <c r="I17" i="22"/>
  <c r="L17" i="22"/>
  <c r="N17" i="22"/>
  <c r="L18" i="22"/>
  <c r="N18" i="22"/>
  <c r="L19" i="22"/>
  <c r="N19" i="22"/>
  <c r="N27" i="22"/>
  <c r="O27" i="22" s="1"/>
  <c r="N28" i="22"/>
  <c r="N29" i="22"/>
  <c r="N30" i="22"/>
  <c r="L32" i="22"/>
  <c r="N32" i="22"/>
  <c r="L33" i="22"/>
  <c r="N33" i="22"/>
  <c r="L34" i="22"/>
  <c r="N34" i="22"/>
  <c r="L35" i="22"/>
  <c r="N35" i="22"/>
  <c r="L36" i="22"/>
  <c r="N36" i="22"/>
  <c r="L37" i="22"/>
  <c r="N37" i="22"/>
  <c r="L38" i="22"/>
  <c r="N38" i="22"/>
  <c r="L39" i="22"/>
  <c r="N39" i="22"/>
  <c r="L40" i="22"/>
  <c r="N40" i="22"/>
  <c r="L41" i="22"/>
  <c r="N41" i="22"/>
  <c r="L42" i="22"/>
  <c r="N42" i="22"/>
  <c r="L43" i="22"/>
  <c r="N43" i="22"/>
  <c r="L44" i="22"/>
  <c r="N44" i="22"/>
  <c r="L45" i="22"/>
  <c r="N45" i="22"/>
  <c r="L46" i="22"/>
  <c r="N46" i="22"/>
  <c r="C49" i="22"/>
  <c r="C50" i="22" s="1"/>
  <c r="C51" i="22" s="1"/>
  <c r="C52" i="22" s="1"/>
  <c r="C53" i="22" s="1"/>
  <c r="C54" i="22" s="1"/>
  <c r="C55" i="22" s="1"/>
  <c r="C56" i="22" s="1"/>
  <c r="C57" i="22" s="1"/>
  <c r="C58" i="22" s="1"/>
  <c r="C59" i="22" s="1"/>
  <c r="C60" i="22" s="1"/>
  <c r="C61" i="22" s="1"/>
  <c r="C62" i="22" s="1"/>
  <c r="C63" i="22" s="1"/>
  <c r="C64" i="22" s="1"/>
  <c r="C65" i="22" s="1"/>
  <c r="C66" i="22" s="1"/>
  <c r="C67" i="22" s="1"/>
  <c r="C68" i="22" s="1"/>
  <c r="C69" i="22" s="1"/>
  <c r="C70" i="22" s="1"/>
  <c r="C71" i="22" s="1"/>
  <c r="C72" i="22" s="1"/>
  <c r="L47" i="22"/>
  <c r="N47" i="22"/>
  <c r="L48" i="22"/>
  <c r="N48" i="22"/>
  <c r="L49" i="22"/>
  <c r="N49" i="22"/>
  <c r="L50" i="22"/>
  <c r="N50" i="22"/>
  <c r="L51" i="22"/>
  <c r="N51" i="22"/>
  <c r="L52" i="22"/>
  <c r="N52" i="22"/>
  <c r="L53" i="22"/>
  <c r="N53" i="22"/>
  <c r="L54" i="22"/>
  <c r="N54" i="22"/>
  <c r="L55" i="22"/>
  <c r="N55" i="22"/>
  <c r="L56" i="22"/>
  <c r="N56" i="22"/>
  <c r="L57" i="22"/>
  <c r="N57" i="22"/>
  <c r="L58" i="22"/>
  <c r="N58" i="22"/>
  <c r="L59" i="22"/>
  <c r="N59" i="22"/>
  <c r="L60" i="22"/>
  <c r="N60" i="22"/>
  <c r="L61" i="22"/>
  <c r="N61" i="22"/>
  <c r="L62" i="22"/>
  <c r="N62" i="22"/>
  <c r="L63" i="22"/>
  <c r="N63" i="22"/>
  <c r="L64" i="22"/>
  <c r="N64" i="22"/>
  <c r="L65" i="22"/>
  <c r="N65" i="22"/>
  <c r="L66" i="22"/>
  <c r="N66" i="22"/>
  <c r="L67" i="22"/>
  <c r="N67" i="22"/>
  <c r="L68" i="22"/>
  <c r="N68" i="22"/>
  <c r="L69" i="22"/>
  <c r="N69" i="22"/>
  <c r="L70" i="22"/>
  <c r="N70" i="22"/>
  <c r="L71" i="22"/>
  <c r="N71" i="22"/>
  <c r="L72" i="22"/>
  <c r="N72" i="22"/>
  <c r="D89" i="22"/>
  <c r="D91" i="22"/>
  <c r="J93" i="22"/>
  <c r="L93" i="22"/>
  <c r="D96" i="22"/>
  <c r="J99" i="22"/>
  <c r="M99" i="22"/>
  <c r="O99" i="22"/>
  <c r="P99" i="22" s="1"/>
  <c r="J100" i="22"/>
  <c r="O100" i="22"/>
  <c r="M101" i="22"/>
  <c r="M102" i="22"/>
  <c r="O102" i="22"/>
  <c r="O109" i="22"/>
  <c r="O110" i="22"/>
  <c r="M112" i="22"/>
  <c r="O112" i="22"/>
  <c r="M113" i="22"/>
  <c r="O113" i="22"/>
  <c r="M114" i="22"/>
  <c r="O114" i="22"/>
  <c r="M115" i="22"/>
  <c r="O115" i="22"/>
  <c r="M116" i="22"/>
  <c r="O116" i="22"/>
  <c r="M117" i="22"/>
  <c r="O117" i="22"/>
  <c r="M118" i="22"/>
  <c r="O118" i="22"/>
  <c r="M119" i="22"/>
  <c r="O119" i="22"/>
  <c r="M120" i="22"/>
  <c r="O120" i="22"/>
  <c r="M121" i="22"/>
  <c r="O121" i="22"/>
  <c r="M122" i="22"/>
  <c r="O122" i="22"/>
  <c r="M123" i="22"/>
  <c r="O123" i="22"/>
  <c r="M124" i="22"/>
  <c r="O124" i="22"/>
  <c r="M125" i="22"/>
  <c r="O125" i="22"/>
  <c r="M126" i="22"/>
  <c r="O126" i="22"/>
  <c r="M127" i="22"/>
  <c r="O127" i="22"/>
  <c r="M128" i="22"/>
  <c r="O128" i="22"/>
  <c r="M129" i="22"/>
  <c r="O129" i="22"/>
  <c r="M130" i="22"/>
  <c r="O130" i="22"/>
  <c r="M131" i="22"/>
  <c r="O131" i="22"/>
  <c r="M132" i="22"/>
  <c r="O132" i="22"/>
  <c r="M133" i="22"/>
  <c r="O133" i="22"/>
  <c r="M134" i="22"/>
  <c r="O134" i="22"/>
  <c r="M135" i="22"/>
  <c r="O135" i="22"/>
  <c r="M136" i="22"/>
  <c r="O136" i="22"/>
  <c r="M137" i="22"/>
  <c r="O137" i="22"/>
  <c r="M138" i="22"/>
  <c r="O138" i="22"/>
  <c r="M139" i="22"/>
  <c r="O139" i="22"/>
  <c r="M140" i="22"/>
  <c r="O140" i="22"/>
  <c r="M141" i="22"/>
  <c r="O141" i="22"/>
  <c r="M142" i="22"/>
  <c r="O142" i="22"/>
  <c r="M143" i="22"/>
  <c r="O143" i="22"/>
  <c r="M144" i="22"/>
  <c r="O144" i="22"/>
  <c r="M145" i="22"/>
  <c r="O145" i="22"/>
  <c r="M146" i="22"/>
  <c r="O146" i="22"/>
  <c r="M147" i="22"/>
  <c r="O147" i="22"/>
  <c r="M148" i="22"/>
  <c r="O148" i="22"/>
  <c r="M149" i="22"/>
  <c r="O149" i="22"/>
  <c r="M150" i="22"/>
  <c r="O150" i="22"/>
  <c r="M151" i="22"/>
  <c r="O151" i="22"/>
  <c r="M152" i="22"/>
  <c r="O152" i="22"/>
  <c r="M153" i="22"/>
  <c r="O153" i="22"/>
  <c r="M154" i="22"/>
  <c r="O154" i="22"/>
  <c r="O3" i="21"/>
  <c r="K11" i="21"/>
  <c r="I17" i="21"/>
  <c r="L17" i="21"/>
  <c r="N17" i="21"/>
  <c r="L18" i="21"/>
  <c r="N18" i="21"/>
  <c r="L19" i="21"/>
  <c r="L20" i="21"/>
  <c r="N27" i="21"/>
  <c r="N28" i="21"/>
  <c r="N29" i="21"/>
  <c r="N30" i="21"/>
  <c r="L32" i="21"/>
  <c r="N32" i="21"/>
  <c r="L33" i="21"/>
  <c r="N33" i="21"/>
  <c r="L34" i="21"/>
  <c r="N34" i="21"/>
  <c r="L35" i="21"/>
  <c r="N35" i="21"/>
  <c r="L36" i="21"/>
  <c r="N36" i="21"/>
  <c r="L37" i="21"/>
  <c r="N37" i="21"/>
  <c r="L38" i="21"/>
  <c r="N38" i="21"/>
  <c r="L39" i="21"/>
  <c r="N39" i="21"/>
  <c r="L40" i="21"/>
  <c r="N40" i="21"/>
  <c r="L41" i="21"/>
  <c r="N41" i="21"/>
  <c r="L42" i="21"/>
  <c r="N42" i="21"/>
  <c r="L43" i="21"/>
  <c r="N43" i="21"/>
  <c r="L44" i="21"/>
  <c r="N44" i="21"/>
  <c r="L45" i="21"/>
  <c r="N45" i="21"/>
  <c r="L46" i="21"/>
  <c r="N46" i="21"/>
  <c r="L47" i="21"/>
  <c r="N47" i="21"/>
  <c r="L48" i="21"/>
  <c r="N48" i="21"/>
  <c r="L49" i="21"/>
  <c r="N49" i="21"/>
  <c r="L50" i="21"/>
  <c r="N50" i="21"/>
  <c r="L51" i="21"/>
  <c r="N51" i="21"/>
  <c r="L52" i="21"/>
  <c r="N52" i="21"/>
  <c r="L53" i="21"/>
  <c r="N53" i="21"/>
  <c r="L54" i="21"/>
  <c r="N54" i="21"/>
  <c r="L55" i="21"/>
  <c r="N55" i="21"/>
  <c r="L56" i="21"/>
  <c r="N56" i="21"/>
  <c r="L57" i="21"/>
  <c r="N57" i="21"/>
  <c r="L58" i="21"/>
  <c r="N58" i="21"/>
  <c r="L59" i="21"/>
  <c r="N59" i="21"/>
  <c r="L60" i="21"/>
  <c r="N60" i="21"/>
  <c r="L61" i="21"/>
  <c r="N61" i="21"/>
  <c r="L62" i="21"/>
  <c r="N62" i="21"/>
  <c r="L63" i="21"/>
  <c r="N63" i="21"/>
  <c r="L64" i="21"/>
  <c r="N64" i="21"/>
  <c r="L65" i="21"/>
  <c r="N65" i="21"/>
  <c r="L66" i="21"/>
  <c r="N66" i="21"/>
  <c r="L67" i="21"/>
  <c r="N67" i="21"/>
  <c r="L68" i="21"/>
  <c r="N68" i="21"/>
  <c r="L69" i="21"/>
  <c r="N69" i="21"/>
  <c r="L70" i="21"/>
  <c r="N70" i="21"/>
  <c r="L71" i="21"/>
  <c r="N71" i="21"/>
  <c r="L72" i="21"/>
  <c r="N72" i="21"/>
  <c r="D89" i="21"/>
  <c r="D91" i="21"/>
  <c r="J93" i="21"/>
  <c r="L93" i="21"/>
  <c r="D96" i="21"/>
  <c r="J99" i="21"/>
  <c r="M99" i="21"/>
  <c r="J100" i="21"/>
  <c r="M100" i="21"/>
  <c r="O100" i="21"/>
  <c r="M102" i="21"/>
  <c r="O102" i="21"/>
  <c r="P102" i="21" s="1"/>
  <c r="O109" i="21"/>
  <c r="O110" i="21"/>
  <c r="M112" i="21"/>
  <c r="O112" i="21"/>
  <c r="M113" i="21"/>
  <c r="O113" i="21"/>
  <c r="M114" i="21"/>
  <c r="O114" i="21"/>
  <c r="M115" i="21"/>
  <c r="O115" i="21"/>
  <c r="M116" i="21"/>
  <c r="O116" i="21"/>
  <c r="M117" i="21"/>
  <c r="O117" i="21"/>
  <c r="M118" i="21"/>
  <c r="O118" i="21"/>
  <c r="M119" i="21"/>
  <c r="O119" i="21"/>
  <c r="M120" i="21"/>
  <c r="O120" i="21"/>
  <c r="M121" i="21"/>
  <c r="O121" i="21"/>
  <c r="M122" i="21"/>
  <c r="O122" i="21"/>
  <c r="M123" i="21"/>
  <c r="O123" i="21"/>
  <c r="M124" i="21"/>
  <c r="O124" i="21"/>
  <c r="M125" i="21"/>
  <c r="O125" i="21"/>
  <c r="M126" i="21"/>
  <c r="O126" i="21"/>
  <c r="M127" i="21"/>
  <c r="O127" i="21"/>
  <c r="M128" i="21"/>
  <c r="O128" i="21"/>
  <c r="M129" i="21"/>
  <c r="O129" i="21"/>
  <c r="M130" i="21"/>
  <c r="O130" i="21"/>
  <c r="M131" i="21"/>
  <c r="O131" i="21"/>
  <c r="M132" i="21"/>
  <c r="O132" i="21"/>
  <c r="M133" i="21"/>
  <c r="O133" i="21"/>
  <c r="M134" i="21"/>
  <c r="O134" i="21"/>
  <c r="M135" i="21"/>
  <c r="O135" i="21"/>
  <c r="M136" i="21"/>
  <c r="O136" i="21"/>
  <c r="M137" i="21"/>
  <c r="O137" i="21"/>
  <c r="M138" i="21"/>
  <c r="O138" i="21"/>
  <c r="M139" i="21"/>
  <c r="O139" i="21"/>
  <c r="M140" i="21"/>
  <c r="O140" i="21"/>
  <c r="M141" i="21"/>
  <c r="O141" i="21"/>
  <c r="M142" i="21"/>
  <c r="O142" i="21"/>
  <c r="M143" i="21"/>
  <c r="O143" i="21"/>
  <c r="M144" i="21"/>
  <c r="O144" i="21"/>
  <c r="M145" i="21"/>
  <c r="O145" i="21"/>
  <c r="M146" i="21"/>
  <c r="O146" i="21"/>
  <c r="M147" i="21"/>
  <c r="O147" i="21"/>
  <c r="M148" i="21"/>
  <c r="O148" i="21"/>
  <c r="M149" i="21"/>
  <c r="O149" i="21"/>
  <c r="M150" i="21"/>
  <c r="O150" i="21"/>
  <c r="M151" i="21"/>
  <c r="O151" i="21"/>
  <c r="M152" i="21"/>
  <c r="O152" i="21"/>
  <c r="M153" i="21"/>
  <c r="O153" i="21"/>
  <c r="M154" i="21"/>
  <c r="O154" i="21"/>
  <c r="O3" i="20"/>
  <c r="K11" i="20"/>
  <c r="I17" i="20"/>
  <c r="L17" i="20"/>
  <c r="N17" i="20"/>
  <c r="O17" i="20" s="1"/>
  <c r="L18" i="20"/>
  <c r="N18" i="20"/>
  <c r="L19" i="20"/>
  <c r="N19" i="20"/>
  <c r="O19" i="20" s="1"/>
  <c r="N20" i="20"/>
  <c r="O20" i="20" s="1"/>
  <c r="N27" i="20"/>
  <c r="N28" i="20"/>
  <c r="N29" i="20"/>
  <c r="N30" i="20"/>
  <c r="L32" i="20"/>
  <c r="N32" i="20"/>
  <c r="L33" i="20"/>
  <c r="N33" i="20"/>
  <c r="L34" i="20"/>
  <c r="N34" i="20"/>
  <c r="L35" i="20"/>
  <c r="N35" i="20"/>
  <c r="L36" i="20"/>
  <c r="N36" i="20"/>
  <c r="L37" i="20"/>
  <c r="N37" i="20"/>
  <c r="L38" i="20"/>
  <c r="N38" i="20"/>
  <c r="L39" i="20"/>
  <c r="N39" i="20"/>
  <c r="L40" i="20"/>
  <c r="N40" i="20"/>
  <c r="L41" i="20"/>
  <c r="N41" i="20"/>
  <c r="L42" i="20"/>
  <c r="N42" i="20"/>
  <c r="L43" i="20"/>
  <c r="N43" i="20"/>
  <c r="L44" i="20"/>
  <c r="N44" i="20"/>
  <c r="C45" i="20"/>
  <c r="C46" i="20" s="1"/>
  <c r="C47" i="20"/>
  <c r="C48" i="20" s="1"/>
  <c r="C49" i="20" s="1"/>
  <c r="C50" i="20" s="1"/>
  <c r="C51" i="20" s="1"/>
  <c r="C52" i="20" s="1"/>
  <c r="C53" i="20" s="1"/>
  <c r="C54" i="20" s="1"/>
  <c r="C55" i="20" s="1"/>
  <c r="C56" i="20" s="1"/>
  <c r="C57" i="20" s="1"/>
  <c r="C58" i="20" s="1"/>
  <c r="C59" i="20" s="1"/>
  <c r="C60" i="20" s="1"/>
  <c r="C61" i="20" s="1"/>
  <c r="C62" i="20" s="1"/>
  <c r="C63" i="20" s="1"/>
  <c r="C64" i="20" s="1"/>
  <c r="C65" i="20" s="1"/>
  <c r="C66" i="20" s="1"/>
  <c r="C67" i="20" s="1"/>
  <c r="C68" i="20" s="1"/>
  <c r="C69" i="20" s="1"/>
  <c r="C70" i="20" s="1"/>
  <c r="C71" i="20" s="1"/>
  <c r="C72" i="20" s="1"/>
  <c r="L45" i="20"/>
  <c r="N45" i="20"/>
  <c r="L46" i="20"/>
  <c r="N46" i="20"/>
  <c r="L47" i="20"/>
  <c r="N47" i="20"/>
  <c r="L48" i="20"/>
  <c r="N48" i="20"/>
  <c r="L49" i="20"/>
  <c r="N49" i="20"/>
  <c r="L50" i="20"/>
  <c r="N50" i="20"/>
  <c r="L51" i="20"/>
  <c r="N51" i="20"/>
  <c r="L52" i="20"/>
  <c r="N52" i="20"/>
  <c r="L53" i="20"/>
  <c r="N53" i="20"/>
  <c r="L54" i="20"/>
  <c r="N54" i="20"/>
  <c r="L55" i="20"/>
  <c r="N55" i="20"/>
  <c r="L56" i="20"/>
  <c r="N56" i="20"/>
  <c r="L57" i="20"/>
  <c r="N57" i="20"/>
  <c r="L58" i="20"/>
  <c r="N58" i="20"/>
  <c r="L59" i="20"/>
  <c r="N59" i="20"/>
  <c r="L60" i="20"/>
  <c r="N60" i="20"/>
  <c r="L61" i="20"/>
  <c r="N61" i="20"/>
  <c r="L62" i="20"/>
  <c r="N62" i="20"/>
  <c r="L63" i="20"/>
  <c r="N63" i="20"/>
  <c r="L64" i="20"/>
  <c r="N64" i="20"/>
  <c r="L65" i="20"/>
  <c r="N65" i="20"/>
  <c r="L66" i="20"/>
  <c r="N66" i="20"/>
  <c r="L67" i="20"/>
  <c r="N67" i="20"/>
  <c r="L68" i="20"/>
  <c r="N68" i="20"/>
  <c r="L69" i="20"/>
  <c r="N69" i="20"/>
  <c r="L70" i="20"/>
  <c r="N70" i="20"/>
  <c r="L71" i="20"/>
  <c r="N71" i="20"/>
  <c r="L72" i="20"/>
  <c r="N72" i="20"/>
  <c r="D89" i="20"/>
  <c r="D91" i="20"/>
  <c r="J93" i="20"/>
  <c r="L93" i="20"/>
  <c r="D96" i="20"/>
  <c r="J99" i="20"/>
  <c r="O99" i="20"/>
  <c r="J100" i="20"/>
  <c r="M100" i="20"/>
  <c r="O100" i="20"/>
  <c r="M101" i="20"/>
  <c r="M102" i="20"/>
  <c r="O102" i="20"/>
  <c r="O109" i="20"/>
  <c r="O110" i="20"/>
  <c r="M112" i="20"/>
  <c r="O112" i="20"/>
  <c r="M113" i="20"/>
  <c r="O113" i="20"/>
  <c r="M114" i="20"/>
  <c r="O114" i="20"/>
  <c r="M115" i="20"/>
  <c r="O115" i="20"/>
  <c r="M116" i="20"/>
  <c r="O116" i="20"/>
  <c r="M117" i="20"/>
  <c r="O117" i="20"/>
  <c r="M118" i="20"/>
  <c r="O118" i="20"/>
  <c r="M119" i="20"/>
  <c r="O119" i="20"/>
  <c r="M120" i="20"/>
  <c r="O120" i="20"/>
  <c r="M121" i="20"/>
  <c r="O121" i="20"/>
  <c r="M122" i="20"/>
  <c r="O122" i="20"/>
  <c r="M123" i="20"/>
  <c r="O123" i="20"/>
  <c r="M124" i="20"/>
  <c r="O124" i="20"/>
  <c r="M125" i="20"/>
  <c r="O125" i="20"/>
  <c r="M126" i="20"/>
  <c r="O126" i="20"/>
  <c r="M127" i="20"/>
  <c r="O127" i="20"/>
  <c r="M128" i="20"/>
  <c r="O128" i="20"/>
  <c r="M129" i="20"/>
  <c r="O129" i="20"/>
  <c r="M130" i="20"/>
  <c r="O130" i="20"/>
  <c r="M131" i="20"/>
  <c r="O131" i="20"/>
  <c r="M132" i="20"/>
  <c r="O132" i="20"/>
  <c r="M133" i="20"/>
  <c r="O133" i="20"/>
  <c r="M134" i="20"/>
  <c r="O134" i="20"/>
  <c r="M135" i="20"/>
  <c r="O135" i="20"/>
  <c r="M136" i="20"/>
  <c r="O136" i="20"/>
  <c r="M137" i="20"/>
  <c r="O137" i="20"/>
  <c r="M138" i="20"/>
  <c r="O138" i="20"/>
  <c r="M139" i="20"/>
  <c r="O139" i="20"/>
  <c r="M140" i="20"/>
  <c r="O140" i="20"/>
  <c r="M141" i="20"/>
  <c r="O141" i="20"/>
  <c r="M142" i="20"/>
  <c r="O142" i="20"/>
  <c r="M143" i="20"/>
  <c r="O143" i="20"/>
  <c r="M144" i="20"/>
  <c r="O144" i="20"/>
  <c r="M145" i="20"/>
  <c r="O145" i="20"/>
  <c r="M146" i="20"/>
  <c r="O146" i="20"/>
  <c r="M147" i="20"/>
  <c r="O147" i="20"/>
  <c r="M148" i="20"/>
  <c r="O148" i="20"/>
  <c r="M149" i="20"/>
  <c r="O149" i="20"/>
  <c r="M150" i="20"/>
  <c r="O150" i="20"/>
  <c r="M151" i="20"/>
  <c r="O151" i="20"/>
  <c r="M152" i="20"/>
  <c r="O152" i="20"/>
  <c r="M153" i="20"/>
  <c r="O153" i="20"/>
  <c r="M154" i="20"/>
  <c r="O154" i="20"/>
  <c r="O3" i="19"/>
  <c r="K11" i="19"/>
  <c r="I17" i="19"/>
  <c r="L17" i="19"/>
  <c r="N17" i="19"/>
  <c r="L18" i="19"/>
  <c r="N20" i="19"/>
  <c r="N27" i="19"/>
  <c r="N28" i="19"/>
  <c r="N29" i="19"/>
  <c r="N30" i="19"/>
  <c r="L32" i="19"/>
  <c r="N32" i="19"/>
  <c r="L33" i="19"/>
  <c r="N33" i="19"/>
  <c r="L34" i="19"/>
  <c r="N34" i="19"/>
  <c r="L35" i="19"/>
  <c r="N35" i="19"/>
  <c r="L36" i="19"/>
  <c r="N36" i="19"/>
  <c r="L37" i="19"/>
  <c r="N37" i="19"/>
  <c r="L38" i="19"/>
  <c r="N38" i="19"/>
  <c r="L39" i="19"/>
  <c r="N39" i="19"/>
  <c r="L40" i="19"/>
  <c r="N40" i="19"/>
  <c r="L41" i="19"/>
  <c r="N41" i="19"/>
  <c r="L42" i="19"/>
  <c r="N42" i="19"/>
  <c r="L43" i="19"/>
  <c r="N43" i="19"/>
  <c r="L44" i="19"/>
  <c r="N44" i="19"/>
  <c r="C45" i="19"/>
  <c r="C46" i="19" s="1"/>
  <c r="C47" i="19" s="1"/>
  <c r="C48" i="19" s="1"/>
  <c r="C49" i="19" s="1"/>
  <c r="C50" i="19" s="1"/>
  <c r="C51" i="19" s="1"/>
  <c r="C52" i="19" s="1"/>
  <c r="C53" i="19" s="1"/>
  <c r="C54" i="19" s="1"/>
  <c r="C55" i="19" s="1"/>
  <c r="C56" i="19" s="1"/>
  <c r="C57" i="19" s="1"/>
  <c r="C58" i="19" s="1"/>
  <c r="C59" i="19" s="1"/>
  <c r="C60" i="19" s="1"/>
  <c r="C61" i="19" s="1"/>
  <c r="C62" i="19" s="1"/>
  <c r="C63" i="19" s="1"/>
  <c r="C64" i="19" s="1"/>
  <c r="C65" i="19" s="1"/>
  <c r="C66" i="19" s="1"/>
  <c r="C67" i="19" s="1"/>
  <c r="C68" i="19" s="1"/>
  <c r="C69" i="19" s="1"/>
  <c r="C70" i="19" s="1"/>
  <c r="C71" i="19" s="1"/>
  <c r="C72" i="19" s="1"/>
  <c r="L45" i="19"/>
  <c r="N45" i="19"/>
  <c r="L46" i="19"/>
  <c r="N46" i="19"/>
  <c r="L47" i="19"/>
  <c r="N47" i="19"/>
  <c r="L48" i="19"/>
  <c r="N48" i="19"/>
  <c r="L49" i="19"/>
  <c r="N49" i="19"/>
  <c r="L50" i="19"/>
  <c r="N50" i="19"/>
  <c r="L51" i="19"/>
  <c r="N51" i="19"/>
  <c r="L52" i="19"/>
  <c r="N52" i="19"/>
  <c r="L53" i="19"/>
  <c r="N53" i="19"/>
  <c r="L54" i="19"/>
  <c r="N54" i="19"/>
  <c r="L55" i="19"/>
  <c r="N55" i="19"/>
  <c r="L56" i="19"/>
  <c r="N56" i="19"/>
  <c r="L57" i="19"/>
  <c r="N57" i="19"/>
  <c r="L58" i="19"/>
  <c r="N58" i="19"/>
  <c r="L59" i="19"/>
  <c r="N59" i="19"/>
  <c r="L60" i="19"/>
  <c r="N60" i="19"/>
  <c r="L61" i="19"/>
  <c r="N61" i="19"/>
  <c r="L62" i="19"/>
  <c r="N62" i="19"/>
  <c r="L63" i="19"/>
  <c r="N63" i="19"/>
  <c r="L64" i="19"/>
  <c r="N64" i="19"/>
  <c r="L65" i="19"/>
  <c r="N65" i="19"/>
  <c r="L66" i="19"/>
  <c r="N66" i="19"/>
  <c r="L67" i="19"/>
  <c r="N67" i="19"/>
  <c r="L68" i="19"/>
  <c r="N68" i="19"/>
  <c r="L69" i="19"/>
  <c r="N69" i="19"/>
  <c r="L70" i="19"/>
  <c r="N70" i="19"/>
  <c r="L71" i="19"/>
  <c r="N71" i="19"/>
  <c r="L72" i="19"/>
  <c r="N72" i="19"/>
  <c r="D89" i="19"/>
  <c r="D91" i="19"/>
  <c r="J93" i="19"/>
  <c r="L93" i="19"/>
  <c r="D96" i="19"/>
  <c r="J99" i="19"/>
  <c r="M99" i="19"/>
  <c r="O99" i="19"/>
  <c r="J100" i="19"/>
  <c r="M101" i="19"/>
  <c r="M102" i="19"/>
  <c r="O102" i="19"/>
  <c r="P102" i="19" s="1"/>
  <c r="O109" i="19"/>
  <c r="O110" i="19"/>
  <c r="M112" i="19"/>
  <c r="O112" i="19"/>
  <c r="M113" i="19"/>
  <c r="O113" i="19"/>
  <c r="M114" i="19"/>
  <c r="O114" i="19"/>
  <c r="M115" i="19"/>
  <c r="O115" i="19"/>
  <c r="M116" i="19"/>
  <c r="O116" i="19"/>
  <c r="M117" i="19"/>
  <c r="O117" i="19"/>
  <c r="M118" i="19"/>
  <c r="O118" i="19"/>
  <c r="M119" i="19"/>
  <c r="O119" i="19"/>
  <c r="M120" i="19"/>
  <c r="O120" i="19"/>
  <c r="M121" i="19"/>
  <c r="O121" i="19"/>
  <c r="M122" i="19"/>
  <c r="O122" i="19"/>
  <c r="M123" i="19"/>
  <c r="O123" i="19"/>
  <c r="M124" i="19"/>
  <c r="O124" i="19"/>
  <c r="M125" i="19"/>
  <c r="O125" i="19"/>
  <c r="M126" i="19"/>
  <c r="O126" i="19"/>
  <c r="M127" i="19"/>
  <c r="O127" i="19"/>
  <c r="M128" i="19"/>
  <c r="O128" i="19"/>
  <c r="M129" i="19"/>
  <c r="O129" i="19"/>
  <c r="M130" i="19"/>
  <c r="O130" i="19"/>
  <c r="M131" i="19"/>
  <c r="O131" i="19"/>
  <c r="M132" i="19"/>
  <c r="O132" i="19"/>
  <c r="M133" i="19"/>
  <c r="O133" i="19"/>
  <c r="M134" i="19"/>
  <c r="O134" i="19"/>
  <c r="M135" i="19"/>
  <c r="O135" i="19"/>
  <c r="M136" i="19"/>
  <c r="O136" i="19"/>
  <c r="M137" i="19"/>
  <c r="O137" i="19"/>
  <c r="M138" i="19"/>
  <c r="O138" i="19"/>
  <c r="M139" i="19"/>
  <c r="O139" i="19"/>
  <c r="M140" i="19"/>
  <c r="O140" i="19"/>
  <c r="M141" i="19"/>
  <c r="O141" i="19"/>
  <c r="M142" i="19"/>
  <c r="O142" i="19"/>
  <c r="M143" i="19"/>
  <c r="O143" i="19"/>
  <c r="M144" i="19"/>
  <c r="O144" i="19"/>
  <c r="M145" i="19"/>
  <c r="O145" i="19"/>
  <c r="M146" i="19"/>
  <c r="O146" i="19"/>
  <c r="M147" i="19"/>
  <c r="O147" i="19"/>
  <c r="M148" i="19"/>
  <c r="O148" i="19"/>
  <c r="M149" i="19"/>
  <c r="O149" i="19"/>
  <c r="M150" i="19"/>
  <c r="O150" i="19"/>
  <c r="M151" i="19"/>
  <c r="O151" i="19"/>
  <c r="M152" i="19"/>
  <c r="O152" i="19"/>
  <c r="M153" i="19"/>
  <c r="O153" i="19"/>
  <c r="M154" i="19"/>
  <c r="O154" i="19"/>
  <c r="O3" i="18"/>
  <c r="K11" i="18"/>
  <c r="I17" i="18"/>
  <c r="L17" i="18"/>
  <c r="N17" i="18"/>
  <c r="N18" i="18"/>
  <c r="N19" i="18"/>
  <c r="L20" i="18"/>
  <c r="N27" i="18"/>
  <c r="N28" i="18"/>
  <c r="N29" i="18"/>
  <c r="N30" i="18"/>
  <c r="L32" i="18"/>
  <c r="N32" i="18"/>
  <c r="L33" i="18"/>
  <c r="N33" i="18"/>
  <c r="L34" i="18"/>
  <c r="N34" i="18"/>
  <c r="L35" i="18"/>
  <c r="N35" i="18"/>
  <c r="L36" i="18"/>
  <c r="N36" i="18"/>
  <c r="L37" i="18"/>
  <c r="N37" i="18"/>
  <c r="L38" i="18"/>
  <c r="N38" i="18"/>
  <c r="L39" i="18"/>
  <c r="N39" i="18"/>
  <c r="L40" i="18"/>
  <c r="N40" i="18"/>
  <c r="L41" i="18"/>
  <c r="N41" i="18"/>
  <c r="L42" i="18"/>
  <c r="N42" i="18"/>
  <c r="L43" i="18"/>
  <c r="N43" i="18"/>
  <c r="L44" i="18"/>
  <c r="N44" i="18"/>
  <c r="C45" i="18"/>
  <c r="C46" i="18" s="1"/>
  <c r="C47" i="18" s="1"/>
  <c r="C48" i="18" s="1"/>
  <c r="C49" i="18" s="1"/>
  <c r="C50" i="18" s="1"/>
  <c r="C51" i="18" s="1"/>
  <c r="C52" i="18" s="1"/>
  <c r="C53" i="18" s="1"/>
  <c r="C54" i="18" s="1"/>
  <c r="C55" i="18" s="1"/>
  <c r="C56" i="18" s="1"/>
  <c r="C57" i="18" s="1"/>
  <c r="C58" i="18" s="1"/>
  <c r="C59" i="18" s="1"/>
  <c r="C60" i="18" s="1"/>
  <c r="C61" i="18" s="1"/>
  <c r="C62" i="18" s="1"/>
  <c r="C63" i="18" s="1"/>
  <c r="C64" i="18" s="1"/>
  <c r="C65" i="18" s="1"/>
  <c r="C66" i="18" s="1"/>
  <c r="C67" i="18" s="1"/>
  <c r="C68" i="18" s="1"/>
  <c r="C69" i="18" s="1"/>
  <c r="C70" i="18" s="1"/>
  <c r="C71" i="18" s="1"/>
  <c r="C72" i="18" s="1"/>
  <c r="L45" i="18"/>
  <c r="N45" i="18"/>
  <c r="L46" i="18"/>
  <c r="N46" i="18"/>
  <c r="L47" i="18"/>
  <c r="N47" i="18"/>
  <c r="L48" i="18"/>
  <c r="N48" i="18"/>
  <c r="L49" i="18"/>
  <c r="N49" i="18"/>
  <c r="L50" i="18"/>
  <c r="N50" i="18"/>
  <c r="L51" i="18"/>
  <c r="N51" i="18"/>
  <c r="L52" i="18"/>
  <c r="N52" i="18"/>
  <c r="L53" i="18"/>
  <c r="N53" i="18"/>
  <c r="L54" i="18"/>
  <c r="N54" i="18"/>
  <c r="L55" i="18"/>
  <c r="N55" i="18"/>
  <c r="L56" i="18"/>
  <c r="N56" i="18"/>
  <c r="L57" i="18"/>
  <c r="N57" i="18"/>
  <c r="L58" i="18"/>
  <c r="N58" i="18"/>
  <c r="L59" i="18"/>
  <c r="N59" i="18"/>
  <c r="L60" i="18"/>
  <c r="N60" i="18"/>
  <c r="L61" i="18"/>
  <c r="N61" i="18"/>
  <c r="L62" i="18"/>
  <c r="N62" i="18"/>
  <c r="L63" i="18"/>
  <c r="N63" i="18"/>
  <c r="L64" i="18"/>
  <c r="N64" i="18"/>
  <c r="L65" i="18"/>
  <c r="N65" i="18"/>
  <c r="L66" i="18"/>
  <c r="N66" i="18"/>
  <c r="L67" i="18"/>
  <c r="N67" i="18"/>
  <c r="L68" i="18"/>
  <c r="N68" i="18"/>
  <c r="L69" i="18"/>
  <c r="N69" i="18"/>
  <c r="L70" i="18"/>
  <c r="N70" i="18"/>
  <c r="L71" i="18"/>
  <c r="N71" i="18"/>
  <c r="L72" i="18"/>
  <c r="N72" i="18"/>
  <c r="D89" i="18"/>
  <c r="D91" i="18"/>
  <c r="J93" i="18"/>
  <c r="L93" i="18"/>
  <c r="D96" i="18"/>
  <c r="J99" i="18"/>
  <c r="M99" i="18"/>
  <c r="O99" i="18"/>
  <c r="J100" i="18"/>
  <c r="O100" i="18"/>
  <c r="M101" i="18"/>
  <c r="O102" i="18"/>
  <c r="O109" i="18"/>
  <c r="O110" i="18"/>
  <c r="M112" i="18"/>
  <c r="O112" i="18"/>
  <c r="M113" i="18"/>
  <c r="O113" i="18"/>
  <c r="M114" i="18"/>
  <c r="O114" i="18"/>
  <c r="M115" i="18"/>
  <c r="O115" i="18"/>
  <c r="M116" i="18"/>
  <c r="O116" i="18"/>
  <c r="M117" i="18"/>
  <c r="O117" i="18"/>
  <c r="M118" i="18"/>
  <c r="O118" i="18"/>
  <c r="M119" i="18"/>
  <c r="O119" i="18"/>
  <c r="M120" i="18"/>
  <c r="O120" i="18"/>
  <c r="M121" i="18"/>
  <c r="O121" i="18"/>
  <c r="M122" i="18"/>
  <c r="O122" i="18"/>
  <c r="M123" i="18"/>
  <c r="O123" i="18"/>
  <c r="M124" i="18"/>
  <c r="O124" i="18"/>
  <c r="M125" i="18"/>
  <c r="O125" i="18"/>
  <c r="M126" i="18"/>
  <c r="O126" i="18"/>
  <c r="M127" i="18"/>
  <c r="O127" i="18"/>
  <c r="M128" i="18"/>
  <c r="O128" i="18"/>
  <c r="M129" i="18"/>
  <c r="O129" i="18"/>
  <c r="M130" i="18"/>
  <c r="O130" i="18"/>
  <c r="M131" i="18"/>
  <c r="O131" i="18"/>
  <c r="M132" i="18"/>
  <c r="O132" i="18"/>
  <c r="M133" i="18"/>
  <c r="O133" i="18"/>
  <c r="M134" i="18"/>
  <c r="O134" i="18"/>
  <c r="M135" i="18"/>
  <c r="O135" i="18"/>
  <c r="M136" i="18"/>
  <c r="O136" i="18"/>
  <c r="M137" i="18"/>
  <c r="O137" i="18"/>
  <c r="M138" i="18"/>
  <c r="O138" i="18"/>
  <c r="M139" i="18"/>
  <c r="O139" i="18"/>
  <c r="M140" i="18"/>
  <c r="O140" i="18"/>
  <c r="M141" i="18"/>
  <c r="O141" i="18"/>
  <c r="M142" i="18"/>
  <c r="O142" i="18"/>
  <c r="M143" i="18"/>
  <c r="O143" i="18"/>
  <c r="M144" i="18"/>
  <c r="O144" i="18"/>
  <c r="M145" i="18"/>
  <c r="O145" i="18"/>
  <c r="M146" i="18"/>
  <c r="O146" i="18"/>
  <c r="M147" i="18"/>
  <c r="O147" i="18"/>
  <c r="M148" i="18"/>
  <c r="O148" i="18"/>
  <c r="M149" i="18"/>
  <c r="O149" i="18"/>
  <c r="M150" i="18"/>
  <c r="O150" i="18"/>
  <c r="M151" i="18"/>
  <c r="O151" i="18"/>
  <c r="M152" i="18"/>
  <c r="O152" i="18"/>
  <c r="M153" i="18"/>
  <c r="O153" i="18"/>
  <c r="M154" i="18"/>
  <c r="O154" i="18"/>
  <c r="O3" i="17"/>
  <c r="K11" i="17"/>
  <c r="I17" i="17"/>
  <c r="L17" i="17"/>
  <c r="N17" i="17"/>
  <c r="L18" i="17"/>
  <c r="N18" i="17"/>
  <c r="L19" i="17"/>
  <c r="L20" i="17"/>
  <c r="N20" i="17"/>
  <c r="N27" i="17"/>
  <c r="N28" i="17"/>
  <c r="O28" i="17" s="1"/>
  <c r="N29" i="17"/>
  <c r="N30" i="17"/>
  <c r="L32" i="17"/>
  <c r="N32" i="17"/>
  <c r="L33" i="17"/>
  <c r="N33" i="17"/>
  <c r="L34" i="17"/>
  <c r="N34" i="17"/>
  <c r="L35" i="17"/>
  <c r="N35" i="17"/>
  <c r="L36" i="17"/>
  <c r="N36" i="17"/>
  <c r="L37" i="17"/>
  <c r="N37" i="17"/>
  <c r="L38" i="17"/>
  <c r="N38" i="17"/>
  <c r="L39" i="17"/>
  <c r="N39" i="17"/>
  <c r="L40" i="17"/>
  <c r="N40" i="17"/>
  <c r="L41" i="17"/>
  <c r="N41" i="17"/>
  <c r="L42" i="17"/>
  <c r="N42" i="17"/>
  <c r="L43" i="17"/>
  <c r="N43" i="17"/>
  <c r="L44" i="17"/>
  <c r="N44" i="17"/>
  <c r="L45" i="17"/>
  <c r="N45" i="17"/>
  <c r="L46" i="17"/>
  <c r="N46" i="17"/>
  <c r="L47" i="17"/>
  <c r="N47" i="17"/>
  <c r="L48" i="17"/>
  <c r="N48" i="17"/>
  <c r="L49" i="17"/>
  <c r="N49" i="17"/>
  <c r="L50" i="17"/>
  <c r="N50" i="17"/>
  <c r="L51" i="17"/>
  <c r="N51" i="17"/>
  <c r="L52" i="17"/>
  <c r="N52" i="17"/>
  <c r="L53" i="17"/>
  <c r="N53" i="17"/>
  <c r="L54" i="17"/>
  <c r="N54" i="17"/>
  <c r="L55" i="17"/>
  <c r="N55" i="17"/>
  <c r="L56" i="17"/>
  <c r="N56" i="17"/>
  <c r="L57" i="17"/>
  <c r="N57" i="17"/>
  <c r="L58" i="17"/>
  <c r="N58" i="17"/>
  <c r="L59" i="17"/>
  <c r="N59" i="17"/>
  <c r="L60" i="17"/>
  <c r="N60" i="17"/>
  <c r="L61" i="17"/>
  <c r="N61" i="17"/>
  <c r="L62" i="17"/>
  <c r="N62" i="17"/>
  <c r="L63" i="17"/>
  <c r="N63" i="17"/>
  <c r="L64" i="17"/>
  <c r="N64" i="17"/>
  <c r="L65" i="17"/>
  <c r="N65" i="17"/>
  <c r="L66" i="17"/>
  <c r="N66" i="17"/>
  <c r="L67" i="17"/>
  <c r="N67" i="17"/>
  <c r="L68" i="17"/>
  <c r="N68" i="17"/>
  <c r="L69" i="17"/>
  <c r="N69" i="17"/>
  <c r="L70" i="17"/>
  <c r="N70" i="17"/>
  <c r="L71" i="17"/>
  <c r="N71" i="17"/>
  <c r="L72" i="17"/>
  <c r="N72" i="17"/>
  <c r="D89" i="17"/>
  <c r="D91" i="17"/>
  <c r="J93" i="17"/>
  <c r="L93" i="17"/>
  <c r="D96" i="17"/>
  <c r="J99" i="17"/>
  <c r="O99" i="17"/>
  <c r="J100" i="17"/>
  <c r="M100" i="17"/>
  <c r="O100" i="17"/>
  <c r="O101" i="17"/>
  <c r="M102" i="17"/>
  <c r="O109" i="17"/>
  <c r="O110" i="17"/>
  <c r="M112" i="17"/>
  <c r="O112" i="17"/>
  <c r="M113" i="17"/>
  <c r="O113" i="17"/>
  <c r="M114" i="17"/>
  <c r="O114" i="17"/>
  <c r="M115" i="17"/>
  <c r="O115" i="17"/>
  <c r="M116" i="17"/>
  <c r="O116" i="17"/>
  <c r="M117" i="17"/>
  <c r="O117" i="17"/>
  <c r="M118" i="17"/>
  <c r="O118" i="17"/>
  <c r="M119" i="17"/>
  <c r="O119" i="17"/>
  <c r="M120" i="17"/>
  <c r="O120" i="17"/>
  <c r="M121" i="17"/>
  <c r="O121" i="17"/>
  <c r="M122" i="17"/>
  <c r="O122" i="17"/>
  <c r="M123" i="17"/>
  <c r="O123" i="17"/>
  <c r="M124" i="17"/>
  <c r="O124" i="17"/>
  <c r="M125" i="17"/>
  <c r="O125" i="17"/>
  <c r="M126" i="17"/>
  <c r="O126" i="17"/>
  <c r="M127" i="17"/>
  <c r="O127" i="17"/>
  <c r="M128" i="17"/>
  <c r="O128" i="17"/>
  <c r="M129" i="17"/>
  <c r="O129" i="17"/>
  <c r="M130" i="17"/>
  <c r="O130" i="17"/>
  <c r="M131" i="17"/>
  <c r="O131" i="17"/>
  <c r="M132" i="17"/>
  <c r="O132" i="17"/>
  <c r="M133" i="17"/>
  <c r="O133" i="17"/>
  <c r="M134" i="17"/>
  <c r="O134" i="17"/>
  <c r="M135" i="17"/>
  <c r="O135" i="17"/>
  <c r="M136" i="17"/>
  <c r="O136" i="17"/>
  <c r="M137" i="17"/>
  <c r="O137" i="17"/>
  <c r="M138" i="17"/>
  <c r="O138" i="17"/>
  <c r="M139" i="17"/>
  <c r="O139" i="17"/>
  <c r="M140" i="17"/>
  <c r="O140" i="17"/>
  <c r="M141" i="17"/>
  <c r="O141" i="17"/>
  <c r="M142" i="17"/>
  <c r="O142" i="17"/>
  <c r="M143" i="17"/>
  <c r="O143" i="17"/>
  <c r="M144" i="17"/>
  <c r="O144" i="17"/>
  <c r="M145" i="17"/>
  <c r="O145" i="17"/>
  <c r="M146" i="17"/>
  <c r="O146" i="17"/>
  <c r="M147" i="17"/>
  <c r="O147" i="17"/>
  <c r="M148" i="17"/>
  <c r="O148" i="17"/>
  <c r="M149" i="17"/>
  <c r="O149" i="17"/>
  <c r="M150" i="17"/>
  <c r="O150" i="17"/>
  <c r="M151" i="17"/>
  <c r="O151" i="17"/>
  <c r="M152" i="17"/>
  <c r="O152" i="17"/>
  <c r="M153" i="17"/>
  <c r="O153" i="17"/>
  <c r="M154" i="17"/>
  <c r="O154" i="17"/>
  <c r="C12" i="2"/>
  <c r="C12" i="1"/>
  <c r="O3" i="3"/>
  <c r="A5" i="2"/>
  <c r="A1" i="2"/>
  <c r="F13" i="2"/>
  <c r="C8" i="2" s="1"/>
  <c r="F13" i="1"/>
  <c r="C56" i="1" s="1"/>
  <c r="C89" i="2"/>
  <c r="I11" i="13"/>
  <c r="K11" i="13"/>
  <c r="L17" i="13"/>
  <c r="N17" i="13"/>
  <c r="L18" i="13"/>
  <c r="N18" i="13"/>
  <c r="L19" i="13"/>
  <c r="N19" i="13"/>
  <c r="L20" i="13"/>
  <c r="N20" i="13"/>
  <c r="L21" i="13"/>
  <c r="N21" i="13"/>
  <c r="L22" i="13"/>
  <c r="N22" i="13"/>
  <c r="L23" i="13"/>
  <c r="N23" i="13"/>
  <c r="L24" i="13"/>
  <c r="N24" i="13"/>
  <c r="L25" i="13"/>
  <c r="N25" i="13"/>
  <c r="L26" i="13"/>
  <c r="N26" i="13"/>
  <c r="L27" i="13"/>
  <c r="N27" i="13"/>
  <c r="L28" i="13"/>
  <c r="N28" i="13"/>
  <c r="L29" i="13"/>
  <c r="N29" i="13"/>
  <c r="L30" i="13"/>
  <c r="N30" i="13"/>
  <c r="L31" i="13"/>
  <c r="N31" i="13"/>
  <c r="L32" i="13"/>
  <c r="N32" i="13"/>
  <c r="L33" i="13"/>
  <c r="N33" i="13"/>
  <c r="L34" i="13"/>
  <c r="N34" i="13"/>
  <c r="L35" i="13"/>
  <c r="N35" i="13"/>
  <c r="L36" i="13"/>
  <c r="N36" i="13"/>
  <c r="L37" i="13"/>
  <c r="N37" i="13"/>
  <c r="L38" i="13"/>
  <c r="N38" i="13"/>
  <c r="L39" i="13"/>
  <c r="N39" i="13"/>
  <c r="L40" i="13"/>
  <c r="N40" i="13"/>
  <c r="L41" i="13"/>
  <c r="N41" i="13"/>
  <c r="L42" i="13"/>
  <c r="N42" i="13"/>
  <c r="L43" i="13"/>
  <c r="N43" i="13"/>
  <c r="L44" i="13"/>
  <c r="N44" i="13"/>
  <c r="L45" i="13"/>
  <c r="N45" i="13"/>
  <c r="L46" i="13"/>
  <c r="N46" i="13"/>
  <c r="L47" i="13"/>
  <c r="N47" i="13"/>
  <c r="L48" i="13"/>
  <c r="N48" i="13"/>
  <c r="L49" i="13"/>
  <c r="N49" i="13"/>
  <c r="L50" i="13"/>
  <c r="N50" i="13"/>
  <c r="L51" i="13"/>
  <c r="N51" i="13"/>
  <c r="L52" i="13"/>
  <c r="N52" i="13"/>
  <c r="L53" i="13"/>
  <c r="N53" i="13"/>
  <c r="L54" i="13"/>
  <c r="N54" i="13"/>
  <c r="L55" i="13"/>
  <c r="N55" i="13"/>
  <c r="L56" i="13"/>
  <c r="N56" i="13"/>
  <c r="L57" i="13"/>
  <c r="N57" i="13"/>
  <c r="L58" i="13"/>
  <c r="N58" i="13"/>
  <c r="L59" i="13"/>
  <c r="N59" i="13"/>
  <c r="L60" i="13"/>
  <c r="N60" i="13"/>
  <c r="L61" i="13"/>
  <c r="N61" i="13"/>
  <c r="L62" i="13"/>
  <c r="N62" i="13"/>
  <c r="L63" i="13"/>
  <c r="N63" i="13"/>
  <c r="L64" i="13"/>
  <c r="N64" i="13"/>
  <c r="L65" i="13"/>
  <c r="N65" i="13"/>
  <c r="L66" i="13"/>
  <c r="N66" i="13"/>
  <c r="L67" i="13"/>
  <c r="N67" i="13"/>
  <c r="L68" i="13"/>
  <c r="N68" i="13"/>
  <c r="L69" i="13"/>
  <c r="N69" i="13"/>
  <c r="L70" i="13"/>
  <c r="N70" i="13"/>
  <c r="L71" i="13"/>
  <c r="N71" i="13"/>
  <c r="L72" i="13"/>
  <c r="N72" i="13"/>
  <c r="D89" i="13"/>
  <c r="D91" i="13"/>
  <c r="J93" i="13"/>
  <c r="L93" i="13"/>
  <c r="D96" i="13"/>
  <c r="M99" i="13"/>
  <c r="O99" i="13"/>
  <c r="M100" i="13"/>
  <c r="O100" i="13"/>
  <c r="M101" i="13"/>
  <c r="O101" i="13"/>
  <c r="M102" i="13"/>
  <c r="O102" i="13"/>
  <c r="M103" i="13"/>
  <c r="O103" i="13"/>
  <c r="M104" i="13"/>
  <c r="O104" i="13"/>
  <c r="M105" i="13"/>
  <c r="O105" i="13"/>
  <c r="M106" i="13"/>
  <c r="O106" i="13"/>
  <c r="M107" i="13"/>
  <c r="O107" i="13"/>
  <c r="M108" i="13"/>
  <c r="O108" i="13"/>
  <c r="M109" i="13"/>
  <c r="O109" i="13"/>
  <c r="M110" i="13"/>
  <c r="O110" i="13"/>
  <c r="M111" i="13"/>
  <c r="O111" i="13"/>
  <c r="M112" i="13"/>
  <c r="O112" i="13"/>
  <c r="M113" i="13"/>
  <c r="O113" i="13"/>
  <c r="M114" i="13"/>
  <c r="O114" i="13"/>
  <c r="M115" i="13"/>
  <c r="O115" i="13"/>
  <c r="M116" i="13"/>
  <c r="O116" i="13"/>
  <c r="M117" i="13"/>
  <c r="O117" i="13"/>
  <c r="M118" i="13"/>
  <c r="O118" i="13"/>
  <c r="M119" i="13"/>
  <c r="O119" i="13"/>
  <c r="M120" i="13"/>
  <c r="O120" i="13"/>
  <c r="M121" i="13"/>
  <c r="O121" i="13"/>
  <c r="M122" i="13"/>
  <c r="O122" i="13"/>
  <c r="M123" i="13"/>
  <c r="O123" i="13"/>
  <c r="M124" i="13"/>
  <c r="O124" i="13"/>
  <c r="M125" i="13"/>
  <c r="O125" i="13"/>
  <c r="M126" i="13"/>
  <c r="O126" i="13"/>
  <c r="M127" i="13"/>
  <c r="O127" i="13"/>
  <c r="M128" i="13"/>
  <c r="O128" i="13"/>
  <c r="M129" i="13"/>
  <c r="O129" i="13"/>
  <c r="M130" i="13"/>
  <c r="O130" i="13"/>
  <c r="J131" i="13"/>
  <c r="M131" i="13"/>
  <c r="O131" i="13"/>
  <c r="P131" i="13"/>
  <c r="J132" i="13"/>
  <c r="M132" i="13"/>
  <c r="O132" i="13"/>
  <c r="P132" i="13"/>
  <c r="J133" i="13"/>
  <c r="M133" i="13"/>
  <c r="O133" i="13"/>
  <c r="P133" i="13"/>
  <c r="J134" i="13"/>
  <c r="M134" i="13"/>
  <c r="O134" i="13"/>
  <c r="P134" i="13"/>
  <c r="J135" i="13"/>
  <c r="M135" i="13"/>
  <c r="O135" i="13"/>
  <c r="P135" i="13"/>
  <c r="J136" i="13"/>
  <c r="M136" i="13"/>
  <c r="O136" i="13"/>
  <c r="P136" i="13"/>
  <c r="J137" i="13"/>
  <c r="M137" i="13"/>
  <c r="O137" i="13"/>
  <c r="P137" i="13"/>
  <c r="J138" i="13"/>
  <c r="M138" i="13"/>
  <c r="O138" i="13"/>
  <c r="P138" i="13"/>
  <c r="J139" i="13"/>
  <c r="M139" i="13"/>
  <c r="O139" i="13"/>
  <c r="P139" i="13"/>
  <c r="J140" i="13"/>
  <c r="M140" i="13"/>
  <c r="O140" i="13"/>
  <c r="P140" i="13"/>
  <c r="J141" i="13"/>
  <c r="M141" i="13"/>
  <c r="O141" i="13"/>
  <c r="P141" i="13"/>
  <c r="J142" i="13"/>
  <c r="M142" i="13"/>
  <c r="O142" i="13"/>
  <c r="P142" i="13"/>
  <c r="J143" i="13"/>
  <c r="M143" i="13"/>
  <c r="O143" i="13"/>
  <c r="P143" i="13"/>
  <c r="J144" i="13"/>
  <c r="M144" i="13"/>
  <c r="O144" i="13"/>
  <c r="P144" i="13"/>
  <c r="J145" i="13"/>
  <c r="M145" i="13"/>
  <c r="O145" i="13"/>
  <c r="P145" i="13"/>
  <c r="J146" i="13"/>
  <c r="M146" i="13"/>
  <c r="O146" i="13"/>
  <c r="P146" i="13"/>
  <c r="J147" i="13"/>
  <c r="M147" i="13"/>
  <c r="O147" i="13"/>
  <c r="P147" i="13"/>
  <c r="J148" i="13"/>
  <c r="M148" i="13"/>
  <c r="O148" i="13"/>
  <c r="P148" i="13"/>
  <c r="J149" i="13"/>
  <c r="M149" i="13"/>
  <c r="O149" i="13"/>
  <c r="P149" i="13"/>
  <c r="J150" i="13"/>
  <c r="M150" i="13"/>
  <c r="O150" i="13"/>
  <c r="P150" i="13"/>
  <c r="J151" i="13"/>
  <c r="M151" i="13"/>
  <c r="O151" i="13"/>
  <c r="P151" i="13"/>
  <c r="J152" i="13"/>
  <c r="M152" i="13"/>
  <c r="O152" i="13"/>
  <c r="P152" i="13"/>
  <c r="J153" i="13"/>
  <c r="M153" i="13"/>
  <c r="O153" i="13"/>
  <c r="P153" i="13"/>
  <c r="J154" i="13"/>
  <c r="M154" i="13"/>
  <c r="O154" i="13"/>
  <c r="P154" i="13"/>
  <c r="K11" i="3"/>
  <c r="L17" i="3"/>
  <c r="N17" i="3"/>
  <c r="N18" i="3"/>
  <c r="O18" i="3" s="1"/>
  <c r="L20" i="3"/>
  <c r="N20" i="3"/>
  <c r="N27" i="3"/>
  <c r="N28" i="3"/>
  <c r="O28" i="3" s="1"/>
  <c r="N29" i="3"/>
  <c r="N30" i="3"/>
  <c r="L32" i="3"/>
  <c r="N32" i="3"/>
  <c r="L33" i="3"/>
  <c r="N33" i="3"/>
  <c r="L34" i="3"/>
  <c r="N34" i="3"/>
  <c r="L35" i="3"/>
  <c r="N35" i="3"/>
  <c r="L36" i="3"/>
  <c r="N36" i="3"/>
  <c r="L37" i="3"/>
  <c r="N37" i="3"/>
  <c r="L38" i="3"/>
  <c r="N38" i="3"/>
  <c r="L39" i="3"/>
  <c r="N39" i="3"/>
  <c r="L40" i="3"/>
  <c r="N40" i="3"/>
  <c r="L41" i="3"/>
  <c r="N41" i="3"/>
  <c r="L42" i="3"/>
  <c r="N42" i="3"/>
  <c r="L43" i="3"/>
  <c r="N43" i="3"/>
  <c r="L44" i="3"/>
  <c r="N44" i="3"/>
  <c r="C45" i="3"/>
  <c r="C46" i="3" s="1"/>
  <c r="C47" i="3" s="1"/>
  <c r="C48" i="3" s="1"/>
  <c r="C49" i="3" s="1"/>
  <c r="C50" i="3" s="1"/>
  <c r="C51" i="3" s="1"/>
  <c r="C52" i="3" s="1"/>
  <c r="C53" i="3" s="1"/>
  <c r="C54" i="3" s="1"/>
  <c r="C55" i="3" s="1"/>
  <c r="C56" i="3" s="1"/>
  <c r="C57" i="3" s="1"/>
  <c r="C58" i="3" s="1"/>
  <c r="C59" i="3" s="1"/>
  <c r="C60" i="3" s="1"/>
  <c r="C61" i="3" s="1"/>
  <c r="C62" i="3" s="1"/>
  <c r="C63" i="3" s="1"/>
  <c r="C64" i="3" s="1"/>
  <c r="C65" i="3" s="1"/>
  <c r="C66" i="3" s="1"/>
  <c r="C67" i="3" s="1"/>
  <c r="C68" i="3" s="1"/>
  <c r="C69" i="3" s="1"/>
  <c r="C70" i="3" s="1"/>
  <c r="C71" i="3" s="1"/>
  <c r="C72" i="3" s="1"/>
  <c r="L45" i="3"/>
  <c r="N45" i="3"/>
  <c r="L46" i="3"/>
  <c r="N46" i="3"/>
  <c r="L47" i="3"/>
  <c r="N47" i="3"/>
  <c r="L48" i="3"/>
  <c r="N48" i="3"/>
  <c r="L49" i="3"/>
  <c r="N49" i="3"/>
  <c r="L50" i="3"/>
  <c r="N50" i="3"/>
  <c r="L51" i="3"/>
  <c r="N51" i="3"/>
  <c r="L52" i="3"/>
  <c r="N52" i="3"/>
  <c r="L53" i="3"/>
  <c r="N53" i="3"/>
  <c r="L54" i="3"/>
  <c r="N54" i="3"/>
  <c r="L55" i="3"/>
  <c r="N55" i="3"/>
  <c r="L56" i="3"/>
  <c r="N56" i="3"/>
  <c r="L57" i="3"/>
  <c r="N57" i="3"/>
  <c r="L58" i="3"/>
  <c r="N58" i="3"/>
  <c r="L59" i="3"/>
  <c r="N59" i="3"/>
  <c r="L60" i="3"/>
  <c r="N60" i="3"/>
  <c r="L61" i="3"/>
  <c r="N61" i="3"/>
  <c r="L62" i="3"/>
  <c r="N62" i="3"/>
  <c r="L63" i="3"/>
  <c r="N63" i="3"/>
  <c r="L64" i="3"/>
  <c r="N64" i="3"/>
  <c r="L65" i="3"/>
  <c r="N65" i="3"/>
  <c r="L66" i="3"/>
  <c r="N66" i="3"/>
  <c r="L67" i="3"/>
  <c r="N67" i="3"/>
  <c r="L68" i="3"/>
  <c r="N68" i="3"/>
  <c r="L69" i="3"/>
  <c r="N69" i="3"/>
  <c r="L70" i="3"/>
  <c r="N70" i="3"/>
  <c r="L71" i="3"/>
  <c r="N71" i="3"/>
  <c r="L72" i="3"/>
  <c r="N72" i="3"/>
  <c r="D89" i="3"/>
  <c r="D91" i="3"/>
  <c r="J93" i="3"/>
  <c r="L93" i="3"/>
  <c r="D96" i="3"/>
  <c r="J99" i="3"/>
  <c r="M99" i="3"/>
  <c r="O99" i="3"/>
  <c r="J100" i="3"/>
  <c r="O100" i="3"/>
  <c r="M101" i="3"/>
  <c r="O101" i="3"/>
  <c r="P101" i="3" s="1"/>
  <c r="O109" i="3"/>
  <c r="O110" i="3"/>
  <c r="M112" i="3"/>
  <c r="O112" i="3"/>
  <c r="M113" i="3"/>
  <c r="O113" i="3"/>
  <c r="M114" i="3"/>
  <c r="O114" i="3"/>
  <c r="M115" i="3"/>
  <c r="O115" i="3"/>
  <c r="M116" i="3"/>
  <c r="O116" i="3"/>
  <c r="M117" i="3"/>
  <c r="O117" i="3"/>
  <c r="M118" i="3"/>
  <c r="O118" i="3"/>
  <c r="M119" i="3"/>
  <c r="O119" i="3"/>
  <c r="M120" i="3"/>
  <c r="O120" i="3"/>
  <c r="M121" i="3"/>
  <c r="O121" i="3"/>
  <c r="M122" i="3"/>
  <c r="O122" i="3"/>
  <c r="M123" i="3"/>
  <c r="O123" i="3"/>
  <c r="M124" i="3"/>
  <c r="O124" i="3"/>
  <c r="M125" i="3"/>
  <c r="O125" i="3"/>
  <c r="M126" i="3"/>
  <c r="O126" i="3"/>
  <c r="M127" i="3"/>
  <c r="O127" i="3"/>
  <c r="M128" i="3"/>
  <c r="O128" i="3"/>
  <c r="M129" i="3"/>
  <c r="O129" i="3"/>
  <c r="M130" i="3"/>
  <c r="O130" i="3"/>
  <c r="M131" i="3"/>
  <c r="O131" i="3"/>
  <c r="M132" i="3"/>
  <c r="O132" i="3"/>
  <c r="M133" i="3"/>
  <c r="O133" i="3"/>
  <c r="M134" i="3"/>
  <c r="O134" i="3"/>
  <c r="M135" i="3"/>
  <c r="O135" i="3"/>
  <c r="M136" i="3"/>
  <c r="O136" i="3"/>
  <c r="M137" i="3"/>
  <c r="O137" i="3"/>
  <c r="M138" i="3"/>
  <c r="O138" i="3"/>
  <c r="M139" i="3"/>
  <c r="O139" i="3"/>
  <c r="M140" i="3"/>
  <c r="O140" i="3"/>
  <c r="M141" i="3"/>
  <c r="O141" i="3"/>
  <c r="M142" i="3"/>
  <c r="O142" i="3"/>
  <c r="M143" i="3"/>
  <c r="O143" i="3"/>
  <c r="M144" i="3"/>
  <c r="O144" i="3"/>
  <c r="M145" i="3"/>
  <c r="O145" i="3"/>
  <c r="M146" i="3"/>
  <c r="O146" i="3"/>
  <c r="M147" i="3"/>
  <c r="O147" i="3"/>
  <c r="M148" i="3"/>
  <c r="O148" i="3"/>
  <c r="M149" i="3"/>
  <c r="O149" i="3"/>
  <c r="M150" i="3"/>
  <c r="O150" i="3"/>
  <c r="M151" i="3"/>
  <c r="O151" i="3"/>
  <c r="M152" i="3"/>
  <c r="O152" i="3"/>
  <c r="M153" i="3"/>
  <c r="O153" i="3"/>
  <c r="M154" i="3"/>
  <c r="O154" i="3"/>
  <c r="F12" i="2"/>
  <c r="D17" i="2"/>
  <c r="E17" i="2"/>
  <c r="D18" i="2"/>
  <c r="E18" i="2"/>
  <c r="D19" i="2"/>
  <c r="C24" i="2"/>
  <c r="E24" i="2"/>
  <c r="C31" i="2"/>
  <c r="E31" i="2"/>
  <c r="C34" i="2"/>
  <c r="E34" i="2"/>
  <c r="C40" i="2"/>
  <c r="C44" i="2"/>
  <c r="F44" i="2"/>
  <c r="C45" i="2"/>
  <c r="F45" i="2"/>
  <c r="C46" i="2"/>
  <c r="F46" i="2"/>
  <c r="C47" i="2"/>
  <c r="F47" i="2"/>
  <c r="C52" i="2"/>
  <c r="F64" i="2"/>
  <c r="C58" i="2"/>
  <c r="F58" i="2"/>
  <c r="C64" i="2"/>
  <c r="C75" i="2"/>
  <c r="F75" i="2"/>
  <c r="C81" i="2"/>
  <c r="C90" i="2"/>
  <c r="F12" i="1"/>
  <c r="D17" i="1"/>
  <c r="E17" i="1"/>
  <c r="D18" i="1"/>
  <c r="E18" i="1"/>
  <c r="D19" i="1"/>
  <c r="C24" i="1"/>
  <c r="E24" i="1"/>
  <c r="C31" i="1"/>
  <c r="E31" i="1"/>
  <c r="C34" i="1"/>
  <c r="E34" i="1"/>
  <c r="C40" i="1"/>
  <c r="C44" i="1"/>
  <c r="F44" i="1"/>
  <c r="C45" i="1"/>
  <c r="F45" i="1"/>
  <c r="C46" i="1"/>
  <c r="F46" i="1"/>
  <c r="C47" i="1"/>
  <c r="F47" i="1"/>
  <c r="C52" i="1"/>
  <c r="F64" i="1"/>
  <c r="C58" i="1"/>
  <c r="F58" i="1"/>
  <c r="C64" i="1"/>
  <c r="C75" i="1"/>
  <c r="F75" i="1"/>
  <c r="C81" i="1"/>
  <c r="C89" i="1"/>
  <c r="C90" i="1"/>
  <c r="S132" i="1"/>
  <c r="S133" i="1"/>
  <c r="S134" i="1"/>
  <c r="O20" i="31"/>
  <c r="O18" i="32"/>
  <c r="P99" i="34"/>
  <c r="C46" i="53"/>
  <c r="C47" i="53" s="1"/>
  <c r="C48" i="53" s="1"/>
  <c r="C49" i="53" s="1"/>
  <c r="C50" i="53" s="1"/>
  <c r="C51" i="53" s="1"/>
  <c r="C52" i="53" s="1"/>
  <c r="C53" i="53" s="1"/>
  <c r="C54" i="53" s="1"/>
  <c r="C55" i="53" s="1"/>
  <c r="C56" i="53" s="1"/>
  <c r="C57" i="53" s="1"/>
  <c r="C58" i="53" s="1"/>
  <c r="C59" i="53" s="1"/>
  <c r="C60" i="53" s="1"/>
  <c r="C61" i="53" s="1"/>
  <c r="C62" i="53" s="1"/>
  <c r="C63" i="53" s="1"/>
  <c r="C64" i="53" s="1"/>
  <c r="C65" i="53" s="1"/>
  <c r="C66" i="53" s="1"/>
  <c r="C67" i="53" s="1"/>
  <c r="C68" i="53" s="1"/>
  <c r="C69" i="53" s="1"/>
  <c r="C70" i="53" s="1"/>
  <c r="C71" i="53" s="1"/>
  <c r="C72" i="53" s="1"/>
  <c r="C45" i="54"/>
  <c r="C46" i="54" s="1"/>
  <c r="C47" i="54" s="1"/>
  <c r="C48" i="54" s="1"/>
  <c r="C49" i="54" s="1"/>
  <c r="C50" i="54" s="1"/>
  <c r="C51" i="54" s="1"/>
  <c r="C52" i="54" s="1"/>
  <c r="C53" i="54" s="1"/>
  <c r="C54" i="54" s="1"/>
  <c r="C55" i="54" s="1"/>
  <c r="C56" i="54" s="1"/>
  <c r="C57" i="54" s="1"/>
  <c r="C58" i="54" s="1"/>
  <c r="C59" i="54" s="1"/>
  <c r="C60" i="54" s="1"/>
  <c r="C61" i="54" s="1"/>
  <c r="C62" i="54" s="1"/>
  <c r="C63" i="54" s="1"/>
  <c r="C64" i="54" s="1"/>
  <c r="C65" i="54" s="1"/>
  <c r="C66" i="54" s="1"/>
  <c r="C67" i="54" s="1"/>
  <c r="C68" i="54" s="1"/>
  <c r="C69" i="54" s="1"/>
  <c r="C70" i="54" s="1"/>
  <c r="C71" i="54" s="1"/>
  <c r="C72" i="54" s="1"/>
  <c r="P99" i="29"/>
  <c r="O19" i="35"/>
  <c r="B23" i="27"/>
  <c r="C45" i="55"/>
  <c r="C46" i="55" s="1"/>
  <c r="C47" i="55" s="1"/>
  <c r="C48" i="55" s="1"/>
  <c r="C49" i="55" s="1"/>
  <c r="C50" i="55" s="1"/>
  <c r="C51" i="55" s="1"/>
  <c r="C52" i="55" s="1"/>
  <c r="C53" i="55" s="1"/>
  <c r="C54" i="55" s="1"/>
  <c r="C55" i="55" s="1"/>
  <c r="C56" i="55" s="1"/>
  <c r="C57" i="55" s="1"/>
  <c r="C58" i="55" s="1"/>
  <c r="C59" i="55" s="1"/>
  <c r="C60" i="55" s="1"/>
  <c r="C61" i="55" s="1"/>
  <c r="C62" i="55" s="1"/>
  <c r="C63" i="55" s="1"/>
  <c r="C64" i="55" s="1"/>
  <c r="C65" i="55" s="1"/>
  <c r="C66" i="55" s="1"/>
  <c r="C67" i="55" s="1"/>
  <c r="C68" i="55" s="1"/>
  <c r="C69" i="55" s="1"/>
  <c r="C70" i="55" s="1"/>
  <c r="C71" i="55" s="1"/>
  <c r="C72" i="55" s="1"/>
  <c r="B22" i="34"/>
  <c r="B19" i="45"/>
  <c r="B21" i="3"/>
  <c r="B20" i="43"/>
  <c r="B20" i="41"/>
  <c r="B20" i="44"/>
  <c r="I20" i="21"/>
  <c r="B23" i="29"/>
  <c r="B103" i="30"/>
  <c r="B18" i="57"/>
  <c r="B21" i="22"/>
  <c r="B18" i="53"/>
  <c r="B22" i="24"/>
  <c r="B18" i="55"/>
  <c r="B21" i="18"/>
  <c r="B22" i="31"/>
  <c r="B18" i="58"/>
  <c r="B21" i="20"/>
  <c r="B104" i="27"/>
  <c r="B18" i="54"/>
  <c r="B102" i="21"/>
  <c r="B102" i="17"/>
  <c r="B102" i="22"/>
  <c r="B103" i="24"/>
  <c r="B101" i="39"/>
  <c r="B21" i="17"/>
  <c r="B102" i="20"/>
  <c r="B102" i="19"/>
  <c r="B102" i="3"/>
  <c r="B102" i="18"/>
  <c r="B103" i="23"/>
  <c r="B104" i="29"/>
  <c r="B103" i="34"/>
  <c r="B105" i="28"/>
  <c r="J103" i="29"/>
  <c r="J100" i="39"/>
  <c r="J102" i="24"/>
  <c r="J101" i="20"/>
  <c r="J102" i="32"/>
  <c r="J102" i="23"/>
  <c r="J101" i="3"/>
  <c r="J103" i="27"/>
  <c r="J101" i="17"/>
  <c r="J101" i="19"/>
  <c r="J101" i="22"/>
  <c r="J101" i="21"/>
  <c r="J101" i="18"/>
  <c r="J104" i="28"/>
  <c r="J102" i="34"/>
  <c r="C45" i="63"/>
  <c r="C46" i="63" s="1"/>
  <c r="C47" i="63" s="1"/>
  <c r="C48" i="63" s="1"/>
  <c r="C49" i="63" s="1"/>
  <c r="C50" i="63" s="1"/>
  <c r="C51" i="63" s="1"/>
  <c r="C52" i="63" s="1"/>
  <c r="C53" i="63" s="1"/>
  <c r="C54" i="63" s="1"/>
  <c r="C55" i="63" s="1"/>
  <c r="C56" i="63" s="1"/>
  <c r="C57" i="63" s="1"/>
  <c r="C58" i="63" s="1"/>
  <c r="C59" i="63" s="1"/>
  <c r="C60" i="63" s="1"/>
  <c r="C61" i="63" s="1"/>
  <c r="C62" i="63" s="1"/>
  <c r="C63" i="63" s="1"/>
  <c r="C64" i="63" s="1"/>
  <c r="C65" i="63" s="1"/>
  <c r="C66" i="63" s="1"/>
  <c r="C67" i="63" s="1"/>
  <c r="C68" i="63" s="1"/>
  <c r="C69" i="63" s="1"/>
  <c r="C70" i="63" s="1"/>
  <c r="C71" i="63" s="1"/>
  <c r="C72" i="63" s="1"/>
  <c r="C45" i="62"/>
  <c r="C46" i="62" s="1"/>
  <c r="C47" i="62" s="1"/>
  <c r="C48" i="62" s="1"/>
  <c r="C49" i="62" s="1"/>
  <c r="C50" i="62" s="1"/>
  <c r="C51" i="62" s="1"/>
  <c r="C52" i="62" s="1"/>
  <c r="C53" i="62" s="1"/>
  <c r="C54" i="62" s="1"/>
  <c r="C55" i="62" s="1"/>
  <c r="C56" i="62" s="1"/>
  <c r="C57" i="62" s="1"/>
  <c r="C58" i="62" s="1"/>
  <c r="C59" i="62" s="1"/>
  <c r="C60" i="62" s="1"/>
  <c r="C61" i="62" s="1"/>
  <c r="C62" i="62" s="1"/>
  <c r="C63" i="62" s="1"/>
  <c r="C64" i="62" s="1"/>
  <c r="C65" i="62" s="1"/>
  <c r="C66" i="62" s="1"/>
  <c r="C67" i="62" s="1"/>
  <c r="C68" i="62" s="1"/>
  <c r="C69" i="62" s="1"/>
  <c r="C70" i="62" s="1"/>
  <c r="C71" i="62" s="1"/>
  <c r="C72" i="62" s="1"/>
  <c r="C45" i="61"/>
  <c r="C46" i="61" s="1"/>
  <c r="C47" i="61" s="1"/>
  <c r="C48" i="61" s="1"/>
  <c r="C49" i="61" s="1"/>
  <c r="C50" i="61" s="1"/>
  <c r="C51" i="61" s="1"/>
  <c r="C52" i="61" s="1"/>
  <c r="C53" i="61" s="1"/>
  <c r="C54" i="61" s="1"/>
  <c r="C55" i="61" s="1"/>
  <c r="C56" i="61" s="1"/>
  <c r="C57" i="61" s="1"/>
  <c r="C58" i="61" s="1"/>
  <c r="C59" i="61" s="1"/>
  <c r="C60" i="61" s="1"/>
  <c r="C61" i="61" s="1"/>
  <c r="C62" i="61" s="1"/>
  <c r="C63" i="61" s="1"/>
  <c r="C64" i="61" s="1"/>
  <c r="C65" i="61" s="1"/>
  <c r="C66" i="61" s="1"/>
  <c r="C67" i="61" s="1"/>
  <c r="C68" i="61" s="1"/>
  <c r="C69" i="61" s="1"/>
  <c r="C70" i="61" s="1"/>
  <c r="C71" i="61" s="1"/>
  <c r="C72" i="61" s="1"/>
  <c r="B18" i="56"/>
  <c r="B18" i="46"/>
  <c r="P100" i="44"/>
  <c r="B20" i="42"/>
  <c r="O19" i="42"/>
  <c r="B20" i="39"/>
  <c r="B103" i="32"/>
  <c r="B22" i="32"/>
  <c r="P103" i="30"/>
  <c r="O22" i="30"/>
  <c r="B24" i="28"/>
  <c r="P101" i="22"/>
  <c r="O20" i="17"/>
  <c r="B100" i="42"/>
  <c r="B100" i="41"/>
  <c r="B102" i="31"/>
  <c r="B100" i="43"/>
  <c r="B100" i="44"/>
  <c r="J99" i="45"/>
  <c r="J103" i="30"/>
  <c r="J100" i="42"/>
  <c r="J100" i="41"/>
  <c r="J100" i="44"/>
  <c r="J102" i="31"/>
  <c r="J100" i="43"/>
  <c r="C45" i="21"/>
  <c r="C46" i="21" s="1"/>
  <c r="C47" i="21" s="1"/>
  <c r="C48" i="21" s="1"/>
  <c r="C49" i="21" s="1"/>
  <c r="C50" i="21" s="1"/>
  <c r="C51" i="21" s="1"/>
  <c r="C52" i="21" s="1"/>
  <c r="C53" i="21" s="1"/>
  <c r="C54" i="21" s="1"/>
  <c r="C55" i="21" s="1"/>
  <c r="C56" i="21" s="1"/>
  <c r="C57" i="21" s="1"/>
  <c r="C58" i="21" s="1"/>
  <c r="C59" i="21" s="1"/>
  <c r="C60" i="21" s="1"/>
  <c r="C61" i="21" s="1"/>
  <c r="C62" i="21" s="1"/>
  <c r="C63" i="21" s="1"/>
  <c r="C64" i="21" s="1"/>
  <c r="C65" i="21" s="1"/>
  <c r="C66" i="21" s="1"/>
  <c r="C67" i="21" s="1"/>
  <c r="C68" i="21" s="1"/>
  <c r="C69" i="21" s="1"/>
  <c r="C70" i="21" s="1"/>
  <c r="C71" i="21" s="1"/>
  <c r="C72" i="21" s="1"/>
  <c r="P101" i="21"/>
  <c r="B101" i="43"/>
  <c r="B101" i="44"/>
  <c r="B103" i="31"/>
  <c r="C99" i="63"/>
  <c r="C100" i="63" s="1"/>
  <c r="C101" i="63" s="1"/>
  <c r="C102" i="63" s="1"/>
  <c r="C103" i="63" s="1"/>
  <c r="C104" i="63" s="1"/>
  <c r="C105" i="63" s="1"/>
  <c r="C106" i="63" s="1"/>
  <c r="C107" i="63" s="1"/>
  <c r="C108" i="63" s="1"/>
  <c r="C109" i="63" s="1"/>
  <c r="C110" i="63" s="1"/>
  <c r="C111" i="63" s="1"/>
  <c r="C112" i="63" s="1"/>
  <c r="C113" i="63" s="1"/>
  <c r="C114" i="63" s="1"/>
  <c r="C115" i="63" s="1"/>
  <c r="C116" i="63" s="1"/>
  <c r="C117" i="63" s="1"/>
  <c r="C118" i="63" s="1"/>
  <c r="C119" i="63" s="1"/>
  <c r="C120" i="63" s="1"/>
  <c r="C121" i="63" s="1"/>
  <c r="C122" i="63" s="1"/>
  <c r="C123" i="63" s="1"/>
  <c r="C124" i="63" s="1"/>
  <c r="C125" i="63" s="1"/>
  <c r="C126" i="63" s="1"/>
  <c r="C127" i="63" s="1"/>
  <c r="C128" i="63" s="1"/>
  <c r="C129" i="63" s="1"/>
  <c r="C130" i="63" s="1"/>
  <c r="C131" i="63" s="1"/>
  <c r="C132" i="63" s="1"/>
  <c r="C133" i="63" s="1"/>
  <c r="C134" i="63" s="1"/>
  <c r="C135" i="63" s="1"/>
  <c r="C136" i="63" s="1"/>
  <c r="C137" i="63" s="1"/>
  <c r="C138" i="63" s="1"/>
  <c r="C139" i="63" s="1"/>
  <c r="C140" i="63" s="1"/>
  <c r="C141" i="63" s="1"/>
  <c r="C142" i="63" s="1"/>
  <c r="C143" i="63" s="1"/>
  <c r="C144" i="63" s="1"/>
  <c r="C145" i="63" s="1"/>
  <c r="C146" i="63" s="1"/>
  <c r="C147" i="63" s="1"/>
  <c r="C148" i="63" s="1"/>
  <c r="C149" i="63" s="1"/>
  <c r="C150" i="63" s="1"/>
  <c r="C151" i="63" s="1"/>
  <c r="C152" i="63" s="1"/>
  <c r="C153" i="63" s="1"/>
  <c r="C154" i="63" s="1"/>
  <c r="C99" i="61"/>
  <c r="C100" i="61" s="1"/>
  <c r="C101" i="61" s="1"/>
  <c r="C102" i="61" s="1"/>
  <c r="C103" i="61" s="1"/>
  <c r="C104" i="61" s="1"/>
  <c r="C105" i="61" s="1"/>
  <c r="C106" i="61" s="1"/>
  <c r="C107" i="61" s="1"/>
  <c r="C108" i="61" s="1"/>
  <c r="C109" i="61" s="1"/>
  <c r="C110" i="61" s="1"/>
  <c r="C111" i="61" s="1"/>
  <c r="C112" i="61" s="1"/>
  <c r="C113" i="61" s="1"/>
  <c r="C114" i="61" s="1"/>
  <c r="C115" i="61" s="1"/>
  <c r="C116" i="61" s="1"/>
  <c r="C117" i="61" s="1"/>
  <c r="C118" i="61" s="1"/>
  <c r="C119" i="61" s="1"/>
  <c r="C120" i="61" s="1"/>
  <c r="C121" i="61" s="1"/>
  <c r="C122" i="61" s="1"/>
  <c r="C123" i="61" s="1"/>
  <c r="C124" i="61" s="1"/>
  <c r="C125" i="61" s="1"/>
  <c r="C126" i="61" s="1"/>
  <c r="C127" i="61" s="1"/>
  <c r="C128" i="61" s="1"/>
  <c r="C129" i="61" s="1"/>
  <c r="C130" i="61" s="1"/>
  <c r="C131" i="61" s="1"/>
  <c r="C132" i="61" s="1"/>
  <c r="C133" i="61" s="1"/>
  <c r="C134" i="61" s="1"/>
  <c r="C135" i="61" s="1"/>
  <c r="C136" i="61" s="1"/>
  <c r="C137" i="61" s="1"/>
  <c r="C138" i="61" s="1"/>
  <c r="C139" i="61" s="1"/>
  <c r="C140" i="61" s="1"/>
  <c r="C141" i="61" s="1"/>
  <c r="C142" i="61" s="1"/>
  <c r="C143" i="61" s="1"/>
  <c r="C144" i="61" s="1"/>
  <c r="C145" i="61" s="1"/>
  <c r="C146" i="61" s="1"/>
  <c r="C147" i="61" s="1"/>
  <c r="C148" i="61" s="1"/>
  <c r="C149" i="61" s="1"/>
  <c r="C150" i="61" s="1"/>
  <c r="C151" i="61" s="1"/>
  <c r="C152" i="61" s="1"/>
  <c r="C153" i="61" s="1"/>
  <c r="C154" i="61" s="1"/>
  <c r="C99" i="62"/>
  <c r="C100" i="62" s="1"/>
  <c r="C101" i="62" s="1"/>
  <c r="C102" i="62" s="1"/>
  <c r="C103" i="62" s="1"/>
  <c r="C104" i="62" s="1"/>
  <c r="C105" i="62" s="1"/>
  <c r="C106" i="62" s="1"/>
  <c r="C107" i="62" s="1"/>
  <c r="C108" i="62" s="1"/>
  <c r="C109" i="62" s="1"/>
  <c r="C110" i="62" s="1"/>
  <c r="C111" i="62" s="1"/>
  <c r="C112" i="62" s="1"/>
  <c r="C113" i="62" s="1"/>
  <c r="C114" i="62" s="1"/>
  <c r="C115" i="62" s="1"/>
  <c r="C116" i="62" s="1"/>
  <c r="C117" i="62" s="1"/>
  <c r="C118" i="62" s="1"/>
  <c r="C119" i="62" s="1"/>
  <c r="C120" i="62" s="1"/>
  <c r="C121" i="62" s="1"/>
  <c r="C122" i="62" s="1"/>
  <c r="C123" i="62" s="1"/>
  <c r="C124" i="62" s="1"/>
  <c r="C125" i="62" s="1"/>
  <c r="C126" i="62" s="1"/>
  <c r="C127" i="62" s="1"/>
  <c r="C128" i="62" s="1"/>
  <c r="C129" i="62" s="1"/>
  <c r="C130" i="62" s="1"/>
  <c r="C131" i="62" s="1"/>
  <c r="C132" i="62" s="1"/>
  <c r="C133" i="62" s="1"/>
  <c r="C134" i="62" s="1"/>
  <c r="C135" i="62" s="1"/>
  <c r="C136" i="62" s="1"/>
  <c r="C137" i="62" s="1"/>
  <c r="C138" i="62" s="1"/>
  <c r="C139" i="62" s="1"/>
  <c r="C140" i="62" s="1"/>
  <c r="C141" i="62" s="1"/>
  <c r="C142" i="62" s="1"/>
  <c r="C143" i="62" s="1"/>
  <c r="C144" i="62" s="1"/>
  <c r="C145" i="62" s="1"/>
  <c r="C146" i="62" s="1"/>
  <c r="C147" i="62" s="1"/>
  <c r="C148" i="62" s="1"/>
  <c r="C149" i="62" s="1"/>
  <c r="C150" i="62" s="1"/>
  <c r="C151" i="62" s="1"/>
  <c r="C152" i="62" s="1"/>
  <c r="C153" i="62" s="1"/>
  <c r="C154" i="62" s="1"/>
  <c r="B101" i="41"/>
  <c r="B100" i="45"/>
  <c r="C99" i="59"/>
  <c r="C100" i="59" s="1"/>
  <c r="C101" i="59" s="1"/>
  <c r="C102" i="59" s="1"/>
  <c r="C103" i="59" s="1"/>
  <c r="C104" i="59" s="1"/>
  <c r="C105" i="59" s="1"/>
  <c r="C106" i="59" s="1"/>
  <c r="C107" i="59" s="1"/>
  <c r="C108" i="59" s="1"/>
  <c r="C109" i="59" s="1"/>
  <c r="C110" i="59" s="1"/>
  <c r="C111" i="59" s="1"/>
  <c r="C112" i="59" s="1"/>
  <c r="C113" i="59" s="1"/>
  <c r="C114" i="59" s="1"/>
  <c r="C115" i="59" s="1"/>
  <c r="C116" i="59" s="1"/>
  <c r="C117" i="59" s="1"/>
  <c r="C118" i="59" s="1"/>
  <c r="C119" i="59" s="1"/>
  <c r="C120" i="59" s="1"/>
  <c r="C121" i="59" s="1"/>
  <c r="C122" i="59" s="1"/>
  <c r="C123" i="59" s="1"/>
  <c r="C124" i="59" s="1"/>
  <c r="C125" i="59" s="1"/>
  <c r="C126" i="59" s="1"/>
  <c r="C127" i="59" s="1"/>
  <c r="C128" i="59" s="1"/>
  <c r="C129" i="59" s="1"/>
  <c r="C130" i="59" s="1"/>
  <c r="C131" i="59" s="1"/>
  <c r="C132" i="59" s="1"/>
  <c r="C133" i="59" s="1"/>
  <c r="C134" i="59" s="1"/>
  <c r="C135" i="59" s="1"/>
  <c r="C136" i="59" s="1"/>
  <c r="C137" i="59" s="1"/>
  <c r="C138" i="59" s="1"/>
  <c r="C139" i="59" s="1"/>
  <c r="C140" i="59" s="1"/>
  <c r="C141" i="59" s="1"/>
  <c r="C142" i="59" s="1"/>
  <c r="C143" i="59" s="1"/>
  <c r="C144" i="59" s="1"/>
  <c r="C145" i="59" s="1"/>
  <c r="C146" i="59" s="1"/>
  <c r="C147" i="59" s="1"/>
  <c r="C148" i="59" s="1"/>
  <c r="C149" i="59" s="1"/>
  <c r="C150" i="59" s="1"/>
  <c r="C151" i="59" s="1"/>
  <c r="C152" i="59" s="1"/>
  <c r="C153" i="59" s="1"/>
  <c r="C154" i="59" s="1"/>
  <c r="C99" i="60"/>
  <c r="C100" i="60" s="1"/>
  <c r="C101" i="60" s="1"/>
  <c r="C102" i="60" s="1"/>
  <c r="C103" i="60" s="1"/>
  <c r="C104" i="60" s="1"/>
  <c r="C105" i="60" s="1"/>
  <c r="C106" i="60" s="1"/>
  <c r="C107" i="60" s="1"/>
  <c r="C108" i="60" s="1"/>
  <c r="C109" i="60" s="1"/>
  <c r="C110" i="60" s="1"/>
  <c r="C111" i="60" s="1"/>
  <c r="C112" i="60" s="1"/>
  <c r="C113" i="60" s="1"/>
  <c r="C114" i="60" s="1"/>
  <c r="C115" i="60" s="1"/>
  <c r="C116" i="60" s="1"/>
  <c r="C117" i="60" s="1"/>
  <c r="C118" i="60" s="1"/>
  <c r="C119" i="60" s="1"/>
  <c r="C120" i="60" s="1"/>
  <c r="C121" i="60" s="1"/>
  <c r="C122" i="60" s="1"/>
  <c r="C123" i="60" s="1"/>
  <c r="C124" i="60" s="1"/>
  <c r="C125" i="60" s="1"/>
  <c r="C126" i="60" s="1"/>
  <c r="C127" i="60" s="1"/>
  <c r="C128" i="60" s="1"/>
  <c r="C129" i="60" s="1"/>
  <c r="C130" i="60" s="1"/>
  <c r="C131" i="60" s="1"/>
  <c r="C132" i="60" s="1"/>
  <c r="C133" i="60" s="1"/>
  <c r="C134" i="60" s="1"/>
  <c r="C135" i="60" s="1"/>
  <c r="C136" i="60" s="1"/>
  <c r="C137" i="60" s="1"/>
  <c r="C138" i="60" s="1"/>
  <c r="C139" i="60" s="1"/>
  <c r="C140" i="60" s="1"/>
  <c r="C141" i="60" s="1"/>
  <c r="C142" i="60" s="1"/>
  <c r="C143" i="60" s="1"/>
  <c r="C144" i="60" s="1"/>
  <c r="C145" i="60" s="1"/>
  <c r="C146" i="60" s="1"/>
  <c r="C147" i="60" s="1"/>
  <c r="C148" i="60" s="1"/>
  <c r="C149" i="60" s="1"/>
  <c r="C150" i="60" s="1"/>
  <c r="C151" i="60" s="1"/>
  <c r="C152" i="60" s="1"/>
  <c r="C153" i="60" s="1"/>
  <c r="C154" i="60" s="1"/>
  <c r="J103" i="31"/>
  <c r="B104" i="35"/>
  <c r="J99" i="53"/>
  <c r="B104" i="30"/>
  <c r="B101" i="42"/>
  <c r="J99" i="56"/>
  <c r="J100" i="45"/>
  <c r="B105" i="29"/>
  <c r="J99" i="46"/>
  <c r="B18" i="59"/>
  <c r="B23" i="32"/>
  <c r="B25" i="28"/>
  <c r="B19" i="54"/>
  <c r="B21" i="43"/>
  <c r="B22" i="21"/>
  <c r="B19" i="53"/>
  <c r="B19" i="56"/>
  <c r="B100" i="58"/>
  <c r="J101" i="41"/>
  <c r="B103" i="18"/>
  <c r="B104" i="24"/>
  <c r="B104" i="23"/>
  <c r="B104" i="34"/>
  <c r="B106" i="28"/>
  <c r="B103" i="19"/>
  <c r="J103" i="35"/>
  <c r="J101" i="44"/>
  <c r="B103" i="22"/>
  <c r="J101" i="43"/>
  <c r="B103" i="17"/>
  <c r="B105" i="27"/>
  <c r="B19" i="58"/>
  <c r="B23" i="31"/>
  <c r="B22" i="19"/>
  <c r="B19" i="46"/>
  <c r="B18" i="63"/>
  <c r="B21" i="41"/>
  <c r="B24" i="27"/>
  <c r="B23" i="34"/>
  <c r="B24" i="30"/>
  <c r="B21" i="44"/>
  <c r="B19" i="57"/>
  <c r="B22" i="3"/>
  <c r="J99" i="55"/>
  <c r="J99" i="58"/>
  <c r="B21" i="42"/>
  <c r="B24" i="29"/>
  <c r="B18" i="62"/>
  <c r="B22" i="20"/>
  <c r="B23" i="23"/>
  <c r="B22" i="18"/>
  <c r="B22" i="22"/>
  <c r="B23" i="24"/>
  <c r="B18" i="61"/>
  <c r="B21" i="39"/>
  <c r="J104" i="29"/>
  <c r="J102" i="20"/>
  <c r="J103" i="23"/>
  <c r="J103" i="34"/>
  <c r="J102" i="19"/>
  <c r="J105" i="28"/>
  <c r="J101" i="39"/>
  <c r="J103" i="24"/>
  <c r="J103" i="32"/>
  <c r="J104" i="27"/>
  <c r="J102" i="22"/>
  <c r="J102" i="21"/>
  <c r="J102" i="18"/>
  <c r="J102" i="17"/>
  <c r="I21" i="17"/>
  <c r="J99" i="57"/>
  <c r="J99" i="54"/>
  <c r="J101" i="42"/>
  <c r="J104" i="30"/>
  <c r="B22" i="17"/>
  <c r="P102" i="3"/>
  <c r="B103" i="3"/>
  <c r="C45" i="68"/>
  <c r="C46" i="68"/>
  <c r="C47" i="68" s="1"/>
  <c r="C48" i="68" s="1"/>
  <c r="C49" i="68" s="1"/>
  <c r="C50" i="68" s="1"/>
  <c r="C51" i="68" s="1"/>
  <c r="C52" i="68" s="1"/>
  <c r="C53" i="68" s="1"/>
  <c r="C54" i="68" s="1"/>
  <c r="C55" i="68" s="1"/>
  <c r="C56" i="68" s="1"/>
  <c r="C57" i="68" s="1"/>
  <c r="C58" i="68" s="1"/>
  <c r="C59" i="68" s="1"/>
  <c r="C60" i="68" s="1"/>
  <c r="C61" i="68" s="1"/>
  <c r="C62" i="68" s="1"/>
  <c r="C63" i="68" s="1"/>
  <c r="C64" i="68" s="1"/>
  <c r="C65" i="68" s="1"/>
  <c r="C66" i="68" s="1"/>
  <c r="C67" i="68" s="1"/>
  <c r="C68" i="68" s="1"/>
  <c r="C69" i="68" s="1"/>
  <c r="C70" i="68" s="1"/>
  <c r="C71" i="68" s="1"/>
  <c r="C72" i="68" s="1"/>
  <c r="C45" i="66"/>
  <c r="C46" i="66" s="1"/>
  <c r="C47" i="66" s="1"/>
  <c r="C48" i="66" s="1"/>
  <c r="C49" i="66" s="1"/>
  <c r="C50" i="66" s="1"/>
  <c r="C51" i="66" s="1"/>
  <c r="C52" i="66" s="1"/>
  <c r="C53" i="66" s="1"/>
  <c r="C54" i="66" s="1"/>
  <c r="C55" i="66" s="1"/>
  <c r="C56" i="66" s="1"/>
  <c r="C57" i="66" s="1"/>
  <c r="C58" i="66" s="1"/>
  <c r="C59" i="66" s="1"/>
  <c r="C60" i="66" s="1"/>
  <c r="C61" i="66" s="1"/>
  <c r="C62" i="66" s="1"/>
  <c r="C63" i="66" s="1"/>
  <c r="C64" i="66" s="1"/>
  <c r="C65" i="66" s="1"/>
  <c r="C66" i="66" s="1"/>
  <c r="C67" i="66" s="1"/>
  <c r="C68" i="66" s="1"/>
  <c r="C69" i="66" s="1"/>
  <c r="C70" i="66" s="1"/>
  <c r="C71" i="66" s="1"/>
  <c r="C72" i="66" s="1"/>
  <c r="O20" i="43"/>
  <c r="B20" i="45"/>
  <c r="O18" i="46"/>
  <c r="O18" i="53"/>
  <c r="B19" i="55"/>
  <c r="B18" i="60"/>
  <c r="P99" i="58"/>
  <c r="P99" i="56"/>
  <c r="P101" i="41"/>
  <c r="P103" i="34"/>
  <c r="B104" i="32"/>
  <c r="P103" i="31"/>
  <c r="P104" i="27"/>
  <c r="P103" i="23"/>
  <c r="P102" i="22"/>
  <c r="B103" i="20"/>
  <c r="P102" i="20"/>
  <c r="B103" i="21"/>
  <c r="B24" i="34"/>
  <c r="B25" i="29"/>
  <c r="B19" i="59"/>
  <c r="B22" i="39"/>
  <c r="B18" i="67"/>
  <c r="B19" i="63"/>
  <c r="B26" i="28"/>
  <c r="B25" i="27"/>
  <c r="B19" i="61"/>
  <c r="B23" i="3"/>
  <c r="B23" i="21"/>
  <c r="B23" i="18"/>
  <c r="B22" i="42"/>
  <c r="B19" i="62"/>
  <c r="B23" i="19"/>
  <c r="B105" i="24"/>
  <c r="B104" i="3"/>
  <c r="B106" i="27"/>
  <c r="B101" i="58"/>
  <c r="B104" i="20"/>
  <c r="B105" i="32"/>
  <c r="B20" i="54"/>
  <c r="B20" i="58"/>
  <c r="B20" i="53"/>
  <c r="B18" i="68"/>
  <c r="B22" i="43"/>
  <c r="B23" i="20"/>
  <c r="B23" i="22"/>
  <c r="B18" i="64"/>
  <c r="B18" i="65"/>
  <c r="B21" i="45"/>
  <c r="B20" i="46"/>
  <c r="B20" i="57"/>
  <c r="B24" i="32"/>
  <c r="B105" i="23"/>
  <c r="B104" i="17"/>
  <c r="B104" i="19"/>
  <c r="B107" i="28"/>
  <c r="B24" i="31"/>
  <c r="B22" i="41"/>
  <c r="B20" i="55"/>
  <c r="B23" i="17"/>
  <c r="B19" i="64"/>
  <c r="B18" i="66"/>
  <c r="B19" i="60"/>
  <c r="B20" i="56"/>
  <c r="O19" i="53"/>
  <c r="P100" i="46"/>
  <c r="B22" i="44"/>
  <c r="O23" i="32"/>
  <c r="P104" i="31"/>
  <c r="B25" i="30"/>
  <c r="B106" i="29"/>
  <c r="P106" i="28"/>
  <c r="B24" i="24"/>
  <c r="B24" i="23"/>
  <c r="P103" i="22"/>
  <c r="B104" i="22"/>
  <c r="P103" i="21"/>
  <c r="B104" i="18"/>
  <c r="B101" i="54"/>
  <c r="B101" i="45"/>
  <c r="B100" i="57"/>
  <c r="B100" i="53"/>
  <c r="B104" i="31"/>
  <c r="B100" i="54"/>
  <c r="B105" i="30"/>
  <c r="B102" i="43"/>
  <c r="B102" i="41"/>
  <c r="B100" i="46"/>
  <c r="B100" i="55"/>
  <c r="B102" i="44"/>
  <c r="B100" i="56"/>
  <c r="B102" i="42"/>
  <c r="B100" i="63"/>
  <c r="B100" i="59"/>
  <c r="B100" i="60"/>
  <c r="B100" i="61"/>
  <c r="B100" i="62"/>
  <c r="B101" i="55"/>
  <c r="B101" i="57"/>
  <c r="B100" i="64"/>
  <c r="C45" i="78"/>
  <c r="C46" i="78" s="1"/>
  <c r="C47" i="78" s="1"/>
  <c r="C48" i="78" s="1"/>
  <c r="C49" i="78" s="1"/>
  <c r="C50" i="78" s="1"/>
  <c r="C51" i="78" s="1"/>
  <c r="C52" i="78" s="1"/>
  <c r="C53" i="78" s="1"/>
  <c r="C54" i="78" s="1"/>
  <c r="C55" i="78" s="1"/>
  <c r="C56" i="78" s="1"/>
  <c r="C57" i="78" s="1"/>
  <c r="C58" i="78" s="1"/>
  <c r="C59" i="78" s="1"/>
  <c r="C60" i="78" s="1"/>
  <c r="C61" i="78" s="1"/>
  <c r="C62" i="78" s="1"/>
  <c r="C63" i="78" s="1"/>
  <c r="C64" i="78" s="1"/>
  <c r="C65" i="78" s="1"/>
  <c r="C66" i="78" s="1"/>
  <c r="C67" i="78" s="1"/>
  <c r="C68" i="78" s="1"/>
  <c r="C69" i="78" s="1"/>
  <c r="C70" i="78" s="1"/>
  <c r="C71" i="78" s="1"/>
  <c r="C72" i="78" s="1"/>
  <c r="C45" i="77"/>
  <c r="C46" i="77" s="1"/>
  <c r="C47" i="77" s="1"/>
  <c r="C48" i="77" s="1"/>
  <c r="C49" i="77" s="1"/>
  <c r="C50" i="77" s="1"/>
  <c r="C51" i="77" s="1"/>
  <c r="C52" i="77" s="1"/>
  <c r="C53" i="77" s="1"/>
  <c r="C54" i="77" s="1"/>
  <c r="C55" i="77" s="1"/>
  <c r="C56" i="77" s="1"/>
  <c r="C57" i="77" s="1"/>
  <c r="C58" i="77" s="1"/>
  <c r="C59" i="77" s="1"/>
  <c r="C60" i="77" s="1"/>
  <c r="C61" i="77" s="1"/>
  <c r="C62" i="77" s="1"/>
  <c r="C63" i="77" s="1"/>
  <c r="C64" i="77" s="1"/>
  <c r="C65" i="77" s="1"/>
  <c r="C66" i="77" s="1"/>
  <c r="C67" i="77" s="1"/>
  <c r="C68" i="77" s="1"/>
  <c r="C69" i="77" s="1"/>
  <c r="C70" i="77" s="1"/>
  <c r="C71" i="77" s="1"/>
  <c r="C72" i="77" s="1"/>
  <c r="C45" i="75"/>
  <c r="C46" i="75" s="1"/>
  <c r="C47" i="75" s="1"/>
  <c r="C48" i="75" s="1"/>
  <c r="C49" i="75" s="1"/>
  <c r="C50" i="75" s="1"/>
  <c r="C51" i="75" s="1"/>
  <c r="C52" i="75" s="1"/>
  <c r="C53" i="75" s="1"/>
  <c r="C54" i="75" s="1"/>
  <c r="C55" i="75" s="1"/>
  <c r="C56" i="75" s="1"/>
  <c r="C57" i="75" s="1"/>
  <c r="C58" i="75" s="1"/>
  <c r="C59" i="75" s="1"/>
  <c r="C60" i="75" s="1"/>
  <c r="C61" i="75" s="1"/>
  <c r="C62" i="75" s="1"/>
  <c r="C63" i="75" s="1"/>
  <c r="C64" i="75" s="1"/>
  <c r="C65" i="75" s="1"/>
  <c r="C66" i="75" s="1"/>
  <c r="C67" i="75" s="1"/>
  <c r="C68" i="75" s="1"/>
  <c r="C69" i="75" s="1"/>
  <c r="C70" i="75" s="1"/>
  <c r="C71" i="75" s="1"/>
  <c r="C72" i="75" s="1"/>
  <c r="C99" i="73"/>
  <c r="C100" i="73" s="1"/>
  <c r="C101" i="73" s="1"/>
  <c r="C102" i="73" s="1"/>
  <c r="C103" i="73" s="1"/>
  <c r="C104" i="73" s="1"/>
  <c r="C105" i="73" s="1"/>
  <c r="C106" i="73" s="1"/>
  <c r="C107" i="73" s="1"/>
  <c r="C108" i="73" s="1"/>
  <c r="C109" i="73" s="1"/>
  <c r="C110" i="73" s="1"/>
  <c r="C111" i="73" s="1"/>
  <c r="C112" i="73" s="1"/>
  <c r="C113" i="73" s="1"/>
  <c r="C114" i="73" s="1"/>
  <c r="C115" i="73" s="1"/>
  <c r="C116" i="73" s="1"/>
  <c r="C117" i="73" s="1"/>
  <c r="C118" i="73" s="1"/>
  <c r="C119" i="73" s="1"/>
  <c r="C120" i="73" s="1"/>
  <c r="C121" i="73" s="1"/>
  <c r="C122" i="73" s="1"/>
  <c r="C123" i="73" s="1"/>
  <c r="C124" i="73" s="1"/>
  <c r="C125" i="73" s="1"/>
  <c r="C126" i="73" s="1"/>
  <c r="C127" i="73" s="1"/>
  <c r="C128" i="73" s="1"/>
  <c r="C129" i="73" s="1"/>
  <c r="C130" i="73" s="1"/>
  <c r="C131" i="73" s="1"/>
  <c r="C132" i="73" s="1"/>
  <c r="C133" i="73" s="1"/>
  <c r="C134" i="73" s="1"/>
  <c r="C135" i="73" s="1"/>
  <c r="C136" i="73" s="1"/>
  <c r="C137" i="73" s="1"/>
  <c r="C138" i="73" s="1"/>
  <c r="C139" i="73" s="1"/>
  <c r="C140" i="73" s="1"/>
  <c r="C141" i="73" s="1"/>
  <c r="C142" i="73" s="1"/>
  <c r="C143" i="73" s="1"/>
  <c r="C144" i="73" s="1"/>
  <c r="C145" i="73" s="1"/>
  <c r="C146" i="73" s="1"/>
  <c r="C147" i="73" s="1"/>
  <c r="C148" i="73" s="1"/>
  <c r="C149" i="73" s="1"/>
  <c r="C150" i="73" s="1"/>
  <c r="C151" i="73" s="1"/>
  <c r="C152" i="73" s="1"/>
  <c r="C153" i="73" s="1"/>
  <c r="C154" i="73" s="1"/>
  <c r="C99" i="70"/>
  <c r="C99" i="71"/>
  <c r="C100" i="71" s="1"/>
  <c r="C101" i="71" s="1"/>
  <c r="C102" i="71" s="1"/>
  <c r="C103" i="71" s="1"/>
  <c r="C104" i="71" s="1"/>
  <c r="C105" i="71" s="1"/>
  <c r="C106" i="71" s="1"/>
  <c r="C107" i="71" s="1"/>
  <c r="C108" i="71" s="1"/>
  <c r="C109" i="71" s="1"/>
  <c r="C110" i="71" s="1"/>
  <c r="C111" i="71" s="1"/>
  <c r="C112" i="71" s="1"/>
  <c r="C113" i="71" s="1"/>
  <c r="C114" i="71" s="1"/>
  <c r="C115" i="71" s="1"/>
  <c r="C116" i="71" s="1"/>
  <c r="C117" i="71" s="1"/>
  <c r="C118" i="71" s="1"/>
  <c r="C119" i="71" s="1"/>
  <c r="C120" i="71" s="1"/>
  <c r="C121" i="71" s="1"/>
  <c r="C122" i="71" s="1"/>
  <c r="C123" i="71" s="1"/>
  <c r="C124" i="71" s="1"/>
  <c r="C125" i="71" s="1"/>
  <c r="C126" i="71" s="1"/>
  <c r="C127" i="71" s="1"/>
  <c r="C128" i="71" s="1"/>
  <c r="C129" i="71" s="1"/>
  <c r="C130" i="71" s="1"/>
  <c r="C131" i="71" s="1"/>
  <c r="C132" i="71" s="1"/>
  <c r="C133" i="71" s="1"/>
  <c r="C134" i="71" s="1"/>
  <c r="C135" i="71" s="1"/>
  <c r="C136" i="71" s="1"/>
  <c r="C137" i="71" s="1"/>
  <c r="C138" i="71" s="1"/>
  <c r="C139" i="71" s="1"/>
  <c r="C140" i="71" s="1"/>
  <c r="C141" i="71" s="1"/>
  <c r="C142" i="71" s="1"/>
  <c r="C143" i="71" s="1"/>
  <c r="C144" i="71" s="1"/>
  <c r="C145" i="71" s="1"/>
  <c r="C146" i="71" s="1"/>
  <c r="C147" i="71" s="1"/>
  <c r="C148" i="71" s="1"/>
  <c r="C149" i="71" s="1"/>
  <c r="C150" i="71" s="1"/>
  <c r="C151" i="71" s="1"/>
  <c r="C152" i="71" s="1"/>
  <c r="C153" i="71" s="1"/>
  <c r="C154" i="71" s="1"/>
  <c r="C99" i="69"/>
  <c r="K17" i="74"/>
  <c r="L17" i="74" s="1"/>
  <c r="K17" i="73"/>
  <c r="L17" i="73" s="1"/>
  <c r="K17" i="71"/>
  <c r="L17" i="71" s="1"/>
  <c r="M17" i="71"/>
  <c r="N17" i="71" s="1"/>
  <c r="C45" i="76"/>
  <c r="C46" i="76" s="1"/>
  <c r="C47" i="76" s="1"/>
  <c r="C48" i="76" s="1"/>
  <c r="C49" i="76" s="1"/>
  <c r="C50" i="76" s="1"/>
  <c r="C51" i="76" s="1"/>
  <c r="C52" i="76" s="1"/>
  <c r="C53" i="76" s="1"/>
  <c r="C54" i="76" s="1"/>
  <c r="C55" i="76" s="1"/>
  <c r="C56" i="76" s="1"/>
  <c r="C57" i="76" s="1"/>
  <c r="C58" i="76" s="1"/>
  <c r="C59" i="76" s="1"/>
  <c r="C60" i="76" s="1"/>
  <c r="C61" i="76" s="1"/>
  <c r="C62" i="76" s="1"/>
  <c r="C63" i="76" s="1"/>
  <c r="C64" i="76" s="1"/>
  <c r="C65" i="76" s="1"/>
  <c r="C66" i="76" s="1"/>
  <c r="C67" i="76" s="1"/>
  <c r="C68" i="76" s="1"/>
  <c r="C69" i="76" s="1"/>
  <c r="C70" i="76" s="1"/>
  <c r="C71" i="76" s="1"/>
  <c r="C72" i="76" s="1"/>
  <c r="B101" i="46"/>
  <c r="B104" i="21"/>
  <c r="C45" i="73"/>
  <c r="C46" i="73" s="1"/>
  <c r="C47" i="73" s="1"/>
  <c r="C48" i="73" s="1"/>
  <c r="C49" i="73" s="1"/>
  <c r="C50" i="73" s="1"/>
  <c r="C51" i="73" s="1"/>
  <c r="C52" i="73" s="1"/>
  <c r="C53" i="73" s="1"/>
  <c r="C54" i="73" s="1"/>
  <c r="C55" i="73" s="1"/>
  <c r="C56" i="73" s="1"/>
  <c r="C57" i="73" s="1"/>
  <c r="C58" i="73" s="1"/>
  <c r="C59" i="73" s="1"/>
  <c r="C60" i="73" s="1"/>
  <c r="C61" i="73" s="1"/>
  <c r="C62" i="73" s="1"/>
  <c r="C63" i="73" s="1"/>
  <c r="C64" i="73" s="1"/>
  <c r="C65" i="73" s="1"/>
  <c r="C66" i="73" s="1"/>
  <c r="C67" i="73" s="1"/>
  <c r="C68" i="73" s="1"/>
  <c r="C69" i="73" s="1"/>
  <c r="C70" i="73" s="1"/>
  <c r="C71" i="73" s="1"/>
  <c r="C72" i="73" s="1"/>
  <c r="C45" i="72"/>
  <c r="C46" i="72" s="1"/>
  <c r="C47" i="72" s="1"/>
  <c r="C48" i="72" s="1"/>
  <c r="C49" i="72" s="1"/>
  <c r="C50" i="72" s="1"/>
  <c r="C51" i="72" s="1"/>
  <c r="C52" i="72" s="1"/>
  <c r="C53" i="72" s="1"/>
  <c r="C54" i="72" s="1"/>
  <c r="C55" i="72" s="1"/>
  <c r="C56" i="72" s="1"/>
  <c r="C57" i="72" s="1"/>
  <c r="C58" i="72" s="1"/>
  <c r="C59" i="72" s="1"/>
  <c r="C60" i="72" s="1"/>
  <c r="C61" i="72" s="1"/>
  <c r="C62" i="72" s="1"/>
  <c r="C63" i="72" s="1"/>
  <c r="C64" i="72" s="1"/>
  <c r="C65" i="72" s="1"/>
  <c r="C66" i="72" s="1"/>
  <c r="C67" i="72" s="1"/>
  <c r="C68" i="72" s="1"/>
  <c r="C69" i="72" s="1"/>
  <c r="C70" i="72" s="1"/>
  <c r="C71" i="72" s="1"/>
  <c r="C72" i="72" s="1"/>
  <c r="C99" i="72"/>
  <c r="C100" i="72" s="1"/>
  <c r="C101" i="72" s="1"/>
  <c r="C102" i="72" s="1"/>
  <c r="C103" i="72" s="1"/>
  <c r="C104" i="72" s="1"/>
  <c r="C105" i="72" s="1"/>
  <c r="C106" i="72" s="1"/>
  <c r="C107" i="72" s="1"/>
  <c r="C108" i="72" s="1"/>
  <c r="C109" i="72" s="1"/>
  <c r="C110" i="72" s="1"/>
  <c r="C111" i="72" s="1"/>
  <c r="C112" i="72" s="1"/>
  <c r="C113" i="72" s="1"/>
  <c r="C114" i="72" s="1"/>
  <c r="C115" i="72" s="1"/>
  <c r="C116" i="72" s="1"/>
  <c r="C117" i="72" s="1"/>
  <c r="C118" i="72" s="1"/>
  <c r="C119" i="72" s="1"/>
  <c r="C120" i="72" s="1"/>
  <c r="C121" i="72" s="1"/>
  <c r="C122" i="72" s="1"/>
  <c r="C123" i="72" s="1"/>
  <c r="C124" i="72" s="1"/>
  <c r="C125" i="72" s="1"/>
  <c r="C126" i="72" s="1"/>
  <c r="C127" i="72" s="1"/>
  <c r="C128" i="72" s="1"/>
  <c r="C129" i="72" s="1"/>
  <c r="C130" i="72" s="1"/>
  <c r="C131" i="72" s="1"/>
  <c r="C132" i="72" s="1"/>
  <c r="C133" i="72" s="1"/>
  <c r="C134" i="72" s="1"/>
  <c r="C135" i="72" s="1"/>
  <c r="C136" i="72" s="1"/>
  <c r="C137" i="72" s="1"/>
  <c r="C138" i="72" s="1"/>
  <c r="C139" i="72" s="1"/>
  <c r="C140" i="72" s="1"/>
  <c r="C141" i="72" s="1"/>
  <c r="C142" i="72" s="1"/>
  <c r="C143" i="72" s="1"/>
  <c r="C144" i="72" s="1"/>
  <c r="C145" i="72" s="1"/>
  <c r="C146" i="72" s="1"/>
  <c r="C147" i="72" s="1"/>
  <c r="C148" i="72" s="1"/>
  <c r="C149" i="72" s="1"/>
  <c r="C150" i="72" s="1"/>
  <c r="C151" i="72" s="1"/>
  <c r="C152" i="72" s="1"/>
  <c r="C153" i="72" s="1"/>
  <c r="C154" i="72" s="1"/>
  <c r="C45" i="71"/>
  <c r="C46" i="71" s="1"/>
  <c r="C47" i="71" s="1"/>
  <c r="C48" i="71" s="1"/>
  <c r="C49" i="71" s="1"/>
  <c r="C50" i="71" s="1"/>
  <c r="C51" i="71" s="1"/>
  <c r="C52" i="71" s="1"/>
  <c r="C53" i="71" s="1"/>
  <c r="C54" i="71" s="1"/>
  <c r="C55" i="71" s="1"/>
  <c r="C56" i="71" s="1"/>
  <c r="C57" i="71" s="1"/>
  <c r="C58" i="71" s="1"/>
  <c r="C59" i="71" s="1"/>
  <c r="C60" i="71" s="1"/>
  <c r="C61" i="71" s="1"/>
  <c r="C62" i="71" s="1"/>
  <c r="C63" i="71" s="1"/>
  <c r="C64" i="71" s="1"/>
  <c r="C65" i="71" s="1"/>
  <c r="C66" i="71" s="1"/>
  <c r="C67" i="71" s="1"/>
  <c r="C68" i="71" s="1"/>
  <c r="C69" i="71" s="1"/>
  <c r="C70" i="71" s="1"/>
  <c r="C71" i="71" s="1"/>
  <c r="C72" i="71" s="1"/>
  <c r="C45" i="70"/>
  <c r="C46" i="70" s="1"/>
  <c r="C47" i="70" s="1"/>
  <c r="C48" i="70" s="1"/>
  <c r="C49" i="70" s="1"/>
  <c r="C50" i="70" s="1"/>
  <c r="C51" i="70" s="1"/>
  <c r="C52" i="70" s="1"/>
  <c r="C53" i="70" s="1"/>
  <c r="C54" i="70" s="1"/>
  <c r="C55" i="70" s="1"/>
  <c r="C56" i="70" s="1"/>
  <c r="C57" i="70" s="1"/>
  <c r="C58" i="70" s="1"/>
  <c r="C59" i="70" s="1"/>
  <c r="C60" i="70" s="1"/>
  <c r="C61" i="70" s="1"/>
  <c r="C62" i="70" s="1"/>
  <c r="C63" i="70" s="1"/>
  <c r="C64" i="70" s="1"/>
  <c r="C65" i="70" s="1"/>
  <c r="C66" i="70" s="1"/>
  <c r="C67" i="70" s="1"/>
  <c r="C68" i="70" s="1"/>
  <c r="C69" i="70" s="1"/>
  <c r="C70" i="70" s="1"/>
  <c r="C71" i="70" s="1"/>
  <c r="C72" i="70" s="1"/>
  <c r="C100" i="70"/>
  <c r="C101" i="70" s="1"/>
  <c r="C102" i="70" s="1"/>
  <c r="C103" i="70" s="1"/>
  <c r="C104" i="70" s="1"/>
  <c r="C105" i="70" s="1"/>
  <c r="C106" i="70" s="1"/>
  <c r="C107" i="70" s="1"/>
  <c r="C108" i="70" s="1"/>
  <c r="C109" i="70" s="1"/>
  <c r="C110" i="70" s="1"/>
  <c r="C111" i="70" s="1"/>
  <c r="C112" i="70" s="1"/>
  <c r="C113" i="70" s="1"/>
  <c r="C114" i="70" s="1"/>
  <c r="C115" i="70" s="1"/>
  <c r="C116" i="70" s="1"/>
  <c r="C117" i="70" s="1"/>
  <c r="C118" i="70" s="1"/>
  <c r="C119" i="70" s="1"/>
  <c r="C120" i="70" s="1"/>
  <c r="C121" i="70" s="1"/>
  <c r="C122" i="70" s="1"/>
  <c r="C123" i="70" s="1"/>
  <c r="C124" i="70" s="1"/>
  <c r="C125" i="70" s="1"/>
  <c r="C126" i="70" s="1"/>
  <c r="C127" i="70" s="1"/>
  <c r="C128" i="70" s="1"/>
  <c r="C129" i="70" s="1"/>
  <c r="C130" i="70" s="1"/>
  <c r="C131" i="70" s="1"/>
  <c r="C132" i="70" s="1"/>
  <c r="C133" i="70" s="1"/>
  <c r="C134" i="70" s="1"/>
  <c r="C135" i="70" s="1"/>
  <c r="C136" i="70" s="1"/>
  <c r="C137" i="70" s="1"/>
  <c r="C138" i="70" s="1"/>
  <c r="C139" i="70" s="1"/>
  <c r="C140" i="70" s="1"/>
  <c r="C141" i="70" s="1"/>
  <c r="C142" i="70" s="1"/>
  <c r="C143" i="70" s="1"/>
  <c r="C144" i="70" s="1"/>
  <c r="C145" i="70" s="1"/>
  <c r="C146" i="70" s="1"/>
  <c r="C147" i="70" s="1"/>
  <c r="C148" i="70" s="1"/>
  <c r="C149" i="70" s="1"/>
  <c r="C150" i="70" s="1"/>
  <c r="C151" i="70" s="1"/>
  <c r="C152" i="70" s="1"/>
  <c r="C153" i="70" s="1"/>
  <c r="C154" i="70" s="1"/>
  <c r="C45" i="69"/>
  <c r="C46" i="69" s="1"/>
  <c r="C47" i="69" s="1"/>
  <c r="C48" i="69" s="1"/>
  <c r="C49" i="69" s="1"/>
  <c r="C50" i="69" s="1"/>
  <c r="C51" i="69" s="1"/>
  <c r="C52" i="69" s="1"/>
  <c r="C53" i="69" s="1"/>
  <c r="C54" i="69" s="1"/>
  <c r="C55" i="69" s="1"/>
  <c r="C56" i="69" s="1"/>
  <c r="C57" i="69" s="1"/>
  <c r="C58" i="69" s="1"/>
  <c r="C59" i="69" s="1"/>
  <c r="C60" i="69" s="1"/>
  <c r="C61" i="69" s="1"/>
  <c r="C62" i="69" s="1"/>
  <c r="C63" i="69" s="1"/>
  <c r="C64" i="69" s="1"/>
  <c r="C65" i="69" s="1"/>
  <c r="C66" i="69" s="1"/>
  <c r="C67" i="69" s="1"/>
  <c r="C68" i="69" s="1"/>
  <c r="C69" i="69" s="1"/>
  <c r="C70" i="69" s="1"/>
  <c r="C71" i="69" s="1"/>
  <c r="C72" i="69" s="1"/>
  <c r="C100" i="69"/>
  <c r="C101" i="69" s="1"/>
  <c r="C102" i="69" s="1"/>
  <c r="C103" i="69" s="1"/>
  <c r="C104" i="69" s="1"/>
  <c r="C105" i="69" s="1"/>
  <c r="C106" i="69" s="1"/>
  <c r="C107" i="69" s="1"/>
  <c r="C108" i="69" s="1"/>
  <c r="C109" i="69" s="1"/>
  <c r="C110" i="69" s="1"/>
  <c r="C111" i="69" s="1"/>
  <c r="C112" i="69" s="1"/>
  <c r="C113" i="69" s="1"/>
  <c r="C114" i="69" s="1"/>
  <c r="C115" i="69" s="1"/>
  <c r="C116" i="69" s="1"/>
  <c r="C117" i="69" s="1"/>
  <c r="C118" i="69" s="1"/>
  <c r="C119" i="69" s="1"/>
  <c r="C120" i="69" s="1"/>
  <c r="C121" i="69" s="1"/>
  <c r="C122" i="69" s="1"/>
  <c r="C123" i="69" s="1"/>
  <c r="C124" i="69" s="1"/>
  <c r="C125" i="69" s="1"/>
  <c r="C126" i="69" s="1"/>
  <c r="C127" i="69" s="1"/>
  <c r="C128" i="69" s="1"/>
  <c r="C129" i="69" s="1"/>
  <c r="C130" i="69" s="1"/>
  <c r="C131" i="69" s="1"/>
  <c r="C132" i="69" s="1"/>
  <c r="C133" i="69" s="1"/>
  <c r="C134" i="69" s="1"/>
  <c r="C135" i="69" s="1"/>
  <c r="C136" i="69" s="1"/>
  <c r="C137" i="69" s="1"/>
  <c r="C138" i="69" s="1"/>
  <c r="C139" i="69" s="1"/>
  <c r="C140" i="69" s="1"/>
  <c r="C141" i="69" s="1"/>
  <c r="C142" i="69" s="1"/>
  <c r="C143" i="69" s="1"/>
  <c r="C144" i="69" s="1"/>
  <c r="C145" i="69" s="1"/>
  <c r="C146" i="69" s="1"/>
  <c r="C147" i="69" s="1"/>
  <c r="C148" i="69" s="1"/>
  <c r="C149" i="69" s="1"/>
  <c r="C150" i="69" s="1"/>
  <c r="C151" i="69" s="1"/>
  <c r="C152" i="69" s="1"/>
  <c r="C153" i="69" s="1"/>
  <c r="C154" i="69" s="1"/>
  <c r="M17" i="74"/>
  <c r="N17" i="74" s="1"/>
  <c r="K18" i="74"/>
  <c r="L18" i="74" s="1"/>
  <c r="M17" i="73"/>
  <c r="N17" i="73" s="1"/>
  <c r="K18" i="73"/>
  <c r="L18" i="73" s="1"/>
  <c r="K17" i="72"/>
  <c r="L17" i="72" s="1"/>
  <c r="O17" i="72" s="1"/>
  <c r="K18" i="72"/>
  <c r="L18" i="72" s="1"/>
  <c r="K18" i="71"/>
  <c r="L18" i="71" s="1"/>
  <c r="M18" i="71"/>
  <c r="N18" i="71" s="1"/>
  <c r="K17" i="70"/>
  <c r="L17" i="70" s="1"/>
  <c r="B18" i="74"/>
  <c r="B18" i="73"/>
  <c r="B18" i="72"/>
  <c r="B18" i="71"/>
  <c r="B18" i="70"/>
  <c r="B18" i="69"/>
  <c r="M18" i="74"/>
  <c r="N18" i="74" s="1"/>
  <c r="M18" i="73"/>
  <c r="N18" i="73" s="1"/>
  <c r="O18" i="73" s="1"/>
  <c r="M18" i="72"/>
  <c r="N18" i="72" s="1"/>
  <c r="K19" i="71"/>
  <c r="L19" i="71" s="1"/>
  <c r="M17" i="70"/>
  <c r="N17" i="70" s="1"/>
  <c r="K18" i="70"/>
  <c r="L18" i="70" s="1"/>
  <c r="B100" i="69"/>
  <c r="K19" i="74"/>
  <c r="L19" i="74" s="1"/>
  <c r="K19" i="73"/>
  <c r="L19" i="73" s="1"/>
  <c r="K19" i="72"/>
  <c r="L19" i="72" s="1"/>
  <c r="M19" i="71"/>
  <c r="N19" i="71" s="1"/>
  <c r="M18" i="70"/>
  <c r="N18" i="70" s="1"/>
  <c r="B19" i="73"/>
  <c r="B19" i="72"/>
  <c r="B19" i="71"/>
  <c r="B19" i="70"/>
  <c r="B19" i="69"/>
  <c r="M19" i="74"/>
  <c r="N19" i="74" s="1"/>
  <c r="M19" i="73"/>
  <c r="N19" i="73" s="1"/>
  <c r="M19" i="72"/>
  <c r="N19" i="72" s="1"/>
  <c r="K20" i="71"/>
  <c r="L20" i="71" s="1"/>
  <c r="K19" i="70"/>
  <c r="L19" i="70" s="1"/>
  <c r="B19" i="74"/>
  <c r="B101" i="69"/>
  <c r="K20" i="74"/>
  <c r="L20" i="74" s="1"/>
  <c r="K20" i="73"/>
  <c r="L20" i="73" s="1"/>
  <c r="M20" i="71"/>
  <c r="N20" i="71" s="1"/>
  <c r="K20" i="70"/>
  <c r="L20" i="70" s="1"/>
  <c r="M19" i="70"/>
  <c r="N19" i="70" s="1"/>
  <c r="B20" i="74"/>
  <c r="B20" i="73"/>
  <c r="B20" i="72"/>
  <c r="B20" i="71"/>
  <c r="B20" i="70"/>
  <c r="B20" i="69"/>
  <c r="M20" i="74"/>
  <c r="N20" i="74" s="1"/>
  <c r="M20" i="73"/>
  <c r="N20" i="73" s="1"/>
  <c r="K21" i="71"/>
  <c r="L21" i="71" s="1"/>
  <c r="M20" i="70"/>
  <c r="N20" i="70" s="1"/>
  <c r="O20" i="70" s="1"/>
  <c r="B102" i="69"/>
  <c r="K21" i="73"/>
  <c r="L21" i="73" s="1"/>
  <c r="M21" i="71"/>
  <c r="N21" i="71" s="1"/>
  <c r="K21" i="70"/>
  <c r="L21" i="70" s="1"/>
  <c r="B21" i="74"/>
  <c r="B21" i="73"/>
  <c r="B21" i="71"/>
  <c r="B21" i="70"/>
  <c r="B21" i="69"/>
  <c r="M21" i="73"/>
  <c r="N21" i="73" s="1"/>
  <c r="K22" i="71"/>
  <c r="L22" i="71" s="1"/>
  <c r="M21" i="70"/>
  <c r="N21" i="70" s="1"/>
  <c r="B103" i="69"/>
  <c r="M22" i="71"/>
  <c r="N22" i="71" s="1"/>
  <c r="K23" i="70"/>
  <c r="L23" i="70" s="1"/>
  <c r="M22" i="70"/>
  <c r="N22" i="70" s="1"/>
  <c r="K22" i="70"/>
  <c r="L22" i="70" s="1"/>
  <c r="B22" i="73"/>
  <c r="B22" i="71"/>
  <c r="B22" i="70"/>
  <c r="B22" i="69"/>
  <c r="K23" i="71"/>
  <c r="L23" i="71" s="1"/>
  <c r="M23" i="70"/>
  <c r="N23" i="70" s="1"/>
  <c r="B104" i="69"/>
  <c r="M23" i="71"/>
  <c r="N23" i="71" s="1"/>
  <c r="K24" i="70"/>
  <c r="B23" i="71"/>
  <c r="B23" i="70"/>
  <c r="B23" i="69"/>
  <c r="L24" i="70"/>
  <c r="M24" i="70"/>
  <c r="N24" i="70" s="1"/>
  <c r="B105" i="69"/>
  <c r="B24" i="71"/>
  <c r="B24" i="70"/>
  <c r="B24" i="69"/>
  <c r="B106" i="69"/>
  <c r="B25" i="70"/>
  <c r="B25" i="69"/>
  <c r="O18" i="69"/>
  <c r="O23" i="69"/>
  <c r="L102" i="39"/>
  <c r="M102" i="39" s="1"/>
  <c r="N102" i="39"/>
  <c r="O102" i="39" s="1"/>
  <c r="J102" i="39"/>
  <c r="B104" i="44"/>
  <c r="B100" i="75"/>
  <c r="B101" i="56"/>
  <c r="B103" i="44"/>
  <c r="P99" i="73"/>
  <c r="P101" i="72"/>
  <c r="B103" i="43"/>
  <c r="B20" i="64"/>
  <c r="B20" i="63"/>
  <c r="B23" i="41"/>
  <c r="B20" i="60"/>
  <c r="B21" i="55"/>
  <c r="B19" i="65"/>
  <c r="B26" i="30"/>
  <c r="B21" i="54"/>
  <c r="B18" i="78"/>
  <c r="B102" i="46"/>
  <c r="B22" i="74"/>
  <c r="B27" i="28"/>
  <c r="B106" i="30"/>
  <c r="B21" i="56"/>
  <c r="B20" i="62"/>
  <c r="B24" i="3"/>
  <c r="B102" i="53"/>
  <c r="B100" i="66"/>
  <c r="K21" i="74"/>
  <c r="L21" i="74" s="1"/>
  <c r="B104" i="43"/>
  <c r="B20" i="61"/>
  <c r="B18" i="75"/>
  <c r="B105" i="31"/>
  <c r="B18" i="77"/>
  <c r="B21" i="72"/>
  <c r="B25" i="71"/>
  <c r="M21" i="74"/>
  <c r="N21" i="74" s="1"/>
  <c r="O21" i="74" s="1"/>
  <c r="B103" i="42"/>
  <c r="B106" i="31"/>
  <c r="B102" i="54"/>
  <c r="B102" i="45"/>
  <c r="B102" i="56"/>
  <c r="B26" i="69"/>
  <c r="B101" i="53"/>
  <c r="B100" i="68"/>
  <c r="B24" i="20"/>
  <c r="B103" i="41"/>
  <c r="B25" i="32"/>
  <c r="B102" i="55"/>
  <c r="B105" i="3"/>
  <c r="B101" i="59"/>
  <c r="B105" i="17"/>
  <c r="B101" i="63"/>
  <c r="B105" i="18"/>
  <c r="B104" i="39"/>
  <c r="B102" i="57"/>
  <c r="B108" i="28"/>
  <c r="B106" i="24"/>
  <c r="B107" i="27"/>
  <c r="B21" i="57"/>
  <c r="B23" i="73"/>
  <c r="B25" i="31"/>
  <c r="B23" i="43"/>
  <c r="B21" i="46"/>
  <c r="B104" i="41"/>
  <c r="B104" i="42"/>
  <c r="B24" i="21"/>
  <c r="B25" i="23"/>
  <c r="B26" i="27"/>
  <c r="B24" i="19"/>
  <c r="B107" i="29"/>
  <c r="B105" i="21"/>
  <c r="B106" i="23"/>
  <c r="J100" i="64"/>
  <c r="B105" i="22"/>
  <c r="B101" i="61"/>
  <c r="B102" i="58"/>
  <c r="B103" i="45"/>
  <c r="B100" i="65"/>
  <c r="B101" i="64"/>
  <c r="B101" i="60"/>
  <c r="B101" i="62"/>
  <c r="B21" i="61"/>
  <c r="B20" i="59"/>
  <c r="P101" i="54"/>
  <c r="B21" i="53"/>
  <c r="B22" i="45"/>
  <c r="B23" i="44"/>
  <c r="B23" i="42"/>
  <c r="B23" i="39"/>
  <c r="B25" i="34"/>
  <c r="B106" i="32"/>
  <c r="B107" i="30"/>
  <c r="B26" i="29"/>
  <c r="B25" i="24"/>
  <c r="B24" i="22"/>
  <c r="B105" i="20"/>
  <c r="B24" i="18"/>
  <c r="B24" i="17"/>
  <c r="B102" i="61"/>
  <c r="C45" i="83"/>
  <c r="C46" i="83" s="1"/>
  <c r="C47" i="83" s="1"/>
  <c r="C48" i="83" s="1"/>
  <c r="C49" i="83" s="1"/>
  <c r="C50" i="83" s="1"/>
  <c r="C51" i="83" s="1"/>
  <c r="C52" i="83" s="1"/>
  <c r="C53" i="83" s="1"/>
  <c r="C54" i="83" s="1"/>
  <c r="C55" i="83" s="1"/>
  <c r="C56" i="83" s="1"/>
  <c r="C57" i="83" s="1"/>
  <c r="C58" i="83" s="1"/>
  <c r="C59" i="83" s="1"/>
  <c r="C60" i="83" s="1"/>
  <c r="C61" i="83" s="1"/>
  <c r="C62" i="83" s="1"/>
  <c r="C63" i="83" s="1"/>
  <c r="C64" i="83" s="1"/>
  <c r="C65" i="83" s="1"/>
  <c r="C66" i="83" s="1"/>
  <c r="C67" i="83" s="1"/>
  <c r="C68" i="83" s="1"/>
  <c r="C69" i="83" s="1"/>
  <c r="C70" i="83" s="1"/>
  <c r="C71" i="83" s="1"/>
  <c r="C72" i="83" s="1"/>
  <c r="C45" i="82"/>
  <c r="C46" i="82" s="1"/>
  <c r="C47" i="82" s="1"/>
  <c r="C48" i="82" s="1"/>
  <c r="C49" i="82" s="1"/>
  <c r="C50" i="82" s="1"/>
  <c r="C51" i="82" s="1"/>
  <c r="C52" i="82" s="1"/>
  <c r="C53" i="82" s="1"/>
  <c r="C54" i="82" s="1"/>
  <c r="C55" i="82" s="1"/>
  <c r="C56" i="82" s="1"/>
  <c r="C57" i="82" s="1"/>
  <c r="C58" i="82" s="1"/>
  <c r="C59" i="82" s="1"/>
  <c r="C60" i="82" s="1"/>
  <c r="C61" i="82" s="1"/>
  <c r="C62" i="82" s="1"/>
  <c r="C63" i="82" s="1"/>
  <c r="C64" i="82" s="1"/>
  <c r="C65" i="82" s="1"/>
  <c r="C66" i="82" s="1"/>
  <c r="C67" i="82" s="1"/>
  <c r="C68" i="82" s="1"/>
  <c r="C69" i="82" s="1"/>
  <c r="C70" i="82" s="1"/>
  <c r="C71" i="82" s="1"/>
  <c r="C72" i="82" s="1"/>
  <c r="C45" i="80"/>
  <c r="C46" i="80" s="1"/>
  <c r="C47" i="80" s="1"/>
  <c r="C48" i="80" s="1"/>
  <c r="C49" i="80" s="1"/>
  <c r="C50" i="80" s="1"/>
  <c r="C51" i="80" s="1"/>
  <c r="C52" i="80" s="1"/>
  <c r="C53" i="80" s="1"/>
  <c r="C54" i="80" s="1"/>
  <c r="C55" i="80" s="1"/>
  <c r="C56" i="80" s="1"/>
  <c r="C57" i="80" s="1"/>
  <c r="C58" i="80" s="1"/>
  <c r="C59" i="80" s="1"/>
  <c r="C60" i="80" s="1"/>
  <c r="C61" i="80" s="1"/>
  <c r="C62" i="80" s="1"/>
  <c r="C63" i="80" s="1"/>
  <c r="C64" i="80" s="1"/>
  <c r="C65" i="80" s="1"/>
  <c r="C66" i="80" s="1"/>
  <c r="C67" i="80" s="1"/>
  <c r="C68" i="80" s="1"/>
  <c r="C69" i="80" s="1"/>
  <c r="C70" i="80" s="1"/>
  <c r="C71" i="80" s="1"/>
  <c r="C72" i="80" s="1"/>
  <c r="B18" i="76"/>
  <c r="B100" i="74"/>
  <c r="P99" i="74"/>
  <c r="P102" i="74"/>
  <c r="P101" i="74"/>
  <c r="P100" i="73"/>
  <c r="P102" i="73"/>
  <c r="P103" i="73"/>
  <c r="P99" i="72"/>
  <c r="P100" i="72"/>
  <c r="P99" i="71"/>
  <c r="P101" i="71"/>
  <c r="P103" i="71"/>
  <c r="P105" i="71"/>
  <c r="P100" i="71"/>
  <c r="P102" i="71"/>
  <c r="P104" i="71"/>
  <c r="P101" i="70"/>
  <c r="P99" i="70"/>
  <c r="P105" i="70"/>
  <c r="P106" i="70"/>
  <c r="O25" i="70"/>
  <c r="B26" i="70"/>
  <c r="P106" i="69"/>
  <c r="B100" i="73"/>
  <c r="B101" i="74"/>
  <c r="B100" i="72"/>
  <c r="B100" i="71"/>
  <c r="B100" i="70"/>
  <c r="B101" i="73"/>
  <c r="J99" i="70"/>
  <c r="B102" i="74"/>
  <c r="B101" i="72"/>
  <c r="B101" i="71"/>
  <c r="B101" i="70"/>
  <c r="B102" i="73"/>
  <c r="J100" i="70"/>
  <c r="B103" i="74"/>
  <c r="B102" i="72"/>
  <c r="B102" i="71"/>
  <c r="B102" i="70"/>
  <c r="B103" i="73"/>
  <c r="J101" i="70"/>
  <c r="B103" i="70"/>
  <c r="B104" i="73"/>
  <c r="B103" i="71"/>
  <c r="J102" i="70"/>
  <c r="B104" i="70"/>
  <c r="B104" i="71"/>
  <c r="J103" i="70"/>
  <c r="B105" i="70"/>
  <c r="B105" i="71"/>
  <c r="J104" i="70"/>
  <c r="B106" i="70"/>
  <c r="B106" i="71"/>
  <c r="J105" i="70"/>
  <c r="B107" i="70"/>
  <c r="J106" i="70"/>
  <c r="B19" i="66"/>
  <c r="B105" i="19"/>
  <c r="B21" i="58"/>
  <c r="B107" i="69"/>
  <c r="B100" i="67"/>
  <c r="J99" i="67"/>
  <c r="N99" i="67"/>
  <c r="O99" i="67" s="1"/>
  <c r="L99" i="67"/>
  <c r="M99" i="67" s="1"/>
  <c r="P99" i="67" s="1"/>
  <c r="B102" i="60"/>
  <c r="B101" i="67"/>
  <c r="B104" i="74"/>
  <c r="B108" i="69"/>
  <c r="B101" i="68"/>
  <c r="B105" i="39"/>
  <c r="B100" i="76"/>
  <c r="B103" i="55"/>
  <c r="B100" i="79"/>
  <c r="B105" i="73"/>
  <c r="B106" i="17"/>
  <c r="B103" i="72"/>
  <c r="B107" i="32"/>
  <c r="B100" i="77"/>
  <c r="B100" i="78"/>
  <c r="B106" i="34"/>
  <c r="B103" i="58"/>
  <c r="B108" i="70"/>
  <c r="B101" i="66"/>
  <c r="B102" i="62"/>
  <c r="B109" i="28"/>
  <c r="B103" i="57"/>
  <c r="B106" i="19"/>
  <c r="B106" i="22"/>
  <c r="B102" i="64"/>
  <c r="B106" i="21"/>
  <c r="B107" i="23"/>
  <c r="B107" i="71"/>
  <c r="B102" i="59"/>
  <c r="B106" i="18"/>
  <c r="J103" i="45"/>
  <c r="J104" i="43"/>
  <c r="J102" i="56"/>
  <c r="J101" i="63"/>
  <c r="J103" i="74"/>
  <c r="J100" i="66"/>
  <c r="J104" i="39"/>
  <c r="J104" i="73"/>
  <c r="J101" i="64"/>
  <c r="J105" i="22"/>
  <c r="J101" i="60"/>
  <c r="J102" i="57"/>
  <c r="J99" i="76"/>
  <c r="J102" i="53"/>
  <c r="J100" i="68"/>
  <c r="J102" i="55"/>
  <c r="J102" i="72"/>
  <c r="L102" i="58"/>
  <c r="M102" i="58" s="1"/>
  <c r="J107" i="27"/>
  <c r="J106" i="23"/>
  <c r="J106" i="24"/>
  <c r="J101" i="59"/>
  <c r="J102" i="54"/>
  <c r="J107" i="69"/>
  <c r="J102" i="46"/>
  <c r="J105" i="17"/>
  <c r="N102" i="58"/>
  <c r="O102" i="58" s="1"/>
  <c r="J102" i="58"/>
  <c r="J100" i="65"/>
  <c r="J101" i="62"/>
  <c r="J105" i="19"/>
  <c r="J105" i="21"/>
  <c r="J105" i="18"/>
  <c r="J104" i="44"/>
  <c r="J106" i="32"/>
  <c r="J107" i="70"/>
  <c r="J100" i="67"/>
  <c r="J99" i="75"/>
  <c r="J105" i="20"/>
  <c r="J99" i="79"/>
  <c r="J106" i="31"/>
  <c r="J99" i="77"/>
  <c r="J104" i="42"/>
  <c r="J108" i="28"/>
  <c r="J99" i="78"/>
  <c r="J107" i="29"/>
  <c r="J104" i="41"/>
  <c r="J107" i="30"/>
  <c r="J105" i="3"/>
  <c r="J106" i="71"/>
  <c r="J106" i="34"/>
  <c r="B24" i="39"/>
  <c r="B18" i="83"/>
  <c r="B18" i="80"/>
  <c r="B24" i="41"/>
  <c r="B19" i="75"/>
  <c r="B26" i="31"/>
  <c r="B18" i="84"/>
  <c r="B25" i="21"/>
  <c r="B20" i="67"/>
  <c r="B26" i="34"/>
  <c r="B22" i="54"/>
  <c r="B22" i="72"/>
  <c r="B19" i="79"/>
  <c r="B25" i="20"/>
  <c r="B27" i="69"/>
  <c r="B18" i="82"/>
  <c r="B22" i="55"/>
  <c r="B21" i="63"/>
  <c r="B26" i="71"/>
  <c r="B27" i="29"/>
  <c r="B21" i="59"/>
  <c r="B24" i="43"/>
  <c r="B24" i="73"/>
  <c r="B23" i="74"/>
  <c r="B24" i="42"/>
  <c r="B20" i="66"/>
  <c r="I26" i="70"/>
  <c r="I21" i="46"/>
  <c r="I19" i="66"/>
  <c r="I23" i="44"/>
  <c r="I24" i="3"/>
  <c r="B21" i="60"/>
  <c r="I20" i="63"/>
  <c r="I21" i="56"/>
  <c r="I21" i="55"/>
  <c r="I24" i="19"/>
  <c r="I17" i="82"/>
  <c r="I26" i="69"/>
  <c r="I21" i="72"/>
  <c r="I24" i="22"/>
  <c r="I25" i="32"/>
  <c r="B26" i="24"/>
  <c r="I19" i="67"/>
  <c r="I24" i="21"/>
  <c r="I21" i="53"/>
  <c r="B28" i="28"/>
  <c r="B21" i="62"/>
  <c r="I21" i="58"/>
  <c r="I17" i="83"/>
  <c r="I23" i="39"/>
  <c r="I18" i="77"/>
  <c r="I26" i="27"/>
  <c r="I23" i="43"/>
  <c r="I25" i="71"/>
  <c r="I21" i="57"/>
  <c r="I25" i="23"/>
  <c r="I22" i="45"/>
  <c r="I17" i="84"/>
  <c r="I25" i="31"/>
  <c r="B22" i="53"/>
  <c r="B27" i="30"/>
  <c r="B27" i="70"/>
  <c r="M22" i="74"/>
  <c r="N22" i="74" s="1"/>
  <c r="I22" i="74"/>
  <c r="I20" i="59"/>
  <c r="I20" i="60"/>
  <c r="B22" i="46"/>
  <c r="I23" i="42"/>
  <c r="K22" i="74"/>
  <c r="L22" i="74" s="1"/>
  <c r="I23" i="73"/>
  <c r="B25" i="3"/>
  <c r="I26" i="29"/>
  <c r="B22" i="57"/>
  <c r="I24" i="20"/>
  <c r="I18" i="79"/>
  <c r="B19" i="78"/>
  <c r="B20" i="68"/>
  <c r="I18" i="76"/>
  <c r="B26" i="23"/>
  <c r="I21" i="54"/>
  <c r="I25" i="24"/>
  <c r="I24" i="18"/>
  <c r="I23" i="41"/>
  <c r="I27" i="28"/>
  <c r="I20" i="62"/>
  <c r="I20" i="64"/>
  <c r="B22" i="58"/>
  <c r="I19" i="65"/>
  <c r="I17" i="80"/>
  <c r="B19" i="77"/>
  <c r="I26" i="30"/>
  <c r="B27" i="27"/>
  <c r="I18" i="78"/>
  <c r="I19" i="68"/>
  <c r="I25" i="34"/>
  <c r="B25" i="18"/>
  <c r="B23" i="45"/>
  <c r="I18" i="75"/>
  <c r="I17" i="81"/>
  <c r="I24" i="17"/>
  <c r="B25" i="17"/>
  <c r="O17" i="81"/>
  <c r="P106" i="71"/>
  <c r="P107" i="69"/>
  <c r="B21" i="64"/>
  <c r="B102" i="63"/>
  <c r="B22" i="56"/>
  <c r="P101" i="53"/>
  <c r="B26" i="32"/>
  <c r="B106" i="3"/>
  <c r="B103" i="46"/>
  <c r="B108" i="29"/>
  <c r="B108" i="27"/>
  <c r="B107" i="24"/>
  <c r="B106" i="20"/>
  <c r="B18" i="81"/>
  <c r="B19" i="76"/>
  <c r="B20" i="65"/>
  <c r="B24" i="44"/>
  <c r="B25" i="19"/>
  <c r="O17" i="82"/>
  <c r="P99" i="79"/>
  <c r="P99" i="75"/>
  <c r="O23" i="44"/>
  <c r="O27" i="28"/>
  <c r="B25" i="22"/>
  <c r="O17" i="85"/>
  <c r="C45" i="13"/>
  <c r="C46" i="13"/>
  <c r="C47" i="13" s="1"/>
  <c r="C48" i="13" s="1"/>
  <c r="C49" i="13" s="1"/>
  <c r="C50" i="13" s="1"/>
  <c r="C51" i="13" s="1"/>
  <c r="C52" i="13" s="1"/>
  <c r="C53" i="13" s="1"/>
  <c r="C54" i="13" s="1"/>
  <c r="C55" i="13" s="1"/>
  <c r="C56" i="13" s="1"/>
  <c r="C57" i="13" s="1"/>
  <c r="C58" i="13" s="1"/>
  <c r="C59" i="13" s="1"/>
  <c r="C60" i="13" s="1"/>
  <c r="C61" i="13" s="1"/>
  <c r="C62" i="13" s="1"/>
  <c r="C63" i="13" s="1"/>
  <c r="C64" i="13" s="1"/>
  <c r="C65" i="13" s="1"/>
  <c r="C66" i="13" s="1"/>
  <c r="C67" i="13" s="1"/>
  <c r="C68" i="13" s="1"/>
  <c r="C69" i="13" s="1"/>
  <c r="C70" i="13" s="1"/>
  <c r="C71" i="13" s="1"/>
  <c r="C72" i="13" s="1"/>
  <c r="B18" i="85"/>
  <c r="I12" i="88"/>
  <c r="I13" i="88" s="1"/>
  <c r="I12" i="62"/>
  <c r="I13" i="62" s="1"/>
  <c r="I12" i="77"/>
  <c r="I13" i="77" s="1"/>
  <c r="I10" i="83"/>
  <c r="B104" i="45"/>
  <c r="B105" i="44"/>
  <c r="B105" i="43"/>
  <c r="B103" i="53"/>
  <c r="B107" i="31"/>
  <c r="B22" i="63"/>
  <c r="B22" i="61"/>
  <c r="B20" i="79"/>
  <c r="I27" i="29"/>
  <c r="I23" i="45"/>
  <c r="I21" i="63"/>
  <c r="B28" i="29"/>
  <c r="I18" i="83"/>
  <c r="I21" i="61"/>
  <c r="B19" i="83"/>
  <c r="I25" i="18"/>
  <c r="I25" i="20"/>
  <c r="I22" i="58"/>
  <c r="I19" i="79"/>
  <c r="B26" i="19"/>
  <c r="B22" i="62"/>
  <c r="B25" i="43"/>
  <c r="I25" i="19"/>
  <c r="I17" i="88"/>
  <c r="I24" i="43"/>
  <c r="I21" i="62"/>
  <c r="B27" i="23"/>
  <c r="B101" i="65"/>
  <c r="B101" i="79"/>
  <c r="B107" i="21"/>
  <c r="B107" i="34"/>
  <c r="B102" i="68"/>
  <c r="B107" i="22"/>
  <c r="B101" i="78"/>
  <c r="B109" i="27"/>
  <c r="B110" i="28"/>
  <c r="B104" i="46"/>
  <c r="J103" i="53"/>
  <c r="B109" i="69"/>
  <c r="B107" i="19"/>
  <c r="B103" i="62"/>
  <c r="B104" i="72"/>
  <c r="B101" i="76"/>
  <c r="B107" i="18"/>
  <c r="B107" i="17"/>
  <c r="B107" i="3"/>
  <c r="B108" i="23"/>
  <c r="B103" i="59"/>
  <c r="B101" i="77"/>
  <c r="B108" i="24"/>
  <c r="B26" i="22"/>
  <c r="B23" i="56"/>
  <c r="B22" i="60"/>
  <c r="B27" i="32"/>
  <c r="B18" i="86"/>
  <c r="B19" i="81"/>
  <c r="B22" i="64"/>
  <c r="B25" i="73"/>
  <c r="B25" i="39"/>
  <c r="B19" i="85"/>
  <c r="B23" i="53"/>
  <c r="B23" i="54"/>
  <c r="I26" i="23"/>
  <c r="I18" i="82"/>
  <c r="I17" i="90"/>
  <c r="B18" i="87"/>
  <c r="B20" i="76"/>
  <c r="B25" i="41"/>
  <c r="B27" i="34"/>
  <c r="B20" i="78"/>
  <c r="B28" i="69"/>
  <c r="B28" i="30"/>
  <c r="B108" i="32"/>
  <c r="B109" i="70"/>
  <c r="B103" i="63"/>
  <c r="B109" i="29"/>
  <c r="B107" i="20"/>
  <c r="B102" i="67"/>
  <c r="B108" i="71"/>
  <c r="B104" i="57"/>
  <c r="B101" i="75"/>
  <c r="B103" i="60"/>
  <c r="B106" i="73"/>
  <c r="B104" i="55"/>
  <c r="I27" i="69"/>
  <c r="I22" i="57"/>
  <c r="I21" i="59"/>
  <c r="I20" i="67"/>
  <c r="B28" i="70"/>
  <c r="I24" i="41"/>
  <c r="B28" i="27"/>
  <c r="B20" i="75"/>
  <c r="I26" i="31"/>
  <c r="I22" i="53"/>
  <c r="B27" i="71"/>
  <c r="I20" i="66"/>
  <c r="B26" i="21"/>
  <c r="I21" i="64"/>
  <c r="I22" i="56"/>
  <c r="I25" i="22"/>
  <c r="B21" i="68"/>
  <c r="I26" i="34"/>
  <c r="I19" i="76"/>
  <c r="I27" i="27"/>
  <c r="I17" i="87"/>
  <c r="B23" i="72"/>
  <c r="B25" i="44"/>
  <c r="I23" i="74"/>
  <c r="I22" i="46"/>
  <c r="I18" i="85"/>
  <c r="I24" i="73"/>
  <c r="I25" i="21"/>
  <c r="I18" i="80"/>
  <c r="I18" i="81"/>
  <c r="I24" i="42"/>
  <c r="I19" i="77"/>
  <c r="I28" i="28"/>
  <c r="I19" i="78"/>
  <c r="B22" i="59"/>
  <c r="I20" i="68"/>
  <c r="I20" i="65"/>
  <c r="I27" i="70"/>
  <c r="I17" i="92"/>
  <c r="I26" i="24"/>
  <c r="I22" i="54"/>
  <c r="I26" i="71"/>
  <c r="B26" i="3"/>
  <c r="I24" i="39"/>
  <c r="I26" i="32"/>
  <c r="I21" i="60"/>
  <c r="I27" i="30"/>
  <c r="B21" i="67"/>
  <c r="I22" i="72"/>
  <c r="I24" i="44"/>
  <c r="I19" i="75"/>
  <c r="B24" i="74"/>
  <c r="I25" i="3"/>
  <c r="B25" i="42"/>
  <c r="I17" i="86"/>
  <c r="I22" i="55"/>
  <c r="J107" i="71"/>
  <c r="J107" i="32"/>
  <c r="J103" i="72"/>
  <c r="J106" i="3"/>
  <c r="J108" i="29"/>
  <c r="J106" i="17"/>
  <c r="J106" i="21"/>
  <c r="J109" i="28"/>
  <c r="J103" i="46"/>
  <c r="J102" i="59"/>
  <c r="J101" i="67"/>
  <c r="J101" i="66"/>
  <c r="J107" i="24"/>
  <c r="J108" i="69"/>
  <c r="J104" i="74"/>
  <c r="J103" i="57"/>
  <c r="J100" i="75"/>
  <c r="J102" i="62"/>
  <c r="J100" i="76"/>
  <c r="J108" i="27"/>
  <c r="J105" i="73"/>
  <c r="J106" i="20"/>
  <c r="J102" i="61"/>
  <c r="J103" i="55"/>
  <c r="J102" i="63"/>
  <c r="J106" i="22"/>
  <c r="J106" i="18"/>
  <c r="J101" i="68"/>
  <c r="J100" i="78"/>
  <c r="J105" i="39"/>
  <c r="J102" i="64"/>
  <c r="J107" i="23"/>
  <c r="J106" i="19"/>
  <c r="J100" i="77"/>
  <c r="J100" i="79"/>
  <c r="J108" i="70"/>
  <c r="J103" i="58"/>
  <c r="J102" i="60"/>
  <c r="I25" i="17"/>
  <c r="B26" i="17"/>
  <c r="J107" i="34"/>
  <c r="C45" i="96"/>
  <c r="C46" i="96" s="1"/>
  <c r="C47" i="96" s="1"/>
  <c r="C48" i="96" s="1"/>
  <c r="C49" i="96" s="1"/>
  <c r="C50" i="96" s="1"/>
  <c r="C51" i="96" s="1"/>
  <c r="C52" i="96" s="1"/>
  <c r="C53" i="96" s="1"/>
  <c r="C54" i="96" s="1"/>
  <c r="C55" i="96" s="1"/>
  <c r="C56" i="96" s="1"/>
  <c r="C57" i="96" s="1"/>
  <c r="C58" i="96" s="1"/>
  <c r="C59" i="96" s="1"/>
  <c r="C60" i="96" s="1"/>
  <c r="C61" i="96" s="1"/>
  <c r="C62" i="96" s="1"/>
  <c r="C63" i="96" s="1"/>
  <c r="C64" i="96" s="1"/>
  <c r="C65" i="96" s="1"/>
  <c r="C66" i="96" s="1"/>
  <c r="C67" i="96" s="1"/>
  <c r="C68" i="96" s="1"/>
  <c r="C69" i="96" s="1"/>
  <c r="C70" i="96" s="1"/>
  <c r="C71" i="96" s="1"/>
  <c r="C72" i="96" s="1"/>
  <c r="C45" i="95"/>
  <c r="C46" i="95" s="1"/>
  <c r="C47" i="95" s="1"/>
  <c r="C48" i="95" s="1"/>
  <c r="C49" i="95" s="1"/>
  <c r="C50" i="95" s="1"/>
  <c r="C51" i="95" s="1"/>
  <c r="C52" i="95" s="1"/>
  <c r="C53" i="95" s="1"/>
  <c r="C54" i="95" s="1"/>
  <c r="C55" i="95" s="1"/>
  <c r="C56" i="95" s="1"/>
  <c r="C57" i="95" s="1"/>
  <c r="C58" i="95" s="1"/>
  <c r="C59" i="95" s="1"/>
  <c r="C60" i="95" s="1"/>
  <c r="C61" i="95" s="1"/>
  <c r="C62" i="95" s="1"/>
  <c r="C63" i="95" s="1"/>
  <c r="C64" i="95" s="1"/>
  <c r="C65" i="95" s="1"/>
  <c r="C66" i="95" s="1"/>
  <c r="C67" i="95" s="1"/>
  <c r="C68" i="95" s="1"/>
  <c r="C69" i="95" s="1"/>
  <c r="C70" i="95" s="1"/>
  <c r="C71" i="95" s="1"/>
  <c r="C72" i="95" s="1"/>
  <c r="C45" i="93"/>
  <c r="C46" i="93" s="1"/>
  <c r="C47" i="93" s="1"/>
  <c r="C48" i="93" s="1"/>
  <c r="C49" i="93" s="1"/>
  <c r="C50" i="93" s="1"/>
  <c r="C51" i="93" s="1"/>
  <c r="C52" i="93" s="1"/>
  <c r="C53" i="93" s="1"/>
  <c r="C54" i="93" s="1"/>
  <c r="C55" i="93" s="1"/>
  <c r="C56" i="93" s="1"/>
  <c r="C57" i="93" s="1"/>
  <c r="C58" i="93" s="1"/>
  <c r="C59" i="93" s="1"/>
  <c r="C60" i="93" s="1"/>
  <c r="C61" i="93" s="1"/>
  <c r="C62" i="93" s="1"/>
  <c r="C63" i="93" s="1"/>
  <c r="C64" i="93" s="1"/>
  <c r="C65" i="93" s="1"/>
  <c r="C66" i="93" s="1"/>
  <c r="C67" i="93" s="1"/>
  <c r="C68" i="93" s="1"/>
  <c r="C69" i="93" s="1"/>
  <c r="C70" i="93" s="1"/>
  <c r="C71" i="93" s="1"/>
  <c r="C72" i="93" s="1"/>
  <c r="O17" i="92"/>
  <c r="B18" i="92"/>
  <c r="B18" i="91"/>
  <c r="O17" i="88"/>
  <c r="B18" i="88"/>
  <c r="O17" i="87"/>
  <c r="O18" i="85"/>
  <c r="B19" i="82"/>
  <c r="P99" i="81"/>
  <c r="B19" i="80"/>
  <c r="P100" i="79"/>
  <c r="P100" i="78"/>
  <c r="P100" i="77"/>
  <c r="B20" i="77"/>
  <c r="P100" i="75"/>
  <c r="B105" i="74"/>
  <c r="B102" i="66"/>
  <c r="B21" i="66"/>
  <c r="B21" i="65"/>
  <c r="B103" i="64"/>
  <c r="B103" i="61"/>
  <c r="B104" i="58"/>
  <c r="B23" i="58"/>
  <c r="B23" i="57"/>
  <c r="B23" i="55"/>
  <c r="P102" i="46"/>
  <c r="P103" i="46"/>
  <c r="B23" i="46"/>
  <c r="B24" i="45"/>
  <c r="B106" i="39"/>
  <c r="B27" i="31"/>
  <c r="B29" i="28"/>
  <c r="B27" i="24"/>
  <c r="B26" i="20"/>
  <c r="B26" i="18"/>
  <c r="P106" i="3"/>
  <c r="B100" i="80"/>
  <c r="B100" i="81"/>
  <c r="J99" i="85"/>
  <c r="B105" i="41"/>
  <c r="B104" i="56"/>
  <c r="I17" i="91"/>
  <c r="I17" i="89"/>
  <c r="B18" i="89"/>
  <c r="I18" i="84"/>
  <c r="B103" i="56"/>
  <c r="B108" i="30"/>
  <c r="B100" i="82"/>
  <c r="J99" i="80"/>
  <c r="J105" i="43"/>
  <c r="B103" i="54"/>
  <c r="B105" i="42"/>
  <c r="J104" i="45"/>
  <c r="J101" i="65"/>
  <c r="J99" i="81"/>
  <c r="J105" i="41"/>
  <c r="J99" i="82"/>
  <c r="J105" i="44"/>
  <c r="J107" i="31"/>
  <c r="B100" i="83"/>
  <c r="J99" i="83"/>
  <c r="J105" i="42"/>
  <c r="J108" i="30"/>
  <c r="J103" i="54"/>
  <c r="J103" i="56"/>
  <c r="B106" i="43"/>
  <c r="P100" i="82"/>
  <c r="B104" i="54"/>
  <c r="P99" i="91"/>
  <c r="B100" i="85"/>
  <c r="B106" i="41"/>
  <c r="C99" i="96"/>
  <c r="B101" i="85"/>
  <c r="B109" i="30"/>
  <c r="O21" i="86"/>
  <c r="B102" i="65"/>
  <c r="B104" i="61"/>
  <c r="B106" i="42"/>
  <c r="B108" i="31"/>
  <c r="B105" i="45"/>
  <c r="B102" i="76"/>
  <c r="J100" i="81"/>
  <c r="J107" i="22"/>
  <c r="B111" i="28"/>
  <c r="B108" i="22"/>
  <c r="B101" i="81"/>
  <c r="B104" i="59"/>
  <c r="J106" i="39"/>
  <c r="J100" i="83"/>
  <c r="J110" i="28"/>
  <c r="J108" i="32"/>
  <c r="J103" i="63"/>
  <c r="B102" i="77"/>
  <c r="J101" i="77"/>
  <c r="L17" i="91"/>
  <c r="O17" i="91" s="1"/>
  <c r="B18" i="90"/>
  <c r="O17" i="90"/>
  <c r="O19" i="90"/>
  <c r="O17" i="89"/>
  <c r="B19" i="84"/>
  <c r="B108" i="17"/>
  <c r="B104" i="62"/>
  <c r="J106" i="42"/>
  <c r="B100" i="90"/>
  <c r="B105" i="57"/>
  <c r="J103" i="59"/>
  <c r="B100" i="86"/>
  <c r="J92" i="92"/>
  <c r="J92" i="18"/>
  <c r="M87" i="18" s="1"/>
  <c r="J92" i="91"/>
  <c r="M87" i="91" s="1"/>
  <c r="J92" i="72"/>
  <c r="N87" i="72" s="1"/>
  <c r="J92" i="73"/>
  <c r="M87" i="73" s="1"/>
  <c r="J92" i="30"/>
  <c r="J92" i="80"/>
  <c r="L86" i="80" s="1"/>
  <c r="A4" i="2"/>
  <c r="J92" i="42"/>
  <c r="B104" i="64"/>
  <c r="B105" i="46"/>
  <c r="B100" i="89"/>
  <c r="J100" i="80"/>
  <c r="J108" i="24"/>
  <c r="J107" i="20"/>
  <c r="J103" i="61"/>
  <c r="J100" i="85"/>
  <c r="J102" i="66"/>
  <c r="J105" i="74"/>
  <c r="B109" i="24"/>
  <c r="B100" i="91"/>
  <c r="B108" i="20"/>
  <c r="B103" i="66"/>
  <c r="B101" i="80"/>
  <c r="J101" i="76"/>
  <c r="B100" i="88"/>
  <c r="J104" i="57"/>
  <c r="B108" i="3"/>
  <c r="J104" i="46"/>
  <c r="B108" i="34"/>
  <c r="J107" i="17"/>
  <c r="B102" i="75"/>
  <c r="J99" i="86"/>
  <c r="J103" i="64"/>
  <c r="J99" i="90"/>
  <c r="J99" i="88"/>
  <c r="J103" i="62"/>
  <c r="B107" i="73"/>
  <c r="J99" i="91"/>
  <c r="J104" i="58"/>
  <c r="B20" i="80"/>
  <c r="I25" i="39"/>
  <c r="B21" i="76"/>
  <c r="I19" i="85"/>
  <c r="B20" i="85"/>
  <c r="I25" i="44"/>
  <c r="B29" i="27"/>
  <c r="B19" i="86"/>
  <c r="B29" i="70"/>
  <c r="B27" i="18"/>
  <c r="B29" i="30"/>
  <c r="I18" i="92"/>
  <c r="I19" i="84"/>
  <c r="B24" i="54"/>
  <c r="B24" i="55"/>
  <c r="J109" i="30"/>
  <c r="B23" i="61"/>
  <c r="B18" i="94"/>
  <c r="J99" i="89"/>
  <c r="B25" i="74"/>
  <c r="B26" i="73"/>
  <c r="I25" i="73"/>
  <c r="I17" i="95"/>
  <c r="B109" i="23"/>
  <c r="B110" i="69"/>
  <c r="B108" i="21"/>
  <c r="B110" i="29"/>
  <c r="I17" i="94"/>
  <c r="B27" i="19"/>
  <c r="I28" i="69"/>
  <c r="I26" i="21"/>
  <c r="I19" i="83"/>
  <c r="I23" i="56"/>
  <c r="I22" i="63"/>
  <c r="I23" i="58"/>
  <c r="I26" i="20"/>
  <c r="B28" i="31"/>
  <c r="B29" i="69"/>
  <c r="I22" i="61"/>
  <c r="I21" i="65"/>
  <c r="I21" i="66"/>
  <c r="I26" i="18"/>
  <c r="B24" i="56"/>
  <c r="I19" i="80"/>
  <c r="I24" i="74"/>
  <c r="B26" i="42"/>
  <c r="I23" i="54"/>
  <c r="B27" i="22"/>
  <c r="I18" i="86"/>
  <c r="I27" i="31"/>
  <c r="I26" i="19"/>
  <c r="I28" i="30"/>
  <c r="I28" i="70"/>
  <c r="I28" i="27"/>
  <c r="I21" i="68"/>
  <c r="B27" i="3"/>
  <c r="I20" i="75"/>
  <c r="J107" i="19"/>
  <c r="J107" i="3"/>
  <c r="J104" i="56"/>
  <c r="J107" i="21"/>
  <c r="J109" i="69"/>
  <c r="J109" i="27"/>
  <c r="J106" i="73"/>
  <c r="J106" i="43"/>
  <c r="J103" i="60"/>
  <c r="J101" i="75"/>
  <c r="J109" i="29"/>
  <c r="J108" i="23"/>
  <c r="J104" i="72"/>
  <c r="J102" i="67"/>
  <c r="I25" i="42"/>
  <c r="I27" i="34"/>
  <c r="I26" i="3"/>
  <c r="I20" i="76"/>
  <c r="I18" i="90"/>
  <c r="B20" i="81"/>
  <c r="B22" i="65"/>
  <c r="I23" i="55"/>
  <c r="J108" i="31"/>
  <c r="I26" i="22"/>
  <c r="B102" i="78"/>
  <c r="B108" i="18"/>
  <c r="B100" i="92"/>
  <c r="P103" i="24"/>
  <c r="O20" i="28"/>
  <c r="P103" i="29"/>
  <c r="O21" i="29"/>
  <c r="P102" i="31"/>
  <c r="P101" i="34"/>
  <c r="O23" i="27"/>
  <c r="O20" i="42"/>
  <c r="O24" i="29"/>
  <c r="P104" i="32"/>
  <c r="O22" i="67"/>
  <c r="P103" i="19"/>
  <c r="O21" i="39"/>
  <c r="P99" i="61"/>
  <c r="P101" i="61"/>
  <c r="O17" i="79"/>
  <c r="O25" i="29"/>
  <c r="P100" i="64"/>
  <c r="O17" i="78"/>
  <c r="O25" i="27"/>
  <c r="P99" i="66"/>
  <c r="P100" i="83"/>
  <c r="P107" i="29"/>
  <c r="P106" i="34"/>
  <c r="P105" i="3"/>
  <c r="P104" i="39"/>
  <c r="P102" i="54"/>
  <c r="P101" i="64"/>
  <c r="O19" i="67"/>
  <c r="O26" i="69"/>
  <c r="P100" i="67"/>
  <c r="P106" i="18"/>
  <c r="O22" i="57"/>
  <c r="P105" i="44"/>
  <c r="P106" i="22"/>
  <c r="P108" i="29"/>
  <c r="P105" i="39"/>
  <c r="P103" i="53"/>
  <c r="P103" i="57"/>
  <c r="P102" i="59"/>
  <c r="P101" i="65"/>
  <c r="O20" i="67"/>
  <c r="P101" i="67"/>
  <c r="P108" i="69"/>
  <c r="P107" i="71"/>
  <c r="I19" i="81"/>
  <c r="J100" i="82"/>
  <c r="J108" i="34"/>
  <c r="B105" i="55"/>
  <c r="B109" i="71"/>
  <c r="I22" i="60"/>
  <c r="J104" i="54"/>
  <c r="B100" i="87"/>
  <c r="B104" i="53"/>
  <c r="B106" i="44"/>
  <c r="J107" i="18"/>
  <c r="J102" i="65"/>
  <c r="J101" i="79"/>
  <c r="J101" i="78"/>
  <c r="J108" i="71"/>
  <c r="J104" i="55"/>
  <c r="J99" i="92"/>
  <c r="B22" i="67"/>
  <c r="J105" i="45"/>
  <c r="J106" i="41"/>
  <c r="B103" i="68"/>
  <c r="B24" i="53"/>
  <c r="B21" i="77"/>
  <c r="B28" i="71"/>
  <c r="B26" i="43"/>
  <c r="B19" i="87"/>
  <c r="B29" i="29"/>
  <c r="B30" i="28"/>
  <c r="I21" i="67"/>
  <c r="B23" i="64"/>
  <c r="B26" i="41"/>
  <c r="B19" i="91"/>
  <c r="B110" i="70"/>
  <c r="B100" i="84"/>
  <c r="B24" i="46"/>
  <c r="B28" i="23"/>
  <c r="J99" i="87"/>
  <c r="J99" i="84"/>
  <c r="B24" i="72"/>
  <c r="I27" i="24"/>
  <c r="I23" i="53"/>
  <c r="B21" i="79"/>
  <c r="I23" i="46"/>
  <c r="I20" i="78"/>
  <c r="I23" i="57"/>
  <c r="I24" i="45"/>
  <c r="I28" i="29"/>
  <c r="I18" i="87"/>
  <c r="I27" i="71"/>
  <c r="I18" i="89"/>
  <c r="I17" i="96"/>
  <c r="I27" i="23"/>
  <c r="I17" i="93"/>
  <c r="B21" i="78"/>
  <c r="B28" i="32"/>
  <c r="I18" i="91"/>
  <c r="I19" i="82"/>
  <c r="I25" i="41"/>
  <c r="J102" i="68"/>
  <c r="B24" i="57"/>
  <c r="I22" i="59"/>
  <c r="I23" i="72"/>
  <c r="B25" i="45"/>
  <c r="I20" i="77"/>
  <c r="I18" i="88"/>
  <c r="B27" i="17"/>
  <c r="I27" i="32"/>
  <c r="I22" i="64"/>
  <c r="J109" i="70"/>
  <c r="B23" i="59"/>
  <c r="I29" i="28"/>
  <c r="I22" i="62"/>
  <c r="I25" i="43"/>
  <c r="B19" i="89"/>
  <c r="I20" i="79"/>
  <c r="J106" i="44"/>
  <c r="I26" i="17"/>
  <c r="J104" i="53"/>
  <c r="O22" i="65"/>
  <c r="O19" i="92"/>
  <c r="O17" i="96"/>
  <c r="B18" i="93"/>
  <c r="P99" i="92"/>
  <c r="P99" i="90"/>
  <c r="P99" i="89"/>
  <c r="O19" i="88"/>
  <c r="P99" i="88"/>
  <c r="P99" i="86"/>
  <c r="P100" i="85"/>
  <c r="B101" i="83"/>
  <c r="O20" i="83"/>
  <c r="B20" i="83"/>
  <c r="B101" i="82"/>
  <c r="B20" i="82"/>
  <c r="P100" i="80"/>
  <c r="B102" i="79"/>
  <c r="B21" i="75"/>
  <c r="B106" i="74"/>
  <c r="B105" i="72"/>
  <c r="O29" i="69"/>
  <c r="B22" i="68"/>
  <c r="B103" i="67"/>
  <c r="O24" i="67"/>
  <c r="B22" i="66"/>
  <c r="B104" i="60"/>
  <c r="B23" i="60"/>
  <c r="B23" i="62"/>
  <c r="B104" i="63"/>
  <c r="B23" i="63"/>
  <c r="B105" i="58"/>
  <c r="B25" i="58"/>
  <c r="B24" i="58"/>
  <c r="B26" i="44"/>
  <c r="B107" i="39"/>
  <c r="B26" i="39"/>
  <c r="B28" i="34"/>
  <c r="B109" i="32"/>
  <c r="B110" i="27"/>
  <c r="B28" i="24"/>
  <c r="P107" i="22"/>
  <c r="B27" i="21"/>
  <c r="B27" i="20"/>
  <c r="B108" i="19"/>
  <c r="B23" i="66"/>
  <c r="B18" i="96"/>
  <c r="B18" i="95"/>
  <c r="B19" i="90"/>
  <c r="B20" i="88"/>
  <c r="B19" i="88"/>
  <c r="O20" i="80"/>
  <c r="B20" i="90"/>
  <c r="E103" i="36"/>
  <c r="N103" i="36"/>
  <c r="F103" i="36"/>
  <c r="C103" i="36"/>
  <c r="O103" i="36"/>
  <c r="D103" i="36"/>
  <c r="P99" i="84" l="1"/>
  <c r="P102" i="62"/>
  <c r="P103" i="63"/>
  <c r="P103" i="58"/>
  <c r="P103" i="45"/>
  <c r="P102" i="42"/>
  <c r="P102" i="39"/>
  <c r="P108" i="34"/>
  <c r="P99" i="31"/>
  <c r="P108" i="31"/>
  <c r="P100" i="31"/>
  <c r="P100" i="30"/>
  <c r="P107" i="20"/>
  <c r="P100" i="19"/>
  <c r="P101" i="19"/>
  <c r="P105" i="18"/>
  <c r="P102" i="18"/>
  <c r="P103" i="17"/>
  <c r="P103" i="3"/>
  <c r="I12" i="91"/>
  <c r="I13" i="91" s="1"/>
  <c r="I12" i="100"/>
  <c r="I10" i="18"/>
  <c r="I10" i="100"/>
  <c r="O28" i="96"/>
  <c r="O67" i="89"/>
  <c r="O60" i="67"/>
  <c r="P102" i="58"/>
  <c r="O17" i="70"/>
  <c r="P99" i="28"/>
  <c r="P100" i="60"/>
  <c r="P101" i="28"/>
  <c r="O19" i="34"/>
  <c r="P102" i="17"/>
  <c r="P100" i="22"/>
  <c r="P100" i="23"/>
  <c r="P101" i="30"/>
  <c r="P105" i="29"/>
  <c r="P103" i="70"/>
  <c r="P107" i="30"/>
  <c r="P104" i="44"/>
  <c r="P102" i="56"/>
  <c r="O20" i="59"/>
  <c r="O17" i="83"/>
  <c r="O21" i="59"/>
  <c r="O27" i="69"/>
  <c r="P101" i="76"/>
  <c r="P101" i="78"/>
  <c r="P100" i="18"/>
  <c r="P99" i="20"/>
  <c r="O21" i="24"/>
  <c r="P101" i="27"/>
  <c r="O20" i="27"/>
  <c r="O21" i="17"/>
  <c r="O21" i="21"/>
  <c r="O17" i="63"/>
  <c r="O17" i="59"/>
  <c r="P99" i="59"/>
  <c r="O17" i="65"/>
  <c r="P100" i="70"/>
  <c r="P100" i="74"/>
  <c r="O23" i="19"/>
  <c r="O26" i="28"/>
  <c r="O24" i="32"/>
  <c r="P103" i="42"/>
  <c r="P101" i="55"/>
  <c r="P101" i="56"/>
  <c r="P100" i="62"/>
  <c r="O19" i="64"/>
  <c r="O17" i="77"/>
  <c r="P105" i="20"/>
  <c r="P107" i="3"/>
  <c r="P101" i="79"/>
  <c r="P99" i="3"/>
  <c r="O17" i="3"/>
  <c r="P100" i="17"/>
  <c r="P99" i="19"/>
  <c r="O21" i="23"/>
  <c r="O17" i="23"/>
  <c r="P99" i="24"/>
  <c r="P99" i="27"/>
  <c r="O17" i="27"/>
  <c r="P99" i="32"/>
  <c r="P99" i="35"/>
  <c r="R12" i="36"/>
  <c r="T12" i="36" s="1"/>
  <c r="F17" i="26"/>
  <c r="D18" i="26" s="1"/>
  <c r="B18" i="26" s="1"/>
  <c r="O18" i="39"/>
  <c r="P102" i="27"/>
  <c r="P102" i="29"/>
  <c r="P99" i="41"/>
  <c r="P99" i="43"/>
  <c r="P99" i="53"/>
  <c r="P103" i="18"/>
  <c r="P102" i="69"/>
  <c r="O22" i="41"/>
  <c r="O20" i="55"/>
  <c r="P108" i="32"/>
  <c r="P106" i="73"/>
  <c r="O21" i="60"/>
  <c r="O19" i="76"/>
  <c r="P100" i="76"/>
  <c r="P103" i="59"/>
  <c r="P103" i="61"/>
  <c r="P101" i="75"/>
  <c r="O66" i="67"/>
  <c r="P100" i="24"/>
  <c r="P103" i="27"/>
  <c r="P101" i="31"/>
  <c r="P104" i="23"/>
  <c r="O17" i="64"/>
  <c r="O22" i="70"/>
  <c r="O20" i="73"/>
  <c r="O19" i="73"/>
  <c r="O18" i="72"/>
  <c r="O17" i="17"/>
  <c r="O17" i="22"/>
  <c r="P101" i="23"/>
  <c r="P101" i="24"/>
  <c r="P101" i="29"/>
  <c r="O21" i="34"/>
  <c r="P105" i="27"/>
  <c r="O21" i="71"/>
  <c r="O20" i="74"/>
  <c r="P99" i="17"/>
  <c r="O18" i="17"/>
  <c r="P99" i="18"/>
  <c r="O17" i="19"/>
  <c r="P100" i="21"/>
  <c r="O17" i="21"/>
  <c r="O18" i="22"/>
  <c r="P102" i="24"/>
  <c r="O17" i="24"/>
  <c r="O21" i="28"/>
  <c r="O19" i="28"/>
  <c r="O21" i="31"/>
  <c r="O20" i="21"/>
  <c r="P104" i="28"/>
  <c r="O18" i="29"/>
  <c r="P100" i="35"/>
  <c r="O20" i="35"/>
  <c r="O17" i="35"/>
  <c r="O17" i="43"/>
  <c r="O17" i="46"/>
  <c r="O21" i="20"/>
  <c r="O17" i="62"/>
  <c r="O17" i="61"/>
  <c r="O18" i="58"/>
  <c r="O18" i="56"/>
  <c r="O22" i="3"/>
  <c r="O23" i="23"/>
  <c r="P105" i="30"/>
  <c r="P102" i="44"/>
  <c r="P100" i="54"/>
  <c r="P105" i="21"/>
  <c r="P102" i="66"/>
  <c r="P102" i="68"/>
  <c r="P100" i="81"/>
  <c r="O22" i="27"/>
  <c r="O18" i="27"/>
  <c r="P105" i="28"/>
  <c r="O20" i="30"/>
  <c r="O18" i="30"/>
  <c r="P100" i="34"/>
  <c r="O18" i="35"/>
  <c r="P101" i="39"/>
  <c r="P101" i="42"/>
  <c r="O17" i="45"/>
  <c r="O20" i="34"/>
  <c r="P99" i="42"/>
  <c r="P99" i="55"/>
  <c r="P102" i="32"/>
  <c r="P100" i="43"/>
  <c r="O21" i="3"/>
  <c r="O21" i="18"/>
  <c r="O20" i="39"/>
  <c r="O23" i="29"/>
  <c r="O22" i="23"/>
  <c r="P104" i="24"/>
  <c r="O21" i="44"/>
  <c r="P101" i="45"/>
  <c r="O19" i="57"/>
  <c r="O17" i="67"/>
  <c r="P104" i="73"/>
  <c r="P99" i="78"/>
  <c r="P103" i="69"/>
  <c r="P100" i="63"/>
  <c r="P106" i="23"/>
  <c r="P106" i="24"/>
  <c r="P102" i="60"/>
  <c r="P102" i="64"/>
  <c r="P109" i="27"/>
  <c r="P109" i="29"/>
  <c r="P109" i="70"/>
  <c r="P104" i="72"/>
  <c r="O17" i="34"/>
  <c r="O19" i="43"/>
  <c r="F17" i="33"/>
  <c r="D18" i="33" s="1"/>
  <c r="B18" i="33" s="1"/>
  <c r="F17" i="25"/>
  <c r="D18" i="25" s="1"/>
  <c r="B18" i="25" s="1"/>
  <c r="O24" i="27"/>
  <c r="P106" i="29"/>
  <c r="P105" i="42"/>
  <c r="P108" i="70"/>
  <c r="P107" i="18"/>
  <c r="P105" i="45"/>
  <c r="P105" i="74"/>
  <c r="P104" i="18"/>
  <c r="P105" i="23"/>
  <c r="P107" i="28"/>
  <c r="O22" i="42"/>
  <c r="O22" i="43"/>
  <c r="P103" i="44"/>
  <c r="O19" i="62"/>
  <c r="O17" i="75"/>
  <c r="O24" i="22"/>
  <c r="O26" i="29"/>
  <c r="O25" i="34"/>
  <c r="O23" i="39"/>
  <c r="O20" i="63"/>
  <c r="P100" i="66"/>
  <c r="P108" i="27"/>
  <c r="P107" i="31"/>
  <c r="O24" i="39"/>
  <c r="P105" i="43"/>
  <c r="P103" i="55"/>
  <c r="P102" i="61"/>
  <c r="O21" i="62"/>
  <c r="P110" i="28"/>
  <c r="P106" i="42"/>
  <c r="P104" i="58"/>
  <c r="O22" i="61"/>
  <c r="O18" i="87"/>
  <c r="P100" i="57"/>
  <c r="P99" i="64"/>
  <c r="P102" i="70"/>
  <c r="P104" i="70"/>
  <c r="P99" i="76"/>
  <c r="P105" i="69"/>
  <c r="P104" i="19"/>
  <c r="P104" i="20"/>
  <c r="O24" i="31"/>
  <c r="P103" i="39"/>
  <c r="O22" i="44"/>
  <c r="O21" i="45"/>
  <c r="O20" i="56"/>
  <c r="O25" i="69"/>
  <c r="P99" i="80"/>
  <c r="O21" i="58"/>
  <c r="F17" i="13"/>
  <c r="D18" i="13" s="1"/>
  <c r="B18" i="13" s="1"/>
  <c r="O26" i="23"/>
  <c r="P107" i="24"/>
  <c r="O24" i="44"/>
  <c r="P103" i="56"/>
  <c r="O20" i="68"/>
  <c r="P108" i="24"/>
  <c r="P106" i="39"/>
  <c r="P106" i="43"/>
  <c r="P104" i="54"/>
  <c r="P101" i="69"/>
  <c r="P105" i="31"/>
  <c r="P105" i="34"/>
  <c r="O18" i="66"/>
  <c r="P105" i="17"/>
  <c r="O24" i="21"/>
  <c r="P105" i="22"/>
  <c r="P101" i="59"/>
  <c r="O25" i="3"/>
  <c r="O21" i="63"/>
  <c r="P104" i="55"/>
  <c r="O17" i="94"/>
  <c r="F18" i="2"/>
  <c r="O57" i="70"/>
  <c r="O34" i="67"/>
  <c r="O38" i="67"/>
  <c r="O44" i="67"/>
  <c r="O48" i="67"/>
  <c r="O56" i="67"/>
  <c r="O62" i="67"/>
  <c r="O42" i="67"/>
  <c r="O46" i="67"/>
  <c r="F18" i="1"/>
  <c r="O68" i="85"/>
  <c r="O20" i="78"/>
  <c r="O21" i="66"/>
  <c r="O32" i="77"/>
  <c r="O36" i="77"/>
  <c r="O64" i="92"/>
  <c r="O56" i="62"/>
  <c r="O68" i="63"/>
  <c r="O48" i="64"/>
  <c r="O70" i="64"/>
  <c r="O53" i="65"/>
  <c r="O59" i="67"/>
  <c r="O69" i="67"/>
  <c r="O70" i="67"/>
  <c r="O27" i="67"/>
  <c r="O61" i="67"/>
  <c r="P115" i="81"/>
  <c r="P109" i="95"/>
  <c r="P111" i="95"/>
  <c r="P117" i="95"/>
  <c r="P119" i="95"/>
  <c r="P125" i="95"/>
  <c r="P127" i="95"/>
  <c r="O62" i="96"/>
  <c r="O64" i="96"/>
  <c r="O66" i="96"/>
  <c r="O64" i="60"/>
  <c r="O47" i="64"/>
  <c r="O55" i="75"/>
  <c r="O69" i="78"/>
  <c r="O72" i="84"/>
  <c r="F48" i="1"/>
  <c r="F52" i="1" s="1"/>
  <c r="O71" i="25"/>
  <c r="O69" i="25"/>
  <c r="O67" i="25"/>
  <c r="O65" i="25"/>
  <c r="O63" i="25"/>
  <c r="O59" i="25"/>
  <c r="O57" i="25"/>
  <c r="O55" i="25"/>
  <c r="O53" i="25"/>
  <c r="O51" i="25"/>
  <c r="O49" i="25"/>
  <c r="O47" i="25"/>
  <c r="O45" i="25"/>
  <c r="O43" i="25"/>
  <c r="O41" i="25"/>
  <c r="O31" i="25"/>
  <c r="O21" i="25"/>
  <c r="O71" i="26"/>
  <c r="O69" i="26"/>
  <c r="O67" i="26"/>
  <c r="O65" i="26"/>
  <c r="O63" i="26"/>
  <c r="O61" i="26"/>
  <c r="O59" i="26"/>
  <c r="O41" i="26"/>
  <c r="O39" i="26"/>
  <c r="O37" i="26"/>
  <c r="O33" i="26"/>
  <c r="O25" i="26"/>
  <c r="O23" i="26"/>
  <c r="O21" i="26"/>
  <c r="O69" i="28"/>
  <c r="O65" i="28"/>
  <c r="O61" i="28"/>
  <c r="O57" i="28"/>
  <c r="O55" i="28"/>
  <c r="O53" i="28"/>
  <c r="O51" i="28"/>
  <c r="O49" i="28"/>
  <c r="O47" i="28"/>
  <c r="O45" i="28"/>
  <c r="O35" i="28"/>
  <c r="O33" i="28"/>
  <c r="O62" i="29"/>
  <c r="O72" i="35"/>
  <c r="O70" i="35"/>
  <c r="O68" i="35"/>
  <c r="O64" i="35"/>
  <c r="O60" i="35"/>
  <c r="O52" i="35"/>
  <c r="O48" i="35"/>
  <c r="O46" i="35"/>
  <c r="O42" i="35"/>
  <c r="O40" i="35"/>
  <c r="O38" i="35"/>
  <c r="O36" i="35"/>
  <c r="O34" i="35"/>
  <c r="O32" i="35"/>
  <c r="O28" i="35"/>
  <c r="O35" i="72"/>
  <c r="O53" i="72"/>
  <c r="O57" i="72"/>
  <c r="O51" i="81"/>
  <c r="O37" i="82"/>
  <c r="O36" i="17"/>
  <c r="O61" i="27"/>
  <c r="O44" i="24"/>
  <c r="O42" i="24"/>
  <c r="O38" i="24"/>
  <c r="O36" i="24"/>
  <c r="O34" i="24"/>
  <c r="O37" i="25"/>
  <c r="O35" i="25"/>
  <c r="O33" i="25"/>
  <c r="O29" i="25"/>
  <c r="O23" i="25"/>
  <c r="O57" i="26"/>
  <c r="O55" i="26"/>
  <c r="O53" i="26"/>
  <c r="O51" i="26"/>
  <c r="O49" i="26"/>
  <c r="O47" i="26"/>
  <c r="O31" i="26"/>
  <c r="C8" i="1"/>
  <c r="O44" i="17"/>
  <c r="O71" i="20"/>
  <c r="O53" i="21"/>
  <c r="O68" i="33"/>
  <c r="O62" i="33"/>
  <c r="O60" i="33"/>
  <c r="O58" i="33"/>
  <c r="O56" i="33"/>
  <c r="O50" i="33"/>
  <c r="O46" i="33"/>
  <c r="O42" i="33"/>
  <c r="O36" i="33"/>
  <c r="O30" i="33"/>
  <c r="O26" i="33"/>
  <c r="O24" i="33"/>
  <c r="O22" i="33"/>
  <c r="O20" i="33"/>
  <c r="O36" i="59"/>
  <c r="O29" i="64"/>
  <c r="O31" i="64"/>
  <c r="O43" i="64"/>
  <c r="O55" i="64"/>
  <c r="O46" i="69"/>
  <c r="O56" i="69"/>
  <c r="O70" i="69"/>
  <c r="O50" i="72"/>
  <c r="O52" i="72"/>
  <c r="O62" i="72"/>
  <c r="O36" i="81"/>
  <c r="O26" i="82"/>
  <c r="O32" i="82"/>
  <c r="O34" i="82"/>
  <c r="O38" i="82"/>
  <c r="O68" i="82"/>
  <c r="O70" i="82"/>
  <c r="O39" i="88"/>
  <c r="O63" i="88"/>
  <c r="O33" i="90"/>
  <c r="O47" i="90"/>
  <c r="O72" i="95"/>
  <c r="O17" i="25"/>
  <c r="O41" i="74"/>
  <c r="O70" i="13"/>
  <c r="O68" i="13"/>
  <c r="O66" i="13"/>
  <c r="O64" i="13"/>
  <c r="O62" i="13"/>
  <c r="O60" i="13"/>
  <c r="O58" i="13"/>
  <c r="O56" i="13"/>
  <c r="O54" i="13"/>
  <c r="O52" i="13"/>
  <c r="O50" i="13"/>
  <c r="O48" i="13"/>
  <c r="O34" i="13"/>
  <c r="O22" i="13"/>
  <c r="O44" i="23"/>
  <c r="O59" i="59"/>
  <c r="O45" i="60"/>
  <c r="O57" i="61"/>
  <c r="O65" i="79"/>
  <c r="O69" i="79"/>
  <c r="O18" i="74"/>
  <c r="O65" i="67"/>
  <c r="O20" i="66"/>
  <c r="O20" i="96"/>
  <c r="O30" i="96"/>
  <c r="O21" i="94"/>
  <c r="O55" i="94"/>
  <c r="O38" i="87"/>
  <c r="O64" i="87"/>
  <c r="O72" i="87"/>
  <c r="O18" i="83"/>
  <c r="O48" i="83"/>
  <c r="O52" i="83"/>
  <c r="O60" i="83"/>
  <c r="O66" i="83"/>
  <c r="O68" i="83"/>
  <c r="O70" i="83"/>
  <c r="O52" i="82"/>
  <c r="O22" i="80"/>
  <c r="O28" i="80"/>
  <c r="O42" i="80"/>
  <c r="O44" i="80"/>
  <c r="O48" i="80"/>
  <c r="O54" i="80"/>
  <c r="O56" i="80"/>
  <c r="O58" i="80"/>
  <c r="O60" i="80"/>
  <c r="O19" i="79"/>
  <c r="O43" i="79"/>
  <c r="O49" i="79"/>
  <c r="O59" i="79"/>
  <c r="O18" i="77"/>
  <c r="O29" i="77"/>
  <c r="O41" i="77"/>
  <c r="O17" i="76"/>
  <c r="O19" i="75"/>
  <c r="O19" i="74"/>
  <c r="O47" i="74"/>
  <c r="O55" i="74"/>
  <c r="O69" i="74"/>
  <c r="O17" i="74"/>
  <c r="O24" i="74"/>
  <c r="O21" i="73"/>
  <c r="O46" i="73"/>
  <c r="O50" i="73"/>
  <c r="O56" i="73"/>
  <c r="O24" i="73"/>
  <c r="O71" i="72"/>
  <c r="O22" i="71"/>
  <c r="O23" i="70"/>
  <c r="O18" i="70"/>
  <c r="O21" i="69"/>
  <c r="O20" i="69"/>
  <c r="O40" i="69"/>
  <c r="O24" i="69"/>
  <c r="O19" i="65"/>
  <c r="O20" i="65"/>
  <c r="O18" i="64"/>
  <c r="O17" i="60"/>
  <c r="O18" i="61"/>
  <c r="O20" i="61"/>
  <c r="O19" i="59"/>
  <c r="O17" i="58"/>
  <c r="O20" i="58"/>
  <c r="O18" i="57"/>
  <c r="O71" i="57"/>
  <c r="O37" i="57"/>
  <c r="O71" i="56"/>
  <c r="O69" i="56"/>
  <c r="O67" i="56"/>
  <c r="O65" i="56"/>
  <c r="O59" i="56"/>
  <c r="O57" i="56"/>
  <c r="O55" i="56"/>
  <c r="O49" i="56"/>
  <c r="O47" i="56"/>
  <c r="O45" i="56"/>
  <c r="O35" i="56"/>
  <c r="O27" i="56"/>
  <c r="O22" i="55"/>
  <c r="O21" i="54"/>
  <c r="O22" i="54"/>
  <c r="O17" i="54"/>
  <c r="O21" i="53"/>
  <c r="O20" i="53"/>
  <c r="O22" i="46"/>
  <c r="O19" i="46"/>
  <c r="O20" i="45"/>
  <c r="O18" i="45"/>
  <c r="O19" i="45"/>
  <c r="O23" i="43"/>
  <c r="O18" i="43"/>
  <c r="O21" i="42"/>
  <c r="O17" i="41"/>
  <c r="O19" i="41"/>
  <c r="O18" i="41"/>
  <c r="O23" i="34"/>
  <c r="O19" i="32"/>
  <c r="O18" i="31"/>
  <c r="O26" i="31"/>
  <c r="O26" i="30"/>
  <c r="O21" i="30"/>
  <c r="O22" i="28"/>
  <c r="O23" i="28"/>
  <c r="O26" i="27"/>
  <c r="O28" i="27"/>
  <c r="O19" i="24"/>
  <c r="O23" i="24"/>
  <c r="O18" i="24"/>
  <c r="O19" i="23"/>
  <c r="O25" i="22"/>
  <c r="O19" i="22"/>
  <c r="O18" i="21"/>
  <c r="O23" i="21"/>
  <c r="O22" i="21"/>
  <c r="O22" i="20"/>
  <c r="O25" i="19"/>
  <c r="O20" i="19"/>
  <c r="O21" i="19"/>
  <c r="O24" i="19"/>
  <c r="O25" i="18"/>
  <c r="O18" i="18"/>
  <c r="O23" i="18"/>
  <c r="O24" i="18"/>
  <c r="O62" i="17"/>
  <c r="O19" i="17"/>
  <c r="O23" i="17"/>
  <c r="O25" i="17"/>
  <c r="O19" i="3"/>
  <c r="O48" i="17"/>
  <c r="O46" i="17"/>
  <c r="O34" i="17"/>
  <c r="O60" i="18"/>
  <c r="O60" i="25"/>
  <c r="O56" i="25"/>
  <c r="O44" i="25"/>
  <c r="O20" i="25"/>
  <c r="O46" i="26"/>
  <c r="O20" i="26"/>
  <c r="O70" i="31"/>
  <c r="O68" i="31"/>
  <c r="O48" i="31"/>
  <c r="O44" i="31"/>
  <c r="O42" i="31"/>
  <c r="O38" i="31"/>
  <c r="O36" i="31"/>
  <c r="O30" i="31"/>
  <c r="O35" i="74"/>
  <c r="O37" i="74"/>
  <c r="C22" i="1"/>
  <c r="I12" i="96"/>
  <c r="I13" i="96" s="1"/>
  <c r="I10" i="73"/>
  <c r="I12" i="71"/>
  <c r="I13" i="71" s="1"/>
  <c r="I12" i="78"/>
  <c r="I13" i="78" s="1"/>
  <c r="I12" i="72"/>
  <c r="I13" i="72" s="1"/>
  <c r="I12" i="32"/>
  <c r="I13" i="32" s="1"/>
  <c r="I10" i="13"/>
  <c r="D94" i="13" s="1"/>
  <c r="O62" i="34"/>
  <c r="O62" i="44"/>
  <c r="O43" i="70"/>
  <c r="O45" i="70"/>
  <c r="O55" i="70"/>
  <c r="O63" i="70"/>
  <c r="O65" i="70"/>
  <c r="O39" i="74"/>
  <c r="O49" i="74"/>
  <c r="O51" i="74"/>
  <c r="O53" i="74"/>
  <c r="O65" i="74"/>
  <c r="A2" i="1"/>
  <c r="A2" i="2" s="1"/>
  <c r="I12" i="39"/>
  <c r="I13" i="39" s="1"/>
  <c r="I12" i="65"/>
  <c r="I13" i="65" s="1"/>
  <c r="I12" i="84"/>
  <c r="I13" i="84" s="1"/>
  <c r="B20" i="84" s="1"/>
  <c r="I12" i="75"/>
  <c r="I13" i="75" s="1"/>
  <c r="I10" i="33"/>
  <c r="D94" i="33" s="1"/>
  <c r="I12" i="93"/>
  <c r="I13" i="93" s="1"/>
  <c r="C61" i="1"/>
  <c r="C73" i="1"/>
  <c r="I10" i="75"/>
  <c r="D94" i="75" s="1"/>
  <c r="C76" i="1"/>
  <c r="I10" i="46"/>
  <c r="D94" i="46" s="1"/>
  <c r="I12" i="22"/>
  <c r="I13" i="22" s="1"/>
  <c r="I12" i="69"/>
  <c r="I13" i="69" s="1"/>
  <c r="I12" i="34"/>
  <c r="I13" i="34" s="1"/>
  <c r="I12" i="60"/>
  <c r="I13" i="60" s="1"/>
  <c r="I12" i="74"/>
  <c r="I13" i="74" s="1"/>
  <c r="O71" i="33"/>
  <c r="O39" i="33"/>
  <c r="O35" i="33"/>
  <c r="O43" i="35"/>
  <c r="O55" i="46"/>
  <c r="P151" i="55"/>
  <c r="P145" i="55"/>
  <c r="P139" i="55"/>
  <c r="P137" i="55"/>
  <c r="P135" i="55"/>
  <c r="P133" i="55"/>
  <c r="P131" i="55"/>
  <c r="P117" i="55"/>
  <c r="P115" i="55"/>
  <c r="P113" i="55"/>
  <c r="P111" i="55"/>
  <c r="P109" i="55"/>
  <c r="P107" i="55"/>
  <c r="O33" i="13"/>
  <c r="O39" i="22"/>
  <c r="O55" i="42"/>
  <c r="O62" i="80"/>
  <c r="O65" i="90"/>
  <c r="O59" i="92"/>
  <c r="O59" i="42"/>
  <c r="O26" i="59"/>
  <c r="O28" i="59"/>
  <c r="O30" i="59"/>
  <c r="O32" i="59"/>
  <c r="O34" i="59"/>
  <c r="O38" i="59"/>
  <c r="O40" i="59"/>
  <c r="O42" i="59"/>
  <c r="O44" i="59"/>
  <c r="O46" i="59"/>
  <c r="O48" i="59"/>
  <c r="O50" i="59"/>
  <c r="O52" i="59"/>
  <c r="O54" i="59"/>
  <c r="O66" i="59"/>
  <c r="O68" i="59"/>
  <c r="O70" i="59"/>
  <c r="O60" i="66"/>
  <c r="O70" i="66"/>
  <c r="O66" i="75"/>
  <c r="O33" i="80"/>
  <c r="O35" i="80"/>
  <c r="O37" i="80"/>
  <c r="O51" i="80"/>
  <c r="O53" i="80"/>
  <c r="O71" i="80"/>
  <c r="O46" i="85"/>
  <c r="O50" i="34"/>
  <c r="F88" i="1"/>
  <c r="F89" i="1" s="1"/>
  <c r="F91" i="1" s="1"/>
  <c r="F92" i="1" s="1"/>
  <c r="F93" i="1" s="1"/>
  <c r="O59" i="64"/>
  <c r="O63" i="64"/>
  <c r="O30" i="71"/>
  <c r="O34" i="71"/>
  <c r="O36" i="71"/>
  <c r="O38" i="71"/>
  <c r="O48" i="71"/>
  <c r="O50" i="71"/>
  <c r="O52" i="71"/>
  <c r="O54" i="71"/>
  <c r="O58" i="71"/>
  <c r="O62" i="71"/>
  <c r="O64" i="71"/>
  <c r="O66" i="71"/>
  <c r="O68" i="71"/>
  <c r="O70" i="71"/>
  <c r="O72" i="71"/>
  <c r="O69" i="81"/>
  <c r="O32" i="84"/>
  <c r="O42" i="84"/>
  <c r="O62" i="86"/>
  <c r="O64" i="86"/>
  <c r="O70" i="86"/>
  <c r="C80" i="1"/>
  <c r="C28" i="1"/>
  <c r="C59" i="1"/>
  <c r="I10" i="28"/>
  <c r="D94" i="28" s="1"/>
  <c r="C79" i="1"/>
  <c r="C39" i="1"/>
  <c r="I10" i="17"/>
  <c r="I10" i="56"/>
  <c r="D92" i="56" s="1"/>
  <c r="B105" i="56" s="1"/>
  <c r="I10" i="61"/>
  <c r="I12" i="27"/>
  <c r="I13" i="27" s="1"/>
  <c r="I12" i="35"/>
  <c r="I13" i="35" s="1"/>
  <c r="H21" i="35" s="1"/>
  <c r="I12" i="92"/>
  <c r="I13" i="92" s="1"/>
  <c r="I12" i="31"/>
  <c r="I13" i="31" s="1"/>
  <c r="I12" i="61"/>
  <c r="I13" i="61" s="1"/>
  <c r="I12" i="64"/>
  <c r="I13" i="64" s="1"/>
  <c r="I12" i="58"/>
  <c r="I13" i="58" s="1"/>
  <c r="I12" i="25"/>
  <c r="I12" i="28"/>
  <c r="I13" i="28" s="1"/>
  <c r="I12" i="67"/>
  <c r="I13" i="67" s="1"/>
  <c r="I12" i="83"/>
  <c r="I13" i="83" s="1"/>
  <c r="I12" i="18"/>
  <c r="I13" i="18" s="1"/>
  <c r="I12" i="89"/>
  <c r="I13" i="89" s="1"/>
  <c r="I12" i="66"/>
  <c r="I13" i="66" s="1"/>
  <c r="I12" i="20"/>
  <c r="I13" i="20" s="1"/>
  <c r="I12" i="26"/>
  <c r="I13" i="26" s="1"/>
  <c r="I10" i="23"/>
  <c r="D93" i="23" s="1"/>
  <c r="C99" i="23" s="1"/>
  <c r="C100" i="23" s="1"/>
  <c r="C101" i="23" s="1"/>
  <c r="C102" i="23" s="1"/>
  <c r="C103" i="23" s="1"/>
  <c r="C104" i="23" s="1"/>
  <c r="C105" i="23" s="1"/>
  <c r="C106" i="23" s="1"/>
  <c r="C107" i="23" s="1"/>
  <c r="C108" i="23" s="1"/>
  <c r="C109" i="23" s="1"/>
  <c r="C110" i="23" s="1"/>
  <c r="C111" i="23" s="1"/>
  <c r="C112" i="23" s="1"/>
  <c r="C113" i="23" s="1"/>
  <c r="C114" i="23" s="1"/>
  <c r="C115" i="23" s="1"/>
  <c r="C116" i="23" s="1"/>
  <c r="C117" i="23" s="1"/>
  <c r="C118" i="23" s="1"/>
  <c r="C119" i="23" s="1"/>
  <c r="C120" i="23" s="1"/>
  <c r="C121" i="23" s="1"/>
  <c r="C122" i="23" s="1"/>
  <c r="C123" i="23" s="1"/>
  <c r="C124" i="23" s="1"/>
  <c r="C125" i="23" s="1"/>
  <c r="C126" i="23" s="1"/>
  <c r="C127" i="23" s="1"/>
  <c r="C128" i="23" s="1"/>
  <c r="C129" i="23" s="1"/>
  <c r="C130" i="23" s="1"/>
  <c r="C131" i="23" s="1"/>
  <c r="C132" i="23" s="1"/>
  <c r="C133" i="23" s="1"/>
  <c r="C134" i="23" s="1"/>
  <c r="C135" i="23" s="1"/>
  <c r="C136" i="23" s="1"/>
  <c r="C137" i="23" s="1"/>
  <c r="C138" i="23" s="1"/>
  <c r="C139" i="23" s="1"/>
  <c r="C140" i="23" s="1"/>
  <c r="C141" i="23" s="1"/>
  <c r="C142" i="23" s="1"/>
  <c r="C143" i="23" s="1"/>
  <c r="C144" i="23" s="1"/>
  <c r="C145" i="23" s="1"/>
  <c r="C146" i="23" s="1"/>
  <c r="C147" i="23" s="1"/>
  <c r="C148" i="23" s="1"/>
  <c r="C149" i="23" s="1"/>
  <c r="C150" i="23" s="1"/>
  <c r="C151" i="23" s="1"/>
  <c r="C152" i="23" s="1"/>
  <c r="C153" i="23" s="1"/>
  <c r="C154" i="23" s="1"/>
  <c r="I12" i="33"/>
  <c r="I12" i="42"/>
  <c r="I13" i="42" s="1"/>
  <c r="F14" i="1"/>
  <c r="E19" i="1" s="1"/>
  <c r="F19" i="1" s="1"/>
  <c r="I12" i="68"/>
  <c r="I13" i="68" s="1"/>
  <c r="I12" i="99"/>
  <c r="I12" i="98"/>
  <c r="I12" i="97"/>
  <c r="C50" i="1"/>
  <c r="C14" i="1"/>
  <c r="C10" i="1"/>
  <c r="I12" i="95"/>
  <c r="I13" i="95" s="1"/>
  <c r="C62" i="1"/>
  <c r="C55" i="1"/>
  <c r="I10" i="35"/>
  <c r="D93" i="35" s="1"/>
  <c r="C99" i="35" s="1"/>
  <c r="I10" i="20"/>
  <c r="D93" i="20" s="1"/>
  <c r="C99" i="20" s="1"/>
  <c r="C100" i="20" s="1"/>
  <c r="C101" i="20" s="1"/>
  <c r="C102" i="20" s="1"/>
  <c r="C103" i="20" s="1"/>
  <c r="C104" i="20" s="1"/>
  <c r="C105" i="20" s="1"/>
  <c r="C106" i="20" s="1"/>
  <c r="C107" i="20" s="1"/>
  <c r="C108" i="20" s="1"/>
  <c r="C109" i="20" s="1"/>
  <c r="C110" i="20" s="1"/>
  <c r="C111" i="20" s="1"/>
  <c r="C112" i="20" s="1"/>
  <c r="C113" i="20" s="1"/>
  <c r="C114" i="20" s="1"/>
  <c r="C115" i="20" s="1"/>
  <c r="C116" i="20" s="1"/>
  <c r="C117" i="20" s="1"/>
  <c r="C118" i="20" s="1"/>
  <c r="C119" i="20" s="1"/>
  <c r="C120" i="20" s="1"/>
  <c r="C121" i="20" s="1"/>
  <c r="C122" i="20" s="1"/>
  <c r="C123" i="20" s="1"/>
  <c r="C124" i="20" s="1"/>
  <c r="C125" i="20" s="1"/>
  <c r="C126" i="20" s="1"/>
  <c r="C127" i="20" s="1"/>
  <c r="C128" i="20" s="1"/>
  <c r="C129" i="20" s="1"/>
  <c r="C130" i="20" s="1"/>
  <c r="C131" i="20" s="1"/>
  <c r="C132" i="20" s="1"/>
  <c r="C133" i="20" s="1"/>
  <c r="C134" i="20" s="1"/>
  <c r="C135" i="20" s="1"/>
  <c r="C136" i="20" s="1"/>
  <c r="C137" i="20" s="1"/>
  <c r="C138" i="20" s="1"/>
  <c r="C139" i="20" s="1"/>
  <c r="C140" i="20" s="1"/>
  <c r="C141" i="20" s="1"/>
  <c r="C142" i="20" s="1"/>
  <c r="C143" i="20" s="1"/>
  <c r="C144" i="20" s="1"/>
  <c r="C145" i="20" s="1"/>
  <c r="C146" i="20" s="1"/>
  <c r="C147" i="20" s="1"/>
  <c r="C148" i="20" s="1"/>
  <c r="C149" i="20" s="1"/>
  <c r="C150" i="20" s="1"/>
  <c r="C151" i="20" s="1"/>
  <c r="C152" i="20" s="1"/>
  <c r="C153" i="20" s="1"/>
  <c r="C154" i="20" s="1"/>
  <c r="I10" i="85"/>
  <c r="D94" i="85" s="1"/>
  <c r="I12" i="3"/>
  <c r="I13" i="3" s="1"/>
  <c r="I12" i="76"/>
  <c r="I13" i="76" s="1"/>
  <c r="I12" i="85"/>
  <c r="I13" i="85" s="1"/>
  <c r="I12" i="23"/>
  <c r="I13" i="23" s="1"/>
  <c r="I12" i="30"/>
  <c r="I13" i="30" s="1"/>
  <c r="I12" i="21"/>
  <c r="I13" i="21" s="1"/>
  <c r="I12" i="45"/>
  <c r="I13" i="45" s="1"/>
  <c r="I12" i="19"/>
  <c r="I13" i="19" s="1"/>
  <c r="I12" i="79"/>
  <c r="I12" i="17"/>
  <c r="I13" i="17" s="1"/>
  <c r="I12" i="90"/>
  <c r="I13" i="90" s="1"/>
  <c r="I12" i="29"/>
  <c r="I13" i="29" s="1"/>
  <c r="I12" i="43"/>
  <c r="I13" i="43" s="1"/>
  <c r="I10" i="89"/>
  <c r="D94" i="89" s="1"/>
  <c r="I12" i="44"/>
  <c r="I13" i="44" s="1"/>
  <c r="I12" i="87"/>
  <c r="I13" i="87" s="1"/>
  <c r="O56" i="17"/>
  <c r="O54" i="17"/>
  <c r="O52" i="17"/>
  <c r="O42" i="17"/>
  <c r="O40" i="17"/>
  <c r="O32" i="17"/>
  <c r="O62" i="18"/>
  <c r="O56" i="18"/>
  <c r="O52" i="18"/>
  <c r="O50" i="18"/>
  <c r="O46" i="18"/>
  <c r="O29" i="18"/>
  <c r="O65" i="21"/>
  <c r="O43" i="24"/>
  <c r="O41" i="24"/>
  <c r="O39" i="24"/>
  <c r="O37" i="24"/>
  <c r="O33" i="24"/>
  <c r="O31" i="24"/>
  <c r="O70" i="25"/>
  <c r="C82" i="1"/>
  <c r="C77" i="1"/>
  <c r="I12" i="94"/>
  <c r="I13" i="94" s="1"/>
  <c r="I10" i="74"/>
  <c r="I10" i="90"/>
  <c r="D93" i="90" s="1"/>
  <c r="C99" i="90" s="1"/>
  <c r="C100" i="90" s="1"/>
  <c r="C101" i="90" s="1"/>
  <c r="C102" i="90" s="1"/>
  <c r="C103" i="90" s="1"/>
  <c r="C104" i="90" s="1"/>
  <c r="C105" i="90" s="1"/>
  <c r="C106" i="90" s="1"/>
  <c r="C107" i="90" s="1"/>
  <c r="C108" i="90" s="1"/>
  <c r="C109" i="90" s="1"/>
  <c r="C110" i="90" s="1"/>
  <c r="C111" i="90" s="1"/>
  <c r="C112" i="90" s="1"/>
  <c r="C113" i="90" s="1"/>
  <c r="C114" i="90" s="1"/>
  <c r="C115" i="90" s="1"/>
  <c r="C116" i="90" s="1"/>
  <c r="C117" i="90" s="1"/>
  <c r="C118" i="90" s="1"/>
  <c r="C119" i="90" s="1"/>
  <c r="C120" i="90" s="1"/>
  <c r="C121" i="90" s="1"/>
  <c r="C122" i="90" s="1"/>
  <c r="C123" i="90" s="1"/>
  <c r="C124" i="90" s="1"/>
  <c r="C125" i="90" s="1"/>
  <c r="C126" i="90" s="1"/>
  <c r="C127" i="90" s="1"/>
  <c r="C128" i="90" s="1"/>
  <c r="C129" i="90" s="1"/>
  <c r="C130" i="90" s="1"/>
  <c r="C131" i="90" s="1"/>
  <c r="C132" i="90" s="1"/>
  <c r="C133" i="90" s="1"/>
  <c r="C134" i="90" s="1"/>
  <c r="C135" i="90" s="1"/>
  <c r="C136" i="90" s="1"/>
  <c r="C137" i="90" s="1"/>
  <c r="C138" i="90" s="1"/>
  <c r="C139" i="90" s="1"/>
  <c r="C140" i="90" s="1"/>
  <c r="C141" i="90" s="1"/>
  <c r="C142" i="90" s="1"/>
  <c r="C143" i="90" s="1"/>
  <c r="C144" i="90" s="1"/>
  <c r="C145" i="90" s="1"/>
  <c r="C146" i="90" s="1"/>
  <c r="C147" i="90" s="1"/>
  <c r="I10" i="78"/>
  <c r="D93" i="78" s="1"/>
  <c r="C99" i="78" s="1"/>
  <c r="C100" i="78" s="1"/>
  <c r="C101" i="78" s="1"/>
  <c r="C102" i="78" s="1"/>
  <c r="C103" i="78" s="1"/>
  <c r="C104" i="78" s="1"/>
  <c r="C105" i="78" s="1"/>
  <c r="C106" i="78" s="1"/>
  <c r="C107" i="78" s="1"/>
  <c r="C108" i="78" s="1"/>
  <c r="C109" i="78" s="1"/>
  <c r="C110" i="78" s="1"/>
  <c r="C111" i="78" s="1"/>
  <c r="C112" i="78" s="1"/>
  <c r="C113" i="78" s="1"/>
  <c r="C114" i="78" s="1"/>
  <c r="C115" i="78" s="1"/>
  <c r="C116" i="78" s="1"/>
  <c r="C117" i="78" s="1"/>
  <c r="C118" i="78" s="1"/>
  <c r="C119" i="78" s="1"/>
  <c r="C120" i="78" s="1"/>
  <c r="C121" i="78" s="1"/>
  <c r="C122" i="78" s="1"/>
  <c r="C123" i="78" s="1"/>
  <c r="C124" i="78" s="1"/>
  <c r="C125" i="78" s="1"/>
  <c r="C126" i="78" s="1"/>
  <c r="C127" i="78" s="1"/>
  <c r="C128" i="78" s="1"/>
  <c r="C129" i="78" s="1"/>
  <c r="C130" i="78" s="1"/>
  <c r="C131" i="78" s="1"/>
  <c r="C132" i="78" s="1"/>
  <c r="C133" i="78" s="1"/>
  <c r="C134" i="78" s="1"/>
  <c r="C135" i="78" s="1"/>
  <c r="C136" i="78" s="1"/>
  <c r="C137" i="78" s="1"/>
  <c r="C138" i="78" s="1"/>
  <c r="C139" i="78" s="1"/>
  <c r="C140" i="78" s="1"/>
  <c r="C141" i="78" s="1"/>
  <c r="C142" i="78" s="1"/>
  <c r="C143" i="78" s="1"/>
  <c r="C144" i="78" s="1"/>
  <c r="C145" i="78" s="1"/>
  <c r="C146" i="78" s="1"/>
  <c r="C147" i="78" s="1"/>
  <c r="C148" i="78" s="1"/>
  <c r="C149" i="78" s="1"/>
  <c r="C150" i="78" s="1"/>
  <c r="C151" i="78" s="1"/>
  <c r="C152" i="78" s="1"/>
  <c r="C153" i="78" s="1"/>
  <c r="C154" i="78" s="1"/>
  <c r="I12" i="55"/>
  <c r="I13" i="55" s="1"/>
  <c r="I12" i="63"/>
  <c r="I13" i="63" s="1"/>
  <c r="I12" i="81"/>
  <c r="I13" i="81" s="1"/>
  <c r="I12" i="46"/>
  <c r="I13" i="46" s="1"/>
  <c r="I12" i="86"/>
  <c r="I13" i="86" s="1"/>
  <c r="I12" i="82"/>
  <c r="I13" i="82" s="1"/>
  <c r="I12" i="80"/>
  <c r="I13" i="80" s="1"/>
  <c r="I12" i="56"/>
  <c r="I13" i="56" s="1"/>
  <c r="I12" i="53"/>
  <c r="I13" i="53" s="1"/>
  <c r="I12" i="13"/>
  <c r="I12" i="70"/>
  <c r="I13" i="70" s="1"/>
  <c r="I12" i="41"/>
  <c r="I13" i="41" s="1"/>
  <c r="I12" i="73"/>
  <c r="I13" i="73" s="1"/>
  <c r="I12" i="59"/>
  <c r="I13" i="59" s="1"/>
  <c r="I12" i="54"/>
  <c r="I13" i="54" s="1"/>
  <c r="I12" i="24"/>
  <c r="I13" i="24" s="1"/>
  <c r="I12" i="57"/>
  <c r="I13" i="57" s="1"/>
  <c r="O69" i="13"/>
  <c r="O61" i="13"/>
  <c r="O59" i="13"/>
  <c r="O55" i="13"/>
  <c r="O53" i="13"/>
  <c r="O49" i="13"/>
  <c r="O41" i="13"/>
  <c r="O31" i="13"/>
  <c r="O23" i="13"/>
  <c r="O21" i="13"/>
  <c r="O19" i="13"/>
  <c r="O17" i="13"/>
  <c r="O45" i="22"/>
  <c r="O43" i="22"/>
  <c r="O41" i="22"/>
  <c r="O37" i="22"/>
  <c r="O35" i="22"/>
  <c r="O33" i="22"/>
  <c r="O43" i="55"/>
  <c r="O61" i="64"/>
  <c r="O35" i="77"/>
  <c r="O49" i="77"/>
  <c r="O63" i="77"/>
  <c r="O21" i="92"/>
  <c r="O25" i="92"/>
  <c r="O27" i="92"/>
  <c r="O29" i="92"/>
  <c r="O33" i="92"/>
  <c r="O37" i="92"/>
  <c r="O39" i="92"/>
  <c r="O41" i="92"/>
  <c r="O43" i="92"/>
  <c r="O45" i="92"/>
  <c r="O47" i="92"/>
  <c r="O53" i="92"/>
  <c r="O61" i="92"/>
  <c r="O63" i="92"/>
  <c r="O65" i="92"/>
  <c r="O68" i="25"/>
  <c r="O66" i="25"/>
  <c r="O50" i="25"/>
  <c r="O46" i="25"/>
  <c r="O40" i="25"/>
  <c r="O68" i="26"/>
  <c r="O64" i="26"/>
  <c r="O60" i="26"/>
  <c r="O58" i="26"/>
  <c r="O48" i="26"/>
  <c r="O28" i="26"/>
  <c r="O26" i="26"/>
  <c r="O18" i="26"/>
  <c r="O53" i="27"/>
  <c r="O44" i="27"/>
  <c r="O42" i="27"/>
  <c r="O67" i="33"/>
  <c r="O63" i="33"/>
  <c r="O61" i="33"/>
  <c r="O55" i="33"/>
  <c r="O53" i="33"/>
  <c r="O47" i="33"/>
  <c r="O45" i="33"/>
  <c r="O43" i="33"/>
  <c r="O41" i="33"/>
  <c r="O37" i="33"/>
  <c r="O31" i="33"/>
  <c r="O29" i="33"/>
  <c r="O27" i="33"/>
  <c r="O25" i="33"/>
  <c r="O23" i="33"/>
  <c r="O21" i="33"/>
  <c r="O19" i="33"/>
  <c r="O71" i="35"/>
  <c r="O69" i="35"/>
  <c r="O67" i="35"/>
  <c r="O65" i="35"/>
  <c r="O63" i="35"/>
  <c r="O59" i="35"/>
  <c r="O57" i="35"/>
  <c r="O55" i="35"/>
  <c r="O53" i="35"/>
  <c r="O51" i="35"/>
  <c r="O49" i="35"/>
  <c r="O47" i="35"/>
  <c r="O45" i="35"/>
  <c r="O41" i="35"/>
  <c r="O39" i="35"/>
  <c r="O37" i="35"/>
  <c r="O35" i="35"/>
  <c r="O33" i="35"/>
  <c r="O29" i="35"/>
  <c r="O27" i="35"/>
  <c r="O25" i="35"/>
  <c r="O21" i="35"/>
  <c r="O69" i="45"/>
  <c r="O59" i="45"/>
  <c r="O47" i="45"/>
  <c r="O45" i="45"/>
  <c r="O41" i="45"/>
  <c r="O35" i="45"/>
  <c r="O31" i="45"/>
  <c r="O72" i="57"/>
  <c r="O66" i="57"/>
  <c r="O64" i="57"/>
  <c r="O62" i="57"/>
  <c r="O58" i="57"/>
  <c r="O56" i="57"/>
  <c r="O48" i="57"/>
  <c r="O46" i="57"/>
  <c r="O38" i="57"/>
  <c r="O36" i="57"/>
  <c r="O30" i="57"/>
  <c r="O32" i="62"/>
  <c r="O66" i="62"/>
  <c r="O58" i="85"/>
  <c r="O21" i="91"/>
  <c r="O25" i="91"/>
  <c r="O29" i="91"/>
  <c r="O35" i="91"/>
  <c r="O39" i="91"/>
  <c r="O41" i="91"/>
  <c r="O43" i="91"/>
  <c r="O45" i="91"/>
  <c r="O52" i="74"/>
  <c r="O56" i="81"/>
  <c r="O25" i="84"/>
  <c r="O64" i="89"/>
  <c r="O29" i="79"/>
  <c r="O33" i="79"/>
  <c r="O35" i="79"/>
  <c r="O37" i="79"/>
  <c r="O41" i="79"/>
  <c r="O47" i="79"/>
  <c r="O53" i="79"/>
  <c r="O31" i="95"/>
  <c r="O45" i="95"/>
  <c r="O55" i="95"/>
  <c r="O61" i="95"/>
  <c r="O69" i="95"/>
  <c r="O37" i="94"/>
  <c r="O39" i="94"/>
  <c r="O41" i="94"/>
  <c r="O47" i="94"/>
  <c r="O57" i="94"/>
  <c r="O59" i="94"/>
  <c r="O63" i="94"/>
  <c r="O65" i="94"/>
  <c r="O67" i="94"/>
  <c r="O69" i="94"/>
  <c r="O33" i="86"/>
  <c r="O35" i="86"/>
  <c r="O67" i="86"/>
  <c r="O47" i="83"/>
  <c r="O28" i="83"/>
  <c r="O40" i="83"/>
  <c r="O42" i="83"/>
  <c r="O62" i="83"/>
  <c r="O31" i="82"/>
  <c r="O59" i="82"/>
  <c r="O67" i="82"/>
  <c r="O26" i="74"/>
  <c r="O32" i="74"/>
  <c r="O62" i="74"/>
  <c r="O28" i="74"/>
  <c r="O34" i="74"/>
  <c r="O36" i="74"/>
  <c r="O38" i="74"/>
  <c r="O42" i="74"/>
  <c r="O44" i="74"/>
  <c r="O54" i="74"/>
  <c r="O56" i="74"/>
  <c r="O58" i="74"/>
  <c r="O60" i="74"/>
  <c r="O64" i="74"/>
  <c r="O66" i="74"/>
  <c r="O68" i="74"/>
  <c r="O70" i="74"/>
  <c r="O72" i="74"/>
  <c r="D93" i="83"/>
  <c r="C99" i="83" s="1"/>
  <c r="C100" i="83" s="1"/>
  <c r="C101" i="83" s="1"/>
  <c r="C102" i="83" s="1"/>
  <c r="C103" i="83" s="1"/>
  <c r="C104" i="83" s="1"/>
  <c r="C105" i="83" s="1"/>
  <c r="C106" i="83" s="1"/>
  <c r="C107" i="83" s="1"/>
  <c r="C108" i="83" s="1"/>
  <c r="C109" i="83" s="1"/>
  <c r="C110" i="83" s="1"/>
  <c r="C111" i="83" s="1"/>
  <c r="C112" i="83" s="1"/>
  <c r="C113" i="83" s="1"/>
  <c r="C114" i="83" s="1"/>
  <c r="C115" i="83" s="1"/>
  <c r="C116" i="83" s="1"/>
  <c r="C117" i="83" s="1"/>
  <c r="C118" i="83" s="1"/>
  <c r="C119" i="83" s="1"/>
  <c r="C120" i="83" s="1"/>
  <c r="C121" i="83" s="1"/>
  <c r="C122" i="83" s="1"/>
  <c r="C123" i="83" s="1"/>
  <c r="C124" i="83" s="1"/>
  <c r="C125" i="83" s="1"/>
  <c r="C126" i="83" s="1"/>
  <c r="C127" i="83" s="1"/>
  <c r="C128" i="83" s="1"/>
  <c r="C129" i="83" s="1"/>
  <c r="C130" i="83" s="1"/>
  <c r="C131" i="83" s="1"/>
  <c r="C132" i="83" s="1"/>
  <c r="C133" i="83" s="1"/>
  <c r="C134" i="83" s="1"/>
  <c r="C135" i="83" s="1"/>
  <c r="C136" i="83" s="1"/>
  <c r="C137" i="83" s="1"/>
  <c r="C138" i="83" s="1"/>
  <c r="C139" i="83" s="1"/>
  <c r="C140" i="83" s="1"/>
  <c r="C141" i="83" s="1"/>
  <c r="C142" i="83" s="1"/>
  <c r="C143" i="83" s="1"/>
  <c r="C144" i="83" s="1"/>
  <c r="C145" i="83" s="1"/>
  <c r="C146" i="83" s="1"/>
  <c r="C147" i="83" s="1"/>
  <c r="C148" i="83" s="1"/>
  <c r="C149" i="83" s="1"/>
  <c r="C150" i="83" s="1"/>
  <c r="C151" i="83" s="1"/>
  <c r="C152" i="83" s="1"/>
  <c r="C153" i="83" s="1"/>
  <c r="C154" i="83" s="1"/>
  <c r="O39" i="96"/>
  <c r="O53" i="96"/>
  <c r="O55" i="96"/>
  <c r="O57" i="96"/>
  <c r="O69" i="96"/>
  <c r="O40" i="95"/>
  <c r="O42" i="95"/>
  <c r="O48" i="95"/>
  <c r="O56" i="95"/>
  <c r="O24" i="94"/>
  <c r="O64" i="93"/>
  <c r="O72" i="93"/>
  <c r="O23" i="93"/>
  <c r="O25" i="93"/>
  <c r="O29" i="93"/>
  <c r="O31" i="93"/>
  <c r="O33" i="93"/>
  <c r="O35" i="93"/>
  <c r="O37" i="93"/>
  <c r="O43" i="93"/>
  <c r="O45" i="93"/>
  <c r="O51" i="93"/>
  <c r="O53" i="93"/>
  <c r="O59" i="93"/>
  <c r="O61" i="93"/>
  <c r="O63" i="93"/>
  <c r="O65" i="93"/>
  <c r="O18" i="91"/>
  <c r="O28" i="90"/>
  <c r="O18" i="88"/>
  <c r="O27" i="88"/>
  <c r="O29" i="88"/>
  <c r="O47" i="88"/>
  <c r="O53" i="88"/>
  <c r="O61" i="88"/>
  <c r="O65" i="88"/>
  <c r="O71" i="88"/>
  <c r="O25" i="87"/>
  <c r="O59" i="87"/>
  <c r="O61" i="87"/>
  <c r="O63" i="87"/>
  <c r="O65" i="87"/>
  <c r="O67" i="87"/>
  <c r="O17" i="86"/>
  <c r="O20" i="86"/>
  <c r="O30" i="86"/>
  <c r="O38" i="86"/>
  <c r="O40" i="86"/>
  <c r="O42" i="86"/>
  <c r="O48" i="86"/>
  <c r="O50" i="86"/>
  <c r="O52" i="86"/>
  <c r="O56" i="86"/>
  <c r="O58" i="86"/>
  <c r="O60" i="86"/>
  <c r="O18" i="86"/>
  <c r="O37" i="86"/>
  <c r="O52" i="84"/>
  <c r="O58" i="84"/>
  <c r="O18" i="84"/>
  <c r="O17" i="84"/>
  <c r="O34" i="83"/>
  <c r="O38" i="83"/>
  <c r="O18" i="82"/>
  <c r="O27" i="82"/>
  <c r="O18" i="81"/>
  <c r="O23" i="81"/>
  <c r="O25" i="81"/>
  <c r="O47" i="81"/>
  <c r="O54" i="81"/>
  <c r="O32" i="79"/>
  <c r="O23" i="78"/>
  <c r="O61" i="78"/>
  <c r="O39" i="77"/>
  <c r="O45" i="77"/>
  <c r="O47" i="77"/>
  <c r="O53" i="77"/>
  <c r="O57" i="77"/>
  <c r="O59" i="77"/>
  <c r="O65" i="77"/>
  <c r="O67" i="77"/>
  <c r="O69" i="77"/>
  <c r="O71" i="77"/>
  <c r="O19" i="77"/>
  <c r="O30" i="76"/>
  <c r="O38" i="76"/>
  <c r="O18" i="75"/>
  <c r="O28" i="73"/>
  <c r="O34" i="73"/>
  <c r="O36" i="73"/>
  <c r="O38" i="73"/>
  <c r="O40" i="73"/>
  <c r="O42" i="73"/>
  <c r="O44" i="73"/>
  <c r="O52" i="73"/>
  <c r="O54" i="73"/>
  <c r="O62" i="73"/>
  <c r="O64" i="73"/>
  <c r="O17" i="73"/>
  <c r="O29" i="73"/>
  <c r="O45" i="73"/>
  <c r="O49" i="73"/>
  <c r="O51" i="73"/>
  <c r="O53" i="73"/>
  <c r="O55" i="73"/>
  <c r="O59" i="73"/>
  <c r="O63" i="73"/>
  <c r="O65" i="73"/>
  <c r="O67" i="73"/>
  <c r="O69" i="73"/>
  <c r="O71" i="73"/>
  <c r="O19" i="72"/>
  <c r="O31" i="72"/>
  <c r="O33" i="72"/>
  <c r="O37" i="72"/>
  <c r="O39" i="72"/>
  <c r="O43" i="72"/>
  <c r="O49" i="72"/>
  <c r="O51" i="72"/>
  <c r="O61" i="72"/>
  <c r="O65" i="72"/>
  <c r="O69" i="72"/>
  <c r="O31" i="71"/>
  <c r="O33" i="71"/>
  <c r="O35" i="71"/>
  <c r="O37" i="71"/>
  <c r="O47" i="71"/>
  <c r="O53" i="71"/>
  <c r="O55" i="71"/>
  <c r="O63" i="71"/>
  <c r="O65" i="71"/>
  <c r="O67" i="71"/>
  <c r="O69" i="71"/>
  <c r="O71" i="71"/>
  <c r="O23" i="71"/>
  <c r="O17" i="71"/>
  <c r="O24" i="71"/>
  <c r="O35" i="70"/>
  <c r="O37" i="70"/>
  <c r="O41" i="70"/>
  <c r="O61" i="70"/>
  <c r="O67" i="70"/>
  <c r="O69" i="70"/>
  <c r="O31" i="70"/>
  <c r="O59" i="70"/>
  <c r="O36" i="69"/>
  <c r="O38" i="69"/>
  <c r="O48" i="69"/>
  <c r="O52" i="69"/>
  <c r="O60" i="69"/>
  <c r="O62" i="69"/>
  <c r="O64" i="69"/>
  <c r="O44" i="68"/>
  <c r="O32" i="66"/>
  <c r="O34" i="66"/>
  <c r="O36" i="66"/>
  <c r="O42" i="66"/>
  <c r="O46" i="66"/>
  <c r="O45" i="66"/>
  <c r="O48" i="66"/>
  <c r="O29" i="65"/>
  <c r="O53" i="64"/>
  <c r="O57" i="64"/>
  <c r="O67" i="64"/>
  <c r="O61" i="61"/>
  <c r="O28" i="61"/>
  <c r="O30" i="61"/>
  <c r="O40" i="61"/>
  <c r="O42" i="61"/>
  <c r="O44" i="61"/>
  <c r="O50" i="61"/>
  <c r="O54" i="61"/>
  <c r="O58" i="61"/>
  <c r="O60" i="61"/>
  <c r="O62" i="61"/>
  <c r="O64" i="61"/>
  <c r="O66" i="61"/>
  <c r="O68" i="61"/>
  <c r="O70" i="61"/>
  <c r="O72" i="61"/>
  <c r="O71" i="58"/>
  <c r="O67" i="58"/>
  <c r="O61" i="58"/>
  <c r="O53" i="58"/>
  <c r="O51" i="58"/>
  <c r="O47" i="58"/>
  <c r="O45" i="58"/>
  <c r="O43" i="58"/>
  <c r="O39" i="58"/>
  <c r="O37" i="58"/>
  <c r="O35" i="58"/>
  <c r="O33" i="58"/>
  <c r="O72" i="56"/>
  <c r="O64" i="56"/>
  <c r="O62" i="56"/>
  <c r="O58" i="56"/>
  <c r="O56" i="56"/>
  <c r="O52" i="56"/>
  <c r="O48" i="56"/>
  <c r="O46" i="56"/>
  <c r="O44" i="56"/>
  <c r="O42" i="56"/>
  <c r="O40" i="56"/>
  <c r="O38" i="56"/>
  <c r="O36" i="56"/>
  <c r="O34" i="56"/>
  <c r="O32" i="56"/>
  <c r="O63" i="55"/>
  <c r="O59" i="55"/>
  <c r="O57" i="55"/>
  <c r="O53" i="55"/>
  <c r="O51" i="55"/>
  <c r="O47" i="55"/>
  <c r="O41" i="55"/>
  <c r="O39" i="55"/>
  <c r="O37" i="55"/>
  <c r="O35" i="55"/>
  <c r="O33" i="55"/>
  <c r="O31" i="55"/>
  <c r="O29" i="55"/>
  <c r="O27" i="55"/>
  <c r="O69" i="54"/>
  <c r="O65" i="54"/>
  <c r="O55" i="54"/>
  <c r="O53" i="54"/>
  <c r="O51" i="54"/>
  <c r="O45" i="54"/>
  <c r="O43" i="54"/>
  <c r="O39" i="54"/>
  <c r="O35" i="54"/>
  <c r="O29" i="54"/>
  <c r="O59" i="53"/>
  <c r="O66" i="46"/>
  <c r="O52" i="46"/>
  <c r="O44" i="46"/>
  <c r="O68" i="44"/>
  <c r="O66" i="44"/>
  <c r="O55" i="44"/>
  <c r="O60" i="43"/>
  <c r="O48" i="43"/>
  <c r="O40" i="42"/>
  <c r="O38" i="42"/>
  <c r="O36" i="42"/>
  <c r="O34" i="42"/>
  <c r="O66" i="42"/>
  <c r="O64" i="42"/>
  <c r="O62" i="42"/>
  <c r="O60" i="42"/>
  <c r="O56" i="42"/>
  <c r="O54" i="42"/>
  <c r="O52" i="42"/>
  <c r="O48" i="42"/>
  <c r="O46" i="42"/>
  <c r="O67" i="41"/>
  <c r="O65" i="41"/>
  <c r="O57" i="41"/>
  <c r="O55" i="41"/>
  <c r="O53" i="41"/>
  <c r="O51" i="41"/>
  <c r="O49" i="41"/>
  <c r="O45" i="41"/>
  <c r="O43" i="41"/>
  <c r="O41" i="41"/>
  <c r="O39" i="41"/>
  <c r="O37" i="41"/>
  <c r="O35" i="41"/>
  <c r="O33" i="41"/>
  <c r="O29" i="41"/>
  <c r="O68" i="39"/>
  <c r="O66" i="39"/>
  <c r="O64" i="39"/>
  <c r="O56" i="39"/>
  <c r="O52" i="39"/>
  <c r="O48" i="39"/>
  <c r="O46" i="39"/>
  <c r="O44" i="39"/>
  <c r="O36" i="39"/>
  <c r="O34" i="39"/>
  <c r="O32" i="39"/>
  <c r="O28" i="39"/>
  <c r="O49" i="34"/>
  <c r="O39" i="34"/>
  <c r="O31" i="34"/>
  <c r="O31" i="32"/>
  <c r="O55" i="31"/>
  <c r="O41" i="31"/>
  <c r="O39" i="31"/>
  <c r="O35" i="31"/>
  <c r="O66" i="31"/>
  <c r="O65" i="30"/>
  <c r="O63" i="30"/>
  <c r="O55" i="30"/>
  <c r="O51" i="30"/>
  <c r="O47" i="30"/>
  <c r="O43" i="30"/>
  <c r="O41" i="30"/>
  <c r="O39" i="30"/>
  <c r="O37" i="30"/>
  <c r="O35" i="30"/>
  <c r="O50" i="29"/>
  <c r="O70" i="23"/>
  <c r="O68" i="23"/>
  <c r="O66" i="23"/>
  <c r="O64" i="23"/>
  <c r="O60" i="23"/>
  <c r="O52" i="23"/>
  <c r="O50" i="23"/>
  <c r="O48" i="23"/>
  <c r="O42" i="23"/>
  <c r="O38" i="23"/>
  <c r="O36" i="23"/>
  <c r="O34" i="23"/>
  <c r="O30" i="23"/>
  <c r="O29" i="21"/>
  <c r="O69" i="21"/>
  <c r="O51" i="21"/>
  <c r="O47" i="21"/>
  <c r="O45" i="21"/>
  <c r="O39" i="21"/>
  <c r="O72" i="21"/>
  <c r="O70" i="21"/>
  <c r="O68" i="21"/>
  <c r="O66" i="21"/>
  <c r="O64" i="21"/>
  <c r="O62" i="21"/>
  <c r="O60" i="21"/>
  <c r="O58" i="21"/>
  <c r="O56" i="21"/>
  <c r="O48" i="21"/>
  <c r="O40" i="21"/>
  <c r="O36" i="21"/>
  <c r="O34" i="21"/>
  <c r="O30" i="21"/>
  <c r="O47" i="20"/>
  <c r="O57" i="19"/>
  <c r="O68" i="19"/>
  <c r="O43" i="19"/>
  <c r="O41" i="19"/>
  <c r="O44" i="3"/>
  <c r="O71" i="3"/>
  <c r="O69" i="3"/>
  <c r="O67" i="3"/>
  <c r="O65" i="3"/>
  <c r="O63" i="3"/>
  <c r="O61" i="3"/>
  <c r="O59" i="3"/>
  <c r="O55" i="3"/>
  <c r="O51" i="3"/>
  <c r="O49" i="3"/>
  <c r="O47" i="3"/>
  <c r="O45" i="3"/>
  <c r="O42" i="3"/>
  <c r="O36" i="3"/>
  <c r="O32" i="3"/>
  <c r="O30" i="3"/>
  <c r="O61" i="71"/>
  <c r="O18" i="71"/>
  <c r="O19" i="71"/>
  <c r="O43" i="71"/>
  <c r="O25" i="71"/>
  <c r="O20" i="71"/>
  <c r="O26" i="71"/>
  <c r="O39" i="70"/>
  <c r="O19" i="70"/>
  <c r="O21" i="70"/>
  <c r="O30" i="70"/>
  <c r="O32" i="70"/>
  <c r="O36" i="70"/>
  <c r="O38" i="70"/>
  <c r="O42" i="70"/>
  <c r="O52" i="70"/>
  <c r="O54" i="70"/>
  <c r="O56" i="70"/>
  <c r="O58" i="70"/>
  <c r="O60" i="70"/>
  <c r="O62" i="70"/>
  <c r="O64" i="70"/>
  <c r="O66" i="70"/>
  <c r="O68" i="70"/>
  <c r="O70" i="70"/>
  <c r="O27" i="70"/>
  <c r="O24" i="70"/>
  <c r="O49" i="69"/>
  <c r="O17" i="69"/>
  <c r="O19" i="68"/>
  <c r="O33" i="67"/>
  <c r="O23" i="67"/>
  <c r="O25" i="67"/>
  <c r="O35" i="67"/>
  <c r="O37" i="67"/>
  <c r="O39" i="67"/>
  <c r="O41" i="67"/>
  <c r="O43" i="67"/>
  <c r="O45" i="67"/>
  <c r="O47" i="67"/>
  <c r="O49" i="67"/>
  <c r="O57" i="67"/>
  <c r="O36" i="67"/>
  <c r="O50" i="67"/>
  <c r="O52" i="67"/>
  <c r="O64" i="67"/>
  <c r="O61" i="66"/>
  <c r="O63" i="66"/>
  <c r="O65" i="66"/>
  <c r="O67" i="66"/>
  <c r="O19" i="66"/>
  <c r="O33" i="65"/>
  <c r="O35" i="65"/>
  <c r="O37" i="65"/>
  <c r="O39" i="65"/>
  <c r="O41" i="65"/>
  <c r="O43" i="65"/>
  <c r="O45" i="65"/>
  <c r="O55" i="65"/>
  <c r="O57" i="65"/>
  <c r="O61" i="65"/>
  <c r="O63" i="65"/>
  <c r="O65" i="65"/>
  <c r="O18" i="65"/>
  <c r="O21" i="64"/>
  <c r="O20" i="60"/>
  <c r="O24" i="60"/>
  <c r="O26" i="60"/>
  <c r="O30" i="60"/>
  <c r="O34" i="60"/>
  <c r="O36" i="60"/>
  <c r="O38" i="60"/>
  <c r="O40" i="60"/>
  <c r="O42" i="60"/>
  <c r="O44" i="60"/>
  <c r="O46" i="60"/>
  <c r="O48" i="60"/>
  <c r="O58" i="60"/>
  <c r="O66" i="60"/>
  <c r="O70" i="60"/>
  <c r="O18" i="60"/>
  <c r="O20" i="62"/>
  <c r="O43" i="63"/>
  <c r="O56" i="63"/>
  <c r="O66" i="63"/>
  <c r="O19" i="63"/>
  <c r="O36" i="61"/>
  <c r="O19" i="61"/>
  <c r="O21" i="61"/>
  <c r="O35" i="59"/>
  <c r="O47" i="59"/>
  <c r="O70" i="58"/>
  <c r="O68" i="58"/>
  <c r="O64" i="58"/>
  <c r="O62" i="58"/>
  <c r="O60" i="58"/>
  <c r="O56" i="58"/>
  <c r="O54" i="58"/>
  <c r="O50" i="58"/>
  <c r="O48" i="58"/>
  <c r="O46" i="58"/>
  <c r="O42" i="58"/>
  <c r="O36" i="58"/>
  <c r="O34" i="58"/>
  <c r="O32" i="58"/>
  <c r="O26" i="58"/>
  <c r="O21" i="57"/>
  <c r="O17" i="56"/>
  <c r="O21" i="56"/>
  <c r="O68" i="55"/>
  <c r="O66" i="55"/>
  <c r="O60" i="55"/>
  <c r="O58" i="55"/>
  <c r="O56" i="55"/>
  <c r="O54" i="55"/>
  <c r="O50" i="55"/>
  <c r="O42" i="55"/>
  <c r="O40" i="55"/>
  <c r="O38" i="55"/>
  <c r="O36" i="55"/>
  <c r="O34" i="55"/>
  <c r="O32" i="55"/>
  <c r="O30" i="55"/>
  <c r="O26" i="55"/>
  <c r="O19" i="55"/>
  <c r="O21" i="55"/>
  <c r="O18" i="54"/>
  <c r="O58" i="54"/>
  <c r="O67" i="53"/>
  <c r="O65" i="53"/>
  <c r="O57" i="53"/>
  <c r="O47" i="53"/>
  <c r="O41" i="53"/>
  <c r="O37" i="53"/>
  <c r="O35" i="53"/>
  <c r="O63" i="53"/>
  <c r="O70" i="53"/>
  <c r="O68" i="53"/>
  <c r="O60" i="53"/>
  <c r="O58" i="53"/>
  <c r="O56" i="53"/>
  <c r="O52" i="53"/>
  <c r="O44" i="53"/>
  <c r="O71" i="46"/>
  <c r="O63" i="46"/>
  <c r="O59" i="46"/>
  <c r="O57" i="46"/>
  <c r="O53" i="46"/>
  <c r="O51" i="46"/>
  <c r="O47" i="46"/>
  <c r="O41" i="46"/>
  <c r="O31" i="46"/>
  <c r="O29" i="46"/>
  <c r="O27" i="46"/>
  <c r="O23" i="45"/>
  <c r="O63" i="44"/>
  <c r="O27" i="44"/>
  <c r="O58" i="44"/>
  <c r="O56" i="44"/>
  <c r="O54" i="44"/>
  <c r="O50" i="44"/>
  <c r="O48" i="44"/>
  <c r="O44" i="44"/>
  <c r="O40" i="44"/>
  <c r="O36" i="44"/>
  <c r="O32" i="44"/>
  <c r="O28" i="44"/>
  <c r="O41" i="44"/>
  <c r="O19" i="44"/>
  <c r="O17" i="44"/>
  <c r="O20" i="44"/>
  <c r="O21" i="43"/>
  <c r="O18" i="42"/>
  <c r="O20" i="41"/>
  <c r="O51" i="39"/>
  <c r="O31" i="39"/>
  <c r="O22" i="39"/>
  <c r="O64" i="34"/>
  <c r="O60" i="34"/>
  <c r="O38" i="34"/>
  <c r="O30" i="34"/>
  <c r="O22" i="34"/>
  <c r="O26" i="34"/>
  <c r="O18" i="34"/>
  <c r="O68" i="32"/>
  <c r="O64" i="32"/>
  <c r="O62" i="32"/>
  <c r="O58" i="32"/>
  <c r="O56" i="32"/>
  <c r="O52" i="32"/>
  <c r="O42" i="32"/>
  <c r="O36" i="32"/>
  <c r="O34" i="32"/>
  <c r="O22" i="32"/>
  <c r="O26" i="32"/>
  <c r="O20" i="32"/>
  <c r="O67" i="31"/>
  <c r="O23" i="31"/>
  <c r="O23" i="30"/>
  <c r="O25" i="30"/>
  <c r="O50" i="30"/>
  <c r="O19" i="30"/>
  <c r="O17" i="30"/>
  <c r="O45" i="29"/>
  <c r="O64" i="29"/>
  <c r="O60" i="29"/>
  <c r="O48" i="29"/>
  <c r="O34" i="29"/>
  <c r="O19" i="29"/>
  <c r="O20" i="29"/>
  <c r="O27" i="29"/>
  <c r="O22" i="29"/>
  <c r="O24" i="28"/>
  <c r="O60" i="28"/>
  <c r="O54" i="28"/>
  <c r="O52" i="28"/>
  <c r="O50" i="28"/>
  <c r="O44" i="28"/>
  <c r="O40" i="28"/>
  <c r="O25" i="28"/>
  <c r="O70" i="27"/>
  <c r="O68" i="27"/>
  <c r="O66" i="27"/>
  <c r="O64" i="27"/>
  <c r="O62" i="27"/>
  <c r="O58" i="27"/>
  <c r="O56" i="27"/>
  <c r="O54" i="27"/>
  <c r="O52" i="27"/>
  <c r="O50" i="27"/>
  <c r="O46" i="27"/>
  <c r="O43" i="27"/>
  <c r="O41" i="27"/>
  <c r="O27" i="27"/>
  <c r="O21" i="27"/>
  <c r="O19" i="27"/>
  <c r="O24" i="24"/>
  <c r="O25" i="24"/>
  <c r="O26" i="24"/>
  <c r="O18" i="23"/>
  <c r="O69" i="22"/>
  <c r="O63" i="22"/>
  <c r="O53" i="22"/>
  <c r="O72" i="22"/>
  <c r="O70" i="22"/>
  <c r="O68" i="22"/>
  <c r="O64" i="22"/>
  <c r="O62" i="22"/>
  <c r="O56" i="22"/>
  <c r="O54" i="22"/>
  <c r="O52" i="22"/>
  <c r="O48" i="22"/>
  <c r="O22" i="22"/>
  <c r="O23" i="22"/>
  <c r="O26" i="22"/>
  <c r="I10" i="82"/>
  <c r="D93" i="82" s="1"/>
  <c r="I10" i="99"/>
  <c r="I10" i="98"/>
  <c r="I10" i="97"/>
  <c r="O55" i="21"/>
  <c r="O19" i="21"/>
  <c r="O18" i="20"/>
  <c r="O25" i="20"/>
  <c r="O19" i="19"/>
  <c r="O22" i="19"/>
  <c r="O18" i="19"/>
  <c r="O41" i="18"/>
  <c r="O17" i="18"/>
  <c r="O22" i="18"/>
  <c r="O19" i="18"/>
  <c r="O20" i="18"/>
  <c r="O24" i="17"/>
  <c r="O48" i="3"/>
  <c r="O20" i="3"/>
  <c r="O26" i="3"/>
  <c r="O24" i="3"/>
  <c r="P129" i="55"/>
  <c r="C76" i="2"/>
  <c r="J94" i="90"/>
  <c r="J95" i="90" s="1"/>
  <c r="J94" i="99"/>
  <c r="J94" i="98"/>
  <c r="J94" i="97"/>
  <c r="C82" i="2"/>
  <c r="C10" i="2"/>
  <c r="C55" i="2"/>
  <c r="P106" i="77"/>
  <c r="O65" i="20"/>
  <c r="O59" i="20"/>
  <c r="O57" i="20"/>
  <c r="O51" i="20"/>
  <c r="O49" i="20"/>
  <c r="O40" i="20"/>
  <c r="O36" i="20"/>
  <c r="O34" i="20"/>
  <c r="O55" i="19"/>
  <c r="O44" i="19"/>
  <c r="O42" i="19"/>
  <c r="O40" i="19"/>
  <c r="O32" i="19"/>
  <c r="O28" i="19"/>
  <c r="O60" i="24"/>
  <c r="O54" i="24"/>
  <c r="O52" i="24"/>
  <c r="O50" i="24"/>
  <c r="O50" i="35"/>
  <c r="O71" i="39"/>
  <c r="O63" i="39"/>
  <c r="O55" i="39"/>
  <c r="O53" i="39"/>
  <c r="O49" i="39"/>
  <c r="O47" i="39"/>
  <c r="O41" i="39"/>
  <c r="O27" i="39"/>
  <c r="O69" i="44"/>
  <c r="O59" i="44"/>
  <c r="O57" i="44"/>
  <c r="O51" i="44"/>
  <c r="O49" i="44"/>
  <c r="O35" i="44"/>
  <c r="O31" i="44"/>
  <c r="O29" i="44"/>
  <c r="O47" i="61"/>
  <c r="O30" i="65"/>
  <c r="O34" i="65"/>
  <c r="O52" i="65"/>
  <c r="O56" i="65"/>
  <c r="O72" i="65"/>
  <c r="O23" i="66"/>
  <c r="O39" i="66"/>
  <c r="O43" i="66"/>
  <c r="O47" i="66"/>
  <c r="O51" i="66"/>
  <c r="O43" i="69"/>
  <c r="O45" i="69"/>
  <c r="O71" i="69"/>
  <c r="O29" i="78"/>
  <c r="O31" i="78"/>
  <c r="O47" i="78"/>
  <c r="O48" i="81"/>
  <c r="O72" i="81"/>
  <c r="O22" i="88"/>
  <c r="O48" i="88"/>
  <c r="O50" i="88"/>
  <c r="O68" i="88"/>
  <c r="O45" i="89"/>
  <c r="O63" i="89"/>
  <c r="O69" i="89"/>
  <c r="O71" i="89"/>
  <c r="O31" i="90"/>
  <c r="O49" i="90"/>
  <c r="O51" i="90"/>
  <c r="O53" i="90"/>
  <c r="O57" i="90"/>
  <c r="O61" i="90"/>
  <c r="O69" i="90"/>
  <c r="O20" i="93"/>
  <c r="O56" i="93"/>
  <c r="O29" i="95"/>
  <c r="O53" i="95"/>
  <c r="O71" i="95"/>
  <c r="O71" i="23"/>
  <c r="O69" i="23"/>
  <c r="O67" i="23"/>
  <c r="O65" i="23"/>
  <c r="O63" i="23"/>
  <c r="O61" i="23"/>
  <c r="O59" i="23"/>
  <c r="O57" i="23"/>
  <c r="O55" i="23"/>
  <c r="O53" i="23"/>
  <c r="O51" i="23"/>
  <c r="O49" i="23"/>
  <c r="O47" i="23"/>
  <c r="O43" i="23"/>
  <c r="O41" i="23"/>
  <c r="O37" i="23"/>
  <c r="O61" i="29"/>
  <c r="O59" i="29"/>
  <c r="O57" i="29"/>
  <c r="O49" i="29"/>
  <c r="O47" i="29"/>
  <c r="O39" i="29"/>
  <c r="O37" i="29"/>
  <c r="O31" i="29"/>
  <c r="O45" i="43"/>
  <c r="O43" i="43"/>
  <c r="O37" i="43"/>
  <c r="O27" i="43"/>
  <c r="O46" i="64"/>
  <c r="O50" i="64"/>
  <c r="O52" i="64"/>
  <c r="O58" i="64"/>
  <c r="O60" i="64"/>
  <c r="O62" i="64"/>
  <c r="O68" i="64"/>
  <c r="O24" i="68"/>
  <c r="O30" i="68"/>
  <c r="O32" i="68"/>
  <c r="O34" i="68"/>
  <c r="O40" i="68"/>
  <c r="O54" i="68"/>
  <c r="O56" i="68"/>
  <c r="O66" i="68"/>
  <c r="O70" i="68"/>
  <c r="O43" i="74"/>
  <c r="O45" i="74"/>
  <c r="O59" i="74"/>
  <c r="O61" i="74"/>
  <c r="O63" i="74"/>
  <c r="O67" i="74"/>
  <c r="O71" i="74"/>
  <c r="O29" i="76"/>
  <c r="O28" i="77"/>
  <c r="O42" i="77"/>
  <c r="O44" i="77"/>
  <c r="O23" i="80"/>
  <c r="O31" i="80"/>
  <c r="O45" i="80"/>
  <c r="O36" i="82"/>
  <c r="O48" i="82"/>
  <c r="O66" i="82"/>
  <c r="O22" i="85"/>
  <c r="O30" i="85"/>
  <c r="O34" i="85"/>
  <c r="O42" i="85"/>
  <c r="O44" i="85"/>
  <c r="O48" i="85"/>
  <c r="O50" i="85"/>
  <c r="O56" i="85"/>
  <c r="O60" i="85"/>
  <c r="O62" i="85"/>
  <c r="O36" i="91"/>
  <c r="O54" i="91"/>
  <c r="O28" i="92"/>
  <c r="O34" i="92"/>
  <c r="O36" i="92"/>
  <c r="O42" i="92"/>
  <c r="O44" i="92"/>
  <c r="O54" i="92"/>
  <c r="O56" i="92"/>
  <c r="O68" i="92"/>
  <c r="O72" i="92"/>
  <c r="O40" i="96"/>
  <c r="O58" i="96"/>
  <c r="O45" i="59"/>
  <c r="O51" i="59"/>
  <c r="O53" i="59"/>
  <c r="O55" i="59"/>
  <c r="O57" i="59"/>
  <c r="O61" i="59"/>
  <c r="O63" i="59"/>
  <c r="O67" i="59"/>
  <c r="O71" i="59"/>
  <c r="O25" i="62"/>
  <c r="O37" i="62"/>
  <c r="O39" i="62"/>
  <c r="O43" i="62"/>
  <c r="O49" i="62"/>
  <c r="O51" i="62"/>
  <c r="O53" i="62"/>
  <c r="O55" i="62"/>
  <c r="O59" i="62"/>
  <c r="O61" i="62"/>
  <c r="O65" i="62"/>
  <c r="O71" i="62"/>
  <c r="O53" i="63"/>
  <c r="O42" i="69"/>
  <c r="O54" i="69"/>
  <c r="O64" i="78"/>
  <c r="O43" i="87"/>
  <c r="O45" i="87"/>
  <c r="O57" i="87"/>
  <c r="O69" i="87"/>
  <c r="O44" i="90"/>
  <c r="O50" i="90"/>
  <c r="O52" i="90"/>
  <c r="O56" i="90"/>
  <c r="O48" i="96"/>
  <c r="O68" i="96"/>
  <c r="O37" i="95"/>
  <c r="O47" i="95"/>
  <c r="O57" i="95"/>
  <c r="O65" i="95"/>
  <c r="O24" i="91"/>
  <c r="O28" i="91"/>
  <c r="O30" i="91"/>
  <c r="O48" i="91"/>
  <c r="O52" i="91"/>
  <c r="O58" i="91"/>
  <c r="O60" i="91"/>
  <c r="O27" i="91"/>
  <c r="O47" i="91"/>
  <c r="O49" i="91"/>
  <c r="O61" i="91"/>
  <c r="O67" i="91"/>
  <c r="O69" i="91"/>
  <c r="O21" i="90"/>
  <c r="O35" i="90"/>
  <c r="O37" i="90"/>
  <c r="O39" i="90"/>
  <c r="O54" i="90"/>
  <c r="O31" i="89"/>
  <c r="O57" i="89"/>
  <c r="O61" i="89"/>
  <c r="O20" i="89"/>
  <c r="O22" i="89"/>
  <c r="O24" i="89"/>
  <c r="O26" i="89"/>
  <c r="O28" i="89"/>
  <c r="O30" i="89"/>
  <c r="O34" i="89"/>
  <c r="O36" i="89"/>
  <c r="O38" i="89"/>
  <c r="O40" i="89"/>
  <c r="O42" i="89"/>
  <c r="O44" i="89"/>
  <c r="O50" i="89"/>
  <c r="O52" i="89"/>
  <c r="O56" i="89"/>
  <c r="O58" i="89"/>
  <c r="O24" i="88"/>
  <c r="O64" i="88"/>
  <c r="O37" i="88"/>
  <c r="O69" i="88"/>
  <c r="O22" i="87"/>
  <c r="O26" i="87"/>
  <c r="O30" i="87"/>
  <c r="O34" i="87"/>
  <c r="O42" i="87"/>
  <c r="O46" i="87"/>
  <c r="O54" i="87"/>
  <c r="O58" i="87"/>
  <c r="O60" i="87"/>
  <c r="O68" i="87"/>
  <c r="O20" i="87"/>
  <c r="O24" i="87"/>
  <c r="O28" i="87"/>
  <c r="O32" i="87"/>
  <c r="O40" i="87"/>
  <c r="O48" i="87"/>
  <c r="O52" i="87"/>
  <c r="O56" i="87"/>
  <c r="O62" i="87"/>
  <c r="O66" i="87"/>
  <c r="O70" i="87"/>
  <c r="O43" i="86"/>
  <c r="O69" i="86"/>
  <c r="O71" i="86"/>
  <c r="O45" i="84"/>
  <c r="O22" i="84"/>
  <c r="O26" i="84"/>
  <c r="O28" i="84"/>
  <c r="O36" i="84"/>
  <c r="O54" i="84"/>
  <c r="O56" i="84"/>
  <c r="O23" i="76"/>
  <c r="O33" i="76"/>
  <c r="O35" i="76"/>
  <c r="O39" i="76"/>
  <c r="O41" i="76"/>
  <c r="O43" i="76"/>
  <c r="O45" i="76"/>
  <c r="O47" i="76"/>
  <c r="O49" i="76"/>
  <c r="O51" i="76"/>
  <c r="O53" i="76"/>
  <c r="O55" i="76"/>
  <c r="O57" i="76"/>
  <c r="O59" i="76"/>
  <c r="O61" i="76"/>
  <c r="O63" i="76"/>
  <c r="O65" i="76"/>
  <c r="O67" i="76"/>
  <c r="O69" i="76"/>
  <c r="O71" i="76"/>
  <c r="O22" i="76"/>
  <c r="O26" i="76"/>
  <c r="O28" i="76"/>
  <c r="O32" i="76"/>
  <c r="O34" i="76"/>
  <c r="O36" i="76"/>
  <c r="O46" i="76"/>
  <c r="O56" i="76"/>
  <c r="O68" i="76"/>
  <c r="O23" i="75"/>
  <c r="O26" i="75"/>
  <c r="O30" i="75"/>
  <c r="O32" i="75"/>
  <c r="O40" i="75"/>
  <c r="O52" i="75"/>
  <c r="O58" i="75"/>
  <c r="O60" i="75"/>
  <c r="O62" i="75"/>
  <c r="O64" i="75"/>
  <c r="O68" i="75"/>
  <c r="O23" i="96"/>
  <c r="O25" i="96"/>
  <c r="O27" i="96"/>
  <c r="O37" i="96"/>
  <c r="O41" i="96"/>
  <c r="O43" i="96"/>
  <c r="O49" i="96"/>
  <c r="O51" i="96"/>
  <c r="O71" i="96"/>
  <c r="O24" i="96"/>
  <c r="O49" i="95"/>
  <c r="O51" i="95"/>
  <c r="O59" i="95"/>
  <c r="O63" i="95"/>
  <c r="O67" i="95"/>
  <c r="O17" i="95"/>
  <c r="O26" i="94"/>
  <c r="O44" i="94"/>
  <c r="O28" i="94"/>
  <c r="O32" i="94"/>
  <c r="O38" i="94"/>
  <c r="O42" i="94"/>
  <c r="O48" i="94"/>
  <c r="O52" i="94"/>
  <c r="O72" i="94"/>
  <c r="O30" i="94"/>
  <c r="O46" i="94"/>
  <c r="O50" i="94"/>
  <c r="O68" i="94"/>
  <c r="O70" i="94"/>
  <c r="O50" i="92"/>
  <c r="O70" i="92"/>
  <c r="O31" i="92"/>
  <c r="O35" i="92"/>
  <c r="O49" i="92"/>
  <c r="O51" i="92"/>
  <c r="O55" i="92"/>
  <c r="O57" i="92"/>
  <c r="O69" i="92"/>
  <c r="O18" i="92"/>
  <c r="O26" i="90"/>
  <c r="O42" i="90"/>
  <c r="O48" i="90"/>
  <c r="O35" i="89"/>
  <c r="O53" i="89"/>
  <c r="O18" i="89"/>
  <c r="O32" i="88"/>
  <c r="O34" i="88"/>
  <c r="O66" i="88"/>
  <c r="O25" i="85"/>
  <c r="O39" i="85"/>
  <c r="O45" i="85"/>
  <c r="O63" i="85"/>
  <c r="O69" i="85"/>
  <c r="O19" i="84"/>
  <c r="O23" i="84"/>
  <c r="O31" i="84"/>
  <c r="O47" i="84"/>
  <c r="O53" i="84"/>
  <c r="O23" i="83"/>
  <c r="O31" i="83"/>
  <c r="O61" i="83"/>
  <c r="O41" i="83"/>
  <c r="O69" i="83"/>
  <c r="O19" i="83"/>
  <c r="O35" i="82"/>
  <c r="O41" i="82"/>
  <c r="O43" i="82"/>
  <c r="O45" i="82"/>
  <c r="O53" i="82"/>
  <c r="O55" i="82"/>
  <c r="O57" i="82"/>
  <c r="O71" i="82"/>
  <c r="O20" i="82"/>
  <c r="O22" i="82"/>
  <c r="O19" i="82"/>
  <c r="O26" i="81"/>
  <c r="O32" i="81"/>
  <c r="O46" i="81"/>
  <c r="O58" i="81"/>
  <c r="O36" i="79"/>
  <c r="O46" i="79"/>
  <c r="O60" i="79"/>
  <c r="O22" i="79"/>
  <c r="O24" i="79"/>
  <c r="O30" i="79"/>
  <c r="O34" i="79"/>
  <c r="O38" i="79"/>
  <c r="O48" i="79"/>
  <c r="O50" i="79"/>
  <c r="O54" i="79"/>
  <c r="O56" i="79"/>
  <c r="O64" i="79"/>
  <c r="O66" i="79"/>
  <c r="O68" i="79"/>
  <c r="O51" i="78"/>
  <c r="O55" i="78"/>
  <c r="O65" i="78"/>
  <c r="O22" i="78"/>
  <c r="O24" i="78"/>
  <c r="O34" i="78"/>
  <c r="O40" i="78"/>
  <c r="O44" i="78"/>
  <c r="O48" i="78"/>
  <c r="O50" i="78"/>
  <c r="O54" i="78"/>
  <c r="O56" i="78"/>
  <c r="O58" i="78"/>
  <c r="O60" i="78"/>
  <c r="O62" i="78"/>
  <c r="O68" i="78"/>
  <c r="O72" i="78"/>
  <c r="O22" i="77"/>
  <c r="O26" i="77"/>
  <c r="O34" i="77"/>
  <c r="O50" i="77"/>
  <c r="O60" i="77"/>
  <c r="O24" i="77"/>
  <c r="O48" i="77"/>
  <c r="O54" i="77"/>
  <c r="O30" i="77"/>
  <c r="O38" i="77"/>
  <c r="O40" i="77"/>
  <c r="O46" i="77"/>
  <c r="O52" i="77"/>
  <c r="O56" i="77"/>
  <c r="O62" i="77"/>
  <c r="O72" i="77"/>
  <c r="O22" i="75"/>
  <c r="O28" i="75"/>
  <c r="O38" i="75"/>
  <c r="O70" i="75"/>
  <c r="O47" i="75"/>
  <c r="O35" i="75"/>
  <c r="O39" i="75"/>
  <c r="O43" i="75"/>
  <c r="O45" i="75"/>
  <c r="O49" i="75"/>
  <c r="O65" i="75"/>
  <c r="O71" i="75"/>
  <c r="O47" i="72"/>
  <c r="O59" i="72"/>
  <c r="O67" i="72"/>
  <c r="O41" i="72"/>
  <c r="O45" i="72"/>
  <c r="O55" i="72"/>
  <c r="O63" i="72"/>
  <c r="O26" i="72"/>
  <c r="O30" i="72"/>
  <c r="O36" i="72"/>
  <c r="O38" i="72"/>
  <c r="O42" i="72"/>
  <c r="O44" i="72"/>
  <c r="O48" i="72"/>
  <c r="O54" i="72"/>
  <c r="O60" i="72"/>
  <c r="O64" i="72"/>
  <c r="O66" i="72"/>
  <c r="O68" i="72"/>
  <c r="O70" i="72"/>
  <c r="O51" i="71"/>
  <c r="O41" i="71"/>
  <c r="O59" i="71"/>
  <c r="O31" i="69"/>
  <c r="O39" i="69"/>
  <c r="O51" i="69"/>
  <c r="O57" i="69"/>
  <c r="O59" i="69"/>
  <c r="O63" i="69"/>
  <c r="O67" i="69"/>
  <c r="O36" i="68"/>
  <c r="O38" i="68"/>
  <c r="O42" i="68"/>
  <c r="O46" i="68"/>
  <c r="O48" i="68"/>
  <c r="O50" i="68"/>
  <c r="O64" i="68"/>
  <c r="O68" i="68"/>
  <c r="O33" i="68"/>
  <c r="O35" i="68"/>
  <c r="O49" i="68"/>
  <c r="O55" i="68"/>
  <c r="O61" i="68"/>
  <c r="O71" i="68"/>
  <c r="O52" i="68"/>
  <c r="O58" i="68"/>
  <c r="O60" i="68"/>
  <c r="O23" i="68"/>
  <c r="O25" i="68"/>
  <c r="O37" i="68"/>
  <c r="O43" i="68"/>
  <c r="O59" i="68"/>
  <c r="O65" i="68"/>
  <c r="O69" i="68"/>
  <c r="O63" i="67"/>
  <c r="O67" i="67"/>
  <c r="O71" i="67"/>
  <c r="O25" i="66"/>
  <c r="O31" i="66"/>
  <c r="O35" i="66"/>
  <c r="O24" i="65"/>
  <c r="O28" i="65"/>
  <c r="O32" i="65"/>
  <c r="O58" i="65"/>
  <c r="O62" i="65"/>
  <c r="O64" i="65"/>
  <c r="O68" i="65"/>
  <c r="O36" i="65"/>
  <c r="O44" i="65"/>
  <c r="O70" i="65"/>
  <c r="O51" i="65"/>
  <c r="O59" i="65"/>
  <c r="O32" i="64"/>
  <c r="O66" i="64"/>
  <c r="O30" i="64"/>
  <c r="O42" i="64"/>
  <c r="O64" i="64"/>
  <c r="O72" i="64"/>
  <c r="O24" i="64"/>
  <c r="O25" i="60"/>
  <c r="O29" i="60"/>
  <c r="O31" i="60"/>
  <c r="O33" i="60"/>
  <c r="O35" i="60"/>
  <c r="O37" i="60"/>
  <c r="O39" i="60"/>
  <c r="O41" i="60"/>
  <c r="O49" i="60"/>
  <c r="O53" i="60"/>
  <c r="O57" i="60"/>
  <c r="O59" i="60"/>
  <c r="O61" i="60"/>
  <c r="O65" i="60"/>
  <c r="O29" i="62"/>
  <c r="O41" i="62"/>
  <c r="O63" i="62"/>
  <c r="O67" i="62"/>
  <c r="O69" i="62"/>
  <c r="O22" i="62"/>
  <c r="O35" i="63"/>
  <c r="O23" i="63"/>
  <c r="O25" i="63"/>
  <c r="O33" i="63"/>
  <c r="O37" i="63"/>
  <c r="O39" i="63"/>
  <c r="O41" i="63"/>
  <c r="O45" i="63"/>
  <c r="O47" i="63"/>
  <c r="O49" i="63"/>
  <c r="O59" i="63"/>
  <c r="O61" i="63"/>
  <c r="O67" i="63"/>
  <c r="O71" i="63"/>
  <c r="O26" i="63"/>
  <c r="O30" i="63"/>
  <c r="O34" i="63"/>
  <c r="O36" i="63"/>
  <c r="O52" i="63"/>
  <c r="O72" i="63"/>
  <c r="O35" i="61"/>
  <c r="O39" i="61"/>
  <c r="O41" i="61"/>
  <c r="O43" i="61"/>
  <c r="O45" i="61"/>
  <c r="O55" i="61"/>
  <c r="O59" i="61"/>
  <c r="O63" i="61"/>
  <c r="O65" i="61"/>
  <c r="O69" i="61"/>
  <c r="O31" i="58"/>
  <c r="O69" i="57"/>
  <c r="O49" i="57"/>
  <c r="O47" i="57"/>
  <c r="O39" i="57"/>
  <c r="O29" i="57"/>
  <c r="O27" i="57"/>
  <c r="O25" i="57"/>
  <c r="O26" i="56"/>
  <c r="O24" i="56"/>
  <c r="O63" i="56"/>
  <c r="B25" i="55"/>
  <c r="O60" i="54"/>
  <c r="O56" i="54"/>
  <c r="O54" i="54"/>
  <c r="O52" i="54"/>
  <c r="O48" i="54"/>
  <c r="O42" i="54"/>
  <c r="O36" i="54"/>
  <c r="O32" i="54"/>
  <c r="O30" i="54"/>
  <c r="O33" i="53"/>
  <c r="O27" i="53"/>
  <c r="O25" i="53"/>
  <c r="O72" i="46"/>
  <c r="O70" i="46"/>
  <c r="O68" i="46"/>
  <c r="O60" i="46"/>
  <c r="O58" i="46"/>
  <c r="O50" i="46"/>
  <c r="O48" i="46"/>
  <c r="O46" i="46"/>
  <c r="O40" i="46"/>
  <c r="O38" i="46"/>
  <c r="O36" i="46"/>
  <c r="O34" i="46"/>
  <c r="O52" i="45"/>
  <c r="O46" i="45"/>
  <c r="O28" i="45"/>
  <c r="O24" i="45"/>
  <c r="O71" i="45"/>
  <c r="O62" i="45"/>
  <c r="O60" i="45"/>
  <c r="O58" i="45"/>
  <c r="O56" i="45"/>
  <c r="O54" i="45"/>
  <c r="O48" i="45"/>
  <c r="O44" i="45"/>
  <c r="O38" i="45"/>
  <c r="O36" i="45"/>
  <c r="O34" i="45"/>
  <c r="O32" i="45"/>
  <c r="O30" i="45"/>
  <c r="O64" i="43"/>
  <c r="O54" i="43"/>
  <c r="O44" i="43"/>
  <c r="O42" i="43"/>
  <c r="O40" i="43"/>
  <c r="O38" i="43"/>
  <c r="O36" i="43"/>
  <c r="O34" i="43"/>
  <c r="O32" i="43"/>
  <c r="O28" i="43"/>
  <c r="O65" i="43"/>
  <c r="O59" i="43"/>
  <c r="O55" i="43"/>
  <c r="O51" i="43"/>
  <c r="O41" i="43"/>
  <c r="O39" i="43"/>
  <c r="O31" i="43"/>
  <c r="O35" i="42"/>
  <c r="O31" i="42"/>
  <c r="O29" i="42"/>
  <c r="O37" i="42"/>
  <c r="O27" i="42"/>
  <c r="O71" i="42"/>
  <c r="O69" i="42"/>
  <c r="O67" i="42"/>
  <c r="O65" i="42"/>
  <c r="O63" i="42"/>
  <c r="O61" i="42"/>
  <c r="O57" i="42"/>
  <c r="O53" i="42"/>
  <c r="O51" i="42"/>
  <c r="O45" i="42"/>
  <c r="O58" i="41"/>
  <c r="O56" i="41"/>
  <c r="O52" i="41"/>
  <c r="O72" i="41"/>
  <c r="O62" i="41"/>
  <c r="O50" i="41"/>
  <c r="O42" i="41"/>
  <c r="O36" i="41"/>
  <c r="O32" i="41"/>
  <c r="O28" i="41"/>
  <c r="O65" i="39"/>
  <c r="O61" i="39"/>
  <c r="O45" i="39"/>
  <c r="O43" i="39"/>
  <c r="O57" i="34"/>
  <c r="O55" i="34"/>
  <c r="O53" i="34"/>
  <c r="O51" i="34"/>
  <c r="O47" i="34"/>
  <c r="O45" i="34"/>
  <c r="O41" i="34"/>
  <c r="O37" i="34"/>
  <c r="O35" i="34"/>
  <c r="O33" i="34"/>
  <c r="O29" i="34"/>
  <c r="O27" i="34"/>
  <c r="O71" i="32"/>
  <c r="O69" i="32"/>
  <c r="O65" i="32"/>
  <c r="O63" i="32"/>
  <c r="O61" i="32"/>
  <c r="O55" i="32"/>
  <c r="O51" i="32"/>
  <c r="O49" i="32"/>
  <c r="O47" i="32"/>
  <c r="O45" i="32"/>
  <c r="O43" i="32"/>
  <c r="O33" i="32"/>
  <c r="O29" i="32"/>
  <c r="O69" i="31"/>
  <c r="O59" i="31"/>
  <c r="O57" i="31"/>
  <c r="O53" i="31"/>
  <c r="O51" i="31"/>
  <c r="O47" i="31"/>
  <c r="O43" i="31"/>
  <c r="O27" i="31"/>
  <c r="O70" i="30"/>
  <c r="O66" i="30"/>
  <c r="O64" i="30"/>
  <c r="O62" i="30"/>
  <c r="O60" i="30"/>
  <c r="O58" i="30"/>
  <c r="O56" i="30"/>
  <c r="O54" i="30"/>
  <c r="O52" i="30"/>
  <c r="O48" i="30"/>
  <c r="O42" i="30"/>
  <c r="O40" i="30"/>
  <c r="O38" i="30"/>
  <c r="O34" i="30"/>
  <c r="O32" i="30"/>
  <c r="O30" i="30"/>
  <c r="O71" i="29"/>
  <c r="O35" i="29"/>
  <c r="O67" i="27"/>
  <c r="O65" i="27"/>
  <c r="O63" i="27"/>
  <c r="O59" i="27"/>
  <c r="O57" i="27"/>
  <c r="O55" i="27"/>
  <c r="O51" i="27"/>
  <c r="O49" i="27"/>
  <c r="O47" i="27"/>
  <c r="O45" i="27"/>
  <c r="O40" i="27"/>
  <c r="O38" i="27"/>
  <c r="O36" i="27"/>
  <c r="O30" i="27"/>
  <c r="O51" i="24"/>
  <c r="O47" i="24"/>
  <c r="O70" i="24"/>
  <c r="O64" i="24"/>
  <c r="O58" i="24"/>
  <c r="O56" i="24"/>
  <c r="O71" i="22"/>
  <c r="O61" i="22"/>
  <c r="O67" i="19"/>
  <c r="O65" i="19"/>
  <c r="O38" i="19"/>
  <c r="O45" i="20"/>
  <c r="O68" i="20"/>
  <c r="O58" i="20"/>
  <c r="O56" i="20"/>
  <c r="O63" i="21"/>
  <c r="O61" i="21"/>
  <c r="O43" i="21"/>
  <c r="O41" i="21"/>
  <c r="O37" i="21"/>
  <c r="O33" i="21"/>
  <c r="O66" i="20"/>
  <c r="O64" i="20"/>
  <c r="O62" i="20"/>
  <c r="O60" i="20"/>
  <c r="O43" i="20"/>
  <c r="O39" i="20"/>
  <c r="O29" i="20"/>
  <c r="O72" i="19"/>
  <c r="O60" i="19"/>
  <c r="O48" i="19"/>
  <c r="O37" i="19"/>
  <c r="O35" i="19"/>
  <c r="O33" i="19"/>
  <c r="O67" i="18"/>
  <c r="O57" i="18"/>
  <c r="O55" i="18"/>
  <c r="O42" i="18"/>
  <c r="O32" i="18"/>
  <c r="O28" i="18"/>
  <c r="O46" i="78"/>
  <c r="O52" i="78"/>
  <c r="O66" i="78"/>
  <c r="O70" i="78"/>
  <c r="O27" i="78"/>
  <c r="O33" i="78"/>
  <c r="O59" i="78"/>
  <c r="P149" i="55"/>
  <c r="D94" i="18"/>
  <c r="I10" i="95"/>
  <c r="I10" i="55"/>
  <c r="I10" i="21"/>
  <c r="I10" i="27"/>
  <c r="I10" i="25"/>
  <c r="I10" i="30"/>
  <c r="I10" i="3"/>
  <c r="D94" i="83"/>
  <c r="D94" i="56"/>
  <c r="D93" i="13"/>
  <c r="C99" i="13" s="1"/>
  <c r="I10" i="54"/>
  <c r="I10" i="68"/>
  <c r="I10" i="19"/>
  <c r="I10" i="63"/>
  <c r="A4" i="1"/>
  <c r="I10" i="45"/>
  <c r="I10" i="66"/>
  <c r="I10" i="53"/>
  <c r="I10" i="76"/>
  <c r="I10" i="79"/>
  <c r="I10" i="62"/>
  <c r="I10" i="65"/>
  <c r="D93" i="65" s="1"/>
  <c r="C99" i="65" s="1"/>
  <c r="C100" i="65" s="1"/>
  <c r="C101" i="65" s="1"/>
  <c r="C102" i="65" s="1"/>
  <c r="C103" i="65" s="1"/>
  <c r="C104" i="65" s="1"/>
  <c r="C105" i="65" s="1"/>
  <c r="C106" i="65" s="1"/>
  <c r="C107" i="65" s="1"/>
  <c r="C108" i="65" s="1"/>
  <c r="C109" i="65" s="1"/>
  <c r="C110" i="65" s="1"/>
  <c r="C111" i="65" s="1"/>
  <c r="C112" i="65" s="1"/>
  <c r="C113" i="65" s="1"/>
  <c r="C114" i="65" s="1"/>
  <c r="C115" i="65" s="1"/>
  <c r="C116" i="65" s="1"/>
  <c r="C117" i="65" s="1"/>
  <c r="C118" i="65" s="1"/>
  <c r="C119" i="65" s="1"/>
  <c r="C120" i="65" s="1"/>
  <c r="C121" i="65" s="1"/>
  <c r="C122" i="65" s="1"/>
  <c r="C123" i="65" s="1"/>
  <c r="C124" i="65" s="1"/>
  <c r="C125" i="65" s="1"/>
  <c r="C126" i="65" s="1"/>
  <c r="C127" i="65" s="1"/>
  <c r="C128" i="65" s="1"/>
  <c r="C129" i="65" s="1"/>
  <c r="C130" i="65" s="1"/>
  <c r="C131" i="65" s="1"/>
  <c r="C132" i="65" s="1"/>
  <c r="C133" i="65" s="1"/>
  <c r="C134" i="65" s="1"/>
  <c r="C135" i="65" s="1"/>
  <c r="C136" i="65" s="1"/>
  <c r="C137" i="65" s="1"/>
  <c r="C138" i="65" s="1"/>
  <c r="C139" i="65" s="1"/>
  <c r="C140" i="65" s="1"/>
  <c r="C141" i="65" s="1"/>
  <c r="C142" i="65" s="1"/>
  <c r="C143" i="65" s="1"/>
  <c r="C144" i="65" s="1"/>
  <c r="C145" i="65" s="1"/>
  <c r="C146" i="65" s="1"/>
  <c r="C147" i="65" s="1"/>
  <c r="C148" i="65" s="1"/>
  <c r="C149" i="65" s="1"/>
  <c r="C150" i="65" s="1"/>
  <c r="C151" i="65" s="1"/>
  <c r="C152" i="65" s="1"/>
  <c r="C153" i="65" s="1"/>
  <c r="C154" i="65" s="1"/>
  <c r="I10" i="34"/>
  <c r="D93" i="34" s="1"/>
  <c r="C99" i="34" s="1"/>
  <c r="C100" i="34" s="1"/>
  <c r="C101" i="34" s="1"/>
  <c r="C102" i="34" s="1"/>
  <c r="C103" i="34" s="1"/>
  <c r="C104" i="34" s="1"/>
  <c r="C105" i="34" s="1"/>
  <c r="C106" i="34" s="1"/>
  <c r="C107" i="34" s="1"/>
  <c r="C108" i="34" s="1"/>
  <c r="C109" i="34" s="1"/>
  <c r="C110" i="34" s="1"/>
  <c r="C111" i="34" s="1"/>
  <c r="C112" i="34" s="1"/>
  <c r="C113" i="34" s="1"/>
  <c r="C114" i="34" s="1"/>
  <c r="C115" i="34" s="1"/>
  <c r="C116" i="34" s="1"/>
  <c r="C117" i="34" s="1"/>
  <c r="C118" i="34" s="1"/>
  <c r="C119" i="34" s="1"/>
  <c r="C120" i="34" s="1"/>
  <c r="C121" i="34" s="1"/>
  <c r="C122" i="34" s="1"/>
  <c r="C123" i="34" s="1"/>
  <c r="C124" i="34" s="1"/>
  <c r="C125" i="34" s="1"/>
  <c r="C126" i="34" s="1"/>
  <c r="C127" i="34" s="1"/>
  <c r="C128" i="34" s="1"/>
  <c r="C129" i="34" s="1"/>
  <c r="C130" i="34" s="1"/>
  <c r="C131" i="34" s="1"/>
  <c r="C132" i="34" s="1"/>
  <c r="C133" i="34" s="1"/>
  <c r="C134" i="34" s="1"/>
  <c r="C135" i="34" s="1"/>
  <c r="C136" i="34" s="1"/>
  <c r="C137" i="34" s="1"/>
  <c r="C138" i="34" s="1"/>
  <c r="C139" i="34" s="1"/>
  <c r="C140" i="34" s="1"/>
  <c r="C141" i="34" s="1"/>
  <c r="C142" i="34" s="1"/>
  <c r="C143" i="34" s="1"/>
  <c r="C144" i="34" s="1"/>
  <c r="C145" i="34" s="1"/>
  <c r="C146" i="34" s="1"/>
  <c r="C147" i="34" s="1"/>
  <c r="C148" i="34" s="1"/>
  <c r="C149" i="34" s="1"/>
  <c r="C150" i="34" s="1"/>
  <c r="C151" i="34" s="1"/>
  <c r="C152" i="34" s="1"/>
  <c r="C153" i="34" s="1"/>
  <c r="C154" i="34" s="1"/>
  <c r="I10" i="42"/>
  <c r="I10" i="32"/>
  <c r="I10" i="64"/>
  <c r="I10" i="70"/>
  <c r="I10" i="96"/>
  <c r="I10" i="58"/>
  <c r="I10" i="57"/>
  <c r="I10" i="71"/>
  <c r="I10" i="86"/>
  <c r="I10" i="22"/>
  <c r="I10" i="80"/>
  <c r="I10" i="29"/>
  <c r="I10" i="44"/>
  <c r="D92" i="44" s="1"/>
  <c r="B107" i="44" s="1"/>
  <c r="I10" i="31"/>
  <c r="I10" i="26"/>
  <c r="D93" i="26" s="1"/>
  <c r="I10" i="60"/>
  <c r="I10" i="39"/>
  <c r="I10" i="43"/>
  <c r="D94" i="43" s="1"/>
  <c r="I10" i="84"/>
  <c r="I10" i="59"/>
  <c r="I10" i="77"/>
  <c r="D94" i="77" s="1"/>
  <c r="I10" i="87"/>
  <c r="D94" i="87" s="1"/>
  <c r="I10" i="24"/>
  <c r="I10" i="93"/>
  <c r="I10" i="94"/>
  <c r="D92" i="13"/>
  <c r="J96" i="13" s="1"/>
  <c r="D93" i="18"/>
  <c r="C99" i="18" s="1"/>
  <c r="C100" i="18" s="1"/>
  <c r="C101" i="18" s="1"/>
  <c r="C102" i="18" s="1"/>
  <c r="C103" i="18" s="1"/>
  <c r="C104" i="18" s="1"/>
  <c r="C105" i="18" s="1"/>
  <c r="C106" i="18" s="1"/>
  <c r="C107" i="18" s="1"/>
  <c r="C108" i="18" s="1"/>
  <c r="C109" i="18" s="1"/>
  <c r="C110" i="18" s="1"/>
  <c r="C111" i="18" s="1"/>
  <c r="C112" i="18" s="1"/>
  <c r="C113" i="18" s="1"/>
  <c r="C114" i="18" s="1"/>
  <c r="C115" i="18" s="1"/>
  <c r="C116" i="18" s="1"/>
  <c r="C117" i="18" s="1"/>
  <c r="C118" i="18" s="1"/>
  <c r="C119" i="18" s="1"/>
  <c r="C120" i="18" s="1"/>
  <c r="C121" i="18" s="1"/>
  <c r="C122" i="18" s="1"/>
  <c r="C123" i="18" s="1"/>
  <c r="C124" i="18" s="1"/>
  <c r="C125" i="18" s="1"/>
  <c r="C126" i="18" s="1"/>
  <c r="C127" i="18" s="1"/>
  <c r="C128" i="18" s="1"/>
  <c r="C129" i="18" s="1"/>
  <c r="C130" i="18" s="1"/>
  <c r="C131" i="18" s="1"/>
  <c r="C132" i="18" s="1"/>
  <c r="C133" i="18" s="1"/>
  <c r="C134" i="18" s="1"/>
  <c r="C135" i="18" s="1"/>
  <c r="C136" i="18" s="1"/>
  <c r="C137" i="18" s="1"/>
  <c r="C138" i="18" s="1"/>
  <c r="C139" i="18" s="1"/>
  <c r="C140" i="18" s="1"/>
  <c r="C141" i="18" s="1"/>
  <c r="C142" i="18" s="1"/>
  <c r="C143" i="18" s="1"/>
  <c r="C144" i="18" s="1"/>
  <c r="C145" i="18" s="1"/>
  <c r="C146" i="18" s="1"/>
  <c r="C147" i="18" s="1"/>
  <c r="C148" i="18" s="1"/>
  <c r="C149" i="18" s="1"/>
  <c r="C150" i="18" s="1"/>
  <c r="C151" i="18" s="1"/>
  <c r="C152" i="18" s="1"/>
  <c r="C153" i="18" s="1"/>
  <c r="C154" i="18" s="1"/>
  <c r="I10" i="88"/>
  <c r="I10" i="72"/>
  <c r="I10" i="81"/>
  <c r="I10" i="91"/>
  <c r="I10" i="69"/>
  <c r="I10" i="67"/>
  <c r="I10" i="41"/>
  <c r="I10" i="92"/>
  <c r="D93" i="92" s="1"/>
  <c r="C99" i="92" s="1"/>
  <c r="C100" i="92" s="1"/>
  <c r="C101" i="92" s="1"/>
  <c r="C102" i="92" s="1"/>
  <c r="C103" i="92" s="1"/>
  <c r="C104" i="92" s="1"/>
  <c r="C105" i="92" s="1"/>
  <c r="C106" i="92" s="1"/>
  <c r="C107" i="92" s="1"/>
  <c r="C108" i="92" s="1"/>
  <c r="C109" i="92" s="1"/>
  <c r="C110" i="92" s="1"/>
  <c r="C111" i="92" s="1"/>
  <c r="C112" i="92" s="1"/>
  <c r="C113" i="92" s="1"/>
  <c r="C114" i="92" s="1"/>
  <c r="C115" i="92" s="1"/>
  <c r="C116" i="92" s="1"/>
  <c r="C117" i="92" s="1"/>
  <c r="C118" i="92" s="1"/>
  <c r="C119" i="92" s="1"/>
  <c r="C120" i="92" s="1"/>
  <c r="C121" i="92" s="1"/>
  <c r="C122" i="92" s="1"/>
  <c r="C123" i="92" s="1"/>
  <c r="C124" i="92" s="1"/>
  <c r="C125" i="92" s="1"/>
  <c r="C126" i="92" s="1"/>
  <c r="C127" i="92" s="1"/>
  <c r="C128" i="92" s="1"/>
  <c r="C129" i="92" s="1"/>
  <c r="C130" i="92" s="1"/>
  <c r="C131" i="92" s="1"/>
  <c r="C132" i="92" s="1"/>
  <c r="C133" i="92" s="1"/>
  <c r="C134" i="92" s="1"/>
  <c r="C135" i="92" s="1"/>
  <c r="C136" i="92" s="1"/>
  <c r="C137" i="92" s="1"/>
  <c r="C138" i="92" s="1"/>
  <c r="C139" i="92" s="1"/>
  <c r="C140" i="92" s="1"/>
  <c r="C141" i="92" s="1"/>
  <c r="C142" i="92" s="1"/>
  <c r="C143" i="92" s="1"/>
  <c r="C144" i="92" s="1"/>
  <c r="C145" i="92" s="1"/>
  <c r="C146" i="92" s="1"/>
  <c r="C147" i="92" s="1"/>
  <c r="C148" i="92" s="1"/>
  <c r="C149" i="92" s="1"/>
  <c r="C150" i="92" s="1"/>
  <c r="C151" i="92" s="1"/>
  <c r="C152" i="92" s="1"/>
  <c r="C153" i="92" s="1"/>
  <c r="C154" i="92" s="1"/>
  <c r="J94" i="46"/>
  <c r="J95" i="46" s="1"/>
  <c r="J94" i="28"/>
  <c r="J95" i="28" s="1"/>
  <c r="P110" i="93"/>
  <c r="P105" i="94"/>
  <c r="P109" i="94"/>
  <c r="P117" i="94"/>
  <c r="P127" i="94"/>
  <c r="P154" i="56"/>
  <c r="P152" i="56"/>
  <c r="P150" i="56"/>
  <c r="P146" i="56"/>
  <c r="P130" i="56"/>
  <c r="P126" i="56"/>
  <c r="P126" i="62"/>
  <c r="C100" i="96"/>
  <c r="C101" i="96" s="1"/>
  <c r="C102" i="96" s="1"/>
  <c r="C103" i="96" s="1"/>
  <c r="C104" i="96" s="1"/>
  <c r="C105" i="96" s="1"/>
  <c r="C106" i="96" s="1"/>
  <c r="C107" i="96" s="1"/>
  <c r="C108" i="96" s="1"/>
  <c r="C109" i="96" s="1"/>
  <c r="C110" i="96" s="1"/>
  <c r="C111" i="96" s="1"/>
  <c r="C112" i="96" s="1"/>
  <c r="C113" i="96" s="1"/>
  <c r="C114" i="96" s="1"/>
  <c r="C115" i="96" s="1"/>
  <c r="C116" i="96" s="1"/>
  <c r="C117" i="96" s="1"/>
  <c r="C118" i="96" s="1"/>
  <c r="C119" i="96" s="1"/>
  <c r="C120" i="96" s="1"/>
  <c r="C121" i="96" s="1"/>
  <c r="C122" i="96" s="1"/>
  <c r="C123" i="96" s="1"/>
  <c r="C124" i="96" s="1"/>
  <c r="C125" i="96" s="1"/>
  <c r="C126" i="96" s="1"/>
  <c r="C127" i="96" s="1"/>
  <c r="C128" i="96" s="1"/>
  <c r="C129" i="96" s="1"/>
  <c r="C130" i="96" s="1"/>
  <c r="C131" i="96" s="1"/>
  <c r="C132" i="96" s="1"/>
  <c r="C133" i="96" s="1"/>
  <c r="C134" i="96" s="1"/>
  <c r="C135" i="96" s="1"/>
  <c r="C136" i="96" s="1"/>
  <c r="C137" i="96" s="1"/>
  <c r="C138" i="96" s="1"/>
  <c r="C139" i="96" s="1"/>
  <c r="C140" i="96" s="1"/>
  <c r="C141" i="96" s="1"/>
  <c r="C142" i="96" s="1"/>
  <c r="C143" i="96" s="1"/>
  <c r="C144" i="96" s="1"/>
  <c r="C145" i="96" s="1"/>
  <c r="C146" i="96" s="1"/>
  <c r="C147" i="96" s="1"/>
  <c r="C148" i="96" s="1"/>
  <c r="C149" i="96" s="1"/>
  <c r="C150" i="96" s="1"/>
  <c r="C151" i="96" s="1"/>
  <c r="C152" i="96" s="1"/>
  <c r="C153" i="96" s="1"/>
  <c r="C154" i="96" s="1"/>
  <c r="P120" i="96"/>
  <c r="C45" i="85"/>
  <c r="C46" i="85" s="1"/>
  <c r="C47" i="85" s="1"/>
  <c r="C48" i="85" s="1"/>
  <c r="C49" i="85" s="1"/>
  <c r="C50" i="85" s="1"/>
  <c r="C51" i="85" s="1"/>
  <c r="C52" i="85" s="1"/>
  <c r="C53" i="85" s="1"/>
  <c r="C54" i="85" s="1"/>
  <c r="C55" i="85" s="1"/>
  <c r="C56" i="85" s="1"/>
  <c r="C57" i="85" s="1"/>
  <c r="C58" i="85" s="1"/>
  <c r="C59" i="85" s="1"/>
  <c r="C60" i="85" s="1"/>
  <c r="C61" i="85" s="1"/>
  <c r="C62" i="85" s="1"/>
  <c r="C63" i="85" s="1"/>
  <c r="C64" i="85" s="1"/>
  <c r="C65" i="85" s="1"/>
  <c r="C66" i="85" s="1"/>
  <c r="C67" i="85" s="1"/>
  <c r="C68" i="85" s="1"/>
  <c r="C69" i="85" s="1"/>
  <c r="C70" i="85" s="1"/>
  <c r="C71" i="85" s="1"/>
  <c r="C72" i="85" s="1"/>
  <c r="O17" i="93"/>
  <c r="O41" i="90"/>
  <c r="O63" i="90"/>
  <c r="O67" i="90"/>
  <c r="O71" i="90"/>
  <c r="O18" i="90"/>
  <c r="O49" i="84"/>
  <c r="O51" i="84"/>
  <c r="O55" i="84"/>
  <c r="O57" i="84"/>
  <c r="O59" i="84"/>
  <c r="O65" i="84"/>
  <c r="O67" i="84"/>
  <c r="O71" i="84"/>
  <c r="O19" i="80"/>
  <c r="O64" i="77"/>
  <c r="O68" i="77"/>
  <c r="O70" i="77"/>
  <c r="O20" i="76"/>
  <c r="O20" i="75"/>
  <c r="O31" i="73"/>
  <c r="O35" i="73"/>
  <c r="O37" i="73"/>
  <c r="O41" i="73"/>
  <c r="O43" i="73"/>
  <c r="O23" i="72"/>
  <c r="O27" i="71"/>
  <c r="O27" i="68"/>
  <c r="O21" i="68"/>
  <c r="O21" i="67"/>
  <c r="O22" i="64"/>
  <c r="O22" i="60"/>
  <c r="O40" i="62"/>
  <c r="O46" i="62"/>
  <c r="O48" i="62"/>
  <c r="O58" i="62"/>
  <c r="O62" i="62"/>
  <c r="O70" i="62"/>
  <c r="I24" i="58"/>
  <c r="O23" i="57"/>
  <c r="O70" i="57"/>
  <c r="O60" i="57"/>
  <c r="O54" i="57"/>
  <c r="O52" i="57"/>
  <c r="O50" i="57"/>
  <c r="O44" i="57"/>
  <c r="O42" i="57"/>
  <c r="O26" i="57"/>
  <c r="O24" i="57"/>
  <c r="I25" i="55"/>
  <c r="O71" i="55"/>
  <c r="O69" i="55"/>
  <c r="O67" i="55"/>
  <c r="O65" i="55"/>
  <c r="O61" i="55"/>
  <c r="O23" i="55"/>
  <c r="O62" i="54"/>
  <c r="O23" i="54"/>
  <c r="O23" i="53"/>
  <c r="O50" i="53"/>
  <c r="O48" i="53"/>
  <c r="O46" i="53"/>
  <c r="O42" i="53"/>
  <c r="O38" i="53"/>
  <c r="O32" i="53"/>
  <c r="O30" i="53"/>
  <c r="O24" i="53"/>
  <c r="O25" i="43"/>
  <c r="O25" i="42"/>
  <c r="B27" i="41"/>
  <c r="O54" i="39"/>
  <c r="O37" i="39"/>
  <c r="O35" i="39"/>
  <c r="O28" i="29"/>
  <c r="O29" i="28"/>
  <c r="O71" i="27"/>
  <c r="O27" i="23"/>
  <c r="O46" i="22"/>
  <c r="O38" i="22"/>
  <c r="O36" i="22"/>
  <c r="O34" i="22"/>
  <c r="O32" i="22"/>
  <c r="O28" i="22"/>
  <c r="O26" i="20"/>
  <c r="O50" i="20"/>
  <c r="O51" i="19"/>
  <c r="O26" i="18"/>
  <c r="O63" i="17"/>
  <c r="O47" i="17"/>
  <c r="O71" i="17"/>
  <c r="O61" i="17"/>
  <c r="O39" i="17"/>
  <c r="O67" i="17"/>
  <c r="O59" i="17"/>
  <c r="O70" i="3"/>
  <c r="O50" i="3"/>
  <c r="O39" i="3"/>
  <c r="O29" i="3"/>
  <c r="O53" i="85"/>
  <c r="O60" i="41"/>
  <c r="O48" i="41"/>
  <c r="O66" i="80"/>
  <c r="O60" i="82"/>
  <c r="O28" i="86"/>
  <c r="O26" i="88"/>
  <c r="O60" i="88"/>
  <c r="O47" i="96"/>
  <c r="O61" i="96"/>
  <c r="O70" i="55"/>
  <c r="O65" i="57"/>
  <c r="O59" i="57"/>
  <c r="O45" i="57"/>
  <c r="O72" i="67"/>
  <c r="O37" i="77"/>
  <c r="O28" i="85"/>
  <c r="O38" i="62"/>
  <c r="O42" i="62"/>
  <c r="O57" i="63"/>
  <c r="O64" i="76"/>
  <c r="O57" i="80"/>
  <c r="O63" i="80"/>
  <c r="O67" i="81"/>
  <c r="O55" i="88"/>
  <c r="O67" i="88"/>
  <c r="O57" i="91"/>
  <c r="B29" i="23"/>
  <c r="B19" i="94"/>
  <c r="B20" i="86"/>
  <c r="I19" i="86"/>
  <c r="C99" i="95"/>
  <c r="I22" i="67"/>
  <c r="O45" i="24"/>
  <c r="O72" i="30"/>
  <c r="O39" i="32"/>
  <c r="O69" i="33"/>
  <c r="O72" i="45"/>
  <c r="O66" i="45"/>
  <c r="O72" i="53"/>
  <c r="O43" i="60"/>
  <c r="O47" i="60"/>
  <c r="O51" i="60"/>
  <c r="O24" i="62"/>
  <c r="O28" i="62"/>
  <c r="O21" i="80"/>
  <c r="O39" i="80"/>
  <c r="O47" i="80"/>
  <c r="O55" i="80"/>
  <c r="O25" i="59"/>
  <c r="O29" i="59"/>
  <c r="O31" i="59"/>
  <c r="O37" i="59"/>
  <c r="O39" i="59"/>
  <c r="O49" i="59"/>
  <c r="O52" i="61"/>
  <c r="O38" i="64"/>
  <c r="O40" i="64"/>
  <c r="O54" i="64"/>
  <c r="O33" i="66"/>
  <c r="O39" i="68"/>
  <c r="O27" i="83"/>
  <c r="O29" i="83"/>
  <c r="O33" i="83"/>
  <c r="O39" i="83"/>
  <c r="O43" i="83"/>
  <c r="O51" i="83"/>
  <c r="O53" i="83"/>
  <c r="O55" i="83"/>
  <c r="O57" i="83"/>
  <c r="O29" i="84"/>
  <c r="O21" i="85"/>
  <c r="O54" i="86"/>
  <c r="I19" i="91"/>
  <c r="O46" i="13"/>
  <c r="O44" i="13"/>
  <c r="O28" i="13"/>
  <c r="O26" i="13"/>
  <c r="O24" i="13"/>
  <c r="O20" i="13"/>
  <c r="O18" i="13"/>
  <c r="O59" i="21"/>
  <c r="O19" i="26"/>
  <c r="O24" i="55"/>
  <c r="O41" i="57"/>
  <c r="O31" i="62"/>
  <c r="O33" i="62"/>
  <c r="O45" i="62"/>
  <c r="O24" i="63"/>
  <c r="O28" i="63"/>
  <c r="O42" i="63"/>
  <c r="O44" i="63"/>
  <c r="O46" i="63"/>
  <c r="O48" i="63"/>
  <c r="O54" i="67"/>
  <c r="O40" i="72"/>
  <c r="O28" i="82"/>
  <c r="O30" i="82"/>
  <c r="O62" i="95"/>
  <c r="O49" i="65"/>
  <c r="O57" i="86"/>
  <c r="B20" i="91"/>
  <c r="B22" i="82"/>
  <c r="O70" i="17"/>
  <c r="O68" i="17"/>
  <c r="O64" i="17"/>
  <c r="O60" i="17"/>
  <c r="O50" i="17"/>
  <c r="O30" i="17"/>
  <c r="O70" i="19"/>
  <c r="O66" i="19"/>
  <c r="O64" i="19"/>
  <c r="O58" i="19"/>
  <c r="O54" i="19"/>
  <c r="O52" i="19"/>
  <c r="O50" i="19"/>
  <c r="O29" i="19"/>
  <c r="O69" i="20"/>
  <c r="O67" i="20"/>
  <c r="O63" i="20"/>
  <c r="O55" i="20"/>
  <c r="O53" i="20"/>
  <c r="O44" i="20"/>
  <c r="O38" i="20"/>
  <c r="O67" i="22"/>
  <c r="O65" i="22"/>
  <c r="O59" i="22"/>
  <c r="O72" i="23"/>
  <c r="O62" i="23"/>
  <c r="O58" i="23"/>
  <c r="O54" i="23"/>
  <c r="O46" i="23"/>
  <c r="O72" i="24"/>
  <c r="O66" i="24"/>
  <c r="O62" i="24"/>
  <c r="O46" i="24"/>
  <c r="O50" i="26"/>
  <c r="O72" i="28"/>
  <c r="O70" i="28"/>
  <c r="O66" i="28"/>
  <c r="O64" i="28"/>
  <c r="O62" i="28"/>
  <c r="O58" i="28"/>
  <c r="O48" i="28"/>
  <c r="O70" i="29"/>
  <c r="O68" i="29"/>
  <c r="O56" i="29"/>
  <c r="O54" i="29"/>
  <c r="O52" i="29"/>
  <c r="O40" i="29"/>
  <c r="O38" i="29"/>
  <c r="O36" i="29"/>
  <c r="O32" i="29"/>
  <c r="O71" i="31"/>
  <c r="O65" i="31"/>
  <c r="O37" i="66"/>
  <c r="O49" i="66"/>
  <c r="O53" i="66"/>
  <c r="O57" i="66"/>
  <c r="O51" i="67"/>
  <c r="O53" i="67"/>
  <c r="O55" i="67"/>
  <c r="O31" i="68"/>
  <c r="O67" i="68"/>
  <c r="P114" i="73"/>
  <c r="O38" i="96"/>
  <c r="O45" i="44"/>
  <c r="O39" i="44"/>
  <c r="O47" i="62"/>
  <c r="O50" i="63"/>
  <c r="O54" i="63"/>
  <c r="O60" i="63"/>
  <c r="O21" i="84"/>
  <c r="B21" i="82"/>
  <c r="I20" i="82"/>
  <c r="O43" i="18"/>
  <c r="O49" i="30"/>
  <c r="O45" i="30"/>
  <c r="O54" i="32"/>
  <c r="O38" i="32"/>
  <c r="O52" i="43"/>
  <c r="O46" i="43"/>
  <c r="O26" i="43"/>
  <c r="O59" i="54"/>
  <c r="O57" i="54"/>
  <c r="O49" i="54"/>
  <c r="O47" i="54"/>
  <c r="O62" i="59"/>
  <c r="O23" i="61"/>
  <c r="O25" i="61"/>
  <c r="O29" i="61"/>
  <c r="O49" i="61"/>
  <c r="O53" i="61"/>
  <c r="O62" i="68"/>
  <c r="O72" i="68"/>
  <c r="O27" i="72"/>
  <c r="O54" i="82"/>
  <c r="O56" i="82"/>
  <c r="O58" i="82"/>
  <c r="I24" i="55"/>
  <c r="O68" i="41"/>
  <c r="O66" i="41"/>
  <c r="O71" i="79"/>
  <c r="O62" i="89"/>
  <c r="O66" i="89"/>
  <c r="O46" i="92"/>
  <c r="I21" i="82"/>
  <c r="O38" i="13"/>
  <c r="O67" i="21"/>
  <c r="O69" i="43"/>
  <c r="O72" i="54"/>
  <c r="O70" i="54"/>
  <c r="O68" i="54"/>
  <c r="O66" i="54"/>
  <c r="O49" i="55"/>
  <c r="O23" i="65"/>
  <c r="O44" i="71"/>
  <c r="O24" i="90"/>
  <c r="O67" i="13"/>
  <c r="O59" i="19"/>
  <c r="O68" i="42"/>
  <c r="O50" i="42"/>
  <c r="O50" i="43"/>
  <c r="O33" i="44"/>
  <c r="O53" i="45"/>
  <c r="O36" i="83"/>
  <c r="O44" i="26"/>
  <c r="O64" i="41"/>
  <c r="O72" i="44"/>
  <c r="O70" i="44"/>
  <c r="O64" i="44"/>
  <c r="O52" i="44"/>
  <c r="O46" i="44"/>
  <c r="O43" i="46"/>
  <c r="O43" i="53"/>
  <c r="O72" i="55"/>
  <c r="O32" i="72"/>
  <c r="O34" i="72"/>
  <c r="O27" i="73"/>
  <c r="O47" i="73"/>
  <c r="O18" i="93"/>
  <c r="O42" i="93"/>
  <c r="O46" i="93"/>
  <c r="O48" i="93"/>
  <c r="O58" i="93"/>
  <c r="O62" i="93"/>
  <c r="O68" i="93"/>
  <c r="O70" i="93"/>
  <c r="O25" i="94"/>
  <c r="O29" i="94"/>
  <c r="O31" i="94"/>
  <c r="O33" i="94"/>
  <c r="O35" i="94"/>
  <c r="O45" i="94"/>
  <c r="O51" i="94"/>
  <c r="O72" i="39"/>
  <c r="O62" i="39"/>
  <c r="O60" i="39"/>
  <c r="O43" i="42"/>
  <c r="O39" i="42"/>
  <c r="O33" i="42"/>
  <c r="O59" i="91"/>
  <c r="O32" i="92"/>
  <c r="O65" i="17"/>
  <c r="O57" i="17"/>
  <c r="O55" i="17"/>
  <c r="O53" i="17"/>
  <c r="O45" i="17"/>
  <c r="O43" i="17"/>
  <c r="O41" i="17"/>
  <c r="O37" i="17"/>
  <c r="O35" i="17"/>
  <c r="O33" i="17"/>
  <c r="O29" i="17"/>
  <c r="O27" i="17"/>
  <c r="O71" i="19"/>
  <c r="O63" i="19"/>
  <c r="O61" i="19"/>
  <c r="O53" i="19"/>
  <c r="O49" i="19"/>
  <c r="O30" i="19"/>
  <c r="O72" i="20"/>
  <c r="O48" i="20"/>
  <c r="O41" i="20"/>
  <c r="O37" i="20"/>
  <c r="O33" i="20"/>
  <c r="O40" i="32"/>
  <c r="O72" i="3"/>
  <c r="O68" i="3"/>
  <c r="O62" i="3"/>
  <c r="O60" i="3"/>
  <c r="O52" i="3"/>
  <c r="O46" i="3"/>
  <c r="O41" i="3"/>
  <c r="O37" i="3"/>
  <c r="O35" i="3"/>
  <c r="O63" i="13"/>
  <c r="O57" i="13"/>
  <c r="O51" i="13"/>
  <c r="O47" i="13"/>
  <c r="O45" i="13"/>
  <c r="O39" i="13"/>
  <c r="O29" i="13"/>
  <c r="O27" i="13"/>
  <c r="O51" i="18"/>
  <c r="O47" i="18"/>
  <c r="O45" i="18"/>
  <c r="O44" i="18"/>
  <c r="O45" i="19"/>
  <c r="O54" i="21"/>
  <c r="O50" i="21"/>
  <c r="O46" i="21"/>
  <c r="O42" i="21"/>
  <c r="O38" i="21"/>
  <c r="O28" i="21"/>
  <c r="O44" i="22"/>
  <c r="O42" i="22"/>
  <c r="O40" i="22"/>
  <c r="O64" i="25"/>
  <c r="O62" i="25"/>
  <c r="O54" i="25"/>
  <c r="O52" i="25"/>
  <c r="O38" i="25"/>
  <c r="O30" i="25"/>
  <c r="O28" i="25"/>
  <c r="O26" i="25"/>
  <c r="O24" i="25"/>
  <c r="O18" i="25"/>
  <c r="O71" i="34"/>
  <c r="O69" i="34"/>
  <c r="O67" i="34"/>
  <c r="O65" i="34"/>
  <c r="O63" i="34"/>
  <c r="O59" i="34"/>
  <c r="O43" i="34"/>
  <c r="O42" i="13"/>
  <c r="O47" i="22"/>
  <c r="O69" i="39"/>
  <c r="O67" i="39"/>
  <c r="O59" i="39"/>
  <c r="O69" i="41"/>
  <c r="O46" i="41"/>
  <c r="O40" i="41"/>
  <c r="O38" i="41"/>
  <c r="O34" i="41"/>
  <c r="O26" i="41"/>
  <c r="O49" i="42"/>
  <c r="O28" i="42"/>
  <c r="O72" i="43"/>
  <c r="O70" i="43"/>
  <c r="O68" i="43"/>
  <c r="O66" i="43"/>
  <c r="O62" i="43"/>
  <c r="O67" i="44"/>
  <c r="O37" i="45"/>
  <c r="O33" i="45"/>
  <c r="O69" i="46"/>
  <c r="O67" i="46"/>
  <c r="O49" i="46"/>
  <c r="O39" i="46"/>
  <c r="O37" i="46"/>
  <c r="O25" i="46"/>
  <c r="O55" i="53"/>
  <c r="O51" i="53"/>
  <c r="O49" i="53"/>
  <c r="O45" i="53"/>
  <c r="O61" i="54"/>
  <c r="O52" i="55"/>
  <c r="O25" i="55"/>
  <c r="O61" i="56"/>
  <c r="O53" i="56"/>
  <c r="O51" i="56"/>
  <c r="O39" i="56"/>
  <c r="O46" i="65"/>
  <c r="O61" i="94"/>
  <c r="O23" i="95"/>
  <c r="O25" i="95"/>
  <c r="O27" i="95"/>
  <c r="O33" i="95"/>
  <c r="O41" i="95"/>
  <c r="O45" i="23"/>
  <c r="O39" i="23"/>
  <c r="O33" i="23"/>
  <c r="O31" i="23"/>
  <c r="O29" i="23"/>
  <c r="O69" i="24"/>
  <c r="O67" i="24"/>
  <c r="O63" i="24"/>
  <c r="O59" i="24"/>
  <c r="O57" i="24"/>
  <c r="O55" i="24"/>
  <c r="O49" i="24"/>
  <c r="O45" i="26"/>
  <c r="O69" i="27"/>
  <c r="O71" i="30"/>
  <c r="O67" i="30"/>
  <c r="O31" i="30"/>
  <c r="O61" i="31"/>
  <c r="O72" i="32"/>
  <c r="O70" i="32"/>
  <c r="O50" i="32"/>
  <c r="O44" i="32"/>
  <c r="O54" i="34"/>
  <c r="O52" i="34"/>
  <c r="O46" i="34"/>
  <c r="O44" i="34"/>
  <c r="O40" i="34"/>
  <c r="O36" i="34"/>
  <c r="O34" i="34"/>
  <c r="O28" i="34"/>
  <c r="O39" i="39"/>
  <c r="O70" i="42"/>
  <c r="O41" i="42"/>
  <c r="O71" i="43"/>
  <c r="O61" i="43"/>
  <c r="O37" i="54"/>
  <c r="O44" i="55"/>
  <c r="O44" i="58"/>
  <c r="O40" i="58"/>
  <c r="O56" i="59"/>
  <c r="O58" i="59"/>
  <c r="O60" i="59"/>
  <c r="O50" i="62"/>
  <c r="O52" i="62"/>
  <c r="O54" i="62"/>
  <c r="O60" i="62"/>
  <c r="O64" i="62"/>
  <c r="O31" i="63"/>
  <c r="O25" i="64"/>
  <c r="O35" i="64"/>
  <c r="O37" i="64"/>
  <c r="O39" i="64"/>
  <c r="O41" i="64"/>
  <c r="O45" i="64"/>
  <c r="O49" i="64"/>
  <c r="O22" i="66"/>
  <c r="O24" i="66"/>
  <c r="O38" i="66"/>
  <c r="O44" i="66"/>
  <c r="O54" i="66"/>
  <c r="O56" i="66"/>
  <c r="O58" i="66"/>
  <c r="O28" i="67"/>
  <c r="O30" i="67"/>
  <c r="O32" i="67"/>
  <c r="O40" i="67"/>
  <c r="O28" i="68"/>
  <c r="O44" i="70"/>
  <c r="O48" i="70"/>
  <c r="O72" i="70"/>
  <c r="O21" i="81"/>
  <c r="O27" i="81"/>
  <c r="O29" i="81"/>
  <c r="O31" i="81"/>
  <c r="O33" i="81"/>
  <c r="O35" i="81"/>
  <c r="O37" i="81"/>
  <c r="O43" i="81"/>
  <c r="O45" i="81"/>
  <c r="O61" i="81"/>
  <c r="O65" i="81"/>
  <c r="O29" i="85"/>
  <c r="O51" i="85"/>
  <c r="O19" i="86"/>
  <c r="O23" i="86"/>
  <c r="O27" i="86"/>
  <c r="O29" i="86"/>
  <c r="O39" i="86"/>
  <c r="O41" i="86"/>
  <c r="O65" i="86"/>
  <c r="O25" i="88"/>
  <c r="O33" i="88"/>
  <c r="O41" i="88"/>
  <c r="O43" i="88"/>
  <c r="O45" i="88"/>
  <c r="O49" i="88"/>
  <c r="O51" i="88"/>
  <c r="O51" i="91"/>
  <c r="O53" i="91"/>
  <c r="O22" i="92"/>
  <c r="O24" i="92"/>
  <c r="O26" i="92"/>
  <c r="O62" i="92"/>
  <c r="O66" i="92"/>
  <c r="O70" i="26"/>
  <c r="O66" i="26"/>
  <c r="O62" i="26"/>
  <c r="O54" i="26"/>
  <c r="O24" i="26"/>
  <c r="O22" i="26"/>
  <c r="O71" i="28"/>
  <c r="O67" i="28"/>
  <c r="O43" i="28"/>
  <c r="O65" i="29"/>
  <c r="O43" i="29"/>
  <c r="O41" i="29"/>
  <c r="O72" i="31"/>
  <c r="O64" i="31"/>
  <c r="O62" i="31"/>
  <c r="O28" i="32"/>
  <c r="O44" i="33"/>
  <c r="O40" i="33"/>
  <c r="O38" i="33"/>
  <c r="O34" i="33"/>
  <c r="O32" i="33"/>
  <c r="O28" i="33"/>
  <c r="O18" i="33"/>
  <c r="O66" i="35"/>
  <c r="O62" i="35"/>
  <c r="O58" i="35"/>
  <c r="O70" i="39"/>
  <c r="O40" i="39"/>
  <c r="O38" i="39"/>
  <c r="O33" i="39"/>
  <c r="O29" i="39"/>
  <c r="O54" i="41"/>
  <c r="O44" i="42"/>
  <c r="O42" i="42"/>
  <c r="O32" i="42"/>
  <c r="O53" i="43"/>
  <c r="O49" i="43"/>
  <c r="O42" i="44"/>
  <c r="O65" i="45"/>
  <c r="O63" i="45"/>
  <c r="O57" i="45"/>
  <c r="O62" i="46"/>
  <c r="O62" i="53"/>
  <c r="O40" i="53"/>
  <c r="O36" i="53"/>
  <c r="O34" i="53"/>
  <c r="O44" i="54"/>
  <c r="O38" i="54"/>
  <c r="O34" i="54"/>
  <c r="O24" i="54"/>
  <c r="O64" i="55"/>
  <c r="O62" i="55"/>
  <c r="O45" i="55"/>
  <c r="O43" i="57"/>
  <c r="O35" i="57"/>
  <c r="O31" i="57"/>
  <c r="O65" i="58"/>
  <c r="O59" i="58"/>
  <c r="O57" i="58"/>
  <c r="O49" i="58"/>
  <c r="O47" i="65"/>
  <c r="O41" i="66"/>
  <c r="O31" i="67"/>
  <c r="O40" i="74"/>
  <c r="O46" i="74"/>
  <c r="O50" i="74"/>
  <c r="O27" i="76"/>
  <c r="O31" i="76"/>
  <c r="O37" i="76"/>
  <c r="O28" i="78"/>
  <c r="O30" i="78"/>
  <c r="O26" i="79"/>
  <c r="O40" i="79"/>
  <c r="O42" i="79"/>
  <c r="O44" i="79"/>
  <c r="O52" i="79"/>
  <c r="O62" i="79"/>
  <c r="O70" i="79"/>
  <c r="O56" i="71"/>
  <c r="O60" i="71"/>
  <c r="O60" i="73"/>
  <c r="O66" i="73"/>
  <c r="O68" i="73"/>
  <c r="O70" i="73"/>
  <c r="O72" i="73"/>
  <c r="O21" i="75"/>
  <c r="O31" i="75"/>
  <c r="O33" i="75"/>
  <c r="O37" i="75"/>
  <c r="O41" i="75"/>
  <c r="O51" i="75"/>
  <c r="O53" i="75"/>
  <c r="O57" i="75"/>
  <c r="O59" i="75"/>
  <c r="O61" i="75"/>
  <c r="O67" i="75"/>
  <c r="O69" i="75"/>
  <c r="O21" i="77"/>
  <c r="O31" i="77"/>
  <c r="O61" i="77"/>
  <c r="O30" i="80"/>
  <c r="O32" i="80"/>
  <c r="O38" i="80"/>
  <c r="O40" i="80"/>
  <c r="O50" i="80"/>
  <c r="O52" i="80"/>
  <c r="O21" i="82"/>
  <c r="O23" i="82"/>
  <c r="O29" i="82"/>
  <c r="O33" i="82"/>
  <c r="O51" i="82"/>
  <c r="O22" i="83"/>
  <c r="O26" i="83"/>
  <c r="O30" i="83"/>
  <c r="O44" i="83"/>
  <c r="O46" i="83"/>
  <c r="O50" i="83"/>
  <c r="O54" i="83"/>
  <c r="O56" i="83"/>
  <c r="O58" i="83"/>
  <c r="O30" i="84"/>
  <c r="O40" i="84"/>
  <c r="O50" i="84"/>
  <c r="O60" i="84"/>
  <c r="O62" i="84"/>
  <c r="O64" i="84"/>
  <c r="O66" i="84"/>
  <c r="O68" i="84"/>
  <c r="O70" i="84"/>
  <c r="O27" i="87"/>
  <c r="O29" i="87"/>
  <c r="O31" i="87"/>
  <c r="O35" i="87"/>
  <c r="O39" i="87"/>
  <c r="O47" i="87"/>
  <c r="O49" i="87"/>
  <c r="O51" i="87"/>
  <c r="O53" i="87"/>
  <c r="O55" i="87"/>
  <c r="O71" i="87"/>
  <c r="O21" i="89"/>
  <c r="O25" i="89"/>
  <c r="O27" i="89"/>
  <c r="O29" i="89"/>
  <c r="O37" i="89"/>
  <c r="O39" i="89"/>
  <c r="O43" i="89"/>
  <c r="O59" i="89"/>
  <c r="O65" i="89"/>
  <c r="O20" i="90"/>
  <c r="O30" i="90"/>
  <c r="O32" i="90"/>
  <c r="O34" i="90"/>
  <c r="O38" i="90"/>
  <c r="O64" i="90"/>
  <c r="O66" i="90"/>
  <c r="O68" i="90"/>
  <c r="O70" i="90"/>
  <c r="O41" i="93"/>
  <c r="O29" i="96"/>
  <c r="O65" i="96"/>
  <c r="O67" i="96"/>
  <c r="O25" i="74"/>
  <c r="O29" i="74"/>
  <c r="O31" i="74"/>
  <c r="O33" i="74"/>
  <c r="O46" i="75"/>
  <c r="O21" i="78"/>
  <c r="O35" i="78"/>
  <c r="O37" i="78"/>
  <c r="O39" i="78"/>
  <c r="O43" i="78"/>
  <c r="O45" i="78"/>
  <c r="O49" i="78"/>
  <c r="O53" i="78"/>
  <c r="O57" i="78"/>
  <c r="O63" i="78"/>
  <c r="O31" i="79"/>
  <c r="O39" i="79"/>
  <c r="O55" i="79"/>
  <c r="O57" i="79"/>
  <c r="O63" i="79"/>
  <c r="O67" i="79"/>
  <c r="O27" i="80"/>
  <c r="O41" i="80"/>
  <c r="O20" i="81"/>
  <c r="O42" i="81"/>
  <c r="O44" i="81"/>
  <c r="O52" i="81"/>
  <c r="O60" i="81"/>
  <c r="O66" i="81"/>
  <c r="O45" i="83"/>
  <c r="O63" i="83"/>
  <c r="O33" i="84"/>
  <c r="O69" i="84"/>
  <c r="O36" i="85"/>
  <c r="O52" i="85"/>
  <c r="O66" i="85"/>
  <c r="O44" i="86"/>
  <c r="O66" i="86"/>
  <c r="O68" i="86"/>
  <c r="O28" i="88"/>
  <c r="O30" i="88"/>
  <c r="O36" i="88"/>
  <c r="O38" i="88"/>
  <c r="O42" i="88"/>
  <c r="O44" i="88"/>
  <c r="O46" i="88"/>
  <c r="O52" i="88"/>
  <c r="O54" i="88"/>
  <c r="O46" i="89"/>
  <c r="O20" i="91"/>
  <c r="O26" i="91"/>
  <c r="O32" i="91"/>
  <c r="O34" i="91"/>
  <c r="O38" i="91"/>
  <c r="O42" i="91"/>
  <c r="O44" i="91"/>
  <c r="O46" i="91"/>
  <c r="O50" i="91"/>
  <c r="O64" i="91"/>
  <c r="O66" i="91"/>
  <c r="O68" i="91"/>
  <c r="O67" i="93"/>
  <c r="O69" i="93"/>
  <c r="O71" i="93"/>
  <c r="O20" i="94"/>
  <c r="O22" i="94"/>
  <c r="O34" i="94"/>
  <c r="O36" i="94"/>
  <c r="O40" i="94"/>
  <c r="O56" i="94"/>
  <c r="O58" i="94"/>
  <c r="O60" i="94"/>
  <c r="O66" i="94"/>
  <c r="O60" i="95"/>
  <c r="O64" i="95"/>
  <c r="O66" i="95"/>
  <c r="O46" i="96"/>
  <c r="O60" i="96"/>
  <c r="I30" i="28"/>
  <c r="B28" i="18"/>
  <c r="I27" i="18"/>
  <c r="I25" i="58"/>
  <c r="C99" i="93"/>
  <c r="C100" i="93" s="1"/>
  <c r="C101" i="93" s="1"/>
  <c r="C102" i="93" s="1"/>
  <c r="C103" i="93" s="1"/>
  <c r="C104" i="93" s="1"/>
  <c r="C105" i="93" s="1"/>
  <c r="C106" i="93" s="1"/>
  <c r="C107" i="93" s="1"/>
  <c r="C108" i="93" s="1"/>
  <c r="C109" i="93" s="1"/>
  <c r="C110" i="93" s="1"/>
  <c r="C111" i="93" s="1"/>
  <c r="C112" i="93" s="1"/>
  <c r="C113" i="93" s="1"/>
  <c r="C114" i="93" s="1"/>
  <c r="C115" i="93" s="1"/>
  <c r="C116" i="93" s="1"/>
  <c r="C117" i="93" s="1"/>
  <c r="C118" i="93" s="1"/>
  <c r="C119" i="93" s="1"/>
  <c r="C120" i="93" s="1"/>
  <c r="C121" i="93" s="1"/>
  <c r="C122" i="93" s="1"/>
  <c r="C123" i="93" s="1"/>
  <c r="C124" i="93" s="1"/>
  <c r="C125" i="93" s="1"/>
  <c r="C126" i="93" s="1"/>
  <c r="C127" i="93" s="1"/>
  <c r="C128" i="93" s="1"/>
  <c r="C129" i="93" s="1"/>
  <c r="C130" i="93" s="1"/>
  <c r="C131" i="93" s="1"/>
  <c r="C132" i="93" s="1"/>
  <c r="C133" i="93" s="1"/>
  <c r="C134" i="93" s="1"/>
  <c r="C135" i="93" s="1"/>
  <c r="C136" i="93" s="1"/>
  <c r="C137" i="93" s="1"/>
  <c r="C138" i="93" s="1"/>
  <c r="C139" i="93" s="1"/>
  <c r="C140" i="93" s="1"/>
  <c r="C141" i="93" s="1"/>
  <c r="C142" i="93" s="1"/>
  <c r="C143" i="93" s="1"/>
  <c r="C144" i="93" s="1"/>
  <c r="C145" i="93" s="1"/>
  <c r="C146" i="93" s="1"/>
  <c r="C147" i="93" s="1"/>
  <c r="C148" i="93" s="1"/>
  <c r="C149" i="93" s="1"/>
  <c r="C150" i="93" s="1"/>
  <c r="C151" i="93" s="1"/>
  <c r="C152" i="93" s="1"/>
  <c r="C153" i="93" s="1"/>
  <c r="C154" i="93" s="1"/>
  <c r="O71" i="13"/>
  <c r="O71" i="18"/>
  <c r="O69" i="18"/>
  <c r="O61" i="18"/>
  <c r="O53" i="18"/>
  <c r="O48" i="18"/>
  <c r="O40" i="18"/>
  <c r="O38" i="18"/>
  <c r="O36" i="18"/>
  <c r="O34" i="18"/>
  <c r="O30" i="20"/>
  <c r="O28" i="20"/>
  <c r="O57" i="22"/>
  <c r="O51" i="22"/>
  <c r="O49" i="22"/>
  <c r="O30" i="22"/>
  <c r="O35" i="23"/>
  <c r="O48" i="25"/>
  <c r="O36" i="25"/>
  <c r="O32" i="25"/>
  <c r="O43" i="26"/>
  <c r="O27" i="26"/>
  <c r="O48" i="27"/>
  <c r="O39" i="27"/>
  <c r="O37" i="27"/>
  <c r="O31" i="27"/>
  <c r="O29" i="27"/>
  <c r="O41" i="28"/>
  <c r="O37" i="28"/>
  <c r="O69" i="29"/>
  <c r="O63" i="29"/>
  <c r="O55" i="29"/>
  <c r="O61" i="30"/>
  <c r="O59" i="30"/>
  <c r="O53" i="30"/>
  <c r="O63" i="31"/>
  <c r="O49" i="31"/>
  <c r="O45" i="31"/>
  <c r="O37" i="31"/>
  <c r="O33" i="31"/>
  <c r="O31" i="31"/>
  <c r="O29" i="31"/>
  <c r="O67" i="32"/>
  <c r="O37" i="32"/>
  <c r="O59" i="33"/>
  <c r="O51" i="33"/>
  <c r="O42" i="34"/>
  <c r="O63" i="41"/>
  <c r="O61" i="41"/>
  <c r="O57" i="3"/>
  <c r="O53" i="3"/>
  <c r="O43" i="3"/>
  <c r="O32" i="13"/>
  <c r="O30" i="13"/>
  <c r="O25" i="13"/>
  <c r="O46" i="19"/>
  <c r="O39" i="19"/>
  <c r="O71" i="21"/>
  <c r="O42" i="25"/>
  <c r="O66" i="32"/>
  <c r="O60" i="32"/>
  <c r="O48" i="32"/>
  <c r="O46" i="32"/>
  <c r="O65" i="33"/>
  <c r="O50" i="39"/>
  <c r="O70" i="41"/>
  <c r="O59" i="41"/>
  <c r="O38" i="3"/>
  <c r="O58" i="17"/>
  <c r="O72" i="18"/>
  <c r="O66" i="18"/>
  <c r="O64" i="18"/>
  <c r="O58" i="18"/>
  <c r="O54" i="18"/>
  <c r="O49" i="18"/>
  <c r="O39" i="18"/>
  <c r="O27" i="18"/>
  <c r="O56" i="19"/>
  <c r="O70" i="20"/>
  <c r="O35" i="20"/>
  <c r="O66" i="22"/>
  <c r="O60" i="22"/>
  <c r="O58" i="22"/>
  <c r="O50" i="22"/>
  <c r="O29" i="22"/>
  <c r="O48" i="24"/>
  <c r="O61" i="25"/>
  <c r="O39" i="25"/>
  <c r="O56" i="26"/>
  <c r="O42" i="26"/>
  <c r="O40" i="26"/>
  <c r="O38" i="26"/>
  <c r="O36" i="26"/>
  <c r="O34" i="26"/>
  <c r="O32" i="26"/>
  <c r="O30" i="26"/>
  <c r="O34" i="27"/>
  <c r="O68" i="28"/>
  <c r="O46" i="28"/>
  <c r="O38" i="28"/>
  <c r="O36" i="28"/>
  <c r="O32" i="28"/>
  <c r="O30" i="28"/>
  <c r="O66" i="29"/>
  <c r="O46" i="29"/>
  <c r="O68" i="30"/>
  <c r="O60" i="31"/>
  <c r="O58" i="31"/>
  <c r="O56" i="31"/>
  <c r="O52" i="31"/>
  <c r="O50" i="31"/>
  <c r="O40" i="31"/>
  <c r="O72" i="33"/>
  <c r="O70" i="33"/>
  <c r="O66" i="33"/>
  <c r="O64" i="33"/>
  <c r="O54" i="33"/>
  <c r="O48" i="33"/>
  <c r="O33" i="33"/>
  <c r="O72" i="34"/>
  <c r="O70" i="34"/>
  <c r="O68" i="34"/>
  <c r="O66" i="34"/>
  <c r="O58" i="34"/>
  <c r="O56" i="34"/>
  <c r="O56" i="35"/>
  <c r="O57" i="39"/>
  <c r="F17" i="1"/>
  <c r="O66" i="3"/>
  <c r="O58" i="3"/>
  <c r="O56" i="3"/>
  <c r="O43" i="13"/>
  <c r="O37" i="13"/>
  <c r="O35" i="13"/>
  <c r="O36" i="19"/>
  <c r="O34" i="19"/>
  <c r="O65" i="24"/>
  <c r="O27" i="25"/>
  <c r="O72" i="27"/>
  <c r="O58" i="29"/>
  <c r="O46" i="30"/>
  <c r="O44" i="30"/>
  <c r="O57" i="32"/>
  <c r="O53" i="32"/>
  <c r="O41" i="32"/>
  <c r="O30" i="32"/>
  <c r="O61" i="35"/>
  <c r="O44" i="35"/>
  <c r="O30" i="35"/>
  <c r="O24" i="35"/>
  <c r="O22" i="35"/>
  <c r="O44" i="41"/>
  <c r="O67" i="43"/>
  <c r="O47" i="43"/>
  <c r="O35" i="43"/>
  <c r="O33" i="43"/>
  <c r="O29" i="43"/>
  <c r="O71" i="53"/>
  <c r="O69" i="53"/>
  <c r="O61" i="53"/>
  <c r="O31" i="53"/>
  <c r="O50" i="56"/>
  <c r="O32" i="60"/>
  <c r="O55" i="60"/>
  <c r="O63" i="60"/>
  <c r="O67" i="60"/>
  <c r="O69" i="60"/>
  <c r="O71" i="60"/>
  <c r="P130" i="60"/>
  <c r="O33" i="61"/>
  <c r="O37" i="61"/>
  <c r="O51" i="61"/>
  <c r="O44" i="62"/>
  <c r="O32" i="63"/>
  <c r="O38" i="63"/>
  <c r="O40" i="63"/>
  <c r="O42" i="65"/>
  <c r="O58" i="67"/>
  <c r="O68" i="67"/>
  <c r="O41" i="68"/>
  <c r="O45" i="68"/>
  <c r="O47" i="68"/>
  <c r="O51" i="68"/>
  <c r="O53" i="68"/>
  <c r="O57" i="68"/>
  <c r="O46" i="71"/>
  <c r="O61" i="73"/>
  <c r="O27" i="74"/>
  <c r="O48" i="74"/>
  <c r="O34" i="75"/>
  <c r="O36" i="75"/>
  <c r="O42" i="75"/>
  <c r="O48" i="75"/>
  <c r="O50" i="75"/>
  <c r="O54" i="75"/>
  <c r="O56" i="75"/>
  <c r="O72" i="75"/>
  <c r="P108" i="75"/>
  <c r="O70" i="76"/>
  <c r="O72" i="76"/>
  <c r="P104" i="76"/>
  <c r="P116" i="76"/>
  <c r="O43" i="77"/>
  <c r="O51" i="77"/>
  <c r="O55" i="77"/>
  <c r="O36" i="78"/>
  <c r="O42" i="78"/>
  <c r="O28" i="79"/>
  <c r="O45" i="79"/>
  <c r="O51" i="79"/>
  <c r="O70" i="45"/>
  <c r="O61" i="45"/>
  <c r="O51" i="45"/>
  <c r="O49" i="45"/>
  <c r="O43" i="45"/>
  <c r="O39" i="45"/>
  <c r="O26" i="45"/>
  <c r="O64" i="46"/>
  <c r="O56" i="46"/>
  <c r="O54" i="46"/>
  <c r="O42" i="46"/>
  <c r="O30" i="46"/>
  <c r="O26" i="46"/>
  <c r="O26" i="54"/>
  <c r="O55" i="55"/>
  <c r="O48" i="55"/>
  <c r="O46" i="55"/>
  <c r="O41" i="56"/>
  <c r="O30" i="56"/>
  <c r="O67" i="57"/>
  <c r="O63" i="57"/>
  <c r="O61" i="57"/>
  <c r="O57" i="57"/>
  <c r="O55" i="57"/>
  <c r="O53" i="57"/>
  <c r="O51" i="57"/>
  <c r="O40" i="57"/>
  <c r="O34" i="57"/>
  <c r="O32" i="57"/>
  <c r="O41" i="58"/>
  <c r="O29" i="58"/>
  <c r="O27" i="58"/>
  <c r="O64" i="59"/>
  <c r="O72" i="59"/>
  <c r="O67" i="61"/>
  <c r="O71" i="61"/>
  <c r="P128" i="61"/>
  <c r="P130" i="61"/>
  <c r="O68" i="62"/>
  <c r="O72" i="62"/>
  <c r="O63" i="63"/>
  <c r="O65" i="63"/>
  <c r="O51" i="64"/>
  <c r="O65" i="64"/>
  <c r="O69" i="64"/>
  <c r="O71" i="64"/>
  <c r="O67" i="65"/>
  <c r="O69" i="65"/>
  <c r="O28" i="66"/>
  <c r="O30" i="66"/>
  <c r="O50" i="66"/>
  <c r="O52" i="66"/>
  <c r="O59" i="66"/>
  <c r="O71" i="66"/>
  <c r="O22" i="68"/>
  <c r="O63" i="68"/>
  <c r="O35" i="69"/>
  <c r="O47" i="69"/>
  <c r="O55" i="69"/>
  <c r="O61" i="69"/>
  <c r="O69" i="69"/>
  <c r="O49" i="70"/>
  <c r="O51" i="70"/>
  <c r="O53" i="70"/>
  <c r="O39" i="71"/>
  <c r="O46" i="72"/>
  <c r="O58" i="73"/>
  <c r="P115" i="74"/>
  <c r="P119" i="74"/>
  <c r="P121" i="74"/>
  <c r="P123" i="74"/>
  <c r="P125" i="74"/>
  <c r="P127" i="74"/>
  <c r="P120" i="77"/>
  <c r="O41" i="78"/>
  <c r="O61" i="79"/>
  <c r="O72" i="79"/>
  <c r="O26" i="80"/>
  <c r="O47" i="42"/>
  <c r="O66" i="53"/>
  <c r="O64" i="53"/>
  <c r="O53" i="53"/>
  <c r="O41" i="54"/>
  <c r="O33" i="54"/>
  <c r="O31" i="54"/>
  <c r="O27" i="54"/>
  <c r="O25" i="54"/>
  <c r="O70" i="56"/>
  <c r="O66" i="56"/>
  <c r="O54" i="56"/>
  <c r="O37" i="56"/>
  <c r="O31" i="56"/>
  <c r="O29" i="56"/>
  <c r="O25" i="56"/>
  <c r="O41" i="59"/>
  <c r="O23" i="60"/>
  <c r="O52" i="60"/>
  <c r="O54" i="60"/>
  <c r="O60" i="60"/>
  <c r="O62" i="60"/>
  <c r="O68" i="60"/>
  <c r="O72" i="60"/>
  <c r="O26" i="61"/>
  <c r="O32" i="61"/>
  <c r="O38" i="61"/>
  <c r="O46" i="61"/>
  <c r="O26" i="64"/>
  <c r="O28" i="64"/>
  <c r="O36" i="64"/>
  <c r="O25" i="65"/>
  <c r="O27" i="65"/>
  <c r="O31" i="65"/>
  <c r="O29" i="67"/>
  <c r="O34" i="70"/>
  <c r="O40" i="70"/>
  <c r="O71" i="70"/>
  <c r="O45" i="71"/>
  <c r="O49" i="71"/>
  <c r="O29" i="72"/>
  <c r="O56" i="72"/>
  <c r="O58" i="72"/>
  <c r="O72" i="72"/>
  <c r="O39" i="73"/>
  <c r="O31" i="41"/>
  <c r="O58" i="42"/>
  <c r="O58" i="43"/>
  <c r="O56" i="43"/>
  <c r="O65" i="44"/>
  <c r="O61" i="44"/>
  <c r="O53" i="44"/>
  <c r="O47" i="44"/>
  <c r="O38" i="44"/>
  <c r="O34" i="44"/>
  <c r="O67" i="45"/>
  <c r="O50" i="45"/>
  <c r="O42" i="45"/>
  <c r="O40" i="45"/>
  <c r="O27" i="45"/>
  <c r="O61" i="46"/>
  <c r="O45" i="46"/>
  <c r="O33" i="46"/>
  <c r="O54" i="53"/>
  <c r="O39" i="53"/>
  <c r="O63" i="54"/>
  <c r="O50" i="54"/>
  <c r="O46" i="54"/>
  <c r="O38" i="58"/>
  <c r="O30" i="58"/>
  <c r="O24" i="58"/>
  <c r="O65" i="59"/>
  <c r="O56" i="61"/>
  <c r="O30" i="62"/>
  <c r="O34" i="62"/>
  <c r="O57" i="62"/>
  <c r="O51" i="63"/>
  <c r="O55" i="63"/>
  <c r="O62" i="63"/>
  <c r="O64" i="63"/>
  <c r="O44" i="64"/>
  <c r="O48" i="65"/>
  <c r="O50" i="65"/>
  <c r="O66" i="65"/>
  <c r="O29" i="66"/>
  <c r="O40" i="66"/>
  <c r="O62" i="66"/>
  <c r="O64" i="66"/>
  <c r="O68" i="66"/>
  <c r="O30" i="69"/>
  <c r="O32" i="69"/>
  <c r="O44" i="69"/>
  <c r="O50" i="69"/>
  <c r="O58" i="69"/>
  <c r="O66" i="69"/>
  <c r="O68" i="69"/>
  <c r="O72" i="69"/>
  <c r="O40" i="71"/>
  <c r="O57" i="71"/>
  <c r="O26" i="73"/>
  <c r="O40" i="76"/>
  <c r="O42" i="76"/>
  <c r="O44" i="76"/>
  <c r="O50" i="76"/>
  <c r="O52" i="76"/>
  <c r="O54" i="76"/>
  <c r="O58" i="76"/>
  <c r="O60" i="76"/>
  <c r="O62" i="76"/>
  <c r="O33" i="77"/>
  <c r="O58" i="79"/>
  <c r="P117" i="79"/>
  <c r="P121" i="79"/>
  <c r="O49" i="81"/>
  <c r="O62" i="81"/>
  <c r="O39" i="82"/>
  <c r="O49" i="82"/>
  <c r="O62" i="82"/>
  <c r="O64" i="82"/>
  <c r="O35" i="83"/>
  <c r="O59" i="83"/>
  <c r="O46" i="84"/>
  <c r="O32" i="85"/>
  <c r="O40" i="85"/>
  <c r="O55" i="85"/>
  <c r="O57" i="85"/>
  <c r="O59" i="85"/>
  <c r="O65" i="85"/>
  <c r="O67" i="85"/>
  <c r="O71" i="85"/>
  <c r="P125" i="85"/>
  <c r="O45" i="86"/>
  <c r="O47" i="86"/>
  <c r="O49" i="86"/>
  <c r="O55" i="86"/>
  <c r="O59" i="86"/>
  <c r="O61" i="86"/>
  <c r="O63" i="86"/>
  <c r="O36" i="87"/>
  <c r="O44" i="87"/>
  <c r="O50" i="87"/>
  <c r="O33" i="89"/>
  <c r="O41" i="89"/>
  <c r="O22" i="90"/>
  <c r="O55" i="91"/>
  <c r="O20" i="92"/>
  <c r="O70" i="96"/>
  <c r="O36" i="80"/>
  <c r="O43" i="80"/>
  <c r="O49" i="80"/>
  <c r="O64" i="80"/>
  <c r="O68" i="80"/>
  <c r="O70" i="80"/>
  <c r="O72" i="80"/>
  <c r="O22" i="81"/>
  <c r="O28" i="81"/>
  <c r="O30" i="81"/>
  <c r="O34" i="81"/>
  <c r="O38" i="81"/>
  <c r="O40" i="81"/>
  <c r="O53" i="81"/>
  <c r="O55" i="81"/>
  <c r="O57" i="81"/>
  <c r="O59" i="81"/>
  <c r="O70" i="81"/>
  <c r="O65" i="83"/>
  <c r="O67" i="83"/>
  <c r="O71" i="83"/>
  <c r="O23" i="85"/>
  <c r="O27" i="85"/>
  <c r="O26" i="86"/>
  <c r="O32" i="86"/>
  <c r="O34" i="86"/>
  <c r="O58" i="88"/>
  <c r="O62" i="88"/>
  <c r="O70" i="88"/>
  <c r="O47" i="89"/>
  <c r="O51" i="89"/>
  <c r="O68" i="89"/>
  <c r="O70" i="89"/>
  <c r="O72" i="89"/>
  <c r="O40" i="90"/>
  <c r="O58" i="90"/>
  <c r="O60" i="90"/>
  <c r="P118" i="90"/>
  <c r="O31" i="91"/>
  <c r="O33" i="91"/>
  <c r="O37" i="91"/>
  <c r="O63" i="91"/>
  <c r="O65" i="91"/>
  <c r="O19" i="93"/>
  <c r="O21" i="93"/>
  <c r="O27" i="93"/>
  <c r="O39" i="93"/>
  <c r="O47" i="93"/>
  <c r="O50" i="93"/>
  <c r="O52" i="93"/>
  <c r="O54" i="93"/>
  <c r="O60" i="93"/>
  <c r="O19" i="95"/>
  <c r="O21" i="95"/>
  <c r="O28" i="95"/>
  <c r="O32" i="95"/>
  <c r="O34" i="95"/>
  <c r="O36" i="95"/>
  <c r="O38" i="95"/>
  <c r="O44" i="95"/>
  <c r="O46" i="95"/>
  <c r="O54" i="95"/>
  <c r="O58" i="95"/>
  <c r="O19" i="96"/>
  <c r="O21" i="96"/>
  <c r="O45" i="96"/>
  <c r="O59" i="96"/>
  <c r="O63" i="96"/>
  <c r="O50" i="81"/>
  <c r="O63" i="81"/>
  <c r="O40" i="82"/>
  <c r="O42" i="82"/>
  <c r="O46" i="82"/>
  <c r="O61" i="82"/>
  <c r="O63" i="82"/>
  <c r="O65" i="82"/>
  <c r="O69" i="82"/>
  <c r="P113" i="82"/>
  <c r="O32" i="83"/>
  <c r="O35" i="84"/>
  <c r="O37" i="84"/>
  <c r="O41" i="84"/>
  <c r="O43" i="84"/>
  <c r="O33" i="85"/>
  <c r="O35" i="85"/>
  <c r="O37" i="85"/>
  <c r="O41" i="85"/>
  <c r="O49" i="85"/>
  <c r="O54" i="85"/>
  <c r="O64" i="85"/>
  <c r="O70" i="85"/>
  <c r="O72" i="85"/>
  <c r="O19" i="87"/>
  <c r="O41" i="87"/>
  <c r="O25" i="90"/>
  <c r="O27" i="90"/>
  <c r="O62" i="91"/>
  <c r="O38" i="92"/>
  <c r="O40" i="92"/>
  <c r="O67" i="92"/>
  <c r="O71" i="92"/>
  <c r="O39" i="95"/>
  <c r="O46" i="80"/>
  <c r="O59" i="80"/>
  <c r="O61" i="80"/>
  <c r="O65" i="80"/>
  <c r="O67" i="80"/>
  <c r="O69" i="80"/>
  <c r="O39" i="81"/>
  <c r="O41" i="81"/>
  <c r="O71" i="81"/>
  <c r="O25" i="82"/>
  <c r="O21" i="83"/>
  <c r="O25" i="83"/>
  <c r="O49" i="83"/>
  <c r="O64" i="83"/>
  <c r="O72" i="83"/>
  <c r="O38" i="84"/>
  <c r="O26" i="85"/>
  <c r="O31" i="86"/>
  <c r="O20" i="88"/>
  <c r="O57" i="88"/>
  <c r="O59" i="88"/>
  <c r="O48" i="89"/>
  <c r="O54" i="89"/>
  <c r="P115" i="89"/>
  <c r="O45" i="90"/>
  <c r="O55" i="90"/>
  <c r="O59" i="90"/>
  <c r="O70" i="91"/>
  <c r="O72" i="91"/>
  <c r="P108" i="91"/>
  <c r="P110" i="91"/>
  <c r="P118" i="91"/>
  <c r="P122" i="91"/>
  <c r="P124" i="91"/>
  <c r="P128" i="91"/>
  <c r="O48" i="92"/>
  <c r="O52" i="92"/>
  <c r="O58" i="92"/>
  <c r="O60" i="92"/>
  <c r="O24" i="93"/>
  <c r="O26" i="93"/>
  <c r="O28" i="93"/>
  <c r="O30" i="93"/>
  <c r="O34" i="93"/>
  <c r="O36" i="93"/>
  <c r="O40" i="93"/>
  <c r="O49" i="93"/>
  <c r="O55" i="93"/>
  <c r="O66" i="93"/>
  <c r="O64" i="94"/>
  <c r="O18" i="95"/>
  <c r="O26" i="95"/>
  <c r="O35" i="95"/>
  <c r="O26" i="96"/>
  <c r="O34" i="96"/>
  <c r="O42" i="96"/>
  <c r="O50" i="96"/>
  <c r="O54" i="96"/>
  <c r="C99" i="94"/>
  <c r="C100" i="94" s="1"/>
  <c r="C101" i="94" s="1"/>
  <c r="C102" i="94" s="1"/>
  <c r="C103" i="94" s="1"/>
  <c r="C104" i="94" s="1"/>
  <c r="C105" i="94" s="1"/>
  <c r="C106" i="94" s="1"/>
  <c r="C107" i="94" s="1"/>
  <c r="C108" i="94" s="1"/>
  <c r="C109" i="94" s="1"/>
  <c r="C110" i="94" s="1"/>
  <c r="C111" i="94" s="1"/>
  <c r="C112" i="94" s="1"/>
  <c r="C113" i="94" s="1"/>
  <c r="C114" i="94" s="1"/>
  <c r="C115" i="94" s="1"/>
  <c r="C116" i="94" s="1"/>
  <c r="C117" i="94" s="1"/>
  <c r="C118" i="94" s="1"/>
  <c r="C119" i="94" s="1"/>
  <c r="C120" i="94" s="1"/>
  <c r="C121" i="94" s="1"/>
  <c r="C122" i="94" s="1"/>
  <c r="C123" i="94" s="1"/>
  <c r="C124" i="94" s="1"/>
  <c r="C125" i="94" s="1"/>
  <c r="C126" i="94" s="1"/>
  <c r="C127" i="94" s="1"/>
  <c r="C128" i="94" s="1"/>
  <c r="C129" i="94" s="1"/>
  <c r="C130" i="94" s="1"/>
  <c r="C131" i="94" s="1"/>
  <c r="C132" i="94" s="1"/>
  <c r="C133" i="94" s="1"/>
  <c r="C134" i="94" s="1"/>
  <c r="C135" i="94" s="1"/>
  <c r="C136" i="94" s="1"/>
  <c r="C137" i="94" s="1"/>
  <c r="C138" i="94" s="1"/>
  <c r="C139" i="94" s="1"/>
  <c r="C140" i="94" s="1"/>
  <c r="C141" i="94" s="1"/>
  <c r="C142" i="94" s="1"/>
  <c r="C143" i="94" s="1"/>
  <c r="C144" i="94" s="1"/>
  <c r="C145" i="94" s="1"/>
  <c r="C146" i="94" s="1"/>
  <c r="C147" i="94" s="1"/>
  <c r="C148" i="94" s="1"/>
  <c r="C149" i="94" s="1"/>
  <c r="C150" i="94" s="1"/>
  <c r="C151" i="94" s="1"/>
  <c r="C152" i="94" s="1"/>
  <c r="C153" i="94" s="1"/>
  <c r="C154" i="94" s="1"/>
  <c r="O72" i="13"/>
  <c r="O40" i="13"/>
  <c r="O64" i="3"/>
  <c r="O54" i="3"/>
  <c r="O65" i="13"/>
  <c r="O61" i="20"/>
  <c r="O42" i="20"/>
  <c r="O27" i="20"/>
  <c r="O57" i="21"/>
  <c r="O49" i="21"/>
  <c r="O35" i="21"/>
  <c r="O27" i="21"/>
  <c r="O40" i="23"/>
  <c r="O58" i="25"/>
  <c r="O22" i="25"/>
  <c r="O72" i="26"/>
  <c r="O60" i="27"/>
  <c r="O39" i="28"/>
  <c r="O67" i="29"/>
  <c r="O44" i="29"/>
  <c r="O42" i="29"/>
  <c r="O69" i="30"/>
  <c r="O71" i="41"/>
  <c r="O72" i="42"/>
  <c r="O57" i="43"/>
  <c r="O60" i="44"/>
  <c r="O68" i="45"/>
  <c r="O55" i="45"/>
  <c r="O65" i="46"/>
  <c r="O64" i="54"/>
  <c r="O34" i="64"/>
  <c r="O72" i="17"/>
  <c r="O66" i="17"/>
  <c r="O51" i="17"/>
  <c r="O49" i="17"/>
  <c r="O70" i="18"/>
  <c r="O68" i="18"/>
  <c r="O37" i="18"/>
  <c r="O33" i="18"/>
  <c r="O47" i="19"/>
  <c r="O68" i="24"/>
  <c r="O61" i="24"/>
  <c r="O40" i="24"/>
  <c r="O30" i="24"/>
  <c r="O35" i="27"/>
  <c r="O56" i="28"/>
  <c r="O72" i="29"/>
  <c r="O36" i="30"/>
  <c r="O34" i="31"/>
  <c r="O57" i="33"/>
  <c r="O49" i="33"/>
  <c r="O54" i="35"/>
  <c r="O31" i="35"/>
  <c r="O23" i="35"/>
  <c r="O58" i="39"/>
  <c r="O47" i="41"/>
  <c r="O43" i="44"/>
  <c r="O64" i="45"/>
  <c r="O32" i="46"/>
  <c r="O71" i="54"/>
  <c r="O40" i="54"/>
  <c r="O43" i="56"/>
  <c r="O68" i="57"/>
  <c r="O66" i="58"/>
  <c r="O58" i="58"/>
  <c r="O52" i="58"/>
  <c r="O25" i="58"/>
  <c r="O56" i="60"/>
  <c r="O36" i="13"/>
  <c r="O54" i="20"/>
  <c r="O52" i="20"/>
  <c r="O46" i="20"/>
  <c r="O32" i="20"/>
  <c r="O52" i="21"/>
  <c r="O44" i="21"/>
  <c r="O32" i="21"/>
  <c r="O53" i="24"/>
  <c r="O34" i="25"/>
  <c r="O25" i="25"/>
  <c r="O19" i="25"/>
  <c r="O52" i="26"/>
  <c r="O35" i="26"/>
  <c r="O29" i="26"/>
  <c r="O42" i="28"/>
  <c r="O53" i="29"/>
  <c r="O51" i="29"/>
  <c r="O30" i="29"/>
  <c r="O57" i="30"/>
  <c r="O54" i="31"/>
  <c r="O59" i="32"/>
  <c r="O35" i="32"/>
  <c r="O48" i="34"/>
  <c r="O42" i="39"/>
  <c r="O63" i="43"/>
  <c r="O26" i="53"/>
  <c r="O68" i="56"/>
  <c r="O60" i="56"/>
  <c r="O33" i="56"/>
  <c r="O33" i="57"/>
  <c r="O69" i="17"/>
  <c r="O65" i="18"/>
  <c r="O63" i="18"/>
  <c r="O30" i="18"/>
  <c r="O69" i="19"/>
  <c r="O55" i="22"/>
  <c r="O56" i="23"/>
  <c r="O71" i="24"/>
  <c r="O35" i="24"/>
  <c r="O72" i="25"/>
  <c r="O32" i="27"/>
  <c r="O59" i="28"/>
  <c r="O46" i="31"/>
  <c r="O52" i="33"/>
  <c r="O17" i="33"/>
  <c r="O26" i="35"/>
  <c r="O71" i="44"/>
  <c r="O37" i="44"/>
  <c r="O35" i="46"/>
  <c r="O69" i="58"/>
  <c r="O63" i="58"/>
  <c r="O55" i="58"/>
  <c r="O40" i="65"/>
  <c r="O54" i="65"/>
  <c r="O71" i="65"/>
  <c r="O66" i="66"/>
  <c r="O72" i="66"/>
  <c r="O27" i="75"/>
  <c r="O29" i="75"/>
  <c r="O25" i="80"/>
  <c r="O34" i="80"/>
  <c r="O27" i="84"/>
  <c r="O39" i="84"/>
  <c r="O63" i="84"/>
  <c r="O51" i="86"/>
  <c r="O53" i="86"/>
  <c r="O21" i="87"/>
  <c r="O36" i="90"/>
  <c r="O43" i="90"/>
  <c r="O57" i="74"/>
  <c r="O32" i="78"/>
  <c r="O38" i="78"/>
  <c r="O48" i="84"/>
  <c r="O61" i="85"/>
  <c r="O72" i="86"/>
  <c r="O32" i="93"/>
  <c r="O38" i="93"/>
  <c r="O57" i="93"/>
  <c r="O54" i="94"/>
  <c r="O20" i="95"/>
  <c r="O68" i="95"/>
  <c r="O70" i="95"/>
  <c r="O31" i="96"/>
  <c r="O35" i="96"/>
  <c r="O52" i="96"/>
  <c r="O69" i="66"/>
  <c r="O29" i="68"/>
  <c r="O24" i="75"/>
  <c r="O63" i="75"/>
  <c r="O23" i="77"/>
  <c r="O67" i="78"/>
  <c r="O31" i="85"/>
  <c r="O38" i="85"/>
  <c r="O37" i="87"/>
  <c r="O72" i="88"/>
  <c r="O46" i="90"/>
  <c r="O27" i="94"/>
  <c r="O43" i="94"/>
  <c r="O25" i="86"/>
  <c r="O21" i="88"/>
  <c r="O40" i="88"/>
  <c r="O56" i="88"/>
  <c r="O55" i="89"/>
  <c r="O30" i="92"/>
  <c r="O44" i="93"/>
  <c r="O53" i="94"/>
  <c r="O62" i="94"/>
  <c r="O71" i="94"/>
  <c r="O30" i="95"/>
  <c r="O50" i="95"/>
  <c r="O52" i="95"/>
  <c r="O32" i="96"/>
  <c r="O36" i="96"/>
  <c r="O72" i="96"/>
  <c r="P116" i="23"/>
  <c r="P143" i="25"/>
  <c r="P115" i="25"/>
  <c r="P133" i="27"/>
  <c r="P146" i="28"/>
  <c r="P149" i="29"/>
  <c r="P125" i="29"/>
  <c r="P127" i="31"/>
  <c r="P113" i="31"/>
  <c r="P151" i="35"/>
  <c r="P147" i="35"/>
  <c r="P141" i="35"/>
  <c r="P122" i="39"/>
  <c r="P121" i="41"/>
  <c r="P153" i="57"/>
  <c r="P149" i="57"/>
  <c r="P139" i="57"/>
  <c r="P153" i="58"/>
  <c r="P149" i="58"/>
  <c r="P143" i="58"/>
  <c r="P133" i="58"/>
  <c r="P131" i="58"/>
  <c r="P121" i="58"/>
  <c r="P119" i="58"/>
  <c r="P105" i="58"/>
  <c r="P104" i="63"/>
  <c r="P110" i="63"/>
  <c r="P114" i="63"/>
  <c r="P116" i="63"/>
  <c r="P118" i="63"/>
  <c r="P120" i="63"/>
  <c r="P122" i="63"/>
  <c r="P124" i="63"/>
  <c r="P108" i="66"/>
  <c r="P110" i="66"/>
  <c r="P112" i="66"/>
  <c r="P114" i="66"/>
  <c r="P120" i="66"/>
  <c r="P122" i="66"/>
  <c r="P124" i="66"/>
  <c r="P126" i="66"/>
  <c r="P110" i="68"/>
  <c r="P115" i="69"/>
  <c r="P122" i="70"/>
  <c r="P117" i="71"/>
  <c r="P129" i="71"/>
  <c r="P106" i="75"/>
  <c r="P110" i="75"/>
  <c r="P112" i="75"/>
  <c r="P114" i="75"/>
  <c r="P118" i="75"/>
  <c r="P124" i="75"/>
  <c r="P126" i="75"/>
  <c r="P128" i="75"/>
  <c r="P130" i="75"/>
  <c r="P104" i="77"/>
  <c r="P108" i="77"/>
  <c r="P110" i="77"/>
  <c r="P114" i="77"/>
  <c r="P118" i="77"/>
  <c r="P124" i="77"/>
  <c r="P102" i="78"/>
  <c r="P110" i="78"/>
  <c r="P114" i="78"/>
  <c r="P116" i="78"/>
  <c r="P118" i="78"/>
  <c r="P120" i="78"/>
  <c r="P119" i="79"/>
  <c r="P123" i="79"/>
  <c r="P125" i="79"/>
  <c r="P127" i="79"/>
  <c r="P129" i="79"/>
  <c r="P103" i="80"/>
  <c r="P113" i="80"/>
  <c r="P115" i="80"/>
  <c r="P117" i="80"/>
  <c r="P119" i="80"/>
  <c r="P121" i="80"/>
  <c r="P125" i="80"/>
  <c r="P127" i="80"/>
  <c r="P129" i="80"/>
  <c r="P101" i="81"/>
  <c r="P103" i="81"/>
  <c r="P105" i="81"/>
  <c r="P107" i="81"/>
  <c r="P113" i="81"/>
  <c r="P117" i="81"/>
  <c r="P119" i="81"/>
  <c r="P121" i="81"/>
  <c r="P123" i="81"/>
  <c r="P125" i="81"/>
  <c r="P105" i="82"/>
  <c r="P107" i="82"/>
  <c r="P109" i="82"/>
  <c r="P115" i="82"/>
  <c r="P117" i="82"/>
  <c r="P121" i="82"/>
  <c r="P123" i="82"/>
  <c r="P129" i="82"/>
  <c r="P102" i="83"/>
  <c r="P108" i="83"/>
  <c r="P124" i="83"/>
  <c r="P102" i="84"/>
  <c r="P118" i="84"/>
  <c r="P120" i="84"/>
  <c r="P122" i="84"/>
  <c r="P124" i="84"/>
  <c r="P126" i="84"/>
  <c r="P130" i="84"/>
  <c r="P100" i="86"/>
  <c r="P106" i="86"/>
  <c r="P112" i="86"/>
  <c r="P121" i="87"/>
  <c r="P125" i="87"/>
  <c r="P105" i="88"/>
  <c r="P113" i="88"/>
  <c r="P125" i="88"/>
  <c r="P130" i="92"/>
  <c r="P100" i="93"/>
  <c r="P104" i="93"/>
  <c r="P106" i="93"/>
  <c r="P108" i="93"/>
  <c r="P112" i="93"/>
  <c r="P114" i="93"/>
  <c r="P124" i="93"/>
  <c r="P130" i="93"/>
  <c r="P114" i="64"/>
  <c r="P106" i="76"/>
  <c r="P116" i="39"/>
  <c r="P112" i="39"/>
  <c r="P147" i="41"/>
  <c r="P137" i="41"/>
  <c r="P135" i="41"/>
  <c r="P125" i="46"/>
  <c r="P108" i="68"/>
  <c r="P112" i="68"/>
  <c r="P114" i="68"/>
  <c r="P116" i="68"/>
  <c r="P118" i="68"/>
  <c r="P122" i="68"/>
  <c r="P110" i="70"/>
  <c r="P112" i="70"/>
  <c r="P114" i="70"/>
  <c r="P124" i="70"/>
  <c r="P126" i="70"/>
  <c r="P128" i="70"/>
  <c r="P119" i="71"/>
  <c r="P121" i="71"/>
  <c r="P123" i="71"/>
  <c r="P125" i="71"/>
  <c r="P112" i="77"/>
  <c r="P114" i="86"/>
  <c r="P116" i="86"/>
  <c r="P119" i="61"/>
  <c r="P121" i="61"/>
  <c r="P123" i="61"/>
  <c r="P125" i="61"/>
  <c r="P113" i="19"/>
  <c r="P142" i="23"/>
  <c r="P126" i="23"/>
  <c r="P147" i="25"/>
  <c r="P145" i="25"/>
  <c r="P139" i="25"/>
  <c r="P137" i="25"/>
  <c r="P131" i="25"/>
  <c r="P127" i="25"/>
  <c r="P125" i="25"/>
  <c r="P123" i="25"/>
  <c r="P121" i="25"/>
  <c r="P117" i="25"/>
  <c r="P113" i="25"/>
  <c r="P109" i="25"/>
  <c r="P107" i="25"/>
  <c r="P153" i="27"/>
  <c r="P149" i="27"/>
  <c r="P145" i="27"/>
  <c r="J92" i="29"/>
  <c r="J92" i="26"/>
  <c r="N87" i="26" s="1"/>
  <c r="J92" i="84"/>
  <c r="J92" i="96"/>
  <c r="M87" i="96" s="1"/>
  <c r="J92" i="59"/>
  <c r="L86" i="59" s="1"/>
  <c r="J92" i="45"/>
  <c r="M87" i="45" s="1"/>
  <c r="J92" i="55"/>
  <c r="M87" i="55" s="1"/>
  <c r="J92" i="20"/>
  <c r="N87" i="20" s="1"/>
  <c r="J92" i="57"/>
  <c r="M87" i="57" s="1"/>
  <c r="J92" i="41"/>
  <c r="J92" i="54"/>
  <c r="N87" i="54" s="1"/>
  <c r="J92" i="71"/>
  <c r="N87" i="71" s="1"/>
  <c r="J92" i="68"/>
  <c r="N87" i="68" s="1"/>
  <c r="J92" i="81"/>
  <c r="J92" i="83"/>
  <c r="N87" i="83" s="1"/>
  <c r="M19" i="2"/>
  <c r="J92" i="35"/>
  <c r="L86" i="35" s="1"/>
  <c r="J92" i="19"/>
  <c r="P107" i="80"/>
  <c r="M87" i="80"/>
  <c r="J92" i="63"/>
  <c r="N87" i="63" s="1"/>
  <c r="J92" i="53"/>
  <c r="N87" i="53" s="1"/>
  <c r="J92" i="22"/>
  <c r="J92" i="44"/>
  <c r="N87" i="44" s="1"/>
  <c r="J92" i="82"/>
  <c r="M87" i="82" s="1"/>
  <c r="J92" i="85"/>
  <c r="L86" i="85" s="1"/>
  <c r="J92" i="62"/>
  <c r="L86" i="62" s="1"/>
  <c r="J92" i="56"/>
  <c r="M87" i="56" s="1"/>
  <c r="J92" i="77"/>
  <c r="J92" i="32"/>
  <c r="J92" i="89"/>
  <c r="N87" i="89" s="1"/>
  <c r="P109" i="64"/>
  <c r="P113" i="64"/>
  <c r="P117" i="64"/>
  <c r="P119" i="64"/>
  <c r="P123" i="64"/>
  <c r="P125" i="64"/>
  <c r="P129" i="64"/>
  <c r="P141" i="27"/>
  <c r="P135" i="27"/>
  <c r="P123" i="27"/>
  <c r="P117" i="27"/>
  <c r="P115" i="27"/>
  <c r="P111" i="27"/>
  <c r="P152" i="28"/>
  <c r="P150" i="28"/>
  <c r="P142" i="28"/>
  <c r="P140" i="28"/>
  <c r="P138" i="28"/>
  <c r="P126" i="28"/>
  <c r="P153" i="29"/>
  <c r="P133" i="29"/>
  <c r="P131" i="29"/>
  <c r="P121" i="29"/>
  <c r="P119" i="29"/>
  <c r="P117" i="29"/>
  <c r="P115" i="29"/>
  <c r="P111" i="29"/>
  <c r="P151" i="31"/>
  <c r="P149" i="31"/>
  <c r="P143" i="31"/>
  <c r="P141" i="31"/>
  <c r="P137" i="31"/>
  <c r="P129" i="31"/>
  <c r="P125" i="31"/>
  <c r="P123" i="31"/>
  <c r="P121" i="31"/>
  <c r="P119" i="31"/>
  <c r="P117" i="31"/>
  <c r="P154" i="32"/>
  <c r="P116" i="32"/>
  <c r="P114" i="32"/>
  <c r="P127" i="61"/>
  <c r="P129" i="61"/>
  <c r="P109" i="62"/>
  <c r="P111" i="62"/>
  <c r="P113" i="62"/>
  <c r="P115" i="62"/>
  <c r="P117" i="62"/>
  <c r="P119" i="62"/>
  <c r="P121" i="62"/>
  <c r="P127" i="62"/>
  <c r="P127" i="42"/>
  <c r="P121" i="54"/>
  <c r="P143" i="41"/>
  <c r="P131" i="41"/>
  <c r="P117" i="41"/>
  <c r="F48" i="2"/>
  <c r="F52" i="2" s="1"/>
  <c r="P105" i="65"/>
  <c r="P107" i="65"/>
  <c r="P109" i="65"/>
  <c r="P111" i="65"/>
  <c r="P119" i="65"/>
  <c r="P121" i="65"/>
  <c r="P123" i="65"/>
  <c r="P125" i="65"/>
  <c r="P127" i="65"/>
  <c r="P129" i="65"/>
  <c r="P125" i="67"/>
  <c r="P127" i="67"/>
  <c r="P106" i="74"/>
  <c r="P108" i="74"/>
  <c r="P118" i="74"/>
  <c r="P128" i="74"/>
  <c r="P100" i="94"/>
  <c r="P102" i="94"/>
  <c r="P104" i="94"/>
  <c r="P106" i="94"/>
  <c r="P114" i="94"/>
  <c r="P116" i="94"/>
  <c r="P118" i="94"/>
  <c r="P120" i="94"/>
  <c r="P124" i="94"/>
  <c r="P130" i="94"/>
  <c r="P112" i="95"/>
  <c r="P116" i="95"/>
  <c r="P118" i="95"/>
  <c r="P124" i="95"/>
  <c r="P128" i="95"/>
  <c r="P130" i="95"/>
  <c r="P99" i="96"/>
  <c r="P101" i="96"/>
  <c r="P103" i="96"/>
  <c r="P107" i="96"/>
  <c r="P123" i="96"/>
  <c r="P152" i="3"/>
  <c r="P146" i="3"/>
  <c r="P144" i="3"/>
  <c r="P142" i="3"/>
  <c r="P140" i="3"/>
  <c r="P130" i="3"/>
  <c r="P128" i="3"/>
  <c r="P116" i="3"/>
  <c r="P110" i="3"/>
  <c r="P129" i="13"/>
  <c r="P127" i="13"/>
  <c r="P125" i="13"/>
  <c r="P123" i="13"/>
  <c r="P121" i="13"/>
  <c r="P99" i="13"/>
  <c r="P149" i="18"/>
  <c r="P135" i="18"/>
  <c r="P133" i="18"/>
  <c r="P131" i="18"/>
  <c r="P129" i="18"/>
  <c r="P127" i="18"/>
  <c r="P125" i="18"/>
  <c r="P119" i="18"/>
  <c r="P109" i="18"/>
  <c r="P129" i="24"/>
  <c r="P123" i="24"/>
  <c r="P117" i="24"/>
  <c r="P148" i="26"/>
  <c r="P146" i="26"/>
  <c r="P122" i="26"/>
  <c r="P154" i="30"/>
  <c r="P132" i="30"/>
  <c r="P130" i="30"/>
  <c r="P116" i="30"/>
  <c r="P153" i="33"/>
  <c r="P139" i="33"/>
  <c r="P137" i="33"/>
  <c r="P121" i="33"/>
  <c r="P113" i="33"/>
  <c r="P111" i="33"/>
  <c r="P101" i="33"/>
  <c r="P99" i="33"/>
  <c r="P149" i="34"/>
  <c r="P145" i="34"/>
  <c r="P143" i="34"/>
  <c r="P139" i="34"/>
  <c r="P131" i="34"/>
  <c r="P109" i="3"/>
  <c r="P104" i="13"/>
  <c r="P147" i="21"/>
  <c r="P135" i="21"/>
  <c r="P129" i="21"/>
  <c r="P136" i="24"/>
  <c r="P134" i="24"/>
  <c r="P132" i="24"/>
  <c r="P118" i="24"/>
  <c r="P116" i="24"/>
  <c r="P139" i="26"/>
  <c r="P137" i="26"/>
  <c r="P133" i="26"/>
  <c r="P131" i="26"/>
  <c r="P129" i="26"/>
  <c r="P127" i="26"/>
  <c r="P111" i="26"/>
  <c r="P109" i="26"/>
  <c r="P103" i="26"/>
  <c r="P101" i="26"/>
  <c r="P135" i="35"/>
  <c r="P101" i="35"/>
  <c r="P153" i="41"/>
  <c r="P149" i="41"/>
  <c r="P141" i="41"/>
  <c r="P139" i="41"/>
  <c r="P133" i="41"/>
  <c r="P125" i="41"/>
  <c r="P119" i="41"/>
  <c r="P153" i="46"/>
  <c r="P111" i="46"/>
  <c r="P151" i="57"/>
  <c r="P151" i="58"/>
  <c r="P141" i="58"/>
  <c r="P137" i="58"/>
  <c r="P125" i="58"/>
  <c r="P123" i="58"/>
  <c r="P113" i="58"/>
  <c r="P109" i="58"/>
  <c r="P122" i="59"/>
  <c r="P130" i="59"/>
  <c r="P128" i="63"/>
  <c r="P130" i="63"/>
  <c r="P129" i="34"/>
  <c r="P119" i="34"/>
  <c r="P148" i="42"/>
  <c r="P122" i="42"/>
  <c r="P152" i="43"/>
  <c r="P150" i="43"/>
  <c r="P146" i="43"/>
  <c r="P140" i="43"/>
  <c r="P136" i="43"/>
  <c r="P130" i="43"/>
  <c r="P128" i="43"/>
  <c r="P126" i="43"/>
  <c r="P124" i="43"/>
  <c r="P122" i="43"/>
  <c r="P120" i="43"/>
  <c r="P118" i="43"/>
  <c r="P116" i="43"/>
  <c r="P114" i="43"/>
  <c r="P112" i="43"/>
  <c r="P108" i="43"/>
  <c r="P145" i="44"/>
  <c r="P143" i="44"/>
  <c r="P137" i="44"/>
  <c r="P133" i="44"/>
  <c r="P127" i="44"/>
  <c r="P125" i="44"/>
  <c r="P123" i="44"/>
  <c r="P121" i="44"/>
  <c r="P119" i="44"/>
  <c r="P107" i="44"/>
  <c r="P143" i="45"/>
  <c r="P141" i="45"/>
  <c r="P139" i="45"/>
  <c r="P137" i="45"/>
  <c r="P135" i="45"/>
  <c r="P133" i="45"/>
  <c r="P131" i="45"/>
  <c r="P129" i="45"/>
  <c r="P127" i="45"/>
  <c r="P125" i="45"/>
  <c r="P123" i="45"/>
  <c r="P121" i="45"/>
  <c r="P119" i="45"/>
  <c r="P117" i="45"/>
  <c r="P115" i="45"/>
  <c r="P113" i="45"/>
  <c r="P111" i="45"/>
  <c r="P107" i="45"/>
  <c r="P118" i="54"/>
  <c r="P116" i="54"/>
  <c r="P114" i="54"/>
  <c r="P112" i="54"/>
  <c r="P110" i="54"/>
  <c r="P106" i="54"/>
  <c r="P154" i="55"/>
  <c r="P126" i="55"/>
  <c r="P124" i="55"/>
  <c r="P122" i="55"/>
  <c r="P120" i="55"/>
  <c r="P118" i="55"/>
  <c r="P116" i="55"/>
  <c r="P114" i="55"/>
  <c r="P112" i="55"/>
  <c r="P110" i="55"/>
  <c r="P106" i="55"/>
  <c r="P145" i="56"/>
  <c r="P133" i="56"/>
  <c r="P129" i="56"/>
  <c r="P121" i="56"/>
  <c r="P105" i="60"/>
  <c r="P113" i="60"/>
  <c r="P105" i="61"/>
  <c r="P109" i="61"/>
  <c r="P111" i="61"/>
  <c r="P113" i="61"/>
  <c r="P115" i="61"/>
  <c r="P103" i="67"/>
  <c r="P106" i="95"/>
  <c r="P120" i="95"/>
  <c r="P111" i="96"/>
  <c r="P126" i="3"/>
  <c r="P117" i="18"/>
  <c r="P138" i="21"/>
  <c r="P114" i="21"/>
  <c r="P128" i="22"/>
  <c r="P113" i="23"/>
  <c r="P151" i="24"/>
  <c r="P149" i="24"/>
  <c r="P139" i="24"/>
  <c r="P137" i="24"/>
  <c r="P135" i="24"/>
  <c r="P154" i="25"/>
  <c r="P152" i="25"/>
  <c r="P106" i="25"/>
  <c r="P102" i="25"/>
  <c r="P100" i="25"/>
  <c r="P154" i="27"/>
  <c r="P152" i="27"/>
  <c r="P150" i="27"/>
  <c r="P148" i="27"/>
  <c r="P146" i="27"/>
  <c r="P144" i="27"/>
  <c r="P142" i="27"/>
  <c r="P126" i="27"/>
  <c r="P124" i="27"/>
  <c r="P143" i="57"/>
  <c r="P137" i="57"/>
  <c r="P135" i="57"/>
  <c r="P133" i="57"/>
  <c r="P131" i="57"/>
  <c r="P127" i="57"/>
  <c r="P117" i="57"/>
  <c r="P113" i="57"/>
  <c r="P107" i="57"/>
  <c r="P105" i="57"/>
  <c r="P107" i="58"/>
  <c r="P120" i="27"/>
  <c r="P116" i="27"/>
  <c r="P145" i="28"/>
  <c r="P143" i="28"/>
  <c r="P137" i="28"/>
  <c r="P135" i="28"/>
  <c r="P133" i="28"/>
  <c r="P125" i="28"/>
  <c r="P123" i="28"/>
  <c r="P121" i="28"/>
  <c r="P119" i="28"/>
  <c r="P117" i="28"/>
  <c r="P115" i="28"/>
  <c r="P113" i="28"/>
  <c r="P154" i="29"/>
  <c r="P144" i="29"/>
  <c r="P140" i="29"/>
  <c r="P130" i="29"/>
  <c r="P128" i="29"/>
  <c r="P126" i="29"/>
  <c r="P124" i="29"/>
  <c r="P120" i="29"/>
  <c r="P116" i="29"/>
  <c r="P114" i="29"/>
  <c r="P112" i="29"/>
  <c r="P150" i="31"/>
  <c r="P148" i="31"/>
  <c r="P146" i="31"/>
  <c r="P142" i="31"/>
  <c r="P140" i="31"/>
  <c r="P138" i="31"/>
  <c r="P137" i="32"/>
  <c r="P127" i="32"/>
  <c r="P119" i="32"/>
  <c r="P119" i="33"/>
  <c r="P152" i="35"/>
  <c r="P140" i="35"/>
  <c r="P138" i="35"/>
  <c r="P120" i="35"/>
  <c r="P118" i="35"/>
  <c r="P153" i="39"/>
  <c r="P151" i="39"/>
  <c r="P149" i="39"/>
  <c r="P147" i="39"/>
  <c r="P145" i="39"/>
  <c r="P143" i="39"/>
  <c r="P141" i="39"/>
  <c r="P139" i="39"/>
  <c r="P137" i="39"/>
  <c r="P131" i="39"/>
  <c r="P129" i="39"/>
  <c r="P123" i="39"/>
  <c r="P119" i="39"/>
  <c r="P115" i="39"/>
  <c r="P113" i="39"/>
  <c r="P111" i="39"/>
  <c r="P109" i="39"/>
  <c r="P152" i="41"/>
  <c r="P150" i="41"/>
  <c r="P146" i="41"/>
  <c r="P144" i="41"/>
  <c r="P140" i="41"/>
  <c r="P136" i="41"/>
  <c r="P134" i="41"/>
  <c r="P132" i="41"/>
  <c r="P130" i="41"/>
  <c r="P128" i="41"/>
  <c r="P126" i="41"/>
  <c r="P124" i="41"/>
  <c r="P122" i="41"/>
  <c r="P120" i="41"/>
  <c r="P118" i="41"/>
  <c r="P116" i="41"/>
  <c r="P108" i="41"/>
  <c r="P141" i="44"/>
  <c r="P154" i="46"/>
  <c r="P152" i="46"/>
  <c r="P150" i="46"/>
  <c r="P146" i="46"/>
  <c r="P142" i="46"/>
  <c r="P134" i="46"/>
  <c r="P126" i="46"/>
  <c r="P122" i="46"/>
  <c r="P116" i="46"/>
  <c r="P147" i="53"/>
  <c r="P145" i="53"/>
  <c r="P141" i="53"/>
  <c r="P135" i="53"/>
  <c r="P133" i="53"/>
  <c r="P129" i="53"/>
  <c r="P127" i="53"/>
  <c r="P121" i="53"/>
  <c r="P119" i="53"/>
  <c r="P117" i="53"/>
  <c r="P111" i="53"/>
  <c r="P107" i="53"/>
  <c r="P149" i="56"/>
  <c r="P147" i="56"/>
  <c r="P137" i="56"/>
  <c r="P154" i="57"/>
  <c r="P122" i="57"/>
  <c r="P110" i="57"/>
  <c r="P128" i="58"/>
  <c r="P118" i="58"/>
  <c r="P112" i="58"/>
  <c r="P106" i="58"/>
  <c r="P109" i="59"/>
  <c r="P117" i="59"/>
  <c r="P123" i="59"/>
  <c r="P129" i="59"/>
  <c r="P123" i="62"/>
  <c r="P113" i="66"/>
  <c r="P121" i="66"/>
  <c r="P115" i="68"/>
  <c r="P117" i="68"/>
  <c r="P112" i="69"/>
  <c r="P114" i="69"/>
  <c r="P116" i="69"/>
  <c r="P118" i="69"/>
  <c r="P120" i="69"/>
  <c r="P128" i="69"/>
  <c r="P111" i="70"/>
  <c r="P115" i="70"/>
  <c r="P117" i="70"/>
  <c r="P121" i="70"/>
  <c r="P123" i="70"/>
  <c r="P125" i="70"/>
  <c r="P114" i="71"/>
  <c r="P122" i="71"/>
  <c r="P124" i="71"/>
  <c r="P130" i="71"/>
  <c r="P113" i="72"/>
  <c r="P119" i="72"/>
  <c r="P121" i="72"/>
  <c r="P127" i="72"/>
  <c r="P129" i="72"/>
  <c r="P107" i="73"/>
  <c r="P109" i="73"/>
  <c r="P111" i="73"/>
  <c r="P113" i="73"/>
  <c r="P117" i="73"/>
  <c r="P125" i="73"/>
  <c r="P107" i="75"/>
  <c r="P117" i="75"/>
  <c r="P119" i="75"/>
  <c r="P121" i="75"/>
  <c r="P129" i="75"/>
  <c r="P103" i="76"/>
  <c r="P113" i="76"/>
  <c r="P119" i="76"/>
  <c r="P123" i="76"/>
  <c r="P129" i="76"/>
  <c r="P129" i="77"/>
  <c r="P107" i="78"/>
  <c r="P125" i="78"/>
  <c r="P129" i="78"/>
  <c r="P102" i="79"/>
  <c r="P104" i="79"/>
  <c r="P112" i="79"/>
  <c r="P118" i="79"/>
  <c r="P120" i="79"/>
  <c r="P102" i="80"/>
  <c r="P106" i="80"/>
  <c r="P108" i="80"/>
  <c r="P110" i="80"/>
  <c r="P120" i="80"/>
  <c r="P124" i="80"/>
  <c r="P128" i="80"/>
  <c r="P130" i="80"/>
  <c r="P102" i="81"/>
  <c r="P106" i="81"/>
  <c r="P114" i="81"/>
  <c r="P118" i="81"/>
  <c r="P120" i="82"/>
  <c r="P128" i="82"/>
  <c r="P130" i="82"/>
  <c r="P101" i="83"/>
  <c r="P103" i="83"/>
  <c r="P105" i="83"/>
  <c r="P113" i="83"/>
  <c r="P121" i="83"/>
  <c r="P123" i="83"/>
  <c r="P125" i="83"/>
  <c r="P127" i="83"/>
  <c r="P111" i="84"/>
  <c r="P113" i="84"/>
  <c r="P121" i="84"/>
  <c r="P125" i="84"/>
  <c r="P127" i="84"/>
  <c r="P129" i="84"/>
  <c r="P102" i="85"/>
  <c r="P114" i="85"/>
  <c r="P116" i="85"/>
  <c r="P120" i="85"/>
  <c r="P126" i="85"/>
  <c r="P128" i="85"/>
  <c r="P107" i="86"/>
  <c r="P113" i="86"/>
  <c r="P117" i="86"/>
  <c r="P127" i="86"/>
  <c r="P104" i="87"/>
  <c r="P106" i="87"/>
  <c r="P100" i="88"/>
  <c r="P104" i="88"/>
  <c r="P108" i="88"/>
  <c r="P110" i="88"/>
  <c r="P112" i="88"/>
  <c r="P118" i="88"/>
  <c r="P120" i="88"/>
  <c r="P126" i="88"/>
  <c r="P128" i="88"/>
  <c r="P100" i="89"/>
  <c r="P104" i="89"/>
  <c r="P106" i="89"/>
  <c r="P110" i="89"/>
  <c r="P112" i="89"/>
  <c r="P114" i="89"/>
  <c r="P116" i="89"/>
  <c r="P120" i="89"/>
  <c r="P124" i="89"/>
  <c r="P101" i="90"/>
  <c r="P107" i="90"/>
  <c r="P111" i="90"/>
  <c r="P113" i="90"/>
  <c r="P115" i="90"/>
  <c r="P117" i="90"/>
  <c r="P119" i="90"/>
  <c r="P121" i="90"/>
  <c r="P125" i="90"/>
  <c r="P127" i="90"/>
  <c r="P129" i="90"/>
  <c r="P107" i="91"/>
  <c r="P109" i="91"/>
  <c r="P111" i="91"/>
  <c r="P127" i="91"/>
  <c r="P129" i="91"/>
  <c r="P117" i="92"/>
  <c r="P125" i="92"/>
  <c r="P99" i="93"/>
  <c r="P101" i="93"/>
  <c r="P105" i="93"/>
  <c r="P109" i="93"/>
  <c r="P111" i="93"/>
  <c r="P113" i="93"/>
  <c r="P121" i="93"/>
  <c r="P125" i="93"/>
  <c r="P154" i="17"/>
  <c r="P144" i="17"/>
  <c r="P142" i="17"/>
  <c r="P124" i="17"/>
  <c r="P120" i="17"/>
  <c r="P118" i="17"/>
  <c r="P153" i="19"/>
  <c r="P151" i="19"/>
  <c r="P149" i="19"/>
  <c r="P147" i="19"/>
  <c r="P143" i="19"/>
  <c r="P141" i="19"/>
  <c r="P139" i="19"/>
  <c r="P137" i="19"/>
  <c r="P119" i="19"/>
  <c r="P148" i="20"/>
  <c r="P142" i="20"/>
  <c r="P136" i="20"/>
  <c r="P132" i="20"/>
  <c r="P117" i="22"/>
  <c r="P152" i="23"/>
  <c r="P150" i="23"/>
  <c r="P146" i="23"/>
  <c r="P104" i="66"/>
  <c r="P104" i="78"/>
  <c r="P145" i="3"/>
  <c r="P143" i="3"/>
  <c r="P137" i="3"/>
  <c r="P122" i="18"/>
  <c r="P127" i="21"/>
  <c r="P125" i="21"/>
  <c r="P121" i="21"/>
  <c r="P150" i="24"/>
  <c r="P110" i="24"/>
  <c r="P147" i="30"/>
  <c r="P145" i="30"/>
  <c r="P125" i="30"/>
  <c r="P123" i="30"/>
  <c r="P121" i="30"/>
  <c r="P102" i="33"/>
  <c r="P152" i="34"/>
  <c r="P144" i="34"/>
  <c r="P132" i="34"/>
  <c r="P130" i="34"/>
  <c r="P126" i="34"/>
  <c r="P124" i="34"/>
  <c r="P122" i="34"/>
  <c r="P110" i="34"/>
  <c r="P151" i="43"/>
  <c r="P149" i="43"/>
  <c r="P147" i="43"/>
  <c r="P145" i="43"/>
  <c r="P141" i="43"/>
  <c r="P123" i="43"/>
  <c r="P121" i="43"/>
  <c r="P119" i="43"/>
  <c r="P115" i="43"/>
  <c r="P113" i="43"/>
  <c r="P111" i="43"/>
  <c r="P107" i="43"/>
  <c r="P154" i="44"/>
  <c r="P152" i="44"/>
  <c r="P150" i="44"/>
  <c r="P142" i="44"/>
  <c r="P140" i="44"/>
  <c r="P136" i="44"/>
  <c r="P132" i="44"/>
  <c r="P112" i="44"/>
  <c r="P112" i="45"/>
  <c r="P119" i="54"/>
  <c r="P108" i="60"/>
  <c r="P104" i="61"/>
  <c r="P112" i="78"/>
  <c r="P122" i="78"/>
  <c r="P124" i="78"/>
  <c r="P105" i="80"/>
  <c r="P140" i="23"/>
  <c r="P138" i="23"/>
  <c r="P136" i="23"/>
  <c r="P134" i="23"/>
  <c r="P141" i="25"/>
  <c r="P111" i="25"/>
  <c r="P143" i="27"/>
  <c r="P147" i="29"/>
  <c r="P145" i="29"/>
  <c r="P137" i="29"/>
  <c r="P135" i="29"/>
  <c r="P123" i="29"/>
  <c r="P152" i="32"/>
  <c r="P144" i="32"/>
  <c r="P142" i="32"/>
  <c r="P136" i="32"/>
  <c r="P134" i="32"/>
  <c r="P132" i="32"/>
  <c r="P130" i="32"/>
  <c r="P128" i="32"/>
  <c r="P123" i="46"/>
  <c r="P119" i="46"/>
  <c r="P117" i="46"/>
  <c r="P115" i="46"/>
  <c r="P113" i="46"/>
  <c r="P109" i="46"/>
  <c r="P107" i="46"/>
  <c r="P105" i="46"/>
  <c r="P130" i="68"/>
  <c r="P108" i="78"/>
  <c r="J94" i="44"/>
  <c r="J95" i="44" s="1"/>
  <c r="P151" i="42"/>
  <c r="P149" i="42"/>
  <c r="P147" i="42"/>
  <c r="P145" i="42"/>
  <c r="P143" i="42"/>
  <c r="P141" i="42"/>
  <c r="P139" i="42"/>
  <c r="P137" i="42"/>
  <c r="P135" i="42"/>
  <c r="P133" i="42"/>
  <c r="P131" i="42"/>
  <c r="P125" i="42"/>
  <c r="P119" i="42"/>
  <c r="P115" i="42"/>
  <c r="P113" i="42"/>
  <c r="P111" i="42"/>
  <c r="P109" i="42"/>
  <c r="P107" i="42"/>
  <c r="P152" i="45"/>
  <c r="P146" i="45"/>
  <c r="P142" i="45"/>
  <c r="P140" i="45"/>
  <c r="P138" i="45"/>
  <c r="P136" i="45"/>
  <c r="P134" i="45"/>
  <c r="P132" i="45"/>
  <c r="P130" i="45"/>
  <c r="P128" i="45"/>
  <c r="P126" i="45"/>
  <c r="P124" i="45"/>
  <c r="P122" i="45"/>
  <c r="P120" i="45"/>
  <c r="P118" i="45"/>
  <c r="P116" i="45"/>
  <c r="P114" i="45"/>
  <c r="P110" i="45"/>
  <c r="P108" i="45"/>
  <c r="P106" i="45"/>
  <c r="P153" i="54"/>
  <c r="P143" i="54"/>
  <c r="P141" i="54"/>
  <c r="P135" i="54"/>
  <c r="P133" i="54"/>
  <c r="P123" i="54"/>
  <c r="P109" i="54"/>
  <c r="P107" i="54"/>
  <c r="P105" i="54"/>
  <c r="J94" i="95"/>
  <c r="J95" i="95" s="1"/>
  <c r="J94" i="53"/>
  <c r="J95" i="53" s="1"/>
  <c r="P114" i="17"/>
  <c r="P149" i="25"/>
  <c r="P133" i="25"/>
  <c r="P131" i="31"/>
  <c r="P149" i="35"/>
  <c r="P143" i="35"/>
  <c r="J94" i="63"/>
  <c r="J95" i="63" s="1"/>
  <c r="J94" i="23"/>
  <c r="J95" i="23" s="1"/>
  <c r="J94" i="93"/>
  <c r="J95" i="93" s="1"/>
  <c r="J94" i="64"/>
  <c r="J95" i="64" s="1"/>
  <c r="J94" i="83"/>
  <c r="J95" i="83" s="1"/>
  <c r="J94" i="45"/>
  <c r="J95" i="45" s="1"/>
  <c r="J94" i="78"/>
  <c r="J95" i="78" s="1"/>
  <c r="J94" i="66"/>
  <c r="J95" i="66" s="1"/>
  <c r="J94" i="32"/>
  <c r="J95" i="32" s="1"/>
  <c r="J94" i="13"/>
  <c r="J95" i="13" s="1"/>
  <c r="J94" i="19"/>
  <c r="J95" i="19" s="1"/>
  <c r="J94" i="35"/>
  <c r="J95" i="35" s="1"/>
  <c r="J94" i="60"/>
  <c r="J95" i="60" s="1"/>
  <c r="J94" i="75"/>
  <c r="J95" i="75" s="1"/>
  <c r="P138" i="17"/>
  <c r="P145" i="46"/>
  <c r="P139" i="46"/>
  <c r="P137" i="46"/>
  <c r="P135" i="46"/>
  <c r="P131" i="46"/>
  <c r="J94" i="96"/>
  <c r="J95" i="96" s="1"/>
  <c r="J94" i="72"/>
  <c r="J95" i="72" s="1"/>
  <c r="J94" i="85"/>
  <c r="J94" i="69"/>
  <c r="J95" i="69" s="1"/>
  <c r="J94" i="94"/>
  <c r="J95" i="94" s="1"/>
  <c r="J94" i="26"/>
  <c r="J95" i="26" s="1"/>
  <c r="J94" i="67"/>
  <c r="J95" i="67" s="1"/>
  <c r="J94" i="41"/>
  <c r="J95" i="41" s="1"/>
  <c r="J94" i="76"/>
  <c r="J95" i="76" s="1"/>
  <c r="J94" i="27"/>
  <c r="J95" i="27" s="1"/>
  <c r="J94" i="62"/>
  <c r="J95" i="62" s="1"/>
  <c r="J94" i="17"/>
  <c r="J95" i="17" s="1"/>
  <c r="J94" i="87"/>
  <c r="J95" i="87" s="1"/>
  <c r="P138" i="3"/>
  <c r="P136" i="3"/>
  <c r="P134" i="3"/>
  <c r="P132" i="3"/>
  <c r="P118" i="3"/>
  <c r="P108" i="3"/>
  <c r="P151" i="18"/>
  <c r="C62" i="2"/>
  <c r="F17" i="2"/>
  <c r="P147" i="17"/>
  <c r="P117" i="17"/>
  <c r="P113" i="17"/>
  <c r="P136" i="19"/>
  <c r="P116" i="19"/>
  <c r="P153" i="20"/>
  <c r="P134" i="22"/>
  <c r="M87" i="53"/>
  <c r="J92" i="87"/>
  <c r="M87" i="87" s="1"/>
  <c r="J92" i="34"/>
  <c r="N87" i="34" s="1"/>
  <c r="J92" i="78"/>
  <c r="N87" i="78" s="1"/>
  <c r="J92" i="25"/>
  <c r="M87" i="25" s="1"/>
  <c r="J92" i="31"/>
  <c r="L86" i="31" s="1"/>
  <c r="J92" i="75"/>
  <c r="N87" i="75" s="1"/>
  <c r="J92" i="64"/>
  <c r="L86" i="64" s="1"/>
  <c r="J92" i="27"/>
  <c r="M87" i="27" s="1"/>
  <c r="J92" i="76"/>
  <c r="M87" i="76" s="1"/>
  <c r="J92" i="28"/>
  <c r="M87" i="28" s="1"/>
  <c r="J92" i="95"/>
  <c r="M87" i="95" s="1"/>
  <c r="J92" i="66"/>
  <c r="L86" i="66" s="1"/>
  <c r="J92" i="86"/>
  <c r="M87" i="86" s="1"/>
  <c r="J92" i="93"/>
  <c r="M87" i="93" s="1"/>
  <c r="J92" i="65"/>
  <c r="L86" i="65" s="1"/>
  <c r="J92" i="70"/>
  <c r="N87" i="70" s="1"/>
  <c r="J92" i="94"/>
  <c r="M87" i="94" s="1"/>
  <c r="J92" i="43"/>
  <c r="M87" i="43" s="1"/>
  <c r="J92" i="69"/>
  <c r="N87" i="69" s="1"/>
  <c r="C79" i="2"/>
  <c r="C22" i="2"/>
  <c r="C59" i="2"/>
  <c r="C80" i="2"/>
  <c r="F14" i="2"/>
  <c r="E19" i="2" s="1"/>
  <c r="P109" i="81"/>
  <c r="P127" i="81"/>
  <c r="C73" i="2"/>
  <c r="C14" i="2"/>
  <c r="C61" i="2"/>
  <c r="C39" i="2"/>
  <c r="P153" i="17"/>
  <c r="P151" i="17"/>
  <c r="P133" i="17"/>
  <c r="P115" i="17"/>
  <c r="P134" i="19"/>
  <c r="P112" i="19"/>
  <c r="P149" i="20"/>
  <c r="P154" i="22"/>
  <c r="P136" i="22"/>
  <c r="P126" i="22"/>
  <c r="P118" i="22"/>
  <c r="P110" i="22"/>
  <c r="M87" i="26"/>
  <c r="N87" i="18"/>
  <c r="O87" i="18" s="1"/>
  <c r="J92" i="61"/>
  <c r="N87" i="61" s="1"/>
  <c r="J92" i="79"/>
  <c r="L86" i="79" s="1"/>
  <c r="J92" i="23"/>
  <c r="M87" i="23" s="1"/>
  <c r="J92" i="46"/>
  <c r="M87" i="46" s="1"/>
  <c r="J92" i="67"/>
  <c r="L86" i="67" s="1"/>
  <c r="J92" i="58"/>
  <c r="M87" i="58" s="1"/>
  <c r="J92" i="60"/>
  <c r="L86" i="60" s="1"/>
  <c r="J92" i="33"/>
  <c r="L86" i="33" s="1"/>
  <c r="J92" i="88"/>
  <c r="M87" i="88" s="1"/>
  <c r="J92" i="3"/>
  <c r="M87" i="3" s="1"/>
  <c r="J92" i="17"/>
  <c r="L86" i="17" s="1"/>
  <c r="J92" i="21"/>
  <c r="N87" i="21" s="1"/>
  <c r="J92" i="90"/>
  <c r="M87" i="90" s="1"/>
  <c r="J92" i="74"/>
  <c r="J92" i="39"/>
  <c r="L86" i="39" s="1"/>
  <c r="J92" i="24"/>
  <c r="C28" i="2"/>
  <c r="C50" i="2"/>
  <c r="C56" i="2"/>
  <c r="C77" i="2"/>
  <c r="P111" i="58"/>
  <c r="P116" i="60"/>
  <c r="P118" i="60"/>
  <c r="P120" i="60"/>
  <c r="P122" i="60"/>
  <c r="P128" i="60"/>
  <c r="P106" i="61"/>
  <c r="P108" i="61"/>
  <c r="P114" i="61"/>
  <c r="P116" i="61"/>
  <c r="P118" i="61"/>
  <c r="P122" i="61"/>
  <c r="P108" i="62"/>
  <c r="P110" i="62"/>
  <c r="P112" i="62"/>
  <c r="P114" i="62"/>
  <c r="P116" i="62"/>
  <c r="P120" i="62"/>
  <c r="P122" i="62"/>
  <c r="P124" i="62"/>
  <c r="P128" i="62"/>
  <c r="P112" i="64"/>
  <c r="P116" i="64"/>
  <c r="P104" i="65"/>
  <c r="P120" i="65"/>
  <c r="P122" i="65"/>
  <c r="P104" i="67"/>
  <c r="P114" i="67"/>
  <c r="P116" i="67"/>
  <c r="P120" i="67"/>
  <c r="P122" i="67"/>
  <c r="P124" i="67"/>
  <c r="P110" i="72"/>
  <c r="P116" i="72"/>
  <c r="P120" i="72"/>
  <c r="P124" i="72"/>
  <c r="P126" i="72"/>
  <c r="P108" i="73"/>
  <c r="P112" i="73"/>
  <c r="P116" i="73"/>
  <c r="P118" i="73"/>
  <c r="P120" i="73"/>
  <c r="P122" i="73"/>
  <c r="P124" i="73"/>
  <c r="P128" i="73"/>
  <c r="P102" i="76"/>
  <c r="P108" i="76"/>
  <c r="P110" i="76"/>
  <c r="P112" i="76"/>
  <c r="P114" i="76"/>
  <c r="P122" i="76"/>
  <c r="P124" i="76"/>
  <c r="P126" i="76"/>
  <c r="P128" i="76"/>
  <c r="P130" i="76"/>
  <c r="P103" i="85"/>
  <c r="P107" i="85"/>
  <c r="P113" i="85"/>
  <c r="P127" i="85"/>
  <c r="P129" i="85"/>
  <c r="P107" i="89"/>
  <c r="P109" i="89"/>
  <c r="P111" i="89"/>
  <c r="P113" i="89"/>
  <c r="P117" i="89"/>
  <c r="P127" i="89"/>
  <c r="P100" i="90"/>
  <c r="P108" i="90"/>
  <c r="P110" i="90"/>
  <c r="P122" i="90"/>
  <c r="P128" i="90"/>
  <c r="P112" i="96"/>
  <c r="P114" i="96"/>
  <c r="P122" i="96"/>
  <c r="P128" i="96"/>
  <c r="P115" i="79"/>
  <c r="P129" i="88"/>
  <c r="P105" i="25"/>
  <c r="P154" i="28"/>
  <c r="P154" i="53"/>
  <c r="P152" i="53"/>
  <c r="P150" i="53"/>
  <c r="P148" i="53"/>
  <c r="P146" i="53"/>
  <c r="P144" i="53"/>
  <c r="P140" i="53"/>
  <c r="P138" i="53"/>
  <c r="P134" i="53"/>
  <c r="P132" i="53"/>
  <c r="P130" i="53"/>
  <c r="P128" i="53"/>
  <c r="P126" i="53"/>
  <c r="P124" i="53"/>
  <c r="P121" i="59"/>
  <c r="P105" i="68"/>
  <c r="P119" i="70"/>
  <c r="P126" i="71"/>
  <c r="P102" i="88"/>
  <c r="P147" i="3"/>
  <c r="P123" i="3"/>
  <c r="P113" i="3"/>
  <c r="P126" i="13"/>
  <c r="P110" i="13"/>
  <c r="P102" i="13"/>
  <c r="P154" i="18"/>
  <c r="P146" i="18"/>
  <c r="P132" i="18"/>
  <c r="P112" i="18"/>
  <c r="P137" i="21"/>
  <c r="P123" i="21"/>
  <c r="P119" i="21"/>
  <c r="P111" i="23"/>
  <c r="P134" i="25"/>
  <c r="P110" i="71"/>
  <c r="P120" i="71"/>
  <c r="P109" i="75"/>
  <c r="P116" i="81"/>
  <c r="P123" i="84"/>
  <c r="P111" i="86"/>
  <c r="P116" i="87"/>
  <c r="P113" i="92"/>
  <c r="N87" i="42"/>
  <c r="L86" i="42"/>
  <c r="M87" i="42"/>
  <c r="N87" i="30"/>
  <c r="M87" i="30"/>
  <c r="L86" i="30"/>
  <c r="M87" i="81"/>
  <c r="L86" i="81"/>
  <c r="N87" i="81"/>
  <c r="M87" i="13"/>
  <c r="N87" i="13"/>
  <c r="P117" i="3"/>
  <c r="P128" i="13"/>
  <c r="P124" i="13"/>
  <c r="P116" i="13"/>
  <c r="P136" i="18"/>
  <c r="P130" i="18"/>
  <c r="P114" i="18"/>
  <c r="P133" i="21"/>
  <c r="P117" i="21"/>
  <c r="P132" i="25"/>
  <c r="P126" i="25"/>
  <c r="P126" i="80"/>
  <c r="P133" i="35"/>
  <c r="P129" i="35"/>
  <c r="P123" i="35"/>
  <c r="P121" i="35"/>
  <c r="P115" i="35"/>
  <c r="P113" i="35"/>
  <c r="P111" i="35"/>
  <c r="P109" i="35"/>
  <c r="P107" i="35"/>
  <c r="P105" i="35"/>
  <c r="P145" i="17"/>
  <c r="P125" i="17"/>
  <c r="P154" i="19"/>
  <c r="P150" i="19"/>
  <c r="P142" i="19"/>
  <c r="P115" i="20"/>
  <c r="P113" i="20"/>
  <c r="P122" i="53"/>
  <c r="M87" i="72"/>
  <c r="O87" i="72" s="1"/>
  <c r="L86" i="72"/>
  <c r="L86" i="91"/>
  <c r="N87" i="91"/>
  <c r="O87" i="91" s="1"/>
  <c r="L86" i="92"/>
  <c r="N87" i="92"/>
  <c r="N87" i="19"/>
  <c r="M87" i="19"/>
  <c r="L86" i="19"/>
  <c r="N87" i="85"/>
  <c r="M87" i="85"/>
  <c r="N87" i="32"/>
  <c r="M87" i="32"/>
  <c r="L86" i="32"/>
  <c r="L86" i="45"/>
  <c r="M87" i="41"/>
  <c r="N87" i="41"/>
  <c r="P153" i="53"/>
  <c r="P151" i="53"/>
  <c r="P149" i="53"/>
  <c r="P143" i="53"/>
  <c r="P139" i="53"/>
  <c r="P137" i="53"/>
  <c r="P131" i="53"/>
  <c r="P125" i="53"/>
  <c r="P123" i="53"/>
  <c r="P115" i="53"/>
  <c r="P113" i="53"/>
  <c r="P109" i="53"/>
  <c r="P105" i="53"/>
  <c r="P154" i="58"/>
  <c r="P152" i="58"/>
  <c r="P150" i="58"/>
  <c r="P148" i="58"/>
  <c r="P146" i="58"/>
  <c r="P144" i="58"/>
  <c r="P142" i="58"/>
  <c r="P140" i="58"/>
  <c r="P138" i="58"/>
  <c r="P132" i="58"/>
  <c r="P126" i="58"/>
  <c r="P122" i="58"/>
  <c r="P120" i="58"/>
  <c r="P114" i="58"/>
  <c r="P110" i="58"/>
  <c r="P109" i="63"/>
  <c r="P111" i="63"/>
  <c r="P115" i="63"/>
  <c r="P117" i="63"/>
  <c r="P119" i="63"/>
  <c r="P125" i="63"/>
  <c r="P129" i="63"/>
  <c r="P112" i="17"/>
  <c r="P114" i="24"/>
  <c r="P118" i="71"/>
  <c r="P128" i="81"/>
  <c r="P121" i="86"/>
  <c r="P129" i="92"/>
  <c r="P117" i="13"/>
  <c r="P113" i="13"/>
  <c r="P111" i="13"/>
  <c r="P109" i="13"/>
  <c r="P153" i="18"/>
  <c r="P147" i="18"/>
  <c r="P137" i="18"/>
  <c r="P123" i="18"/>
  <c r="P135" i="26"/>
  <c r="P115" i="26"/>
  <c r="P113" i="26"/>
  <c r="P107" i="26"/>
  <c r="P105" i="26"/>
  <c r="P151" i="54"/>
  <c r="P149" i="54"/>
  <c r="P147" i="54"/>
  <c r="P145" i="54"/>
  <c r="P139" i="54"/>
  <c r="P137" i="54"/>
  <c r="P131" i="54"/>
  <c r="P129" i="54"/>
  <c r="P127" i="54"/>
  <c r="P125" i="54"/>
  <c r="P117" i="54"/>
  <c r="P115" i="54"/>
  <c r="P113" i="54"/>
  <c r="P111" i="54"/>
  <c r="P110" i="60"/>
  <c r="P112" i="60"/>
  <c r="P124" i="60"/>
  <c r="P126" i="60"/>
  <c r="P120" i="76"/>
  <c r="P129" i="94"/>
  <c r="P130" i="96"/>
  <c r="P141" i="3"/>
  <c r="P139" i="3"/>
  <c r="P131" i="3"/>
  <c r="P129" i="3"/>
  <c r="P127" i="3"/>
  <c r="P125" i="3"/>
  <c r="P121" i="3"/>
  <c r="P115" i="3"/>
  <c r="P125" i="23"/>
  <c r="P123" i="23"/>
  <c r="P119" i="23"/>
  <c r="P117" i="23"/>
  <c r="P115" i="23"/>
  <c r="P150" i="25"/>
  <c r="P142" i="25"/>
  <c r="P140" i="25"/>
  <c r="P138" i="25"/>
  <c r="P136" i="25"/>
  <c r="P130" i="25"/>
  <c r="P128" i="25"/>
  <c r="P122" i="25"/>
  <c r="P120" i="25"/>
  <c r="P118" i="25"/>
  <c r="P116" i="25"/>
  <c r="P114" i="25"/>
  <c r="P112" i="25"/>
  <c r="P110" i="25"/>
  <c r="P108" i="25"/>
  <c r="P136" i="30"/>
  <c r="P134" i="30"/>
  <c r="P128" i="30"/>
  <c r="P126" i="30"/>
  <c r="P124" i="30"/>
  <c r="P122" i="30"/>
  <c r="P120" i="30"/>
  <c r="P118" i="30"/>
  <c r="P114" i="30"/>
  <c r="P113" i="34"/>
  <c r="P151" i="45"/>
  <c r="P142" i="53"/>
  <c r="P136" i="53"/>
  <c r="P153" i="56"/>
  <c r="P151" i="56"/>
  <c r="P143" i="56"/>
  <c r="P141" i="56"/>
  <c r="P139" i="56"/>
  <c r="P135" i="56"/>
  <c r="P131" i="56"/>
  <c r="P127" i="56"/>
  <c r="P125" i="56"/>
  <c r="P123" i="56"/>
  <c r="P119" i="56"/>
  <c r="P117" i="56"/>
  <c r="P115" i="56"/>
  <c r="P113" i="56"/>
  <c r="P111" i="56"/>
  <c r="P109" i="56"/>
  <c r="P107" i="56"/>
  <c r="P145" i="57"/>
  <c r="P141" i="57"/>
  <c r="P129" i="58"/>
  <c r="P111" i="72"/>
  <c r="P115" i="73"/>
  <c r="P127" i="73"/>
  <c r="P129" i="73"/>
  <c r="P108" i="94"/>
  <c r="P122" i="94"/>
  <c r="P129" i="96"/>
  <c r="I19" i="90"/>
  <c r="I22" i="66"/>
  <c r="I21" i="75"/>
  <c r="I28" i="31"/>
  <c r="O22" i="74"/>
  <c r="B19" i="92"/>
  <c r="B22" i="35"/>
  <c r="E22" i="35"/>
  <c r="F22" i="35" s="1"/>
  <c r="F19" i="2"/>
  <c r="P151" i="3"/>
  <c r="O40" i="3"/>
  <c r="O33" i="3"/>
  <c r="O27" i="3"/>
  <c r="O38" i="17"/>
  <c r="O59" i="18"/>
  <c r="O62" i="19"/>
  <c r="P99" i="21"/>
  <c r="O34" i="3"/>
  <c r="O35" i="18"/>
  <c r="O27" i="19"/>
  <c r="P100" i="20"/>
  <c r="P147" i="20"/>
  <c r="P145" i="20"/>
  <c r="P141" i="20"/>
  <c r="P137" i="20"/>
  <c r="P130" i="20"/>
  <c r="P128" i="20"/>
  <c r="P126" i="20"/>
  <c r="P114" i="20"/>
  <c r="P154" i="21"/>
  <c r="P152" i="21"/>
  <c r="P150" i="21"/>
  <c r="P146" i="21"/>
  <c r="P142" i="21"/>
  <c r="P140" i="21"/>
  <c r="P136" i="21"/>
  <c r="P134" i="21"/>
  <c r="P132" i="21"/>
  <c r="P118" i="21"/>
  <c r="P116" i="21"/>
  <c r="P110" i="21"/>
  <c r="P108" i="21"/>
  <c r="P153" i="22"/>
  <c r="P151" i="22"/>
  <c r="P149" i="22"/>
  <c r="P145" i="22"/>
  <c r="P143" i="22"/>
  <c r="P139" i="22"/>
  <c r="P129" i="22"/>
  <c r="P119" i="22"/>
  <c r="P113" i="22"/>
  <c r="P154" i="23"/>
  <c r="P129" i="27"/>
  <c r="P121" i="27"/>
  <c r="P103" i="32"/>
  <c r="O21" i="32"/>
  <c r="P103" i="28"/>
  <c r="O18" i="44"/>
  <c r="O72" i="58"/>
  <c r="O17" i="28"/>
  <c r="O61" i="34"/>
  <c r="P99" i="46"/>
  <c r="O67" i="54"/>
  <c r="P152" i="17"/>
  <c r="P132" i="17"/>
  <c r="P130" i="17"/>
  <c r="P128" i="17"/>
  <c r="P138" i="19"/>
  <c r="P110" i="19"/>
  <c r="P152" i="20"/>
  <c r="P150" i="20"/>
  <c r="P146" i="20"/>
  <c r="P144" i="20"/>
  <c r="P153" i="21"/>
  <c r="P149" i="21"/>
  <c r="P109" i="21"/>
  <c r="P153" i="23"/>
  <c r="P151" i="23"/>
  <c r="P143" i="23"/>
  <c r="P141" i="23"/>
  <c r="P130" i="23"/>
  <c r="P128" i="23"/>
  <c r="P118" i="23"/>
  <c r="P114" i="23"/>
  <c r="P138" i="27"/>
  <c r="P132" i="27"/>
  <c r="P128" i="27"/>
  <c r="P118" i="27"/>
  <c r="P112" i="27"/>
  <c r="O63" i="28"/>
  <c r="O18" i="28"/>
  <c r="P99" i="39"/>
  <c r="P99" i="44"/>
  <c r="O29" i="53"/>
  <c r="P153" i="28"/>
  <c r="P151" i="28"/>
  <c r="P147" i="28"/>
  <c r="P139" i="28"/>
  <c r="P129" i="28"/>
  <c r="P151" i="30"/>
  <c r="P149" i="30"/>
  <c r="P143" i="30"/>
  <c r="P137" i="30"/>
  <c r="P133" i="30"/>
  <c r="P131" i="30"/>
  <c r="P129" i="30"/>
  <c r="P127" i="30"/>
  <c r="P117" i="30"/>
  <c r="P115" i="30"/>
  <c r="P111" i="30"/>
  <c r="P153" i="31"/>
  <c r="P147" i="31"/>
  <c r="P145" i="31"/>
  <c r="P139" i="31"/>
  <c r="P135" i="31"/>
  <c r="P133" i="31"/>
  <c r="P124" i="31"/>
  <c r="P122" i="31"/>
  <c r="P114" i="31"/>
  <c r="P141" i="32"/>
  <c r="P139" i="32"/>
  <c r="P135" i="32"/>
  <c r="P129" i="32"/>
  <c r="P121" i="32"/>
  <c r="P149" i="33"/>
  <c r="P145" i="33"/>
  <c r="P143" i="33"/>
  <c r="P141" i="33"/>
  <c r="P135" i="33"/>
  <c r="P133" i="33"/>
  <c r="P131" i="33"/>
  <c r="P129" i="33"/>
  <c r="P125" i="33"/>
  <c r="P123" i="33"/>
  <c r="P115" i="33"/>
  <c r="P109" i="33"/>
  <c r="P107" i="33"/>
  <c r="P105" i="33"/>
  <c r="P103" i="33"/>
  <c r="P141" i="34"/>
  <c r="P137" i="34"/>
  <c r="P135" i="34"/>
  <c r="P133" i="34"/>
  <c r="P127" i="34"/>
  <c r="P125" i="34"/>
  <c r="P117" i="34"/>
  <c r="P115" i="34"/>
  <c r="P154" i="35"/>
  <c r="P142" i="35"/>
  <c r="P132" i="35"/>
  <c r="P128" i="35"/>
  <c r="P126" i="35"/>
  <c r="P124" i="35"/>
  <c r="P116" i="35"/>
  <c r="P114" i="35"/>
  <c r="P112" i="35"/>
  <c r="P108" i="35"/>
  <c r="P106" i="35"/>
  <c r="P104" i="35"/>
  <c r="P144" i="39"/>
  <c r="P130" i="39"/>
  <c r="P151" i="41"/>
  <c r="P145" i="41"/>
  <c r="P129" i="41"/>
  <c r="P127" i="41"/>
  <c r="P123" i="41"/>
  <c r="P115" i="41"/>
  <c r="P154" i="42"/>
  <c r="P116" i="42"/>
  <c r="P153" i="43"/>
  <c r="P129" i="43"/>
  <c r="P109" i="43"/>
  <c r="P131" i="44"/>
  <c r="P129" i="44"/>
  <c r="P117" i="44"/>
  <c r="P113" i="44"/>
  <c r="P111" i="44"/>
  <c r="P109" i="44"/>
  <c r="P154" i="45"/>
  <c r="P149" i="45"/>
  <c r="P147" i="45"/>
  <c r="P139" i="58"/>
  <c r="P135" i="58"/>
  <c r="O23" i="59"/>
  <c r="O43" i="59"/>
  <c r="O69" i="59"/>
  <c r="O28" i="60"/>
  <c r="O50" i="60"/>
  <c r="O34" i="61"/>
  <c r="O26" i="62"/>
  <c r="O35" i="62"/>
  <c r="O69" i="63"/>
  <c r="O33" i="64"/>
  <c r="O56" i="64"/>
  <c r="O24" i="30"/>
  <c r="O20" i="22"/>
  <c r="P148" i="28"/>
  <c r="P144" i="28"/>
  <c r="P132" i="28"/>
  <c r="P148" i="29"/>
  <c r="P154" i="31"/>
  <c r="P144" i="31"/>
  <c r="P104" i="33"/>
  <c r="P138" i="34"/>
  <c r="P136" i="34"/>
  <c r="P134" i="34"/>
  <c r="P116" i="34"/>
  <c r="P114" i="34"/>
  <c r="P133" i="39"/>
  <c r="P117" i="39"/>
  <c r="P107" i="39"/>
  <c r="P130" i="46"/>
  <c r="P112" i="46"/>
  <c r="P146" i="55"/>
  <c r="P140" i="55"/>
  <c r="P134" i="55"/>
  <c r="P132" i="55"/>
  <c r="P130" i="55"/>
  <c r="P128" i="55"/>
  <c r="P142" i="56"/>
  <c r="P136" i="56"/>
  <c r="O33" i="59"/>
  <c r="O31" i="61"/>
  <c r="O48" i="61"/>
  <c r="O36" i="62"/>
  <c r="O29" i="63"/>
  <c r="O58" i="63"/>
  <c r="O70" i="63"/>
  <c r="O22" i="24"/>
  <c r="P104" i="62"/>
  <c r="P106" i="62"/>
  <c r="P118" i="62"/>
  <c r="O38" i="65"/>
  <c r="O60" i="65"/>
  <c r="O27" i="66"/>
  <c r="O55" i="66"/>
  <c r="O21" i="41"/>
  <c r="P100" i="53"/>
  <c r="O19" i="54"/>
  <c r="O19" i="56"/>
  <c r="P100" i="56"/>
  <c r="O19" i="58"/>
  <c r="O18" i="59"/>
  <c r="O18" i="63"/>
  <c r="P99" i="63"/>
  <c r="O17" i="68"/>
  <c r="O34" i="69"/>
  <c r="O53" i="69"/>
  <c r="O47" i="70"/>
  <c r="O25" i="72"/>
  <c r="O32" i="73"/>
  <c r="O48" i="73"/>
  <c r="O24" i="76"/>
  <c r="O66" i="76"/>
  <c r="O66" i="77"/>
  <c r="O26" i="78"/>
  <c r="O19" i="69"/>
  <c r="P104" i="3"/>
  <c r="O23" i="20"/>
  <c r="O24" i="23"/>
  <c r="P106" i="27"/>
  <c r="O20" i="57"/>
  <c r="O22" i="45"/>
  <c r="O21" i="79"/>
  <c r="O27" i="79"/>
  <c r="O22" i="69"/>
  <c r="P104" i="21"/>
  <c r="P104" i="22"/>
  <c r="O20" i="46"/>
  <c r="P100" i="59"/>
  <c r="P100" i="61"/>
  <c r="O19" i="60"/>
  <c r="P104" i="59"/>
  <c r="P106" i="59"/>
  <c r="P108" i="59"/>
  <c r="P112" i="59"/>
  <c r="P114" i="59"/>
  <c r="P128" i="59"/>
  <c r="P115" i="60"/>
  <c r="P117" i="60"/>
  <c r="P119" i="60"/>
  <c r="P121" i="60"/>
  <c r="O18" i="62"/>
  <c r="P99" i="60"/>
  <c r="O17" i="66"/>
  <c r="O37" i="69"/>
  <c r="O41" i="69"/>
  <c r="O65" i="69"/>
  <c r="O46" i="70"/>
  <c r="O50" i="70"/>
  <c r="O42" i="71"/>
  <c r="O33" i="73"/>
  <c r="O57" i="73"/>
  <c r="O44" i="75"/>
  <c r="O48" i="76"/>
  <c r="O27" i="77"/>
  <c r="O58" i="77"/>
  <c r="O71" i="78"/>
  <c r="O18" i="67"/>
  <c r="P102" i="57"/>
  <c r="P109" i="66"/>
  <c r="P129" i="66"/>
  <c r="P113" i="71"/>
  <c r="P115" i="71"/>
  <c r="O20" i="72"/>
  <c r="O22" i="73"/>
  <c r="O29" i="80"/>
  <c r="O64" i="81"/>
  <c r="O44" i="82"/>
  <c r="O50" i="82"/>
  <c r="O37" i="83"/>
  <c r="O34" i="84"/>
  <c r="O44" i="84"/>
  <c r="O61" i="84"/>
  <c r="P105" i="19"/>
  <c r="O25" i="23"/>
  <c r="P104" i="41"/>
  <c r="P125" i="75"/>
  <c r="P127" i="75"/>
  <c r="P104" i="43"/>
  <c r="P127" i="68"/>
  <c r="P127" i="76"/>
  <c r="O68" i="81"/>
  <c r="O47" i="82"/>
  <c r="O72" i="82"/>
  <c r="O24" i="20"/>
  <c r="P108" i="28"/>
  <c r="O25" i="31"/>
  <c r="O23" i="41"/>
  <c r="P102" i="55"/>
  <c r="P101" i="63"/>
  <c r="P125" i="82"/>
  <c r="P115" i="83"/>
  <c r="P101" i="60"/>
  <c r="O21" i="72"/>
  <c r="O23" i="73"/>
  <c r="O22" i="86"/>
  <c r="O18" i="78"/>
  <c r="P120" i="81"/>
  <c r="P124" i="81"/>
  <c r="P126" i="81"/>
  <c r="P106" i="82"/>
  <c r="P108" i="82"/>
  <c r="P112" i="82"/>
  <c r="P122" i="82"/>
  <c r="P106" i="83"/>
  <c r="P116" i="83"/>
  <c r="P118" i="83"/>
  <c r="P126" i="83"/>
  <c r="P114" i="84"/>
  <c r="P116" i="84"/>
  <c r="O18" i="76"/>
  <c r="O43" i="85"/>
  <c r="O47" i="85"/>
  <c r="O36" i="86"/>
  <c r="O46" i="86"/>
  <c r="O33" i="87"/>
  <c r="O31" i="88"/>
  <c r="O35" i="88"/>
  <c r="O49" i="89"/>
  <c r="O60" i="89"/>
  <c r="P106" i="21"/>
  <c r="P111" i="85"/>
  <c r="P119" i="85"/>
  <c r="P123" i="85"/>
  <c r="P109" i="28"/>
  <c r="P125" i="86"/>
  <c r="P129" i="86"/>
  <c r="P106" i="19"/>
  <c r="O29" i="90"/>
  <c r="O62" i="90"/>
  <c r="O22" i="91"/>
  <c r="O40" i="91"/>
  <c r="P106" i="20"/>
  <c r="P108" i="30"/>
  <c r="O22" i="58"/>
  <c r="P101" i="66"/>
  <c r="P101" i="68"/>
  <c r="P103" i="72"/>
  <c r="O49" i="94"/>
  <c r="O19" i="85"/>
  <c r="P108" i="85"/>
  <c r="P126" i="86"/>
  <c r="P130" i="86"/>
  <c r="P101" i="87"/>
  <c r="P107" i="87"/>
  <c r="P109" i="87"/>
  <c r="P111" i="87"/>
  <c r="P113" i="87"/>
  <c r="P115" i="87"/>
  <c r="P117" i="87"/>
  <c r="P129" i="87"/>
  <c r="O32" i="89"/>
  <c r="O72" i="90"/>
  <c r="O56" i="91"/>
  <c r="O71" i="91"/>
  <c r="P112" i="92"/>
  <c r="P105" i="41"/>
  <c r="O22" i="56"/>
  <c r="O22" i="72"/>
  <c r="P103" i="86"/>
  <c r="P105" i="86"/>
  <c r="P115" i="86"/>
  <c r="P121" i="91"/>
  <c r="O28" i="28"/>
  <c r="O27" i="30"/>
  <c r="P107" i="32"/>
  <c r="O24" i="41"/>
  <c r="P104" i="74"/>
  <c r="P128" i="89"/>
  <c r="P109" i="90"/>
  <c r="P102" i="92"/>
  <c r="P104" i="92"/>
  <c r="P108" i="92"/>
  <c r="P110" i="92"/>
  <c r="O23" i="74"/>
  <c r="O26" i="17"/>
  <c r="O28" i="30"/>
  <c r="P101" i="89"/>
  <c r="P119" i="89"/>
  <c r="P121" i="89"/>
  <c r="P123" i="89"/>
  <c r="P104" i="90"/>
  <c r="O19" i="78"/>
  <c r="O24" i="95"/>
  <c r="O43" i="95"/>
  <c r="O56" i="96"/>
  <c r="P128" i="93"/>
  <c r="O33" i="96"/>
  <c r="O44" i="96"/>
  <c r="P107" i="19"/>
  <c r="O27" i="24"/>
  <c r="P109" i="30"/>
  <c r="O25" i="39"/>
  <c r="O23" i="46"/>
  <c r="O23" i="58"/>
  <c r="O22" i="63"/>
  <c r="O20" i="79"/>
  <c r="O19" i="81"/>
  <c r="P111" i="94"/>
  <c r="P119" i="94"/>
  <c r="O26" i="21"/>
  <c r="O27" i="32"/>
  <c r="O25" i="44"/>
  <c r="O23" i="56"/>
  <c r="O21" i="65"/>
  <c r="O28" i="69"/>
  <c r="O25" i="73"/>
  <c r="O20" i="77"/>
  <c r="E104" i="35"/>
  <c r="F104" i="35" s="1"/>
  <c r="B105" i="35" s="1"/>
  <c r="P112" i="20"/>
  <c r="P147" i="33"/>
  <c r="P154" i="39"/>
  <c r="P152" i="39"/>
  <c r="P150" i="39"/>
  <c r="P148" i="39"/>
  <c r="P142" i="39"/>
  <c r="P140" i="39"/>
  <c r="P138" i="39"/>
  <c r="P136" i="39"/>
  <c r="P134" i="39"/>
  <c r="P128" i="39"/>
  <c r="P126" i="39"/>
  <c r="P124" i="39"/>
  <c r="P120" i="39"/>
  <c r="P118" i="39"/>
  <c r="P114" i="39"/>
  <c r="P108" i="39"/>
  <c r="P136" i="17"/>
  <c r="P151" i="21"/>
  <c r="P135" i="25"/>
  <c r="P132" i="29"/>
  <c r="P100" i="13"/>
  <c r="P144" i="18"/>
  <c r="P142" i="18"/>
  <c r="P140" i="18"/>
  <c r="P128" i="18"/>
  <c r="P124" i="18"/>
  <c r="P120" i="18"/>
  <c r="P132" i="19"/>
  <c r="P122" i="19"/>
  <c r="P120" i="19"/>
  <c r="P118" i="19"/>
  <c r="P121" i="20"/>
  <c r="P119" i="20"/>
  <c r="P117" i="20"/>
  <c r="P131" i="23"/>
  <c r="P129" i="23"/>
  <c r="P127" i="23"/>
  <c r="P124" i="23"/>
  <c r="P122" i="23"/>
  <c r="P153" i="24"/>
  <c r="P147" i="24"/>
  <c r="P145" i="24"/>
  <c r="P154" i="26"/>
  <c r="P152" i="26"/>
  <c r="P144" i="26"/>
  <c r="P142" i="26"/>
  <c r="P136" i="26"/>
  <c r="P134" i="26"/>
  <c r="P132" i="26"/>
  <c r="P130" i="26"/>
  <c r="P128" i="26"/>
  <c r="P120" i="26"/>
  <c r="P118" i="26"/>
  <c r="P116" i="26"/>
  <c r="P114" i="26"/>
  <c r="P106" i="26"/>
  <c r="P104" i="26"/>
  <c r="P102" i="26"/>
  <c r="P100" i="26"/>
  <c r="P126" i="42"/>
  <c r="P112" i="42"/>
  <c r="P149" i="44"/>
  <c r="P147" i="44"/>
  <c r="P139" i="44"/>
  <c r="P115" i="44"/>
  <c r="P149" i="46"/>
  <c r="P147" i="46"/>
  <c r="P129" i="57"/>
  <c r="P130" i="58"/>
  <c r="P124" i="58"/>
  <c r="P143" i="29"/>
  <c r="P148" i="30"/>
  <c r="P124" i="32"/>
  <c r="P122" i="32"/>
  <c r="P110" i="32"/>
  <c r="P139" i="43"/>
  <c r="P137" i="43"/>
  <c r="P133" i="43"/>
  <c r="P131" i="43"/>
  <c r="P117" i="43"/>
  <c r="P119" i="55"/>
  <c r="P105" i="55"/>
  <c r="P101" i="13"/>
  <c r="P135" i="17"/>
  <c r="P109" i="17"/>
  <c r="P129" i="19"/>
  <c r="P125" i="19"/>
  <c r="P123" i="19"/>
  <c r="P121" i="19"/>
  <c r="P109" i="19"/>
  <c r="P122" i="20"/>
  <c r="P118" i="20"/>
  <c r="P116" i="20"/>
  <c r="P124" i="21"/>
  <c r="P112" i="21"/>
  <c r="P148" i="22"/>
  <c r="P146" i="22"/>
  <c r="P144" i="22"/>
  <c r="P140" i="22"/>
  <c r="P138" i="22"/>
  <c r="P132" i="22"/>
  <c r="P122" i="22"/>
  <c r="P116" i="22"/>
  <c r="P132" i="23"/>
  <c r="P152" i="24"/>
  <c r="P148" i="24"/>
  <c r="P142" i="24"/>
  <c r="P126" i="24"/>
  <c r="P122" i="24"/>
  <c r="P120" i="24"/>
  <c r="P149" i="26"/>
  <c r="P147" i="26"/>
  <c r="P145" i="26"/>
  <c r="P143" i="26"/>
  <c r="P141" i="26"/>
  <c r="P125" i="26"/>
  <c r="P123" i="26"/>
  <c r="P121" i="26"/>
  <c r="P119" i="26"/>
  <c r="P117" i="26"/>
  <c r="P132" i="31"/>
  <c r="P116" i="31"/>
  <c r="P110" i="31"/>
  <c r="P145" i="32"/>
  <c r="P143" i="32"/>
  <c r="P131" i="32"/>
  <c r="P123" i="32"/>
  <c r="P154" i="33"/>
  <c r="P152" i="33"/>
  <c r="P146" i="33"/>
  <c r="P144" i="33"/>
  <c r="P142" i="33"/>
  <c r="P140" i="33"/>
  <c r="P138" i="33"/>
  <c r="P136" i="33"/>
  <c r="P134" i="33"/>
  <c r="P132" i="33"/>
  <c r="P130" i="33"/>
  <c r="P128" i="33"/>
  <c r="P120" i="33"/>
  <c r="P118" i="33"/>
  <c r="P116" i="33"/>
  <c r="P112" i="33"/>
  <c r="P108" i="33"/>
  <c r="P146" i="35"/>
  <c r="P134" i="35"/>
  <c r="P121" i="39"/>
  <c r="P128" i="42"/>
  <c r="P134" i="43"/>
  <c r="P132" i="43"/>
  <c r="P138" i="44"/>
  <c r="P134" i="44"/>
  <c r="P130" i="44"/>
  <c r="P128" i="44"/>
  <c r="P126" i="44"/>
  <c r="P124" i="44"/>
  <c r="P118" i="44"/>
  <c r="P116" i="44"/>
  <c r="P153" i="45"/>
  <c r="P150" i="45"/>
  <c r="P148" i="45"/>
  <c r="P106" i="56"/>
  <c r="P111" i="64"/>
  <c r="P130" i="66"/>
  <c r="P113" i="67"/>
  <c r="P121" i="69"/>
  <c r="P123" i="69"/>
  <c r="P115" i="72"/>
  <c r="P102" i="77"/>
  <c r="P130" i="77"/>
  <c r="P110" i="79"/>
  <c r="P116" i="79"/>
  <c r="P122" i="79"/>
  <c r="P124" i="79"/>
  <c r="P126" i="79"/>
  <c r="P128" i="79"/>
  <c r="P104" i="84"/>
  <c r="P106" i="84"/>
  <c r="P108" i="84"/>
  <c r="P112" i="84"/>
  <c r="P124" i="85"/>
  <c r="P124" i="86"/>
  <c r="P116" i="88"/>
  <c r="P130" i="88"/>
  <c r="P100" i="91"/>
  <c r="P102" i="91"/>
  <c r="P126" i="91"/>
  <c r="P130" i="91"/>
  <c r="P122" i="92"/>
  <c r="P126" i="92"/>
  <c r="P112" i="94"/>
  <c r="P128" i="94"/>
  <c r="P115" i="96"/>
  <c r="P117" i="96"/>
  <c r="P119" i="96"/>
  <c r="P120" i="53"/>
  <c r="P118" i="53"/>
  <c r="P116" i="53"/>
  <c r="P114" i="53"/>
  <c r="P112" i="53"/>
  <c r="P110" i="53"/>
  <c r="P106" i="53"/>
  <c r="P152" i="54"/>
  <c r="P150" i="54"/>
  <c r="P148" i="54"/>
  <c r="P146" i="54"/>
  <c r="P144" i="54"/>
  <c r="P142" i="54"/>
  <c r="P140" i="54"/>
  <c r="P138" i="54"/>
  <c r="P136" i="54"/>
  <c r="P134" i="54"/>
  <c r="P132" i="54"/>
  <c r="P130" i="54"/>
  <c r="P128" i="54"/>
  <c r="P126" i="54"/>
  <c r="P124" i="54"/>
  <c r="P124" i="56"/>
  <c r="P122" i="56"/>
  <c r="P114" i="56"/>
  <c r="P105" i="56"/>
  <c r="P152" i="57"/>
  <c r="P150" i="57"/>
  <c r="P148" i="57"/>
  <c r="P146" i="57"/>
  <c r="P140" i="57"/>
  <c r="P136" i="57"/>
  <c r="P132" i="57"/>
  <c r="P126" i="57"/>
  <c r="P124" i="57"/>
  <c r="P120" i="57"/>
  <c r="P147" i="58"/>
  <c r="F88" i="2"/>
  <c r="F89" i="2" s="1"/>
  <c r="F91" i="2" s="1"/>
  <c r="F92" i="2" s="1"/>
  <c r="F93" i="2" s="1"/>
  <c r="D95" i="99" s="1"/>
  <c r="J96" i="99" s="1"/>
  <c r="P116" i="59"/>
  <c r="P120" i="59"/>
  <c r="P124" i="59"/>
  <c r="P105" i="62"/>
  <c r="P129" i="62"/>
  <c r="P116" i="70"/>
  <c r="P118" i="70"/>
  <c r="P120" i="70"/>
  <c r="P130" i="70"/>
  <c r="P116" i="74"/>
  <c r="P120" i="74"/>
  <c r="P122" i="74"/>
  <c r="P124" i="74"/>
  <c r="P130" i="74"/>
  <c r="P104" i="75"/>
  <c r="P123" i="78"/>
  <c r="P127" i="78"/>
  <c r="P128" i="84"/>
  <c r="P108" i="87"/>
  <c r="P110" i="87"/>
  <c r="P112" i="87"/>
  <c r="P114" i="87"/>
  <c r="P118" i="87"/>
  <c r="P124" i="87"/>
  <c r="P128" i="87"/>
  <c r="P130" i="87"/>
  <c r="P129" i="89"/>
  <c r="P112" i="90"/>
  <c r="P114" i="90"/>
  <c r="P126" i="90"/>
  <c r="P101" i="92"/>
  <c r="P107" i="93"/>
  <c r="P117" i="93"/>
  <c r="P103" i="95"/>
  <c r="P121" i="95"/>
  <c r="P123" i="95"/>
  <c r="P100" i="96"/>
  <c r="P106" i="96"/>
  <c r="P108" i="96"/>
  <c r="P110" i="96"/>
  <c r="P105" i="59"/>
  <c r="P113" i="59"/>
  <c r="P115" i="59"/>
  <c r="P126" i="63"/>
  <c r="P106" i="64"/>
  <c r="P118" i="64"/>
  <c r="P120" i="64"/>
  <c r="P122" i="64"/>
  <c r="P124" i="64"/>
  <c r="P126" i="64"/>
  <c r="P128" i="64"/>
  <c r="P115" i="65"/>
  <c r="P117" i="65"/>
  <c r="P119" i="66"/>
  <c r="P125" i="66"/>
  <c r="P108" i="67"/>
  <c r="P110" i="67"/>
  <c r="P126" i="67"/>
  <c r="P128" i="67"/>
  <c r="P107" i="68"/>
  <c r="P122" i="69"/>
  <c r="P124" i="69"/>
  <c r="P126" i="69"/>
  <c r="P126" i="73"/>
  <c r="P130" i="73"/>
  <c r="P107" i="74"/>
  <c r="P109" i="74"/>
  <c r="P111" i="74"/>
  <c r="P113" i="74"/>
  <c r="P113" i="75"/>
  <c r="P128" i="78"/>
  <c r="P103" i="79"/>
  <c r="P107" i="79"/>
  <c r="P109" i="79"/>
  <c r="P129" i="81"/>
  <c r="P119" i="83"/>
  <c r="P105" i="84"/>
  <c r="P107" i="84"/>
  <c r="P109" i="84"/>
  <c r="P117" i="84"/>
  <c r="P118" i="86"/>
  <c r="P101" i="88"/>
  <c r="P107" i="88"/>
  <c r="P109" i="88"/>
  <c r="P111" i="88"/>
  <c r="P115" i="88"/>
  <c r="P127" i="88"/>
  <c r="P102" i="89"/>
  <c r="P118" i="89"/>
  <c r="P101" i="91"/>
  <c r="P115" i="92"/>
  <c r="P123" i="92"/>
  <c r="P118" i="93"/>
  <c r="P120" i="93"/>
  <c r="P122" i="93"/>
  <c r="P126" i="93"/>
  <c r="P99" i="94"/>
  <c r="P101" i="94"/>
  <c r="P107" i="94"/>
  <c r="P115" i="94"/>
  <c r="P123" i="94"/>
  <c r="P100" i="95"/>
  <c r="P110" i="95"/>
  <c r="P122" i="95"/>
  <c r="P126" i="95"/>
  <c r="L86" i="13"/>
  <c r="L86" i="53"/>
  <c r="L86" i="73"/>
  <c r="N87" i="73"/>
  <c r="O87" i="73" s="1"/>
  <c r="N87" i="80"/>
  <c r="L86" i="41"/>
  <c r="L86" i="26"/>
  <c r="M87" i="92"/>
  <c r="L86" i="18"/>
  <c r="J94" i="58"/>
  <c r="J94" i="56"/>
  <c r="J95" i="56" s="1"/>
  <c r="J94" i="91"/>
  <c r="J94" i="61"/>
  <c r="J95" i="61" s="1"/>
  <c r="J94" i="24"/>
  <c r="J95" i="24" s="1"/>
  <c r="J94" i="42"/>
  <c r="J95" i="42" s="1"/>
  <c r="J94" i="73"/>
  <c r="J95" i="73" s="1"/>
  <c r="J94" i="82"/>
  <c r="J95" i="82" s="1"/>
  <c r="J94" i="89"/>
  <c r="J95" i="89" s="1"/>
  <c r="J94" i="84"/>
  <c r="J95" i="84" s="1"/>
  <c r="J94" i="3"/>
  <c r="J95" i="3" s="1"/>
  <c r="J94" i="79"/>
  <c r="J95" i="79" s="1"/>
  <c r="J94" i="34"/>
  <c r="J95" i="34" s="1"/>
  <c r="J94" i="80"/>
  <c r="J95" i="80" s="1"/>
  <c r="J94" i="77"/>
  <c r="J95" i="77" s="1"/>
  <c r="J94" i="21"/>
  <c r="J95" i="21" s="1"/>
  <c r="J94" i="55"/>
  <c r="J95" i="55" s="1"/>
  <c r="J94" i="59"/>
  <c r="J94" i="39"/>
  <c r="J94" i="30"/>
  <c r="J94" i="92"/>
  <c r="J94" i="70"/>
  <c r="J95" i="70" s="1"/>
  <c r="J94" i="74"/>
  <c r="J95" i="74" s="1"/>
  <c r="J94" i="31"/>
  <c r="J95" i="31" s="1"/>
  <c r="J94" i="22"/>
  <c r="J94" i="57"/>
  <c r="J95" i="57" s="1"/>
  <c r="J94" i="88"/>
  <c r="J95" i="88" s="1"/>
  <c r="J94" i="18"/>
  <c r="J94" i="25"/>
  <c r="J95" i="25" s="1"/>
  <c r="J94" i="54"/>
  <c r="J95" i="54" s="1"/>
  <c r="J94" i="43"/>
  <c r="J95" i="43" s="1"/>
  <c r="J94" i="33"/>
  <c r="J95" i="33" s="1"/>
  <c r="J94" i="86"/>
  <c r="J95" i="86" s="1"/>
  <c r="J94" i="68"/>
  <c r="J95" i="68" s="1"/>
  <c r="J94" i="65"/>
  <c r="J94" i="20"/>
  <c r="J95" i="20" s="1"/>
  <c r="J94" i="29"/>
  <c r="J94" i="81"/>
  <c r="J95" i="81" s="1"/>
  <c r="J94" i="71"/>
  <c r="J95" i="71" s="1"/>
  <c r="P153" i="3"/>
  <c r="P124" i="3"/>
  <c r="P119" i="13"/>
  <c r="P107" i="13"/>
  <c r="P105" i="13"/>
  <c r="P103" i="13"/>
  <c r="P149" i="17"/>
  <c r="P140" i="17"/>
  <c r="P126" i="17"/>
  <c r="P126" i="18"/>
  <c r="P118" i="18"/>
  <c r="P116" i="18"/>
  <c r="P148" i="19"/>
  <c r="P130" i="19"/>
  <c r="P127" i="19"/>
  <c r="P115" i="19"/>
  <c r="P140" i="20"/>
  <c r="P130" i="21"/>
  <c r="P128" i="21"/>
  <c r="P126" i="21"/>
  <c r="P122" i="21"/>
  <c r="P120" i="21"/>
  <c r="P133" i="23"/>
  <c r="P138" i="26"/>
  <c r="P124" i="26"/>
  <c r="P130" i="28"/>
  <c r="P128" i="28"/>
  <c r="P124" i="28"/>
  <c r="P118" i="28"/>
  <c r="P116" i="28"/>
  <c r="P144" i="30"/>
  <c r="P140" i="30"/>
  <c r="P146" i="44"/>
  <c r="P114" i="44"/>
  <c r="P129" i="46"/>
  <c r="P144" i="23"/>
  <c r="P136" i="31"/>
  <c r="P126" i="32"/>
  <c r="P144" i="35"/>
  <c r="P121" i="46"/>
  <c r="P154" i="3"/>
  <c r="P148" i="3"/>
  <c r="P122" i="13"/>
  <c r="P120" i="13"/>
  <c r="P118" i="13"/>
  <c r="P108" i="13"/>
  <c r="P150" i="17"/>
  <c r="P146" i="17"/>
  <c r="P143" i="17"/>
  <c r="P127" i="17"/>
  <c r="P122" i="17"/>
  <c r="P150" i="18"/>
  <c r="P148" i="18"/>
  <c r="P115" i="18"/>
  <c r="P113" i="18"/>
  <c r="P133" i="19"/>
  <c r="P124" i="19"/>
  <c r="P114" i="19"/>
  <c r="P143" i="20"/>
  <c r="P133" i="20"/>
  <c r="P125" i="20"/>
  <c r="P137" i="23"/>
  <c r="P120" i="23"/>
  <c r="P146" i="24"/>
  <c r="P137" i="27"/>
  <c r="P150" i="29"/>
  <c r="P146" i="29"/>
  <c r="P139" i="29"/>
  <c r="P127" i="29"/>
  <c r="P128" i="31"/>
  <c r="P118" i="31"/>
  <c r="P146" i="32"/>
  <c r="P106" i="33"/>
  <c r="P146" i="39"/>
  <c r="P132" i="39"/>
  <c r="P113" i="41"/>
  <c r="P109" i="41"/>
  <c r="P152" i="42"/>
  <c r="P150" i="42"/>
  <c r="P146" i="42"/>
  <c r="P144" i="42"/>
  <c r="P142" i="42"/>
  <c r="P140" i="42"/>
  <c r="P138" i="42"/>
  <c r="P136" i="42"/>
  <c r="P134" i="42"/>
  <c r="P132" i="42"/>
  <c r="P154" i="43"/>
  <c r="P148" i="43"/>
  <c r="P144" i="43"/>
  <c r="P142" i="43"/>
  <c r="P138" i="43"/>
  <c r="P140" i="46"/>
  <c r="P136" i="46"/>
  <c r="P132" i="46"/>
  <c r="P120" i="46"/>
  <c r="P128" i="66"/>
  <c r="P107" i="67"/>
  <c r="P123" i="68"/>
  <c r="P112" i="72"/>
  <c r="P116" i="75"/>
  <c r="P120" i="75"/>
  <c r="P122" i="75"/>
  <c r="P103" i="78"/>
  <c r="P117" i="78"/>
  <c r="P118" i="92"/>
  <c r="P109" i="20"/>
  <c r="P145" i="21"/>
  <c r="P139" i="21"/>
  <c r="P152" i="22"/>
  <c r="P150" i="22"/>
  <c r="P142" i="22"/>
  <c r="P130" i="22"/>
  <c r="P124" i="22"/>
  <c r="P144" i="24"/>
  <c r="P138" i="24"/>
  <c r="P130" i="24"/>
  <c r="P112" i="26"/>
  <c r="P110" i="26"/>
  <c r="P108" i="26"/>
  <c r="P134" i="27"/>
  <c r="P142" i="29"/>
  <c r="P138" i="29"/>
  <c r="P134" i="29"/>
  <c r="P153" i="30"/>
  <c r="P140" i="32"/>
  <c r="P138" i="32"/>
  <c r="P117" i="32"/>
  <c r="P115" i="32"/>
  <c r="P113" i="32"/>
  <c r="P100" i="33"/>
  <c r="P150" i="34"/>
  <c r="P142" i="34"/>
  <c r="P140" i="34"/>
  <c r="P127" i="39"/>
  <c r="P125" i="39"/>
  <c r="P148" i="41"/>
  <c r="P142" i="41"/>
  <c r="P114" i="41"/>
  <c r="P129" i="42"/>
  <c r="P124" i="42"/>
  <c r="P120" i="42"/>
  <c r="P118" i="42"/>
  <c r="P143" i="46"/>
  <c r="P141" i="46"/>
  <c r="P120" i="54"/>
  <c r="P112" i="65"/>
  <c r="P114" i="65"/>
  <c r="P124" i="65"/>
  <c r="P126" i="65"/>
  <c r="P130" i="65"/>
  <c r="P111" i="69"/>
  <c r="P117" i="69"/>
  <c r="P119" i="69"/>
  <c r="P111" i="75"/>
  <c r="P107" i="77"/>
  <c r="P113" i="77"/>
  <c r="P115" i="77"/>
  <c r="P117" i="77"/>
  <c r="P123" i="77"/>
  <c r="P125" i="77"/>
  <c r="P127" i="77"/>
  <c r="P118" i="80"/>
  <c r="P113" i="95"/>
  <c r="P110" i="20"/>
  <c r="P108" i="20"/>
  <c r="P147" i="22"/>
  <c r="P141" i="22"/>
  <c r="P135" i="22"/>
  <c r="P133" i="22"/>
  <c r="P127" i="22"/>
  <c r="P125" i="22"/>
  <c r="P123" i="22"/>
  <c r="P149" i="23"/>
  <c r="P147" i="23"/>
  <c r="P135" i="23"/>
  <c r="P154" i="24"/>
  <c r="P141" i="24"/>
  <c r="P133" i="24"/>
  <c r="P131" i="24"/>
  <c r="P119" i="24"/>
  <c r="P111" i="24"/>
  <c r="P153" i="25"/>
  <c r="P151" i="25"/>
  <c r="P103" i="25"/>
  <c r="P99" i="25"/>
  <c r="P153" i="26"/>
  <c r="P147" i="27"/>
  <c r="P134" i="28"/>
  <c r="P141" i="29"/>
  <c r="P122" i="29"/>
  <c r="P152" i="30"/>
  <c r="P141" i="30"/>
  <c r="P119" i="30"/>
  <c r="P134" i="31"/>
  <c r="P111" i="31"/>
  <c r="P149" i="32"/>
  <c r="P120" i="32"/>
  <c r="P148" i="35"/>
  <c r="P131" i="35"/>
  <c r="P123" i="42"/>
  <c r="P143" i="43"/>
  <c r="P127" i="43"/>
  <c r="P148" i="44"/>
  <c r="P151" i="46"/>
  <c r="P144" i="46"/>
  <c r="P110" i="46"/>
  <c r="P106" i="46"/>
  <c r="P142" i="55"/>
  <c r="P136" i="55"/>
  <c r="P148" i="56"/>
  <c r="P134" i="56"/>
  <c r="P128" i="56"/>
  <c r="P109" i="57"/>
  <c r="P134" i="58"/>
  <c r="P127" i="58"/>
  <c r="P117" i="58"/>
  <c r="P115" i="58"/>
  <c r="P126" i="59"/>
  <c r="P117" i="66"/>
  <c r="P126" i="68"/>
  <c r="P119" i="73"/>
  <c r="P121" i="73"/>
  <c r="P123" i="73"/>
  <c r="P126" i="78"/>
  <c r="P123" i="80"/>
  <c r="P153" i="55"/>
  <c r="P127" i="55"/>
  <c r="P121" i="55"/>
  <c r="P134" i="57"/>
  <c r="P114" i="57"/>
  <c r="P112" i="57"/>
  <c r="P119" i="59"/>
  <c r="P111" i="60"/>
  <c r="P110" i="61"/>
  <c r="P112" i="61"/>
  <c r="P120" i="61"/>
  <c r="P124" i="61"/>
  <c r="P126" i="61"/>
  <c r="P106" i="63"/>
  <c r="P108" i="63"/>
  <c r="P112" i="63"/>
  <c r="P121" i="64"/>
  <c r="P129" i="67"/>
  <c r="P109" i="68"/>
  <c r="P111" i="68"/>
  <c r="P119" i="68"/>
  <c r="P121" i="68"/>
  <c r="P125" i="69"/>
  <c r="P127" i="69"/>
  <c r="P129" i="69"/>
  <c r="P129" i="70"/>
  <c r="P116" i="71"/>
  <c r="P105" i="72"/>
  <c r="P122" i="72"/>
  <c r="P109" i="76"/>
  <c r="P117" i="76"/>
  <c r="P121" i="76"/>
  <c r="P125" i="76"/>
  <c r="P116" i="77"/>
  <c r="P122" i="77"/>
  <c r="P128" i="77"/>
  <c r="P106" i="78"/>
  <c r="P109" i="78"/>
  <c r="P111" i="78"/>
  <c r="P113" i="78"/>
  <c r="P115" i="78"/>
  <c r="P119" i="78"/>
  <c r="P112" i="80"/>
  <c r="P116" i="80"/>
  <c r="P122" i="80"/>
  <c r="P111" i="81"/>
  <c r="P116" i="82"/>
  <c r="P126" i="82"/>
  <c r="P120" i="83"/>
  <c r="P128" i="83"/>
  <c r="P130" i="83"/>
  <c r="P119" i="84"/>
  <c r="P101" i="85"/>
  <c r="P105" i="85"/>
  <c r="P101" i="86"/>
  <c r="P109" i="86"/>
  <c r="P106" i="88"/>
  <c r="P105" i="89"/>
  <c r="P123" i="90"/>
  <c r="P119" i="91"/>
  <c r="P107" i="92"/>
  <c r="P116" i="92"/>
  <c r="P120" i="92"/>
  <c r="P116" i="93"/>
  <c r="P113" i="94"/>
  <c r="P125" i="96"/>
  <c r="P127" i="96"/>
  <c r="P152" i="55"/>
  <c r="P147" i="57"/>
  <c r="P123" i="57"/>
  <c r="P119" i="57"/>
  <c r="P110" i="59"/>
  <c r="P127" i="59"/>
  <c r="P114" i="60"/>
  <c r="P104" i="64"/>
  <c r="P108" i="64"/>
  <c r="P113" i="65"/>
  <c r="P123" i="66"/>
  <c r="P127" i="66"/>
  <c r="P130" i="69"/>
  <c r="P117" i="72"/>
  <c r="P106" i="79"/>
  <c r="P109" i="80"/>
  <c r="P111" i="80"/>
  <c r="P114" i="88"/>
  <c r="P106" i="91"/>
  <c r="P112" i="91"/>
  <c r="P120" i="91"/>
  <c r="P119" i="93"/>
  <c r="P108" i="81"/>
  <c r="P111" i="83"/>
  <c r="P106" i="85"/>
  <c r="P118" i="85"/>
  <c r="P130" i="85"/>
  <c r="P110" i="86"/>
  <c r="P122" i="88"/>
  <c r="P124" i="88"/>
  <c r="P108" i="89"/>
  <c r="P126" i="89"/>
  <c r="P105" i="90"/>
  <c r="P125" i="94"/>
  <c r="P107" i="95"/>
  <c r="P104" i="96"/>
  <c r="B102" i="35"/>
  <c r="G101" i="35"/>
  <c r="B103" i="35"/>
  <c r="G102" i="35"/>
  <c r="P110" i="18"/>
  <c r="P148" i="21"/>
  <c r="P148" i="25"/>
  <c r="P140" i="26"/>
  <c r="P150" i="3"/>
  <c r="P119" i="3"/>
  <c r="P112" i="3"/>
  <c r="P114" i="13"/>
  <c r="P112" i="13"/>
  <c r="P148" i="17"/>
  <c r="P137" i="17"/>
  <c r="P131" i="17"/>
  <c r="P129" i="17"/>
  <c r="P119" i="17"/>
  <c r="P143" i="18"/>
  <c r="P141" i="18"/>
  <c r="P139" i="18"/>
  <c r="P145" i="19"/>
  <c r="P140" i="19"/>
  <c r="P154" i="20"/>
  <c r="P129" i="20"/>
  <c r="P127" i="20"/>
  <c r="P124" i="20"/>
  <c r="P120" i="20"/>
  <c r="P139" i="23"/>
  <c r="P110" i="23"/>
  <c r="P127" i="24"/>
  <c r="P125" i="24"/>
  <c r="P124" i="25"/>
  <c r="P101" i="25"/>
  <c r="P126" i="26"/>
  <c r="P127" i="60"/>
  <c r="P115" i="64"/>
  <c r="P111" i="66"/>
  <c r="P135" i="3"/>
  <c r="P138" i="18"/>
  <c r="P143" i="24"/>
  <c r="P128" i="24"/>
  <c r="P121" i="24"/>
  <c r="P119" i="25"/>
  <c r="P104" i="25"/>
  <c r="P150" i="26"/>
  <c r="P133" i="3"/>
  <c r="P122" i="3"/>
  <c r="P130" i="13"/>
  <c r="P115" i="13"/>
  <c r="P141" i="17"/>
  <c r="P139" i="17"/>
  <c r="P134" i="17"/>
  <c r="P123" i="17"/>
  <c r="P121" i="17"/>
  <c r="P116" i="17"/>
  <c r="P110" i="17"/>
  <c r="P152" i="18"/>
  <c r="P145" i="18"/>
  <c r="P134" i="18"/>
  <c r="P121" i="18"/>
  <c r="P152" i="19"/>
  <c r="P146" i="19"/>
  <c r="P144" i="19"/>
  <c r="P135" i="19"/>
  <c r="P128" i="19"/>
  <c r="P126" i="19"/>
  <c r="P117" i="19"/>
  <c r="P151" i="20"/>
  <c r="P135" i="20"/>
  <c r="P123" i="20"/>
  <c r="P121" i="22"/>
  <c r="P115" i="22"/>
  <c r="P109" i="22"/>
  <c r="P121" i="23"/>
  <c r="P124" i="24"/>
  <c r="P113" i="24"/>
  <c r="P146" i="25"/>
  <c r="P144" i="25"/>
  <c r="P151" i="26"/>
  <c r="P129" i="29"/>
  <c r="P144" i="56"/>
  <c r="P105" i="63"/>
  <c r="P151" i="27"/>
  <c r="P131" i="27"/>
  <c r="P127" i="27"/>
  <c r="P125" i="27"/>
  <c r="P149" i="28"/>
  <c r="P136" i="28"/>
  <c r="P112" i="28"/>
  <c r="P118" i="29"/>
  <c r="P142" i="30"/>
  <c r="P152" i="31"/>
  <c r="P126" i="31"/>
  <c r="P150" i="32"/>
  <c r="P148" i="32"/>
  <c r="P118" i="32"/>
  <c r="P117" i="33"/>
  <c r="P154" i="34"/>
  <c r="P148" i="34"/>
  <c r="P146" i="34"/>
  <c r="P153" i="35"/>
  <c r="P136" i="35"/>
  <c r="P127" i="35"/>
  <c r="P125" i="35"/>
  <c r="P138" i="41"/>
  <c r="P112" i="41"/>
  <c r="P153" i="42"/>
  <c r="P121" i="42"/>
  <c r="P117" i="42"/>
  <c r="P145" i="45"/>
  <c r="P133" i="46"/>
  <c r="P147" i="55"/>
  <c r="P138" i="55"/>
  <c r="P132" i="56"/>
  <c r="P142" i="57"/>
  <c r="P130" i="57"/>
  <c r="P115" i="57"/>
  <c r="P106" i="57"/>
  <c r="P104" i="60"/>
  <c r="P106" i="60"/>
  <c r="P123" i="60"/>
  <c r="P125" i="60"/>
  <c r="P108" i="65"/>
  <c r="P105" i="66"/>
  <c r="P107" i="66"/>
  <c r="P118" i="66"/>
  <c r="P111" i="67"/>
  <c r="P115" i="67"/>
  <c r="P117" i="67"/>
  <c r="P123" i="67"/>
  <c r="P118" i="72"/>
  <c r="P114" i="82"/>
  <c r="P112" i="83"/>
  <c r="P117" i="85"/>
  <c r="P119" i="88"/>
  <c r="P125" i="89"/>
  <c r="P105" i="91"/>
  <c r="P123" i="91"/>
  <c r="P135" i="43"/>
  <c r="P127" i="46"/>
  <c r="P116" i="56"/>
  <c r="P145" i="58"/>
  <c r="P104" i="95"/>
  <c r="P139" i="27"/>
  <c r="P130" i="27"/>
  <c r="P122" i="27"/>
  <c r="P114" i="27"/>
  <c r="P141" i="28"/>
  <c r="P120" i="28"/>
  <c r="P151" i="29"/>
  <c r="P136" i="29"/>
  <c r="P146" i="30"/>
  <c r="P138" i="30"/>
  <c r="P112" i="30"/>
  <c r="P130" i="31"/>
  <c r="P115" i="31"/>
  <c r="P153" i="32"/>
  <c r="P151" i="32"/>
  <c r="P147" i="32"/>
  <c r="P133" i="32"/>
  <c r="P122" i="33"/>
  <c r="P114" i="33"/>
  <c r="P110" i="33"/>
  <c r="P153" i="34"/>
  <c r="P151" i="34"/>
  <c r="P147" i="34"/>
  <c r="P128" i="34"/>
  <c r="P150" i="35"/>
  <c r="P145" i="35"/>
  <c r="P139" i="35"/>
  <c r="P137" i="35"/>
  <c r="P117" i="35"/>
  <c r="P102" i="35"/>
  <c r="P107" i="41"/>
  <c r="P130" i="42"/>
  <c r="P114" i="42"/>
  <c r="P125" i="43"/>
  <c r="P122" i="44"/>
  <c r="P120" i="44"/>
  <c r="P144" i="45"/>
  <c r="P148" i="46"/>
  <c r="P138" i="46"/>
  <c r="P124" i="46"/>
  <c r="P122" i="54"/>
  <c r="P150" i="55"/>
  <c r="P143" i="55"/>
  <c r="P141" i="55"/>
  <c r="P125" i="55"/>
  <c r="P138" i="56"/>
  <c r="P112" i="56"/>
  <c r="P110" i="56"/>
  <c r="P138" i="57"/>
  <c r="P125" i="57"/>
  <c r="P121" i="57"/>
  <c r="P116" i="57"/>
  <c r="P111" i="57"/>
  <c r="P118" i="59"/>
  <c r="P125" i="59"/>
  <c r="P109" i="60"/>
  <c r="P121" i="63"/>
  <c r="P123" i="63"/>
  <c r="P127" i="63"/>
  <c r="P105" i="64"/>
  <c r="P110" i="64"/>
  <c r="P116" i="65"/>
  <c r="P118" i="65"/>
  <c r="P116" i="66"/>
  <c r="P105" i="67"/>
  <c r="P109" i="67"/>
  <c r="P112" i="67"/>
  <c r="P120" i="68"/>
  <c r="P107" i="83"/>
  <c r="P129" i="83"/>
  <c r="P102" i="86"/>
  <c r="P108" i="86"/>
  <c r="P120" i="90"/>
  <c r="P106" i="92"/>
  <c r="P119" i="67"/>
  <c r="P121" i="67"/>
  <c r="P113" i="68"/>
  <c r="P125" i="68"/>
  <c r="P128" i="68"/>
  <c r="P128" i="71"/>
  <c r="P106" i="72"/>
  <c r="P109" i="72"/>
  <c r="P123" i="72"/>
  <c r="P128" i="72"/>
  <c r="P110" i="73"/>
  <c r="P118" i="76"/>
  <c r="P121" i="78"/>
  <c r="P130" i="78"/>
  <c r="P108" i="79"/>
  <c r="P113" i="79"/>
  <c r="P130" i="81"/>
  <c r="P102" i="82"/>
  <c r="P110" i="82"/>
  <c r="P119" i="82"/>
  <c r="P109" i="83"/>
  <c r="P114" i="83"/>
  <c r="P109" i="85"/>
  <c r="P115" i="85"/>
  <c r="P128" i="86"/>
  <c r="P100" i="87"/>
  <c r="P102" i="87"/>
  <c r="P119" i="87"/>
  <c r="P123" i="87"/>
  <c r="P117" i="88"/>
  <c r="P121" i="88"/>
  <c r="P123" i="88"/>
  <c r="P130" i="89"/>
  <c r="P116" i="90"/>
  <c r="P124" i="90"/>
  <c r="P116" i="91"/>
  <c r="P109" i="92"/>
  <c r="P119" i="92"/>
  <c r="P127" i="92"/>
  <c r="P103" i="93"/>
  <c r="P115" i="93"/>
  <c r="P115" i="95"/>
  <c r="P105" i="96"/>
  <c r="P124" i="96"/>
  <c r="P126" i="77"/>
  <c r="P122" i="83"/>
  <c r="P121" i="85"/>
  <c r="P123" i="86"/>
  <c r="P109" i="96"/>
  <c r="P121" i="96"/>
  <c r="P118" i="67"/>
  <c r="P104" i="68"/>
  <c r="P129" i="68"/>
  <c r="P127" i="70"/>
  <c r="P111" i="71"/>
  <c r="P127" i="71"/>
  <c r="P107" i="72"/>
  <c r="P114" i="72"/>
  <c r="P125" i="72"/>
  <c r="P112" i="74"/>
  <c r="P126" i="74"/>
  <c r="P107" i="76"/>
  <c r="P111" i="76"/>
  <c r="P115" i="76"/>
  <c r="P103" i="77"/>
  <c r="P109" i="77"/>
  <c r="P119" i="77"/>
  <c r="P111" i="79"/>
  <c r="P114" i="79"/>
  <c r="P101" i="80"/>
  <c r="P114" i="80"/>
  <c r="P110" i="81"/>
  <c r="P112" i="81"/>
  <c r="P122" i="81"/>
  <c r="P103" i="82"/>
  <c r="P118" i="82"/>
  <c r="P117" i="83"/>
  <c r="P101" i="84"/>
  <c r="P110" i="84"/>
  <c r="P115" i="84"/>
  <c r="P112" i="85"/>
  <c r="P122" i="85"/>
  <c r="P120" i="86"/>
  <c r="P122" i="86"/>
  <c r="P105" i="87"/>
  <c r="P120" i="87"/>
  <c r="P122" i="87"/>
  <c r="P126" i="87"/>
  <c r="P106" i="90"/>
  <c r="P104" i="91"/>
  <c r="P115" i="91"/>
  <c r="P105" i="92"/>
  <c r="P124" i="92"/>
  <c r="P128" i="92"/>
  <c r="P123" i="93"/>
  <c r="P127" i="93"/>
  <c r="P129" i="93"/>
  <c r="P110" i="94"/>
  <c r="P121" i="94"/>
  <c r="P114" i="95"/>
  <c r="P118" i="96"/>
  <c r="P106" i="13"/>
  <c r="P149" i="3"/>
  <c r="P120" i="3"/>
  <c r="P114" i="3"/>
  <c r="P131" i="19"/>
  <c r="P138" i="20"/>
  <c r="P143" i="21"/>
  <c r="P141" i="21"/>
  <c r="P137" i="22"/>
  <c r="P120" i="22"/>
  <c r="P145" i="23"/>
  <c r="P136" i="27"/>
  <c r="P131" i="28"/>
  <c r="P122" i="28"/>
  <c r="P139" i="30"/>
  <c r="P151" i="33"/>
  <c r="P127" i="33"/>
  <c r="P120" i="34"/>
  <c r="P118" i="34"/>
  <c r="P111" i="34"/>
  <c r="P122" i="35"/>
  <c r="P154" i="41"/>
  <c r="P144" i="55"/>
  <c r="P111" i="59"/>
  <c r="P125" i="62"/>
  <c r="P131" i="20"/>
  <c r="P131" i="22"/>
  <c r="P118" i="46"/>
  <c r="P114" i="46"/>
  <c r="P115" i="66"/>
  <c r="P130" i="67"/>
  <c r="P139" i="20"/>
  <c r="P134" i="20"/>
  <c r="P144" i="21"/>
  <c r="P131" i="21"/>
  <c r="P115" i="21"/>
  <c r="P113" i="21"/>
  <c r="P114" i="22"/>
  <c r="P112" i="22"/>
  <c r="P148" i="23"/>
  <c r="P140" i="24"/>
  <c r="P115" i="24"/>
  <c r="P129" i="25"/>
  <c r="P140" i="27"/>
  <c r="P119" i="27"/>
  <c r="P127" i="28"/>
  <c r="P152" i="29"/>
  <c r="P150" i="30"/>
  <c r="P135" i="30"/>
  <c r="P120" i="31"/>
  <c r="P125" i="32"/>
  <c r="P111" i="32"/>
  <c r="P150" i="33"/>
  <c r="P148" i="33"/>
  <c r="P126" i="33"/>
  <c r="P124" i="33"/>
  <c r="P123" i="34"/>
  <c r="P121" i="34"/>
  <c r="P130" i="35"/>
  <c r="P119" i="35"/>
  <c r="P110" i="35"/>
  <c r="P135" i="39"/>
  <c r="P111" i="41"/>
  <c r="P108" i="42"/>
  <c r="P153" i="44"/>
  <c r="P151" i="44"/>
  <c r="P144" i="44"/>
  <c r="P135" i="44"/>
  <c r="P108" i="44"/>
  <c r="P128" i="46"/>
  <c r="P154" i="54"/>
  <c r="P148" i="55"/>
  <c r="P123" i="55"/>
  <c r="P116" i="58"/>
  <c r="P117" i="61"/>
  <c r="P115" i="75"/>
  <c r="P114" i="91"/>
  <c r="P114" i="92"/>
  <c r="P121" i="92"/>
  <c r="P101" i="95"/>
  <c r="P108" i="95"/>
  <c r="P129" i="95"/>
  <c r="P129" i="60"/>
  <c r="P130" i="64"/>
  <c r="P110" i="65"/>
  <c r="P128" i="65"/>
  <c r="P124" i="68"/>
  <c r="P117" i="74"/>
  <c r="P123" i="75"/>
  <c r="P127" i="82"/>
  <c r="P140" i="56"/>
  <c r="P120" i="56"/>
  <c r="P118" i="56"/>
  <c r="P144" i="57"/>
  <c r="P128" i="57"/>
  <c r="P118" i="57"/>
  <c r="P136" i="58"/>
  <c r="P130" i="62"/>
  <c r="P113" i="63"/>
  <c r="P127" i="64"/>
  <c r="P130" i="72"/>
  <c r="P114" i="74"/>
  <c r="P129" i="74"/>
  <c r="P103" i="75"/>
  <c r="P111" i="77"/>
  <c r="P130" i="79"/>
  <c r="P111" i="82"/>
  <c r="P110" i="83"/>
  <c r="P119" i="86"/>
  <c r="P127" i="87"/>
  <c r="P130" i="90"/>
  <c r="P125" i="91"/>
  <c r="P111" i="92"/>
  <c r="P116" i="96"/>
  <c r="P126" i="96"/>
  <c r="P121" i="77"/>
  <c r="P124" i="82"/>
  <c r="P110" i="85"/>
  <c r="P122" i="89"/>
  <c r="P102" i="90"/>
  <c r="P113" i="91"/>
  <c r="P117" i="91"/>
  <c r="P100" i="92"/>
  <c r="P126" i="94"/>
  <c r="P105" i="95"/>
  <c r="P113" i="96"/>
  <c r="C84" i="36"/>
  <c r="D63" i="36"/>
  <c r="D64" i="36"/>
  <c r="D25" i="36"/>
  <c r="C77" i="36"/>
  <c r="D18" i="36"/>
  <c r="C91" i="36"/>
  <c r="C40" i="36"/>
  <c r="D45" i="36"/>
  <c r="D86" i="36"/>
  <c r="C90" i="36"/>
  <c r="C60" i="36"/>
  <c r="C27" i="36"/>
  <c r="D54" i="36"/>
  <c r="C43" i="36"/>
  <c r="D75" i="36"/>
  <c r="C81" i="36"/>
  <c r="D78" i="36"/>
  <c r="C20" i="36"/>
  <c r="D77" i="36"/>
  <c r="C39" i="36"/>
  <c r="D44" i="36"/>
  <c r="C83" i="36"/>
  <c r="C66" i="36"/>
  <c r="C22" i="36"/>
  <c r="D60" i="36"/>
  <c r="D72" i="36"/>
  <c r="C92" i="36"/>
  <c r="C29" i="36"/>
  <c r="C54" i="36"/>
  <c r="C57" i="36"/>
  <c r="D20" i="36"/>
  <c r="C82" i="36"/>
  <c r="D84" i="36"/>
  <c r="C51" i="36"/>
  <c r="C88" i="36"/>
  <c r="D53" i="36"/>
  <c r="D56" i="36"/>
  <c r="C74" i="36"/>
  <c r="D85" i="36"/>
  <c r="C45" i="36"/>
  <c r="D83" i="36"/>
  <c r="D61" i="36"/>
  <c r="C73" i="36"/>
  <c r="D23" i="36"/>
  <c r="D87" i="36"/>
  <c r="C65" i="36"/>
  <c r="C68" i="36"/>
  <c r="C21" i="36"/>
  <c r="D92" i="36"/>
  <c r="D65" i="36"/>
  <c r="D67" i="36"/>
  <c r="D34" i="36"/>
  <c r="D46" i="36"/>
  <c r="D80" i="36"/>
  <c r="C30" i="36"/>
  <c r="C47" i="36"/>
  <c r="C24" i="36"/>
  <c r="D32" i="36"/>
  <c r="D58" i="36"/>
  <c r="D62" i="36"/>
  <c r="C56" i="36"/>
  <c r="D33" i="36"/>
  <c r="C33" i="36"/>
  <c r="D30" i="36"/>
  <c r="C26" i="36"/>
  <c r="D38" i="36"/>
  <c r="D74" i="36"/>
  <c r="D24" i="36"/>
  <c r="C37" i="36"/>
  <c r="D22" i="36"/>
  <c r="C75" i="36"/>
  <c r="D36" i="36"/>
  <c r="D26" i="36"/>
  <c r="D52" i="36"/>
  <c r="D41" i="36"/>
  <c r="C62" i="36"/>
  <c r="D76" i="36"/>
  <c r="D73" i="36"/>
  <c r="C71" i="36"/>
  <c r="C25" i="36"/>
  <c r="D89" i="36"/>
  <c r="C63" i="36"/>
  <c r="D68" i="36"/>
  <c r="C52" i="36"/>
  <c r="D66" i="36"/>
  <c r="C89" i="36"/>
  <c r="C86" i="36"/>
  <c r="C55" i="36"/>
  <c r="C85" i="36"/>
  <c r="C35" i="36"/>
  <c r="D88" i="36"/>
  <c r="D39" i="36"/>
  <c r="C76" i="36"/>
  <c r="C72" i="36"/>
  <c r="C19" i="36"/>
  <c r="D90" i="36"/>
  <c r="C79" i="36"/>
  <c r="D49" i="36"/>
  <c r="D81" i="36"/>
  <c r="D37" i="36"/>
  <c r="D55" i="36"/>
  <c r="C61" i="36"/>
  <c r="C34" i="36"/>
  <c r="C32" i="36"/>
  <c r="D35" i="36"/>
  <c r="C48" i="36"/>
  <c r="D28" i="36"/>
  <c r="D57" i="36"/>
  <c r="D43" i="36"/>
  <c r="C23" i="36"/>
  <c r="D48" i="36"/>
  <c r="D50" i="36"/>
  <c r="C42" i="36"/>
  <c r="D47" i="36"/>
  <c r="D27" i="36"/>
  <c r="D82" i="36"/>
  <c r="D51" i="36"/>
  <c r="C49" i="36"/>
  <c r="C69" i="36"/>
  <c r="C78" i="36"/>
  <c r="C18" i="36"/>
  <c r="D59" i="36"/>
  <c r="D40" i="36"/>
  <c r="D19" i="36"/>
  <c r="C28" i="36"/>
  <c r="C36" i="36"/>
  <c r="C50" i="36"/>
  <c r="D42" i="36"/>
  <c r="C70" i="36"/>
  <c r="D31" i="36"/>
  <c r="C38" i="36"/>
  <c r="C31" i="36"/>
  <c r="C58" i="36"/>
  <c r="C87" i="36"/>
  <c r="D70" i="36"/>
  <c r="C46" i="36"/>
  <c r="C64" i="36"/>
  <c r="D29" i="36"/>
  <c r="D91" i="36"/>
  <c r="D71" i="36"/>
  <c r="C80" i="36"/>
  <c r="D21" i="36"/>
  <c r="C41" i="36"/>
  <c r="D79" i="36"/>
  <c r="C67" i="36"/>
  <c r="D69" i="36"/>
  <c r="C44" i="36"/>
  <c r="C59" i="36"/>
  <c r="C53" i="36"/>
  <c r="O87" i="53" l="1"/>
  <c r="N87" i="58"/>
  <c r="O87" i="58" s="1"/>
  <c r="N87" i="45"/>
  <c r="O87" i="45" s="1"/>
  <c r="D13" i="56"/>
  <c r="I14" i="56" s="1"/>
  <c r="D13" i="100"/>
  <c r="I14" i="100" s="1"/>
  <c r="E18" i="13"/>
  <c r="F18" i="13" s="1"/>
  <c r="D19" i="13" s="1"/>
  <c r="B19" i="13" s="1"/>
  <c r="I13" i="100"/>
  <c r="G17" i="100"/>
  <c r="N5" i="100" s="1"/>
  <c r="D94" i="100"/>
  <c r="D93" i="100"/>
  <c r="D92" i="100"/>
  <c r="J96" i="100" s="1"/>
  <c r="H17" i="26"/>
  <c r="N17" i="26" s="1"/>
  <c r="E18" i="33"/>
  <c r="F18" i="33" s="1"/>
  <c r="D19" i="33" s="1"/>
  <c r="E18" i="25"/>
  <c r="F18" i="25" s="1"/>
  <c r="G18" i="25" s="1"/>
  <c r="M87" i="78"/>
  <c r="O87" i="78" s="1"/>
  <c r="M87" i="21"/>
  <c r="O87" i="21" s="1"/>
  <c r="N87" i="31"/>
  <c r="L86" i="76"/>
  <c r="G17" i="26"/>
  <c r="L17" i="26" s="1"/>
  <c r="N87" i="74"/>
  <c r="N87" i="76"/>
  <c r="O87" i="76" s="1"/>
  <c r="M87" i="31"/>
  <c r="L86" i="86"/>
  <c r="E18" i="26"/>
  <c r="F18" i="26" s="1"/>
  <c r="H18" i="26" s="1"/>
  <c r="D94" i="78"/>
  <c r="F20" i="1"/>
  <c r="E25" i="1" s="1"/>
  <c r="E26" i="1" s="1"/>
  <c r="D94" i="82"/>
  <c r="D93" i="89"/>
  <c r="C99" i="89" s="1"/>
  <c r="C100" i="89" s="1"/>
  <c r="C101" i="89" s="1"/>
  <c r="C102" i="89" s="1"/>
  <c r="C103" i="89" s="1"/>
  <c r="C104" i="89" s="1"/>
  <c r="C105" i="89" s="1"/>
  <c r="C106" i="89" s="1"/>
  <c r="C107" i="89" s="1"/>
  <c r="C108" i="89" s="1"/>
  <c r="C109" i="89" s="1"/>
  <c r="C110" i="89" s="1"/>
  <c r="C111" i="89" s="1"/>
  <c r="C112" i="89" s="1"/>
  <c r="C113" i="89" s="1"/>
  <c r="C114" i="89" s="1"/>
  <c r="C115" i="89" s="1"/>
  <c r="C116" i="89" s="1"/>
  <c r="C117" i="89" s="1"/>
  <c r="C118" i="89" s="1"/>
  <c r="C119" i="89" s="1"/>
  <c r="C120" i="89" s="1"/>
  <c r="C121" i="89" s="1"/>
  <c r="C122" i="89" s="1"/>
  <c r="C123" i="89" s="1"/>
  <c r="C124" i="89" s="1"/>
  <c r="C125" i="89" s="1"/>
  <c r="C126" i="89" s="1"/>
  <c r="C127" i="89" s="1"/>
  <c r="C128" i="89" s="1"/>
  <c r="C129" i="89" s="1"/>
  <c r="C130" i="89" s="1"/>
  <c r="C131" i="89" s="1"/>
  <c r="C132" i="89" s="1"/>
  <c r="C133" i="89" s="1"/>
  <c r="C134" i="89" s="1"/>
  <c r="C135" i="89" s="1"/>
  <c r="C136" i="89" s="1"/>
  <c r="C137" i="89" s="1"/>
  <c r="C138" i="89" s="1"/>
  <c r="C139" i="89" s="1"/>
  <c r="C140" i="89" s="1"/>
  <c r="C141" i="89" s="1"/>
  <c r="C142" i="89" s="1"/>
  <c r="C143" i="89" s="1"/>
  <c r="C144" i="89" s="1"/>
  <c r="C145" i="89" s="1"/>
  <c r="C146" i="89" s="1"/>
  <c r="C147" i="89" s="1"/>
  <c r="C148" i="89" s="1"/>
  <c r="C149" i="89" s="1"/>
  <c r="C150" i="89" s="1"/>
  <c r="C151" i="89" s="1"/>
  <c r="C152" i="89" s="1"/>
  <c r="C153" i="89" s="1"/>
  <c r="C154" i="89" s="1"/>
  <c r="D94" i="20"/>
  <c r="D13" i="60"/>
  <c r="I14" i="60" s="1"/>
  <c r="D13" i="30"/>
  <c r="I14" i="30" s="1"/>
  <c r="D13" i="83"/>
  <c r="I14" i="83" s="1"/>
  <c r="D94" i="92"/>
  <c r="D93" i="75"/>
  <c r="C99" i="75" s="1"/>
  <c r="C100" i="75" s="1"/>
  <c r="C101" i="75" s="1"/>
  <c r="C102" i="75" s="1"/>
  <c r="C103" i="75" s="1"/>
  <c r="C104" i="75" s="1"/>
  <c r="C105" i="75" s="1"/>
  <c r="C106" i="75" s="1"/>
  <c r="C107" i="75" s="1"/>
  <c r="C108" i="75" s="1"/>
  <c r="C109" i="75" s="1"/>
  <c r="C110" i="75" s="1"/>
  <c r="C111" i="75" s="1"/>
  <c r="C112" i="75" s="1"/>
  <c r="C113" i="75" s="1"/>
  <c r="C114" i="75" s="1"/>
  <c r="C115" i="75" s="1"/>
  <c r="C116" i="75" s="1"/>
  <c r="C117" i="75" s="1"/>
  <c r="C118" i="75" s="1"/>
  <c r="C119" i="75" s="1"/>
  <c r="C120" i="75" s="1"/>
  <c r="C121" i="75" s="1"/>
  <c r="C122" i="75" s="1"/>
  <c r="C123" i="75" s="1"/>
  <c r="C124" i="75" s="1"/>
  <c r="C125" i="75" s="1"/>
  <c r="C126" i="75" s="1"/>
  <c r="C127" i="75" s="1"/>
  <c r="C128" i="75" s="1"/>
  <c r="C129" i="75" s="1"/>
  <c r="C130" i="75" s="1"/>
  <c r="C131" i="75" s="1"/>
  <c r="C132" i="75" s="1"/>
  <c r="C133" i="75" s="1"/>
  <c r="C134" i="75" s="1"/>
  <c r="C135" i="75" s="1"/>
  <c r="C136" i="75" s="1"/>
  <c r="C137" i="75" s="1"/>
  <c r="C138" i="75" s="1"/>
  <c r="C139" i="75" s="1"/>
  <c r="C140" i="75" s="1"/>
  <c r="C141" i="75" s="1"/>
  <c r="C142" i="75" s="1"/>
  <c r="C143" i="75" s="1"/>
  <c r="C144" i="75" s="1"/>
  <c r="C145" i="75" s="1"/>
  <c r="C146" i="75" s="1"/>
  <c r="C147" i="75" s="1"/>
  <c r="C148" i="75" s="1"/>
  <c r="C149" i="75" s="1"/>
  <c r="C150" i="75" s="1"/>
  <c r="C151" i="75" s="1"/>
  <c r="C152" i="75" s="1"/>
  <c r="C153" i="75" s="1"/>
  <c r="C154" i="75" s="1"/>
  <c r="D92" i="33"/>
  <c r="J96" i="33" s="1"/>
  <c r="E99" i="33" s="1"/>
  <c r="I13" i="79"/>
  <c r="D93" i="28"/>
  <c r="C99" i="28" s="1"/>
  <c r="C100" i="28" s="1"/>
  <c r="C101" i="28" s="1"/>
  <c r="C102" i="28" s="1"/>
  <c r="C103" i="28" s="1"/>
  <c r="C104" i="28" s="1"/>
  <c r="C105" i="28" s="1"/>
  <c r="C106" i="28" s="1"/>
  <c r="C107" i="28" s="1"/>
  <c r="C108" i="28" s="1"/>
  <c r="C109" i="28" s="1"/>
  <c r="C110" i="28" s="1"/>
  <c r="C111" i="28" s="1"/>
  <c r="C112" i="28" s="1"/>
  <c r="C113" i="28" s="1"/>
  <c r="C114" i="28" s="1"/>
  <c r="C115" i="28" s="1"/>
  <c r="C116" i="28" s="1"/>
  <c r="C117" i="28" s="1"/>
  <c r="C118" i="28" s="1"/>
  <c r="C119" i="28" s="1"/>
  <c r="C120" i="28" s="1"/>
  <c r="C121" i="28" s="1"/>
  <c r="C122" i="28" s="1"/>
  <c r="C123" i="28" s="1"/>
  <c r="C124" i="28" s="1"/>
  <c r="C125" i="28" s="1"/>
  <c r="C126" i="28" s="1"/>
  <c r="C127" i="28" s="1"/>
  <c r="C128" i="28" s="1"/>
  <c r="C129" i="28" s="1"/>
  <c r="C130" i="28" s="1"/>
  <c r="C131" i="28" s="1"/>
  <c r="C132" i="28" s="1"/>
  <c r="C133" i="28" s="1"/>
  <c r="C134" i="28" s="1"/>
  <c r="C135" i="28" s="1"/>
  <c r="C136" i="28" s="1"/>
  <c r="C137" i="28" s="1"/>
  <c r="C138" i="28" s="1"/>
  <c r="C139" i="28" s="1"/>
  <c r="C140" i="28" s="1"/>
  <c r="C141" i="28" s="1"/>
  <c r="C142" i="28" s="1"/>
  <c r="C143" i="28" s="1"/>
  <c r="C144" i="28" s="1"/>
  <c r="C145" i="28" s="1"/>
  <c r="C146" i="28" s="1"/>
  <c r="C147" i="28" s="1"/>
  <c r="C148" i="28" s="1"/>
  <c r="C149" i="28" s="1"/>
  <c r="C150" i="28" s="1"/>
  <c r="C151" i="28" s="1"/>
  <c r="C152" i="28" s="1"/>
  <c r="C153" i="28" s="1"/>
  <c r="C154" i="28" s="1"/>
  <c r="D93" i="33"/>
  <c r="C99" i="33" s="1"/>
  <c r="C100" i="33" s="1"/>
  <c r="C101" i="33" s="1"/>
  <c r="C102" i="33" s="1"/>
  <c r="C103" i="33" s="1"/>
  <c r="C104" i="33" s="1"/>
  <c r="C105" i="33" s="1"/>
  <c r="C106" i="33" s="1"/>
  <c r="C107" i="33" s="1"/>
  <c r="C108" i="33" s="1"/>
  <c r="C109" i="33" s="1"/>
  <c r="C110" i="33" s="1"/>
  <c r="C111" i="33" s="1"/>
  <c r="C112" i="33" s="1"/>
  <c r="C113" i="33" s="1"/>
  <c r="C114" i="33" s="1"/>
  <c r="C115" i="33" s="1"/>
  <c r="C116" i="33" s="1"/>
  <c r="C117" i="33" s="1"/>
  <c r="C118" i="33" s="1"/>
  <c r="C119" i="33" s="1"/>
  <c r="C120" i="33" s="1"/>
  <c r="C121" i="33" s="1"/>
  <c r="C122" i="33" s="1"/>
  <c r="C123" i="33" s="1"/>
  <c r="C124" i="33" s="1"/>
  <c r="C125" i="33" s="1"/>
  <c r="C126" i="33" s="1"/>
  <c r="C127" i="33" s="1"/>
  <c r="C128" i="33" s="1"/>
  <c r="C129" i="33" s="1"/>
  <c r="C130" i="33" s="1"/>
  <c r="C131" i="33" s="1"/>
  <c r="C132" i="33" s="1"/>
  <c r="C133" i="33" s="1"/>
  <c r="C134" i="33" s="1"/>
  <c r="C135" i="33" s="1"/>
  <c r="C136" i="33" s="1"/>
  <c r="C137" i="33" s="1"/>
  <c r="C138" i="33" s="1"/>
  <c r="C139" i="33" s="1"/>
  <c r="C140" i="33" s="1"/>
  <c r="C141" i="33" s="1"/>
  <c r="C142" i="33" s="1"/>
  <c r="C143" i="33" s="1"/>
  <c r="C144" i="33" s="1"/>
  <c r="C145" i="33" s="1"/>
  <c r="C146" i="33" s="1"/>
  <c r="C147" i="33" s="1"/>
  <c r="C148" i="33" s="1"/>
  <c r="C149" i="33" s="1"/>
  <c r="C150" i="33" s="1"/>
  <c r="C151" i="33" s="1"/>
  <c r="C152" i="33" s="1"/>
  <c r="C153" i="33" s="1"/>
  <c r="C154" i="33" s="1"/>
  <c r="D94" i="90"/>
  <c r="C148" i="90"/>
  <c r="C149" i="90" s="1"/>
  <c r="C150" i="90" s="1"/>
  <c r="C151" i="90" s="1"/>
  <c r="C152" i="90" s="1"/>
  <c r="C153" i="90" s="1"/>
  <c r="C154" i="90" s="1"/>
  <c r="C100" i="35"/>
  <c r="C101" i="35" s="1"/>
  <c r="C102" i="35" s="1"/>
  <c r="C103" i="35" s="1"/>
  <c r="C104" i="35" s="1"/>
  <c r="C105" i="35" s="1"/>
  <c r="C106" i="35" s="1"/>
  <c r="C107" i="35" s="1"/>
  <c r="C108" i="35" s="1"/>
  <c r="C109" i="35" s="1"/>
  <c r="C110" i="35" s="1"/>
  <c r="C111" i="35" s="1"/>
  <c r="C112" i="35" s="1"/>
  <c r="C113" i="35" s="1"/>
  <c r="C114" i="35" s="1"/>
  <c r="C115" i="35" s="1"/>
  <c r="C116" i="35" s="1"/>
  <c r="C117" i="35" s="1"/>
  <c r="C118" i="35" s="1"/>
  <c r="C119" i="35" s="1"/>
  <c r="C120" i="35" s="1"/>
  <c r="C121" i="35" s="1"/>
  <c r="C122" i="35" s="1"/>
  <c r="C123" i="35" s="1"/>
  <c r="C124" i="35" s="1"/>
  <c r="C125" i="35" s="1"/>
  <c r="C126" i="35" s="1"/>
  <c r="C127" i="35" s="1"/>
  <c r="C128" i="35" s="1"/>
  <c r="C129" i="35" s="1"/>
  <c r="C130" i="35" s="1"/>
  <c r="C131" i="35" s="1"/>
  <c r="C132" i="35" s="1"/>
  <c r="C133" i="35" s="1"/>
  <c r="C134" i="35" s="1"/>
  <c r="C135" i="35" s="1"/>
  <c r="C136" i="35" s="1"/>
  <c r="C137" i="35" s="1"/>
  <c r="C138" i="35" s="1"/>
  <c r="C139" i="35" s="1"/>
  <c r="C140" i="35" s="1"/>
  <c r="C141" i="35" s="1"/>
  <c r="C142" i="35" s="1"/>
  <c r="C143" i="35" s="1"/>
  <c r="C144" i="35" s="1"/>
  <c r="C145" i="35" s="1"/>
  <c r="C146" i="35" s="1"/>
  <c r="C147" i="35" s="1"/>
  <c r="C148" i="35" s="1"/>
  <c r="C149" i="35" s="1"/>
  <c r="C150" i="35" s="1"/>
  <c r="C151" i="35" s="1"/>
  <c r="C152" i="35" s="1"/>
  <c r="C153" i="35" s="1"/>
  <c r="C154" i="35" s="1"/>
  <c r="D92" i="43"/>
  <c r="B107" i="43" s="1"/>
  <c r="D93" i="56"/>
  <c r="C99" i="56" s="1"/>
  <c r="C100" i="56" s="1"/>
  <c r="C101" i="56" s="1"/>
  <c r="C102" i="56" s="1"/>
  <c r="C103" i="56" s="1"/>
  <c r="C104" i="56" s="1"/>
  <c r="C105" i="56" s="1"/>
  <c r="C106" i="56" s="1"/>
  <c r="C107" i="56" s="1"/>
  <c r="C108" i="56" s="1"/>
  <c r="C109" i="56" s="1"/>
  <c r="C110" i="56" s="1"/>
  <c r="C111" i="56" s="1"/>
  <c r="C112" i="56" s="1"/>
  <c r="C113" i="56" s="1"/>
  <c r="C114" i="56" s="1"/>
  <c r="C115" i="56" s="1"/>
  <c r="C116" i="56" s="1"/>
  <c r="C117" i="56" s="1"/>
  <c r="C118" i="56" s="1"/>
  <c r="C119" i="56" s="1"/>
  <c r="C120" i="56" s="1"/>
  <c r="C121" i="56" s="1"/>
  <c r="C122" i="56" s="1"/>
  <c r="C123" i="56" s="1"/>
  <c r="C124" i="56" s="1"/>
  <c r="C125" i="56" s="1"/>
  <c r="C126" i="56" s="1"/>
  <c r="C127" i="56" s="1"/>
  <c r="C128" i="56" s="1"/>
  <c r="C129" i="56" s="1"/>
  <c r="C130" i="56" s="1"/>
  <c r="C131" i="56" s="1"/>
  <c r="C132" i="56" s="1"/>
  <c r="C133" i="56" s="1"/>
  <c r="C134" i="56" s="1"/>
  <c r="C135" i="56" s="1"/>
  <c r="C136" i="56" s="1"/>
  <c r="C137" i="56" s="1"/>
  <c r="C138" i="56" s="1"/>
  <c r="C139" i="56" s="1"/>
  <c r="C140" i="56" s="1"/>
  <c r="C141" i="56" s="1"/>
  <c r="C142" i="56" s="1"/>
  <c r="C143" i="56" s="1"/>
  <c r="C144" i="56" s="1"/>
  <c r="C145" i="56" s="1"/>
  <c r="C146" i="56" s="1"/>
  <c r="C147" i="56" s="1"/>
  <c r="C148" i="56" s="1"/>
  <c r="C149" i="56" s="1"/>
  <c r="C150" i="56" s="1"/>
  <c r="C151" i="56" s="1"/>
  <c r="C152" i="56" s="1"/>
  <c r="C153" i="56" s="1"/>
  <c r="C154" i="56" s="1"/>
  <c r="D94" i="35"/>
  <c r="O87" i="26"/>
  <c r="D93" i="43"/>
  <c r="D94" i="23"/>
  <c r="D93" i="87"/>
  <c r="C99" i="87" s="1"/>
  <c r="C100" i="87" s="1"/>
  <c r="C101" i="87" s="1"/>
  <c r="C102" i="87" s="1"/>
  <c r="C103" i="87" s="1"/>
  <c r="C104" i="87" s="1"/>
  <c r="C105" i="87" s="1"/>
  <c r="C106" i="87" s="1"/>
  <c r="C107" i="87" s="1"/>
  <c r="C108" i="87" s="1"/>
  <c r="C109" i="87" s="1"/>
  <c r="C110" i="87" s="1"/>
  <c r="C111" i="87" s="1"/>
  <c r="C112" i="87" s="1"/>
  <c r="C113" i="87" s="1"/>
  <c r="C114" i="87" s="1"/>
  <c r="C115" i="87" s="1"/>
  <c r="C116" i="87" s="1"/>
  <c r="C117" i="87" s="1"/>
  <c r="C118" i="87" s="1"/>
  <c r="C119" i="87" s="1"/>
  <c r="C120" i="87" s="1"/>
  <c r="C121" i="87" s="1"/>
  <c r="C122" i="87" s="1"/>
  <c r="C123" i="87" s="1"/>
  <c r="C124" i="87" s="1"/>
  <c r="C125" i="87" s="1"/>
  <c r="C126" i="87" s="1"/>
  <c r="C127" i="87" s="1"/>
  <c r="C128" i="87" s="1"/>
  <c r="C129" i="87" s="1"/>
  <c r="C130" i="87" s="1"/>
  <c r="C131" i="87" s="1"/>
  <c r="C132" i="87" s="1"/>
  <c r="C133" i="87" s="1"/>
  <c r="C134" i="87" s="1"/>
  <c r="C135" i="87" s="1"/>
  <c r="C136" i="87" s="1"/>
  <c r="C137" i="87" s="1"/>
  <c r="C138" i="87" s="1"/>
  <c r="C139" i="87" s="1"/>
  <c r="C140" i="87" s="1"/>
  <c r="C141" i="87" s="1"/>
  <c r="C142" i="87" s="1"/>
  <c r="C143" i="87" s="1"/>
  <c r="C144" i="87" s="1"/>
  <c r="C145" i="87" s="1"/>
  <c r="C146" i="87" s="1"/>
  <c r="C147" i="87" s="1"/>
  <c r="C148" i="87" s="1"/>
  <c r="C149" i="87" s="1"/>
  <c r="C150" i="87" s="1"/>
  <c r="C151" i="87" s="1"/>
  <c r="C152" i="87" s="1"/>
  <c r="C153" i="87" s="1"/>
  <c r="C154" i="87" s="1"/>
  <c r="D93" i="46"/>
  <c r="C99" i="46" s="1"/>
  <c r="C100" i="46" s="1"/>
  <c r="C101" i="46" s="1"/>
  <c r="C102" i="46" s="1"/>
  <c r="C103" i="46" s="1"/>
  <c r="C104" i="46" s="1"/>
  <c r="C105" i="46" s="1"/>
  <c r="C106" i="46" s="1"/>
  <c r="C107" i="46" s="1"/>
  <c r="C108" i="46" s="1"/>
  <c r="C109" i="46" s="1"/>
  <c r="C110" i="46" s="1"/>
  <c r="C111" i="46" s="1"/>
  <c r="C112" i="46" s="1"/>
  <c r="C113" i="46" s="1"/>
  <c r="C114" i="46" s="1"/>
  <c r="C115" i="46" s="1"/>
  <c r="C116" i="46" s="1"/>
  <c r="C117" i="46" s="1"/>
  <c r="C118" i="46" s="1"/>
  <c r="C119" i="46" s="1"/>
  <c r="C120" i="46" s="1"/>
  <c r="C121" i="46" s="1"/>
  <c r="C122" i="46" s="1"/>
  <c r="C123" i="46" s="1"/>
  <c r="C124" i="46" s="1"/>
  <c r="C125" i="46" s="1"/>
  <c r="C126" i="46" s="1"/>
  <c r="C127" i="46" s="1"/>
  <c r="C128" i="46" s="1"/>
  <c r="C129" i="46" s="1"/>
  <c r="C130" i="46" s="1"/>
  <c r="C131" i="46" s="1"/>
  <c r="C132" i="46" s="1"/>
  <c r="C133" i="46" s="1"/>
  <c r="C134" i="46" s="1"/>
  <c r="C135" i="46" s="1"/>
  <c r="C136" i="46" s="1"/>
  <c r="C137" i="46" s="1"/>
  <c r="C138" i="46" s="1"/>
  <c r="C139" i="46" s="1"/>
  <c r="C140" i="46" s="1"/>
  <c r="C141" i="46" s="1"/>
  <c r="C142" i="46" s="1"/>
  <c r="C143" i="46" s="1"/>
  <c r="C144" i="46" s="1"/>
  <c r="C145" i="46" s="1"/>
  <c r="C146" i="46" s="1"/>
  <c r="C147" i="46" s="1"/>
  <c r="C148" i="46" s="1"/>
  <c r="C149" i="46" s="1"/>
  <c r="C150" i="46" s="1"/>
  <c r="C151" i="46" s="1"/>
  <c r="C152" i="46" s="1"/>
  <c r="C153" i="46" s="1"/>
  <c r="C154" i="46" s="1"/>
  <c r="E99" i="13"/>
  <c r="F99" i="13" s="1"/>
  <c r="D93" i="85"/>
  <c r="C99" i="85" s="1"/>
  <c r="C100" i="85" s="1"/>
  <c r="C101" i="85" s="1"/>
  <c r="C102" i="85" s="1"/>
  <c r="C103" i="85" s="1"/>
  <c r="C104" i="85" s="1"/>
  <c r="C105" i="85" s="1"/>
  <c r="C106" i="85" s="1"/>
  <c r="C107" i="85" s="1"/>
  <c r="C108" i="85" s="1"/>
  <c r="C109" i="85" s="1"/>
  <c r="C110" i="85" s="1"/>
  <c r="C111" i="85" s="1"/>
  <c r="C112" i="85" s="1"/>
  <c r="C113" i="85" s="1"/>
  <c r="C114" i="85" s="1"/>
  <c r="C115" i="85" s="1"/>
  <c r="C116" i="85" s="1"/>
  <c r="C117" i="85" s="1"/>
  <c r="C118" i="85" s="1"/>
  <c r="C119" i="85" s="1"/>
  <c r="C120" i="85" s="1"/>
  <c r="C121" i="85" s="1"/>
  <c r="C122" i="85" s="1"/>
  <c r="C123" i="85" s="1"/>
  <c r="C124" i="85" s="1"/>
  <c r="C125" i="85" s="1"/>
  <c r="C126" i="85" s="1"/>
  <c r="C127" i="85" s="1"/>
  <c r="C128" i="85" s="1"/>
  <c r="C129" i="85" s="1"/>
  <c r="C130" i="85" s="1"/>
  <c r="C131" i="85" s="1"/>
  <c r="C132" i="85" s="1"/>
  <c r="C133" i="85" s="1"/>
  <c r="C134" i="85" s="1"/>
  <c r="C135" i="85" s="1"/>
  <c r="C136" i="85" s="1"/>
  <c r="C137" i="85" s="1"/>
  <c r="C138" i="85" s="1"/>
  <c r="C139" i="85" s="1"/>
  <c r="C140" i="85" s="1"/>
  <c r="C141" i="85" s="1"/>
  <c r="C142" i="85" s="1"/>
  <c r="C143" i="85" s="1"/>
  <c r="C144" i="85" s="1"/>
  <c r="C145" i="85" s="1"/>
  <c r="C146" i="85" s="1"/>
  <c r="C147" i="85" s="1"/>
  <c r="C148" i="85" s="1"/>
  <c r="C149" i="85" s="1"/>
  <c r="C150" i="85" s="1"/>
  <c r="C151" i="85" s="1"/>
  <c r="C152" i="85" s="1"/>
  <c r="C153" i="85" s="1"/>
  <c r="C154" i="85" s="1"/>
  <c r="C100" i="13"/>
  <c r="C101" i="13" s="1"/>
  <c r="C102" i="13" s="1"/>
  <c r="C103" i="13" s="1"/>
  <c r="C104" i="13" s="1"/>
  <c r="C105" i="13" s="1"/>
  <c r="C106" i="13" s="1"/>
  <c r="C107" i="13" s="1"/>
  <c r="C108" i="13" s="1"/>
  <c r="C109" i="13" s="1"/>
  <c r="C110" i="13" s="1"/>
  <c r="C111" i="13" s="1"/>
  <c r="C112" i="13" s="1"/>
  <c r="C113" i="13" s="1"/>
  <c r="C114" i="13" s="1"/>
  <c r="C115" i="13" s="1"/>
  <c r="C116" i="13" s="1"/>
  <c r="C117" i="13" s="1"/>
  <c r="C118" i="13" s="1"/>
  <c r="C119" i="13" s="1"/>
  <c r="C120" i="13" s="1"/>
  <c r="C121" i="13" s="1"/>
  <c r="C122" i="13" s="1"/>
  <c r="C123" i="13" s="1"/>
  <c r="C124" i="13" s="1"/>
  <c r="C125" i="13" s="1"/>
  <c r="C126" i="13" s="1"/>
  <c r="C127" i="13" s="1"/>
  <c r="C128" i="13" s="1"/>
  <c r="C129" i="13" s="1"/>
  <c r="C130" i="13" s="1"/>
  <c r="C131" i="13" s="1"/>
  <c r="C132" i="13" s="1"/>
  <c r="C133" i="13" s="1"/>
  <c r="C134" i="13" s="1"/>
  <c r="C135" i="13" s="1"/>
  <c r="C136" i="13" s="1"/>
  <c r="C137" i="13" s="1"/>
  <c r="C138" i="13" s="1"/>
  <c r="C139" i="13" s="1"/>
  <c r="C140" i="13" s="1"/>
  <c r="C141" i="13" s="1"/>
  <c r="C142" i="13" s="1"/>
  <c r="C143" i="13" s="1"/>
  <c r="C144" i="13" s="1"/>
  <c r="C145" i="13" s="1"/>
  <c r="C146" i="13" s="1"/>
  <c r="C147" i="13" s="1"/>
  <c r="C148" i="13" s="1"/>
  <c r="C149" i="13" s="1"/>
  <c r="C150" i="13" s="1"/>
  <c r="C151" i="13" s="1"/>
  <c r="C152" i="13" s="1"/>
  <c r="C153" i="13" s="1"/>
  <c r="C154" i="13" s="1"/>
  <c r="D19" i="25"/>
  <c r="B19" i="25" s="1"/>
  <c r="D13" i="99"/>
  <c r="I14" i="99" s="1"/>
  <c r="D13" i="98"/>
  <c r="I14" i="98" s="1"/>
  <c r="D13" i="97"/>
  <c r="I14" i="97" s="1"/>
  <c r="D13" i="76"/>
  <c r="I14" i="76" s="1"/>
  <c r="D13" i="35"/>
  <c r="D13" i="92"/>
  <c r="I14" i="92" s="1"/>
  <c r="D13" i="18"/>
  <c r="I14" i="18" s="1"/>
  <c r="D13" i="20"/>
  <c r="I14" i="20" s="1"/>
  <c r="D13" i="74"/>
  <c r="I14" i="74" s="1"/>
  <c r="D13" i="63"/>
  <c r="I14" i="63" s="1"/>
  <c r="D13" i="70"/>
  <c r="I14" i="70" s="1"/>
  <c r="D13" i="85"/>
  <c r="I14" i="85" s="1"/>
  <c r="D13" i="39"/>
  <c r="I14" i="39" s="1"/>
  <c r="D13" i="72"/>
  <c r="I14" i="72" s="1"/>
  <c r="D13" i="46"/>
  <c r="I14" i="46" s="1"/>
  <c r="D13" i="62"/>
  <c r="I14" i="62" s="1"/>
  <c r="D13" i="88"/>
  <c r="I14" i="88" s="1"/>
  <c r="D13" i="24"/>
  <c r="I14" i="24" s="1"/>
  <c r="D13" i="78"/>
  <c r="I14" i="78" s="1"/>
  <c r="D13" i="29"/>
  <c r="I14" i="29" s="1"/>
  <c r="D13" i="31"/>
  <c r="I14" i="31" s="1"/>
  <c r="D13" i="26"/>
  <c r="D13" i="91"/>
  <c r="I14" i="91" s="1"/>
  <c r="D13" i="64"/>
  <c r="I14" i="64" s="1"/>
  <c r="D13" i="86"/>
  <c r="I14" i="86" s="1"/>
  <c r="D13" i="94"/>
  <c r="I14" i="94" s="1"/>
  <c r="D13" i="73"/>
  <c r="I14" i="73" s="1"/>
  <c r="D13" i="13"/>
  <c r="D13" i="67"/>
  <c r="I14" i="67" s="1"/>
  <c r="B23" i="67" s="1"/>
  <c r="D13" i="75"/>
  <c r="I14" i="75" s="1"/>
  <c r="D13" i="61"/>
  <c r="I14" i="61" s="1"/>
  <c r="D13" i="44"/>
  <c r="I14" i="44" s="1"/>
  <c r="D13" i="69"/>
  <c r="I14" i="69" s="1"/>
  <c r="E34" i="69" s="1"/>
  <c r="F34" i="69" s="1"/>
  <c r="D13" i="54"/>
  <c r="I14" i="54" s="1"/>
  <c r="D13" i="87"/>
  <c r="I14" i="87" s="1"/>
  <c r="D13" i="17"/>
  <c r="D13" i="93"/>
  <c r="I14" i="93" s="1"/>
  <c r="D13" i="79"/>
  <c r="I14" i="79" s="1"/>
  <c r="D13" i="23"/>
  <c r="I14" i="23" s="1"/>
  <c r="D13" i="45"/>
  <c r="I14" i="45" s="1"/>
  <c r="D13" i="59"/>
  <c r="I14" i="59" s="1"/>
  <c r="D13" i="43"/>
  <c r="I14" i="43" s="1"/>
  <c r="D13" i="58"/>
  <c r="I14" i="58" s="1"/>
  <c r="D13" i="55"/>
  <c r="I14" i="55" s="1"/>
  <c r="D13" i="19"/>
  <c r="I14" i="19" s="1"/>
  <c r="D13" i="22"/>
  <c r="I14" i="22" s="1"/>
  <c r="D13" i="25"/>
  <c r="D13" i="53"/>
  <c r="I14" i="53" s="1"/>
  <c r="D13" i="21"/>
  <c r="I14" i="21" s="1"/>
  <c r="D13" i="3"/>
  <c r="I14" i="3" s="1"/>
  <c r="D13" i="34"/>
  <c r="I14" i="34" s="1"/>
  <c r="D13" i="81"/>
  <c r="I14" i="81" s="1"/>
  <c r="D13" i="68"/>
  <c r="I14" i="68" s="1"/>
  <c r="D13" i="89"/>
  <c r="I14" i="89" s="1"/>
  <c r="D13" i="96"/>
  <c r="I14" i="96" s="1"/>
  <c r="D13" i="77"/>
  <c r="I14" i="77" s="1"/>
  <c r="D13" i="27"/>
  <c r="I14" i="27" s="1"/>
  <c r="D13" i="90"/>
  <c r="I14" i="90" s="1"/>
  <c r="D13" i="84"/>
  <c r="I14" i="84" s="1"/>
  <c r="D13" i="71"/>
  <c r="I14" i="71" s="1"/>
  <c r="D13" i="32"/>
  <c r="I14" i="32" s="1"/>
  <c r="D13" i="57"/>
  <c r="I14" i="57" s="1"/>
  <c r="D13" i="66"/>
  <c r="I14" i="66" s="1"/>
  <c r="D13" i="65"/>
  <c r="I14" i="65" s="1"/>
  <c r="D13" i="42"/>
  <c r="I14" i="42" s="1"/>
  <c r="D13" i="95"/>
  <c r="I14" i="95" s="1"/>
  <c r="D13" i="80"/>
  <c r="I14" i="80" s="1"/>
  <c r="D13" i="33"/>
  <c r="D13" i="82"/>
  <c r="I14" i="82" s="1"/>
  <c r="D13" i="28"/>
  <c r="I14" i="28" s="1"/>
  <c r="D13" i="41"/>
  <c r="I14" i="41" s="1"/>
  <c r="C99" i="82"/>
  <c r="C100" i="82" s="1"/>
  <c r="C101" i="82" s="1"/>
  <c r="C102" i="82" s="1"/>
  <c r="C103" i="82" s="1"/>
  <c r="C104" i="82" s="1"/>
  <c r="C105" i="82" s="1"/>
  <c r="C106" i="82" s="1"/>
  <c r="C107" i="82" s="1"/>
  <c r="C108" i="82" s="1"/>
  <c r="C109" i="82" s="1"/>
  <c r="C110" i="82" s="1"/>
  <c r="C111" i="82" s="1"/>
  <c r="C112" i="82" s="1"/>
  <c r="C113" i="82" s="1"/>
  <c r="C114" i="82" s="1"/>
  <c r="C115" i="82" s="1"/>
  <c r="C116" i="82" s="1"/>
  <c r="C117" i="82" s="1"/>
  <c r="C118" i="82" s="1"/>
  <c r="C119" i="82" s="1"/>
  <c r="C120" i="82" s="1"/>
  <c r="C121" i="82" s="1"/>
  <c r="C122" i="82" s="1"/>
  <c r="C123" i="82" s="1"/>
  <c r="C124" i="82" s="1"/>
  <c r="C125" i="82" s="1"/>
  <c r="C126" i="82" s="1"/>
  <c r="C127" i="82" s="1"/>
  <c r="C128" i="82" s="1"/>
  <c r="C129" i="82" s="1"/>
  <c r="C130" i="82" s="1"/>
  <c r="C131" i="82" s="1"/>
  <c r="C132" i="82" s="1"/>
  <c r="C133" i="82" s="1"/>
  <c r="C134" i="82" s="1"/>
  <c r="C135" i="82" s="1"/>
  <c r="C136" i="82" s="1"/>
  <c r="C137" i="82" s="1"/>
  <c r="C138" i="82" s="1"/>
  <c r="C139" i="82" s="1"/>
  <c r="C140" i="82" s="1"/>
  <c r="C141" i="82" s="1"/>
  <c r="C142" i="82" s="1"/>
  <c r="C143" i="82" s="1"/>
  <c r="C144" i="82" s="1"/>
  <c r="C145" i="82" s="1"/>
  <c r="C146" i="82" s="1"/>
  <c r="C147" i="82" s="1"/>
  <c r="C148" i="82" s="1"/>
  <c r="C149" i="82" s="1"/>
  <c r="C150" i="82" s="1"/>
  <c r="C151" i="82" s="1"/>
  <c r="C152" i="82" s="1"/>
  <c r="C153" i="82" s="1"/>
  <c r="C154" i="82" s="1"/>
  <c r="G17" i="33"/>
  <c r="I13" i="33"/>
  <c r="D94" i="17"/>
  <c r="D93" i="17"/>
  <c r="C99" i="17" s="1"/>
  <c r="C100" i="17" s="1"/>
  <c r="C101" i="17" s="1"/>
  <c r="C102" i="17" s="1"/>
  <c r="C103" i="17" s="1"/>
  <c r="C104" i="17" s="1"/>
  <c r="C105" i="17" s="1"/>
  <c r="C106" i="17" s="1"/>
  <c r="C107" i="17" s="1"/>
  <c r="C108" i="17" s="1"/>
  <c r="C109" i="17" s="1"/>
  <c r="C110" i="17" s="1"/>
  <c r="C111" i="17" s="1"/>
  <c r="C112" i="17" s="1"/>
  <c r="C113" i="17" s="1"/>
  <c r="C114" i="17" s="1"/>
  <c r="C115" i="17" s="1"/>
  <c r="C116" i="17" s="1"/>
  <c r="C117" i="17" s="1"/>
  <c r="C118" i="17" s="1"/>
  <c r="C119" i="17" s="1"/>
  <c r="C120" i="17" s="1"/>
  <c r="C121" i="17" s="1"/>
  <c r="C122" i="17" s="1"/>
  <c r="C123" i="17" s="1"/>
  <c r="C124" i="17" s="1"/>
  <c r="C125" i="17" s="1"/>
  <c r="C126" i="17" s="1"/>
  <c r="C127" i="17" s="1"/>
  <c r="C128" i="17" s="1"/>
  <c r="C129" i="17" s="1"/>
  <c r="C130" i="17" s="1"/>
  <c r="C131" i="17" s="1"/>
  <c r="C132" i="17" s="1"/>
  <c r="C133" i="17" s="1"/>
  <c r="C134" i="17" s="1"/>
  <c r="C135" i="17" s="1"/>
  <c r="C136" i="17" s="1"/>
  <c r="C137" i="17" s="1"/>
  <c r="C138" i="17" s="1"/>
  <c r="C139" i="17" s="1"/>
  <c r="C140" i="17" s="1"/>
  <c r="C141" i="17" s="1"/>
  <c r="C142" i="17" s="1"/>
  <c r="C143" i="17" s="1"/>
  <c r="C144" i="17" s="1"/>
  <c r="C145" i="17" s="1"/>
  <c r="C146" i="17" s="1"/>
  <c r="C147" i="17" s="1"/>
  <c r="C148" i="17" s="1"/>
  <c r="C149" i="17" s="1"/>
  <c r="C150" i="17" s="1"/>
  <c r="C151" i="17" s="1"/>
  <c r="C152" i="17" s="1"/>
  <c r="C153" i="17" s="1"/>
  <c r="C154" i="17" s="1"/>
  <c r="D99" i="13"/>
  <c r="G17" i="13"/>
  <c r="I13" i="13"/>
  <c r="G18" i="13"/>
  <c r="I13" i="98"/>
  <c r="I13" i="99"/>
  <c r="D93" i="77"/>
  <c r="C99" i="77" s="1"/>
  <c r="C100" i="77" s="1"/>
  <c r="C101" i="77" s="1"/>
  <c r="C102" i="77" s="1"/>
  <c r="C103" i="77" s="1"/>
  <c r="C104" i="77" s="1"/>
  <c r="C105" i="77" s="1"/>
  <c r="C106" i="77" s="1"/>
  <c r="C107" i="77" s="1"/>
  <c r="C108" i="77" s="1"/>
  <c r="C109" i="77" s="1"/>
  <c r="C110" i="77" s="1"/>
  <c r="C111" i="77" s="1"/>
  <c r="C112" i="77" s="1"/>
  <c r="C113" i="77" s="1"/>
  <c r="C114" i="77" s="1"/>
  <c r="C115" i="77" s="1"/>
  <c r="C116" i="77" s="1"/>
  <c r="C117" i="77" s="1"/>
  <c r="C118" i="77" s="1"/>
  <c r="C119" i="77" s="1"/>
  <c r="C120" i="77" s="1"/>
  <c r="C121" i="77" s="1"/>
  <c r="C122" i="77" s="1"/>
  <c r="C123" i="77" s="1"/>
  <c r="C124" i="77" s="1"/>
  <c r="C125" i="77" s="1"/>
  <c r="C126" i="77" s="1"/>
  <c r="C127" i="77" s="1"/>
  <c r="C128" i="77" s="1"/>
  <c r="C129" i="77" s="1"/>
  <c r="C130" i="77" s="1"/>
  <c r="C131" i="77" s="1"/>
  <c r="C132" i="77" s="1"/>
  <c r="C133" i="77" s="1"/>
  <c r="C134" i="77" s="1"/>
  <c r="C135" i="77" s="1"/>
  <c r="C136" i="77" s="1"/>
  <c r="C137" i="77" s="1"/>
  <c r="C138" i="77" s="1"/>
  <c r="C139" i="77" s="1"/>
  <c r="C140" i="77" s="1"/>
  <c r="C141" i="77" s="1"/>
  <c r="C142" i="77" s="1"/>
  <c r="C143" i="77" s="1"/>
  <c r="C144" i="77" s="1"/>
  <c r="C145" i="77" s="1"/>
  <c r="C146" i="77" s="1"/>
  <c r="C147" i="77" s="1"/>
  <c r="C148" i="77" s="1"/>
  <c r="C149" i="77" s="1"/>
  <c r="C150" i="77" s="1"/>
  <c r="C151" i="77" s="1"/>
  <c r="C152" i="77" s="1"/>
  <c r="C153" i="77" s="1"/>
  <c r="C154" i="77" s="1"/>
  <c r="G21" i="35"/>
  <c r="I21" i="35" s="1"/>
  <c r="G18" i="33"/>
  <c r="I13" i="97"/>
  <c r="I13" i="25"/>
  <c r="G17" i="25"/>
  <c r="N87" i="59"/>
  <c r="L86" i="71"/>
  <c r="M87" i="60"/>
  <c r="L86" i="58"/>
  <c r="F20" i="2"/>
  <c r="E25" i="2" s="1"/>
  <c r="E26" i="2" s="1"/>
  <c r="L86" i="63"/>
  <c r="J95" i="97"/>
  <c r="J95" i="98"/>
  <c r="J95" i="99"/>
  <c r="B21" i="86"/>
  <c r="B21" i="90"/>
  <c r="B21" i="88"/>
  <c r="B30" i="31"/>
  <c r="B29" i="31"/>
  <c r="N87" i="64"/>
  <c r="O87" i="19"/>
  <c r="O87" i="80"/>
  <c r="M87" i="71"/>
  <c r="O87" i="71" s="1"/>
  <c r="O87" i="85"/>
  <c r="M87" i="34"/>
  <c r="O87" i="34" s="1"/>
  <c r="L86" i="56"/>
  <c r="N87" i="56"/>
  <c r="O87" i="56" s="1"/>
  <c r="N87" i="23"/>
  <c r="O87" i="23" s="1"/>
  <c r="L86" i="20"/>
  <c r="N87" i="86"/>
  <c r="O87" i="86" s="1"/>
  <c r="M87" i="54"/>
  <c r="O87" i="54" s="1"/>
  <c r="L86" i="23"/>
  <c r="M87" i="75"/>
  <c r="O87" i="75" s="1"/>
  <c r="M87" i="20"/>
  <c r="O87" i="20" s="1"/>
  <c r="N87" i="33"/>
  <c r="D95" i="82"/>
  <c r="J96" i="82" s="1"/>
  <c r="D95" i="98"/>
  <c r="J96" i="98" s="1"/>
  <c r="D95" i="97"/>
  <c r="J96" i="97" s="1"/>
  <c r="N87" i="67"/>
  <c r="M87" i="69"/>
  <c r="O87" i="69" s="1"/>
  <c r="L86" i="78"/>
  <c r="O87" i="32"/>
  <c r="M87" i="59"/>
  <c r="M87" i="63"/>
  <c r="O87" i="63" s="1"/>
  <c r="L86" i="21"/>
  <c r="L86" i="61"/>
  <c r="O87" i="41"/>
  <c r="L86" i="57"/>
  <c r="L86" i="82"/>
  <c r="N87" i="82"/>
  <c r="O87" i="82" s="1"/>
  <c r="M87" i="64"/>
  <c r="N87" i="57"/>
  <c r="O87" i="57" s="1"/>
  <c r="N87" i="65"/>
  <c r="M87" i="65"/>
  <c r="D94" i="67"/>
  <c r="D93" i="67"/>
  <c r="C99" i="67" s="1"/>
  <c r="C100" i="67" s="1"/>
  <c r="C101" i="67" s="1"/>
  <c r="C102" i="67" s="1"/>
  <c r="C103" i="67" s="1"/>
  <c r="C104" i="67" s="1"/>
  <c r="C105" i="67" s="1"/>
  <c r="C106" i="67" s="1"/>
  <c r="C107" i="67" s="1"/>
  <c r="C108" i="67" s="1"/>
  <c r="C109" i="67" s="1"/>
  <c r="C110" i="67" s="1"/>
  <c r="C111" i="67" s="1"/>
  <c r="C112" i="67" s="1"/>
  <c r="C113" i="67" s="1"/>
  <c r="C114" i="67" s="1"/>
  <c r="C115" i="67" s="1"/>
  <c r="C116" i="67" s="1"/>
  <c r="C117" i="67" s="1"/>
  <c r="C118" i="67" s="1"/>
  <c r="C119" i="67" s="1"/>
  <c r="C120" i="67" s="1"/>
  <c r="C121" i="67" s="1"/>
  <c r="C122" i="67" s="1"/>
  <c r="C123" i="67" s="1"/>
  <c r="C124" i="67" s="1"/>
  <c r="C125" i="67" s="1"/>
  <c r="C126" i="67" s="1"/>
  <c r="C127" i="67" s="1"/>
  <c r="C128" i="67" s="1"/>
  <c r="C129" i="67" s="1"/>
  <c r="C130" i="67" s="1"/>
  <c r="C131" i="67" s="1"/>
  <c r="C132" i="67" s="1"/>
  <c r="C133" i="67" s="1"/>
  <c r="C134" i="67" s="1"/>
  <c r="C135" i="67" s="1"/>
  <c r="C136" i="67" s="1"/>
  <c r="C137" i="67" s="1"/>
  <c r="C138" i="67" s="1"/>
  <c r="C139" i="67" s="1"/>
  <c r="C140" i="67" s="1"/>
  <c r="C141" i="67" s="1"/>
  <c r="C142" i="67" s="1"/>
  <c r="C143" i="67" s="1"/>
  <c r="C144" i="67" s="1"/>
  <c r="C145" i="67" s="1"/>
  <c r="C146" i="67" s="1"/>
  <c r="C147" i="67" s="1"/>
  <c r="C148" i="67" s="1"/>
  <c r="C149" i="67" s="1"/>
  <c r="C150" i="67" s="1"/>
  <c r="C151" i="67" s="1"/>
  <c r="C152" i="67" s="1"/>
  <c r="C153" i="67" s="1"/>
  <c r="C154" i="67" s="1"/>
  <c r="D92" i="31"/>
  <c r="B109" i="31" s="1"/>
  <c r="D94" i="31"/>
  <c r="D93" i="22"/>
  <c r="C99" i="22" s="1"/>
  <c r="C100" i="22" s="1"/>
  <c r="C101" i="22" s="1"/>
  <c r="C102" i="22" s="1"/>
  <c r="C103" i="22" s="1"/>
  <c r="C104" i="22" s="1"/>
  <c r="C105" i="22" s="1"/>
  <c r="C106" i="22" s="1"/>
  <c r="C107" i="22" s="1"/>
  <c r="C108" i="22" s="1"/>
  <c r="C109" i="22" s="1"/>
  <c r="C110" i="22" s="1"/>
  <c r="C111" i="22" s="1"/>
  <c r="C112" i="22" s="1"/>
  <c r="C113" i="22" s="1"/>
  <c r="C114" i="22" s="1"/>
  <c r="C115" i="22" s="1"/>
  <c r="C116" i="22" s="1"/>
  <c r="C117" i="22" s="1"/>
  <c r="C118" i="22" s="1"/>
  <c r="C119" i="22" s="1"/>
  <c r="C120" i="22" s="1"/>
  <c r="C121" i="22" s="1"/>
  <c r="C122" i="22" s="1"/>
  <c r="C123" i="22" s="1"/>
  <c r="C124" i="22" s="1"/>
  <c r="C125" i="22" s="1"/>
  <c r="C126" i="22" s="1"/>
  <c r="C127" i="22" s="1"/>
  <c r="C128" i="22" s="1"/>
  <c r="C129" i="22" s="1"/>
  <c r="C130" i="22" s="1"/>
  <c r="C131" i="22" s="1"/>
  <c r="C132" i="22" s="1"/>
  <c r="C133" i="22" s="1"/>
  <c r="C134" i="22" s="1"/>
  <c r="C135" i="22" s="1"/>
  <c r="C136" i="22" s="1"/>
  <c r="C137" i="22" s="1"/>
  <c r="C138" i="22" s="1"/>
  <c r="C139" i="22" s="1"/>
  <c r="C140" i="22" s="1"/>
  <c r="C141" i="22" s="1"/>
  <c r="C142" i="22" s="1"/>
  <c r="C143" i="22" s="1"/>
  <c r="C144" i="22" s="1"/>
  <c r="C145" i="22" s="1"/>
  <c r="C146" i="22" s="1"/>
  <c r="C147" i="22" s="1"/>
  <c r="C148" i="22" s="1"/>
  <c r="C149" i="22" s="1"/>
  <c r="C150" i="22" s="1"/>
  <c r="C151" i="22" s="1"/>
  <c r="C152" i="22" s="1"/>
  <c r="C153" i="22" s="1"/>
  <c r="C154" i="22" s="1"/>
  <c r="D94" i="22"/>
  <c r="D94" i="58"/>
  <c r="D93" i="58"/>
  <c r="C99" i="58" s="1"/>
  <c r="C100" i="58" s="1"/>
  <c r="C101" i="58" s="1"/>
  <c r="C102" i="58" s="1"/>
  <c r="C103" i="58" s="1"/>
  <c r="C104" i="58" s="1"/>
  <c r="C105" i="58" s="1"/>
  <c r="C106" i="58" s="1"/>
  <c r="C107" i="58" s="1"/>
  <c r="C108" i="58" s="1"/>
  <c r="C109" i="58" s="1"/>
  <c r="C110" i="58" s="1"/>
  <c r="C111" i="58" s="1"/>
  <c r="C112" i="58" s="1"/>
  <c r="C113" i="58" s="1"/>
  <c r="C114" i="58" s="1"/>
  <c r="C115" i="58" s="1"/>
  <c r="C116" i="58" s="1"/>
  <c r="C117" i="58" s="1"/>
  <c r="C118" i="58" s="1"/>
  <c r="C119" i="58" s="1"/>
  <c r="C120" i="58" s="1"/>
  <c r="C121" i="58" s="1"/>
  <c r="C122" i="58" s="1"/>
  <c r="C123" i="58" s="1"/>
  <c r="C124" i="58" s="1"/>
  <c r="C125" i="58" s="1"/>
  <c r="C126" i="58" s="1"/>
  <c r="C127" i="58" s="1"/>
  <c r="C128" i="58" s="1"/>
  <c r="C129" i="58" s="1"/>
  <c r="C130" i="58" s="1"/>
  <c r="C131" i="58" s="1"/>
  <c r="C132" i="58" s="1"/>
  <c r="C133" i="58" s="1"/>
  <c r="C134" i="58" s="1"/>
  <c r="C135" i="58" s="1"/>
  <c r="C136" i="58" s="1"/>
  <c r="C137" i="58" s="1"/>
  <c r="C138" i="58" s="1"/>
  <c r="C139" i="58" s="1"/>
  <c r="C140" i="58" s="1"/>
  <c r="C141" i="58" s="1"/>
  <c r="C142" i="58" s="1"/>
  <c r="C143" i="58" s="1"/>
  <c r="C144" i="58" s="1"/>
  <c r="C145" i="58" s="1"/>
  <c r="C146" i="58" s="1"/>
  <c r="C147" i="58" s="1"/>
  <c r="C148" i="58" s="1"/>
  <c r="C149" i="58" s="1"/>
  <c r="C150" i="58" s="1"/>
  <c r="C151" i="58" s="1"/>
  <c r="C152" i="58" s="1"/>
  <c r="C153" i="58" s="1"/>
  <c r="C154" i="58" s="1"/>
  <c r="D93" i="32"/>
  <c r="C99" i="32" s="1"/>
  <c r="C100" i="32" s="1"/>
  <c r="C101" i="32" s="1"/>
  <c r="C102" i="32" s="1"/>
  <c r="C103" i="32" s="1"/>
  <c r="C104" i="32" s="1"/>
  <c r="C105" i="32" s="1"/>
  <c r="C106" i="32" s="1"/>
  <c r="C107" i="32" s="1"/>
  <c r="C108" i="32" s="1"/>
  <c r="C109" i="32" s="1"/>
  <c r="C110" i="32" s="1"/>
  <c r="C111" i="32" s="1"/>
  <c r="C112" i="32" s="1"/>
  <c r="C113" i="32" s="1"/>
  <c r="C114" i="32" s="1"/>
  <c r="C115" i="32" s="1"/>
  <c r="C116" i="32" s="1"/>
  <c r="C117" i="32" s="1"/>
  <c r="C118" i="32" s="1"/>
  <c r="C119" i="32" s="1"/>
  <c r="C120" i="32" s="1"/>
  <c r="C121" i="32" s="1"/>
  <c r="C122" i="32" s="1"/>
  <c r="C123" i="32" s="1"/>
  <c r="C124" i="32" s="1"/>
  <c r="C125" i="32" s="1"/>
  <c r="C126" i="32" s="1"/>
  <c r="C127" i="32" s="1"/>
  <c r="C128" i="32" s="1"/>
  <c r="C129" i="32" s="1"/>
  <c r="C130" i="32" s="1"/>
  <c r="C131" i="32" s="1"/>
  <c r="C132" i="32" s="1"/>
  <c r="C133" i="32" s="1"/>
  <c r="C134" i="32" s="1"/>
  <c r="C135" i="32" s="1"/>
  <c r="C136" i="32" s="1"/>
  <c r="C137" i="32" s="1"/>
  <c r="C138" i="32" s="1"/>
  <c r="C139" i="32" s="1"/>
  <c r="C140" i="32" s="1"/>
  <c r="C141" i="32" s="1"/>
  <c r="C142" i="32" s="1"/>
  <c r="C143" i="32" s="1"/>
  <c r="C144" i="32" s="1"/>
  <c r="C145" i="32" s="1"/>
  <c r="C146" i="32" s="1"/>
  <c r="C147" i="32" s="1"/>
  <c r="C148" i="32" s="1"/>
  <c r="C149" i="32" s="1"/>
  <c r="C150" i="32" s="1"/>
  <c r="C151" i="32" s="1"/>
  <c r="C152" i="32" s="1"/>
  <c r="C153" i="32" s="1"/>
  <c r="C154" i="32" s="1"/>
  <c r="D94" i="32"/>
  <c r="D94" i="66"/>
  <c r="D93" i="66"/>
  <c r="C99" i="66" s="1"/>
  <c r="C100" i="66" s="1"/>
  <c r="C101" i="66" s="1"/>
  <c r="C102" i="66" s="1"/>
  <c r="C103" i="66" s="1"/>
  <c r="C104" i="66" s="1"/>
  <c r="C105" i="66" s="1"/>
  <c r="C106" i="66" s="1"/>
  <c r="C107" i="66" s="1"/>
  <c r="C108" i="66" s="1"/>
  <c r="C109" i="66" s="1"/>
  <c r="C110" i="66" s="1"/>
  <c r="C111" i="66" s="1"/>
  <c r="C112" i="66" s="1"/>
  <c r="C113" i="66" s="1"/>
  <c r="C114" i="66" s="1"/>
  <c r="C115" i="66" s="1"/>
  <c r="C116" i="66" s="1"/>
  <c r="C117" i="66" s="1"/>
  <c r="C118" i="66" s="1"/>
  <c r="C119" i="66" s="1"/>
  <c r="C120" i="66" s="1"/>
  <c r="C121" i="66" s="1"/>
  <c r="C122" i="66" s="1"/>
  <c r="C123" i="66" s="1"/>
  <c r="C124" i="66" s="1"/>
  <c r="C125" i="66" s="1"/>
  <c r="C126" i="66" s="1"/>
  <c r="C127" i="66" s="1"/>
  <c r="C128" i="66" s="1"/>
  <c r="C129" i="66" s="1"/>
  <c r="C130" i="66" s="1"/>
  <c r="C131" i="66" s="1"/>
  <c r="C132" i="66" s="1"/>
  <c r="C133" i="66" s="1"/>
  <c r="C134" i="66" s="1"/>
  <c r="C135" i="66" s="1"/>
  <c r="C136" i="66" s="1"/>
  <c r="C137" i="66" s="1"/>
  <c r="C138" i="66" s="1"/>
  <c r="C139" i="66" s="1"/>
  <c r="C140" i="66" s="1"/>
  <c r="C141" i="66" s="1"/>
  <c r="C142" i="66" s="1"/>
  <c r="C143" i="66" s="1"/>
  <c r="C144" i="66" s="1"/>
  <c r="C145" i="66" s="1"/>
  <c r="C146" i="66" s="1"/>
  <c r="C147" i="66" s="1"/>
  <c r="C148" i="66" s="1"/>
  <c r="C149" i="66" s="1"/>
  <c r="C150" i="66" s="1"/>
  <c r="C151" i="66" s="1"/>
  <c r="C152" i="66" s="1"/>
  <c r="C153" i="66" s="1"/>
  <c r="C154" i="66" s="1"/>
  <c r="D93" i="19"/>
  <c r="D94" i="19"/>
  <c r="D93" i="3"/>
  <c r="D94" i="3"/>
  <c r="D93" i="21"/>
  <c r="D94" i="21"/>
  <c r="D93" i="41"/>
  <c r="C99" i="41" s="1"/>
  <c r="C100" i="41" s="1"/>
  <c r="C101" i="41" s="1"/>
  <c r="C102" i="41" s="1"/>
  <c r="C103" i="41" s="1"/>
  <c r="C104" i="41" s="1"/>
  <c r="C105" i="41" s="1"/>
  <c r="C106" i="41" s="1"/>
  <c r="C107" i="41" s="1"/>
  <c r="C108" i="41" s="1"/>
  <c r="C109" i="41" s="1"/>
  <c r="C110" i="41" s="1"/>
  <c r="C111" i="41" s="1"/>
  <c r="C112" i="41" s="1"/>
  <c r="C113" i="41" s="1"/>
  <c r="C114" i="41" s="1"/>
  <c r="C115" i="41" s="1"/>
  <c r="C116" i="41" s="1"/>
  <c r="C117" i="41" s="1"/>
  <c r="C118" i="41" s="1"/>
  <c r="C119" i="41" s="1"/>
  <c r="C120" i="41" s="1"/>
  <c r="C121" i="41" s="1"/>
  <c r="C122" i="41" s="1"/>
  <c r="C123" i="41" s="1"/>
  <c r="C124" i="41" s="1"/>
  <c r="C125" i="41" s="1"/>
  <c r="C126" i="41" s="1"/>
  <c r="C127" i="41" s="1"/>
  <c r="C128" i="41" s="1"/>
  <c r="C129" i="41" s="1"/>
  <c r="C130" i="41" s="1"/>
  <c r="C131" i="41" s="1"/>
  <c r="C132" i="41" s="1"/>
  <c r="C133" i="41" s="1"/>
  <c r="C134" i="41" s="1"/>
  <c r="C135" i="41" s="1"/>
  <c r="C136" i="41" s="1"/>
  <c r="C137" i="41" s="1"/>
  <c r="C138" i="41" s="1"/>
  <c r="C139" i="41" s="1"/>
  <c r="C140" i="41" s="1"/>
  <c r="C141" i="41" s="1"/>
  <c r="C142" i="41" s="1"/>
  <c r="C143" i="41" s="1"/>
  <c r="C144" i="41" s="1"/>
  <c r="C145" i="41" s="1"/>
  <c r="C146" i="41" s="1"/>
  <c r="C147" i="41" s="1"/>
  <c r="C148" i="41" s="1"/>
  <c r="C149" i="41" s="1"/>
  <c r="C150" i="41" s="1"/>
  <c r="C151" i="41" s="1"/>
  <c r="C152" i="41" s="1"/>
  <c r="C153" i="41" s="1"/>
  <c r="C154" i="41" s="1"/>
  <c r="D94" i="41"/>
  <c r="D92" i="41"/>
  <c r="B107" i="41" s="1"/>
  <c r="D94" i="81"/>
  <c r="D93" i="81"/>
  <c r="D94" i="84"/>
  <c r="D93" i="84"/>
  <c r="C99" i="84" s="1"/>
  <c r="C100" i="84" s="1"/>
  <c r="C101" i="84" s="1"/>
  <c r="C102" i="84" s="1"/>
  <c r="C103" i="84" s="1"/>
  <c r="C104" i="84" s="1"/>
  <c r="C105" i="84" s="1"/>
  <c r="C106" i="84" s="1"/>
  <c r="C107" i="84" s="1"/>
  <c r="C108" i="84" s="1"/>
  <c r="C109" i="84" s="1"/>
  <c r="C110" i="84" s="1"/>
  <c r="C111" i="84" s="1"/>
  <c r="C112" i="84" s="1"/>
  <c r="C113" i="84" s="1"/>
  <c r="C114" i="84" s="1"/>
  <c r="C115" i="84" s="1"/>
  <c r="C116" i="84" s="1"/>
  <c r="C117" i="84" s="1"/>
  <c r="C118" i="84" s="1"/>
  <c r="C119" i="84" s="1"/>
  <c r="C120" i="84" s="1"/>
  <c r="C121" i="84" s="1"/>
  <c r="C122" i="84" s="1"/>
  <c r="C123" i="84" s="1"/>
  <c r="C124" i="84" s="1"/>
  <c r="C125" i="84" s="1"/>
  <c r="C126" i="84" s="1"/>
  <c r="C127" i="84" s="1"/>
  <c r="C128" i="84" s="1"/>
  <c r="C129" i="84" s="1"/>
  <c r="C130" i="84" s="1"/>
  <c r="C131" i="84" s="1"/>
  <c r="C132" i="84" s="1"/>
  <c r="C133" i="84" s="1"/>
  <c r="C134" i="84" s="1"/>
  <c r="C135" i="84" s="1"/>
  <c r="C136" i="84" s="1"/>
  <c r="C137" i="84" s="1"/>
  <c r="C138" i="84" s="1"/>
  <c r="C139" i="84" s="1"/>
  <c r="C140" i="84" s="1"/>
  <c r="C141" i="84" s="1"/>
  <c r="C142" i="84" s="1"/>
  <c r="C143" i="84" s="1"/>
  <c r="C144" i="84" s="1"/>
  <c r="C145" i="84" s="1"/>
  <c r="C146" i="84" s="1"/>
  <c r="C147" i="84" s="1"/>
  <c r="C148" i="84" s="1"/>
  <c r="C149" i="84" s="1"/>
  <c r="C150" i="84" s="1"/>
  <c r="C151" i="84" s="1"/>
  <c r="C152" i="84" s="1"/>
  <c r="C153" i="84" s="1"/>
  <c r="C154" i="84" s="1"/>
  <c r="D94" i="57"/>
  <c r="D93" i="57"/>
  <c r="C99" i="57" s="1"/>
  <c r="C100" i="57" s="1"/>
  <c r="C101" i="57" s="1"/>
  <c r="C102" i="57" s="1"/>
  <c r="C103" i="57" s="1"/>
  <c r="C104" i="57" s="1"/>
  <c r="C105" i="57" s="1"/>
  <c r="C106" i="57" s="1"/>
  <c r="C107" i="57" s="1"/>
  <c r="C108" i="57" s="1"/>
  <c r="C109" i="57" s="1"/>
  <c r="C110" i="57" s="1"/>
  <c r="C111" i="57" s="1"/>
  <c r="C112" i="57" s="1"/>
  <c r="C113" i="57" s="1"/>
  <c r="C114" i="57" s="1"/>
  <c r="C115" i="57" s="1"/>
  <c r="C116" i="57" s="1"/>
  <c r="C117" i="57" s="1"/>
  <c r="C118" i="57" s="1"/>
  <c r="C119" i="57" s="1"/>
  <c r="C120" i="57" s="1"/>
  <c r="C121" i="57" s="1"/>
  <c r="C122" i="57" s="1"/>
  <c r="C123" i="57" s="1"/>
  <c r="C124" i="57" s="1"/>
  <c r="C125" i="57" s="1"/>
  <c r="C126" i="57" s="1"/>
  <c r="C127" i="57" s="1"/>
  <c r="C128" i="57" s="1"/>
  <c r="C129" i="57" s="1"/>
  <c r="C130" i="57" s="1"/>
  <c r="C131" i="57" s="1"/>
  <c r="C132" i="57" s="1"/>
  <c r="C133" i="57" s="1"/>
  <c r="C134" i="57" s="1"/>
  <c r="C135" i="57" s="1"/>
  <c r="C136" i="57" s="1"/>
  <c r="C137" i="57" s="1"/>
  <c r="C138" i="57" s="1"/>
  <c r="C139" i="57" s="1"/>
  <c r="C140" i="57" s="1"/>
  <c r="C141" i="57" s="1"/>
  <c r="C142" i="57" s="1"/>
  <c r="C143" i="57" s="1"/>
  <c r="C144" i="57" s="1"/>
  <c r="C145" i="57" s="1"/>
  <c r="C146" i="57" s="1"/>
  <c r="C147" i="57" s="1"/>
  <c r="C148" i="57" s="1"/>
  <c r="C149" i="57" s="1"/>
  <c r="C150" i="57" s="1"/>
  <c r="C151" i="57" s="1"/>
  <c r="C152" i="57" s="1"/>
  <c r="C153" i="57" s="1"/>
  <c r="C154" i="57" s="1"/>
  <c r="D94" i="27"/>
  <c r="D93" i="27"/>
  <c r="D93" i="31"/>
  <c r="C99" i="31" s="1"/>
  <c r="C100" i="31" s="1"/>
  <c r="C101" i="31" s="1"/>
  <c r="C102" i="31" s="1"/>
  <c r="C103" i="31" s="1"/>
  <c r="C104" i="31" s="1"/>
  <c r="C105" i="31" s="1"/>
  <c r="C106" i="31" s="1"/>
  <c r="C107" i="31" s="1"/>
  <c r="C108" i="31" s="1"/>
  <c r="C109" i="31" s="1"/>
  <c r="C110" i="31" s="1"/>
  <c r="C111" i="31" s="1"/>
  <c r="C112" i="31" s="1"/>
  <c r="C113" i="31" s="1"/>
  <c r="C114" i="31" s="1"/>
  <c r="C115" i="31" s="1"/>
  <c r="C116" i="31" s="1"/>
  <c r="C117" i="31" s="1"/>
  <c r="C118" i="31" s="1"/>
  <c r="C119" i="31" s="1"/>
  <c r="C120" i="31" s="1"/>
  <c r="C121" i="31" s="1"/>
  <c r="C122" i="31" s="1"/>
  <c r="C123" i="31" s="1"/>
  <c r="C124" i="31" s="1"/>
  <c r="C125" i="31" s="1"/>
  <c r="C126" i="31" s="1"/>
  <c r="C127" i="31" s="1"/>
  <c r="C128" i="31" s="1"/>
  <c r="C129" i="31" s="1"/>
  <c r="C130" i="31" s="1"/>
  <c r="C131" i="31" s="1"/>
  <c r="C132" i="31" s="1"/>
  <c r="C133" i="31" s="1"/>
  <c r="C134" i="31" s="1"/>
  <c r="C135" i="31" s="1"/>
  <c r="C136" i="31" s="1"/>
  <c r="C137" i="31" s="1"/>
  <c r="C138" i="31" s="1"/>
  <c r="C139" i="31" s="1"/>
  <c r="C140" i="31" s="1"/>
  <c r="C141" i="31" s="1"/>
  <c r="C142" i="31" s="1"/>
  <c r="C143" i="31" s="1"/>
  <c r="C144" i="31" s="1"/>
  <c r="C145" i="31" s="1"/>
  <c r="C146" i="31" s="1"/>
  <c r="C147" i="31" s="1"/>
  <c r="C148" i="31" s="1"/>
  <c r="C149" i="31" s="1"/>
  <c r="C150" i="31" s="1"/>
  <c r="C151" i="31" s="1"/>
  <c r="C152" i="31" s="1"/>
  <c r="C153" i="31" s="1"/>
  <c r="C154" i="31" s="1"/>
  <c r="D93" i="88"/>
  <c r="C99" i="88" s="1"/>
  <c r="C100" i="88" s="1"/>
  <c r="C101" i="88" s="1"/>
  <c r="C102" i="88" s="1"/>
  <c r="C103" i="88" s="1"/>
  <c r="C104" i="88" s="1"/>
  <c r="C105" i="88" s="1"/>
  <c r="C106" i="88" s="1"/>
  <c r="C107" i="88" s="1"/>
  <c r="C108" i="88" s="1"/>
  <c r="C109" i="88" s="1"/>
  <c r="C110" i="88" s="1"/>
  <c r="C111" i="88" s="1"/>
  <c r="C112" i="88" s="1"/>
  <c r="C113" i="88" s="1"/>
  <c r="C114" i="88" s="1"/>
  <c r="C115" i="88" s="1"/>
  <c r="C116" i="88" s="1"/>
  <c r="C117" i="88" s="1"/>
  <c r="C118" i="88" s="1"/>
  <c r="C119" i="88" s="1"/>
  <c r="C120" i="88" s="1"/>
  <c r="C121" i="88" s="1"/>
  <c r="C122" i="88" s="1"/>
  <c r="C123" i="88" s="1"/>
  <c r="C124" i="88" s="1"/>
  <c r="C125" i="88" s="1"/>
  <c r="C126" i="88" s="1"/>
  <c r="C127" i="88" s="1"/>
  <c r="C128" i="88" s="1"/>
  <c r="C129" i="88" s="1"/>
  <c r="C130" i="88" s="1"/>
  <c r="C131" i="88" s="1"/>
  <c r="C132" i="88" s="1"/>
  <c r="C133" i="88" s="1"/>
  <c r="C134" i="88" s="1"/>
  <c r="C135" i="88" s="1"/>
  <c r="C136" i="88" s="1"/>
  <c r="C137" i="88" s="1"/>
  <c r="C138" i="88" s="1"/>
  <c r="C139" i="88" s="1"/>
  <c r="C140" i="88" s="1"/>
  <c r="C141" i="88" s="1"/>
  <c r="C142" i="88" s="1"/>
  <c r="C143" i="88" s="1"/>
  <c r="C144" i="88" s="1"/>
  <c r="C145" i="88" s="1"/>
  <c r="C146" i="88" s="1"/>
  <c r="C147" i="88" s="1"/>
  <c r="C148" i="88" s="1"/>
  <c r="C149" i="88" s="1"/>
  <c r="C150" i="88" s="1"/>
  <c r="C151" i="88" s="1"/>
  <c r="C152" i="88" s="1"/>
  <c r="C153" i="88" s="1"/>
  <c r="C154" i="88" s="1"/>
  <c r="D94" i="88"/>
  <c r="D94" i="39"/>
  <c r="D93" i="39"/>
  <c r="C99" i="39" s="1"/>
  <c r="C100" i="39" s="1"/>
  <c r="C101" i="39" s="1"/>
  <c r="C102" i="39" s="1"/>
  <c r="C103" i="39" s="1"/>
  <c r="C104" i="39" s="1"/>
  <c r="C105" i="39" s="1"/>
  <c r="C106" i="39" s="1"/>
  <c r="C107" i="39" s="1"/>
  <c r="C108" i="39" s="1"/>
  <c r="C109" i="39" s="1"/>
  <c r="C110" i="39" s="1"/>
  <c r="C111" i="39" s="1"/>
  <c r="C112" i="39" s="1"/>
  <c r="C113" i="39" s="1"/>
  <c r="C114" i="39" s="1"/>
  <c r="C115" i="39" s="1"/>
  <c r="C116" i="39" s="1"/>
  <c r="C117" i="39" s="1"/>
  <c r="C118" i="39" s="1"/>
  <c r="C119" i="39" s="1"/>
  <c r="C120" i="39" s="1"/>
  <c r="C121" i="39" s="1"/>
  <c r="C122" i="39" s="1"/>
  <c r="C123" i="39" s="1"/>
  <c r="C124" i="39" s="1"/>
  <c r="C125" i="39" s="1"/>
  <c r="C126" i="39" s="1"/>
  <c r="C127" i="39" s="1"/>
  <c r="C128" i="39" s="1"/>
  <c r="C129" i="39" s="1"/>
  <c r="C130" i="39" s="1"/>
  <c r="C131" i="39" s="1"/>
  <c r="C132" i="39" s="1"/>
  <c r="C133" i="39" s="1"/>
  <c r="C134" i="39" s="1"/>
  <c r="C135" i="39" s="1"/>
  <c r="C136" i="39" s="1"/>
  <c r="C137" i="39" s="1"/>
  <c r="C138" i="39" s="1"/>
  <c r="C139" i="39" s="1"/>
  <c r="C140" i="39" s="1"/>
  <c r="C141" i="39" s="1"/>
  <c r="C142" i="39" s="1"/>
  <c r="C143" i="39" s="1"/>
  <c r="C144" i="39" s="1"/>
  <c r="C145" i="39" s="1"/>
  <c r="C146" i="39" s="1"/>
  <c r="C147" i="39" s="1"/>
  <c r="C148" i="39" s="1"/>
  <c r="C149" i="39" s="1"/>
  <c r="C150" i="39" s="1"/>
  <c r="C151" i="39" s="1"/>
  <c r="C152" i="39" s="1"/>
  <c r="C153" i="39" s="1"/>
  <c r="C154" i="39" s="1"/>
  <c r="D94" i="44"/>
  <c r="D93" i="44"/>
  <c r="C99" i="44" s="1"/>
  <c r="C100" i="44" s="1"/>
  <c r="C101" i="44" s="1"/>
  <c r="C102" i="44" s="1"/>
  <c r="C103" i="44" s="1"/>
  <c r="C104" i="44" s="1"/>
  <c r="C105" i="44" s="1"/>
  <c r="C106" i="44" s="1"/>
  <c r="C107" i="44" s="1"/>
  <c r="C108" i="44" s="1"/>
  <c r="C109" i="44" s="1"/>
  <c r="C110" i="44" s="1"/>
  <c r="C111" i="44" s="1"/>
  <c r="C112" i="44" s="1"/>
  <c r="C113" i="44" s="1"/>
  <c r="C114" i="44" s="1"/>
  <c r="C115" i="44" s="1"/>
  <c r="C116" i="44" s="1"/>
  <c r="C117" i="44" s="1"/>
  <c r="C118" i="44" s="1"/>
  <c r="C119" i="44" s="1"/>
  <c r="C120" i="44" s="1"/>
  <c r="C121" i="44" s="1"/>
  <c r="C122" i="44" s="1"/>
  <c r="C123" i="44" s="1"/>
  <c r="C124" i="44" s="1"/>
  <c r="C125" i="44" s="1"/>
  <c r="C126" i="44" s="1"/>
  <c r="C127" i="44" s="1"/>
  <c r="C128" i="44" s="1"/>
  <c r="C129" i="44" s="1"/>
  <c r="C130" i="44" s="1"/>
  <c r="C131" i="44" s="1"/>
  <c r="C132" i="44" s="1"/>
  <c r="C133" i="44" s="1"/>
  <c r="C134" i="44" s="1"/>
  <c r="C135" i="44" s="1"/>
  <c r="C136" i="44" s="1"/>
  <c r="C137" i="44" s="1"/>
  <c r="C138" i="44" s="1"/>
  <c r="C139" i="44" s="1"/>
  <c r="C140" i="44" s="1"/>
  <c r="C141" i="44" s="1"/>
  <c r="C142" i="44" s="1"/>
  <c r="C143" i="44" s="1"/>
  <c r="C144" i="44" s="1"/>
  <c r="C145" i="44" s="1"/>
  <c r="C146" i="44" s="1"/>
  <c r="C147" i="44" s="1"/>
  <c r="C148" i="44" s="1"/>
  <c r="C149" i="44" s="1"/>
  <c r="C150" i="44" s="1"/>
  <c r="C151" i="44" s="1"/>
  <c r="C152" i="44" s="1"/>
  <c r="C153" i="44" s="1"/>
  <c r="C154" i="44" s="1"/>
  <c r="D94" i="42"/>
  <c r="D92" i="42"/>
  <c r="B107" i="42" s="1"/>
  <c r="D93" i="42"/>
  <c r="C99" i="42" s="1"/>
  <c r="C100" i="42" s="1"/>
  <c r="C101" i="42" s="1"/>
  <c r="C102" i="42" s="1"/>
  <c r="C103" i="42" s="1"/>
  <c r="C104" i="42" s="1"/>
  <c r="C105" i="42" s="1"/>
  <c r="C106" i="42" s="1"/>
  <c r="C107" i="42" s="1"/>
  <c r="C108" i="42" s="1"/>
  <c r="C109" i="42" s="1"/>
  <c r="C110" i="42" s="1"/>
  <c r="C111" i="42" s="1"/>
  <c r="C112" i="42" s="1"/>
  <c r="C113" i="42" s="1"/>
  <c r="C114" i="42" s="1"/>
  <c r="C115" i="42" s="1"/>
  <c r="C116" i="42" s="1"/>
  <c r="C117" i="42" s="1"/>
  <c r="C118" i="42" s="1"/>
  <c r="C119" i="42" s="1"/>
  <c r="C120" i="42" s="1"/>
  <c r="C121" i="42" s="1"/>
  <c r="C122" i="42" s="1"/>
  <c r="C123" i="42" s="1"/>
  <c r="C124" i="42" s="1"/>
  <c r="C125" i="42" s="1"/>
  <c r="C126" i="42" s="1"/>
  <c r="C127" i="42" s="1"/>
  <c r="C128" i="42" s="1"/>
  <c r="C129" i="42" s="1"/>
  <c r="C130" i="42" s="1"/>
  <c r="C131" i="42" s="1"/>
  <c r="C132" i="42" s="1"/>
  <c r="C133" i="42" s="1"/>
  <c r="C134" i="42" s="1"/>
  <c r="C135" i="42" s="1"/>
  <c r="C136" i="42" s="1"/>
  <c r="C137" i="42" s="1"/>
  <c r="C138" i="42" s="1"/>
  <c r="C139" i="42" s="1"/>
  <c r="C140" i="42" s="1"/>
  <c r="C141" i="42" s="1"/>
  <c r="C142" i="42" s="1"/>
  <c r="C143" i="42" s="1"/>
  <c r="C144" i="42" s="1"/>
  <c r="C145" i="42" s="1"/>
  <c r="C146" i="42" s="1"/>
  <c r="C147" i="42" s="1"/>
  <c r="C148" i="42" s="1"/>
  <c r="C149" i="42" s="1"/>
  <c r="C150" i="42" s="1"/>
  <c r="C151" i="42" s="1"/>
  <c r="C152" i="42" s="1"/>
  <c r="C153" i="42" s="1"/>
  <c r="C154" i="42" s="1"/>
  <c r="D93" i="79"/>
  <c r="C99" i="79" s="1"/>
  <c r="C100" i="79" s="1"/>
  <c r="C101" i="79" s="1"/>
  <c r="C102" i="79" s="1"/>
  <c r="C103" i="79" s="1"/>
  <c r="C104" i="79" s="1"/>
  <c r="C105" i="79" s="1"/>
  <c r="C106" i="79" s="1"/>
  <c r="C107" i="79" s="1"/>
  <c r="C108" i="79" s="1"/>
  <c r="C109" i="79" s="1"/>
  <c r="C110" i="79" s="1"/>
  <c r="C111" i="79" s="1"/>
  <c r="C112" i="79" s="1"/>
  <c r="C113" i="79" s="1"/>
  <c r="C114" i="79" s="1"/>
  <c r="C115" i="79" s="1"/>
  <c r="C116" i="79" s="1"/>
  <c r="C117" i="79" s="1"/>
  <c r="C118" i="79" s="1"/>
  <c r="C119" i="79" s="1"/>
  <c r="C120" i="79" s="1"/>
  <c r="C121" i="79" s="1"/>
  <c r="C122" i="79" s="1"/>
  <c r="C123" i="79" s="1"/>
  <c r="C124" i="79" s="1"/>
  <c r="C125" i="79" s="1"/>
  <c r="C126" i="79" s="1"/>
  <c r="C127" i="79" s="1"/>
  <c r="C128" i="79" s="1"/>
  <c r="C129" i="79" s="1"/>
  <c r="C130" i="79" s="1"/>
  <c r="C131" i="79" s="1"/>
  <c r="C132" i="79" s="1"/>
  <c r="C133" i="79" s="1"/>
  <c r="C134" i="79" s="1"/>
  <c r="C135" i="79" s="1"/>
  <c r="C136" i="79" s="1"/>
  <c r="C137" i="79" s="1"/>
  <c r="C138" i="79" s="1"/>
  <c r="C139" i="79" s="1"/>
  <c r="C140" i="79" s="1"/>
  <c r="C141" i="79" s="1"/>
  <c r="C142" i="79" s="1"/>
  <c r="C143" i="79" s="1"/>
  <c r="C144" i="79" s="1"/>
  <c r="C145" i="79" s="1"/>
  <c r="C146" i="79" s="1"/>
  <c r="C147" i="79" s="1"/>
  <c r="C148" i="79" s="1"/>
  <c r="C149" i="79" s="1"/>
  <c r="C150" i="79" s="1"/>
  <c r="C151" i="79" s="1"/>
  <c r="C152" i="79" s="1"/>
  <c r="C153" i="79" s="1"/>
  <c r="C154" i="79" s="1"/>
  <c r="D94" i="79"/>
  <c r="D93" i="45"/>
  <c r="D94" i="45"/>
  <c r="D92" i="45"/>
  <c r="B106" i="45" s="1"/>
  <c r="D93" i="68"/>
  <c r="C99" i="68" s="1"/>
  <c r="C100" i="68" s="1"/>
  <c r="C101" i="68" s="1"/>
  <c r="C102" i="68" s="1"/>
  <c r="C103" i="68" s="1"/>
  <c r="C104" i="68" s="1"/>
  <c r="C105" i="68" s="1"/>
  <c r="C106" i="68" s="1"/>
  <c r="C107" i="68" s="1"/>
  <c r="C108" i="68" s="1"/>
  <c r="C109" i="68" s="1"/>
  <c r="C110" i="68" s="1"/>
  <c r="C111" i="68" s="1"/>
  <c r="C112" i="68" s="1"/>
  <c r="C113" i="68" s="1"/>
  <c r="C114" i="68" s="1"/>
  <c r="C115" i="68" s="1"/>
  <c r="C116" i="68" s="1"/>
  <c r="C117" i="68" s="1"/>
  <c r="C118" i="68" s="1"/>
  <c r="C119" i="68" s="1"/>
  <c r="C120" i="68" s="1"/>
  <c r="C121" i="68" s="1"/>
  <c r="C122" i="68" s="1"/>
  <c r="C123" i="68" s="1"/>
  <c r="C124" i="68" s="1"/>
  <c r="C125" i="68" s="1"/>
  <c r="C126" i="68" s="1"/>
  <c r="C127" i="68" s="1"/>
  <c r="C128" i="68" s="1"/>
  <c r="C129" i="68" s="1"/>
  <c r="C130" i="68" s="1"/>
  <c r="C131" i="68" s="1"/>
  <c r="C132" i="68" s="1"/>
  <c r="C133" i="68" s="1"/>
  <c r="C134" i="68" s="1"/>
  <c r="C135" i="68" s="1"/>
  <c r="C136" i="68" s="1"/>
  <c r="C137" i="68" s="1"/>
  <c r="C138" i="68" s="1"/>
  <c r="C139" i="68" s="1"/>
  <c r="C140" i="68" s="1"/>
  <c r="C141" i="68" s="1"/>
  <c r="C142" i="68" s="1"/>
  <c r="C143" i="68" s="1"/>
  <c r="C144" i="68" s="1"/>
  <c r="C145" i="68" s="1"/>
  <c r="C146" i="68" s="1"/>
  <c r="C147" i="68" s="1"/>
  <c r="C148" i="68" s="1"/>
  <c r="C149" i="68" s="1"/>
  <c r="C150" i="68" s="1"/>
  <c r="C151" i="68" s="1"/>
  <c r="C152" i="68" s="1"/>
  <c r="C153" i="68" s="1"/>
  <c r="C154" i="68" s="1"/>
  <c r="D94" i="68"/>
  <c r="D93" i="30"/>
  <c r="C99" i="30" s="1"/>
  <c r="C100" i="30" s="1"/>
  <c r="C101" i="30" s="1"/>
  <c r="C102" i="30" s="1"/>
  <c r="C103" i="30" s="1"/>
  <c r="C104" i="30" s="1"/>
  <c r="C105" i="30" s="1"/>
  <c r="C106" i="30" s="1"/>
  <c r="C107" i="30" s="1"/>
  <c r="C108" i="30" s="1"/>
  <c r="C109" i="30" s="1"/>
  <c r="C110" i="30" s="1"/>
  <c r="C111" i="30" s="1"/>
  <c r="C112" i="30" s="1"/>
  <c r="C113" i="30" s="1"/>
  <c r="C114" i="30" s="1"/>
  <c r="C115" i="30" s="1"/>
  <c r="C116" i="30" s="1"/>
  <c r="C117" i="30" s="1"/>
  <c r="C118" i="30" s="1"/>
  <c r="C119" i="30" s="1"/>
  <c r="C120" i="30" s="1"/>
  <c r="C121" i="30" s="1"/>
  <c r="C122" i="30" s="1"/>
  <c r="C123" i="30" s="1"/>
  <c r="C124" i="30" s="1"/>
  <c r="C125" i="30" s="1"/>
  <c r="C126" i="30" s="1"/>
  <c r="C127" i="30" s="1"/>
  <c r="C128" i="30" s="1"/>
  <c r="C129" i="30" s="1"/>
  <c r="C130" i="30" s="1"/>
  <c r="C131" i="30" s="1"/>
  <c r="C132" i="30" s="1"/>
  <c r="C133" i="30" s="1"/>
  <c r="C134" i="30" s="1"/>
  <c r="C135" i="30" s="1"/>
  <c r="C136" i="30" s="1"/>
  <c r="C137" i="30" s="1"/>
  <c r="C138" i="30" s="1"/>
  <c r="C139" i="30" s="1"/>
  <c r="C140" i="30" s="1"/>
  <c r="C141" i="30" s="1"/>
  <c r="C142" i="30" s="1"/>
  <c r="C143" i="30" s="1"/>
  <c r="C144" i="30" s="1"/>
  <c r="C145" i="30" s="1"/>
  <c r="C146" i="30" s="1"/>
  <c r="C147" i="30" s="1"/>
  <c r="C148" i="30" s="1"/>
  <c r="C149" i="30" s="1"/>
  <c r="C150" i="30" s="1"/>
  <c r="C151" i="30" s="1"/>
  <c r="C152" i="30" s="1"/>
  <c r="C153" i="30" s="1"/>
  <c r="C154" i="30" s="1"/>
  <c r="D92" i="30"/>
  <c r="D94" i="30"/>
  <c r="D93" i="55"/>
  <c r="C99" i="55" s="1"/>
  <c r="C100" i="55" s="1"/>
  <c r="C101" i="55" s="1"/>
  <c r="C102" i="55" s="1"/>
  <c r="C103" i="55" s="1"/>
  <c r="C104" i="55" s="1"/>
  <c r="C105" i="55" s="1"/>
  <c r="C106" i="55" s="1"/>
  <c r="C107" i="55" s="1"/>
  <c r="C108" i="55" s="1"/>
  <c r="C109" i="55" s="1"/>
  <c r="C110" i="55" s="1"/>
  <c r="C111" i="55" s="1"/>
  <c r="C112" i="55" s="1"/>
  <c r="C113" i="55" s="1"/>
  <c r="C114" i="55" s="1"/>
  <c r="C115" i="55" s="1"/>
  <c r="C116" i="55" s="1"/>
  <c r="C117" i="55" s="1"/>
  <c r="C118" i="55" s="1"/>
  <c r="C119" i="55" s="1"/>
  <c r="C120" i="55" s="1"/>
  <c r="C121" i="55" s="1"/>
  <c r="C122" i="55" s="1"/>
  <c r="C123" i="55" s="1"/>
  <c r="C124" i="55" s="1"/>
  <c r="C125" i="55" s="1"/>
  <c r="C126" i="55" s="1"/>
  <c r="C127" i="55" s="1"/>
  <c r="C128" i="55" s="1"/>
  <c r="C129" i="55" s="1"/>
  <c r="C130" i="55" s="1"/>
  <c r="C131" i="55" s="1"/>
  <c r="C132" i="55" s="1"/>
  <c r="C133" i="55" s="1"/>
  <c r="C134" i="55" s="1"/>
  <c r="C135" i="55" s="1"/>
  <c r="C136" i="55" s="1"/>
  <c r="C137" i="55" s="1"/>
  <c r="C138" i="55" s="1"/>
  <c r="C139" i="55" s="1"/>
  <c r="C140" i="55" s="1"/>
  <c r="C141" i="55" s="1"/>
  <c r="C142" i="55" s="1"/>
  <c r="C143" i="55" s="1"/>
  <c r="C144" i="55" s="1"/>
  <c r="C145" i="55" s="1"/>
  <c r="C146" i="55" s="1"/>
  <c r="C147" i="55" s="1"/>
  <c r="C148" i="55" s="1"/>
  <c r="C149" i="55" s="1"/>
  <c r="C150" i="55" s="1"/>
  <c r="C151" i="55" s="1"/>
  <c r="C152" i="55" s="1"/>
  <c r="C153" i="55" s="1"/>
  <c r="C154" i="55" s="1"/>
  <c r="D94" i="55"/>
  <c r="D94" i="24"/>
  <c r="D93" i="24"/>
  <c r="C99" i="24" s="1"/>
  <c r="C100" i="24" s="1"/>
  <c r="C101" i="24" s="1"/>
  <c r="C102" i="24" s="1"/>
  <c r="C103" i="24" s="1"/>
  <c r="C104" i="24" s="1"/>
  <c r="C105" i="24" s="1"/>
  <c r="C106" i="24" s="1"/>
  <c r="C107" i="24" s="1"/>
  <c r="C108" i="24" s="1"/>
  <c r="C109" i="24" s="1"/>
  <c r="C110" i="24" s="1"/>
  <c r="C111" i="24" s="1"/>
  <c r="C112" i="24" s="1"/>
  <c r="C113" i="24" s="1"/>
  <c r="C114" i="24" s="1"/>
  <c r="C115" i="24" s="1"/>
  <c r="C116" i="24" s="1"/>
  <c r="C117" i="24" s="1"/>
  <c r="C118" i="24" s="1"/>
  <c r="C119" i="24" s="1"/>
  <c r="C120" i="24" s="1"/>
  <c r="C121" i="24" s="1"/>
  <c r="C122" i="24" s="1"/>
  <c r="C123" i="24" s="1"/>
  <c r="C124" i="24" s="1"/>
  <c r="C125" i="24" s="1"/>
  <c r="C126" i="24" s="1"/>
  <c r="C127" i="24" s="1"/>
  <c r="C128" i="24" s="1"/>
  <c r="C129" i="24" s="1"/>
  <c r="C130" i="24" s="1"/>
  <c r="C131" i="24" s="1"/>
  <c r="C132" i="24" s="1"/>
  <c r="C133" i="24" s="1"/>
  <c r="C134" i="24" s="1"/>
  <c r="C135" i="24" s="1"/>
  <c r="C136" i="24" s="1"/>
  <c r="C137" i="24" s="1"/>
  <c r="C138" i="24" s="1"/>
  <c r="C139" i="24" s="1"/>
  <c r="C140" i="24" s="1"/>
  <c r="C141" i="24" s="1"/>
  <c r="C142" i="24" s="1"/>
  <c r="C143" i="24" s="1"/>
  <c r="C144" i="24" s="1"/>
  <c r="C145" i="24" s="1"/>
  <c r="C146" i="24" s="1"/>
  <c r="C147" i="24" s="1"/>
  <c r="C148" i="24" s="1"/>
  <c r="C149" i="24" s="1"/>
  <c r="C150" i="24" s="1"/>
  <c r="C151" i="24" s="1"/>
  <c r="C152" i="24" s="1"/>
  <c r="C153" i="24" s="1"/>
  <c r="C154" i="24" s="1"/>
  <c r="D92" i="26"/>
  <c r="J96" i="26" s="1"/>
  <c r="D94" i="26"/>
  <c r="D94" i="80"/>
  <c r="D93" i="80"/>
  <c r="C99" i="80" s="1"/>
  <c r="C100" i="80" s="1"/>
  <c r="C101" i="80" s="1"/>
  <c r="C102" i="80" s="1"/>
  <c r="C103" i="80" s="1"/>
  <c r="C104" i="80" s="1"/>
  <c r="C105" i="80" s="1"/>
  <c r="C106" i="80" s="1"/>
  <c r="C107" i="80" s="1"/>
  <c r="C108" i="80" s="1"/>
  <c r="C109" i="80" s="1"/>
  <c r="C110" i="80" s="1"/>
  <c r="C111" i="80" s="1"/>
  <c r="C112" i="80" s="1"/>
  <c r="C113" i="80" s="1"/>
  <c r="C114" i="80" s="1"/>
  <c r="C115" i="80" s="1"/>
  <c r="C116" i="80" s="1"/>
  <c r="C117" i="80" s="1"/>
  <c r="C118" i="80" s="1"/>
  <c r="C119" i="80" s="1"/>
  <c r="C120" i="80" s="1"/>
  <c r="C121" i="80" s="1"/>
  <c r="C122" i="80" s="1"/>
  <c r="C123" i="80" s="1"/>
  <c r="C124" i="80" s="1"/>
  <c r="C125" i="80" s="1"/>
  <c r="C126" i="80" s="1"/>
  <c r="C127" i="80" s="1"/>
  <c r="C128" i="80" s="1"/>
  <c r="C129" i="80" s="1"/>
  <c r="C130" i="80" s="1"/>
  <c r="C131" i="80" s="1"/>
  <c r="C132" i="80" s="1"/>
  <c r="C133" i="80" s="1"/>
  <c r="C134" i="80" s="1"/>
  <c r="C135" i="80" s="1"/>
  <c r="C136" i="80" s="1"/>
  <c r="C137" i="80" s="1"/>
  <c r="C138" i="80" s="1"/>
  <c r="C139" i="80" s="1"/>
  <c r="C140" i="80" s="1"/>
  <c r="C141" i="80" s="1"/>
  <c r="C142" i="80" s="1"/>
  <c r="C143" i="80" s="1"/>
  <c r="C144" i="80" s="1"/>
  <c r="C145" i="80" s="1"/>
  <c r="C146" i="80" s="1"/>
  <c r="C147" i="80" s="1"/>
  <c r="C148" i="80" s="1"/>
  <c r="C149" i="80" s="1"/>
  <c r="C150" i="80" s="1"/>
  <c r="C151" i="80" s="1"/>
  <c r="C152" i="80" s="1"/>
  <c r="C153" i="80" s="1"/>
  <c r="C154" i="80" s="1"/>
  <c r="D93" i="64"/>
  <c r="D94" i="64"/>
  <c r="D94" i="65"/>
  <c r="D92" i="65"/>
  <c r="B103" i="65" s="1"/>
  <c r="D93" i="53"/>
  <c r="C99" i="53" s="1"/>
  <c r="C100" i="53" s="1"/>
  <c r="C101" i="53" s="1"/>
  <c r="C102" i="53" s="1"/>
  <c r="C103" i="53" s="1"/>
  <c r="C104" i="53" s="1"/>
  <c r="C105" i="53" s="1"/>
  <c r="C106" i="53" s="1"/>
  <c r="C107" i="53" s="1"/>
  <c r="C108" i="53" s="1"/>
  <c r="C109" i="53" s="1"/>
  <c r="C110" i="53" s="1"/>
  <c r="C111" i="53" s="1"/>
  <c r="C112" i="53" s="1"/>
  <c r="C113" i="53" s="1"/>
  <c r="C114" i="53" s="1"/>
  <c r="C115" i="53" s="1"/>
  <c r="C116" i="53" s="1"/>
  <c r="C117" i="53" s="1"/>
  <c r="C118" i="53" s="1"/>
  <c r="C119" i="53" s="1"/>
  <c r="C120" i="53" s="1"/>
  <c r="C121" i="53" s="1"/>
  <c r="C122" i="53" s="1"/>
  <c r="C123" i="53" s="1"/>
  <c r="C124" i="53" s="1"/>
  <c r="C125" i="53" s="1"/>
  <c r="C126" i="53" s="1"/>
  <c r="C127" i="53" s="1"/>
  <c r="C128" i="53" s="1"/>
  <c r="C129" i="53" s="1"/>
  <c r="C130" i="53" s="1"/>
  <c r="C131" i="53" s="1"/>
  <c r="C132" i="53" s="1"/>
  <c r="C133" i="53" s="1"/>
  <c r="C134" i="53" s="1"/>
  <c r="C135" i="53" s="1"/>
  <c r="C136" i="53" s="1"/>
  <c r="C137" i="53" s="1"/>
  <c r="C138" i="53" s="1"/>
  <c r="C139" i="53" s="1"/>
  <c r="C140" i="53" s="1"/>
  <c r="C141" i="53" s="1"/>
  <c r="C142" i="53" s="1"/>
  <c r="C143" i="53" s="1"/>
  <c r="C144" i="53" s="1"/>
  <c r="C145" i="53" s="1"/>
  <c r="C146" i="53" s="1"/>
  <c r="C147" i="53" s="1"/>
  <c r="C148" i="53" s="1"/>
  <c r="C149" i="53" s="1"/>
  <c r="C150" i="53" s="1"/>
  <c r="C151" i="53" s="1"/>
  <c r="C152" i="53" s="1"/>
  <c r="C153" i="53" s="1"/>
  <c r="C154" i="53" s="1"/>
  <c r="D92" i="53"/>
  <c r="B105" i="53" s="1"/>
  <c r="D94" i="53"/>
  <c r="D93" i="91"/>
  <c r="D94" i="91"/>
  <c r="D94" i="29"/>
  <c r="D93" i="29"/>
  <c r="D94" i="34"/>
  <c r="D93" i="76"/>
  <c r="C99" i="76" s="1"/>
  <c r="C100" i="76" s="1"/>
  <c r="C101" i="76" s="1"/>
  <c r="C102" i="76" s="1"/>
  <c r="C103" i="76" s="1"/>
  <c r="C104" i="76" s="1"/>
  <c r="C105" i="76" s="1"/>
  <c r="C106" i="76" s="1"/>
  <c r="C107" i="76" s="1"/>
  <c r="C108" i="76" s="1"/>
  <c r="C109" i="76" s="1"/>
  <c r="C110" i="76" s="1"/>
  <c r="C111" i="76" s="1"/>
  <c r="C112" i="76" s="1"/>
  <c r="C113" i="76" s="1"/>
  <c r="C114" i="76" s="1"/>
  <c r="C115" i="76" s="1"/>
  <c r="C116" i="76" s="1"/>
  <c r="C117" i="76" s="1"/>
  <c r="C118" i="76" s="1"/>
  <c r="C119" i="76" s="1"/>
  <c r="C120" i="76" s="1"/>
  <c r="C121" i="76" s="1"/>
  <c r="C122" i="76" s="1"/>
  <c r="C123" i="76" s="1"/>
  <c r="C124" i="76" s="1"/>
  <c r="C125" i="76" s="1"/>
  <c r="C126" i="76" s="1"/>
  <c r="C127" i="76" s="1"/>
  <c r="C128" i="76" s="1"/>
  <c r="C129" i="76" s="1"/>
  <c r="C130" i="76" s="1"/>
  <c r="C131" i="76" s="1"/>
  <c r="C132" i="76" s="1"/>
  <c r="C133" i="76" s="1"/>
  <c r="C134" i="76" s="1"/>
  <c r="C135" i="76" s="1"/>
  <c r="C136" i="76" s="1"/>
  <c r="C137" i="76" s="1"/>
  <c r="C138" i="76" s="1"/>
  <c r="C139" i="76" s="1"/>
  <c r="C140" i="76" s="1"/>
  <c r="C141" i="76" s="1"/>
  <c r="C142" i="76" s="1"/>
  <c r="C143" i="76" s="1"/>
  <c r="C144" i="76" s="1"/>
  <c r="C145" i="76" s="1"/>
  <c r="C146" i="76" s="1"/>
  <c r="C147" i="76" s="1"/>
  <c r="C148" i="76" s="1"/>
  <c r="C149" i="76" s="1"/>
  <c r="C150" i="76" s="1"/>
  <c r="C151" i="76" s="1"/>
  <c r="C152" i="76" s="1"/>
  <c r="C153" i="76" s="1"/>
  <c r="C154" i="76" s="1"/>
  <c r="D94" i="76"/>
  <c r="D92" i="54"/>
  <c r="B105" i="54" s="1"/>
  <c r="D93" i="54"/>
  <c r="D94" i="54"/>
  <c r="D93" i="25"/>
  <c r="D92" i="25"/>
  <c r="J96" i="25" s="1"/>
  <c r="D94" i="25"/>
  <c r="J95" i="85"/>
  <c r="K94" i="85"/>
  <c r="N87" i="27"/>
  <c r="O87" i="27" s="1"/>
  <c r="L86" i="55"/>
  <c r="N87" i="55"/>
  <c r="O87" i="55" s="1"/>
  <c r="L86" i="83"/>
  <c r="L86" i="54"/>
  <c r="M87" i="83"/>
  <c r="O87" i="83" s="1"/>
  <c r="C100" i="95"/>
  <c r="C101" i="95" s="1"/>
  <c r="C102" i="95" s="1"/>
  <c r="C103" i="95" s="1"/>
  <c r="C104" i="95" s="1"/>
  <c r="C105" i="95" s="1"/>
  <c r="C106" i="95" s="1"/>
  <c r="C107" i="95" s="1"/>
  <c r="C108" i="95" s="1"/>
  <c r="C109" i="95" s="1"/>
  <c r="C110" i="95" s="1"/>
  <c r="C111" i="95" s="1"/>
  <c r="C112" i="95" s="1"/>
  <c r="C113" i="95" s="1"/>
  <c r="C114" i="95" s="1"/>
  <c r="C115" i="95" s="1"/>
  <c r="C116" i="95" s="1"/>
  <c r="C117" i="95" s="1"/>
  <c r="C118" i="95" s="1"/>
  <c r="C119" i="95" s="1"/>
  <c r="C120" i="95" s="1"/>
  <c r="C121" i="95" s="1"/>
  <c r="C122" i="95" s="1"/>
  <c r="C123" i="95" s="1"/>
  <c r="C124" i="95" s="1"/>
  <c r="C125" i="95" s="1"/>
  <c r="C126" i="95" s="1"/>
  <c r="C127" i="95" s="1"/>
  <c r="C128" i="95" s="1"/>
  <c r="C129" i="95" s="1"/>
  <c r="C130" i="95" s="1"/>
  <c r="C131" i="95" s="1"/>
  <c r="C132" i="95" s="1"/>
  <c r="C133" i="95" s="1"/>
  <c r="C134" i="95" s="1"/>
  <c r="C135" i="95" s="1"/>
  <c r="C136" i="95" s="1"/>
  <c r="C137" i="95" s="1"/>
  <c r="C138" i="95" s="1"/>
  <c r="C139" i="95" s="1"/>
  <c r="C140" i="95" s="1"/>
  <c r="C141" i="95" s="1"/>
  <c r="C142" i="95" s="1"/>
  <c r="C143" i="95" s="1"/>
  <c r="C144" i="95" s="1"/>
  <c r="C145" i="95" s="1"/>
  <c r="C146" i="95" s="1"/>
  <c r="C147" i="95" s="1"/>
  <c r="C148" i="95" s="1"/>
  <c r="C149" i="95" s="1"/>
  <c r="C150" i="95" s="1"/>
  <c r="C151" i="95" s="1"/>
  <c r="C152" i="95" s="1"/>
  <c r="C153" i="95" s="1"/>
  <c r="C154" i="95" s="1"/>
  <c r="I20" i="90"/>
  <c r="I18" i="94"/>
  <c r="I20" i="80"/>
  <c r="O87" i="42"/>
  <c r="I28" i="24"/>
  <c r="I19" i="88"/>
  <c r="C99" i="26"/>
  <c r="B21" i="80"/>
  <c r="I18" i="93"/>
  <c r="I28" i="34"/>
  <c r="B26" i="55"/>
  <c r="B26" i="58"/>
  <c r="I28" i="23"/>
  <c r="B23" i="65"/>
  <c r="I24" i="53"/>
  <c r="I23" i="66"/>
  <c r="I29" i="23"/>
  <c r="B22" i="75"/>
  <c r="I22" i="65"/>
  <c r="I18" i="96"/>
  <c r="I27" i="22"/>
  <c r="B19" i="33"/>
  <c r="E19" i="33"/>
  <c r="F19" i="33" s="1"/>
  <c r="B26" i="45"/>
  <c r="O87" i="81"/>
  <c r="I29" i="69"/>
  <c r="I25" i="45"/>
  <c r="B24" i="64"/>
  <c r="B29" i="34"/>
  <c r="B29" i="71"/>
  <c r="B26" i="74"/>
  <c r="I21" i="77"/>
  <c r="B30" i="69"/>
  <c r="I26" i="41"/>
  <c r="B31" i="28"/>
  <c r="I23" i="64"/>
  <c r="E105" i="35"/>
  <c r="F105" i="35" s="1"/>
  <c r="G105" i="35" s="1"/>
  <c r="G104" i="35"/>
  <c r="I104" i="35" s="1"/>
  <c r="D95" i="87"/>
  <c r="J96" i="87" s="1"/>
  <c r="D95" i="28"/>
  <c r="J96" i="28" s="1"/>
  <c r="L86" i="44"/>
  <c r="M87" i="44"/>
  <c r="O87" i="44" s="1"/>
  <c r="L86" i="96"/>
  <c r="N87" i="96"/>
  <c r="O87" i="96" s="1"/>
  <c r="M87" i="66"/>
  <c r="L86" i="88"/>
  <c r="L86" i="89"/>
  <c r="M87" i="89"/>
  <c r="O87" i="89" s="1"/>
  <c r="N87" i="62"/>
  <c r="M87" i="62"/>
  <c r="N87" i="22"/>
  <c r="M87" i="22"/>
  <c r="L86" i="22"/>
  <c r="N87" i="84"/>
  <c r="L86" i="84"/>
  <c r="M87" i="84"/>
  <c r="M87" i="79"/>
  <c r="L86" i="27"/>
  <c r="M87" i="67"/>
  <c r="N87" i="88"/>
  <c r="O87" i="88" s="1"/>
  <c r="M87" i="61"/>
  <c r="O87" i="61" s="1"/>
  <c r="L86" i="69"/>
  <c r="N87" i="66"/>
  <c r="N87" i="79"/>
  <c r="M87" i="33"/>
  <c r="L86" i="77"/>
  <c r="N87" i="77"/>
  <c r="M87" i="77"/>
  <c r="L86" i="68"/>
  <c r="M87" i="68"/>
  <c r="O87" i="68" s="1"/>
  <c r="N87" i="29"/>
  <c r="M87" i="29"/>
  <c r="L86" i="29"/>
  <c r="D95" i="67"/>
  <c r="J96" i="67" s="1"/>
  <c r="D95" i="3"/>
  <c r="J96" i="3" s="1"/>
  <c r="D95" i="44"/>
  <c r="J96" i="44" s="1"/>
  <c r="M87" i="39"/>
  <c r="N87" i="39"/>
  <c r="L86" i="75"/>
  <c r="N87" i="93"/>
  <c r="O87" i="93" s="1"/>
  <c r="L86" i="74"/>
  <c r="M87" i="74"/>
  <c r="N87" i="3"/>
  <c r="O87" i="3" s="1"/>
  <c r="L86" i="3"/>
  <c r="L86" i="94"/>
  <c r="N87" i="94"/>
  <c r="O87" i="94" s="1"/>
  <c r="N87" i="87"/>
  <c r="O87" i="87" s="1"/>
  <c r="L86" i="87"/>
  <c r="N87" i="43"/>
  <c r="O87" i="43" s="1"/>
  <c r="L86" i="43"/>
  <c r="N87" i="28"/>
  <c r="O87" i="28" s="1"/>
  <c r="L86" i="28"/>
  <c r="L86" i="34"/>
  <c r="L86" i="93"/>
  <c r="N87" i="60"/>
  <c r="O87" i="30"/>
  <c r="L86" i="46"/>
  <c r="N87" i="90"/>
  <c r="O87" i="90" s="1"/>
  <c r="L86" i="90"/>
  <c r="L86" i="70"/>
  <c r="M87" i="70"/>
  <c r="O87" i="70" s="1"/>
  <c r="L86" i="25"/>
  <c r="N87" i="25"/>
  <c r="O87" i="25" s="1"/>
  <c r="O87" i="13"/>
  <c r="N87" i="46"/>
  <c r="O87" i="46" s="1"/>
  <c r="M87" i="24"/>
  <c r="N87" i="24"/>
  <c r="L86" i="24"/>
  <c r="N87" i="95"/>
  <c r="O87" i="95" s="1"/>
  <c r="L86" i="95"/>
  <c r="O87" i="92"/>
  <c r="G22" i="35"/>
  <c r="B23" i="35"/>
  <c r="E23" i="35"/>
  <c r="F23" i="35" s="1"/>
  <c r="H22" i="35"/>
  <c r="I28" i="32"/>
  <c r="I25" i="74"/>
  <c r="I19" i="87"/>
  <c r="B20" i="87"/>
  <c r="I26" i="42"/>
  <c r="D95" i="17"/>
  <c r="J96" i="17" s="1"/>
  <c r="D95" i="74"/>
  <c r="J96" i="74" s="1"/>
  <c r="D95" i="96"/>
  <c r="J96" i="96" s="1"/>
  <c r="D95" i="53"/>
  <c r="D95" i="25"/>
  <c r="D95" i="83"/>
  <c r="J96" i="83" s="1"/>
  <c r="D95" i="29"/>
  <c r="J96" i="29" s="1"/>
  <c r="D95" i="22"/>
  <c r="J96" i="22" s="1"/>
  <c r="D95" i="60"/>
  <c r="J96" i="60" s="1"/>
  <c r="D95" i="45"/>
  <c r="D95" i="88"/>
  <c r="J96" i="88" s="1"/>
  <c r="D95" i="77"/>
  <c r="J96" i="77" s="1"/>
  <c r="D95" i="54"/>
  <c r="D95" i="30"/>
  <c r="D95" i="31"/>
  <c r="D95" i="19"/>
  <c r="J96" i="19" s="1"/>
  <c r="D95" i="81"/>
  <c r="J96" i="81" s="1"/>
  <c r="D95" i="33"/>
  <c r="D95" i="20"/>
  <c r="J96" i="20" s="1"/>
  <c r="D95" i="35"/>
  <c r="D95" i="27"/>
  <c r="J96" i="27" s="1"/>
  <c r="D95" i="70"/>
  <c r="J96" i="70" s="1"/>
  <c r="D95" i="65"/>
  <c r="D95" i="61"/>
  <c r="J96" i="61" s="1"/>
  <c r="D95" i="75"/>
  <c r="J96" i="75" s="1"/>
  <c r="D95" i="34"/>
  <c r="J96" i="34" s="1"/>
  <c r="D95" i="62"/>
  <c r="J96" i="62" s="1"/>
  <c r="D95" i="85"/>
  <c r="J96" i="85" s="1"/>
  <c r="D95" i="84"/>
  <c r="J96" i="84" s="1"/>
  <c r="D95" i="89"/>
  <c r="J96" i="89" s="1"/>
  <c r="D95" i="66"/>
  <c r="J96" i="66" s="1"/>
  <c r="D95" i="42"/>
  <c r="D95" i="46"/>
  <c r="J96" i="46" s="1"/>
  <c r="D95" i="86"/>
  <c r="J96" i="86" s="1"/>
  <c r="D95" i="39"/>
  <c r="J96" i="39" s="1"/>
  <c r="D95" i="64"/>
  <c r="J96" i="64" s="1"/>
  <c r="D95" i="24"/>
  <c r="J96" i="24" s="1"/>
  <c r="D95" i="23"/>
  <c r="J96" i="23" s="1"/>
  <c r="D95" i="80"/>
  <c r="J96" i="80" s="1"/>
  <c r="D95" i="21"/>
  <c r="J96" i="21" s="1"/>
  <c r="D95" i="43"/>
  <c r="D95" i="71"/>
  <c r="J96" i="71" s="1"/>
  <c r="D95" i="69"/>
  <c r="J96" i="69" s="1"/>
  <c r="D95" i="59"/>
  <c r="J96" i="59" s="1"/>
  <c r="D95" i="95"/>
  <c r="J96" i="95" s="1"/>
  <c r="D95" i="57"/>
  <c r="J96" i="57" s="1"/>
  <c r="D95" i="68"/>
  <c r="J96" i="68" s="1"/>
  <c r="D95" i="32"/>
  <c r="J96" i="32" s="1"/>
  <c r="D95" i="26"/>
  <c r="D95" i="94"/>
  <c r="J96" i="94" s="1"/>
  <c r="D95" i="90"/>
  <c r="J96" i="90" s="1"/>
  <c r="D95" i="58"/>
  <c r="J96" i="58" s="1"/>
  <c r="D95" i="79"/>
  <c r="J96" i="79" s="1"/>
  <c r="D95" i="41"/>
  <c r="D95" i="72"/>
  <c r="J96" i="72" s="1"/>
  <c r="D95" i="78"/>
  <c r="J96" i="78" s="1"/>
  <c r="D95" i="91"/>
  <c r="J96" i="91" s="1"/>
  <c r="D95" i="18"/>
  <c r="J96" i="18" s="1"/>
  <c r="D95" i="76"/>
  <c r="J96" i="76" s="1"/>
  <c r="D95" i="92"/>
  <c r="J96" i="92" s="1"/>
  <c r="D95" i="55"/>
  <c r="J96" i="55" s="1"/>
  <c r="D95" i="73"/>
  <c r="J96" i="73" s="1"/>
  <c r="D95" i="13"/>
  <c r="D95" i="63"/>
  <c r="J96" i="63" s="1"/>
  <c r="D95" i="93"/>
  <c r="J96" i="93" s="1"/>
  <c r="D95" i="56"/>
  <c r="J96" i="56" s="1"/>
  <c r="B106" i="56" s="1"/>
  <c r="J95" i="29"/>
  <c r="J95" i="22"/>
  <c r="J95" i="92"/>
  <c r="J95" i="58"/>
  <c r="J95" i="18"/>
  <c r="J95" i="30"/>
  <c r="J95" i="65"/>
  <c r="J95" i="39"/>
  <c r="J95" i="91"/>
  <c r="J95" i="59"/>
  <c r="I102" i="35"/>
  <c r="H102" i="35"/>
  <c r="H101" i="35"/>
  <c r="I101" i="35"/>
  <c r="E92" i="36"/>
  <c r="E19" i="13" l="1"/>
  <c r="F19" i="13" s="1"/>
  <c r="G19" i="13" s="1"/>
  <c r="E18" i="100"/>
  <c r="F18" i="100" s="1"/>
  <c r="E19" i="100" s="1"/>
  <c r="O17" i="26"/>
  <c r="H17" i="100"/>
  <c r="E99" i="100"/>
  <c r="C99" i="100"/>
  <c r="D99" i="100" s="1"/>
  <c r="C100" i="100"/>
  <c r="C101" i="100" s="1"/>
  <c r="C102" i="100" s="1"/>
  <c r="C103" i="100" s="1"/>
  <c r="C104" i="100" s="1"/>
  <c r="C105" i="100" s="1"/>
  <c r="C106" i="100" s="1"/>
  <c r="C107" i="100" s="1"/>
  <c r="C108" i="100" s="1"/>
  <c r="C109" i="100" s="1"/>
  <c r="C110" i="100" s="1"/>
  <c r="C111" i="100" s="1"/>
  <c r="C112" i="100" s="1"/>
  <c r="C113" i="100" s="1"/>
  <c r="C114" i="100" s="1"/>
  <c r="C115" i="100" s="1"/>
  <c r="C116" i="100" s="1"/>
  <c r="C117" i="100" s="1"/>
  <c r="C118" i="100" s="1"/>
  <c r="C119" i="100" s="1"/>
  <c r="C120" i="100" s="1"/>
  <c r="C121" i="100" s="1"/>
  <c r="C122" i="100" s="1"/>
  <c r="C123" i="100" s="1"/>
  <c r="C124" i="100" s="1"/>
  <c r="C125" i="100" s="1"/>
  <c r="C126" i="100" s="1"/>
  <c r="C127" i="100"/>
  <c r="C128" i="100" s="1"/>
  <c r="C129" i="100" s="1"/>
  <c r="C130" i="100" s="1"/>
  <c r="C131" i="100" s="1"/>
  <c r="C132" i="100" s="1"/>
  <c r="C133" i="100" s="1"/>
  <c r="C134" i="100" s="1"/>
  <c r="C135" i="100" s="1"/>
  <c r="C136" i="100" s="1"/>
  <c r="C137" i="100" s="1"/>
  <c r="C138" i="100" s="1"/>
  <c r="C139" i="100" s="1"/>
  <c r="C140" i="100" s="1"/>
  <c r="C141" i="100" s="1"/>
  <c r="C142" i="100" s="1"/>
  <c r="C143" i="100" s="1"/>
  <c r="C144" i="100" s="1"/>
  <c r="C145" i="100" s="1"/>
  <c r="C146" i="100" s="1"/>
  <c r="C147" i="100" s="1"/>
  <c r="C148" i="100" s="1"/>
  <c r="C149" i="100" s="1"/>
  <c r="C150" i="100" s="1"/>
  <c r="C151" i="100" s="1"/>
  <c r="C152" i="100" s="1"/>
  <c r="C153" i="100" s="1"/>
  <c r="C154" i="100" s="1"/>
  <c r="G34" i="69"/>
  <c r="H34" i="69"/>
  <c r="D19" i="26"/>
  <c r="E19" i="26" s="1"/>
  <c r="F19" i="26" s="1"/>
  <c r="H19" i="26" s="1"/>
  <c r="I17" i="26"/>
  <c r="E32" i="1"/>
  <c r="O87" i="31"/>
  <c r="E32" i="2"/>
  <c r="O87" i="74"/>
  <c r="J96" i="53"/>
  <c r="J96" i="43"/>
  <c r="D20" i="13"/>
  <c r="E20" i="13" s="1"/>
  <c r="G18" i="26"/>
  <c r="I18" i="26" s="1"/>
  <c r="J96" i="45"/>
  <c r="J96" i="65"/>
  <c r="J96" i="31"/>
  <c r="O87" i="60"/>
  <c r="C99" i="43"/>
  <c r="C100" i="43" s="1"/>
  <c r="C101" i="43" s="1"/>
  <c r="C102" i="43" s="1"/>
  <c r="C103" i="43" s="1"/>
  <c r="C104" i="43" s="1"/>
  <c r="C105" i="43" s="1"/>
  <c r="C106" i="43" s="1"/>
  <c r="C107" i="43" s="1"/>
  <c r="C108" i="43" s="1"/>
  <c r="C109" i="43" s="1"/>
  <c r="C110" i="43" s="1"/>
  <c r="C111" i="43" s="1"/>
  <c r="C112" i="43" s="1"/>
  <c r="C113" i="43" s="1"/>
  <c r="C114" i="43" s="1"/>
  <c r="C115" i="43" s="1"/>
  <c r="C116" i="43" s="1"/>
  <c r="C117" i="43" s="1"/>
  <c r="C118" i="43" s="1"/>
  <c r="C119" i="43" s="1"/>
  <c r="C120" i="43" s="1"/>
  <c r="C121" i="43" s="1"/>
  <c r="C122" i="43" s="1"/>
  <c r="C123" i="43" s="1"/>
  <c r="C124" i="43" s="1"/>
  <c r="C125" i="43" s="1"/>
  <c r="C126" i="43" s="1"/>
  <c r="C127" i="43" s="1"/>
  <c r="C128" i="43" s="1"/>
  <c r="C129" i="43" s="1"/>
  <c r="C130" i="43" s="1"/>
  <c r="C131" i="43" s="1"/>
  <c r="C132" i="43" s="1"/>
  <c r="C133" i="43" s="1"/>
  <c r="C134" i="43" s="1"/>
  <c r="C135" i="43" s="1"/>
  <c r="C136" i="43" s="1"/>
  <c r="C137" i="43" s="1"/>
  <c r="C138" i="43" s="1"/>
  <c r="C139" i="43" s="1"/>
  <c r="C140" i="43" s="1"/>
  <c r="C141" i="43" s="1"/>
  <c r="C142" i="43" s="1"/>
  <c r="C143" i="43" s="1"/>
  <c r="C144" i="43" s="1"/>
  <c r="C145" i="43" s="1"/>
  <c r="C146" i="43" s="1"/>
  <c r="C147" i="43" s="1"/>
  <c r="C148" i="43" s="1"/>
  <c r="C149" i="43" s="1"/>
  <c r="C150" i="43" s="1"/>
  <c r="C151" i="43" s="1"/>
  <c r="C152" i="43" s="1"/>
  <c r="C153" i="43" s="1"/>
  <c r="C154" i="43" s="1"/>
  <c r="I14" i="17"/>
  <c r="C22" i="17"/>
  <c r="C23" i="17" s="1"/>
  <c r="C24" i="17" s="1"/>
  <c r="C25" i="17" s="1"/>
  <c r="C26" i="17" s="1"/>
  <c r="C27" i="17" s="1"/>
  <c r="C28" i="17" s="1"/>
  <c r="C29" i="17" s="1"/>
  <c r="C30" i="17" s="1"/>
  <c r="C31" i="17" s="1"/>
  <c r="C32" i="17" s="1"/>
  <c r="C33" i="17" s="1"/>
  <c r="C34" i="17" s="1"/>
  <c r="C35" i="17" s="1"/>
  <c r="C36" i="17" s="1"/>
  <c r="C37" i="17" s="1"/>
  <c r="E19" i="25"/>
  <c r="F19" i="25" s="1"/>
  <c r="H19" i="25" s="1"/>
  <c r="H17" i="25"/>
  <c r="I17" i="25" s="1"/>
  <c r="H18" i="25"/>
  <c r="I18" i="25" s="1"/>
  <c r="H17" i="13"/>
  <c r="I17" i="13" s="1"/>
  <c r="H18" i="13"/>
  <c r="I18" i="13" s="1"/>
  <c r="J96" i="54"/>
  <c r="J96" i="42"/>
  <c r="H19" i="13"/>
  <c r="I19" i="13" s="1"/>
  <c r="H17" i="33"/>
  <c r="I17" i="33" s="1"/>
  <c r="H18" i="33"/>
  <c r="I18" i="33" s="1"/>
  <c r="O87" i="64"/>
  <c r="O87" i="59"/>
  <c r="B100" i="98"/>
  <c r="B100" i="99"/>
  <c r="J99" i="98"/>
  <c r="B110" i="30"/>
  <c r="B100" i="97"/>
  <c r="O87" i="33"/>
  <c r="I29" i="31"/>
  <c r="I20" i="86"/>
  <c r="I20" i="88"/>
  <c r="O87" i="67"/>
  <c r="I23" i="67"/>
  <c r="I28" i="18"/>
  <c r="O87" i="66"/>
  <c r="O87" i="65"/>
  <c r="B100" i="95"/>
  <c r="C99" i="54"/>
  <c r="C100" i="54" s="1"/>
  <c r="C101" i="54" s="1"/>
  <c r="C102" i="54" s="1"/>
  <c r="C103" i="54" s="1"/>
  <c r="C104" i="54" s="1"/>
  <c r="C105" i="54" s="1"/>
  <c r="C106" i="54" s="1"/>
  <c r="C107" i="54" s="1"/>
  <c r="C108" i="54" s="1"/>
  <c r="C109" i="54" s="1"/>
  <c r="C110" i="54" s="1"/>
  <c r="C111" i="54" s="1"/>
  <c r="C112" i="54" s="1"/>
  <c r="C113" i="54" s="1"/>
  <c r="C114" i="54" s="1"/>
  <c r="C115" i="54" s="1"/>
  <c r="C116" i="54" s="1"/>
  <c r="C117" i="54" s="1"/>
  <c r="C118" i="54" s="1"/>
  <c r="C119" i="54" s="1"/>
  <c r="C120" i="54" s="1"/>
  <c r="C121" i="54" s="1"/>
  <c r="C122" i="54" s="1"/>
  <c r="C123" i="54" s="1"/>
  <c r="C124" i="54" s="1"/>
  <c r="C125" i="54" s="1"/>
  <c r="C126" i="54" s="1"/>
  <c r="C127" i="54" s="1"/>
  <c r="C128" i="54" s="1"/>
  <c r="C129" i="54" s="1"/>
  <c r="C130" i="54" s="1"/>
  <c r="C131" i="54" s="1"/>
  <c r="C132" i="54" s="1"/>
  <c r="C133" i="54" s="1"/>
  <c r="C134" i="54" s="1"/>
  <c r="C135" i="54" s="1"/>
  <c r="C136" i="54" s="1"/>
  <c r="C137" i="54" s="1"/>
  <c r="C138" i="54" s="1"/>
  <c r="C139" i="54" s="1"/>
  <c r="C140" i="54" s="1"/>
  <c r="C141" i="54" s="1"/>
  <c r="C142" i="54" s="1"/>
  <c r="C143" i="54" s="1"/>
  <c r="C144" i="54" s="1"/>
  <c r="C145" i="54" s="1"/>
  <c r="C146" i="54" s="1"/>
  <c r="C147" i="54" s="1"/>
  <c r="C148" i="54" s="1"/>
  <c r="C149" i="54" s="1"/>
  <c r="C150" i="54" s="1"/>
  <c r="C151" i="54" s="1"/>
  <c r="C152" i="54" s="1"/>
  <c r="C153" i="54" s="1"/>
  <c r="C154" i="54" s="1"/>
  <c r="C99" i="29"/>
  <c r="E99" i="26"/>
  <c r="F99" i="26" s="1"/>
  <c r="D100" i="26" s="1"/>
  <c r="B100" i="26" s="1"/>
  <c r="J96" i="41"/>
  <c r="J96" i="30"/>
  <c r="C99" i="25"/>
  <c r="D99" i="25" s="1"/>
  <c r="C99" i="91"/>
  <c r="C100" i="91" s="1"/>
  <c r="C101" i="91" s="1"/>
  <c r="C102" i="91" s="1"/>
  <c r="C103" i="91" s="1"/>
  <c r="C104" i="91" s="1"/>
  <c r="C105" i="91" s="1"/>
  <c r="C106" i="91" s="1"/>
  <c r="C107" i="91" s="1"/>
  <c r="C108" i="91" s="1"/>
  <c r="C109" i="91" s="1"/>
  <c r="C110" i="91" s="1"/>
  <c r="C111" i="91" s="1"/>
  <c r="C112" i="91" s="1"/>
  <c r="C113" i="91" s="1"/>
  <c r="C114" i="91" s="1"/>
  <c r="C115" i="91" s="1"/>
  <c r="C116" i="91" s="1"/>
  <c r="C117" i="91" s="1"/>
  <c r="C118" i="91" s="1"/>
  <c r="C119" i="91" s="1"/>
  <c r="C120" i="91" s="1"/>
  <c r="C121" i="91" s="1"/>
  <c r="C122" i="91" s="1"/>
  <c r="C123" i="91" s="1"/>
  <c r="C124" i="91" s="1"/>
  <c r="C125" i="91" s="1"/>
  <c r="C126" i="91" s="1"/>
  <c r="C127" i="91" s="1"/>
  <c r="C128" i="91" s="1"/>
  <c r="C129" i="91" s="1"/>
  <c r="C130" i="91" s="1"/>
  <c r="C131" i="91" s="1"/>
  <c r="C132" i="91" s="1"/>
  <c r="C133" i="91" s="1"/>
  <c r="C134" i="91" s="1"/>
  <c r="C135" i="91" s="1"/>
  <c r="C136" i="91" s="1"/>
  <c r="C137" i="91" s="1"/>
  <c r="C138" i="91" s="1"/>
  <c r="C139" i="91" s="1"/>
  <c r="C140" i="91" s="1"/>
  <c r="C141" i="91" s="1"/>
  <c r="C142" i="91" s="1"/>
  <c r="C143" i="91" s="1"/>
  <c r="C144" i="91" s="1"/>
  <c r="C145" i="91" s="1"/>
  <c r="C146" i="91" s="1"/>
  <c r="C147" i="91" s="1"/>
  <c r="C148" i="91" s="1"/>
  <c r="C149" i="91" s="1"/>
  <c r="C150" i="91" s="1"/>
  <c r="C151" i="91" s="1"/>
  <c r="C152" i="91" s="1"/>
  <c r="C153" i="91" s="1"/>
  <c r="C154" i="91" s="1"/>
  <c r="C99" i="27"/>
  <c r="C100" i="27" s="1"/>
  <c r="C101" i="27" s="1"/>
  <c r="C102" i="27" s="1"/>
  <c r="C103" i="27" s="1"/>
  <c r="C104" i="27" s="1"/>
  <c r="C105" i="27" s="1"/>
  <c r="C106" i="27" s="1"/>
  <c r="C107" i="27" s="1"/>
  <c r="C108" i="27" s="1"/>
  <c r="C109" i="27" s="1"/>
  <c r="C110" i="27" s="1"/>
  <c r="C111" i="27" s="1"/>
  <c r="C112" i="27" s="1"/>
  <c r="C113" i="27" s="1"/>
  <c r="C114" i="27" s="1"/>
  <c r="C115" i="27" s="1"/>
  <c r="C116" i="27" s="1"/>
  <c r="C117" i="27" s="1"/>
  <c r="C118" i="27" s="1"/>
  <c r="C119" i="27" s="1"/>
  <c r="C120" i="27" s="1"/>
  <c r="C121" i="27" s="1"/>
  <c r="C122" i="27" s="1"/>
  <c r="C123" i="27" s="1"/>
  <c r="C124" i="27" s="1"/>
  <c r="C125" i="27" s="1"/>
  <c r="C126" i="27" s="1"/>
  <c r="C127" i="27" s="1"/>
  <c r="C128" i="27" s="1"/>
  <c r="C129" i="27" s="1"/>
  <c r="C130" i="27" s="1"/>
  <c r="C131" i="27" s="1"/>
  <c r="C132" i="27" s="1"/>
  <c r="C133" i="27" s="1"/>
  <c r="C134" i="27" s="1"/>
  <c r="C135" i="27" s="1"/>
  <c r="C136" i="27" s="1"/>
  <c r="C137" i="27" s="1"/>
  <c r="C138" i="27" s="1"/>
  <c r="C139" i="27" s="1"/>
  <c r="C140" i="27" s="1"/>
  <c r="C141" i="27" s="1"/>
  <c r="C142" i="27" s="1"/>
  <c r="C143" i="27" s="1"/>
  <c r="C144" i="27" s="1"/>
  <c r="C145" i="27" s="1"/>
  <c r="C146" i="27" s="1"/>
  <c r="C147" i="27" s="1"/>
  <c r="C148" i="27" s="1"/>
  <c r="C149" i="27" s="1"/>
  <c r="C150" i="27" s="1"/>
  <c r="C151" i="27" s="1"/>
  <c r="C152" i="27" s="1"/>
  <c r="C153" i="27" s="1"/>
  <c r="C154" i="27" s="1"/>
  <c r="E99" i="25"/>
  <c r="C99" i="45"/>
  <c r="C100" i="45" s="1"/>
  <c r="C101" i="45" s="1"/>
  <c r="C102" i="45" s="1"/>
  <c r="C103" i="45" s="1"/>
  <c r="C104" i="45" s="1"/>
  <c r="C105" i="45" s="1"/>
  <c r="C106" i="45" s="1"/>
  <c r="C107" i="45" s="1"/>
  <c r="C108" i="45" s="1"/>
  <c r="C109" i="45" s="1"/>
  <c r="C110" i="45" s="1"/>
  <c r="C111" i="45" s="1"/>
  <c r="C112" i="45" s="1"/>
  <c r="C113" i="45" s="1"/>
  <c r="C114" i="45" s="1"/>
  <c r="C115" i="45" s="1"/>
  <c r="C116" i="45" s="1"/>
  <c r="C117" i="45" s="1"/>
  <c r="C118" i="45" s="1"/>
  <c r="C119" i="45" s="1"/>
  <c r="C120" i="45" s="1"/>
  <c r="C121" i="45" s="1"/>
  <c r="C122" i="45" s="1"/>
  <c r="C123" i="45" s="1"/>
  <c r="C124" i="45" s="1"/>
  <c r="C125" i="45" s="1"/>
  <c r="C126" i="45" s="1"/>
  <c r="C127" i="45" s="1"/>
  <c r="C128" i="45" s="1"/>
  <c r="C129" i="45" s="1"/>
  <c r="C130" i="45" s="1"/>
  <c r="C131" i="45" s="1"/>
  <c r="C132" i="45" s="1"/>
  <c r="C133" i="45" s="1"/>
  <c r="C134" i="45" s="1"/>
  <c r="C135" i="45" s="1"/>
  <c r="C136" i="45" s="1"/>
  <c r="C137" i="45" s="1"/>
  <c r="C138" i="45" s="1"/>
  <c r="C139" i="45" s="1"/>
  <c r="C140" i="45" s="1"/>
  <c r="C141" i="45" s="1"/>
  <c r="C142" i="45" s="1"/>
  <c r="C143" i="45" s="1"/>
  <c r="C144" i="45" s="1"/>
  <c r="C145" i="45" s="1"/>
  <c r="C146" i="45" s="1"/>
  <c r="C147" i="45" s="1"/>
  <c r="C148" i="45" s="1"/>
  <c r="C149" i="45" s="1"/>
  <c r="C150" i="45" s="1"/>
  <c r="C151" i="45" s="1"/>
  <c r="C152" i="45" s="1"/>
  <c r="C153" i="45" s="1"/>
  <c r="C154" i="45" s="1"/>
  <c r="C99" i="81"/>
  <c r="C100" i="81" s="1"/>
  <c r="C101" i="81" s="1"/>
  <c r="C102" i="81" s="1"/>
  <c r="C103" i="81" s="1"/>
  <c r="C104" i="81" s="1"/>
  <c r="C105" i="81" s="1"/>
  <c r="C106" i="81" s="1"/>
  <c r="C107" i="81" s="1"/>
  <c r="C108" i="81" s="1"/>
  <c r="C109" i="81" s="1"/>
  <c r="C110" i="81" s="1"/>
  <c r="C111" i="81" s="1"/>
  <c r="C112" i="81" s="1"/>
  <c r="C113" i="81" s="1"/>
  <c r="C114" i="81" s="1"/>
  <c r="C115" i="81" s="1"/>
  <c r="C116" i="81" s="1"/>
  <c r="C117" i="81" s="1"/>
  <c r="C118" i="81" s="1"/>
  <c r="C119" i="81" s="1"/>
  <c r="C120" i="81" s="1"/>
  <c r="C121" i="81" s="1"/>
  <c r="C122" i="81" s="1"/>
  <c r="C123" i="81" s="1"/>
  <c r="C124" i="81" s="1"/>
  <c r="C125" i="81" s="1"/>
  <c r="C126" i="81" s="1"/>
  <c r="C127" i="81" s="1"/>
  <c r="C128" i="81" s="1"/>
  <c r="C129" i="81" s="1"/>
  <c r="C130" i="81" s="1"/>
  <c r="C131" i="81" s="1"/>
  <c r="C132" i="81" s="1"/>
  <c r="C133" i="81" s="1"/>
  <c r="C134" i="81" s="1"/>
  <c r="C135" i="81" s="1"/>
  <c r="C136" i="81" s="1"/>
  <c r="C137" i="81" s="1"/>
  <c r="C138" i="81" s="1"/>
  <c r="C139" i="81" s="1"/>
  <c r="C140" i="81" s="1"/>
  <c r="C141" i="81" s="1"/>
  <c r="C142" i="81" s="1"/>
  <c r="C143" i="81" s="1"/>
  <c r="C144" i="81" s="1"/>
  <c r="C145" i="81" s="1"/>
  <c r="C146" i="81" s="1"/>
  <c r="C147" i="81" s="1"/>
  <c r="C148" i="81" s="1"/>
  <c r="C149" i="81" s="1"/>
  <c r="C150" i="81" s="1"/>
  <c r="C151" i="81" s="1"/>
  <c r="C152" i="81" s="1"/>
  <c r="C153" i="81" s="1"/>
  <c r="C154" i="81" s="1"/>
  <c r="C99" i="3"/>
  <c r="C100" i="3" s="1"/>
  <c r="C101" i="3" s="1"/>
  <c r="C102" i="3" s="1"/>
  <c r="C103" i="3" s="1"/>
  <c r="C104" i="3" s="1"/>
  <c r="C105" i="3" s="1"/>
  <c r="C106" i="3" s="1"/>
  <c r="C107" i="3" s="1"/>
  <c r="C108" i="3" s="1"/>
  <c r="C109" i="3" s="1"/>
  <c r="C110" i="3" s="1"/>
  <c r="C111" i="3" s="1"/>
  <c r="C112" i="3" s="1"/>
  <c r="C113" i="3" s="1"/>
  <c r="C114" i="3" s="1"/>
  <c r="C115" i="3" s="1"/>
  <c r="C116" i="3" s="1"/>
  <c r="C117" i="3" s="1"/>
  <c r="C118" i="3" s="1"/>
  <c r="C119" i="3" s="1"/>
  <c r="C120" i="3" s="1"/>
  <c r="C121" i="3" s="1"/>
  <c r="C122" i="3" s="1"/>
  <c r="C123" i="3" s="1"/>
  <c r="C124" i="3" s="1"/>
  <c r="C125" i="3" s="1"/>
  <c r="C126" i="3" s="1"/>
  <c r="C127" i="3" s="1"/>
  <c r="C128" i="3" s="1"/>
  <c r="C129" i="3" s="1"/>
  <c r="C130" i="3" s="1"/>
  <c r="C131" i="3" s="1"/>
  <c r="C132" i="3" s="1"/>
  <c r="C133" i="3" s="1"/>
  <c r="C134" i="3" s="1"/>
  <c r="C135" i="3" s="1"/>
  <c r="C136" i="3" s="1"/>
  <c r="C137" i="3" s="1"/>
  <c r="C138" i="3" s="1"/>
  <c r="C139" i="3" s="1"/>
  <c r="C140" i="3" s="1"/>
  <c r="C141" i="3" s="1"/>
  <c r="C142" i="3" s="1"/>
  <c r="C143" i="3" s="1"/>
  <c r="C144" i="3" s="1"/>
  <c r="C145" i="3" s="1"/>
  <c r="C146" i="3" s="1"/>
  <c r="C147" i="3" s="1"/>
  <c r="C148" i="3" s="1"/>
  <c r="C149" i="3" s="1"/>
  <c r="C150" i="3" s="1"/>
  <c r="C151" i="3" s="1"/>
  <c r="C152" i="3" s="1"/>
  <c r="C153" i="3" s="1"/>
  <c r="C154" i="3" s="1"/>
  <c r="F99" i="33"/>
  <c r="C99" i="64"/>
  <c r="C100" i="64" s="1"/>
  <c r="C101" i="64" s="1"/>
  <c r="C102" i="64" s="1"/>
  <c r="C103" i="64" s="1"/>
  <c r="C104" i="64" s="1"/>
  <c r="C105" i="64" s="1"/>
  <c r="C106" i="64" s="1"/>
  <c r="C107" i="64" s="1"/>
  <c r="C108" i="64" s="1"/>
  <c r="C109" i="64" s="1"/>
  <c r="C110" i="64" s="1"/>
  <c r="C111" i="64" s="1"/>
  <c r="C112" i="64" s="1"/>
  <c r="C113" i="64" s="1"/>
  <c r="C114" i="64" s="1"/>
  <c r="C115" i="64" s="1"/>
  <c r="C116" i="64" s="1"/>
  <c r="C117" i="64" s="1"/>
  <c r="C118" i="64" s="1"/>
  <c r="C119" i="64" s="1"/>
  <c r="C120" i="64" s="1"/>
  <c r="C121" i="64" s="1"/>
  <c r="C122" i="64" s="1"/>
  <c r="C123" i="64" s="1"/>
  <c r="C124" i="64" s="1"/>
  <c r="C125" i="64" s="1"/>
  <c r="C126" i="64" s="1"/>
  <c r="C127" i="64" s="1"/>
  <c r="C128" i="64" s="1"/>
  <c r="C129" i="64" s="1"/>
  <c r="C130" i="64" s="1"/>
  <c r="C131" i="64" s="1"/>
  <c r="C132" i="64" s="1"/>
  <c r="C133" i="64" s="1"/>
  <c r="C134" i="64" s="1"/>
  <c r="C135" i="64" s="1"/>
  <c r="C136" i="64" s="1"/>
  <c r="C137" i="64" s="1"/>
  <c r="C138" i="64" s="1"/>
  <c r="C139" i="64" s="1"/>
  <c r="C140" i="64" s="1"/>
  <c r="C141" i="64" s="1"/>
  <c r="C142" i="64" s="1"/>
  <c r="C143" i="64" s="1"/>
  <c r="C144" i="64" s="1"/>
  <c r="C145" i="64" s="1"/>
  <c r="C146" i="64" s="1"/>
  <c r="C147" i="64" s="1"/>
  <c r="C148" i="64" s="1"/>
  <c r="C149" i="64" s="1"/>
  <c r="C150" i="64" s="1"/>
  <c r="C151" i="64" s="1"/>
  <c r="C152" i="64" s="1"/>
  <c r="C153" i="64" s="1"/>
  <c r="C154" i="64" s="1"/>
  <c r="C99" i="21"/>
  <c r="C100" i="21" s="1"/>
  <c r="C101" i="21" s="1"/>
  <c r="C102" i="21" s="1"/>
  <c r="C103" i="21" s="1"/>
  <c r="C104" i="21" s="1"/>
  <c r="C105" i="21" s="1"/>
  <c r="C106" i="21" s="1"/>
  <c r="C107" i="21" s="1"/>
  <c r="C108" i="21" s="1"/>
  <c r="C109" i="21" s="1"/>
  <c r="C110" i="21" s="1"/>
  <c r="C111" i="21" s="1"/>
  <c r="C112" i="21" s="1"/>
  <c r="C113" i="21" s="1"/>
  <c r="C114" i="21" s="1"/>
  <c r="C115" i="21" s="1"/>
  <c r="C116" i="21" s="1"/>
  <c r="C117" i="21" s="1"/>
  <c r="C118" i="21" s="1"/>
  <c r="C119" i="21" s="1"/>
  <c r="C120" i="21" s="1"/>
  <c r="C121" i="21" s="1"/>
  <c r="C122" i="21" s="1"/>
  <c r="C123" i="21" s="1"/>
  <c r="C124" i="21" s="1"/>
  <c r="C125" i="21" s="1"/>
  <c r="C126" i="21" s="1"/>
  <c r="C127" i="21" s="1"/>
  <c r="C128" i="21" s="1"/>
  <c r="C129" i="21" s="1"/>
  <c r="C130" i="21" s="1"/>
  <c r="C131" i="21" s="1"/>
  <c r="C132" i="21" s="1"/>
  <c r="C133" i="21" s="1"/>
  <c r="C134" i="21" s="1"/>
  <c r="C135" i="21" s="1"/>
  <c r="C136" i="21" s="1"/>
  <c r="C137" i="21" s="1"/>
  <c r="C138" i="21" s="1"/>
  <c r="C139" i="21" s="1"/>
  <c r="C140" i="21" s="1"/>
  <c r="C141" i="21" s="1"/>
  <c r="C142" i="21" s="1"/>
  <c r="C143" i="21" s="1"/>
  <c r="C144" i="21" s="1"/>
  <c r="C145" i="21" s="1"/>
  <c r="C146" i="21" s="1"/>
  <c r="C147" i="21" s="1"/>
  <c r="C148" i="21" s="1"/>
  <c r="C149" i="21" s="1"/>
  <c r="C150" i="21" s="1"/>
  <c r="C151" i="21" s="1"/>
  <c r="C152" i="21" s="1"/>
  <c r="C153" i="21" s="1"/>
  <c r="C154" i="21" s="1"/>
  <c r="C99" i="19"/>
  <c r="C100" i="19" s="1"/>
  <c r="C101" i="19" s="1"/>
  <c r="C102" i="19" s="1"/>
  <c r="C103" i="19" s="1"/>
  <c r="C104" i="19" s="1"/>
  <c r="C105" i="19" s="1"/>
  <c r="C106" i="19" s="1"/>
  <c r="C107" i="19" s="1"/>
  <c r="C108" i="19" s="1"/>
  <c r="C109" i="19" s="1"/>
  <c r="C110" i="19" s="1"/>
  <c r="C111" i="19" s="1"/>
  <c r="C112" i="19" s="1"/>
  <c r="C113" i="19" s="1"/>
  <c r="C114" i="19" s="1"/>
  <c r="C115" i="19" s="1"/>
  <c r="C116" i="19" s="1"/>
  <c r="C117" i="19" s="1"/>
  <c r="C118" i="19" s="1"/>
  <c r="C119" i="19" s="1"/>
  <c r="C120" i="19" s="1"/>
  <c r="C121" i="19" s="1"/>
  <c r="C122" i="19" s="1"/>
  <c r="C123" i="19" s="1"/>
  <c r="C124" i="19" s="1"/>
  <c r="C125" i="19" s="1"/>
  <c r="C126" i="19" s="1"/>
  <c r="C127" i="19" s="1"/>
  <c r="C128" i="19" s="1"/>
  <c r="C129" i="19" s="1"/>
  <c r="C130" i="19" s="1"/>
  <c r="C131" i="19" s="1"/>
  <c r="C132" i="19" s="1"/>
  <c r="C133" i="19" s="1"/>
  <c r="C134" i="19" s="1"/>
  <c r="C135" i="19" s="1"/>
  <c r="C136" i="19" s="1"/>
  <c r="C137" i="19" s="1"/>
  <c r="C138" i="19" s="1"/>
  <c r="C139" i="19" s="1"/>
  <c r="C140" i="19" s="1"/>
  <c r="C141" i="19" s="1"/>
  <c r="C142" i="19" s="1"/>
  <c r="C143" i="19" s="1"/>
  <c r="C144" i="19" s="1"/>
  <c r="C145" i="19" s="1"/>
  <c r="C146" i="19" s="1"/>
  <c r="C147" i="19" s="1"/>
  <c r="C148" i="19" s="1"/>
  <c r="C149" i="19" s="1"/>
  <c r="C150" i="19" s="1"/>
  <c r="C151" i="19" s="1"/>
  <c r="C152" i="19" s="1"/>
  <c r="C153" i="19" s="1"/>
  <c r="C154" i="19" s="1"/>
  <c r="E106" i="35"/>
  <c r="F106" i="35" s="1"/>
  <c r="G106" i="35" s="1"/>
  <c r="B106" i="35"/>
  <c r="H104" i="35"/>
  <c r="J104" i="35" s="1"/>
  <c r="B100" i="96"/>
  <c r="I21" i="78"/>
  <c r="I28" i="71"/>
  <c r="B24" i="67"/>
  <c r="B25" i="46"/>
  <c r="I24" i="46"/>
  <c r="B29" i="24"/>
  <c r="I27" i="19"/>
  <c r="O87" i="39"/>
  <c r="I21" i="76"/>
  <c r="I21" i="80"/>
  <c r="D99" i="26"/>
  <c r="C100" i="26"/>
  <c r="C101" i="26" s="1"/>
  <c r="C102" i="26" s="1"/>
  <c r="C103" i="26" s="1"/>
  <c r="C104" i="26" s="1"/>
  <c r="C105" i="26" s="1"/>
  <c r="C106" i="26" s="1"/>
  <c r="C107" i="26" s="1"/>
  <c r="C108" i="26" s="1"/>
  <c r="C109" i="26" s="1"/>
  <c r="C110" i="26" s="1"/>
  <c r="C111" i="26" s="1"/>
  <c r="C112" i="26" s="1"/>
  <c r="C113" i="26" s="1"/>
  <c r="C114" i="26" s="1"/>
  <c r="C115" i="26" s="1"/>
  <c r="C116" i="26" s="1"/>
  <c r="C117" i="26" s="1"/>
  <c r="C118" i="26" s="1"/>
  <c r="C119" i="26" s="1"/>
  <c r="C120" i="26" s="1"/>
  <c r="C121" i="26" s="1"/>
  <c r="C122" i="26" s="1"/>
  <c r="C123" i="26" s="1"/>
  <c r="C124" i="26" s="1"/>
  <c r="C125" i="26" s="1"/>
  <c r="C126" i="26" s="1"/>
  <c r="C127" i="26" s="1"/>
  <c r="C128" i="26" s="1"/>
  <c r="C129" i="26" s="1"/>
  <c r="C130" i="26" s="1"/>
  <c r="C131" i="26" s="1"/>
  <c r="C132" i="26" s="1"/>
  <c r="C133" i="26" s="1"/>
  <c r="C134" i="26" s="1"/>
  <c r="C135" i="26" s="1"/>
  <c r="C136" i="26" s="1"/>
  <c r="C137" i="26" s="1"/>
  <c r="C138" i="26" s="1"/>
  <c r="C139" i="26" s="1"/>
  <c r="C140" i="26" s="1"/>
  <c r="C141" i="26" s="1"/>
  <c r="C142" i="26" s="1"/>
  <c r="C143" i="26" s="1"/>
  <c r="C144" i="26" s="1"/>
  <c r="C145" i="26" s="1"/>
  <c r="C146" i="26" s="1"/>
  <c r="C147" i="26" s="1"/>
  <c r="C148" i="26" s="1"/>
  <c r="C149" i="26" s="1"/>
  <c r="C150" i="26" s="1"/>
  <c r="C151" i="26" s="1"/>
  <c r="C152" i="26" s="1"/>
  <c r="C153" i="26" s="1"/>
  <c r="C154" i="26" s="1"/>
  <c r="B19" i="93"/>
  <c r="D99" i="33"/>
  <c r="B21" i="91"/>
  <c r="B24" i="66"/>
  <c r="I23" i="61"/>
  <c r="I20" i="85"/>
  <c r="B21" i="84"/>
  <c r="B25" i="53"/>
  <c r="I27" i="17"/>
  <c r="I27" i="21"/>
  <c r="I20" i="81"/>
  <c r="I18" i="95"/>
  <c r="I20" i="91"/>
  <c r="I22" i="75"/>
  <c r="B27" i="42"/>
  <c r="B30" i="23"/>
  <c r="I20" i="84"/>
  <c r="I22" i="68"/>
  <c r="I27" i="41"/>
  <c r="I24" i="72"/>
  <c r="I23" i="65"/>
  <c r="I24" i="57"/>
  <c r="B28" i="22"/>
  <c r="B21" i="81"/>
  <c r="B19" i="95"/>
  <c r="B30" i="27"/>
  <c r="I26" i="44"/>
  <c r="I26" i="39"/>
  <c r="B22" i="76"/>
  <c r="B19" i="96"/>
  <c r="I29" i="27"/>
  <c r="B27" i="44"/>
  <c r="B25" i="72"/>
  <c r="I24" i="54"/>
  <c r="B27" i="39"/>
  <c r="B24" i="61"/>
  <c r="B21" i="85"/>
  <c r="I26" i="73"/>
  <c r="I29" i="29"/>
  <c r="O87" i="79"/>
  <c r="D20" i="33"/>
  <c r="H19" i="33"/>
  <c r="G19" i="33"/>
  <c r="B27" i="73"/>
  <c r="B22" i="79"/>
  <c r="I23" i="63"/>
  <c r="I29" i="71"/>
  <c r="B28" i="17"/>
  <c r="B20" i="89"/>
  <c r="B30" i="70"/>
  <c r="B25" i="54"/>
  <c r="B24" i="63"/>
  <c r="I26" i="43"/>
  <c r="B28" i="21"/>
  <c r="I26" i="74"/>
  <c r="B30" i="29"/>
  <c r="B20" i="92"/>
  <c r="I29" i="70"/>
  <c r="B22" i="78"/>
  <c r="B19" i="26"/>
  <c r="B29" i="32"/>
  <c r="B28" i="3"/>
  <c r="B23" i="68"/>
  <c r="O87" i="22"/>
  <c r="I31" i="28"/>
  <c r="B22" i="77"/>
  <c r="B28" i="19"/>
  <c r="I19" i="92"/>
  <c r="I19" i="89"/>
  <c r="I26" i="45"/>
  <c r="I21" i="79"/>
  <c r="B27" i="43"/>
  <c r="B25" i="57"/>
  <c r="B28" i="41"/>
  <c r="O87" i="62"/>
  <c r="O87" i="29"/>
  <c r="O87" i="77"/>
  <c r="O87" i="84"/>
  <c r="O87" i="24"/>
  <c r="F53" i="1"/>
  <c r="E30" i="1"/>
  <c r="B24" i="59"/>
  <c r="B29" i="18"/>
  <c r="B106" i="57"/>
  <c r="I23" i="59"/>
  <c r="I22" i="35"/>
  <c r="B110" i="71"/>
  <c r="B109" i="18"/>
  <c r="E24" i="35"/>
  <c r="F24" i="35" s="1"/>
  <c r="H23" i="35"/>
  <c r="G23" i="35"/>
  <c r="B24" i="35"/>
  <c r="J102" i="35"/>
  <c r="J101" i="35"/>
  <c r="F53" i="2"/>
  <c r="E30" i="2"/>
  <c r="H105" i="35"/>
  <c r="I105" i="35"/>
  <c r="G99" i="13"/>
  <c r="D100" i="13"/>
  <c r="E100" i="13" s="1"/>
  <c r="H18" i="100" l="1"/>
  <c r="D19" i="100"/>
  <c r="G18" i="100"/>
  <c r="E33" i="1"/>
  <c r="E37" i="1" s="1"/>
  <c r="F54" i="1" s="1"/>
  <c r="F55" i="1" s="1"/>
  <c r="I17" i="100"/>
  <c r="N6" i="100"/>
  <c r="N7" i="100" s="1"/>
  <c r="F99" i="100"/>
  <c r="E33" i="2"/>
  <c r="B20" i="13"/>
  <c r="B22" i="90"/>
  <c r="B22" i="88"/>
  <c r="C100" i="25"/>
  <c r="C101" i="25" s="1"/>
  <c r="C102" i="25" s="1"/>
  <c r="C103" i="25" s="1"/>
  <c r="C104" i="25" s="1"/>
  <c r="C105" i="25" s="1"/>
  <c r="C106" i="25" s="1"/>
  <c r="C107" i="25" s="1"/>
  <c r="C108" i="25" s="1"/>
  <c r="C109" i="25" s="1"/>
  <c r="C110" i="25" s="1"/>
  <c r="C111" i="25" s="1"/>
  <c r="C112" i="25" s="1"/>
  <c r="C113" i="25" s="1"/>
  <c r="C114" i="25" s="1"/>
  <c r="C115" i="25" s="1"/>
  <c r="C116" i="25" s="1"/>
  <c r="C117" i="25" s="1"/>
  <c r="C118" i="25" s="1"/>
  <c r="C119" i="25" s="1"/>
  <c r="C120" i="25" s="1"/>
  <c r="C121" i="25" s="1"/>
  <c r="C122" i="25" s="1"/>
  <c r="C123" i="25" s="1"/>
  <c r="C124" i="25" s="1"/>
  <c r="C125" i="25" s="1"/>
  <c r="C126" i="25" s="1"/>
  <c r="C127" i="25" s="1"/>
  <c r="C128" i="25" s="1"/>
  <c r="C129" i="25" s="1"/>
  <c r="C130" i="25" s="1"/>
  <c r="C131" i="25" s="1"/>
  <c r="C132" i="25" s="1"/>
  <c r="C133" i="25" s="1"/>
  <c r="C134" i="25" s="1"/>
  <c r="C135" i="25" s="1"/>
  <c r="C136" i="25" s="1"/>
  <c r="C137" i="25" s="1"/>
  <c r="C138" i="25" s="1"/>
  <c r="C139" i="25" s="1"/>
  <c r="C140" i="25" s="1"/>
  <c r="C141" i="25" s="1"/>
  <c r="C142" i="25" s="1"/>
  <c r="C143" i="25" s="1"/>
  <c r="C144" i="25" s="1"/>
  <c r="C145" i="25" s="1"/>
  <c r="C146" i="25" s="1"/>
  <c r="C147" i="25" s="1"/>
  <c r="C148" i="25" s="1"/>
  <c r="C149" i="25" s="1"/>
  <c r="C150" i="25" s="1"/>
  <c r="C151" i="25" s="1"/>
  <c r="C152" i="25" s="1"/>
  <c r="C153" i="25" s="1"/>
  <c r="C154" i="25" s="1"/>
  <c r="D20" i="25"/>
  <c r="G19" i="25"/>
  <c r="I19" i="25" s="1"/>
  <c r="I19" i="97"/>
  <c r="I30" i="31"/>
  <c r="I27" i="73"/>
  <c r="G99" i="33"/>
  <c r="H99" i="33" s="1"/>
  <c r="J99" i="97"/>
  <c r="F99" i="25"/>
  <c r="D100" i="25" s="1"/>
  <c r="B100" i="25" s="1"/>
  <c r="C100" i="29"/>
  <c r="C101" i="29" s="1"/>
  <c r="C102" i="29" s="1"/>
  <c r="C103" i="29" s="1"/>
  <c r="C104" i="29" s="1"/>
  <c r="C105" i="29" s="1"/>
  <c r="C106" i="29" s="1"/>
  <c r="C107" i="29" s="1"/>
  <c r="C108" i="29" s="1"/>
  <c r="C109" i="29" s="1"/>
  <c r="C110" i="29" s="1"/>
  <c r="C111" i="29" s="1"/>
  <c r="C112" i="29" s="1"/>
  <c r="C113" i="29" s="1"/>
  <c r="C114" i="29" s="1"/>
  <c r="C115" i="29" s="1"/>
  <c r="C116" i="29" s="1"/>
  <c r="C117" i="29" s="1"/>
  <c r="C118" i="29" s="1"/>
  <c r="C119" i="29" s="1"/>
  <c r="C120" i="29" s="1"/>
  <c r="C121" i="29" s="1"/>
  <c r="C122" i="29" s="1"/>
  <c r="C123" i="29" s="1"/>
  <c r="C124" i="29" s="1"/>
  <c r="C125" i="29" s="1"/>
  <c r="C126" i="29" s="1"/>
  <c r="C127" i="29" s="1"/>
  <c r="C128" i="29" s="1"/>
  <c r="C129" i="29" s="1"/>
  <c r="C130" i="29" s="1"/>
  <c r="C131" i="29" s="1"/>
  <c r="C132" i="29" s="1"/>
  <c r="C133" i="29" s="1"/>
  <c r="C134" i="29" s="1"/>
  <c r="C135" i="29" s="1"/>
  <c r="C136" i="29" s="1"/>
  <c r="C137" i="29" s="1"/>
  <c r="C138" i="29" s="1"/>
  <c r="C139" i="29" s="1"/>
  <c r="C140" i="29" s="1"/>
  <c r="C141" i="29" s="1"/>
  <c r="C142" i="29" s="1"/>
  <c r="C143" i="29" s="1"/>
  <c r="C144" i="29" s="1"/>
  <c r="C145" i="29" s="1"/>
  <c r="C146" i="29" s="1"/>
  <c r="C147" i="29" s="1"/>
  <c r="C148" i="29" s="1"/>
  <c r="C149" i="29" s="1"/>
  <c r="C150" i="29" s="1"/>
  <c r="C151" i="29" s="1"/>
  <c r="C152" i="29" s="1"/>
  <c r="C153" i="29" s="1"/>
  <c r="C154" i="29" s="1"/>
  <c r="B107" i="35"/>
  <c r="I21" i="86"/>
  <c r="D100" i="33"/>
  <c r="E100" i="33" s="1"/>
  <c r="E107" i="35"/>
  <c r="F107" i="35" s="1"/>
  <c r="G107" i="35" s="1"/>
  <c r="G99" i="26"/>
  <c r="I99" i="26" s="1"/>
  <c r="E100" i="26"/>
  <c r="F100" i="26" s="1"/>
  <c r="D101" i="26" s="1"/>
  <c r="B101" i="26" s="1"/>
  <c r="J99" i="96"/>
  <c r="I19" i="94"/>
  <c r="I25" i="46"/>
  <c r="I29" i="24"/>
  <c r="I26" i="55"/>
  <c r="I23" i="35"/>
  <c r="I22" i="76"/>
  <c r="B22" i="80"/>
  <c r="I25" i="53"/>
  <c r="I22" i="82"/>
  <c r="I21" i="84"/>
  <c r="B20" i="94"/>
  <c r="I19" i="93"/>
  <c r="B22" i="86"/>
  <c r="B23" i="82"/>
  <c r="B27" i="55"/>
  <c r="B100" i="93"/>
  <c r="I27" i="43"/>
  <c r="I30" i="69"/>
  <c r="I26" i="58"/>
  <c r="B24" i="65"/>
  <c r="I30" i="29"/>
  <c r="I27" i="42"/>
  <c r="I29" i="34"/>
  <c r="I22" i="77"/>
  <c r="B23" i="75"/>
  <c r="B27" i="58"/>
  <c r="I24" i="56"/>
  <c r="I24" i="61"/>
  <c r="I19" i="95"/>
  <c r="I27" i="39"/>
  <c r="I27" i="44"/>
  <c r="I28" i="22"/>
  <c r="I25" i="72"/>
  <c r="I19" i="96"/>
  <c r="I23" i="60"/>
  <c r="B30" i="71"/>
  <c r="B21" i="83"/>
  <c r="I24" i="64"/>
  <c r="I28" i="19"/>
  <c r="B32" i="28"/>
  <c r="B30" i="30"/>
  <c r="B31" i="31"/>
  <c r="I20" i="89"/>
  <c r="B31" i="69"/>
  <c r="I23" i="68"/>
  <c r="D20" i="26"/>
  <c r="E20" i="26" s="1"/>
  <c r="B27" i="74"/>
  <c r="B27" i="45"/>
  <c r="I20" i="83"/>
  <c r="B25" i="64"/>
  <c r="I29" i="32"/>
  <c r="E20" i="33"/>
  <c r="F20" i="33" s="1"/>
  <c r="H20" i="33" s="1"/>
  <c r="B20" i="33"/>
  <c r="B24" i="60"/>
  <c r="I25" i="57"/>
  <c r="B30" i="34"/>
  <c r="I29" i="30"/>
  <c r="G19" i="26"/>
  <c r="I19" i="26" s="1"/>
  <c r="I22" i="78"/>
  <c r="I20" i="92"/>
  <c r="I25" i="54"/>
  <c r="I30" i="70"/>
  <c r="B25" i="56"/>
  <c r="I28" i="17"/>
  <c r="I22" i="79"/>
  <c r="I19" i="33"/>
  <c r="B100" i="94"/>
  <c r="J105" i="57"/>
  <c r="J105" i="56"/>
  <c r="B105" i="59"/>
  <c r="E37" i="2"/>
  <c r="F54" i="2" s="1"/>
  <c r="F55" i="2" s="1"/>
  <c r="B107" i="56"/>
  <c r="I23" i="62"/>
  <c r="B25" i="35"/>
  <c r="G24" i="35"/>
  <c r="H24" i="35"/>
  <c r="E25" i="35"/>
  <c r="F25" i="35" s="1"/>
  <c r="I20" i="87"/>
  <c r="B21" i="87"/>
  <c r="B24" i="62"/>
  <c r="B110" i="23"/>
  <c r="I27" i="20"/>
  <c r="F20" i="13"/>
  <c r="B28" i="20"/>
  <c r="B109" i="22"/>
  <c r="B102" i="81"/>
  <c r="B101" i="89"/>
  <c r="B108" i="41"/>
  <c r="B106" i="58"/>
  <c r="B107" i="45"/>
  <c r="B108" i="73"/>
  <c r="B101" i="92"/>
  <c r="B101" i="91"/>
  <c r="B104" i="65"/>
  <c r="B111" i="30"/>
  <c r="B103" i="79"/>
  <c r="J109" i="23"/>
  <c r="B103" i="76"/>
  <c r="B109" i="17"/>
  <c r="B106" i="55"/>
  <c r="H106" i="35"/>
  <c r="I106" i="35"/>
  <c r="F100" i="13"/>
  <c r="B100" i="13"/>
  <c r="J105" i="35"/>
  <c r="B102" i="80"/>
  <c r="I99" i="13"/>
  <c r="H99" i="13"/>
  <c r="B103" i="75"/>
  <c r="B102" i="83"/>
  <c r="B108" i="42"/>
  <c r="B103" i="77"/>
  <c r="B110" i="24"/>
  <c r="B106" i="54"/>
  <c r="B109" i="21"/>
  <c r="F92" i="36"/>
  <c r="I18" i="100" l="1"/>
  <c r="B19" i="100"/>
  <c r="F19" i="100"/>
  <c r="D20" i="100" s="1"/>
  <c r="G19" i="100"/>
  <c r="H19" i="100"/>
  <c r="G92" i="36"/>
  <c r="D100" i="100"/>
  <c r="B100" i="100" s="1"/>
  <c r="G99" i="100"/>
  <c r="E100" i="100"/>
  <c r="F100" i="100" s="1"/>
  <c r="H99" i="26"/>
  <c r="M99" i="26" s="1"/>
  <c r="I21" i="90"/>
  <c r="I19" i="99"/>
  <c r="B23" i="90"/>
  <c r="G99" i="25"/>
  <c r="I99" i="25" s="1"/>
  <c r="I99" i="33"/>
  <c r="J99" i="33" s="1"/>
  <c r="I19" i="98"/>
  <c r="B20" i="97"/>
  <c r="E20" i="25"/>
  <c r="F20" i="25" s="1"/>
  <c r="B20" i="25"/>
  <c r="B20" i="98"/>
  <c r="B20" i="99"/>
  <c r="I30" i="23"/>
  <c r="I24" i="67"/>
  <c r="I28" i="41"/>
  <c r="I24" i="66"/>
  <c r="I21" i="91"/>
  <c r="I21" i="88"/>
  <c r="B21" i="94"/>
  <c r="B100" i="33"/>
  <c r="J100" i="99"/>
  <c r="J99" i="99"/>
  <c r="E100" i="25"/>
  <c r="F100" i="25" s="1"/>
  <c r="D101" i="25" s="1"/>
  <c r="E101" i="25" s="1"/>
  <c r="B108" i="35"/>
  <c r="E108" i="35"/>
  <c r="F108" i="35" s="1"/>
  <c r="B109" i="35" s="1"/>
  <c r="F76" i="1"/>
  <c r="F77" i="1" s="1"/>
  <c r="F62" i="1"/>
  <c r="F65" i="1" s="1"/>
  <c r="F67" i="1" s="1"/>
  <c r="F69" i="1" s="1"/>
  <c r="F70" i="1" s="1"/>
  <c r="F71" i="1" s="1"/>
  <c r="F56" i="1" s="1"/>
  <c r="F57" i="1" s="1"/>
  <c r="F59" i="1" s="1"/>
  <c r="F79" i="1" s="1"/>
  <c r="I21" i="85"/>
  <c r="I28" i="21"/>
  <c r="B101" i="95"/>
  <c r="B101" i="97"/>
  <c r="J99" i="95"/>
  <c r="F100" i="33"/>
  <c r="G100" i="33" s="1"/>
  <c r="G100" i="26"/>
  <c r="H100" i="26" s="1"/>
  <c r="E101" i="26"/>
  <c r="F101" i="26" s="1"/>
  <c r="G101" i="26" s="1"/>
  <c r="I101" i="26" s="1"/>
  <c r="J109" i="71"/>
  <c r="B111" i="71"/>
  <c r="B110" i="18"/>
  <c r="K95" i="85"/>
  <c r="J99" i="93"/>
  <c r="B25" i="67"/>
  <c r="B26" i="46"/>
  <c r="I30" i="27"/>
  <c r="B30" i="24"/>
  <c r="B20" i="93"/>
  <c r="O99" i="26"/>
  <c r="B31" i="23"/>
  <c r="B28" i="42"/>
  <c r="G20" i="33"/>
  <c r="I20" i="33" s="1"/>
  <c r="B25" i="66"/>
  <c r="B22" i="84"/>
  <c r="B22" i="91"/>
  <c r="B26" i="53"/>
  <c r="I21" i="83"/>
  <c r="B20" i="96"/>
  <c r="B23" i="76"/>
  <c r="I28" i="20"/>
  <c r="B29" i="22"/>
  <c r="B22" i="85"/>
  <c r="B22" i="81"/>
  <c r="B25" i="61"/>
  <c r="I27" i="74"/>
  <c r="B20" i="95"/>
  <c r="B28" i="39"/>
  <c r="B31" i="27"/>
  <c r="I21" i="81"/>
  <c r="B28" i="44"/>
  <c r="B26" i="72"/>
  <c r="I24" i="35"/>
  <c r="B26" i="57"/>
  <c r="B31" i="70"/>
  <c r="B28" i="43"/>
  <c r="B21" i="92"/>
  <c r="B20" i="26"/>
  <c r="F20" i="26"/>
  <c r="H20" i="26" s="1"/>
  <c r="B29" i="19"/>
  <c r="B23" i="79"/>
  <c r="B29" i="21"/>
  <c r="B28" i="73"/>
  <c r="B21" i="89"/>
  <c r="B30" i="32"/>
  <c r="B26" i="54"/>
  <c r="B23" i="78"/>
  <c r="B23" i="77"/>
  <c r="B25" i="63"/>
  <c r="B24" i="68"/>
  <c r="C38" i="17"/>
  <c r="B29" i="17"/>
  <c r="I25" i="56"/>
  <c r="B31" i="29"/>
  <c r="I24" i="60"/>
  <c r="D21" i="33"/>
  <c r="E21" i="33" s="1"/>
  <c r="F21" i="33" s="1"/>
  <c r="B29" i="41"/>
  <c r="B29" i="3"/>
  <c r="I24" i="63"/>
  <c r="I30" i="30"/>
  <c r="J99" i="94"/>
  <c r="B111" i="23"/>
  <c r="B101" i="93"/>
  <c r="J108" i="18"/>
  <c r="J104" i="59"/>
  <c r="I24" i="59"/>
  <c r="I29" i="18"/>
  <c r="E26" i="35"/>
  <c r="F26" i="35" s="1"/>
  <c r="H25" i="35"/>
  <c r="B26" i="35"/>
  <c r="G25" i="35"/>
  <c r="D21" i="13"/>
  <c r="E21" i="13" s="1"/>
  <c r="G20" i="13"/>
  <c r="H20" i="13"/>
  <c r="I24" i="62"/>
  <c r="B30" i="18"/>
  <c r="B25" i="59"/>
  <c r="B101" i="86"/>
  <c r="B104" i="66"/>
  <c r="B109" i="19"/>
  <c r="B109" i="34"/>
  <c r="B105" i="64"/>
  <c r="J100" i="89"/>
  <c r="B104" i="68"/>
  <c r="B110" i="32"/>
  <c r="B109" i="20"/>
  <c r="B111" i="29"/>
  <c r="B105" i="63"/>
  <c r="B106" i="46"/>
  <c r="B103" i="78"/>
  <c r="B101" i="90"/>
  <c r="B105" i="61"/>
  <c r="B105" i="60"/>
  <c r="B107" i="74"/>
  <c r="B110" i="31"/>
  <c r="B106" i="53"/>
  <c r="B105" i="62"/>
  <c r="B111" i="70"/>
  <c r="B101" i="84"/>
  <c r="B106" i="72"/>
  <c r="B108" i="39"/>
  <c r="B102" i="85"/>
  <c r="B108" i="43"/>
  <c r="B111" i="27"/>
  <c r="B101" i="88"/>
  <c r="B105" i="34"/>
  <c r="B111" i="69"/>
  <c r="B106" i="59"/>
  <c r="F62" i="2"/>
  <c r="F65" i="2" s="1"/>
  <c r="F67" i="2" s="1"/>
  <c r="F69" i="2" s="1"/>
  <c r="B107" i="57"/>
  <c r="J108" i="21"/>
  <c r="G100" i="13"/>
  <c r="D101" i="13"/>
  <c r="E101" i="13" s="1"/>
  <c r="B101" i="96"/>
  <c r="J99" i="13"/>
  <c r="J107" i="42"/>
  <c r="B104" i="67"/>
  <c r="J105" i="54"/>
  <c r="I107" i="35"/>
  <c r="H107" i="35"/>
  <c r="J105" i="55"/>
  <c r="J102" i="77"/>
  <c r="B102" i="82"/>
  <c r="J108" i="17"/>
  <c r="B108" i="44"/>
  <c r="J102" i="75"/>
  <c r="J101" i="80"/>
  <c r="B112" i="28"/>
  <c r="J101" i="83"/>
  <c r="B101" i="87"/>
  <c r="J109" i="24"/>
  <c r="J102" i="76"/>
  <c r="B109" i="3"/>
  <c r="J106" i="35"/>
  <c r="I19" i="100" l="1"/>
  <c r="E20" i="100"/>
  <c r="F20" i="100" s="1"/>
  <c r="B20" i="100"/>
  <c r="G100" i="100"/>
  <c r="D101" i="100"/>
  <c r="E101" i="100"/>
  <c r="H99" i="100"/>
  <c r="I99" i="100"/>
  <c r="J99" i="100" s="1"/>
  <c r="I27" i="58"/>
  <c r="I31" i="31"/>
  <c r="B23" i="88"/>
  <c r="I27" i="55"/>
  <c r="B101" i="98"/>
  <c r="I22" i="88"/>
  <c r="J99" i="26"/>
  <c r="P99" i="26"/>
  <c r="H99" i="25"/>
  <c r="J99" i="25" s="1"/>
  <c r="D101" i="33"/>
  <c r="E101" i="33" s="1"/>
  <c r="F101" i="33" s="1"/>
  <c r="I22" i="90"/>
  <c r="F80" i="1"/>
  <c r="F82" i="1" s="1"/>
  <c r="H20" i="25"/>
  <c r="G20" i="25"/>
  <c r="D21" i="25"/>
  <c r="I30" i="71"/>
  <c r="I21" i="87"/>
  <c r="I30" i="34"/>
  <c r="I24" i="65"/>
  <c r="I32" i="28"/>
  <c r="G100" i="25"/>
  <c r="I100" i="25" s="1"/>
  <c r="B101" i="25"/>
  <c r="B101" i="99"/>
  <c r="I20" i="94"/>
  <c r="I23" i="75"/>
  <c r="E109" i="35"/>
  <c r="F109" i="35" s="1"/>
  <c r="B110" i="35" s="1"/>
  <c r="F101" i="25"/>
  <c r="G101" i="25" s="1"/>
  <c r="H101" i="25" s="1"/>
  <c r="G108" i="35"/>
  <c r="H108" i="35" s="1"/>
  <c r="I100" i="26"/>
  <c r="J100" i="26" s="1"/>
  <c r="B105" i="65"/>
  <c r="J100" i="98"/>
  <c r="H101" i="26"/>
  <c r="J101" i="26" s="1"/>
  <c r="B103" i="81"/>
  <c r="J100" i="97"/>
  <c r="J106" i="56"/>
  <c r="D102" i="26"/>
  <c r="B108" i="56"/>
  <c r="I22" i="86"/>
  <c r="I22" i="80"/>
  <c r="B24" i="82"/>
  <c r="B23" i="80"/>
  <c r="B23" i="86"/>
  <c r="I23" i="82"/>
  <c r="G20" i="26"/>
  <c r="I20" i="26" s="1"/>
  <c r="B28" i="58"/>
  <c r="B24" i="75"/>
  <c r="B25" i="65"/>
  <c r="B28" i="55"/>
  <c r="I23" i="79"/>
  <c r="I25" i="64"/>
  <c r="I25" i="35"/>
  <c r="B31" i="34"/>
  <c r="B31" i="30"/>
  <c r="B22" i="83"/>
  <c r="I31" i="69"/>
  <c r="B32" i="31"/>
  <c r="B31" i="71"/>
  <c r="B25" i="60"/>
  <c r="D22" i="33"/>
  <c r="I29" i="17"/>
  <c r="B28" i="45"/>
  <c r="B28" i="74"/>
  <c r="B26" i="56"/>
  <c r="B33" i="28"/>
  <c r="B26" i="64"/>
  <c r="B21" i="33"/>
  <c r="H21" i="33"/>
  <c r="G21" i="33"/>
  <c r="B32" i="69"/>
  <c r="D21" i="26"/>
  <c r="E21" i="26" s="1"/>
  <c r="F21" i="26" s="1"/>
  <c r="I27" i="45"/>
  <c r="B101" i="94"/>
  <c r="B109" i="41"/>
  <c r="J105" i="59"/>
  <c r="J107" i="35"/>
  <c r="B109" i="73"/>
  <c r="B21" i="13"/>
  <c r="F21" i="13"/>
  <c r="H21" i="13" s="1"/>
  <c r="B25" i="62"/>
  <c r="B27" i="35"/>
  <c r="H26" i="35"/>
  <c r="E27" i="35"/>
  <c r="F27" i="35" s="1"/>
  <c r="G26" i="35"/>
  <c r="B29" i="20"/>
  <c r="J110" i="23"/>
  <c r="I20" i="13"/>
  <c r="B22" i="87"/>
  <c r="J105" i="58"/>
  <c r="J104" i="61"/>
  <c r="J102" i="78"/>
  <c r="J108" i="20"/>
  <c r="J101" i="81"/>
  <c r="J103" i="65"/>
  <c r="J110" i="30"/>
  <c r="J103" i="68"/>
  <c r="J109" i="31"/>
  <c r="J106" i="74"/>
  <c r="J108" i="19"/>
  <c r="J103" i="66"/>
  <c r="B108" i="45"/>
  <c r="J105" i="46"/>
  <c r="J100" i="92"/>
  <c r="J108" i="22"/>
  <c r="B102" i="89"/>
  <c r="J110" i="69"/>
  <c r="J107" i="41"/>
  <c r="J107" i="73"/>
  <c r="J109" i="32"/>
  <c r="J105" i="53"/>
  <c r="J104" i="64"/>
  <c r="J104" i="60"/>
  <c r="J104" i="62"/>
  <c r="J100" i="88"/>
  <c r="L104" i="34"/>
  <c r="M104" i="34" s="1"/>
  <c r="J110" i="70"/>
  <c r="J104" i="63"/>
  <c r="B106" i="62"/>
  <c r="J105" i="72"/>
  <c r="J106" i="45"/>
  <c r="J107" i="43"/>
  <c r="B102" i="91"/>
  <c r="J100" i="84"/>
  <c r="J102" i="79"/>
  <c r="J100" i="86"/>
  <c r="J110" i="27"/>
  <c r="J110" i="29"/>
  <c r="J107" i="39"/>
  <c r="J100" i="91"/>
  <c r="J101" i="85"/>
  <c r="J100" i="90"/>
  <c r="J109" i="18"/>
  <c r="F70" i="2"/>
  <c r="F71" i="2" s="1"/>
  <c r="F56" i="2" s="1"/>
  <c r="F57" i="2" s="1"/>
  <c r="B109" i="42"/>
  <c r="B111" i="24"/>
  <c r="B110" i="21"/>
  <c r="B107" i="54"/>
  <c r="B104" i="75"/>
  <c r="H100" i="33"/>
  <c r="I100" i="33"/>
  <c r="I100" i="13"/>
  <c r="H100" i="13"/>
  <c r="B107" i="55"/>
  <c r="J108" i="3"/>
  <c r="B104" i="77"/>
  <c r="J111" i="28"/>
  <c r="J103" i="67"/>
  <c r="J100" i="96"/>
  <c r="J107" i="44"/>
  <c r="B103" i="80"/>
  <c r="B104" i="76"/>
  <c r="J100" i="87"/>
  <c r="B110" i="17"/>
  <c r="J101" i="82"/>
  <c r="F101" i="13"/>
  <c r="B101" i="13"/>
  <c r="B103" i="83"/>
  <c r="H20" i="100" l="1"/>
  <c r="G20" i="100"/>
  <c r="D21" i="100"/>
  <c r="E21" i="100"/>
  <c r="F101" i="100"/>
  <c r="B101" i="100"/>
  <c r="H100" i="100"/>
  <c r="I100" i="100"/>
  <c r="J100" i="100" s="1"/>
  <c r="E24" i="90"/>
  <c r="D24" i="90"/>
  <c r="B24" i="90" s="1"/>
  <c r="I23" i="90"/>
  <c r="I30" i="18"/>
  <c r="I22" i="91"/>
  <c r="I29" i="41"/>
  <c r="I25" i="66"/>
  <c r="B101" i="33"/>
  <c r="H100" i="25"/>
  <c r="J100" i="25" s="1"/>
  <c r="I29" i="22"/>
  <c r="I101" i="25"/>
  <c r="J101" i="25" s="1"/>
  <c r="I20" i="25"/>
  <c r="I20" i="98"/>
  <c r="I26" i="46"/>
  <c r="I20" i="99"/>
  <c r="B21" i="98"/>
  <c r="D22" i="97"/>
  <c r="B21" i="97"/>
  <c r="I20" i="97"/>
  <c r="E21" i="25"/>
  <c r="F21" i="25" s="1"/>
  <c r="B21" i="25"/>
  <c r="B21" i="99"/>
  <c r="I28" i="44"/>
  <c r="I24" i="68"/>
  <c r="I23" i="77"/>
  <c r="I29" i="21"/>
  <c r="I21" i="89"/>
  <c r="I23" i="76"/>
  <c r="I28" i="39"/>
  <c r="I25" i="59"/>
  <c r="I30" i="24"/>
  <c r="I26" i="53"/>
  <c r="I29" i="19"/>
  <c r="I30" i="32"/>
  <c r="I25" i="61"/>
  <c r="I26" i="57"/>
  <c r="I26" i="54"/>
  <c r="I31" i="70"/>
  <c r="I23" i="78"/>
  <c r="I31" i="29"/>
  <c r="I28" i="42"/>
  <c r="G109" i="35"/>
  <c r="E110" i="35"/>
  <c r="F110" i="35" s="1"/>
  <c r="I20" i="96"/>
  <c r="I20" i="95"/>
  <c r="I21" i="94"/>
  <c r="I20" i="93"/>
  <c r="I21" i="92"/>
  <c r="I22" i="85"/>
  <c r="I22" i="81"/>
  <c r="D102" i="25"/>
  <c r="E102" i="25" s="1"/>
  <c r="I108" i="35"/>
  <c r="J108" i="35" s="1"/>
  <c r="J100" i="93"/>
  <c r="J106" i="57"/>
  <c r="B106" i="65"/>
  <c r="J100" i="95"/>
  <c r="B111" i="18"/>
  <c r="B112" i="23"/>
  <c r="N88" i="97"/>
  <c r="N89" i="97" s="1"/>
  <c r="M88" i="97"/>
  <c r="M89" i="97" s="1"/>
  <c r="B102" i="97"/>
  <c r="M88" i="98"/>
  <c r="M89" i="98" s="1"/>
  <c r="N88" i="98"/>
  <c r="B102" i="98"/>
  <c r="J110" i="71"/>
  <c r="E102" i="26"/>
  <c r="F102" i="26" s="1"/>
  <c r="G102" i="26" s="1"/>
  <c r="B102" i="26"/>
  <c r="B102" i="95"/>
  <c r="J107" i="56"/>
  <c r="B26" i="67"/>
  <c r="I25" i="67"/>
  <c r="I25" i="63"/>
  <c r="B27" i="46"/>
  <c r="B31" i="24"/>
  <c r="I31" i="27"/>
  <c r="B22" i="94"/>
  <c r="B21" i="93"/>
  <c r="J100" i="94"/>
  <c r="E25" i="82"/>
  <c r="D25" i="82"/>
  <c r="B32" i="23"/>
  <c r="D29" i="55"/>
  <c r="E29" i="55"/>
  <c r="E29" i="58"/>
  <c r="D29" i="58"/>
  <c r="B23" i="91"/>
  <c r="B27" i="53"/>
  <c r="B26" i="66"/>
  <c r="I22" i="84"/>
  <c r="B29" i="42"/>
  <c r="B23" i="84"/>
  <c r="I26" i="72"/>
  <c r="I31" i="23"/>
  <c r="B21" i="96"/>
  <c r="B21" i="95"/>
  <c r="B23" i="81"/>
  <c r="B26" i="61"/>
  <c r="B24" i="76"/>
  <c r="B27" i="72"/>
  <c r="B29" i="39"/>
  <c r="B32" i="27"/>
  <c r="B29" i="44"/>
  <c r="B23" i="85"/>
  <c r="B30" i="22"/>
  <c r="I21" i="33"/>
  <c r="B24" i="79"/>
  <c r="B30" i="17"/>
  <c r="C39" i="17"/>
  <c r="B22" i="33"/>
  <c r="D22" i="26"/>
  <c r="E22" i="26" s="1"/>
  <c r="B24" i="77"/>
  <c r="G21" i="13"/>
  <c r="I21" i="13" s="1"/>
  <c r="B22" i="92"/>
  <c r="B21" i="26"/>
  <c r="G21" i="26"/>
  <c r="H21" i="26"/>
  <c r="B29" i="73"/>
  <c r="B32" i="29"/>
  <c r="B27" i="57"/>
  <c r="B30" i="21"/>
  <c r="B31" i="32"/>
  <c r="B24" i="78"/>
  <c r="B29" i="43"/>
  <c r="D33" i="31"/>
  <c r="E33" i="31"/>
  <c r="B26" i="63"/>
  <c r="B30" i="3"/>
  <c r="B30" i="19"/>
  <c r="B27" i="54"/>
  <c r="B32" i="70"/>
  <c r="B22" i="89"/>
  <c r="I26" i="35"/>
  <c r="I28" i="73"/>
  <c r="B25" i="68"/>
  <c r="E22" i="33"/>
  <c r="F22" i="33" s="1"/>
  <c r="I28" i="43"/>
  <c r="B30" i="41"/>
  <c r="B102" i="94"/>
  <c r="B110" i="22"/>
  <c r="J101" i="89"/>
  <c r="J102" i="81"/>
  <c r="B102" i="93"/>
  <c r="B26" i="59"/>
  <c r="B31" i="18"/>
  <c r="E28" i="35"/>
  <c r="F28" i="35" s="1"/>
  <c r="B28" i="35"/>
  <c r="G27" i="35"/>
  <c r="H27" i="35"/>
  <c r="D22" i="13"/>
  <c r="E22" i="13" s="1"/>
  <c r="B108" i="74"/>
  <c r="B102" i="92"/>
  <c r="B105" i="68"/>
  <c r="B109" i="43"/>
  <c r="J104" i="34"/>
  <c r="N104" i="34"/>
  <c r="O104" i="34" s="1"/>
  <c r="P104" i="34" s="1"/>
  <c r="B105" i="66"/>
  <c r="B106" i="61"/>
  <c r="B111" i="32"/>
  <c r="B112" i="70"/>
  <c r="B110" i="19"/>
  <c r="B102" i="88"/>
  <c r="B106" i="64"/>
  <c r="B112" i="30"/>
  <c r="B102" i="90"/>
  <c r="B104" i="79"/>
  <c r="B109" i="39"/>
  <c r="B110" i="20"/>
  <c r="B104" i="78"/>
  <c r="B111" i="31"/>
  <c r="B102" i="84"/>
  <c r="B106" i="60"/>
  <c r="B112" i="69"/>
  <c r="B112" i="29"/>
  <c r="B107" i="46"/>
  <c r="B102" i="86"/>
  <c r="B107" i="58"/>
  <c r="B106" i="63"/>
  <c r="B107" i="53"/>
  <c r="B110" i="34"/>
  <c r="B112" i="27"/>
  <c r="J104" i="65"/>
  <c r="B107" i="72"/>
  <c r="B103" i="85"/>
  <c r="F59" i="2"/>
  <c r="F79" i="2" s="1"/>
  <c r="F80" i="2" s="1"/>
  <c r="F82" i="2" s="1"/>
  <c r="F76" i="2"/>
  <c r="F77" i="2" s="1"/>
  <c r="B107" i="59"/>
  <c r="B112" i="71"/>
  <c r="B108" i="57"/>
  <c r="D102" i="33"/>
  <c r="E102" i="33" s="1"/>
  <c r="G101" i="33"/>
  <c r="B102" i="87"/>
  <c r="B105" i="67"/>
  <c r="I109" i="35"/>
  <c r="H109" i="35"/>
  <c r="B103" i="82"/>
  <c r="J109" i="17"/>
  <c r="J110" i="24"/>
  <c r="G110" i="35"/>
  <c r="E111" i="35"/>
  <c r="F111" i="35" s="1"/>
  <c r="B111" i="35"/>
  <c r="J106" i="54"/>
  <c r="J102" i="80"/>
  <c r="J103" i="75"/>
  <c r="B109" i="44"/>
  <c r="J106" i="55"/>
  <c r="J100" i="33"/>
  <c r="J103" i="77"/>
  <c r="B113" i="28"/>
  <c r="J103" i="76"/>
  <c r="G101" i="13"/>
  <c r="D102" i="13"/>
  <c r="E102" i="13" s="1"/>
  <c r="J109" i="21"/>
  <c r="J108" i="42"/>
  <c r="B110" i="3"/>
  <c r="J100" i="13"/>
  <c r="J102" i="83"/>
  <c r="B102" i="96"/>
  <c r="I20" i="100" l="1"/>
  <c r="F21" i="100"/>
  <c r="H21" i="100" s="1"/>
  <c r="B21" i="100"/>
  <c r="G21" i="100"/>
  <c r="G101" i="100"/>
  <c r="D102" i="100"/>
  <c r="F24" i="90"/>
  <c r="G24" i="90" s="1"/>
  <c r="N5" i="90" s="1"/>
  <c r="D24" i="88"/>
  <c r="B24" i="88" s="1"/>
  <c r="E24" i="88"/>
  <c r="I24" i="82"/>
  <c r="I32" i="31"/>
  <c r="I23" i="88"/>
  <c r="I28" i="55"/>
  <c r="O88" i="98"/>
  <c r="O89" i="98" s="1"/>
  <c r="O88" i="97"/>
  <c r="O89" i="97" s="1"/>
  <c r="N89" i="98"/>
  <c r="I31" i="71"/>
  <c r="I32" i="69"/>
  <c r="I23" i="80"/>
  <c r="I28" i="45"/>
  <c r="I25" i="65"/>
  <c r="I31" i="34"/>
  <c r="I24" i="75"/>
  <c r="H21" i="25"/>
  <c r="D22" i="25"/>
  <c r="G21" i="25"/>
  <c r="D22" i="98"/>
  <c r="E22" i="98"/>
  <c r="E22" i="97"/>
  <c r="F22" i="97" s="1"/>
  <c r="B22" i="97"/>
  <c r="D22" i="99"/>
  <c r="E22" i="99"/>
  <c r="I25" i="60"/>
  <c r="I31" i="30"/>
  <c r="I25" i="62"/>
  <c r="B102" i="99"/>
  <c r="N88" i="99"/>
  <c r="M88" i="99"/>
  <c r="M89" i="99" s="1"/>
  <c r="I22" i="83"/>
  <c r="I28" i="74"/>
  <c r="B102" i="25"/>
  <c r="F102" i="25"/>
  <c r="J101" i="91"/>
  <c r="J107" i="45"/>
  <c r="J108" i="41"/>
  <c r="B110" i="73"/>
  <c r="J108" i="73"/>
  <c r="H102" i="26"/>
  <c r="I102" i="26"/>
  <c r="J101" i="95"/>
  <c r="J101" i="98"/>
  <c r="J101" i="97"/>
  <c r="D103" i="26"/>
  <c r="D103" i="98"/>
  <c r="E103" i="98"/>
  <c r="D103" i="97"/>
  <c r="E103" i="97" s="1"/>
  <c r="J109" i="22"/>
  <c r="E27" i="67"/>
  <c r="D27" i="67"/>
  <c r="B24" i="80"/>
  <c r="I23" i="86"/>
  <c r="B25" i="82"/>
  <c r="F25" i="82"/>
  <c r="G25" i="82" s="1"/>
  <c r="N5" i="82" s="1"/>
  <c r="B24" i="86"/>
  <c r="D33" i="23"/>
  <c r="E33" i="23"/>
  <c r="B25" i="75"/>
  <c r="I30" i="17"/>
  <c r="E27" i="66"/>
  <c r="D27" i="66"/>
  <c r="B26" i="65"/>
  <c r="F29" i="58"/>
  <c r="G29" i="58" s="1"/>
  <c r="N5" i="58" s="1"/>
  <c r="B29" i="58"/>
  <c r="D24" i="91"/>
  <c r="E24" i="91"/>
  <c r="I28" i="58"/>
  <c r="B29" i="55"/>
  <c r="F29" i="55"/>
  <c r="H29" i="55" s="1"/>
  <c r="N6" i="55" s="1"/>
  <c r="I26" i="64"/>
  <c r="B32" i="30"/>
  <c r="D23" i="33"/>
  <c r="I33" i="28"/>
  <c r="B22" i="26"/>
  <c r="F22" i="26"/>
  <c r="G22" i="33"/>
  <c r="B34" i="28"/>
  <c r="B32" i="34"/>
  <c r="I27" i="35"/>
  <c r="B26" i="60"/>
  <c r="I21" i="26"/>
  <c r="B27" i="56"/>
  <c r="H22" i="33"/>
  <c r="B27" i="64"/>
  <c r="N5" i="69"/>
  <c r="B33" i="69"/>
  <c r="D31" i="41"/>
  <c r="E31" i="41"/>
  <c r="B29" i="74"/>
  <c r="B23" i="83"/>
  <c r="F33" i="31"/>
  <c r="G33" i="31" s="1"/>
  <c r="N5" i="31" s="1"/>
  <c r="B33" i="31"/>
  <c r="I26" i="56"/>
  <c r="B32" i="71"/>
  <c r="B29" i="45"/>
  <c r="J101" i="93"/>
  <c r="J106" i="53"/>
  <c r="J103" i="78"/>
  <c r="J109" i="20"/>
  <c r="J103" i="79"/>
  <c r="J109" i="19"/>
  <c r="J110" i="31"/>
  <c r="J107" i="57"/>
  <c r="J106" i="72"/>
  <c r="J111" i="29"/>
  <c r="J101" i="84"/>
  <c r="J105" i="61"/>
  <c r="J106" i="46"/>
  <c r="J111" i="27"/>
  <c r="J105" i="62"/>
  <c r="J104" i="66"/>
  <c r="B23" i="87"/>
  <c r="J105" i="64"/>
  <c r="J111" i="69"/>
  <c r="J105" i="60"/>
  <c r="J101" i="88"/>
  <c r="J110" i="32"/>
  <c r="H28" i="35"/>
  <c r="E29" i="35"/>
  <c r="F29" i="35" s="1"/>
  <c r="G28" i="35"/>
  <c r="B29" i="35"/>
  <c r="E32" i="18"/>
  <c r="D32" i="18"/>
  <c r="J101" i="90"/>
  <c r="J107" i="74"/>
  <c r="B22" i="13"/>
  <c r="F22" i="13"/>
  <c r="I22" i="87"/>
  <c r="B26" i="62"/>
  <c r="J108" i="39"/>
  <c r="J111" i="30"/>
  <c r="I29" i="20"/>
  <c r="B30" i="20"/>
  <c r="B107" i="62"/>
  <c r="J104" i="68"/>
  <c r="J102" i="85"/>
  <c r="J111" i="70"/>
  <c r="J101" i="92"/>
  <c r="J109" i="34"/>
  <c r="B103" i="89"/>
  <c r="J105" i="63"/>
  <c r="B103" i="91"/>
  <c r="B111" i="22"/>
  <c r="J106" i="58"/>
  <c r="B109" i="45"/>
  <c r="J108" i="43"/>
  <c r="J101" i="86"/>
  <c r="J111" i="71"/>
  <c r="J110" i="18"/>
  <c r="J106" i="59"/>
  <c r="J111" i="23"/>
  <c r="N88" i="56"/>
  <c r="M88" i="56"/>
  <c r="M89" i="56" s="1"/>
  <c r="B110" i="42"/>
  <c r="N88" i="93"/>
  <c r="M88" i="93"/>
  <c r="M89" i="93" s="1"/>
  <c r="B105" i="77"/>
  <c r="J109" i="35"/>
  <c r="B104" i="83"/>
  <c r="J101" i="87"/>
  <c r="B108" i="54"/>
  <c r="B105" i="76"/>
  <c r="B102" i="13"/>
  <c r="F102" i="13"/>
  <c r="J104" i="67"/>
  <c r="J112" i="28"/>
  <c r="H101" i="13"/>
  <c r="I101" i="13"/>
  <c r="J102" i="82"/>
  <c r="J109" i="3"/>
  <c r="J101" i="96"/>
  <c r="B111" i="21"/>
  <c r="B112" i="35"/>
  <c r="G111" i="35"/>
  <c r="E112" i="35"/>
  <c r="F112" i="35" s="1"/>
  <c r="B108" i="55"/>
  <c r="B102" i="33"/>
  <c r="F102" i="33"/>
  <c r="I101" i="33"/>
  <c r="H101" i="33"/>
  <c r="B112" i="24"/>
  <c r="B111" i="17"/>
  <c r="B104" i="80"/>
  <c r="I110" i="35"/>
  <c r="H110" i="35"/>
  <c r="B105" i="75"/>
  <c r="J108" i="44"/>
  <c r="E82" i="36"/>
  <c r="E61" i="36"/>
  <c r="E74" i="36"/>
  <c r="E50" i="36"/>
  <c r="E33" i="36"/>
  <c r="I21" i="100" l="1"/>
  <c r="D22" i="100"/>
  <c r="E22" i="100"/>
  <c r="E102" i="100"/>
  <c r="B102" i="100"/>
  <c r="F102" i="100"/>
  <c r="H101" i="100"/>
  <c r="I101" i="100"/>
  <c r="J101" i="100" s="1"/>
  <c r="E25" i="90"/>
  <c r="D25" i="90"/>
  <c r="B25" i="90" s="1"/>
  <c r="H24" i="90"/>
  <c r="F24" i="88"/>
  <c r="H24" i="88" s="1"/>
  <c r="N6" i="88" s="1"/>
  <c r="I30" i="41"/>
  <c r="I26" i="66"/>
  <c r="I32" i="23"/>
  <c r="I26" i="67"/>
  <c r="I23" i="91"/>
  <c r="O88" i="93"/>
  <c r="O89" i="93" s="1"/>
  <c r="N89" i="93"/>
  <c r="O88" i="99"/>
  <c r="O89" i="99" s="1"/>
  <c r="N89" i="99"/>
  <c r="N89" i="56"/>
  <c r="O88" i="56"/>
  <c r="O89" i="56" s="1"/>
  <c r="B26" i="68"/>
  <c r="I21" i="96"/>
  <c r="I30" i="22"/>
  <c r="I21" i="93"/>
  <c r="I27" i="54"/>
  <c r="I22" i="92"/>
  <c r="I29" i="39"/>
  <c r="I29" i="44"/>
  <c r="I22" i="94"/>
  <c r="I32" i="29"/>
  <c r="I29" i="43"/>
  <c r="I22" i="89"/>
  <c r="I27" i="46"/>
  <c r="I30" i="21"/>
  <c r="I32" i="70"/>
  <c r="I30" i="3"/>
  <c r="I24" i="78"/>
  <c r="I26" i="61"/>
  <c r="I29" i="73"/>
  <c r="I27" i="53"/>
  <c r="I23" i="84"/>
  <c r="I27" i="72"/>
  <c r="I32" i="27"/>
  <c r="I31" i="24"/>
  <c r="I24" i="77"/>
  <c r="I21" i="95"/>
  <c r="I23" i="85"/>
  <c r="I24" i="76"/>
  <c r="I23" i="81"/>
  <c r="I25" i="68"/>
  <c r="E110" i="56"/>
  <c r="N88" i="23"/>
  <c r="B109" i="56"/>
  <c r="J105" i="65"/>
  <c r="I21" i="25"/>
  <c r="F22" i="99"/>
  <c r="H22" i="99" s="1"/>
  <c r="N6" i="99" s="1"/>
  <c r="B22" i="99"/>
  <c r="D23" i="97"/>
  <c r="E23" i="97"/>
  <c r="I21" i="97"/>
  <c r="H22" i="97"/>
  <c r="N6" i="97" s="1"/>
  <c r="E22" i="25"/>
  <c r="F22" i="25" s="1"/>
  <c r="B22" i="25"/>
  <c r="I21" i="98"/>
  <c r="G22" i="97"/>
  <c r="N5" i="97" s="1"/>
  <c r="F22" i="98"/>
  <c r="G22" i="98" s="1"/>
  <c r="N5" i="98" s="1"/>
  <c r="B22" i="98"/>
  <c r="I21" i="99"/>
  <c r="E103" i="99"/>
  <c r="D103" i="99"/>
  <c r="J101" i="99"/>
  <c r="I24" i="79"/>
  <c r="D103" i="25"/>
  <c r="G102" i="25"/>
  <c r="M88" i="65"/>
  <c r="M89" i="65" s="1"/>
  <c r="J102" i="26"/>
  <c r="N88" i="18"/>
  <c r="B104" i="81"/>
  <c r="B103" i="94"/>
  <c r="J102" i="94"/>
  <c r="J109" i="41"/>
  <c r="F103" i="98"/>
  <c r="B103" i="98"/>
  <c r="F103" i="97"/>
  <c r="B103" i="97"/>
  <c r="B103" i="26"/>
  <c r="E103" i="26"/>
  <c r="F103" i="26" s="1"/>
  <c r="B103" i="95"/>
  <c r="B110" i="41"/>
  <c r="N88" i="95"/>
  <c r="M88" i="95"/>
  <c r="M89" i="95" s="1"/>
  <c r="J101" i="94"/>
  <c r="B27" i="67"/>
  <c r="F27" i="67"/>
  <c r="H27" i="67" s="1"/>
  <c r="N6" i="67" s="1"/>
  <c r="B28" i="46"/>
  <c r="H33" i="31"/>
  <c r="B32" i="24"/>
  <c r="E25" i="86"/>
  <c r="D25" i="86"/>
  <c r="D25" i="80"/>
  <c r="E25" i="80"/>
  <c r="H25" i="82"/>
  <c r="D26" i="82"/>
  <c r="E26" i="82"/>
  <c r="B23" i="94"/>
  <c r="B22" i="93"/>
  <c r="B28" i="53"/>
  <c r="D30" i="55"/>
  <c r="E30" i="55"/>
  <c r="B24" i="84"/>
  <c r="F24" i="91"/>
  <c r="H24" i="91" s="1"/>
  <c r="N6" i="91" s="1"/>
  <c r="B24" i="91"/>
  <c r="F33" i="23"/>
  <c r="B33" i="23"/>
  <c r="E27" i="65"/>
  <c r="D27" i="65"/>
  <c r="F27" i="66"/>
  <c r="B27" i="66"/>
  <c r="I22" i="33"/>
  <c r="E31" i="43"/>
  <c r="D31" i="39"/>
  <c r="G29" i="55"/>
  <c r="I29" i="42"/>
  <c r="E30" i="58"/>
  <c r="H29" i="58"/>
  <c r="D30" i="58"/>
  <c r="B30" i="42"/>
  <c r="D26" i="75"/>
  <c r="E26" i="75"/>
  <c r="B27" i="61"/>
  <c r="B24" i="85"/>
  <c r="B30" i="39"/>
  <c r="B33" i="27"/>
  <c r="B31" i="22"/>
  <c r="B30" i="44"/>
  <c r="B22" i="95"/>
  <c r="B25" i="76"/>
  <c r="B22" i="96"/>
  <c r="B24" i="81"/>
  <c r="B28" i="72"/>
  <c r="I26" i="63"/>
  <c r="I31" i="32"/>
  <c r="B30" i="73"/>
  <c r="E28" i="64"/>
  <c r="D28" i="64"/>
  <c r="B23" i="92"/>
  <c r="B25" i="77"/>
  <c r="C40" i="17"/>
  <c r="B25" i="78"/>
  <c r="B31" i="19"/>
  <c r="D33" i="71"/>
  <c r="E33" i="71"/>
  <c r="H22" i="26"/>
  <c r="D23" i="26"/>
  <c r="D27" i="68"/>
  <c r="E27" i="68"/>
  <c r="B32" i="32"/>
  <c r="B28" i="54"/>
  <c r="F31" i="41"/>
  <c r="H31" i="41" s="1"/>
  <c r="N6" i="41" s="1"/>
  <c r="B31" i="41"/>
  <c r="I27" i="57"/>
  <c r="B31" i="3"/>
  <c r="B23" i="33"/>
  <c r="B27" i="63"/>
  <c r="E30" i="45"/>
  <c r="D30" i="45"/>
  <c r="B33" i="29"/>
  <c r="I30" i="19"/>
  <c r="D33" i="34"/>
  <c r="E33" i="34"/>
  <c r="E35" i="28"/>
  <c r="D35" i="28"/>
  <c r="B23" i="89"/>
  <c r="B31" i="21"/>
  <c r="D34" i="31"/>
  <c r="E34" i="31"/>
  <c r="B25" i="79"/>
  <c r="G22" i="26"/>
  <c r="B28" i="57"/>
  <c r="B30" i="43"/>
  <c r="B33" i="70"/>
  <c r="E23" i="33"/>
  <c r="F23" i="33" s="1"/>
  <c r="B103" i="93"/>
  <c r="D104" i="93"/>
  <c r="E104" i="93" s="1"/>
  <c r="J106" i="62"/>
  <c r="J110" i="22"/>
  <c r="J109" i="73"/>
  <c r="J103" i="81"/>
  <c r="D23" i="13"/>
  <c r="E23" i="13" s="1"/>
  <c r="B27" i="59"/>
  <c r="I26" i="59"/>
  <c r="I31" i="18"/>
  <c r="H22" i="13"/>
  <c r="B30" i="35"/>
  <c r="G29" i="35"/>
  <c r="E30" i="35"/>
  <c r="F30" i="35" s="1"/>
  <c r="H29" i="35"/>
  <c r="G22" i="13"/>
  <c r="B32" i="18"/>
  <c r="F32" i="18"/>
  <c r="I28" i="35"/>
  <c r="D24" i="87"/>
  <c r="E24" i="87"/>
  <c r="B113" i="30"/>
  <c r="B108" i="58"/>
  <c r="B111" i="34"/>
  <c r="B106" i="66"/>
  <c r="B112" i="32"/>
  <c r="B113" i="69"/>
  <c r="B108" i="53"/>
  <c r="B106" i="68"/>
  <c r="B104" i="85"/>
  <c r="J102" i="89"/>
  <c r="B107" i="65"/>
  <c r="B103" i="86"/>
  <c r="B105" i="78"/>
  <c r="B107" i="61"/>
  <c r="B105" i="79"/>
  <c r="B111" i="20"/>
  <c r="B108" i="72"/>
  <c r="J108" i="45"/>
  <c r="B112" i="31"/>
  <c r="B103" i="88"/>
  <c r="B113" i="29"/>
  <c r="B113" i="27"/>
  <c r="B111" i="19"/>
  <c r="B103" i="90"/>
  <c r="B110" i="39"/>
  <c r="B103" i="84"/>
  <c r="B107" i="63"/>
  <c r="B109" i="74"/>
  <c r="B107" i="60"/>
  <c r="J102" i="91"/>
  <c r="B113" i="70"/>
  <c r="B107" i="64"/>
  <c r="B103" i="92"/>
  <c r="B110" i="43"/>
  <c r="B108" i="46"/>
  <c r="B108" i="59"/>
  <c r="J108" i="56"/>
  <c r="B113" i="23"/>
  <c r="B112" i="18"/>
  <c r="M88" i="59"/>
  <c r="M89" i="59" s="1"/>
  <c r="N88" i="59"/>
  <c r="M88" i="23"/>
  <c r="M89" i="23" s="1"/>
  <c r="J110" i="35"/>
  <c r="N88" i="71"/>
  <c r="M88" i="71"/>
  <c r="M89" i="71" s="1"/>
  <c r="B113" i="71"/>
  <c r="B109" i="57"/>
  <c r="N88" i="57"/>
  <c r="M88" i="57"/>
  <c r="M89" i="57" s="1"/>
  <c r="B103" i="87"/>
  <c r="B110" i="44"/>
  <c r="B113" i="35"/>
  <c r="G112" i="35"/>
  <c r="E113" i="35"/>
  <c r="F113" i="35" s="1"/>
  <c r="J104" i="77"/>
  <c r="J107" i="54"/>
  <c r="J107" i="55"/>
  <c r="G102" i="13"/>
  <c r="D103" i="13"/>
  <c r="E103" i="13" s="1"/>
  <c r="B111" i="3"/>
  <c r="D103" i="33"/>
  <c r="G102" i="33"/>
  <c r="M88" i="96"/>
  <c r="M89" i="96" s="1"/>
  <c r="N88" i="96"/>
  <c r="B106" i="67"/>
  <c r="J102" i="93"/>
  <c r="J104" i="75"/>
  <c r="H111" i="35"/>
  <c r="I111" i="35"/>
  <c r="B103" i="96"/>
  <c r="B104" i="82"/>
  <c r="J111" i="24"/>
  <c r="B114" i="28"/>
  <c r="J104" i="76"/>
  <c r="J101" i="33"/>
  <c r="J103" i="83"/>
  <c r="J110" i="17"/>
  <c r="J101" i="13"/>
  <c r="J110" i="21"/>
  <c r="J103" i="80"/>
  <c r="J109" i="42"/>
  <c r="E90" i="36"/>
  <c r="E89" i="36"/>
  <c r="F25" i="90" l="1"/>
  <c r="H25" i="90" s="1"/>
  <c r="N7" i="97"/>
  <c r="E25" i="88"/>
  <c r="F22" i="100"/>
  <c r="H22" i="100" s="1"/>
  <c r="B22" i="100"/>
  <c r="G22" i="100"/>
  <c r="I29" i="58"/>
  <c r="N6" i="58"/>
  <c r="N7" i="58" s="1"/>
  <c r="I33" i="31"/>
  <c r="N6" i="31"/>
  <c r="N7" i="31" s="1"/>
  <c r="I25" i="82"/>
  <c r="N6" i="82"/>
  <c r="N7" i="82" s="1"/>
  <c r="I29" i="55"/>
  <c r="N5" i="55"/>
  <c r="I24" i="90"/>
  <c r="N6" i="90"/>
  <c r="N7" i="90" s="1"/>
  <c r="D103" i="100"/>
  <c r="G102" i="100"/>
  <c r="G24" i="88"/>
  <c r="D25" i="88"/>
  <c r="I34" i="28"/>
  <c r="I23" i="87"/>
  <c r="I29" i="45"/>
  <c r="I25" i="75"/>
  <c r="I33" i="69"/>
  <c r="N6" i="69"/>
  <c r="N7" i="69" s="1"/>
  <c r="I26" i="65"/>
  <c r="N89" i="96"/>
  <c r="O88" i="96"/>
  <c r="O89" i="96" s="1"/>
  <c r="N89" i="57"/>
  <c r="O88" i="57"/>
  <c r="O89" i="57" s="1"/>
  <c r="O88" i="23"/>
  <c r="O89" i="23" s="1"/>
  <c r="N89" i="23"/>
  <c r="O88" i="59"/>
  <c r="O89" i="59" s="1"/>
  <c r="N89" i="59"/>
  <c r="O88" i="95"/>
  <c r="O89" i="95" s="1"/>
  <c r="N89" i="95"/>
  <c r="N89" i="18"/>
  <c r="N89" i="71"/>
  <c r="O88" i="71"/>
  <c r="O89" i="71" s="1"/>
  <c r="D110" i="56"/>
  <c r="F110" i="56" s="1"/>
  <c r="I23" i="83"/>
  <c r="I26" i="60"/>
  <c r="D31" i="43"/>
  <c r="F31" i="43" s="1"/>
  <c r="E32" i="43" s="1"/>
  <c r="M88" i="73"/>
  <c r="M89" i="73" s="1"/>
  <c r="G22" i="99"/>
  <c r="E29" i="72"/>
  <c r="I29" i="74"/>
  <c r="H22" i="98"/>
  <c r="H22" i="25"/>
  <c r="D23" i="25"/>
  <c r="G22" i="25"/>
  <c r="D23" i="98"/>
  <c r="E23" i="98"/>
  <c r="I22" i="97"/>
  <c r="F23" i="97"/>
  <c r="B23" i="97"/>
  <c r="D23" i="99"/>
  <c r="E23" i="99"/>
  <c r="B103" i="99"/>
  <c r="F103" i="99"/>
  <c r="E103" i="25"/>
  <c r="F103" i="25" s="1"/>
  <c r="B103" i="25"/>
  <c r="I102" i="25"/>
  <c r="H102" i="25"/>
  <c r="B105" i="81"/>
  <c r="J102" i="97"/>
  <c r="B104" i="94"/>
  <c r="D29" i="72"/>
  <c r="B29" i="72" s="1"/>
  <c r="I32" i="30"/>
  <c r="J102" i="98"/>
  <c r="D104" i="97"/>
  <c r="G103" i="97"/>
  <c r="E104" i="97"/>
  <c r="D104" i="26"/>
  <c r="G103" i="26"/>
  <c r="D104" i="98"/>
  <c r="G103" i="98"/>
  <c r="E104" i="98"/>
  <c r="J102" i="95"/>
  <c r="D104" i="95"/>
  <c r="B104" i="95" s="1"/>
  <c r="E104" i="95"/>
  <c r="I24" i="80"/>
  <c r="E31" i="74"/>
  <c r="G27" i="67"/>
  <c r="E28" i="67"/>
  <c r="D28" i="67"/>
  <c r="E29" i="46"/>
  <c r="D29" i="46"/>
  <c r="E31" i="39"/>
  <c r="F31" i="39" s="1"/>
  <c r="G31" i="39" s="1"/>
  <c r="N5" i="39" s="1"/>
  <c r="E33" i="24"/>
  <c r="D33" i="24"/>
  <c r="E23" i="93"/>
  <c r="D23" i="93"/>
  <c r="D24" i="94"/>
  <c r="E24" i="94"/>
  <c r="B26" i="82"/>
  <c r="B25" i="86"/>
  <c r="F25" i="86"/>
  <c r="F26" i="82"/>
  <c r="G26" i="82" s="1"/>
  <c r="F25" i="80"/>
  <c r="B25" i="80"/>
  <c r="I24" i="86"/>
  <c r="D31" i="42"/>
  <c r="E31" i="42"/>
  <c r="E28" i="66"/>
  <c r="D28" i="66"/>
  <c r="D34" i="23"/>
  <c r="H33" i="23"/>
  <c r="N6" i="23" s="1"/>
  <c r="G33" i="23"/>
  <c r="N5" i="23" s="1"/>
  <c r="E34" i="23"/>
  <c r="F30" i="58"/>
  <c r="B30" i="58"/>
  <c r="B27" i="65"/>
  <c r="F27" i="65"/>
  <c r="G27" i="65" s="1"/>
  <c r="N5" i="65" s="1"/>
  <c r="B26" i="75"/>
  <c r="F26" i="75"/>
  <c r="B30" i="55"/>
  <c r="F30" i="55"/>
  <c r="H30" i="55" s="1"/>
  <c r="H27" i="66"/>
  <c r="N6" i="66" s="1"/>
  <c r="G25" i="90"/>
  <c r="I25" i="90" s="1"/>
  <c r="D26" i="90"/>
  <c r="E26" i="90"/>
  <c r="D29" i="53"/>
  <c r="E29" i="53"/>
  <c r="G27" i="66"/>
  <c r="N5" i="66" s="1"/>
  <c r="D25" i="91"/>
  <c r="G24" i="91"/>
  <c r="E25" i="91"/>
  <c r="E25" i="84"/>
  <c r="D25" i="84"/>
  <c r="I22" i="26"/>
  <c r="D25" i="85"/>
  <c r="E25" i="85"/>
  <c r="E28" i="61"/>
  <c r="D28" i="61"/>
  <c r="D23" i="96"/>
  <c r="E23" i="96"/>
  <c r="E31" i="44"/>
  <c r="D31" i="44"/>
  <c r="E32" i="22"/>
  <c r="D32" i="22"/>
  <c r="I26" i="68"/>
  <c r="E25" i="81"/>
  <c r="D25" i="81"/>
  <c r="E26" i="76"/>
  <c r="D26" i="76"/>
  <c r="D23" i="95"/>
  <c r="E23" i="95"/>
  <c r="E34" i="27"/>
  <c r="D34" i="27"/>
  <c r="B31" i="39"/>
  <c r="I29" i="35"/>
  <c r="D24" i="33"/>
  <c r="E24" i="33" s="1"/>
  <c r="G23" i="33"/>
  <c r="H23" i="33"/>
  <c r="B33" i="34"/>
  <c r="F33" i="34"/>
  <c r="D34" i="29"/>
  <c r="E34" i="29"/>
  <c r="E33" i="32"/>
  <c r="D33" i="32"/>
  <c r="D34" i="70"/>
  <c r="E34" i="70"/>
  <c r="E29" i="57"/>
  <c r="D29" i="57"/>
  <c r="F34" i="31"/>
  <c r="G34" i="31" s="1"/>
  <c r="B34" i="31"/>
  <c r="B27" i="60"/>
  <c r="D32" i="21"/>
  <c r="E32" i="21"/>
  <c r="B30" i="45"/>
  <c r="F30" i="45"/>
  <c r="E32" i="17"/>
  <c r="D32" i="17"/>
  <c r="F28" i="64"/>
  <c r="G28" i="64" s="1"/>
  <c r="N5" i="64" s="1"/>
  <c r="B28" i="64"/>
  <c r="E26" i="79"/>
  <c r="D26" i="79"/>
  <c r="B24" i="83"/>
  <c r="I32" i="34"/>
  <c r="B30" i="74"/>
  <c r="D32" i="3"/>
  <c r="E32" i="3" s="1"/>
  <c r="I27" i="56"/>
  <c r="G31" i="41"/>
  <c r="D32" i="41"/>
  <c r="E32" i="41"/>
  <c r="D29" i="54"/>
  <c r="E29" i="54"/>
  <c r="B27" i="68"/>
  <c r="F27" i="68"/>
  <c r="G27" i="68" s="1"/>
  <c r="N5" i="68" s="1"/>
  <c r="B28" i="56"/>
  <c r="B33" i="71"/>
  <c r="F33" i="71"/>
  <c r="H33" i="71" s="1"/>
  <c r="N6" i="71" s="1"/>
  <c r="B33" i="30"/>
  <c r="D32" i="19"/>
  <c r="E32" i="19"/>
  <c r="E26" i="78"/>
  <c r="D26" i="78"/>
  <c r="I27" i="64"/>
  <c r="D24" i="92"/>
  <c r="E24" i="92"/>
  <c r="B34" i="69"/>
  <c r="F35" i="28"/>
  <c r="B35" i="28"/>
  <c r="D24" i="89"/>
  <c r="E24" i="89"/>
  <c r="D28" i="63"/>
  <c r="E28" i="63"/>
  <c r="F25" i="88"/>
  <c r="G25" i="88" s="1"/>
  <c r="B25" i="88"/>
  <c r="E23" i="26"/>
  <c r="F23" i="26" s="1"/>
  <c r="B23" i="26"/>
  <c r="I32" i="71"/>
  <c r="D26" i="77"/>
  <c r="E26" i="77"/>
  <c r="E31" i="73"/>
  <c r="D31" i="73"/>
  <c r="J110" i="19"/>
  <c r="J109" i="43"/>
  <c r="J107" i="72"/>
  <c r="J106" i="64"/>
  <c r="J106" i="61"/>
  <c r="J102" i="84"/>
  <c r="J102" i="90"/>
  <c r="J105" i="68"/>
  <c r="J112" i="69"/>
  <c r="J112" i="23"/>
  <c r="J112" i="70"/>
  <c r="J106" i="60"/>
  <c r="B23" i="13"/>
  <c r="F23" i="13"/>
  <c r="H23" i="13" s="1"/>
  <c r="B27" i="62"/>
  <c r="D33" i="18"/>
  <c r="E33" i="18"/>
  <c r="I30" i="20"/>
  <c r="J112" i="27"/>
  <c r="J107" i="58"/>
  <c r="J107" i="46"/>
  <c r="J107" i="53"/>
  <c r="G32" i="18"/>
  <c r="N5" i="18" s="1"/>
  <c r="G30" i="35"/>
  <c r="B31" i="35"/>
  <c r="H30" i="35"/>
  <c r="E31" i="35"/>
  <c r="F31" i="35" s="1"/>
  <c r="I26" i="62"/>
  <c r="D28" i="59"/>
  <c r="E28" i="59"/>
  <c r="B31" i="20"/>
  <c r="J102" i="86"/>
  <c r="J112" i="29"/>
  <c r="B24" i="87"/>
  <c r="F24" i="87"/>
  <c r="H32" i="18"/>
  <c r="N6" i="18" s="1"/>
  <c r="I22" i="13"/>
  <c r="J108" i="74"/>
  <c r="J104" i="79"/>
  <c r="M88" i="81"/>
  <c r="M89" i="81" s="1"/>
  <c r="N88" i="81"/>
  <c r="J102" i="92"/>
  <c r="B108" i="62"/>
  <c r="J111" i="31"/>
  <c r="J110" i="20"/>
  <c r="N88" i="22"/>
  <c r="M88" i="22"/>
  <c r="M89" i="22" s="1"/>
  <c r="M88" i="91"/>
  <c r="M89" i="91" s="1"/>
  <c r="N88" i="91"/>
  <c r="N88" i="73"/>
  <c r="J104" i="78"/>
  <c r="M88" i="45"/>
  <c r="M89" i="45" s="1"/>
  <c r="N88" i="45"/>
  <c r="D108" i="65"/>
  <c r="E108" i="65"/>
  <c r="J103" i="85"/>
  <c r="J110" i="34"/>
  <c r="J102" i="88"/>
  <c r="M88" i="89"/>
  <c r="M89" i="89" s="1"/>
  <c r="N88" i="89"/>
  <c r="J105" i="66"/>
  <c r="B110" i="45"/>
  <c r="B111" i="41"/>
  <c r="J106" i="63"/>
  <c r="J109" i="39"/>
  <c r="N88" i="62"/>
  <c r="M88" i="62"/>
  <c r="M89" i="62" s="1"/>
  <c r="B104" i="91"/>
  <c r="B111" i="73"/>
  <c r="B104" i="89"/>
  <c r="J111" i="32"/>
  <c r="J112" i="30"/>
  <c r="N88" i="41"/>
  <c r="M88" i="41"/>
  <c r="M89" i="41" s="1"/>
  <c r="B112" i="22"/>
  <c r="E113" i="18"/>
  <c r="D113" i="18"/>
  <c r="J108" i="57"/>
  <c r="D109" i="59"/>
  <c r="E109" i="59"/>
  <c r="J107" i="59"/>
  <c r="D114" i="23"/>
  <c r="E114" i="23"/>
  <c r="J111" i="35"/>
  <c r="D114" i="71"/>
  <c r="E114" i="71"/>
  <c r="E110" i="57"/>
  <c r="D110" i="57"/>
  <c r="J112" i="71"/>
  <c r="B106" i="75"/>
  <c r="B103" i="33"/>
  <c r="J113" i="28"/>
  <c r="J103" i="82"/>
  <c r="B111" i="42"/>
  <c r="B109" i="55"/>
  <c r="N88" i="75"/>
  <c r="M88" i="75"/>
  <c r="M89" i="75" s="1"/>
  <c r="J102" i="96"/>
  <c r="B106" i="76"/>
  <c r="B112" i="21"/>
  <c r="N88" i="24"/>
  <c r="M88" i="24"/>
  <c r="M89" i="24" s="1"/>
  <c r="M88" i="80"/>
  <c r="M89" i="80" s="1"/>
  <c r="N88" i="80"/>
  <c r="J105" i="67"/>
  <c r="N88" i="55"/>
  <c r="M88" i="55"/>
  <c r="M89" i="55" s="1"/>
  <c r="M88" i="83"/>
  <c r="M89" i="83" s="1"/>
  <c r="N88" i="83"/>
  <c r="I102" i="13"/>
  <c r="H102" i="13"/>
  <c r="N88" i="42"/>
  <c r="M88" i="42"/>
  <c r="M89" i="42" s="1"/>
  <c r="D104" i="96"/>
  <c r="B104" i="93"/>
  <c r="F104" i="93"/>
  <c r="I102" i="33"/>
  <c r="H102" i="33"/>
  <c r="J109" i="44"/>
  <c r="E114" i="35"/>
  <c r="F114" i="35" s="1"/>
  <c r="B114" i="35"/>
  <c r="G113" i="35"/>
  <c r="B113" i="24"/>
  <c r="B105" i="80"/>
  <c r="N88" i="17"/>
  <c r="M88" i="17"/>
  <c r="J110" i="3"/>
  <c r="M88" i="77"/>
  <c r="M89" i="77" s="1"/>
  <c r="N88" i="77"/>
  <c r="B109" i="54"/>
  <c r="J102" i="87"/>
  <c r="E103" i="33"/>
  <c r="F103" i="33" s="1"/>
  <c r="B106" i="77"/>
  <c r="B105" i="83"/>
  <c r="M88" i="54"/>
  <c r="M89" i="54" s="1"/>
  <c r="N88" i="54"/>
  <c r="M88" i="76"/>
  <c r="M89" i="76" s="1"/>
  <c r="N88" i="76"/>
  <c r="F103" i="13"/>
  <c r="B103" i="13"/>
  <c r="M88" i="21"/>
  <c r="M89" i="21" s="1"/>
  <c r="N88" i="21"/>
  <c r="I112" i="35"/>
  <c r="N88" i="35" s="1"/>
  <c r="H112" i="35"/>
  <c r="M88" i="35" s="1"/>
  <c r="M89" i="35" s="1"/>
  <c r="E58" i="36"/>
  <c r="F82" i="36"/>
  <c r="E20" i="36"/>
  <c r="E57" i="36"/>
  <c r="E38" i="36"/>
  <c r="F74" i="36"/>
  <c r="E47" i="36"/>
  <c r="F50" i="36"/>
  <c r="E25" i="36"/>
  <c r="F61" i="36"/>
  <c r="F33" i="36"/>
  <c r="E60" i="36"/>
  <c r="F89" i="36"/>
  <c r="E56" i="36"/>
  <c r="G89" i="36" l="1"/>
  <c r="N7" i="23"/>
  <c r="I22" i="100"/>
  <c r="N7" i="66"/>
  <c r="D23" i="100"/>
  <c r="E23" i="100"/>
  <c r="G33" i="36"/>
  <c r="G50" i="36"/>
  <c r="G82" i="36"/>
  <c r="G74" i="36"/>
  <c r="I24" i="91"/>
  <c r="N5" i="91"/>
  <c r="N7" i="55"/>
  <c r="I22" i="98"/>
  <c r="N6" i="98"/>
  <c r="N7" i="98" s="1"/>
  <c r="I22" i="99"/>
  <c r="N5" i="99"/>
  <c r="N7" i="18"/>
  <c r="I31" i="41"/>
  <c r="N5" i="41"/>
  <c r="I24" i="88"/>
  <c r="N5" i="88"/>
  <c r="I27" i="67"/>
  <c r="N5" i="67"/>
  <c r="H102" i="100"/>
  <c r="I102" i="100"/>
  <c r="J102" i="100" s="1"/>
  <c r="E103" i="100"/>
  <c r="F103" i="100" s="1"/>
  <c r="B103" i="100"/>
  <c r="G61" i="36"/>
  <c r="I25" i="78"/>
  <c r="I24" i="81"/>
  <c r="I27" i="63"/>
  <c r="I22" i="96"/>
  <c r="I31" i="22"/>
  <c r="I27" i="59"/>
  <c r="I23" i="92"/>
  <c r="I25" i="79"/>
  <c r="I22" i="95"/>
  <c r="I28" i="54"/>
  <c r="I33" i="27"/>
  <c r="I24" i="84"/>
  <c r="I28" i="53"/>
  <c r="I22" i="93"/>
  <c r="I32" i="24"/>
  <c r="B110" i="56"/>
  <c r="I25" i="77"/>
  <c r="I23" i="89"/>
  <c r="I27" i="61"/>
  <c r="I28" i="46"/>
  <c r="I31" i="19"/>
  <c r="I31" i="3"/>
  <c r="I24" i="85"/>
  <c r="I30" i="73"/>
  <c r="I30" i="39"/>
  <c r="I25" i="76"/>
  <c r="I30" i="44"/>
  <c r="I28" i="72"/>
  <c r="O88" i="35"/>
  <c r="O89" i="35" s="1"/>
  <c r="N89" i="35"/>
  <c r="O88" i="77"/>
  <c r="O89" i="77" s="1"/>
  <c r="N89" i="77"/>
  <c r="O88" i="17"/>
  <c r="N89" i="75"/>
  <c r="O88" i="75"/>
  <c r="O89" i="75" s="1"/>
  <c r="N89" i="73"/>
  <c r="O88" i="73"/>
  <c r="O89" i="73" s="1"/>
  <c r="O88" i="22"/>
  <c r="O89" i="22" s="1"/>
  <c r="N89" i="22"/>
  <c r="J111" i="18"/>
  <c r="M88" i="18"/>
  <c r="N89" i="54"/>
  <c r="O88" i="54"/>
  <c r="O89" i="54" s="1"/>
  <c r="N89" i="55"/>
  <c r="O88" i="55"/>
  <c r="O89" i="55" s="1"/>
  <c r="N89" i="62"/>
  <c r="O88" i="62"/>
  <c r="O89" i="62" s="1"/>
  <c r="N89" i="81"/>
  <c r="O88" i="81"/>
  <c r="O89" i="81" s="1"/>
  <c r="J106" i="65"/>
  <c r="N88" i="65"/>
  <c r="N89" i="83"/>
  <c r="O88" i="83"/>
  <c r="O89" i="83" s="1"/>
  <c r="N89" i="24"/>
  <c r="O88" i="24"/>
  <c r="O89" i="24" s="1"/>
  <c r="N89" i="41"/>
  <c r="O88" i="41"/>
  <c r="O89" i="41" s="1"/>
  <c r="N89" i="45"/>
  <c r="O88" i="45"/>
  <c r="O89" i="45" s="1"/>
  <c r="N89" i="21"/>
  <c r="O88" i="21"/>
  <c r="O89" i="21" s="1"/>
  <c r="N89" i="76"/>
  <c r="O88" i="76"/>
  <c r="O89" i="76" s="1"/>
  <c r="N89" i="42"/>
  <c r="O88" i="42"/>
  <c r="O89" i="42" s="1"/>
  <c r="N89" i="80"/>
  <c r="O88" i="80"/>
  <c r="O89" i="80" s="1"/>
  <c r="N89" i="89"/>
  <c r="O88" i="89"/>
  <c r="O89" i="89" s="1"/>
  <c r="O88" i="91"/>
  <c r="O89" i="91" s="1"/>
  <c r="N89" i="91"/>
  <c r="J109" i="56"/>
  <c r="B31" i="43"/>
  <c r="D106" i="81"/>
  <c r="I30" i="43"/>
  <c r="I22" i="25"/>
  <c r="F23" i="99"/>
  <c r="H23" i="99" s="1"/>
  <c r="B23" i="99"/>
  <c r="D24" i="97"/>
  <c r="E24" i="97"/>
  <c r="F23" i="98"/>
  <c r="B23" i="98"/>
  <c r="E23" i="25"/>
  <c r="F23" i="25" s="1"/>
  <c r="B23" i="25"/>
  <c r="H23" i="97"/>
  <c r="G23" i="97"/>
  <c r="I31" i="17"/>
  <c r="J102" i="99"/>
  <c r="E104" i="99"/>
  <c r="D104" i="99"/>
  <c r="G103" i="99"/>
  <c r="F29" i="72"/>
  <c r="G29" i="72" s="1"/>
  <c r="N5" i="72" s="1"/>
  <c r="I34" i="69"/>
  <c r="H31" i="43"/>
  <c r="N6" i="43" s="1"/>
  <c r="G31" i="43"/>
  <c r="N5" i="43" s="1"/>
  <c r="G103" i="25"/>
  <c r="D104" i="25"/>
  <c r="B104" i="25" s="1"/>
  <c r="J102" i="25"/>
  <c r="N88" i="94"/>
  <c r="I30" i="42"/>
  <c r="D31" i="74"/>
  <c r="F31" i="74" s="1"/>
  <c r="H31" i="74" s="1"/>
  <c r="N6" i="74" s="1"/>
  <c r="I31" i="21"/>
  <c r="F32" i="3"/>
  <c r="D33" i="3" s="1"/>
  <c r="B104" i="26"/>
  <c r="E104" i="26"/>
  <c r="F104" i="26" s="1"/>
  <c r="H103" i="98"/>
  <c r="I103" i="98"/>
  <c r="B104" i="98"/>
  <c r="F104" i="98"/>
  <c r="I103" i="97"/>
  <c r="H103" i="97"/>
  <c r="H103" i="26"/>
  <c r="I103" i="26"/>
  <c r="F104" i="97"/>
  <c r="B104" i="97"/>
  <c r="F104" i="95"/>
  <c r="J103" i="93"/>
  <c r="B28" i="67"/>
  <c r="F28" i="67"/>
  <c r="G28" i="67" s="1"/>
  <c r="H27" i="65"/>
  <c r="F29" i="46"/>
  <c r="G29" i="46" s="1"/>
  <c r="N5" i="46" s="1"/>
  <c r="B29" i="46"/>
  <c r="D32" i="43"/>
  <c r="B32" i="43" s="1"/>
  <c r="F31" i="42"/>
  <c r="D32" i="42" s="1"/>
  <c r="F33" i="24"/>
  <c r="H33" i="24" s="1"/>
  <c r="N6" i="24" s="1"/>
  <c r="B33" i="24"/>
  <c r="G25" i="80"/>
  <c r="N5" i="80" s="1"/>
  <c r="D26" i="80"/>
  <c r="E26" i="80"/>
  <c r="B24" i="94"/>
  <c r="F24" i="94"/>
  <c r="H24" i="94" s="1"/>
  <c r="N6" i="94" s="1"/>
  <c r="D27" i="82"/>
  <c r="E27" i="82"/>
  <c r="H26" i="82"/>
  <c r="I26" i="82" s="1"/>
  <c r="B23" i="93"/>
  <c r="F23" i="93"/>
  <c r="G23" i="93" s="1"/>
  <c r="N5" i="93" s="1"/>
  <c r="H25" i="80"/>
  <c r="N6" i="80" s="1"/>
  <c r="G25" i="86"/>
  <c r="N5" i="86" s="1"/>
  <c r="D26" i="86"/>
  <c r="H25" i="86"/>
  <c r="N6" i="86" s="1"/>
  <c r="E26" i="86"/>
  <c r="I23" i="94"/>
  <c r="B25" i="91"/>
  <c r="F25" i="91"/>
  <c r="H25" i="91" s="1"/>
  <c r="H28" i="64"/>
  <c r="I27" i="66"/>
  <c r="D27" i="75"/>
  <c r="E27" i="75"/>
  <c r="I33" i="23"/>
  <c r="F29" i="53"/>
  <c r="H29" i="53" s="1"/>
  <c r="N6" i="53" s="1"/>
  <c r="B29" i="53"/>
  <c r="H25" i="88"/>
  <c r="I25" i="88" s="1"/>
  <c r="G26" i="75"/>
  <c r="N5" i="75" s="1"/>
  <c r="G30" i="58"/>
  <c r="E31" i="58"/>
  <c r="H30" i="58"/>
  <c r="D31" i="58"/>
  <c r="F34" i="23"/>
  <c r="B34" i="23"/>
  <c r="B31" i="42"/>
  <c r="F23" i="95"/>
  <c r="E24" i="95" s="1"/>
  <c r="F25" i="84"/>
  <c r="G25" i="84" s="1"/>
  <c r="N5" i="84" s="1"/>
  <c r="B25" i="84"/>
  <c r="B26" i="90"/>
  <c r="F26" i="90"/>
  <c r="G26" i="90" s="1"/>
  <c r="G30" i="55"/>
  <c r="I30" i="55" s="1"/>
  <c r="E31" i="55"/>
  <c r="D31" i="55"/>
  <c r="H26" i="75"/>
  <c r="N6" i="75" s="1"/>
  <c r="N7" i="75" s="1"/>
  <c r="E28" i="65"/>
  <c r="D28" i="65"/>
  <c r="F28" i="66"/>
  <c r="B28" i="66"/>
  <c r="F34" i="27"/>
  <c r="B34" i="27"/>
  <c r="B32" i="22"/>
  <c r="F32" i="22"/>
  <c r="G32" i="22" s="1"/>
  <c r="N5" i="22" s="1"/>
  <c r="B25" i="85"/>
  <c r="F25" i="85"/>
  <c r="H25" i="85" s="1"/>
  <c r="N6" i="85" s="1"/>
  <c r="H34" i="31"/>
  <c r="I34" i="31" s="1"/>
  <c r="D32" i="39"/>
  <c r="E32" i="39"/>
  <c r="B23" i="95"/>
  <c r="B23" i="96"/>
  <c r="F23" i="96"/>
  <c r="H23" i="96" s="1"/>
  <c r="N6" i="96" s="1"/>
  <c r="B28" i="61"/>
  <c r="F28" i="61"/>
  <c r="G28" i="61" s="1"/>
  <c r="N5" i="61" s="1"/>
  <c r="B25" i="81"/>
  <c r="F25" i="81"/>
  <c r="G25" i="81" s="1"/>
  <c r="N5" i="81" s="1"/>
  <c r="F31" i="44"/>
  <c r="G31" i="44" s="1"/>
  <c r="N5" i="44" s="1"/>
  <c r="B31" i="44"/>
  <c r="F32" i="19"/>
  <c r="G32" i="19" s="1"/>
  <c r="N5" i="19" s="1"/>
  <c r="H31" i="39"/>
  <c r="I31" i="39" s="1"/>
  <c r="B26" i="76"/>
  <c r="F26" i="76"/>
  <c r="I23" i="33"/>
  <c r="B32" i="41"/>
  <c r="F32" i="41"/>
  <c r="G32" i="41" s="1"/>
  <c r="C41" i="17"/>
  <c r="B32" i="17"/>
  <c r="F32" i="17"/>
  <c r="F34" i="29"/>
  <c r="H34" i="29" s="1"/>
  <c r="N6" i="29" s="1"/>
  <c r="B34" i="29"/>
  <c r="G23" i="26"/>
  <c r="H23" i="26"/>
  <c r="D24" i="26"/>
  <c r="E24" i="26" s="1"/>
  <c r="D36" i="28"/>
  <c r="E36" i="28"/>
  <c r="B32" i="19"/>
  <c r="D34" i="71"/>
  <c r="E34" i="71"/>
  <c r="D29" i="56"/>
  <c r="E29" i="56"/>
  <c r="D28" i="68"/>
  <c r="E28" i="68"/>
  <c r="B29" i="57"/>
  <c r="F29" i="57"/>
  <c r="H29" i="57" s="1"/>
  <c r="N6" i="57" s="1"/>
  <c r="B33" i="32"/>
  <c r="G33" i="34"/>
  <c r="N5" i="34" s="1"/>
  <c r="E34" i="34"/>
  <c r="D34" i="34"/>
  <c r="G30" i="45"/>
  <c r="N5" i="45" s="1"/>
  <c r="E31" i="45"/>
  <c r="D31" i="45"/>
  <c r="F34" i="70"/>
  <c r="H34" i="70" s="1"/>
  <c r="N6" i="70" s="1"/>
  <c r="B34" i="70"/>
  <c r="B26" i="77"/>
  <c r="F26" i="77"/>
  <c r="H26" i="77" s="1"/>
  <c r="N6" i="77" s="1"/>
  <c r="H35" i="28"/>
  <c r="N6" i="28" s="1"/>
  <c r="F24" i="92"/>
  <c r="B24" i="92"/>
  <c r="F26" i="78"/>
  <c r="G26" i="78" s="1"/>
  <c r="N5" i="78" s="1"/>
  <c r="B26" i="78"/>
  <c r="D25" i="83"/>
  <c r="E25" i="83"/>
  <c r="I28" i="57"/>
  <c r="H30" i="45"/>
  <c r="N6" i="45" s="1"/>
  <c r="D28" i="60"/>
  <c r="E28" i="60"/>
  <c r="F33" i="32"/>
  <c r="B29" i="54"/>
  <c r="F29" i="54"/>
  <c r="G29" i="54" s="1"/>
  <c r="N5" i="54" s="1"/>
  <c r="B32" i="21"/>
  <c r="F32" i="21"/>
  <c r="H32" i="21" s="1"/>
  <c r="N6" i="21" s="1"/>
  <c r="D35" i="69"/>
  <c r="E35" i="69"/>
  <c r="B31" i="73"/>
  <c r="F31" i="73"/>
  <c r="I32" i="32"/>
  <c r="E26" i="88"/>
  <c r="D26" i="88"/>
  <c r="F28" i="63"/>
  <c r="H28" i="63" s="1"/>
  <c r="N6" i="63" s="1"/>
  <c r="B28" i="63"/>
  <c r="B24" i="89"/>
  <c r="F24" i="89"/>
  <c r="G24" i="89" s="1"/>
  <c r="N5" i="89" s="1"/>
  <c r="G35" i="28"/>
  <c r="N5" i="28" s="1"/>
  <c r="D34" i="30"/>
  <c r="E34" i="30"/>
  <c r="G33" i="71"/>
  <c r="H27" i="68"/>
  <c r="B32" i="3"/>
  <c r="F26" i="79"/>
  <c r="G26" i="79" s="1"/>
  <c r="N5" i="79" s="1"/>
  <c r="B26" i="79"/>
  <c r="I33" i="70"/>
  <c r="E29" i="64"/>
  <c r="D29" i="64"/>
  <c r="I33" i="29"/>
  <c r="E35" i="31"/>
  <c r="D35" i="31"/>
  <c r="H33" i="34"/>
  <c r="N6" i="34" s="1"/>
  <c r="B24" i="33"/>
  <c r="F24" i="33"/>
  <c r="D113" i="17"/>
  <c r="B113" i="17" s="1"/>
  <c r="E113" i="17"/>
  <c r="D25" i="87"/>
  <c r="E25" i="87"/>
  <c r="D28" i="62"/>
  <c r="E28" i="62"/>
  <c r="J103" i="89"/>
  <c r="J104" i="81"/>
  <c r="E32" i="35"/>
  <c r="F32" i="35" s="1"/>
  <c r="G31" i="35"/>
  <c r="H31" i="35"/>
  <c r="B32" i="35"/>
  <c r="D24" i="13"/>
  <c r="E24" i="13" s="1"/>
  <c r="G24" i="87"/>
  <c r="N5" i="87" s="1"/>
  <c r="D32" i="20"/>
  <c r="E32" i="20"/>
  <c r="B28" i="59"/>
  <c r="F28" i="59"/>
  <c r="G28" i="59" s="1"/>
  <c r="N5" i="59" s="1"/>
  <c r="I30" i="35"/>
  <c r="B33" i="18"/>
  <c r="F33" i="18"/>
  <c r="G33" i="18" s="1"/>
  <c r="G23" i="13"/>
  <c r="I32" i="18"/>
  <c r="J107" i="62"/>
  <c r="J103" i="91"/>
  <c r="H24" i="87"/>
  <c r="N6" i="87" s="1"/>
  <c r="B112" i="34"/>
  <c r="N88" i="69"/>
  <c r="M88" i="69"/>
  <c r="M89" i="69" s="1"/>
  <c r="B113" i="31"/>
  <c r="N88" i="88"/>
  <c r="M88" i="88"/>
  <c r="M89" i="88" s="1"/>
  <c r="N88" i="27"/>
  <c r="M88" i="27"/>
  <c r="M89" i="27" s="1"/>
  <c r="N88" i="30"/>
  <c r="M88" i="30"/>
  <c r="M89" i="30" s="1"/>
  <c r="M88" i="32"/>
  <c r="M89" i="32" s="1"/>
  <c r="N88" i="32"/>
  <c r="B105" i="85"/>
  <c r="B112" i="19"/>
  <c r="M88" i="70"/>
  <c r="M89" i="70" s="1"/>
  <c r="N88" i="70"/>
  <c r="B108" i="64"/>
  <c r="M88" i="66"/>
  <c r="M89" i="66" s="1"/>
  <c r="N88" i="66"/>
  <c r="F108" i="65"/>
  <c r="B108" i="65"/>
  <c r="M88" i="20"/>
  <c r="M89" i="20" s="1"/>
  <c r="N88" i="20"/>
  <c r="M88" i="72"/>
  <c r="M89" i="72" s="1"/>
  <c r="N88" i="72"/>
  <c r="B104" i="90"/>
  <c r="B104" i="86"/>
  <c r="N88" i="63"/>
  <c r="M88" i="63"/>
  <c r="M89" i="63" s="1"/>
  <c r="N88" i="60"/>
  <c r="M88" i="60"/>
  <c r="M89" i="60" s="1"/>
  <c r="B111" i="43"/>
  <c r="D113" i="22"/>
  <c r="E113" i="22"/>
  <c r="B104" i="88"/>
  <c r="B114" i="27"/>
  <c r="B114" i="30"/>
  <c r="M88" i="85"/>
  <c r="M89" i="85" s="1"/>
  <c r="N88" i="85"/>
  <c r="B108" i="61"/>
  <c r="D111" i="45"/>
  <c r="E111" i="45"/>
  <c r="B111" i="39"/>
  <c r="B109" i="53"/>
  <c r="N88" i="79"/>
  <c r="M88" i="79"/>
  <c r="M89" i="79" s="1"/>
  <c r="B109" i="72"/>
  <c r="J109" i="45"/>
  <c r="M88" i="90"/>
  <c r="M89" i="90" s="1"/>
  <c r="N88" i="90"/>
  <c r="M88" i="58"/>
  <c r="M89" i="58" s="1"/>
  <c r="N88" i="58"/>
  <c r="J111" i="22"/>
  <c r="D109" i="62"/>
  <c r="E109" i="62"/>
  <c r="B106" i="78"/>
  <c r="M88" i="84"/>
  <c r="M89" i="84" s="1"/>
  <c r="N88" i="84"/>
  <c r="B108" i="63"/>
  <c r="J110" i="41"/>
  <c r="D112" i="73"/>
  <c r="E112" i="73"/>
  <c r="D105" i="91"/>
  <c r="E105" i="91"/>
  <c r="B113" i="32"/>
  <c r="M88" i="68"/>
  <c r="M89" i="68" s="1"/>
  <c r="N88" i="68"/>
  <c r="E112" i="41"/>
  <c r="D112" i="41"/>
  <c r="N88" i="39"/>
  <c r="M88" i="39"/>
  <c r="M89" i="39" s="1"/>
  <c r="B114" i="70"/>
  <c r="N88" i="64"/>
  <c r="M88" i="64"/>
  <c r="M89" i="64" s="1"/>
  <c r="B107" i="66"/>
  <c r="B112" i="20"/>
  <c r="M88" i="29"/>
  <c r="M89" i="29" s="1"/>
  <c r="N88" i="29"/>
  <c r="B110" i="74"/>
  <c r="M88" i="92"/>
  <c r="M89" i="92" s="1"/>
  <c r="N88" i="92"/>
  <c r="N88" i="78"/>
  <c r="M88" i="78"/>
  <c r="M89" i="78" s="1"/>
  <c r="B104" i="84"/>
  <c r="N88" i="43"/>
  <c r="M88" i="43"/>
  <c r="M89" i="43" s="1"/>
  <c r="B109" i="46"/>
  <c r="B114" i="69"/>
  <c r="M88" i="31"/>
  <c r="M89" i="31" s="1"/>
  <c r="N88" i="31"/>
  <c r="E105" i="89"/>
  <c r="D105" i="89"/>
  <c r="B107" i="68"/>
  <c r="M88" i="61"/>
  <c r="M89" i="61" s="1"/>
  <c r="N88" i="61"/>
  <c r="M88" i="19"/>
  <c r="M89" i="19" s="1"/>
  <c r="N88" i="19"/>
  <c r="N88" i="53"/>
  <c r="M88" i="53"/>
  <c r="M89" i="53" s="1"/>
  <c r="B106" i="79"/>
  <c r="B114" i="29"/>
  <c r="J110" i="73"/>
  <c r="B104" i="92"/>
  <c r="B109" i="58"/>
  <c r="B108" i="60"/>
  <c r="N88" i="46"/>
  <c r="M88" i="46"/>
  <c r="M89" i="46" s="1"/>
  <c r="B114" i="23"/>
  <c r="F114" i="23"/>
  <c r="F109" i="59"/>
  <c r="B109" i="59"/>
  <c r="E111" i="56"/>
  <c r="G110" i="56"/>
  <c r="D111" i="56"/>
  <c r="F113" i="18"/>
  <c r="B113" i="18"/>
  <c r="F114" i="71"/>
  <c r="B114" i="71"/>
  <c r="F110" i="57"/>
  <c r="B110" i="57"/>
  <c r="D107" i="75"/>
  <c r="E107" i="75"/>
  <c r="J105" i="76"/>
  <c r="N88" i="67"/>
  <c r="M88" i="67"/>
  <c r="M89" i="67" s="1"/>
  <c r="B111" i="44"/>
  <c r="G114" i="35"/>
  <c r="B115" i="35"/>
  <c r="E115" i="35"/>
  <c r="F115" i="35" s="1"/>
  <c r="B104" i="96"/>
  <c r="M88" i="87"/>
  <c r="M89" i="87" s="1"/>
  <c r="N88" i="87"/>
  <c r="D106" i="80"/>
  <c r="E106" i="80"/>
  <c r="J110" i="42"/>
  <c r="J112" i="24"/>
  <c r="M88" i="3"/>
  <c r="M89" i="3" s="1"/>
  <c r="N88" i="3"/>
  <c r="M88" i="82"/>
  <c r="M89" i="82" s="1"/>
  <c r="N88" i="82"/>
  <c r="J102" i="33"/>
  <c r="M88" i="28"/>
  <c r="M89" i="28" s="1"/>
  <c r="N88" i="28"/>
  <c r="J112" i="35"/>
  <c r="G103" i="13"/>
  <c r="D104" i="13"/>
  <c r="E106" i="83"/>
  <c r="D106" i="83"/>
  <c r="B107" i="67"/>
  <c r="M88" i="44"/>
  <c r="M89" i="44" s="1"/>
  <c r="N88" i="44"/>
  <c r="E104" i="96"/>
  <c r="F104" i="96" s="1"/>
  <c r="B115" i="28"/>
  <c r="J102" i="13"/>
  <c r="J104" i="80"/>
  <c r="D110" i="55"/>
  <c r="E110" i="55"/>
  <c r="D114" i="24"/>
  <c r="E114" i="24"/>
  <c r="J111" i="17"/>
  <c r="E107" i="76"/>
  <c r="D107" i="76"/>
  <c r="J105" i="75"/>
  <c r="G103" i="33"/>
  <c r="D104" i="33"/>
  <c r="E104" i="33" s="1"/>
  <c r="J111" i="21"/>
  <c r="J108" i="54"/>
  <c r="D107" i="77"/>
  <c r="E107" i="77"/>
  <c r="B104" i="87"/>
  <c r="D110" i="54"/>
  <c r="E110" i="54"/>
  <c r="J105" i="77"/>
  <c r="I113" i="35"/>
  <c r="H113" i="35"/>
  <c r="G104" i="93"/>
  <c r="D105" i="93"/>
  <c r="E105" i="93" s="1"/>
  <c r="J104" i="83"/>
  <c r="J108" i="55"/>
  <c r="E113" i="21"/>
  <c r="D113" i="21"/>
  <c r="B112" i="3"/>
  <c r="B105" i="82"/>
  <c r="D112" i="42"/>
  <c r="E112" i="42"/>
  <c r="E70" i="36"/>
  <c r="E43" i="36"/>
  <c r="E80" i="36"/>
  <c r="E64" i="36"/>
  <c r="E36" i="36"/>
  <c r="E44" i="36"/>
  <c r="E71" i="36"/>
  <c r="E46" i="36"/>
  <c r="E85" i="36"/>
  <c r="E76" i="36"/>
  <c r="E83" i="36"/>
  <c r="F47" i="36"/>
  <c r="E72" i="36"/>
  <c r="E41" i="36"/>
  <c r="E24" i="36"/>
  <c r="F20" i="36"/>
  <c r="F58" i="36"/>
  <c r="E30" i="36"/>
  <c r="F90" i="36"/>
  <c r="E79" i="36"/>
  <c r="E42" i="36"/>
  <c r="F25" i="36"/>
  <c r="E73" i="36"/>
  <c r="E21" i="36"/>
  <c r="E78" i="36"/>
  <c r="E51" i="36"/>
  <c r="E91" i="36"/>
  <c r="E59" i="36"/>
  <c r="F67" i="36"/>
  <c r="E67" i="36"/>
  <c r="E81" i="36"/>
  <c r="E39" i="36"/>
  <c r="E52" i="36"/>
  <c r="N7" i="43" l="1"/>
  <c r="N7" i="34"/>
  <c r="N7" i="28"/>
  <c r="G25" i="36"/>
  <c r="N7" i="87"/>
  <c r="G58" i="36"/>
  <c r="N7" i="86"/>
  <c r="B23" i="100"/>
  <c r="F23" i="100"/>
  <c r="D24" i="100" s="1"/>
  <c r="H23" i="100"/>
  <c r="G90" i="36"/>
  <c r="G20" i="36"/>
  <c r="G47" i="36"/>
  <c r="I27" i="68"/>
  <c r="N6" i="68"/>
  <c r="N7" i="68" s="1"/>
  <c r="N7" i="67"/>
  <c r="N7" i="99"/>
  <c r="I33" i="71"/>
  <c r="N5" i="71"/>
  <c r="N7" i="88"/>
  <c r="I28" i="64"/>
  <c r="N6" i="64"/>
  <c r="N7" i="64" s="1"/>
  <c r="N7" i="45"/>
  <c r="N7" i="80"/>
  <c r="N7" i="41"/>
  <c r="N7" i="91"/>
  <c r="I27" i="65"/>
  <c r="N6" i="65"/>
  <c r="N7" i="65" s="1"/>
  <c r="N6" i="39"/>
  <c r="N7" i="39" s="1"/>
  <c r="G103" i="100"/>
  <c r="D104" i="100"/>
  <c r="B104" i="100" s="1"/>
  <c r="E104" i="100"/>
  <c r="F104" i="100" s="1"/>
  <c r="G67" i="36"/>
  <c r="I33" i="30"/>
  <c r="I24" i="83"/>
  <c r="I27" i="60"/>
  <c r="I28" i="56"/>
  <c r="I31" i="20"/>
  <c r="N89" i="28"/>
  <c r="O88" i="28"/>
  <c r="O89" i="28" s="1"/>
  <c r="N89" i="87"/>
  <c r="O88" i="87"/>
  <c r="O89" i="87" s="1"/>
  <c r="N89" i="61"/>
  <c r="O88" i="61"/>
  <c r="O89" i="61" s="1"/>
  <c r="N89" i="31"/>
  <c r="O88" i="31"/>
  <c r="O89" i="31" s="1"/>
  <c r="O88" i="20"/>
  <c r="O89" i="20" s="1"/>
  <c r="N89" i="20"/>
  <c r="N89" i="66"/>
  <c r="O88" i="66"/>
  <c r="O89" i="66" s="1"/>
  <c r="N89" i="70"/>
  <c r="O88" i="70"/>
  <c r="O89" i="70" s="1"/>
  <c r="N89" i="67"/>
  <c r="O88" i="67"/>
  <c r="O89" i="67" s="1"/>
  <c r="O88" i="53"/>
  <c r="O89" i="53" s="1"/>
  <c r="N89" i="53"/>
  <c r="N89" i="64"/>
  <c r="O88" i="64"/>
  <c r="O89" i="64" s="1"/>
  <c r="N89" i="39"/>
  <c r="O88" i="39"/>
  <c r="O89" i="39" s="1"/>
  <c r="O88" i="68"/>
  <c r="O89" i="68" s="1"/>
  <c r="N89" i="68"/>
  <c r="N89" i="90"/>
  <c r="O88" i="90"/>
  <c r="O89" i="90" s="1"/>
  <c r="N89" i="85"/>
  <c r="O88" i="85"/>
  <c r="O89" i="85" s="1"/>
  <c r="N89" i="63"/>
  <c r="O88" i="63"/>
  <c r="O89" i="63" s="1"/>
  <c r="N89" i="30"/>
  <c r="O88" i="30"/>
  <c r="O89" i="30" s="1"/>
  <c r="N89" i="88"/>
  <c r="O88" i="88"/>
  <c r="O89" i="88" s="1"/>
  <c r="N89" i="69"/>
  <c r="O88" i="69"/>
  <c r="O89" i="69" s="1"/>
  <c r="O88" i="65"/>
  <c r="O89" i="65" s="1"/>
  <c r="N89" i="65"/>
  <c r="N89" i="44"/>
  <c r="O88" i="44"/>
  <c r="O89" i="44" s="1"/>
  <c r="N89" i="46"/>
  <c r="O88" i="46"/>
  <c r="O89" i="46" s="1"/>
  <c r="N89" i="19"/>
  <c r="O88" i="19"/>
  <c r="O89" i="19" s="1"/>
  <c r="N89" i="92"/>
  <c r="O88" i="92"/>
  <c r="O89" i="92" s="1"/>
  <c r="N89" i="29"/>
  <c r="O88" i="29"/>
  <c r="O89" i="29" s="1"/>
  <c r="N89" i="72"/>
  <c r="O88" i="72"/>
  <c r="O89" i="72" s="1"/>
  <c r="N89" i="32"/>
  <c r="O88" i="32"/>
  <c r="O89" i="32" s="1"/>
  <c r="N89" i="3"/>
  <c r="O88" i="3"/>
  <c r="O89" i="3" s="1"/>
  <c r="N89" i="82"/>
  <c r="O88" i="82"/>
  <c r="O89" i="82" s="1"/>
  <c r="O88" i="43"/>
  <c r="O89" i="43" s="1"/>
  <c r="N89" i="43"/>
  <c r="N89" i="78"/>
  <c r="O88" i="78"/>
  <c r="O89" i="78" s="1"/>
  <c r="N89" i="84"/>
  <c r="O88" i="84"/>
  <c r="O89" i="84" s="1"/>
  <c r="N89" i="58"/>
  <c r="O88" i="58"/>
  <c r="O89" i="58" s="1"/>
  <c r="O88" i="79"/>
  <c r="O89" i="79" s="1"/>
  <c r="N89" i="79"/>
  <c r="N89" i="60"/>
  <c r="O88" i="60"/>
  <c r="O89" i="60" s="1"/>
  <c r="O88" i="27"/>
  <c r="O89" i="27" s="1"/>
  <c r="N89" i="27"/>
  <c r="N89" i="94"/>
  <c r="M89" i="18"/>
  <c r="O88" i="18"/>
  <c r="O89" i="18" s="1"/>
  <c r="E106" i="81"/>
  <c r="F106" i="81" s="1"/>
  <c r="G25" i="91"/>
  <c r="I25" i="91" s="1"/>
  <c r="I23" i="13"/>
  <c r="D30" i="72"/>
  <c r="B30" i="72" s="1"/>
  <c r="I25" i="80"/>
  <c r="E30" i="72"/>
  <c r="H29" i="72"/>
  <c r="G23" i="99"/>
  <c r="I23" i="99" s="1"/>
  <c r="E32" i="42"/>
  <c r="F32" i="42" s="1"/>
  <c r="G32" i="42" s="1"/>
  <c r="G32" i="3"/>
  <c r="N5" i="3" s="1"/>
  <c r="H23" i="25"/>
  <c r="G23" i="25"/>
  <c r="D24" i="25"/>
  <c r="I23" i="97"/>
  <c r="D24" i="98"/>
  <c r="E24" i="98"/>
  <c r="H23" i="98"/>
  <c r="H32" i="3"/>
  <c r="N6" i="3" s="1"/>
  <c r="N7" i="3" s="1"/>
  <c r="E33" i="3"/>
  <c r="F33" i="3" s="1"/>
  <c r="H33" i="3" s="1"/>
  <c r="G23" i="98"/>
  <c r="F24" i="97"/>
  <c r="D25" i="97" s="1"/>
  <c r="B24" i="97"/>
  <c r="D24" i="99"/>
  <c r="E24" i="99"/>
  <c r="E104" i="25"/>
  <c r="F104" i="25" s="1"/>
  <c r="I103" i="99"/>
  <c r="H103" i="99"/>
  <c r="B104" i="99"/>
  <c r="F104" i="99"/>
  <c r="B31" i="74"/>
  <c r="I30" i="74"/>
  <c r="I31" i="43"/>
  <c r="H31" i="42"/>
  <c r="N6" i="42" s="1"/>
  <c r="F32" i="43"/>
  <c r="G32" i="43" s="1"/>
  <c r="G31" i="42"/>
  <c r="N5" i="42" s="1"/>
  <c r="G33" i="24"/>
  <c r="I103" i="25"/>
  <c r="H103" i="25"/>
  <c r="J103" i="95"/>
  <c r="J103" i="98"/>
  <c r="H29" i="46"/>
  <c r="H31" i="44"/>
  <c r="E33" i="19"/>
  <c r="D105" i="97"/>
  <c r="G104" i="97"/>
  <c r="E105" i="97"/>
  <c r="J103" i="97"/>
  <c r="J103" i="26"/>
  <c r="D105" i="98"/>
  <c r="G104" i="98"/>
  <c r="E105" i="98"/>
  <c r="D105" i="26"/>
  <c r="G104" i="26"/>
  <c r="G104" i="95"/>
  <c r="D105" i="95"/>
  <c r="B105" i="95" s="1"/>
  <c r="E105" i="95"/>
  <c r="H26" i="90"/>
  <c r="I26" i="90" s="1"/>
  <c r="G24" i="94"/>
  <c r="H23" i="93"/>
  <c r="H26" i="79"/>
  <c r="I26" i="75"/>
  <c r="H28" i="67"/>
  <c r="I28" i="67" s="1"/>
  <c r="D29" i="67"/>
  <c r="E29" i="67"/>
  <c r="I30" i="58"/>
  <c r="D30" i="46"/>
  <c r="E30" i="46"/>
  <c r="G34" i="29"/>
  <c r="E34" i="24"/>
  <c r="D34" i="24"/>
  <c r="D33" i="19"/>
  <c r="H32" i="19"/>
  <c r="H33" i="18"/>
  <c r="I33" i="18" s="1"/>
  <c r="H25" i="84"/>
  <c r="B26" i="86"/>
  <c r="F26" i="86"/>
  <c r="H26" i="86" s="1"/>
  <c r="B26" i="80"/>
  <c r="F26" i="80"/>
  <c r="G26" i="80" s="1"/>
  <c r="D24" i="93"/>
  <c r="E24" i="93"/>
  <c r="F27" i="82"/>
  <c r="G27" i="82" s="1"/>
  <c r="B27" i="82"/>
  <c r="D25" i="94"/>
  <c r="E25" i="94"/>
  <c r="H25" i="81"/>
  <c r="I25" i="86"/>
  <c r="E35" i="23"/>
  <c r="D35" i="23"/>
  <c r="D105" i="94"/>
  <c r="G23" i="95"/>
  <c r="N5" i="95" s="1"/>
  <c r="G28" i="66"/>
  <c r="E29" i="66"/>
  <c r="D29" i="66"/>
  <c r="F31" i="55"/>
  <c r="G31" i="55" s="1"/>
  <c r="B31" i="55"/>
  <c r="G34" i="23"/>
  <c r="B27" i="75"/>
  <c r="F27" i="75"/>
  <c r="H27" i="75" s="1"/>
  <c r="G32" i="21"/>
  <c r="H23" i="95"/>
  <c r="N6" i="95" s="1"/>
  <c r="H32" i="22"/>
  <c r="D24" i="95"/>
  <c r="B24" i="95" s="1"/>
  <c r="B28" i="65"/>
  <c r="F28" i="65"/>
  <c r="H28" i="65" s="1"/>
  <c r="D27" i="90"/>
  <c r="E27" i="90"/>
  <c r="H34" i="23"/>
  <c r="D26" i="91"/>
  <c r="E26" i="91"/>
  <c r="B32" i="42"/>
  <c r="H28" i="66"/>
  <c r="D26" i="84"/>
  <c r="E26" i="84"/>
  <c r="F31" i="58"/>
  <c r="B31" i="58"/>
  <c r="G29" i="53"/>
  <c r="D30" i="53"/>
  <c r="E30" i="53"/>
  <c r="H26" i="76"/>
  <c r="N6" i="76" s="1"/>
  <c r="E27" i="76"/>
  <c r="D27" i="76"/>
  <c r="G34" i="70"/>
  <c r="G26" i="76"/>
  <c r="N5" i="76" s="1"/>
  <c r="D29" i="61"/>
  <c r="E29" i="61"/>
  <c r="G23" i="96"/>
  <c r="E24" i="96"/>
  <c r="D24" i="96"/>
  <c r="H34" i="27"/>
  <c r="N6" i="27" s="1"/>
  <c r="G34" i="27"/>
  <c r="N5" i="27" s="1"/>
  <c r="E35" i="27"/>
  <c r="D35" i="27"/>
  <c r="G29" i="57"/>
  <c r="D26" i="81"/>
  <c r="E26" i="81"/>
  <c r="E32" i="44"/>
  <c r="D32" i="44"/>
  <c r="H28" i="61"/>
  <c r="F32" i="39"/>
  <c r="G32" i="39" s="1"/>
  <c r="B32" i="39"/>
  <c r="G25" i="85"/>
  <c r="D26" i="85"/>
  <c r="E26" i="85"/>
  <c r="D33" i="22"/>
  <c r="E33" i="22"/>
  <c r="I33" i="34"/>
  <c r="I30" i="45"/>
  <c r="D25" i="33"/>
  <c r="E25" i="33" s="1"/>
  <c r="B35" i="69"/>
  <c r="F35" i="69"/>
  <c r="F31" i="45"/>
  <c r="B31" i="45"/>
  <c r="B28" i="68"/>
  <c r="F28" i="68"/>
  <c r="H28" i="68" s="1"/>
  <c r="B36" i="28"/>
  <c r="F36" i="28"/>
  <c r="G36" i="28" s="1"/>
  <c r="D33" i="17"/>
  <c r="E33" i="17"/>
  <c r="F29" i="64"/>
  <c r="H29" i="64" s="1"/>
  <c r="B29" i="64"/>
  <c r="H24" i="89"/>
  <c r="D25" i="89"/>
  <c r="E25" i="89"/>
  <c r="B26" i="88"/>
  <c r="D33" i="21"/>
  <c r="E33" i="21"/>
  <c r="D34" i="32"/>
  <c r="E34" i="32"/>
  <c r="I35" i="28"/>
  <c r="G26" i="77"/>
  <c r="D27" i="77"/>
  <c r="E27" i="77"/>
  <c r="D35" i="29"/>
  <c r="E35" i="29"/>
  <c r="D33" i="41"/>
  <c r="E33" i="41"/>
  <c r="B35" i="31"/>
  <c r="F35" i="31"/>
  <c r="E29" i="63"/>
  <c r="D29" i="63"/>
  <c r="H31" i="73"/>
  <c r="N6" i="73" s="1"/>
  <c r="E32" i="73"/>
  <c r="D32" i="73"/>
  <c r="G31" i="73"/>
  <c r="N5" i="73" s="1"/>
  <c r="D27" i="78"/>
  <c r="E27" i="78"/>
  <c r="H24" i="92"/>
  <c r="N6" i="92" s="1"/>
  <c r="E25" i="92"/>
  <c r="D25" i="92"/>
  <c r="D32" i="74"/>
  <c r="E32" i="74"/>
  <c r="B34" i="71"/>
  <c r="F34" i="71"/>
  <c r="G34" i="71" s="1"/>
  <c r="H24" i="33"/>
  <c r="F26" i="88"/>
  <c r="H26" i="88" s="1"/>
  <c r="G24" i="92"/>
  <c r="N5" i="92" s="1"/>
  <c r="H33" i="32"/>
  <c r="N6" i="32" s="1"/>
  <c r="B29" i="56"/>
  <c r="F29" i="56"/>
  <c r="G29" i="56" s="1"/>
  <c r="N5" i="56" s="1"/>
  <c r="B24" i="26"/>
  <c r="F24" i="26"/>
  <c r="G32" i="17"/>
  <c r="B33" i="3"/>
  <c r="I31" i="35"/>
  <c r="G24" i="33"/>
  <c r="D27" i="79"/>
  <c r="E27" i="79"/>
  <c r="F34" i="30"/>
  <c r="B34" i="30"/>
  <c r="G28" i="63"/>
  <c r="H29" i="54"/>
  <c r="E30" i="54"/>
  <c r="D30" i="54"/>
  <c r="B28" i="60"/>
  <c r="F28" i="60"/>
  <c r="H28" i="60" s="1"/>
  <c r="N6" i="60" s="1"/>
  <c r="B25" i="83"/>
  <c r="F25" i="83"/>
  <c r="H25" i="83" s="1"/>
  <c r="N6" i="83" s="1"/>
  <c r="H26" i="78"/>
  <c r="D35" i="70"/>
  <c r="E35" i="70"/>
  <c r="F34" i="34"/>
  <c r="B34" i="34"/>
  <c r="G33" i="32"/>
  <c r="N5" i="32" s="1"/>
  <c r="E30" i="57"/>
  <c r="D30" i="57"/>
  <c r="G31" i="74"/>
  <c r="I23" i="26"/>
  <c r="H32" i="17"/>
  <c r="H32" i="41"/>
  <c r="I32" i="41" s="1"/>
  <c r="J111" i="20"/>
  <c r="J106" i="66"/>
  <c r="F113" i="17"/>
  <c r="G113" i="17" s="1"/>
  <c r="J113" i="70"/>
  <c r="J113" i="23"/>
  <c r="J103" i="90"/>
  <c r="J104" i="85"/>
  <c r="I27" i="62"/>
  <c r="I24" i="87"/>
  <c r="B32" i="20"/>
  <c r="F32" i="20"/>
  <c r="G32" i="20" s="1"/>
  <c r="N5" i="20" s="1"/>
  <c r="F28" i="62"/>
  <c r="G28" i="62" s="1"/>
  <c r="N5" i="62" s="1"/>
  <c r="B28" i="62"/>
  <c r="E29" i="59"/>
  <c r="D29" i="59"/>
  <c r="F25" i="87"/>
  <c r="H25" i="87" s="1"/>
  <c r="B25" i="87"/>
  <c r="J108" i="53"/>
  <c r="J103" i="86"/>
  <c r="J107" i="64"/>
  <c r="J110" i="39"/>
  <c r="E33" i="35"/>
  <c r="F33" i="35" s="1"/>
  <c r="B33" i="35"/>
  <c r="H32" i="35"/>
  <c r="G32" i="35"/>
  <c r="J113" i="71"/>
  <c r="J107" i="65"/>
  <c r="J111" i="19"/>
  <c r="J112" i="31"/>
  <c r="J103" i="92"/>
  <c r="J113" i="29"/>
  <c r="J108" i="72"/>
  <c r="J112" i="32"/>
  <c r="D34" i="18"/>
  <c r="E34" i="18"/>
  <c r="H28" i="59"/>
  <c r="F24" i="13"/>
  <c r="G24" i="13" s="1"/>
  <c r="B24" i="13"/>
  <c r="J108" i="46"/>
  <c r="J109" i="74"/>
  <c r="E107" i="79"/>
  <c r="D107" i="79"/>
  <c r="J107" i="61"/>
  <c r="D105" i="84"/>
  <c r="E105" i="84"/>
  <c r="E113" i="20"/>
  <c r="D113" i="20"/>
  <c r="D114" i="32"/>
  <c r="E114" i="32"/>
  <c r="E110" i="72"/>
  <c r="D110" i="72"/>
  <c r="D110" i="53"/>
  <c r="E110" i="53"/>
  <c r="E109" i="61"/>
  <c r="D109" i="61"/>
  <c r="E115" i="30"/>
  <c r="D115" i="30"/>
  <c r="E112" i="43"/>
  <c r="D112" i="43"/>
  <c r="D105" i="90"/>
  <c r="E105" i="90"/>
  <c r="B106" i="81"/>
  <c r="E115" i="69"/>
  <c r="D115" i="69"/>
  <c r="D110" i="46"/>
  <c r="E110" i="46"/>
  <c r="J106" i="68"/>
  <c r="E109" i="63"/>
  <c r="D109" i="63"/>
  <c r="E107" i="78"/>
  <c r="D107" i="78"/>
  <c r="B109" i="62"/>
  <c r="F109" i="62"/>
  <c r="J107" i="63"/>
  <c r="E106" i="85"/>
  <c r="D106" i="85"/>
  <c r="J113" i="30"/>
  <c r="J103" i="88"/>
  <c r="J113" i="69"/>
  <c r="D109" i="60"/>
  <c r="E109" i="60"/>
  <c r="D105" i="92"/>
  <c r="E105" i="92"/>
  <c r="D115" i="29"/>
  <c r="E115" i="29"/>
  <c r="D108" i="68"/>
  <c r="E108" i="68"/>
  <c r="D108" i="66"/>
  <c r="E108" i="66"/>
  <c r="B112" i="41"/>
  <c r="F112" i="41"/>
  <c r="F105" i="91"/>
  <c r="B105" i="91"/>
  <c r="F112" i="73"/>
  <c r="B112" i="73"/>
  <c r="F111" i="45"/>
  <c r="B111" i="45"/>
  <c r="D115" i="27"/>
  <c r="E115" i="27"/>
  <c r="D110" i="58"/>
  <c r="E110" i="58"/>
  <c r="F105" i="89"/>
  <c r="B105" i="89"/>
  <c r="J111" i="34"/>
  <c r="J110" i="43"/>
  <c r="J105" i="78"/>
  <c r="E115" i="70"/>
  <c r="D115" i="70"/>
  <c r="J103" i="84"/>
  <c r="J108" i="58"/>
  <c r="J105" i="79"/>
  <c r="D112" i="39"/>
  <c r="E112" i="39"/>
  <c r="D105" i="88"/>
  <c r="E105" i="88"/>
  <c r="F113" i="22"/>
  <c r="B113" i="22"/>
  <c r="J107" i="60"/>
  <c r="D109" i="65"/>
  <c r="E109" i="65"/>
  <c r="G108" i="65"/>
  <c r="D109" i="64"/>
  <c r="E109" i="64"/>
  <c r="D113" i="19"/>
  <c r="E113" i="19"/>
  <c r="J113" i="27"/>
  <c r="D114" i="31"/>
  <c r="E114" i="31"/>
  <c r="B111" i="56"/>
  <c r="F111" i="56"/>
  <c r="G109" i="59"/>
  <c r="E110" i="59"/>
  <c r="D110" i="59"/>
  <c r="D114" i="18"/>
  <c r="E114" i="18"/>
  <c r="G113" i="18"/>
  <c r="H110" i="56"/>
  <c r="I110" i="56"/>
  <c r="J112" i="17"/>
  <c r="J108" i="59"/>
  <c r="J112" i="18"/>
  <c r="E115" i="23"/>
  <c r="D115" i="23"/>
  <c r="G114" i="23"/>
  <c r="D111" i="57"/>
  <c r="G110" i="57"/>
  <c r="E111" i="57"/>
  <c r="E115" i="71"/>
  <c r="G114" i="71"/>
  <c r="D115" i="71"/>
  <c r="J109" i="57"/>
  <c r="G104" i="96"/>
  <c r="D105" i="96"/>
  <c r="J103" i="96"/>
  <c r="J104" i="82"/>
  <c r="B104" i="13"/>
  <c r="B106" i="80"/>
  <c r="F106" i="80"/>
  <c r="D112" i="44"/>
  <c r="E112" i="44"/>
  <c r="B107" i="76"/>
  <c r="F107" i="76"/>
  <c r="B116" i="35"/>
  <c r="G115" i="35"/>
  <c r="E116" i="35"/>
  <c r="F116" i="35" s="1"/>
  <c r="J106" i="67"/>
  <c r="D106" i="82"/>
  <c r="E106" i="82"/>
  <c r="B107" i="77"/>
  <c r="F107" i="77"/>
  <c r="F105" i="93"/>
  <c r="B105" i="93"/>
  <c r="J113" i="35"/>
  <c r="B104" i="33"/>
  <c r="F104" i="33"/>
  <c r="F114" i="24"/>
  <c r="B114" i="24"/>
  <c r="D116" i="28"/>
  <c r="E116" i="28"/>
  <c r="J110" i="44"/>
  <c r="F106" i="83"/>
  <c r="B106" i="83"/>
  <c r="H103" i="13"/>
  <c r="I103" i="13"/>
  <c r="J103" i="87"/>
  <c r="H114" i="35"/>
  <c r="I114" i="35"/>
  <c r="B107" i="75"/>
  <c r="F107" i="75"/>
  <c r="B112" i="42"/>
  <c r="F112" i="42"/>
  <c r="D108" i="67"/>
  <c r="E108" i="67"/>
  <c r="F113" i="21"/>
  <c r="B113" i="21"/>
  <c r="D113" i="3"/>
  <c r="E113" i="3"/>
  <c r="H104" i="93"/>
  <c r="I104" i="93"/>
  <c r="B110" i="54"/>
  <c r="F110" i="54"/>
  <c r="D105" i="87"/>
  <c r="E105" i="87"/>
  <c r="H103" i="33"/>
  <c r="I103" i="33"/>
  <c r="B110" i="55"/>
  <c r="F110" i="55"/>
  <c r="E104" i="13"/>
  <c r="F104" i="13" s="1"/>
  <c r="J114" i="28"/>
  <c r="J111" i="3"/>
  <c r="E54" i="36"/>
  <c r="F59" i="36"/>
  <c r="E29" i="36"/>
  <c r="F79" i="36"/>
  <c r="F60" i="36"/>
  <c r="E34" i="36"/>
  <c r="F91" i="36"/>
  <c r="E68" i="36"/>
  <c r="F72" i="36"/>
  <c r="F30" i="36"/>
  <c r="F78" i="36"/>
  <c r="F38" i="36"/>
  <c r="F56" i="36"/>
  <c r="F83" i="36"/>
  <c r="F36" i="36"/>
  <c r="F43" i="36"/>
  <c r="F57" i="36"/>
  <c r="E18" i="36"/>
  <c r="E48" i="36"/>
  <c r="F41" i="36"/>
  <c r="E87" i="36"/>
  <c r="F39" i="36"/>
  <c r="E22" i="36"/>
  <c r="F18" i="36"/>
  <c r="E63" i="36"/>
  <c r="E84" i="36"/>
  <c r="F80" i="36"/>
  <c r="E40" i="36"/>
  <c r="E65" i="36"/>
  <c r="N7" i="32" l="1"/>
  <c r="G41" i="36"/>
  <c r="G36" i="36"/>
  <c r="G30" i="36"/>
  <c r="G79" i="36"/>
  <c r="N7" i="95"/>
  <c r="G23" i="100"/>
  <c r="I23" i="100" s="1"/>
  <c r="N7" i="27"/>
  <c r="G78" i="36"/>
  <c r="E24" i="100"/>
  <c r="F24" i="100" s="1"/>
  <c r="D25" i="100" s="1"/>
  <c r="B24" i="100"/>
  <c r="N7" i="73"/>
  <c r="N7" i="92"/>
  <c r="G39" i="36"/>
  <c r="G43" i="36"/>
  <c r="G60" i="36"/>
  <c r="G83" i="36"/>
  <c r="G59" i="36"/>
  <c r="G56" i="36"/>
  <c r="G91" i="36"/>
  <c r="G72" i="36"/>
  <c r="G38" i="36"/>
  <c r="G57" i="36"/>
  <c r="G80" i="36"/>
  <c r="I26" i="77"/>
  <c r="N5" i="77"/>
  <c r="I28" i="61"/>
  <c r="N6" i="61"/>
  <c r="N7" i="61" s="1"/>
  <c r="I34" i="29"/>
  <c r="N5" i="29"/>
  <c r="I26" i="78"/>
  <c r="N6" i="78"/>
  <c r="N7" i="78" s="1"/>
  <c r="I23" i="93"/>
  <c r="N6" i="93"/>
  <c r="N7" i="93" s="1"/>
  <c r="I24" i="89"/>
  <c r="N6" i="89"/>
  <c r="N7" i="89" s="1"/>
  <c r="I29" i="46"/>
  <c r="N6" i="46"/>
  <c r="N7" i="46" s="1"/>
  <c r="N7" i="42"/>
  <c r="I26" i="79"/>
  <c r="N6" i="79"/>
  <c r="N7" i="79" s="1"/>
  <c r="I34" i="70"/>
  <c r="N5" i="70"/>
  <c r="I24" i="94"/>
  <c r="N5" i="94"/>
  <c r="N7" i="76"/>
  <c r="I32" i="19"/>
  <c r="N6" i="19"/>
  <c r="N7" i="19" s="1"/>
  <c r="I29" i="54"/>
  <c r="N6" i="54"/>
  <c r="N7" i="54" s="1"/>
  <c r="I32" i="21"/>
  <c r="N5" i="21"/>
  <c r="I28" i="59"/>
  <c r="N6" i="59"/>
  <c r="N7" i="59" s="1"/>
  <c r="I31" i="44"/>
  <c r="N6" i="44"/>
  <c r="N7" i="44" s="1"/>
  <c r="I23" i="96"/>
  <c r="N5" i="96"/>
  <c r="I29" i="72"/>
  <c r="N6" i="72"/>
  <c r="N7" i="72" s="1"/>
  <c r="I33" i="24"/>
  <c r="N5" i="24"/>
  <c r="I31" i="74"/>
  <c r="N5" i="74"/>
  <c r="I25" i="84"/>
  <c r="N6" i="84"/>
  <c r="N7" i="84" s="1"/>
  <c r="I25" i="85"/>
  <c r="N5" i="85"/>
  <c r="I29" i="57"/>
  <c r="N5" i="57"/>
  <c r="I32" i="22"/>
  <c r="N6" i="22"/>
  <c r="N7" i="22" s="1"/>
  <c r="I28" i="63"/>
  <c r="N5" i="63"/>
  <c r="I29" i="53"/>
  <c r="N5" i="53"/>
  <c r="I25" i="81"/>
  <c r="N6" i="81"/>
  <c r="N7" i="81" s="1"/>
  <c r="N7" i="71"/>
  <c r="D105" i="100"/>
  <c r="G104" i="100"/>
  <c r="H103" i="100"/>
  <c r="I103" i="100"/>
  <c r="G18" i="36"/>
  <c r="J103" i="94"/>
  <c r="M88" i="94"/>
  <c r="F30" i="72"/>
  <c r="D31" i="72" s="1"/>
  <c r="H32" i="43"/>
  <c r="I32" i="43" s="1"/>
  <c r="I32" i="3"/>
  <c r="D33" i="43"/>
  <c r="B33" i="43" s="1"/>
  <c r="E33" i="43"/>
  <c r="I31" i="42"/>
  <c r="I23" i="25"/>
  <c r="E24" i="25"/>
  <c r="F24" i="25" s="1"/>
  <c r="H24" i="25" s="1"/>
  <c r="B24" i="25"/>
  <c r="F24" i="99"/>
  <c r="G24" i="99" s="1"/>
  <c r="B24" i="99"/>
  <c r="E25" i="97"/>
  <c r="F25" i="97" s="1"/>
  <c r="D26" i="97" s="1"/>
  <c r="B25" i="97"/>
  <c r="I23" i="98"/>
  <c r="H24" i="97"/>
  <c r="H26" i="80"/>
  <c r="I26" i="80" s="1"/>
  <c r="F33" i="19"/>
  <c r="H33" i="19" s="1"/>
  <c r="G24" i="97"/>
  <c r="F24" i="98"/>
  <c r="B24" i="98"/>
  <c r="J103" i="99"/>
  <c r="G104" i="25"/>
  <c r="D105" i="25"/>
  <c r="I28" i="66"/>
  <c r="D105" i="99"/>
  <c r="G104" i="99"/>
  <c r="E105" i="99"/>
  <c r="J103" i="25"/>
  <c r="I32" i="17"/>
  <c r="B33" i="19"/>
  <c r="H104" i="98"/>
  <c r="I104" i="98"/>
  <c r="I104" i="26"/>
  <c r="H104" i="26"/>
  <c r="F105" i="98"/>
  <c r="B105" i="98"/>
  <c r="I104" i="97"/>
  <c r="H104" i="97"/>
  <c r="F105" i="95"/>
  <c r="E106" i="95" s="1"/>
  <c r="B105" i="26"/>
  <c r="E105" i="26"/>
  <c r="F105" i="26" s="1"/>
  <c r="F105" i="97"/>
  <c r="B105" i="97"/>
  <c r="I104" i="95"/>
  <c r="H104" i="95"/>
  <c r="D114" i="17"/>
  <c r="B114" i="17" s="1"/>
  <c r="E114" i="17"/>
  <c r="I23" i="95"/>
  <c r="G25" i="83"/>
  <c r="F24" i="95"/>
  <c r="H24" i="95" s="1"/>
  <c r="F29" i="67"/>
  <c r="G29" i="67" s="1"/>
  <c r="B29" i="67"/>
  <c r="G29" i="64"/>
  <c r="I29" i="64" s="1"/>
  <c r="B30" i="46"/>
  <c r="F30" i="46"/>
  <c r="G30" i="46" s="1"/>
  <c r="F34" i="24"/>
  <c r="H34" i="24" s="1"/>
  <c r="B34" i="24"/>
  <c r="I34" i="27"/>
  <c r="F24" i="93"/>
  <c r="H24" i="93" s="1"/>
  <c r="B24" i="93"/>
  <c r="F25" i="94"/>
  <c r="H25" i="94" s="1"/>
  <c r="B25" i="94"/>
  <c r="E28" i="82"/>
  <c r="D28" i="82"/>
  <c r="D27" i="86"/>
  <c r="E27" i="86"/>
  <c r="G26" i="86"/>
  <c r="I26" i="86" s="1"/>
  <c r="H24" i="13"/>
  <c r="H27" i="82"/>
  <c r="I27" i="82" s="1"/>
  <c r="D27" i="80"/>
  <c r="E27" i="80"/>
  <c r="G31" i="58"/>
  <c r="D32" i="58"/>
  <c r="E32" i="58"/>
  <c r="E105" i="94"/>
  <c r="F105" i="94" s="1"/>
  <c r="B105" i="94"/>
  <c r="G33" i="3"/>
  <c r="I33" i="3" s="1"/>
  <c r="H32" i="42"/>
  <c r="I32" i="42" s="1"/>
  <c r="D33" i="42"/>
  <c r="E33" i="42"/>
  <c r="F26" i="91"/>
  <c r="H26" i="91" s="1"/>
  <c r="B26" i="91"/>
  <c r="B27" i="90"/>
  <c r="F27" i="90"/>
  <c r="B30" i="53"/>
  <c r="F30" i="53"/>
  <c r="G30" i="53" s="1"/>
  <c r="B29" i="66"/>
  <c r="F29" i="66"/>
  <c r="H29" i="66" s="1"/>
  <c r="F26" i="84"/>
  <c r="B26" i="84"/>
  <c r="D29" i="65"/>
  <c r="E29" i="65"/>
  <c r="F35" i="23"/>
  <c r="B35" i="23"/>
  <c r="H36" i="28"/>
  <c r="I36" i="28" s="1"/>
  <c r="F26" i="85"/>
  <c r="E27" i="85" s="1"/>
  <c r="H31" i="58"/>
  <c r="I34" i="23"/>
  <c r="G28" i="65"/>
  <c r="I28" i="65" s="1"/>
  <c r="G27" i="75"/>
  <c r="I27" i="75" s="1"/>
  <c r="D28" i="75"/>
  <c r="E28" i="75"/>
  <c r="H31" i="55"/>
  <c r="I31" i="55" s="1"/>
  <c r="E32" i="55"/>
  <c r="D32" i="55"/>
  <c r="I24" i="33"/>
  <c r="H34" i="71"/>
  <c r="I34" i="71" s="1"/>
  <c r="B35" i="27"/>
  <c r="F35" i="27"/>
  <c r="F27" i="76"/>
  <c r="B27" i="76"/>
  <c r="G25" i="87"/>
  <c r="I25" i="87" s="1"/>
  <c r="B33" i="22"/>
  <c r="F33" i="22"/>
  <c r="G33" i="22" s="1"/>
  <c r="E33" i="39"/>
  <c r="D33" i="39"/>
  <c r="B32" i="44"/>
  <c r="F32" i="44"/>
  <c r="H32" i="44" s="1"/>
  <c r="B26" i="81"/>
  <c r="F26" i="81"/>
  <c r="H26" i="81" s="1"/>
  <c r="F24" i="96"/>
  <c r="G24" i="96" s="1"/>
  <c r="B24" i="96"/>
  <c r="B29" i="61"/>
  <c r="F29" i="61"/>
  <c r="G29" i="61" s="1"/>
  <c r="I26" i="76"/>
  <c r="B26" i="85"/>
  <c r="H32" i="39"/>
  <c r="I32" i="39" s="1"/>
  <c r="I33" i="32"/>
  <c r="B25" i="92"/>
  <c r="F25" i="92"/>
  <c r="G25" i="92" s="1"/>
  <c r="G31" i="45"/>
  <c r="D32" i="45"/>
  <c r="E32" i="45"/>
  <c r="F30" i="57"/>
  <c r="G30" i="57" s="1"/>
  <c r="B30" i="57"/>
  <c r="D35" i="34"/>
  <c r="E35" i="34"/>
  <c r="F35" i="70"/>
  <c r="B35" i="70"/>
  <c r="B30" i="54"/>
  <c r="F30" i="54"/>
  <c r="G30" i="54" s="1"/>
  <c r="D30" i="56"/>
  <c r="E30" i="56"/>
  <c r="D27" i="88"/>
  <c r="E27" i="88"/>
  <c r="I31" i="73"/>
  <c r="F29" i="63"/>
  <c r="G29" i="63" s="1"/>
  <c r="B29" i="63"/>
  <c r="G35" i="31"/>
  <c r="D36" i="31"/>
  <c r="E36" i="31"/>
  <c r="B33" i="41"/>
  <c r="F33" i="41"/>
  <c r="G33" i="41" s="1"/>
  <c r="F33" i="21"/>
  <c r="H33" i="21" s="1"/>
  <c r="B33" i="21"/>
  <c r="D35" i="30"/>
  <c r="E35" i="30"/>
  <c r="G24" i="26"/>
  <c r="H24" i="26"/>
  <c r="D25" i="26"/>
  <c r="F27" i="78"/>
  <c r="B27" i="78"/>
  <c r="E36" i="69"/>
  <c r="D36" i="69"/>
  <c r="H28" i="62"/>
  <c r="G34" i="34"/>
  <c r="D26" i="83"/>
  <c r="E26" i="83"/>
  <c r="G28" i="60"/>
  <c r="D29" i="60"/>
  <c r="E29" i="60"/>
  <c r="H34" i="30"/>
  <c r="N6" i="30" s="1"/>
  <c r="I24" i="92"/>
  <c r="B32" i="73"/>
  <c r="F32" i="73"/>
  <c r="H32" i="73" s="1"/>
  <c r="F27" i="77"/>
  <c r="H27" i="77" s="1"/>
  <c r="B27" i="77"/>
  <c r="F25" i="89"/>
  <c r="H25" i="89" s="1"/>
  <c r="B25" i="89"/>
  <c r="H31" i="45"/>
  <c r="H35" i="69"/>
  <c r="C42" i="17"/>
  <c r="B33" i="17"/>
  <c r="F33" i="17"/>
  <c r="H33" i="17" s="1"/>
  <c r="H34" i="34"/>
  <c r="G34" i="30"/>
  <c r="N5" i="30" s="1"/>
  <c r="F27" i="79"/>
  <c r="H27" i="79" s="1"/>
  <c r="B27" i="79"/>
  <c r="D34" i="3"/>
  <c r="E34" i="3"/>
  <c r="H29" i="56"/>
  <c r="E35" i="71"/>
  <c r="D35" i="71"/>
  <c r="B32" i="74"/>
  <c r="F32" i="74"/>
  <c r="H32" i="74" s="1"/>
  <c r="H35" i="31"/>
  <c r="F35" i="29"/>
  <c r="G35" i="29" s="1"/>
  <c r="B35" i="29"/>
  <c r="F34" i="32"/>
  <c r="H34" i="32" s="1"/>
  <c r="B34" i="32"/>
  <c r="G26" i="88"/>
  <c r="I26" i="88" s="1"/>
  <c r="D30" i="64"/>
  <c r="E30" i="64"/>
  <c r="D37" i="28"/>
  <c r="E37" i="28"/>
  <c r="G28" i="68"/>
  <c r="I28" i="68" s="1"/>
  <c r="D29" i="68"/>
  <c r="E29" i="68"/>
  <c r="G35" i="69"/>
  <c r="B25" i="33"/>
  <c r="F25" i="33"/>
  <c r="J108" i="62"/>
  <c r="J110" i="56"/>
  <c r="J112" i="22"/>
  <c r="D25" i="13"/>
  <c r="I32" i="35"/>
  <c r="B29" i="59"/>
  <c r="F29" i="59"/>
  <c r="H29" i="59" s="1"/>
  <c r="H32" i="20"/>
  <c r="B34" i="18"/>
  <c r="F34" i="18"/>
  <c r="G34" i="18" s="1"/>
  <c r="D26" i="87"/>
  <c r="E26" i="87"/>
  <c r="D33" i="20"/>
  <c r="E33" i="20"/>
  <c r="J105" i="81"/>
  <c r="J111" i="73"/>
  <c r="H33" i="35"/>
  <c r="N6" i="35" s="1"/>
  <c r="G33" i="35"/>
  <c r="N5" i="35" s="1"/>
  <c r="E34" i="35"/>
  <c r="F34" i="35" s="1"/>
  <c r="B34" i="35"/>
  <c r="E29" i="62"/>
  <c r="D29" i="62"/>
  <c r="B109" i="64"/>
  <c r="F109" i="64"/>
  <c r="F109" i="65"/>
  <c r="B109" i="65"/>
  <c r="J111" i="41"/>
  <c r="E106" i="89"/>
  <c r="D106" i="89"/>
  <c r="G105" i="89"/>
  <c r="G111" i="45"/>
  <c r="E112" i="45"/>
  <c r="D112" i="45"/>
  <c r="D106" i="91"/>
  <c r="G105" i="91"/>
  <c r="E106" i="91"/>
  <c r="F105" i="92"/>
  <c r="B105" i="92"/>
  <c r="F109" i="63"/>
  <c r="B109" i="63"/>
  <c r="N88" i="74"/>
  <c r="M88" i="74"/>
  <c r="M89" i="74" s="1"/>
  <c r="B115" i="69"/>
  <c r="F115" i="69"/>
  <c r="J104" i="89"/>
  <c r="F105" i="88"/>
  <c r="B105" i="88"/>
  <c r="F112" i="39"/>
  <c r="B112" i="39"/>
  <c r="F115" i="70"/>
  <c r="B115" i="70"/>
  <c r="B113" i="34"/>
  <c r="B105" i="86"/>
  <c r="D113" i="41"/>
  <c r="E113" i="41"/>
  <c r="G112" i="41"/>
  <c r="B108" i="66"/>
  <c r="F108" i="66"/>
  <c r="F115" i="29"/>
  <c r="B115" i="29"/>
  <c r="F107" i="78"/>
  <c r="B107" i="78"/>
  <c r="D107" i="81"/>
  <c r="G106" i="81"/>
  <c r="E107" i="81"/>
  <c r="B105" i="90"/>
  <c r="F105" i="90"/>
  <c r="F109" i="61"/>
  <c r="B109" i="61"/>
  <c r="B110" i="72"/>
  <c r="F110" i="72"/>
  <c r="B113" i="20"/>
  <c r="F113" i="20"/>
  <c r="F105" i="84"/>
  <c r="B105" i="84"/>
  <c r="F114" i="31"/>
  <c r="B114" i="31"/>
  <c r="F113" i="19"/>
  <c r="B113" i="19"/>
  <c r="I108" i="65"/>
  <c r="H108" i="65"/>
  <c r="J104" i="91"/>
  <c r="N88" i="34"/>
  <c r="M88" i="34"/>
  <c r="M89" i="34" s="1"/>
  <c r="B115" i="27"/>
  <c r="F115" i="27"/>
  <c r="G112" i="73"/>
  <c r="D113" i="73"/>
  <c r="E113" i="73"/>
  <c r="F108" i="68"/>
  <c r="B108" i="68"/>
  <c r="F112" i="43"/>
  <c r="B112" i="43"/>
  <c r="F115" i="30"/>
  <c r="B115" i="30"/>
  <c r="E114" i="22"/>
  <c r="D114" i="22"/>
  <c r="G113" i="22"/>
  <c r="F110" i="58"/>
  <c r="B110" i="58"/>
  <c r="N88" i="86"/>
  <c r="M88" i="86"/>
  <c r="M89" i="86" s="1"/>
  <c r="B109" i="60"/>
  <c r="F109" i="60"/>
  <c r="B106" i="85"/>
  <c r="F106" i="85"/>
  <c r="G109" i="62"/>
  <c r="D110" i="62"/>
  <c r="E110" i="62"/>
  <c r="B111" i="74"/>
  <c r="B110" i="46"/>
  <c r="F110" i="46"/>
  <c r="J110" i="45"/>
  <c r="B110" i="53"/>
  <c r="F110" i="53"/>
  <c r="F114" i="32"/>
  <c r="B114" i="32"/>
  <c r="F107" i="79"/>
  <c r="B107" i="79"/>
  <c r="E112" i="56"/>
  <c r="D112" i="56"/>
  <c r="G111" i="56"/>
  <c r="H114" i="23"/>
  <c r="I114" i="23"/>
  <c r="F114" i="18"/>
  <c r="B114" i="18"/>
  <c r="F115" i="23"/>
  <c r="B115" i="23"/>
  <c r="F110" i="59"/>
  <c r="B110" i="59"/>
  <c r="I109" i="59"/>
  <c r="H109" i="59"/>
  <c r="J114" i="35"/>
  <c r="I113" i="18"/>
  <c r="H113" i="18"/>
  <c r="H114" i="71"/>
  <c r="I114" i="71"/>
  <c r="H110" i="57"/>
  <c r="I110" i="57"/>
  <c r="F111" i="57"/>
  <c r="B111" i="57"/>
  <c r="B115" i="71"/>
  <c r="F115" i="71"/>
  <c r="J105" i="83"/>
  <c r="G110" i="55"/>
  <c r="E111" i="55"/>
  <c r="D111" i="55"/>
  <c r="J103" i="13"/>
  <c r="J106" i="77"/>
  <c r="J112" i="21"/>
  <c r="F106" i="82"/>
  <c r="B106" i="82"/>
  <c r="I115" i="35"/>
  <c r="H115" i="35"/>
  <c r="B105" i="87"/>
  <c r="F105" i="87"/>
  <c r="D105" i="13"/>
  <c r="E105" i="13" s="1"/>
  <c r="G104" i="13"/>
  <c r="B105" i="96"/>
  <c r="E113" i="42"/>
  <c r="G112" i="42"/>
  <c r="D113" i="42"/>
  <c r="J109" i="55"/>
  <c r="D105" i="33"/>
  <c r="E105" i="33" s="1"/>
  <c r="G104" i="33"/>
  <c r="E108" i="76"/>
  <c r="G107" i="76"/>
  <c r="D108" i="76"/>
  <c r="B112" i="44"/>
  <c r="F112" i="44"/>
  <c r="G106" i="80"/>
  <c r="E107" i="80"/>
  <c r="D107" i="80"/>
  <c r="J106" i="76"/>
  <c r="J109" i="54"/>
  <c r="E105" i="96"/>
  <c r="F105" i="96" s="1"/>
  <c r="J111" i="42"/>
  <c r="D108" i="75"/>
  <c r="G107" i="75"/>
  <c r="E108" i="75"/>
  <c r="F116" i="28"/>
  <c r="B116" i="28"/>
  <c r="D108" i="77"/>
  <c r="E108" i="77"/>
  <c r="G107" i="77"/>
  <c r="J113" i="24"/>
  <c r="D115" i="24"/>
  <c r="G114" i="24"/>
  <c r="E115" i="24"/>
  <c r="J105" i="80"/>
  <c r="J106" i="75"/>
  <c r="J103" i="33"/>
  <c r="H113" i="17"/>
  <c r="I113" i="17"/>
  <c r="D111" i="54"/>
  <c r="G110" i="54"/>
  <c r="E111" i="54"/>
  <c r="J104" i="93"/>
  <c r="B113" i="3"/>
  <c r="F113" i="3"/>
  <c r="D114" i="21"/>
  <c r="G113" i="21"/>
  <c r="E114" i="21"/>
  <c r="B108" i="67"/>
  <c r="F108" i="67"/>
  <c r="E107" i="83"/>
  <c r="G106" i="83"/>
  <c r="D107" i="83"/>
  <c r="G105" i="93"/>
  <c r="D106" i="93"/>
  <c r="E106" i="93" s="1"/>
  <c r="E117" i="35"/>
  <c r="F117" i="35" s="1"/>
  <c r="B117" i="35"/>
  <c r="G116" i="35"/>
  <c r="I104" i="96"/>
  <c r="H104" i="96"/>
  <c r="F24" i="36"/>
  <c r="F42" i="36"/>
  <c r="E53" i="36"/>
  <c r="E69" i="36"/>
  <c r="E32" i="36"/>
  <c r="E26" i="36"/>
  <c r="E49" i="36"/>
  <c r="F34" i="36"/>
  <c r="F84" i="36"/>
  <c r="F65" i="36"/>
  <c r="F73" i="36"/>
  <c r="F44" i="36"/>
  <c r="E77" i="36"/>
  <c r="F51" i="36"/>
  <c r="F68" i="36"/>
  <c r="F76" i="36"/>
  <c r="F40" i="36"/>
  <c r="F52" i="36"/>
  <c r="E86" i="36"/>
  <c r="F64" i="36"/>
  <c r="E62" i="36"/>
  <c r="E45" i="36"/>
  <c r="E88" i="36"/>
  <c r="F87" i="36"/>
  <c r="F71" i="36"/>
  <c r="F81" i="36"/>
  <c r="E23" i="36"/>
  <c r="F85" i="36"/>
  <c r="E66" i="36"/>
  <c r="F46" i="36"/>
  <c r="F21" i="36"/>
  <c r="F29" i="36"/>
  <c r="E31" i="36"/>
  <c r="E37" i="36"/>
  <c r="F63" i="36"/>
  <c r="F70" i="36"/>
  <c r="G34" i="36" l="1"/>
  <c r="G29" i="36"/>
  <c r="G87" i="36"/>
  <c r="N7" i="30"/>
  <c r="H24" i="100"/>
  <c r="G24" i="100"/>
  <c r="G84" i="36"/>
  <c r="G65" i="36"/>
  <c r="E25" i="100"/>
  <c r="F25" i="100" s="1"/>
  <c r="B25" i="100"/>
  <c r="G68" i="36"/>
  <c r="G40" i="36"/>
  <c r="G64" i="36"/>
  <c r="G44" i="36"/>
  <c r="G76" i="36"/>
  <c r="G81" i="36"/>
  <c r="G52" i="36"/>
  <c r="G73" i="36"/>
  <c r="G70" i="36"/>
  <c r="G46" i="36"/>
  <c r="G24" i="36"/>
  <c r="G42" i="36"/>
  <c r="G85" i="36"/>
  <c r="G51" i="36"/>
  <c r="G63" i="36"/>
  <c r="G21" i="36"/>
  <c r="G71" i="36"/>
  <c r="N7" i="57"/>
  <c r="N7" i="24"/>
  <c r="I28" i="62"/>
  <c r="N6" i="62"/>
  <c r="N7" i="62" s="1"/>
  <c r="N7" i="53"/>
  <c r="N7" i="85"/>
  <c r="N7" i="94"/>
  <c r="N7" i="29"/>
  <c r="I32" i="20"/>
  <c r="N6" i="20"/>
  <c r="N7" i="20" s="1"/>
  <c r="N7" i="21"/>
  <c r="N7" i="63"/>
  <c r="N7" i="96"/>
  <c r="I28" i="60"/>
  <c r="N5" i="60"/>
  <c r="N7" i="70"/>
  <c r="N7" i="74"/>
  <c r="N7" i="77"/>
  <c r="I29" i="56"/>
  <c r="N6" i="56"/>
  <c r="N7" i="56" s="1"/>
  <c r="I25" i="83"/>
  <c r="N5" i="83"/>
  <c r="N7" i="35"/>
  <c r="J103" i="100"/>
  <c r="H104" i="100"/>
  <c r="M88" i="100" s="1"/>
  <c r="I104" i="100"/>
  <c r="J104" i="100" s="1"/>
  <c r="E105" i="100"/>
  <c r="F105" i="100"/>
  <c r="B105" i="100"/>
  <c r="H30" i="72"/>
  <c r="G30" i="72"/>
  <c r="E31" i="72"/>
  <c r="F31" i="72" s="1"/>
  <c r="I24" i="13"/>
  <c r="O88" i="86"/>
  <c r="O89" i="86" s="1"/>
  <c r="N89" i="86"/>
  <c r="N89" i="34"/>
  <c r="O88" i="34"/>
  <c r="O89" i="34" s="1"/>
  <c r="M89" i="94"/>
  <c r="O88" i="94"/>
  <c r="O89" i="94" s="1"/>
  <c r="N89" i="74"/>
  <c r="O88" i="74"/>
  <c r="O89" i="74" s="1"/>
  <c r="E34" i="19"/>
  <c r="F33" i="43"/>
  <c r="E34" i="43" s="1"/>
  <c r="F114" i="17"/>
  <c r="D115" i="17" s="1"/>
  <c r="G33" i="19"/>
  <c r="I33" i="19" s="1"/>
  <c r="E25" i="95"/>
  <c r="G24" i="25"/>
  <c r="I24" i="25" s="1"/>
  <c r="D34" i="19"/>
  <c r="D25" i="95"/>
  <c r="G25" i="97"/>
  <c r="H24" i="99"/>
  <c r="I24" i="99" s="1"/>
  <c r="D25" i="98"/>
  <c r="E25" i="98"/>
  <c r="H24" i="98"/>
  <c r="G24" i="98"/>
  <c r="E26" i="97"/>
  <c r="F26" i="97" s="1"/>
  <c r="B26" i="97"/>
  <c r="I24" i="97"/>
  <c r="H25" i="97"/>
  <c r="D25" i="99"/>
  <c r="E25" i="99"/>
  <c r="D25" i="25"/>
  <c r="E25" i="25" s="1"/>
  <c r="F25" i="25" s="1"/>
  <c r="B105" i="25"/>
  <c r="E105" i="25"/>
  <c r="F105" i="25" s="1"/>
  <c r="I104" i="25"/>
  <c r="H104" i="25"/>
  <c r="H104" i="99"/>
  <c r="I104" i="99"/>
  <c r="F105" i="99"/>
  <c r="B105" i="99"/>
  <c r="G24" i="95"/>
  <c r="I24" i="95" s="1"/>
  <c r="H26" i="85"/>
  <c r="G26" i="85"/>
  <c r="H30" i="46"/>
  <c r="I30" i="46" s="1"/>
  <c r="G34" i="32"/>
  <c r="I34" i="32" s="1"/>
  <c r="J104" i="95"/>
  <c r="J104" i="98"/>
  <c r="D106" i="97"/>
  <c r="E106" i="97" s="1"/>
  <c r="G105" i="97"/>
  <c r="D106" i="26"/>
  <c r="G105" i="26"/>
  <c r="J104" i="97"/>
  <c r="J104" i="26"/>
  <c r="D106" i="95"/>
  <c r="B106" i="95" s="1"/>
  <c r="G105" i="95"/>
  <c r="D106" i="98"/>
  <c r="G105" i="98"/>
  <c r="E106" i="98"/>
  <c r="J104" i="94"/>
  <c r="D27" i="85"/>
  <c r="F27" i="85" s="1"/>
  <c r="F27" i="80"/>
  <c r="H27" i="80" s="1"/>
  <c r="G27" i="77"/>
  <c r="I27" i="77" s="1"/>
  <c r="G32" i="74"/>
  <c r="I32" i="74" s="1"/>
  <c r="H29" i="67"/>
  <c r="I29" i="67" s="1"/>
  <c r="E30" i="67"/>
  <c r="D30" i="67"/>
  <c r="D31" i="46"/>
  <c r="E31" i="46"/>
  <c r="G32" i="44"/>
  <c r="I32" i="44" s="1"/>
  <c r="G34" i="24"/>
  <c r="I34" i="24" s="1"/>
  <c r="E35" i="24"/>
  <c r="D35" i="24"/>
  <c r="H33" i="41"/>
  <c r="I33" i="41" s="1"/>
  <c r="G29" i="66"/>
  <c r="I29" i="66" s="1"/>
  <c r="G33" i="21"/>
  <c r="I33" i="21" s="1"/>
  <c r="B27" i="80"/>
  <c r="B27" i="86"/>
  <c r="F27" i="86"/>
  <c r="G24" i="93"/>
  <c r="I24" i="93" s="1"/>
  <c r="D25" i="93"/>
  <c r="E25" i="93"/>
  <c r="B28" i="82"/>
  <c r="F28" i="82"/>
  <c r="G28" i="82" s="1"/>
  <c r="G25" i="94"/>
  <c r="I25" i="94" s="1"/>
  <c r="D26" i="94"/>
  <c r="E26" i="94"/>
  <c r="E27" i="84"/>
  <c r="D27" i="84"/>
  <c r="E28" i="90"/>
  <c r="D28" i="90"/>
  <c r="G26" i="84"/>
  <c r="G105" i="94"/>
  <c r="D106" i="94"/>
  <c r="F32" i="58"/>
  <c r="H32" i="58" s="1"/>
  <c r="B32" i="58"/>
  <c r="B28" i="75"/>
  <c r="F28" i="75"/>
  <c r="G28" i="75" s="1"/>
  <c r="H26" i="84"/>
  <c r="H30" i="53"/>
  <c r="I30" i="53" s="1"/>
  <c r="E31" i="53"/>
  <c r="D31" i="53"/>
  <c r="H27" i="90"/>
  <c r="B33" i="42"/>
  <c r="F33" i="42"/>
  <c r="H33" i="42" s="1"/>
  <c r="I31" i="58"/>
  <c r="B32" i="55"/>
  <c r="F32" i="55"/>
  <c r="G32" i="55" s="1"/>
  <c r="G35" i="23"/>
  <c r="D36" i="23"/>
  <c r="E36" i="23"/>
  <c r="H35" i="23"/>
  <c r="I24" i="26"/>
  <c r="F29" i="65"/>
  <c r="H29" i="65" s="1"/>
  <c r="B29" i="65"/>
  <c r="E30" i="66"/>
  <c r="D30" i="66"/>
  <c r="G27" i="90"/>
  <c r="G26" i="91"/>
  <c r="I26" i="91" s="1"/>
  <c r="D27" i="91"/>
  <c r="E27" i="91"/>
  <c r="H34" i="18"/>
  <c r="I34" i="18" s="1"/>
  <c r="E33" i="44"/>
  <c r="D33" i="44"/>
  <c r="H27" i="76"/>
  <c r="D28" i="76"/>
  <c r="E28" i="76"/>
  <c r="G35" i="27"/>
  <c r="D36" i="27"/>
  <c r="E36" i="27"/>
  <c r="H35" i="27"/>
  <c r="D30" i="61"/>
  <c r="E30" i="61"/>
  <c r="E34" i="22"/>
  <c r="D34" i="22"/>
  <c r="E25" i="96"/>
  <c r="D25" i="96"/>
  <c r="F33" i="39"/>
  <c r="G33" i="39" s="1"/>
  <c r="B33" i="39"/>
  <c r="G27" i="76"/>
  <c r="B31" i="72"/>
  <c r="G33" i="17"/>
  <c r="I33" i="17" s="1"/>
  <c r="I35" i="69"/>
  <c r="H29" i="61"/>
  <c r="I29" i="61" s="1"/>
  <c r="H24" i="96"/>
  <c r="I24" i="96" s="1"/>
  <c r="G26" i="81"/>
  <c r="I26" i="81" s="1"/>
  <c r="E27" i="81"/>
  <c r="D27" i="81"/>
  <c r="H33" i="22"/>
  <c r="I33" i="22" s="1"/>
  <c r="I31" i="45"/>
  <c r="I34" i="34"/>
  <c r="I35" i="31"/>
  <c r="D26" i="33"/>
  <c r="E26" i="33" s="1"/>
  <c r="F26" i="83"/>
  <c r="H26" i="83" s="1"/>
  <c r="B26" i="83"/>
  <c r="G27" i="78"/>
  <c r="E28" i="78"/>
  <c r="D28" i="78"/>
  <c r="F29" i="68"/>
  <c r="G29" i="68" s="1"/>
  <c r="B29" i="68"/>
  <c r="D34" i="17"/>
  <c r="E34" i="17"/>
  <c r="B29" i="60"/>
  <c r="F29" i="60"/>
  <c r="E25" i="26"/>
  <c r="F25" i="26" s="1"/>
  <c r="B25" i="26"/>
  <c r="B35" i="30"/>
  <c r="F35" i="30"/>
  <c r="H35" i="30" s="1"/>
  <c r="D31" i="54"/>
  <c r="E31" i="54"/>
  <c r="G35" i="70"/>
  <c r="D36" i="70"/>
  <c r="E36" i="70"/>
  <c r="F37" i="28"/>
  <c r="B37" i="28"/>
  <c r="E26" i="89"/>
  <c r="D26" i="89"/>
  <c r="F36" i="31"/>
  <c r="G36" i="31" s="1"/>
  <c r="B36" i="31"/>
  <c r="E26" i="92"/>
  <c r="D26" i="92"/>
  <c r="G29" i="59"/>
  <c r="I29" i="59" s="1"/>
  <c r="H25" i="33"/>
  <c r="B30" i="64"/>
  <c r="F30" i="64"/>
  <c r="H30" i="64" s="1"/>
  <c r="B34" i="3"/>
  <c r="F34" i="3"/>
  <c r="G34" i="3" s="1"/>
  <c r="E28" i="79"/>
  <c r="D28" i="79"/>
  <c r="G25" i="89"/>
  <c r="I25" i="89" s="1"/>
  <c r="E33" i="73"/>
  <c r="D33" i="73"/>
  <c r="F27" i="88"/>
  <c r="H27" i="88" s="1"/>
  <c r="B27" i="88"/>
  <c r="D31" i="57"/>
  <c r="E31" i="57"/>
  <c r="H35" i="29"/>
  <c r="I35" i="29" s="1"/>
  <c r="D36" i="29"/>
  <c r="E36" i="29"/>
  <c r="F30" i="56"/>
  <c r="H30" i="56" s="1"/>
  <c r="B30" i="56"/>
  <c r="B32" i="45"/>
  <c r="F32" i="45"/>
  <c r="G25" i="33"/>
  <c r="E35" i="32"/>
  <c r="D35" i="32"/>
  <c r="D33" i="74"/>
  <c r="E33" i="74"/>
  <c r="F35" i="71"/>
  <c r="G35" i="71" s="1"/>
  <c r="B35" i="71"/>
  <c r="G27" i="79"/>
  <c r="I27" i="79" s="1"/>
  <c r="D28" i="77"/>
  <c r="E28" i="77"/>
  <c r="G32" i="73"/>
  <c r="I32" i="73" s="1"/>
  <c r="I34" i="30"/>
  <c r="B36" i="69"/>
  <c r="F36" i="69"/>
  <c r="H27" i="78"/>
  <c r="E34" i="21"/>
  <c r="D34" i="21"/>
  <c r="D34" i="41"/>
  <c r="E34" i="41"/>
  <c r="H29" i="63"/>
  <c r="I29" i="63" s="1"/>
  <c r="D30" i="63"/>
  <c r="E30" i="63"/>
  <c r="H30" i="54"/>
  <c r="I30" i="54" s="1"/>
  <c r="H35" i="70"/>
  <c r="B35" i="34"/>
  <c r="F35" i="34"/>
  <c r="G35" i="34" s="1"/>
  <c r="H30" i="57"/>
  <c r="I30" i="57" s="1"/>
  <c r="H25" i="92"/>
  <c r="I25" i="92" s="1"/>
  <c r="J106" i="78"/>
  <c r="J114" i="69"/>
  <c r="J104" i="92"/>
  <c r="J104" i="88"/>
  <c r="J109" i="53"/>
  <c r="J114" i="30"/>
  <c r="J105" i="85"/>
  <c r="J113" i="31"/>
  <c r="J104" i="84"/>
  <c r="J111" i="39"/>
  <c r="J107" i="66"/>
  <c r="J108" i="60"/>
  <c r="J112" i="34"/>
  <c r="J108" i="63"/>
  <c r="J114" i="27"/>
  <c r="J104" i="90"/>
  <c r="E35" i="35"/>
  <c r="F35" i="35" s="1"/>
  <c r="B35" i="35"/>
  <c r="G34" i="35"/>
  <c r="H34" i="35"/>
  <c r="B33" i="20"/>
  <c r="F33" i="20"/>
  <c r="G33" i="20" s="1"/>
  <c r="B29" i="62"/>
  <c r="F29" i="62"/>
  <c r="H29" i="62" s="1"/>
  <c r="B25" i="13"/>
  <c r="J114" i="23"/>
  <c r="J104" i="86"/>
  <c r="J110" i="74"/>
  <c r="J107" i="68"/>
  <c r="I33" i="35"/>
  <c r="B26" i="87"/>
  <c r="F26" i="87"/>
  <c r="G26" i="87" s="1"/>
  <c r="D35" i="18"/>
  <c r="E35" i="18"/>
  <c r="E30" i="59"/>
  <c r="D30" i="59"/>
  <c r="E25" i="13"/>
  <c r="F25" i="13" s="1"/>
  <c r="D111" i="53"/>
  <c r="E111" i="53"/>
  <c r="G110" i="53"/>
  <c r="D107" i="85"/>
  <c r="E107" i="85"/>
  <c r="G106" i="85"/>
  <c r="I113" i="22"/>
  <c r="H113" i="22"/>
  <c r="D116" i="30"/>
  <c r="G115" i="30"/>
  <c r="E116" i="30"/>
  <c r="F113" i="73"/>
  <c r="B113" i="73"/>
  <c r="D114" i="19"/>
  <c r="E114" i="19"/>
  <c r="G113" i="19"/>
  <c r="G105" i="84"/>
  <c r="E106" i="84"/>
  <c r="D106" i="84"/>
  <c r="H106" i="81"/>
  <c r="I106" i="81"/>
  <c r="E109" i="66"/>
  <c r="D109" i="66"/>
  <c r="G108" i="66"/>
  <c r="F113" i="41"/>
  <c r="B113" i="41"/>
  <c r="G112" i="39"/>
  <c r="E113" i="39"/>
  <c r="D113" i="39"/>
  <c r="D116" i="69"/>
  <c r="G115" i="69"/>
  <c r="E116" i="69"/>
  <c r="D108" i="79"/>
  <c r="E108" i="79"/>
  <c r="G107" i="79"/>
  <c r="G110" i="58"/>
  <c r="D111" i="58"/>
  <c r="E111" i="58"/>
  <c r="F114" i="22"/>
  <c r="B114" i="22"/>
  <c r="I112" i="73"/>
  <c r="H112" i="73"/>
  <c r="E114" i="20"/>
  <c r="D114" i="20"/>
  <c r="G113" i="20"/>
  <c r="G110" i="72"/>
  <c r="D111" i="72"/>
  <c r="E111" i="72"/>
  <c r="E106" i="90"/>
  <c r="G105" i="90"/>
  <c r="D106" i="90"/>
  <c r="B107" i="81"/>
  <c r="F107" i="81"/>
  <c r="E110" i="63"/>
  <c r="D110" i="63"/>
  <c r="G109" i="63"/>
  <c r="J114" i="29"/>
  <c r="H105" i="91"/>
  <c r="I105" i="91"/>
  <c r="H111" i="45"/>
  <c r="I111" i="45"/>
  <c r="G109" i="65"/>
  <c r="E110" i="65"/>
  <c r="D110" i="65"/>
  <c r="J113" i="18"/>
  <c r="J109" i="59"/>
  <c r="D112" i="74"/>
  <c r="E112" i="74"/>
  <c r="B110" i="62"/>
  <c r="F110" i="62"/>
  <c r="D110" i="60"/>
  <c r="E110" i="60"/>
  <c r="G109" i="60"/>
  <c r="J114" i="70"/>
  <c r="D113" i="43"/>
  <c r="E113" i="43"/>
  <c r="G112" i="43"/>
  <c r="D109" i="68"/>
  <c r="E109" i="68"/>
  <c r="G108" i="68"/>
  <c r="E116" i="27"/>
  <c r="G115" i="27"/>
  <c r="D116" i="27"/>
  <c r="J108" i="65"/>
  <c r="G114" i="31"/>
  <c r="D115" i="31"/>
  <c r="E115" i="31"/>
  <c r="E110" i="61"/>
  <c r="D110" i="61"/>
  <c r="G109" i="61"/>
  <c r="I112" i="41"/>
  <c r="H112" i="41"/>
  <c r="E114" i="34"/>
  <c r="D114" i="34"/>
  <c r="D116" i="70"/>
  <c r="E116" i="70"/>
  <c r="G115" i="70"/>
  <c r="G105" i="88"/>
  <c r="E106" i="88"/>
  <c r="D106" i="88"/>
  <c r="J112" i="19"/>
  <c r="J106" i="79"/>
  <c r="J112" i="20"/>
  <c r="J108" i="61"/>
  <c r="F106" i="91"/>
  <c r="B106" i="91"/>
  <c r="H105" i="89"/>
  <c r="I105" i="89"/>
  <c r="E110" i="64"/>
  <c r="D110" i="64"/>
  <c r="G109" i="64"/>
  <c r="G114" i="32"/>
  <c r="D115" i="32"/>
  <c r="E115" i="32"/>
  <c r="G110" i="46"/>
  <c r="E111" i="46"/>
  <c r="D111" i="46"/>
  <c r="H109" i="62"/>
  <c r="I109" i="62"/>
  <c r="J113" i="32"/>
  <c r="J109" i="46"/>
  <c r="G107" i="78"/>
  <c r="D108" i="78"/>
  <c r="E108" i="78"/>
  <c r="D116" i="29"/>
  <c r="G115" i="29"/>
  <c r="E116" i="29"/>
  <c r="E106" i="86"/>
  <c r="D106" i="86"/>
  <c r="J109" i="58"/>
  <c r="J108" i="64"/>
  <c r="J109" i="72"/>
  <c r="J111" i="43"/>
  <c r="E106" i="92"/>
  <c r="D106" i="92"/>
  <c r="G105" i="92"/>
  <c r="B112" i="45"/>
  <c r="F112" i="45"/>
  <c r="F106" i="89"/>
  <c r="B106" i="89"/>
  <c r="D111" i="59"/>
  <c r="E111" i="59"/>
  <c r="G110" i="59"/>
  <c r="F112" i="56"/>
  <c r="B112" i="56"/>
  <c r="E116" i="23"/>
  <c r="G115" i="23"/>
  <c r="D116" i="23"/>
  <c r="G114" i="18"/>
  <c r="E115" i="18"/>
  <c r="D115" i="18"/>
  <c r="J114" i="71"/>
  <c r="H111" i="56"/>
  <c r="I111" i="56"/>
  <c r="D112" i="57"/>
  <c r="G111" i="57"/>
  <c r="E112" i="57"/>
  <c r="D116" i="71"/>
  <c r="G115" i="71"/>
  <c r="E116" i="71"/>
  <c r="J110" i="57"/>
  <c r="J111" i="44"/>
  <c r="I114" i="24"/>
  <c r="H114" i="24"/>
  <c r="G112" i="44"/>
  <c r="D113" i="44"/>
  <c r="E113" i="44"/>
  <c r="J104" i="96"/>
  <c r="G117" i="35"/>
  <c r="E118" i="35"/>
  <c r="F118" i="35" s="1"/>
  <c r="B118" i="35"/>
  <c r="D109" i="67"/>
  <c r="G108" i="67"/>
  <c r="E109" i="67"/>
  <c r="I107" i="77"/>
  <c r="H107" i="77"/>
  <c r="H104" i="33"/>
  <c r="I104" i="33"/>
  <c r="D107" i="82"/>
  <c r="G106" i="82"/>
  <c r="E107" i="82"/>
  <c r="I113" i="21"/>
  <c r="H113" i="21"/>
  <c r="B111" i="54"/>
  <c r="F111" i="54"/>
  <c r="D117" i="28"/>
  <c r="G116" i="28"/>
  <c r="E117" i="28"/>
  <c r="B107" i="80"/>
  <c r="F107" i="80"/>
  <c r="F108" i="76"/>
  <c r="B108" i="76"/>
  <c r="B113" i="42"/>
  <c r="F113" i="42"/>
  <c r="H104" i="13"/>
  <c r="M88" i="13" s="1"/>
  <c r="M89" i="13" s="1"/>
  <c r="I104" i="13"/>
  <c r="N88" i="13" s="1"/>
  <c r="D106" i="87"/>
  <c r="G105" i="87"/>
  <c r="E106" i="87"/>
  <c r="B111" i="55"/>
  <c r="F111" i="55"/>
  <c r="I105" i="93"/>
  <c r="H105" i="93"/>
  <c r="G113" i="3"/>
  <c r="D114" i="3"/>
  <c r="E114" i="3"/>
  <c r="F108" i="75"/>
  <c r="B108" i="75"/>
  <c r="I106" i="80"/>
  <c r="H106" i="80"/>
  <c r="J112" i="3"/>
  <c r="J104" i="87"/>
  <c r="G105" i="96"/>
  <c r="D106" i="96"/>
  <c r="H110" i="55"/>
  <c r="I110" i="55"/>
  <c r="B107" i="83"/>
  <c r="F107" i="83"/>
  <c r="H110" i="54"/>
  <c r="I110" i="54"/>
  <c r="F115" i="24"/>
  <c r="B115" i="24"/>
  <c r="H106" i="83"/>
  <c r="I106" i="83"/>
  <c r="H116" i="35"/>
  <c r="I116" i="35"/>
  <c r="J105" i="82"/>
  <c r="F106" i="93"/>
  <c r="B106" i="93"/>
  <c r="J115" i="28"/>
  <c r="F114" i="21"/>
  <c r="B114" i="21"/>
  <c r="J113" i="17"/>
  <c r="F108" i="77"/>
  <c r="B108" i="77"/>
  <c r="H107" i="75"/>
  <c r="I107" i="75"/>
  <c r="H107" i="76"/>
  <c r="I107" i="76"/>
  <c r="F105" i="33"/>
  <c r="B105" i="33"/>
  <c r="H112" i="42"/>
  <c r="I112" i="42"/>
  <c r="F105" i="13"/>
  <c r="B105" i="13"/>
  <c r="J115" i="35"/>
  <c r="J107" i="67"/>
  <c r="F54" i="36"/>
  <c r="F31" i="36"/>
  <c r="F66" i="36"/>
  <c r="F49" i="36"/>
  <c r="F45" i="36"/>
  <c r="F48" i="36"/>
  <c r="F32" i="36"/>
  <c r="F53" i="36"/>
  <c r="E55" i="36"/>
  <c r="E75" i="36"/>
  <c r="F62" i="36"/>
  <c r="F22" i="36"/>
  <c r="F26" i="36"/>
  <c r="F86" i="36"/>
  <c r="F37" i="36"/>
  <c r="F23" i="36"/>
  <c r="F69" i="36"/>
  <c r="F77" i="36"/>
  <c r="F88" i="36"/>
  <c r="G32" i="36" l="1"/>
  <c r="G25" i="100"/>
  <c r="H25" i="100"/>
  <c r="I24" i="100"/>
  <c r="D26" i="100"/>
  <c r="E26" i="100"/>
  <c r="F26" i="100" s="1"/>
  <c r="G66" i="36"/>
  <c r="G49" i="36"/>
  <c r="G62" i="36"/>
  <c r="G31" i="36"/>
  <c r="G86" i="36"/>
  <c r="G69" i="36"/>
  <c r="G77" i="36"/>
  <c r="G22" i="36"/>
  <c r="G88" i="36"/>
  <c r="G45" i="36"/>
  <c r="G26" i="36"/>
  <c r="G48" i="36"/>
  <c r="G53" i="36"/>
  <c r="G54" i="36"/>
  <c r="G23" i="36"/>
  <c r="N7" i="60"/>
  <c r="N7" i="83"/>
  <c r="G37" i="36"/>
  <c r="D106" i="100"/>
  <c r="G105" i="100"/>
  <c r="M89" i="100"/>
  <c r="O88" i="100"/>
  <c r="O89" i="100" s="1"/>
  <c r="F34" i="19"/>
  <c r="G34" i="19" s="1"/>
  <c r="D34" i="43"/>
  <c r="B34" i="43" s="1"/>
  <c r="E115" i="17"/>
  <c r="F115" i="17" s="1"/>
  <c r="G114" i="17"/>
  <c r="I30" i="72"/>
  <c r="H33" i="43"/>
  <c r="G33" i="43"/>
  <c r="O88" i="13"/>
  <c r="O89" i="13" s="1"/>
  <c r="N89" i="13"/>
  <c r="F25" i="95"/>
  <c r="G25" i="95" s="1"/>
  <c r="B25" i="95"/>
  <c r="B34" i="19"/>
  <c r="I25" i="97"/>
  <c r="I26" i="85"/>
  <c r="D26" i="25"/>
  <c r="B26" i="25" s="1"/>
  <c r="D27" i="97"/>
  <c r="E27" i="97"/>
  <c r="H26" i="97"/>
  <c r="G26" i="97"/>
  <c r="F25" i="99"/>
  <c r="D26" i="99" s="1"/>
  <c r="B25" i="99"/>
  <c r="I24" i="98"/>
  <c r="B25" i="25"/>
  <c r="G25" i="25"/>
  <c r="H25" i="25"/>
  <c r="F25" i="98"/>
  <c r="B25" i="98"/>
  <c r="J104" i="25"/>
  <c r="G105" i="25"/>
  <c r="D106" i="25"/>
  <c r="E106" i="99"/>
  <c r="D106" i="99"/>
  <c r="G105" i="99"/>
  <c r="J104" i="99"/>
  <c r="D28" i="80"/>
  <c r="B28" i="80" s="1"/>
  <c r="B27" i="85"/>
  <c r="E28" i="80"/>
  <c r="G27" i="80"/>
  <c r="I27" i="80" s="1"/>
  <c r="F106" i="95"/>
  <c r="D107" i="95" s="1"/>
  <c r="E107" i="95" s="1"/>
  <c r="H105" i="98"/>
  <c r="I105" i="98"/>
  <c r="B106" i="98"/>
  <c r="F106" i="98"/>
  <c r="H105" i="95"/>
  <c r="I105" i="95"/>
  <c r="H105" i="26"/>
  <c r="I105" i="26"/>
  <c r="I105" i="97"/>
  <c r="H105" i="97"/>
  <c r="B106" i="26"/>
  <c r="E106" i="26"/>
  <c r="F106" i="26" s="1"/>
  <c r="F106" i="97"/>
  <c r="B106" i="97"/>
  <c r="G27" i="88"/>
  <c r="I27" i="88" s="1"/>
  <c r="B30" i="67"/>
  <c r="F30" i="67"/>
  <c r="G30" i="67" s="1"/>
  <c r="F31" i="46"/>
  <c r="H31" i="46" s="1"/>
  <c r="B31" i="46"/>
  <c r="F35" i="24"/>
  <c r="H35" i="24" s="1"/>
  <c r="B35" i="24"/>
  <c r="B26" i="94"/>
  <c r="F26" i="94"/>
  <c r="G26" i="94" s="1"/>
  <c r="E28" i="86"/>
  <c r="D28" i="86"/>
  <c r="G27" i="86"/>
  <c r="H27" i="86"/>
  <c r="I35" i="27"/>
  <c r="F25" i="93"/>
  <c r="G25" i="93" s="1"/>
  <c r="B25" i="93"/>
  <c r="I35" i="23"/>
  <c r="H28" i="82"/>
  <c r="I28" i="82" s="1"/>
  <c r="D29" i="82"/>
  <c r="E29" i="82"/>
  <c r="I27" i="78"/>
  <c r="H32" i="55"/>
  <c r="I32" i="55" s="1"/>
  <c r="E33" i="55"/>
  <c r="D33" i="55"/>
  <c r="G33" i="42"/>
  <c r="I33" i="42" s="1"/>
  <c r="E34" i="42"/>
  <c r="D34" i="42"/>
  <c r="B31" i="53"/>
  <c r="F31" i="53"/>
  <c r="H31" i="53" s="1"/>
  <c r="I105" i="94"/>
  <c r="H105" i="94"/>
  <c r="H35" i="34"/>
  <c r="I35" i="34" s="1"/>
  <c r="I25" i="33"/>
  <c r="H29" i="68"/>
  <c r="I29" i="68" s="1"/>
  <c r="F30" i="66"/>
  <c r="G30" i="66" s="1"/>
  <c r="B30" i="66"/>
  <c r="G29" i="65"/>
  <c r="I29" i="65" s="1"/>
  <c r="D30" i="65"/>
  <c r="E30" i="65"/>
  <c r="B36" i="23"/>
  <c r="F36" i="23"/>
  <c r="G36" i="23" s="1"/>
  <c r="H28" i="75"/>
  <c r="I28" i="75" s="1"/>
  <c r="E29" i="75"/>
  <c r="D29" i="75"/>
  <c r="G32" i="58"/>
  <c r="I32" i="58" s="1"/>
  <c r="E33" i="58"/>
  <c r="D33" i="58"/>
  <c r="F27" i="84"/>
  <c r="H27" i="84" s="1"/>
  <c r="B27" i="84"/>
  <c r="B28" i="90"/>
  <c r="F28" i="90"/>
  <c r="H34" i="3"/>
  <c r="I34" i="3" s="1"/>
  <c r="H33" i="39"/>
  <c r="I33" i="39" s="1"/>
  <c r="F27" i="91"/>
  <c r="B27" i="91"/>
  <c r="I27" i="90"/>
  <c r="I26" i="84"/>
  <c r="E106" i="94"/>
  <c r="F106" i="94" s="1"/>
  <c r="B106" i="94"/>
  <c r="D32" i="72"/>
  <c r="E32" i="72"/>
  <c r="F34" i="22"/>
  <c r="H34" i="22" s="1"/>
  <c r="D28" i="85"/>
  <c r="E28" i="85"/>
  <c r="B27" i="81"/>
  <c r="F27" i="81"/>
  <c r="G27" i="81" s="1"/>
  <c r="G31" i="72"/>
  <c r="B36" i="27"/>
  <c r="F36" i="27"/>
  <c r="H36" i="27" s="1"/>
  <c r="G27" i="85"/>
  <c r="F33" i="44"/>
  <c r="H33" i="44" s="1"/>
  <c r="H31" i="72"/>
  <c r="F25" i="96"/>
  <c r="H25" i="96" s="1"/>
  <c r="B25" i="96"/>
  <c r="F30" i="61"/>
  <c r="H30" i="61" s="1"/>
  <c r="B30" i="61"/>
  <c r="B28" i="76"/>
  <c r="F28" i="76"/>
  <c r="G28" i="76" s="1"/>
  <c r="D34" i="39"/>
  <c r="E34" i="39"/>
  <c r="B34" i="22"/>
  <c r="I27" i="76"/>
  <c r="H27" i="85"/>
  <c r="I35" i="70"/>
  <c r="H25" i="26"/>
  <c r="D26" i="26"/>
  <c r="G25" i="26"/>
  <c r="B34" i="41"/>
  <c r="F34" i="41"/>
  <c r="H29" i="60"/>
  <c r="D30" i="60"/>
  <c r="E30" i="60"/>
  <c r="B30" i="63"/>
  <c r="F30" i="63"/>
  <c r="B34" i="21"/>
  <c r="F34" i="21"/>
  <c r="G34" i="21" s="1"/>
  <c r="G36" i="69"/>
  <c r="D37" i="69"/>
  <c r="E37" i="69"/>
  <c r="B28" i="77"/>
  <c r="F28" i="77"/>
  <c r="H28" i="77" s="1"/>
  <c r="B33" i="74"/>
  <c r="F33" i="74"/>
  <c r="G33" i="74" s="1"/>
  <c r="D33" i="45"/>
  <c r="E33" i="45"/>
  <c r="E35" i="19"/>
  <c r="B26" i="92"/>
  <c r="D37" i="31"/>
  <c r="E37" i="31"/>
  <c r="D38" i="28"/>
  <c r="E38" i="28"/>
  <c r="B31" i="54"/>
  <c r="F31" i="54"/>
  <c r="G31" i="54" s="1"/>
  <c r="B28" i="78"/>
  <c r="F28" i="78"/>
  <c r="G28" i="78" s="1"/>
  <c r="B26" i="33"/>
  <c r="F26" i="33"/>
  <c r="D27" i="33" s="1"/>
  <c r="E31" i="56"/>
  <c r="D31" i="56"/>
  <c r="H26" i="87"/>
  <c r="I26" i="87" s="1"/>
  <c r="H33" i="20"/>
  <c r="I33" i="20" s="1"/>
  <c r="I34" i="35"/>
  <c r="H36" i="69"/>
  <c r="E36" i="71"/>
  <c r="D36" i="71"/>
  <c r="F35" i="32"/>
  <c r="B35" i="32"/>
  <c r="G32" i="45"/>
  <c r="G30" i="56"/>
  <c r="I30" i="56" s="1"/>
  <c r="B36" i="29"/>
  <c r="F36" i="29"/>
  <c r="G36" i="29" s="1"/>
  <c r="B31" i="57"/>
  <c r="F31" i="57"/>
  <c r="G31" i="57" s="1"/>
  <c r="E28" i="88"/>
  <c r="D28" i="88"/>
  <c r="F33" i="73"/>
  <c r="B33" i="73"/>
  <c r="H34" i="19"/>
  <c r="G30" i="64"/>
  <c r="I30" i="64" s="1"/>
  <c r="E31" i="64"/>
  <c r="D31" i="64"/>
  <c r="F26" i="92"/>
  <c r="H26" i="92" s="1"/>
  <c r="H36" i="31"/>
  <c r="I36" i="31" s="1"/>
  <c r="H37" i="28"/>
  <c r="F36" i="70"/>
  <c r="H36" i="70" s="1"/>
  <c r="B36" i="70"/>
  <c r="G35" i="30"/>
  <c r="I35" i="30" s="1"/>
  <c r="D36" i="30"/>
  <c r="E36" i="30"/>
  <c r="G26" i="83"/>
  <c r="I26" i="83" s="1"/>
  <c r="D27" i="83"/>
  <c r="E27" i="83"/>
  <c r="D36" i="34"/>
  <c r="E36" i="34"/>
  <c r="H35" i="71"/>
  <c r="I35" i="71" s="1"/>
  <c r="H32" i="45"/>
  <c r="F28" i="79"/>
  <c r="B28" i="79"/>
  <c r="D35" i="3"/>
  <c r="E35" i="3"/>
  <c r="B26" i="89"/>
  <c r="F26" i="89"/>
  <c r="H26" i="89" s="1"/>
  <c r="G37" i="28"/>
  <c r="G29" i="60"/>
  <c r="F34" i="17"/>
  <c r="G34" i="17" s="1"/>
  <c r="C43" i="17"/>
  <c r="B34" i="17"/>
  <c r="E30" i="68"/>
  <c r="D30" i="68"/>
  <c r="J112" i="41"/>
  <c r="D26" i="13"/>
  <c r="E26" i="13" s="1"/>
  <c r="G25" i="13"/>
  <c r="N5" i="13" s="1"/>
  <c r="H25" i="13"/>
  <c r="N6" i="13" s="1"/>
  <c r="J104" i="13"/>
  <c r="J105" i="91"/>
  <c r="B30" i="59"/>
  <c r="F30" i="59"/>
  <c r="G30" i="59" s="1"/>
  <c r="E30" i="62"/>
  <c r="D30" i="62"/>
  <c r="G35" i="35"/>
  <c r="E36" i="35"/>
  <c r="F36" i="35" s="1"/>
  <c r="B36" i="35"/>
  <c r="H35" i="35"/>
  <c r="E27" i="87"/>
  <c r="D27" i="87"/>
  <c r="B35" i="18"/>
  <c r="F35" i="18"/>
  <c r="H35" i="18" s="1"/>
  <c r="J112" i="73"/>
  <c r="G29" i="62"/>
  <c r="I29" i="62" s="1"/>
  <c r="E34" i="20"/>
  <c r="D34" i="20"/>
  <c r="F106" i="86"/>
  <c r="B106" i="86"/>
  <c r="I115" i="29"/>
  <c r="H115" i="29"/>
  <c r="H107" i="78"/>
  <c r="I107" i="78"/>
  <c r="F110" i="64"/>
  <c r="B110" i="64"/>
  <c r="H105" i="88"/>
  <c r="I105" i="88"/>
  <c r="B114" i="34"/>
  <c r="F114" i="34"/>
  <c r="B116" i="27"/>
  <c r="F116" i="27"/>
  <c r="B113" i="43"/>
  <c r="F113" i="43"/>
  <c r="B110" i="60"/>
  <c r="F110" i="60"/>
  <c r="F110" i="65"/>
  <c r="B110" i="65"/>
  <c r="H109" i="63"/>
  <c r="I109" i="63"/>
  <c r="B114" i="20"/>
  <c r="F114" i="20"/>
  <c r="H110" i="58"/>
  <c r="I110" i="58"/>
  <c r="I108" i="66"/>
  <c r="H108" i="66"/>
  <c r="I113" i="19"/>
  <c r="H113" i="19"/>
  <c r="E114" i="73"/>
  <c r="D114" i="73"/>
  <c r="G113" i="73"/>
  <c r="B107" i="85"/>
  <c r="F107" i="85"/>
  <c r="H105" i="92"/>
  <c r="I105" i="92"/>
  <c r="F116" i="29"/>
  <c r="B116" i="29"/>
  <c r="F111" i="46"/>
  <c r="B111" i="46"/>
  <c r="B115" i="32"/>
  <c r="F115" i="32"/>
  <c r="D107" i="91"/>
  <c r="G106" i="91"/>
  <c r="E107" i="91"/>
  <c r="I115" i="70"/>
  <c r="H115" i="70"/>
  <c r="H109" i="61"/>
  <c r="I109" i="61"/>
  <c r="F115" i="31"/>
  <c r="B115" i="31"/>
  <c r="H115" i="27"/>
  <c r="I115" i="27"/>
  <c r="F109" i="68"/>
  <c r="B109" i="68"/>
  <c r="G110" i="62"/>
  <c r="E111" i="62"/>
  <c r="D111" i="62"/>
  <c r="B112" i="74"/>
  <c r="F112" i="74"/>
  <c r="B110" i="63"/>
  <c r="F110" i="63"/>
  <c r="B106" i="90"/>
  <c r="F106" i="90"/>
  <c r="F111" i="72"/>
  <c r="B111" i="72"/>
  <c r="G114" i="22"/>
  <c r="D115" i="22"/>
  <c r="E115" i="22"/>
  <c r="I107" i="79"/>
  <c r="H107" i="79"/>
  <c r="H115" i="69"/>
  <c r="I115" i="69"/>
  <c r="I112" i="39"/>
  <c r="H112" i="39"/>
  <c r="B109" i="66"/>
  <c r="F109" i="66"/>
  <c r="B106" i="84"/>
  <c r="F106" i="84"/>
  <c r="J113" i="22"/>
  <c r="I110" i="53"/>
  <c r="H110" i="53"/>
  <c r="J107" i="76"/>
  <c r="E107" i="89"/>
  <c r="G106" i="89"/>
  <c r="D107" i="89"/>
  <c r="F106" i="92"/>
  <c r="B106" i="92"/>
  <c r="I114" i="32"/>
  <c r="H114" i="32"/>
  <c r="J105" i="89"/>
  <c r="F106" i="88"/>
  <c r="B106" i="88"/>
  <c r="B110" i="61"/>
  <c r="F110" i="61"/>
  <c r="I114" i="31"/>
  <c r="H114" i="31"/>
  <c r="H112" i="43"/>
  <c r="I112" i="43"/>
  <c r="I109" i="60"/>
  <c r="H109" i="60"/>
  <c r="I109" i="65"/>
  <c r="H109" i="65"/>
  <c r="I105" i="90"/>
  <c r="H105" i="90"/>
  <c r="H110" i="72"/>
  <c r="I110" i="72"/>
  <c r="F116" i="69"/>
  <c r="B116" i="69"/>
  <c r="B114" i="19"/>
  <c r="F114" i="19"/>
  <c r="I115" i="30"/>
  <c r="H115" i="30"/>
  <c r="H106" i="85"/>
  <c r="I106" i="85"/>
  <c r="J110" i="55"/>
  <c r="D113" i="45"/>
  <c r="E113" i="45"/>
  <c r="G112" i="45"/>
  <c r="F108" i="78"/>
  <c r="B108" i="78"/>
  <c r="J109" i="62"/>
  <c r="I110" i="46"/>
  <c r="H110" i="46"/>
  <c r="H109" i="64"/>
  <c r="I109" i="64"/>
  <c r="F116" i="70"/>
  <c r="B116" i="70"/>
  <c r="H108" i="68"/>
  <c r="I108" i="68"/>
  <c r="J111" i="45"/>
  <c r="G107" i="81"/>
  <c r="E108" i="81"/>
  <c r="D108" i="81"/>
  <c r="I113" i="20"/>
  <c r="H113" i="20"/>
  <c r="F111" i="58"/>
  <c r="B111" i="58"/>
  <c r="B108" i="79"/>
  <c r="F108" i="79"/>
  <c r="F113" i="39"/>
  <c r="B113" i="39"/>
  <c r="D114" i="41"/>
  <c r="G113" i="41"/>
  <c r="E114" i="41"/>
  <c r="J106" i="81"/>
  <c r="I105" i="84"/>
  <c r="H105" i="84"/>
  <c r="F116" i="30"/>
  <c r="B116" i="30"/>
  <c r="B111" i="53"/>
  <c r="F111" i="53"/>
  <c r="G112" i="56"/>
  <c r="E113" i="56"/>
  <c r="D113" i="56"/>
  <c r="H114" i="18"/>
  <c r="I114" i="18"/>
  <c r="I115" i="23"/>
  <c r="H115" i="23"/>
  <c r="H110" i="59"/>
  <c r="I110" i="59"/>
  <c r="B116" i="23"/>
  <c r="F116" i="23"/>
  <c r="J107" i="75"/>
  <c r="J116" i="35"/>
  <c r="J110" i="54"/>
  <c r="J104" i="33"/>
  <c r="J111" i="56"/>
  <c r="B115" i="18"/>
  <c r="F115" i="18"/>
  <c r="F111" i="59"/>
  <c r="B111" i="59"/>
  <c r="F116" i="71"/>
  <c r="B116" i="71"/>
  <c r="H111" i="57"/>
  <c r="I111" i="57"/>
  <c r="J112" i="42"/>
  <c r="B112" i="57"/>
  <c r="F112" i="57"/>
  <c r="I115" i="71"/>
  <c r="H115" i="71"/>
  <c r="J106" i="80"/>
  <c r="J105" i="93"/>
  <c r="J113" i="21"/>
  <c r="E119" i="35"/>
  <c r="F119" i="35" s="1"/>
  <c r="B119" i="35"/>
  <c r="G118" i="35"/>
  <c r="J114" i="24"/>
  <c r="G105" i="13"/>
  <c r="D106" i="13"/>
  <c r="E106" i="13" s="1"/>
  <c r="H114" i="17"/>
  <c r="I114" i="17"/>
  <c r="E108" i="83"/>
  <c r="G107" i="83"/>
  <c r="D108" i="83"/>
  <c r="B114" i="3"/>
  <c r="F114" i="3"/>
  <c r="D109" i="76"/>
  <c r="G108" i="76"/>
  <c r="E109" i="76"/>
  <c r="I108" i="67"/>
  <c r="H108" i="67"/>
  <c r="E109" i="77"/>
  <c r="G108" i="77"/>
  <c r="D109" i="77"/>
  <c r="H113" i="3"/>
  <c r="I113" i="3"/>
  <c r="F109" i="67"/>
  <c r="B109" i="67"/>
  <c r="E115" i="21"/>
  <c r="G114" i="21"/>
  <c r="D115" i="21"/>
  <c r="H105" i="96"/>
  <c r="I105" i="96"/>
  <c r="D109" i="75"/>
  <c r="G108" i="75"/>
  <c r="E109" i="75"/>
  <c r="I105" i="87"/>
  <c r="H105" i="87"/>
  <c r="D112" i="54"/>
  <c r="G111" i="54"/>
  <c r="E112" i="54"/>
  <c r="F107" i="82"/>
  <c r="B107" i="82"/>
  <c r="J107" i="77"/>
  <c r="H117" i="35"/>
  <c r="I117" i="35"/>
  <c r="B113" i="44"/>
  <c r="F113" i="44"/>
  <c r="B106" i="96"/>
  <c r="F117" i="28"/>
  <c r="B117" i="28"/>
  <c r="D116" i="24"/>
  <c r="E116" i="24"/>
  <c r="G115" i="24"/>
  <c r="E106" i="96"/>
  <c r="F106" i="96" s="1"/>
  <c r="D112" i="55"/>
  <c r="G111" i="55"/>
  <c r="E112" i="55"/>
  <c r="G113" i="42"/>
  <c r="D114" i="42"/>
  <c r="E114" i="42"/>
  <c r="I106" i="82"/>
  <c r="H106" i="82"/>
  <c r="G105" i="33"/>
  <c r="D106" i="33"/>
  <c r="E106" i="33" s="1"/>
  <c r="D107" i="93"/>
  <c r="E107" i="93" s="1"/>
  <c r="G106" i="93"/>
  <c r="J106" i="83"/>
  <c r="B115" i="17"/>
  <c r="F106" i="87"/>
  <c r="B106" i="87"/>
  <c r="E108" i="80"/>
  <c r="G107" i="80"/>
  <c r="D108" i="80"/>
  <c r="H116" i="28"/>
  <c r="I116" i="28"/>
  <c r="I112" i="44"/>
  <c r="H112" i="44"/>
  <c r="F75" i="36"/>
  <c r="F55" i="36"/>
  <c r="I34" i="19" l="1"/>
  <c r="I25" i="100"/>
  <c r="I33" i="43"/>
  <c r="N7" i="13"/>
  <c r="D27" i="100"/>
  <c r="E27" i="100"/>
  <c r="B26" i="100"/>
  <c r="G26" i="100"/>
  <c r="H26" i="100"/>
  <c r="G75" i="36"/>
  <c r="G55" i="36"/>
  <c r="H105" i="100"/>
  <c r="I105" i="100"/>
  <c r="J105" i="100" s="1"/>
  <c r="E106" i="100"/>
  <c r="B106" i="100"/>
  <c r="F106" i="100"/>
  <c r="D35" i="19"/>
  <c r="F35" i="19" s="1"/>
  <c r="G35" i="19" s="1"/>
  <c r="F34" i="43"/>
  <c r="G34" i="43" s="1"/>
  <c r="H25" i="95"/>
  <c r="I25" i="95" s="1"/>
  <c r="E26" i="95"/>
  <c r="D26" i="95"/>
  <c r="E26" i="25"/>
  <c r="F26" i="25" s="1"/>
  <c r="G26" i="25" s="1"/>
  <c r="B107" i="95"/>
  <c r="I25" i="25"/>
  <c r="D26" i="98"/>
  <c r="E26" i="98"/>
  <c r="H25" i="98"/>
  <c r="E26" i="99"/>
  <c r="F26" i="99" s="1"/>
  <c r="B26" i="99"/>
  <c r="F27" i="97"/>
  <c r="D28" i="97" s="1"/>
  <c r="B27" i="97"/>
  <c r="G25" i="98"/>
  <c r="H25" i="99"/>
  <c r="F28" i="80"/>
  <c r="D29" i="80" s="1"/>
  <c r="G25" i="99"/>
  <c r="I26" i="97"/>
  <c r="B106" i="25"/>
  <c r="E106" i="25"/>
  <c r="F106" i="25" s="1"/>
  <c r="I35" i="35"/>
  <c r="H105" i="25"/>
  <c r="I105" i="25"/>
  <c r="H105" i="99"/>
  <c r="I105" i="99"/>
  <c r="B106" i="99"/>
  <c r="F106" i="99"/>
  <c r="I36" i="69"/>
  <c r="H30" i="67"/>
  <c r="I30" i="67" s="1"/>
  <c r="J105" i="95"/>
  <c r="J105" i="98"/>
  <c r="F107" i="95"/>
  <c r="G107" i="95" s="1"/>
  <c r="G106" i="95"/>
  <c r="H30" i="59"/>
  <c r="I30" i="59" s="1"/>
  <c r="G35" i="18"/>
  <c r="I35" i="18" s="1"/>
  <c r="G106" i="98"/>
  <c r="D107" i="98"/>
  <c r="E107" i="98"/>
  <c r="G106" i="97"/>
  <c r="D107" i="97"/>
  <c r="E107" i="97"/>
  <c r="J105" i="97"/>
  <c r="D107" i="26"/>
  <c r="G106" i="26"/>
  <c r="J105" i="26"/>
  <c r="J105" i="94"/>
  <c r="I27" i="86"/>
  <c r="H27" i="81"/>
  <c r="I27" i="81" s="1"/>
  <c r="I31" i="72"/>
  <c r="E31" i="67"/>
  <c r="D31" i="67"/>
  <c r="G31" i="46"/>
  <c r="I31" i="46" s="1"/>
  <c r="E32" i="46"/>
  <c r="D32" i="46"/>
  <c r="G35" i="24"/>
  <c r="I35" i="24" s="1"/>
  <c r="D36" i="24"/>
  <c r="E36" i="24"/>
  <c r="B29" i="82"/>
  <c r="F29" i="82"/>
  <c r="G27" i="84"/>
  <c r="I27" i="84" s="1"/>
  <c r="H25" i="93"/>
  <c r="I25" i="93" s="1"/>
  <c r="D26" i="93"/>
  <c r="E26" i="93"/>
  <c r="H26" i="94"/>
  <c r="I26" i="94" s="1"/>
  <c r="D27" i="94"/>
  <c r="E27" i="94"/>
  <c r="F28" i="86"/>
  <c r="B28" i="86"/>
  <c r="G106" i="94"/>
  <c r="D107" i="94"/>
  <c r="G30" i="61"/>
  <c r="I30" i="61" s="1"/>
  <c r="G36" i="27"/>
  <c r="I36" i="27" s="1"/>
  <c r="B33" i="55"/>
  <c r="F33" i="55"/>
  <c r="G33" i="55" s="1"/>
  <c r="F33" i="58"/>
  <c r="G33" i="58" s="1"/>
  <c r="B33" i="58"/>
  <c r="H34" i="17"/>
  <c r="I34" i="17" s="1"/>
  <c r="G34" i="22"/>
  <c r="I34" i="22" s="1"/>
  <c r="F30" i="65"/>
  <c r="H30" i="65" s="1"/>
  <c r="B30" i="65"/>
  <c r="H30" i="66"/>
  <c r="I30" i="66" s="1"/>
  <c r="E31" i="66"/>
  <c r="D31" i="66"/>
  <c r="G31" i="53"/>
  <c r="I31" i="53" s="1"/>
  <c r="D32" i="53"/>
  <c r="E32" i="53"/>
  <c r="F34" i="42"/>
  <c r="B34" i="42"/>
  <c r="G28" i="90"/>
  <c r="D29" i="90"/>
  <c r="E29" i="90"/>
  <c r="D28" i="91"/>
  <c r="E28" i="91"/>
  <c r="G27" i="91"/>
  <c r="H27" i="91"/>
  <c r="H28" i="90"/>
  <c r="E28" i="84"/>
  <c r="D28" i="84"/>
  <c r="B29" i="75"/>
  <c r="F29" i="75"/>
  <c r="D37" i="23"/>
  <c r="E37" i="23"/>
  <c r="H36" i="23"/>
  <c r="I36" i="23" s="1"/>
  <c r="B34" i="39"/>
  <c r="F34" i="39"/>
  <c r="H34" i="39" s="1"/>
  <c r="I27" i="85"/>
  <c r="G28" i="77"/>
  <c r="I28" i="77" s="1"/>
  <c r="F30" i="60"/>
  <c r="E31" i="60" s="1"/>
  <c r="H28" i="76"/>
  <c r="I28" i="76" s="1"/>
  <c r="D29" i="76"/>
  <c r="E29" i="76"/>
  <c r="G25" i="96"/>
  <c r="I25" i="96" s="1"/>
  <c r="D26" i="96"/>
  <c r="E26" i="96"/>
  <c r="G33" i="44"/>
  <c r="I33" i="44" s="1"/>
  <c r="D37" i="27"/>
  <c r="E37" i="27"/>
  <c r="H31" i="57"/>
  <c r="I31" i="57" s="1"/>
  <c r="H36" i="29"/>
  <c r="I36" i="29" s="1"/>
  <c r="B26" i="95"/>
  <c r="D31" i="61"/>
  <c r="E31" i="61"/>
  <c r="B28" i="85"/>
  <c r="F28" i="85"/>
  <c r="G28" i="85" s="1"/>
  <c r="B32" i="72"/>
  <c r="F32" i="72"/>
  <c r="G32" i="72" s="1"/>
  <c r="D34" i="44"/>
  <c r="E34" i="44"/>
  <c r="E28" i="81"/>
  <c r="D28" i="81"/>
  <c r="D35" i="22"/>
  <c r="E35" i="22"/>
  <c r="I32" i="45"/>
  <c r="E27" i="33"/>
  <c r="F27" i="33" s="1"/>
  <c r="B27" i="33"/>
  <c r="E35" i="41"/>
  <c r="D35" i="41"/>
  <c r="B35" i="3"/>
  <c r="F35" i="3"/>
  <c r="H35" i="3" s="1"/>
  <c r="D29" i="79"/>
  <c r="E29" i="79"/>
  <c r="F36" i="30"/>
  <c r="H36" i="30" s="1"/>
  <c r="B36" i="30"/>
  <c r="G36" i="70"/>
  <c r="I36" i="70" s="1"/>
  <c r="D27" i="92"/>
  <c r="E27" i="92"/>
  <c r="D34" i="73"/>
  <c r="E34" i="73"/>
  <c r="E36" i="32"/>
  <c r="D36" i="32"/>
  <c r="H26" i="33"/>
  <c r="D32" i="54"/>
  <c r="E32" i="54"/>
  <c r="E34" i="74"/>
  <c r="D34" i="74"/>
  <c r="F37" i="69"/>
  <c r="H37" i="69" s="1"/>
  <c r="B37" i="69"/>
  <c r="E35" i="21"/>
  <c r="D35" i="21"/>
  <c r="H34" i="41"/>
  <c r="E26" i="26"/>
  <c r="F26" i="26" s="1"/>
  <c r="B26" i="26"/>
  <c r="B30" i="68"/>
  <c r="F30" i="68"/>
  <c r="G30" i="68" s="1"/>
  <c r="B31" i="56"/>
  <c r="F31" i="56"/>
  <c r="B38" i="28"/>
  <c r="F38" i="28"/>
  <c r="G28" i="79"/>
  <c r="B36" i="34"/>
  <c r="F36" i="34"/>
  <c r="F31" i="64"/>
  <c r="B31" i="64"/>
  <c r="G33" i="73"/>
  <c r="B28" i="88"/>
  <c r="F28" i="88"/>
  <c r="H28" i="88" s="1"/>
  <c r="E32" i="57"/>
  <c r="D32" i="57"/>
  <c r="E37" i="29"/>
  <c r="D37" i="29"/>
  <c r="G35" i="32"/>
  <c r="F36" i="71"/>
  <c r="B36" i="71"/>
  <c r="F37" i="31"/>
  <c r="G37" i="31" s="1"/>
  <c r="B37" i="31"/>
  <c r="H33" i="74"/>
  <c r="I33" i="74" s="1"/>
  <c r="D29" i="77"/>
  <c r="E29" i="77"/>
  <c r="B30" i="60"/>
  <c r="I25" i="26"/>
  <c r="B27" i="83"/>
  <c r="F27" i="83"/>
  <c r="E37" i="70"/>
  <c r="D37" i="70"/>
  <c r="D29" i="78"/>
  <c r="E29" i="78"/>
  <c r="H30" i="63"/>
  <c r="E31" i="63"/>
  <c r="D31" i="63"/>
  <c r="E35" i="17"/>
  <c r="D35" i="17"/>
  <c r="G26" i="89"/>
  <c r="I26" i="89" s="1"/>
  <c r="D27" i="89"/>
  <c r="E27" i="89"/>
  <c r="H28" i="79"/>
  <c r="I37" i="28"/>
  <c r="H33" i="73"/>
  <c r="H35" i="32"/>
  <c r="G26" i="33"/>
  <c r="H28" i="78"/>
  <c r="I28" i="78" s="1"/>
  <c r="H31" i="54"/>
  <c r="I31" i="54" s="1"/>
  <c r="G26" i="92"/>
  <c r="I26" i="92" s="1"/>
  <c r="B33" i="45"/>
  <c r="F33" i="45"/>
  <c r="H34" i="21"/>
  <c r="I34" i="21" s="1"/>
  <c r="G30" i="63"/>
  <c r="I29" i="60"/>
  <c r="G34" i="41"/>
  <c r="J115" i="27"/>
  <c r="J109" i="61"/>
  <c r="J105" i="88"/>
  <c r="J107" i="78"/>
  <c r="J106" i="85"/>
  <c r="J110" i="72"/>
  <c r="J112" i="43"/>
  <c r="J115" i="69"/>
  <c r="J105" i="84"/>
  <c r="J105" i="86"/>
  <c r="J110" i="58"/>
  <c r="J113" i="20"/>
  <c r="J110" i="46"/>
  <c r="J110" i="53"/>
  <c r="J113" i="34"/>
  <c r="J109" i="63"/>
  <c r="J111" i="74"/>
  <c r="J114" i="32"/>
  <c r="H36" i="35"/>
  <c r="E37" i="35"/>
  <c r="F37" i="35" s="1"/>
  <c r="B37" i="35"/>
  <c r="G36" i="35"/>
  <c r="B30" i="62"/>
  <c r="F30" i="62"/>
  <c r="B26" i="13"/>
  <c r="F26" i="13"/>
  <c r="J116" i="28"/>
  <c r="J105" i="92"/>
  <c r="B34" i="20"/>
  <c r="F34" i="20"/>
  <c r="G34" i="20" s="1"/>
  <c r="D36" i="18"/>
  <c r="E36" i="18"/>
  <c r="B27" i="87"/>
  <c r="F27" i="87"/>
  <c r="G27" i="87" s="1"/>
  <c r="E31" i="59"/>
  <c r="D31" i="59"/>
  <c r="I25" i="13"/>
  <c r="E112" i="58"/>
  <c r="D112" i="58"/>
  <c r="G111" i="58"/>
  <c r="E107" i="92"/>
  <c r="D107" i="92"/>
  <c r="G106" i="92"/>
  <c r="E107" i="84"/>
  <c r="D107" i="84"/>
  <c r="G106" i="84"/>
  <c r="D112" i="46"/>
  <c r="G111" i="46"/>
  <c r="E112" i="46"/>
  <c r="E112" i="53"/>
  <c r="G111" i="53"/>
  <c r="D112" i="53"/>
  <c r="I113" i="41"/>
  <c r="H113" i="41"/>
  <c r="E109" i="79"/>
  <c r="G108" i="79"/>
  <c r="D109" i="79"/>
  <c r="I107" i="81"/>
  <c r="H107" i="81"/>
  <c r="D109" i="78"/>
  <c r="E109" i="78"/>
  <c r="G108" i="78"/>
  <c r="J115" i="30"/>
  <c r="D117" i="69"/>
  <c r="G116" i="69"/>
  <c r="E117" i="69"/>
  <c r="J105" i="90"/>
  <c r="J109" i="60"/>
  <c r="J114" i="31"/>
  <c r="B107" i="89"/>
  <c r="F107" i="89"/>
  <c r="J112" i="39"/>
  <c r="J107" i="79"/>
  <c r="D111" i="63"/>
  <c r="G110" i="63"/>
  <c r="E111" i="63"/>
  <c r="B111" i="62"/>
  <c r="F111" i="62"/>
  <c r="G109" i="68"/>
  <c r="D110" i="68"/>
  <c r="E110" i="68"/>
  <c r="E116" i="31"/>
  <c r="G115" i="31"/>
  <c r="D116" i="31"/>
  <c r="J115" i="70"/>
  <c r="D116" i="32"/>
  <c r="G115" i="32"/>
  <c r="E116" i="32"/>
  <c r="H113" i="73"/>
  <c r="I113" i="73"/>
  <c r="J113" i="19"/>
  <c r="G110" i="64"/>
  <c r="D111" i="64"/>
  <c r="E111" i="64"/>
  <c r="J115" i="29"/>
  <c r="G113" i="43"/>
  <c r="D114" i="43"/>
  <c r="E114" i="43"/>
  <c r="B114" i="41"/>
  <c r="F114" i="41"/>
  <c r="D117" i="70"/>
  <c r="E117" i="70"/>
  <c r="G116" i="70"/>
  <c r="I112" i="45"/>
  <c r="H112" i="45"/>
  <c r="D115" i="19"/>
  <c r="E115" i="19"/>
  <c r="G114" i="19"/>
  <c r="D111" i="61"/>
  <c r="G110" i="61"/>
  <c r="E111" i="61"/>
  <c r="H106" i="89"/>
  <c r="I106" i="89"/>
  <c r="D110" i="66"/>
  <c r="G109" i="66"/>
  <c r="E110" i="66"/>
  <c r="D112" i="72"/>
  <c r="E112" i="72"/>
  <c r="G111" i="72"/>
  <c r="G116" i="29"/>
  <c r="E117" i="29"/>
  <c r="D117" i="29"/>
  <c r="F114" i="73"/>
  <c r="B114" i="73"/>
  <c r="E115" i="20"/>
  <c r="G114" i="20"/>
  <c r="D115" i="20"/>
  <c r="E111" i="60"/>
  <c r="D111" i="60"/>
  <c r="G110" i="60"/>
  <c r="G116" i="27"/>
  <c r="E117" i="27"/>
  <c r="D117" i="27"/>
  <c r="E117" i="30"/>
  <c r="D117" i="30"/>
  <c r="G116" i="30"/>
  <c r="D114" i="39"/>
  <c r="E114" i="39"/>
  <c r="G113" i="39"/>
  <c r="F113" i="45"/>
  <c r="B113" i="45"/>
  <c r="I114" i="22"/>
  <c r="H114" i="22"/>
  <c r="B107" i="91"/>
  <c r="F107" i="91"/>
  <c r="D115" i="34"/>
  <c r="E115" i="34"/>
  <c r="G114" i="34"/>
  <c r="J117" i="35"/>
  <c r="J110" i="59"/>
  <c r="J114" i="18"/>
  <c r="F108" i="81"/>
  <c r="B108" i="81"/>
  <c r="J108" i="68"/>
  <c r="J109" i="64"/>
  <c r="J109" i="65"/>
  <c r="D107" i="88"/>
  <c r="G106" i="88"/>
  <c r="E107" i="88"/>
  <c r="B115" i="22"/>
  <c r="F115" i="22"/>
  <c r="E107" i="90"/>
  <c r="G106" i="90"/>
  <c r="D107" i="90"/>
  <c r="E113" i="74"/>
  <c r="G112" i="74"/>
  <c r="D113" i="74"/>
  <c r="H110" i="62"/>
  <c r="I110" i="62"/>
  <c r="H106" i="91"/>
  <c r="I106" i="91"/>
  <c r="E108" i="85"/>
  <c r="D108" i="85"/>
  <c r="G107" i="85"/>
  <c r="J108" i="66"/>
  <c r="G110" i="65"/>
  <c r="E111" i="65"/>
  <c r="D111" i="65"/>
  <c r="E107" i="86"/>
  <c r="D107" i="86"/>
  <c r="G106" i="86"/>
  <c r="D117" i="23"/>
  <c r="E117" i="23"/>
  <c r="G116" i="23"/>
  <c r="J105" i="87"/>
  <c r="J115" i="71"/>
  <c r="G115" i="18"/>
  <c r="D116" i="18"/>
  <c r="E116" i="18"/>
  <c r="J115" i="23"/>
  <c r="B113" i="56"/>
  <c r="F113" i="56"/>
  <c r="J114" i="17"/>
  <c r="E112" i="59"/>
  <c r="G111" i="59"/>
  <c r="D112" i="59"/>
  <c r="H112" i="56"/>
  <c r="I112" i="56"/>
  <c r="J106" i="82"/>
  <c r="D117" i="71"/>
  <c r="G116" i="71"/>
  <c r="E117" i="71"/>
  <c r="D113" i="57"/>
  <c r="E113" i="57"/>
  <c r="G112" i="57"/>
  <c r="J113" i="3"/>
  <c r="J111" i="57"/>
  <c r="D107" i="96"/>
  <c r="G106" i="96"/>
  <c r="B114" i="42"/>
  <c r="F114" i="42"/>
  <c r="B116" i="24"/>
  <c r="F116" i="24"/>
  <c r="H114" i="21"/>
  <c r="I114" i="21"/>
  <c r="B109" i="76"/>
  <c r="F109" i="76"/>
  <c r="I107" i="83"/>
  <c r="H107" i="83"/>
  <c r="I106" i="93"/>
  <c r="H106" i="93"/>
  <c r="H111" i="55"/>
  <c r="I111" i="55"/>
  <c r="D110" i="67"/>
  <c r="G109" i="67"/>
  <c r="E110" i="67"/>
  <c r="B109" i="77"/>
  <c r="F109" i="77"/>
  <c r="F106" i="13"/>
  <c r="B106" i="13"/>
  <c r="B108" i="80"/>
  <c r="F108" i="80"/>
  <c r="B112" i="55"/>
  <c r="F112" i="55"/>
  <c r="I115" i="24"/>
  <c r="H115" i="24"/>
  <c r="G117" i="28"/>
  <c r="D118" i="28"/>
  <c r="E118" i="28"/>
  <c r="D114" i="44"/>
  <c r="G113" i="44"/>
  <c r="E114" i="44"/>
  <c r="F112" i="54"/>
  <c r="B112" i="54"/>
  <c r="B109" i="75"/>
  <c r="F109" i="75"/>
  <c r="I108" i="77"/>
  <c r="H108" i="77"/>
  <c r="H105" i="13"/>
  <c r="I105" i="13"/>
  <c r="H118" i="35"/>
  <c r="I118" i="35"/>
  <c r="E120" i="35"/>
  <c r="F120" i="35" s="1"/>
  <c r="B120" i="35"/>
  <c r="G119" i="35"/>
  <c r="J112" i="44"/>
  <c r="E116" i="17"/>
  <c r="G115" i="17"/>
  <c r="D116" i="17"/>
  <c r="H105" i="33"/>
  <c r="I105" i="33"/>
  <c r="I113" i="42"/>
  <c r="H113" i="42"/>
  <c r="H111" i="54"/>
  <c r="I111" i="54"/>
  <c r="I108" i="75"/>
  <c r="H108" i="75"/>
  <c r="G114" i="3"/>
  <c r="D115" i="3"/>
  <c r="E115" i="3"/>
  <c r="I107" i="80"/>
  <c r="H107" i="80"/>
  <c r="D107" i="87"/>
  <c r="G106" i="87"/>
  <c r="E107" i="87"/>
  <c r="B107" i="93"/>
  <c r="F107" i="93"/>
  <c r="B106" i="33"/>
  <c r="F106" i="33"/>
  <c r="G107" i="82"/>
  <c r="D108" i="82"/>
  <c r="E108" i="82"/>
  <c r="J105" i="96"/>
  <c r="F115" i="21"/>
  <c r="B115" i="21"/>
  <c r="J108" i="67"/>
  <c r="H108" i="76"/>
  <c r="I108" i="76"/>
  <c r="B108" i="83"/>
  <c r="F108" i="83"/>
  <c r="B35" i="19" l="1"/>
  <c r="I26" i="100"/>
  <c r="F27" i="100"/>
  <c r="D28" i="100" s="1"/>
  <c r="B27" i="100"/>
  <c r="G27" i="100"/>
  <c r="H27" i="100"/>
  <c r="G106" i="100"/>
  <c r="D107" i="100"/>
  <c r="E107" i="100"/>
  <c r="D35" i="43"/>
  <c r="E35" i="43"/>
  <c r="H34" i="43"/>
  <c r="I34" i="43" s="1"/>
  <c r="F26" i="95"/>
  <c r="G26" i="95" s="1"/>
  <c r="E29" i="80"/>
  <c r="F29" i="80" s="1"/>
  <c r="H29" i="80" s="1"/>
  <c r="H26" i="25"/>
  <c r="I26" i="25" s="1"/>
  <c r="D31" i="60"/>
  <c r="B31" i="60" s="1"/>
  <c r="D27" i="25"/>
  <c r="J105" i="99"/>
  <c r="H28" i="80"/>
  <c r="G28" i="80"/>
  <c r="I25" i="98"/>
  <c r="H30" i="60"/>
  <c r="H27" i="97"/>
  <c r="G27" i="97"/>
  <c r="D27" i="99"/>
  <c r="H26" i="99"/>
  <c r="G26" i="99"/>
  <c r="I25" i="99"/>
  <c r="E28" i="97"/>
  <c r="F28" i="97" s="1"/>
  <c r="D29" i="97" s="1"/>
  <c r="B28" i="97"/>
  <c r="B26" i="98"/>
  <c r="F26" i="98"/>
  <c r="G26" i="98" s="1"/>
  <c r="G106" i="25"/>
  <c r="D107" i="25"/>
  <c r="J105" i="25"/>
  <c r="D107" i="99"/>
  <c r="G106" i="99"/>
  <c r="E107" i="99"/>
  <c r="I28" i="79"/>
  <c r="G30" i="60"/>
  <c r="I35" i="32"/>
  <c r="D108" i="95"/>
  <c r="E108" i="95" s="1"/>
  <c r="H106" i="95"/>
  <c r="I106" i="95"/>
  <c r="I33" i="73"/>
  <c r="B107" i="26"/>
  <c r="E107" i="26"/>
  <c r="F107" i="26" s="1"/>
  <c r="I106" i="97"/>
  <c r="H106" i="97"/>
  <c r="F107" i="98"/>
  <c r="B107" i="98"/>
  <c r="I106" i="26"/>
  <c r="H106" i="26"/>
  <c r="F107" i="97"/>
  <c r="B107" i="97"/>
  <c r="H106" i="98"/>
  <c r="I106" i="98"/>
  <c r="I28" i="90"/>
  <c r="B31" i="67"/>
  <c r="F31" i="67"/>
  <c r="G31" i="67" s="1"/>
  <c r="F32" i="46"/>
  <c r="G32" i="46" s="1"/>
  <c r="B32" i="46"/>
  <c r="B36" i="24"/>
  <c r="F36" i="24"/>
  <c r="H36" i="24" s="1"/>
  <c r="B26" i="93"/>
  <c r="F26" i="93"/>
  <c r="H30" i="68"/>
  <c r="I30" i="68" s="1"/>
  <c r="G37" i="69"/>
  <c r="I37" i="69" s="1"/>
  <c r="I27" i="91"/>
  <c r="G29" i="82"/>
  <c r="E30" i="82"/>
  <c r="D30" i="82"/>
  <c r="B27" i="94"/>
  <c r="F27" i="94"/>
  <c r="H27" i="94" s="1"/>
  <c r="H28" i="86"/>
  <c r="G28" i="86"/>
  <c r="D29" i="86"/>
  <c r="E29" i="86"/>
  <c r="B29" i="80"/>
  <c r="H29" i="82"/>
  <c r="H26" i="26"/>
  <c r="G26" i="26"/>
  <c r="B37" i="23"/>
  <c r="F37" i="23"/>
  <c r="H34" i="42"/>
  <c r="E35" i="42"/>
  <c r="D35" i="42"/>
  <c r="H33" i="58"/>
  <c r="I33" i="58" s="1"/>
  <c r="E34" i="58"/>
  <c r="D34" i="58"/>
  <c r="I106" i="94"/>
  <c r="H106" i="94"/>
  <c r="D30" i="75"/>
  <c r="E30" i="75"/>
  <c r="B28" i="91"/>
  <c r="F28" i="91"/>
  <c r="H28" i="91" s="1"/>
  <c r="E31" i="65"/>
  <c r="D31" i="65"/>
  <c r="H34" i="20"/>
  <c r="I34" i="20" s="1"/>
  <c r="H29" i="75"/>
  <c r="B28" i="84"/>
  <c r="F28" i="84"/>
  <c r="G28" i="84" s="1"/>
  <c r="F29" i="90"/>
  <c r="B29" i="90"/>
  <c r="G34" i="42"/>
  <c r="F31" i="66"/>
  <c r="H31" i="66" s="1"/>
  <c r="B31" i="66"/>
  <c r="G30" i="65"/>
  <c r="I30" i="65" s="1"/>
  <c r="H33" i="55"/>
  <c r="I33" i="55" s="1"/>
  <c r="E34" i="55"/>
  <c r="D34" i="55"/>
  <c r="F32" i="53"/>
  <c r="B32" i="53"/>
  <c r="E107" i="94"/>
  <c r="F107" i="94" s="1"/>
  <c r="B107" i="94"/>
  <c r="I34" i="41"/>
  <c r="G29" i="75"/>
  <c r="F37" i="27"/>
  <c r="B37" i="27"/>
  <c r="G35" i="3"/>
  <c r="I35" i="3" s="1"/>
  <c r="B34" i="44"/>
  <c r="F34" i="44"/>
  <c r="H34" i="44" s="1"/>
  <c r="B31" i="61"/>
  <c r="F31" i="61"/>
  <c r="H31" i="61" s="1"/>
  <c r="D27" i="95"/>
  <c r="D35" i="39"/>
  <c r="E35" i="39"/>
  <c r="F35" i="22"/>
  <c r="H35" i="22" s="1"/>
  <c r="B35" i="22"/>
  <c r="H28" i="85"/>
  <c r="I28" i="85" s="1"/>
  <c r="D29" i="85"/>
  <c r="E29" i="85"/>
  <c r="B29" i="76"/>
  <c r="F29" i="76"/>
  <c r="G34" i="39"/>
  <c r="I34" i="39" s="1"/>
  <c r="F28" i="81"/>
  <c r="H28" i="81" s="1"/>
  <c r="B28" i="81"/>
  <c r="H32" i="72"/>
  <c r="I32" i="72" s="1"/>
  <c r="D33" i="72"/>
  <c r="E33" i="72"/>
  <c r="F26" i="96"/>
  <c r="H26" i="96" s="1"/>
  <c r="B26" i="96"/>
  <c r="G27" i="33"/>
  <c r="D28" i="33"/>
  <c r="H27" i="33"/>
  <c r="E34" i="45"/>
  <c r="D34" i="45"/>
  <c r="F31" i="63"/>
  <c r="G31" i="63" s="1"/>
  <c r="B31" i="63"/>
  <c r="H27" i="83"/>
  <c r="D28" i="83"/>
  <c r="E28" i="83"/>
  <c r="G36" i="34"/>
  <c r="H36" i="34"/>
  <c r="D37" i="34"/>
  <c r="E37" i="34"/>
  <c r="F32" i="57"/>
  <c r="H32" i="57" s="1"/>
  <c r="B32" i="57"/>
  <c r="D32" i="64"/>
  <c r="E32" i="64"/>
  <c r="B35" i="43"/>
  <c r="F35" i="43"/>
  <c r="H35" i="43" s="1"/>
  <c r="D36" i="19"/>
  <c r="E36" i="19"/>
  <c r="D37" i="30"/>
  <c r="E37" i="30"/>
  <c r="H27" i="87"/>
  <c r="I27" i="87" s="1"/>
  <c r="G33" i="45"/>
  <c r="B27" i="89"/>
  <c r="F27" i="89"/>
  <c r="G27" i="89" s="1"/>
  <c r="F29" i="77"/>
  <c r="G29" i="77" s="1"/>
  <c r="B29" i="77"/>
  <c r="H31" i="64"/>
  <c r="E31" i="68"/>
  <c r="D31" i="68"/>
  <c r="D27" i="26"/>
  <c r="E27" i="26" s="1"/>
  <c r="F35" i="21"/>
  <c r="H35" i="21" s="1"/>
  <c r="B35" i="21"/>
  <c r="F32" i="54"/>
  <c r="G32" i="54" s="1"/>
  <c r="B32" i="54"/>
  <c r="B34" i="73"/>
  <c r="F34" i="73"/>
  <c r="G36" i="30"/>
  <c r="I36" i="30" s="1"/>
  <c r="D36" i="3"/>
  <c r="E36" i="3" s="1"/>
  <c r="F35" i="41"/>
  <c r="H35" i="41" s="1"/>
  <c r="B35" i="41"/>
  <c r="C44" i="17"/>
  <c r="F35" i="17"/>
  <c r="H35" i="17" s="1"/>
  <c r="B35" i="17"/>
  <c r="F29" i="78"/>
  <c r="H29" i="78" s="1"/>
  <c r="B29" i="78"/>
  <c r="E29" i="88"/>
  <c r="D29" i="88"/>
  <c r="G38" i="28"/>
  <c r="E39" i="28"/>
  <c r="D39" i="28"/>
  <c r="G31" i="56"/>
  <c r="D32" i="56"/>
  <c r="E32" i="56"/>
  <c r="F27" i="92"/>
  <c r="B27" i="92"/>
  <c r="B37" i="70"/>
  <c r="F37" i="70"/>
  <c r="G37" i="70" s="1"/>
  <c r="E38" i="31"/>
  <c r="D38" i="31"/>
  <c r="G36" i="71"/>
  <c r="D37" i="71"/>
  <c r="E37" i="71"/>
  <c r="H38" i="28"/>
  <c r="I30" i="63"/>
  <c r="H33" i="45"/>
  <c r="G27" i="83"/>
  <c r="H37" i="31"/>
  <c r="I37" i="31" s="1"/>
  <c r="H36" i="71"/>
  <c r="F37" i="29"/>
  <c r="G37" i="29" s="1"/>
  <c r="B37" i="29"/>
  <c r="G28" i="88"/>
  <c r="I28" i="88" s="1"/>
  <c r="G31" i="64"/>
  <c r="H31" i="56"/>
  <c r="E38" i="69"/>
  <c r="D38" i="69"/>
  <c r="F34" i="74"/>
  <c r="G34" i="74" s="1"/>
  <c r="B34" i="74"/>
  <c r="H35" i="19"/>
  <c r="I35" i="19" s="1"/>
  <c r="I26" i="33"/>
  <c r="F36" i="32"/>
  <c r="G36" i="32" s="1"/>
  <c r="B36" i="32"/>
  <c r="B29" i="79"/>
  <c r="F29" i="79"/>
  <c r="G29" i="79" s="1"/>
  <c r="J118" i="35"/>
  <c r="J114" i="22"/>
  <c r="J107" i="81"/>
  <c r="J113" i="73"/>
  <c r="J112" i="45"/>
  <c r="B31" i="59"/>
  <c r="F31" i="59"/>
  <c r="H31" i="59" s="1"/>
  <c r="D27" i="13"/>
  <c r="E31" i="62"/>
  <c r="D31" i="62"/>
  <c r="E38" i="35"/>
  <c r="F38" i="35" s="1"/>
  <c r="H37" i="35"/>
  <c r="G37" i="35"/>
  <c r="B38" i="35"/>
  <c r="D28" i="87"/>
  <c r="E28" i="87"/>
  <c r="G26" i="13"/>
  <c r="I36" i="35"/>
  <c r="E35" i="20"/>
  <c r="D35" i="20"/>
  <c r="G30" i="62"/>
  <c r="F36" i="18"/>
  <c r="G36" i="18" s="1"/>
  <c r="B36" i="18"/>
  <c r="H26" i="13"/>
  <c r="H30" i="62"/>
  <c r="F107" i="86"/>
  <c r="B107" i="86"/>
  <c r="H110" i="65"/>
  <c r="I110" i="65"/>
  <c r="F107" i="90"/>
  <c r="B107" i="90"/>
  <c r="D109" i="81"/>
  <c r="G108" i="81"/>
  <c r="E109" i="81"/>
  <c r="H114" i="34"/>
  <c r="I114" i="34"/>
  <c r="D114" i="45"/>
  <c r="E114" i="45"/>
  <c r="G113" i="45"/>
  <c r="H116" i="30"/>
  <c r="I116" i="30"/>
  <c r="H116" i="29"/>
  <c r="I116" i="29"/>
  <c r="H114" i="19"/>
  <c r="I114" i="19"/>
  <c r="G114" i="41"/>
  <c r="D115" i="41"/>
  <c r="E115" i="41"/>
  <c r="H113" i="43"/>
  <c r="I113" i="43"/>
  <c r="H110" i="64"/>
  <c r="I110" i="64"/>
  <c r="B116" i="31"/>
  <c r="F116" i="31"/>
  <c r="B110" i="68"/>
  <c r="F110" i="68"/>
  <c r="B117" i="69"/>
  <c r="F117" i="69"/>
  <c r="B109" i="78"/>
  <c r="F109" i="78"/>
  <c r="I108" i="79"/>
  <c r="H108" i="79"/>
  <c r="B112" i="53"/>
  <c r="F112" i="53"/>
  <c r="F107" i="84"/>
  <c r="B107" i="84"/>
  <c r="J112" i="56"/>
  <c r="J106" i="91"/>
  <c r="B113" i="74"/>
  <c r="F113" i="74"/>
  <c r="H106" i="90"/>
  <c r="I106" i="90"/>
  <c r="I113" i="39"/>
  <c r="H113" i="39"/>
  <c r="B117" i="30"/>
  <c r="F117" i="30"/>
  <c r="I116" i="27"/>
  <c r="H116" i="27"/>
  <c r="F115" i="20"/>
  <c r="B115" i="20"/>
  <c r="E115" i="73"/>
  <c r="G114" i="73"/>
  <c r="D115" i="73"/>
  <c r="H111" i="72"/>
  <c r="I111" i="72"/>
  <c r="I109" i="66"/>
  <c r="H109" i="66"/>
  <c r="H116" i="70"/>
  <c r="I116" i="70"/>
  <c r="I115" i="32"/>
  <c r="H115" i="32"/>
  <c r="H115" i="31"/>
  <c r="I115" i="31"/>
  <c r="H109" i="68"/>
  <c r="I109" i="68"/>
  <c r="H110" i="63"/>
  <c r="I110" i="63"/>
  <c r="E108" i="89"/>
  <c r="D108" i="89"/>
  <c r="G107" i="89"/>
  <c r="I111" i="53"/>
  <c r="H111" i="53"/>
  <c r="I111" i="46"/>
  <c r="H111" i="46"/>
  <c r="H111" i="58"/>
  <c r="I111" i="58"/>
  <c r="J114" i="21"/>
  <c r="F111" i="65"/>
  <c r="B111" i="65"/>
  <c r="I107" i="85"/>
  <c r="H107" i="85"/>
  <c r="I112" i="74"/>
  <c r="H112" i="74"/>
  <c r="H106" i="88"/>
  <c r="I106" i="88"/>
  <c r="F115" i="34"/>
  <c r="B115" i="34"/>
  <c r="I110" i="60"/>
  <c r="H110" i="60"/>
  <c r="I114" i="20"/>
  <c r="H114" i="20"/>
  <c r="B117" i="29"/>
  <c r="F117" i="29"/>
  <c r="F110" i="66"/>
  <c r="B110" i="66"/>
  <c r="I110" i="61"/>
  <c r="H110" i="61"/>
  <c r="B115" i="19"/>
  <c r="F115" i="19"/>
  <c r="B116" i="32"/>
  <c r="F116" i="32"/>
  <c r="D112" i="62"/>
  <c r="G111" i="62"/>
  <c r="E112" i="62"/>
  <c r="B111" i="63"/>
  <c r="F111" i="63"/>
  <c r="I108" i="78"/>
  <c r="H108" i="78"/>
  <c r="F112" i="46"/>
  <c r="B112" i="46"/>
  <c r="I106" i="92"/>
  <c r="H106" i="92"/>
  <c r="F112" i="58"/>
  <c r="B112" i="58"/>
  <c r="H106" i="86"/>
  <c r="I106" i="86"/>
  <c r="F108" i="85"/>
  <c r="B108" i="85"/>
  <c r="J110" i="62"/>
  <c r="D116" i="22"/>
  <c r="G115" i="22"/>
  <c r="E116" i="22"/>
  <c r="F107" i="88"/>
  <c r="B107" i="88"/>
  <c r="D108" i="91"/>
  <c r="G107" i="91"/>
  <c r="E108" i="91"/>
  <c r="B114" i="39"/>
  <c r="F114" i="39"/>
  <c r="F117" i="27"/>
  <c r="B117" i="27"/>
  <c r="B111" i="60"/>
  <c r="F111" i="60"/>
  <c r="F112" i="72"/>
  <c r="B112" i="72"/>
  <c r="J106" i="89"/>
  <c r="B111" i="61"/>
  <c r="F111" i="61"/>
  <c r="F117" i="70"/>
  <c r="B117" i="70"/>
  <c r="F114" i="43"/>
  <c r="B114" i="43"/>
  <c r="F111" i="64"/>
  <c r="B111" i="64"/>
  <c r="I116" i="69"/>
  <c r="H116" i="69"/>
  <c r="B109" i="79"/>
  <c r="F109" i="79"/>
  <c r="J113" i="41"/>
  <c r="I106" i="84"/>
  <c r="H106" i="84"/>
  <c r="F107" i="92"/>
  <c r="B107" i="92"/>
  <c r="B117" i="23"/>
  <c r="F117" i="23"/>
  <c r="F112" i="59"/>
  <c r="B112" i="59"/>
  <c r="B116" i="18"/>
  <c r="F116" i="18"/>
  <c r="H111" i="59"/>
  <c r="I111" i="59"/>
  <c r="I115" i="18"/>
  <c r="H115" i="18"/>
  <c r="H116" i="23"/>
  <c r="I116" i="23"/>
  <c r="J106" i="93"/>
  <c r="E114" i="56"/>
  <c r="G113" i="56"/>
  <c r="D114" i="56"/>
  <c r="F113" i="57"/>
  <c r="B113" i="57"/>
  <c r="J113" i="42"/>
  <c r="J105" i="33"/>
  <c r="I116" i="71"/>
  <c r="H116" i="71"/>
  <c r="J105" i="13"/>
  <c r="I112" i="57"/>
  <c r="H112" i="57"/>
  <c r="F117" i="71"/>
  <c r="B117" i="71"/>
  <c r="E113" i="54"/>
  <c r="G112" i="54"/>
  <c r="D113" i="54"/>
  <c r="I117" i="28"/>
  <c r="H117" i="28"/>
  <c r="E109" i="83"/>
  <c r="G108" i="83"/>
  <c r="D109" i="83"/>
  <c r="G115" i="21"/>
  <c r="E116" i="21"/>
  <c r="D116" i="21"/>
  <c r="F108" i="82"/>
  <c r="B108" i="82"/>
  <c r="G106" i="33"/>
  <c r="D107" i="33"/>
  <c r="E107" i="33" s="1"/>
  <c r="G107" i="93"/>
  <c r="D108" i="93"/>
  <c r="E108" i="93" s="1"/>
  <c r="J107" i="80"/>
  <c r="F116" i="17"/>
  <c r="B116" i="17"/>
  <c r="E121" i="35"/>
  <c r="F121" i="35" s="1"/>
  <c r="B121" i="35"/>
  <c r="G120" i="35"/>
  <c r="J108" i="77"/>
  <c r="F110" i="67"/>
  <c r="B110" i="67"/>
  <c r="I106" i="96"/>
  <c r="H106" i="96"/>
  <c r="I114" i="3"/>
  <c r="H114" i="3"/>
  <c r="H109" i="67"/>
  <c r="I109" i="67"/>
  <c r="E115" i="42"/>
  <c r="G114" i="42"/>
  <c r="D115" i="42"/>
  <c r="I107" i="82"/>
  <c r="H107" i="82"/>
  <c r="I106" i="87"/>
  <c r="H106" i="87"/>
  <c r="J108" i="75"/>
  <c r="I115" i="17"/>
  <c r="H115" i="17"/>
  <c r="I107" i="95"/>
  <c r="H107" i="95"/>
  <c r="H113" i="44"/>
  <c r="I113" i="44"/>
  <c r="J115" i="24"/>
  <c r="E113" i="55"/>
  <c r="G112" i="55"/>
  <c r="D113" i="55"/>
  <c r="E109" i="80"/>
  <c r="G108" i="80"/>
  <c r="D109" i="80"/>
  <c r="G109" i="77"/>
  <c r="E110" i="77"/>
  <c r="D110" i="77"/>
  <c r="J107" i="83"/>
  <c r="D117" i="24"/>
  <c r="E117" i="24"/>
  <c r="G116" i="24"/>
  <c r="B107" i="96"/>
  <c r="J108" i="76"/>
  <c r="F107" i="87"/>
  <c r="B107" i="87"/>
  <c r="F115" i="3"/>
  <c r="B115" i="3"/>
  <c r="J111" i="54"/>
  <c r="I119" i="35"/>
  <c r="H119" i="35"/>
  <c r="D110" i="75"/>
  <c r="G109" i="75"/>
  <c r="E110" i="75"/>
  <c r="B114" i="44"/>
  <c r="F114" i="44"/>
  <c r="B118" i="28"/>
  <c r="F118" i="28"/>
  <c r="G106" i="13"/>
  <c r="D107" i="13"/>
  <c r="J111" i="55"/>
  <c r="D110" i="76"/>
  <c r="E110" i="76"/>
  <c r="G109" i="76"/>
  <c r="E107" i="96"/>
  <c r="F107" i="96" s="1"/>
  <c r="I27" i="100" l="1"/>
  <c r="E28" i="100"/>
  <c r="F28" i="100" s="1"/>
  <c r="B28" i="100"/>
  <c r="F107" i="100"/>
  <c r="B107" i="100"/>
  <c r="H106" i="100"/>
  <c r="I106" i="100"/>
  <c r="H26" i="95"/>
  <c r="I26" i="95" s="1"/>
  <c r="E27" i="95"/>
  <c r="B108" i="95"/>
  <c r="F31" i="60"/>
  <c r="G31" i="60" s="1"/>
  <c r="I28" i="80"/>
  <c r="F108" i="95"/>
  <c r="G108" i="95" s="1"/>
  <c r="B27" i="25"/>
  <c r="E27" i="25"/>
  <c r="F27" i="25" s="1"/>
  <c r="I30" i="60"/>
  <c r="G28" i="97"/>
  <c r="I27" i="97"/>
  <c r="D27" i="98"/>
  <c r="E27" i="98"/>
  <c r="E29" i="97"/>
  <c r="F29" i="97" s="1"/>
  <c r="B29" i="97"/>
  <c r="I26" i="99"/>
  <c r="I26" i="26"/>
  <c r="H26" i="98"/>
  <c r="I26" i="98" s="1"/>
  <c r="H28" i="97"/>
  <c r="E27" i="99"/>
  <c r="F27" i="99" s="1"/>
  <c r="B27" i="99"/>
  <c r="I26" i="13"/>
  <c r="E107" i="25"/>
  <c r="F107" i="25" s="1"/>
  <c r="B107" i="25"/>
  <c r="I106" i="25"/>
  <c r="H106" i="25"/>
  <c r="H106" i="99"/>
  <c r="I106" i="99"/>
  <c r="F107" i="99"/>
  <c r="B107" i="99"/>
  <c r="I29" i="82"/>
  <c r="G32" i="57"/>
  <c r="I32" i="57" s="1"/>
  <c r="J106" i="95"/>
  <c r="H31" i="67"/>
  <c r="I31" i="67" s="1"/>
  <c r="H32" i="46"/>
  <c r="I32" i="46" s="1"/>
  <c r="J106" i="98"/>
  <c r="J106" i="26"/>
  <c r="J106" i="97"/>
  <c r="D108" i="26"/>
  <c r="B108" i="26" s="1"/>
  <c r="G107" i="26"/>
  <c r="G107" i="97"/>
  <c r="D108" i="97"/>
  <c r="E108" i="97"/>
  <c r="D108" i="98"/>
  <c r="G107" i="98"/>
  <c r="E108" i="98"/>
  <c r="G29" i="80"/>
  <c r="I29" i="80" s="1"/>
  <c r="H29" i="79"/>
  <c r="I29" i="79" s="1"/>
  <c r="D32" i="67"/>
  <c r="E32" i="67"/>
  <c r="H32" i="54"/>
  <c r="I32" i="54" s="1"/>
  <c r="D33" i="46"/>
  <c r="E33" i="46"/>
  <c r="G36" i="24"/>
  <c r="I36" i="24" s="1"/>
  <c r="E37" i="24"/>
  <c r="D37" i="24"/>
  <c r="G35" i="22"/>
  <c r="I35" i="22" s="1"/>
  <c r="G35" i="21"/>
  <c r="I35" i="21" s="1"/>
  <c r="I28" i="86"/>
  <c r="D30" i="80"/>
  <c r="E30" i="80"/>
  <c r="E27" i="93"/>
  <c r="D27" i="93"/>
  <c r="F30" i="82"/>
  <c r="H30" i="82" s="1"/>
  <c r="B30" i="82"/>
  <c r="I36" i="34"/>
  <c r="B29" i="86"/>
  <c r="F29" i="86"/>
  <c r="H29" i="86" s="1"/>
  <c r="G27" i="94"/>
  <c r="I27" i="94" s="1"/>
  <c r="D28" i="94"/>
  <c r="E28" i="94"/>
  <c r="H26" i="93"/>
  <c r="I29" i="75"/>
  <c r="G26" i="93"/>
  <c r="B34" i="58"/>
  <c r="F34" i="58"/>
  <c r="G107" i="94"/>
  <c r="D108" i="94"/>
  <c r="G32" i="53"/>
  <c r="D33" i="53"/>
  <c r="E33" i="53"/>
  <c r="I34" i="42"/>
  <c r="H29" i="90"/>
  <c r="D30" i="90"/>
  <c r="E30" i="90"/>
  <c r="F30" i="75"/>
  <c r="G30" i="75" s="1"/>
  <c r="B30" i="75"/>
  <c r="I31" i="56"/>
  <c r="I36" i="71"/>
  <c r="G35" i="17"/>
  <c r="I35" i="17" s="1"/>
  <c r="F34" i="55"/>
  <c r="H34" i="55" s="1"/>
  <c r="B34" i="55"/>
  <c r="G29" i="90"/>
  <c r="H28" i="84"/>
  <c r="I28" i="84" s="1"/>
  <c r="E29" i="84"/>
  <c r="D29" i="84"/>
  <c r="B31" i="65"/>
  <c r="F31" i="65"/>
  <c r="H31" i="65" s="1"/>
  <c r="J106" i="94"/>
  <c r="E38" i="23"/>
  <c r="D38" i="23"/>
  <c r="H37" i="23"/>
  <c r="G37" i="23"/>
  <c r="G31" i="66"/>
  <c r="I31" i="66" s="1"/>
  <c r="E32" i="66"/>
  <c r="D32" i="66"/>
  <c r="G28" i="91"/>
  <c r="I28" i="91" s="1"/>
  <c r="E29" i="91"/>
  <c r="D29" i="91"/>
  <c r="G31" i="59"/>
  <c r="I31" i="59" s="1"/>
  <c r="H34" i="74"/>
  <c r="I34" i="74" s="1"/>
  <c r="H32" i="53"/>
  <c r="F35" i="42"/>
  <c r="B35" i="42"/>
  <c r="H36" i="32"/>
  <c r="I36" i="32" s="1"/>
  <c r="H29" i="77"/>
  <c r="I29" i="77" s="1"/>
  <c r="H27" i="89"/>
  <c r="I27" i="89" s="1"/>
  <c r="B33" i="72"/>
  <c r="F33" i="72"/>
  <c r="H33" i="72" s="1"/>
  <c r="G28" i="81"/>
  <c r="I28" i="81" s="1"/>
  <c r="D29" i="81"/>
  <c r="E29" i="81"/>
  <c r="F29" i="85"/>
  <c r="B29" i="85"/>
  <c r="G29" i="76"/>
  <c r="D30" i="76"/>
  <c r="E30" i="76"/>
  <c r="I30" i="62"/>
  <c r="F35" i="39"/>
  <c r="H35" i="39" s="1"/>
  <c r="B35" i="39"/>
  <c r="F27" i="95"/>
  <c r="H27" i="95" s="1"/>
  <c r="B27" i="95"/>
  <c r="G37" i="27"/>
  <c r="D38" i="27"/>
  <c r="E38" i="27"/>
  <c r="H37" i="27"/>
  <c r="G26" i="96"/>
  <c r="I26" i="96" s="1"/>
  <c r="D27" i="96"/>
  <c r="E27" i="96"/>
  <c r="H29" i="76"/>
  <c r="E36" i="22"/>
  <c r="D36" i="22"/>
  <c r="G31" i="61"/>
  <c r="I31" i="61" s="1"/>
  <c r="D32" i="61"/>
  <c r="E32" i="61"/>
  <c r="G34" i="44"/>
  <c r="I34" i="44" s="1"/>
  <c r="D35" i="44"/>
  <c r="E35" i="44"/>
  <c r="I27" i="33"/>
  <c r="F37" i="71"/>
  <c r="B37" i="71"/>
  <c r="F36" i="19"/>
  <c r="G36" i="19" s="1"/>
  <c r="B36" i="19"/>
  <c r="B38" i="69"/>
  <c r="F38" i="69"/>
  <c r="H38" i="69" s="1"/>
  <c r="D28" i="92"/>
  <c r="E28" i="92"/>
  <c r="G27" i="92"/>
  <c r="D32" i="63"/>
  <c r="E32" i="63"/>
  <c r="I38" i="28"/>
  <c r="B38" i="31"/>
  <c r="F38" i="31"/>
  <c r="H38" i="31" s="1"/>
  <c r="H27" i="92"/>
  <c r="B29" i="88"/>
  <c r="F29" i="88"/>
  <c r="H29" i="88" s="1"/>
  <c r="G29" i="78"/>
  <c r="I29" i="78" s="1"/>
  <c r="E30" i="78"/>
  <c r="D30" i="78"/>
  <c r="D36" i="17"/>
  <c r="E36" i="17"/>
  <c r="G35" i="41"/>
  <c r="I35" i="41" s="1"/>
  <c r="D36" i="41"/>
  <c r="E36" i="41"/>
  <c r="H34" i="73"/>
  <c r="E35" i="73"/>
  <c r="D35" i="73"/>
  <c r="G34" i="73"/>
  <c r="F31" i="68"/>
  <c r="G31" i="68" s="1"/>
  <c r="B31" i="68"/>
  <c r="E28" i="89"/>
  <c r="D28" i="89"/>
  <c r="B37" i="30"/>
  <c r="F37" i="30"/>
  <c r="H37" i="30" s="1"/>
  <c r="D33" i="57"/>
  <c r="E33" i="57"/>
  <c r="B34" i="45"/>
  <c r="F34" i="45"/>
  <c r="H34" i="45" s="1"/>
  <c r="E28" i="33"/>
  <c r="F28" i="33" s="1"/>
  <c r="B28" i="33"/>
  <c r="H37" i="29"/>
  <c r="I37" i="29" s="1"/>
  <c r="D38" i="29"/>
  <c r="E38" i="29"/>
  <c r="B28" i="83"/>
  <c r="F28" i="83"/>
  <c r="H28" i="83" s="1"/>
  <c r="D38" i="70"/>
  <c r="E38" i="70"/>
  <c r="B32" i="56"/>
  <c r="F32" i="56"/>
  <c r="G32" i="56" s="1"/>
  <c r="B27" i="26"/>
  <c r="F27" i="26"/>
  <c r="H27" i="26" s="1"/>
  <c r="D36" i="43"/>
  <c r="E36" i="43"/>
  <c r="E30" i="79"/>
  <c r="D30" i="79"/>
  <c r="D37" i="32"/>
  <c r="E37" i="32"/>
  <c r="E35" i="74"/>
  <c r="D35" i="74"/>
  <c r="I27" i="83"/>
  <c r="I33" i="45"/>
  <c r="H37" i="70"/>
  <c r="I37" i="70" s="1"/>
  <c r="B39" i="28"/>
  <c r="F39" i="28"/>
  <c r="G39" i="28" s="1"/>
  <c r="N6" i="17"/>
  <c r="N5" i="17"/>
  <c r="M87" i="17"/>
  <c r="N87" i="17"/>
  <c r="B36" i="3"/>
  <c r="F36" i="3"/>
  <c r="G36" i="3" s="1"/>
  <c r="E33" i="54"/>
  <c r="D33" i="54"/>
  <c r="E36" i="21"/>
  <c r="D36" i="21"/>
  <c r="I31" i="64"/>
  <c r="E30" i="77"/>
  <c r="D30" i="77"/>
  <c r="G35" i="43"/>
  <c r="I35" i="43" s="1"/>
  <c r="B32" i="64"/>
  <c r="F32" i="64"/>
  <c r="G32" i="64" s="1"/>
  <c r="F37" i="34"/>
  <c r="B37" i="34"/>
  <c r="H31" i="63"/>
  <c r="I31" i="63" s="1"/>
  <c r="J116" i="29"/>
  <c r="J111" i="58"/>
  <c r="J110" i="61"/>
  <c r="J106" i="90"/>
  <c r="B35" i="20"/>
  <c r="F35" i="20"/>
  <c r="I37" i="35"/>
  <c r="B27" i="13"/>
  <c r="E37" i="18"/>
  <c r="D37" i="18"/>
  <c r="J108" i="79"/>
  <c r="H36" i="18"/>
  <c r="I36" i="18" s="1"/>
  <c r="B39" i="35"/>
  <c r="H38" i="35"/>
  <c r="E39" i="35"/>
  <c r="F39" i="35" s="1"/>
  <c r="G38" i="35"/>
  <c r="E27" i="13"/>
  <c r="F27" i="13" s="1"/>
  <c r="F28" i="87"/>
  <c r="B28" i="87"/>
  <c r="J111" i="59"/>
  <c r="J106" i="88"/>
  <c r="J109" i="68"/>
  <c r="J110" i="64"/>
  <c r="J114" i="34"/>
  <c r="B31" i="62"/>
  <c r="F31" i="62"/>
  <c r="G31" i="62" s="1"/>
  <c r="D32" i="59"/>
  <c r="E32" i="59"/>
  <c r="E108" i="92"/>
  <c r="G107" i="92"/>
  <c r="D108" i="92"/>
  <c r="G109" i="79"/>
  <c r="D110" i="79"/>
  <c r="E110" i="79"/>
  <c r="B116" i="22"/>
  <c r="F116" i="22"/>
  <c r="J106" i="86"/>
  <c r="G112" i="58"/>
  <c r="D113" i="58"/>
  <c r="E113" i="58"/>
  <c r="D113" i="46"/>
  <c r="G112" i="46"/>
  <c r="E113" i="46"/>
  <c r="D117" i="32"/>
  <c r="G116" i="32"/>
  <c r="E117" i="32"/>
  <c r="E118" i="29"/>
  <c r="G117" i="29"/>
  <c r="D118" i="29"/>
  <c r="I107" i="89"/>
  <c r="H107" i="89"/>
  <c r="G117" i="30"/>
  <c r="E118" i="30"/>
  <c r="D118" i="30"/>
  <c r="G107" i="84"/>
  <c r="E108" i="84"/>
  <c r="D108" i="84"/>
  <c r="J114" i="19"/>
  <c r="J116" i="30"/>
  <c r="B114" i="45"/>
  <c r="F114" i="45"/>
  <c r="H108" i="81"/>
  <c r="I108" i="81"/>
  <c r="J110" i="65"/>
  <c r="G111" i="64"/>
  <c r="D112" i="64"/>
  <c r="E112" i="64"/>
  <c r="D118" i="70"/>
  <c r="G117" i="70"/>
  <c r="E118" i="70"/>
  <c r="D108" i="88"/>
  <c r="E108" i="88"/>
  <c r="G107" i="88"/>
  <c r="J110" i="60"/>
  <c r="J107" i="85"/>
  <c r="J111" i="46"/>
  <c r="F108" i="89"/>
  <c r="B108" i="89"/>
  <c r="B115" i="73"/>
  <c r="F115" i="73"/>
  <c r="G115" i="20"/>
  <c r="D116" i="20"/>
  <c r="E116" i="20"/>
  <c r="E113" i="53"/>
  <c r="D113" i="53"/>
  <c r="G112" i="53"/>
  <c r="D110" i="78"/>
  <c r="G109" i="78"/>
  <c r="E110" i="78"/>
  <c r="G110" i="68"/>
  <c r="D111" i="68"/>
  <c r="E111" i="68"/>
  <c r="B109" i="81"/>
  <c r="F109" i="81"/>
  <c r="J106" i="84"/>
  <c r="D112" i="61"/>
  <c r="G111" i="61"/>
  <c r="E112" i="61"/>
  <c r="D113" i="72"/>
  <c r="E113" i="72"/>
  <c r="G112" i="72"/>
  <c r="G117" i="27"/>
  <c r="D118" i="27"/>
  <c r="E118" i="27"/>
  <c r="H107" i="91"/>
  <c r="I107" i="91"/>
  <c r="J106" i="92"/>
  <c r="J108" i="78"/>
  <c r="H111" i="62"/>
  <c r="I111" i="62"/>
  <c r="D116" i="19"/>
  <c r="E116" i="19"/>
  <c r="G115" i="19"/>
  <c r="J115" i="32"/>
  <c r="J109" i="66"/>
  <c r="H114" i="73"/>
  <c r="I114" i="73"/>
  <c r="E114" i="74"/>
  <c r="D114" i="74"/>
  <c r="G113" i="74"/>
  <c r="F115" i="41"/>
  <c r="B115" i="41"/>
  <c r="I113" i="45"/>
  <c r="H113" i="45"/>
  <c r="J116" i="69"/>
  <c r="E115" i="43"/>
  <c r="D115" i="43"/>
  <c r="G114" i="43"/>
  <c r="E112" i="60"/>
  <c r="D112" i="60"/>
  <c r="G111" i="60"/>
  <c r="E115" i="39"/>
  <c r="G114" i="39"/>
  <c r="D115" i="39"/>
  <c r="B108" i="91"/>
  <c r="F108" i="91"/>
  <c r="H115" i="22"/>
  <c r="I115" i="22"/>
  <c r="E109" i="85"/>
  <c r="D109" i="85"/>
  <c r="G108" i="85"/>
  <c r="D112" i="63"/>
  <c r="E112" i="63"/>
  <c r="G111" i="63"/>
  <c r="F112" i="62"/>
  <c r="B112" i="62"/>
  <c r="E111" i="66"/>
  <c r="D111" i="66"/>
  <c r="G110" i="66"/>
  <c r="J114" i="20"/>
  <c r="D116" i="34"/>
  <c r="E116" i="34"/>
  <c r="G115" i="34"/>
  <c r="J112" i="74"/>
  <c r="E112" i="65"/>
  <c r="D112" i="65"/>
  <c r="G111" i="65"/>
  <c r="J111" i="53"/>
  <c r="J110" i="63"/>
  <c r="J115" i="31"/>
  <c r="J116" i="70"/>
  <c r="J111" i="72"/>
  <c r="J116" i="27"/>
  <c r="J113" i="39"/>
  <c r="E118" i="69"/>
  <c r="D118" i="69"/>
  <c r="G117" i="69"/>
  <c r="E117" i="31"/>
  <c r="G116" i="31"/>
  <c r="D117" i="31"/>
  <c r="J113" i="43"/>
  <c r="I114" i="41"/>
  <c r="H114" i="41"/>
  <c r="D108" i="90"/>
  <c r="E108" i="90"/>
  <c r="G107" i="90"/>
  <c r="D108" i="86"/>
  <c r="G107" i="86"/>
  <c r="E108" i="86"/>
  <c r="E118" i="23"/>
  <c r="G117" i="23"/>
  <c r="D118" i="23"/>
  <c r="J106" i="87"/>
  <c r="J107" i="82"/>
  <c r="F114" i="56"/>
  <c r="B114" i="56"/>
  <c r="J115" i="18"/>
  <c r="D113" i="59"/>
  <c r="G112" i="59"/>
  <c r="E113" i="59"/>
  <c r="I113" i="56"/>
  <c r="H113" i="56"/>
  <c r="J116" i="23"/>
  <c r="E117" i="18"/>
  <c r="G116" i="18"/>
  <c r="D117" i="18"/>
  <c r="J107" i="95"/>
  <c r="J117" i="28"/>
  <c r="J112" i="57"/>
  <c r="J116" i="71"/>
  <c r="G113" i="57"/>
  <c r="E114" i="57"/>
  <c r="D114" i="57"/>
  <c r="J115" i="17"/>
  <c r="E118" i="71"/>
  <c r="D118" i="71"/>
  <c r="G117" i="71"/>
  <c r="G107" i="96"/>
  <c r="D108" i="96"/>
  <c r="I112" i="55"/>
  <c r="H112" i="55"/>
  <c r="B110" i="75"/>
  <c r="F110" i="75"/>
  <c r="H116" i="24"/>
  <c r="I116" i="24"/>
  <c r="B115" i="42"/>
  <c r="F115" i="42"/>
  <c r="D117" i="17"/>
  <c r="G116" i="17"/>
  <c r="E117" i="17"/>
  <c r="F116" i="21"/>
  <c r="B116" i="21"/>
  <c r="H108" i="83"/>
  <c r="I108" i="83"/>
  <c r="B113" i="54"/>
  <c r="F113" i="54"/>
  <c r="I109" i="76"/>
  <c r="H109" i="76"/>
  <c r="I106" i="13"/>
  <c r="H106" i="13"/>
  <c r="J119" i="35"/>
  <c r="F110" i="77"/>
  <c r="B110" i="77"/>
  <c r="H108" i="80"/>
  <c r="I108" i="80"/>
  <c r="I114" i="42"/>
  <c r="H114" i="42"/>
  <c r="J114" i="3"/>
  <c r="J106" i="96"/>
  <c r="I120" i="35"/>
  <c r="H120" i="35"/>
  <c r="F108" i="93"/>
  <c r="B108" i="93"/>
  <c r="H106" i="33"/>
  <c r="I106" i="33"/>
  <c r="H112" i="54"/>
  <c r="I112" i="54"/>
  <c r="B107" i="13"/>
  <c r="G114" i="44"/>
  <c r="D115" i="44"/>
  <c r="E115" i="44"/>
  <c r="B109" i="80"/>
  <c r="F109" i="80"/>
  <c r="D119" i="28"/>
  <c r="G118" i="28"/>
  <c r="E119" i="28"/>
  <c r="H107" i="93"/>
  <c r="I107" i="93"/>
  <c r="H115" i="21"/>
  <c r="I115" i="21"/>
  <c r="F117" i="24"/>
  <c r="B117" i="24"/>
  <c r="B110" i="76"/>
  <c r="F110" i="76"/>
  <c r="E107" i="13"/>
  <c r="F107" i="13" s="1"/>
  <c r="I109" i="75"/>
  <c r="H109" i="75"/>
  <c r="D116" i="3"/>
  <c r="G115" i="3"/>
  <c r="E116" i="3"/>
  <c r="G107" i="87"/>
  <c r="D108" i="87"/>
  <c r="E108" i="87"/>
  <c r="H109" i="77"/>
  <c r="I109" i="77"/>
  <c r="F113" i="55"/>
  <c r="B113" i="55"/>
  <c r="J113" i="44"/>
  <c r="J109" i="67"/>
  <c r="G110" i="67"/>
  <c r="D111" i="67"/>
  <c r="E111" i="67"/>
  <c r="E122" i="35"/>
  <c r="F122" i="35" s="1"/>
  <c r="B122" i="35"/>
  <c r="G121" i="35"/>
  <c r="F107" i="33"/>
  <c r="B107" i="33"/>
  <c r="G108" i="82"/>
  <c r="D109" i="82"/>
  <c r="E109" i="82"/>
  <c r="F109" i="83"/>
  <c r="B109" i="83"/>
  <c r="E19" i="36"/>
  <c r="H28" i="100" l="1"/>
  <c r="G28" i="100"/>
  <c r="D32" i="60"/>
  <c r="D29" i="100"/>
  <c r="E29" i="100"/>
  <c r="F29" i="100" s="1"/>
  <c r="D30" i="100" s="1"/>
  <c r="E32" i="60"/>
  <c r="H31" i="60"/>
  <c r="I31" i="60" s="1"/>
  <c r="J106" i="100"/>
  <c r="D108" i="100"/>
  <c r="G107" i="100"/>
  <c r="D109" i="95"/>
  <c r="E109" i="95" s="1"/>
  <c r="H27" i="25"/>
  <c r="D28" i="25"/>
  <c r="G27" i="25"/>
  <c r="I28" i="97"/>
  <c r="D30" i="97"/>
  <c r="E30" i="97"/>
  <c r="G29" i="97"/>
  <c r="H29" i="97"/>
  <c r="D28" i="99"/>
  <c r="H27" i="99"/>
  <c r="G27" i="99"/>
  <c r="G30" i="82"/>
  <c r="I30" i="82" s="1"/>
  <c r="F27" i="98"/>
  <c r="H27" i="98" s="1"/>
  <c r="B27" i="98"/>
  <c r="J106" i="25"/>
  <c r="D108" i="25"/>
  <c r="G107" i="25"/>
  <c r="J106" i="99"/>
  <c r="G107" i="99"/>
  <c r="E108" i="99"/>
  <c r="D108" i="99"/>
  <c r="I29" i="90"/>
  <c r="I32" i="53"/>
  <c r="I26" i="93"/>
  <c r="G31" i="65"/>
  <c r="I31" i="65" s="1"/>
  <c r="I107" i="26"/>
  <c r="H107" i="26"/>
  <c r="B108" i="97"/>
  <c r="F108" i="97"/>
  <c r="H107" i="98"/>
  <c r="I107" i="98"/>
  <c r="I107" i="97"/>
  <c r="H107" i="97"/>
  <c r="B108" i="98"/>
  <c r="F108" i="98"/>
  <c r="E108" i="26"/>
  <c r="F108" i="26" s="1"/>
  <c r="F32" i="67"/>
  <c r="G32" i="67" s="1"/>
  <c r="B32" i="67"/>
  <c r="F33" i="46"/>
  <c r="H33" i="46" s="1"/>
  <c r="B33" i="46"/>
  <c r="F37" i="24"/>
  <c r="G37" i="24" s="1"/>
  <c r="B37" i="24"/>
  <c r="B28" i="94"/>
  <c r="F28" i="94"/>
  <c r="H28" i="94" s="1"/>
  <c r="F27" i="93"/>
  <c r="H27" i="93" s="1"/>
  <c r="B27" i="93"/>
  <c r="G29" i="86"/>
  <c r="I29" i="86" s="1"/>
  <c r="D30" i="86"/>
  <c r="E30" i="86"/>
  <c r="E31" i="82"/>
  <c r="D31" i="82"/>
  <c r="F30" i="80"/>
  <c r="G30" i="80" s="1"/>
  <c r="B30" i="80"/>
  <c r="F30" i="90"/>
  <c r="B30" i="90"/>
  <c r="I107" i="94"/>
  <c r="H107" i="94"/>
  <c r="D35" i="58"/>
  <c r="E35" i="58"/>
  <c r="H36" i="3"/>
  <c r="I36" i="3" s="1"/>
  <c r="G28" i="83"/>
  <c r="I28" i="83" s="1"/>
  <c r="G35" i="42"/>
  <c r="E36" i="42"/>
  <c r="D36" i="42"/>
  <c r="B32" i="66"/>
  <c r="F32" i="66"/>
  <c r="H32" i="66" s="1"/>
  <c r="I37" i="23"/>
  <c r="F29" i="84"/>
  <c r="G29" i="84" s="1"/>
  <c r="B29" i="84"/>
  <c r="B33" i="53"/>
  <c r="F33" i="53"/>
  <c r="G33" i="53" s="1"/>
  <c r="F29" i="91"/>
  <c r="G29" i="91" s="1"/>
  <c r="B29" i="91"/>
  <c r="F38" i="23"/>
  <c r="B38" i="23"/>
  <c r="D31" i="75"/>
  <c r="E31" i="75"/>
  <c r="H34" i="58"/>
  <c r="G38" i="31"/>
  <c r="I38" i="31" s="1"/>
  <c r="I29" i="76"/>
  <c r="H35" i="42"/>
  <c r="D32" i="65"/>
  <c r="E32" i="65"/>
  <c r="G34" i="55"/>
  <c r="I34" i="55" s="1"/>
  <c r="E35" i="55"/>
  <c r="D35" i="55"/>
  <c r="H30" i="75"/>
  <c r="I30" i="75" s="1"/>
  <c r="B108" i="94"/>
  <c r="E108" i="94"/>
  <c r="F108" i="94" s="1"/>
  <c r="G34" i="58"/>
  <c r="H32" i="56"/>
  <c r="I32" i="56" s="1"/>
  <c r="G29" i="85"/>
  <c r="D30" i="85"/>
  <c r="E30" i="85"/>
  <c r="I34" i="73"/>
  <c r="B36" i="22"/>
  <c r="F36" i="22"/>
  <c r="G36" i="22" s="1"/>
  <c r="F27" i="96"/>
  <c r="H27" i="96" s="1"/>
  <c r="B27" i="96"/>
  <c r="B38" i="27"/>
  <c r="F38" i="27"/>
  <c r="B29" i="81"/>
  <c r="F29" i="81"/>
  <c r="G29" i="81" s="1"/>
  <c r="D34" i="72"/>
  <c r="E34" i="72"/>
  <c r="D28" i="95"/>
  <c r="E28" i="95"/>
  <c r="E36" i="39"/>
  <c r="D36" i="39"/>
  <c r="F30" i="76"/>
  <c r="G30" i="76" s="1"/>
  <c r="B30" i="76"/>
  <c r="H29" i="85"/>
  <c r="G37" i="30"/>
  <c r="I37" i="30" s="1"/>
  <c r="F35" i="44"/>
  <c r="G35" i="44" s="1"/>
  <c r="B35" i="44"/>
  <c r="F32" i="61"/>
  <c r="H32" i="61" s="1"/>
  <c r="B32" i="61"/>
  <c r="I37" i="27"/>
  <c r="G27" i="95"/>
  <c r="I27" i="95" s="1"/>
  <c r="G35" i="39"/>
  <c r="I35" i="39" s="1"/>
  <c r="G33" i="72"/>
  <c r="I33" i="72" s="1"/>
  <c r="N7" i="17"/>
  <c r="H28" i="33"/>
  <c r="D29" i="33"/>
  <c r="G28" i="33"/>
  <c r="F30" i="78"/>
  <c r="H30" i="78" s="1"/>
  <c r="B30" i="78"/>
  <c r="B32" i="63"/>
  <c r="F32" i="63"/>
  <c r="G32" i="63" s="1"/>
  <c r="H32" i="64"/>
  <c r="I32" i="64" s="1"/>
  <c r="F35" i="74"/>
  <c r="B35" i="74"/>
  <c r="B38" i="70"/>
  <c r="F38" i="70"/>
  <c r="F38" i="29"/>
  <c r="H38" i="29" s="1"/>
  <c r="B38" i="29"/>
  <c r="E35" i="45"/>
  <c r="D35" i="45"/>
  <c r="B33" i="57"/>
  <c r="F33" i="57"/>
  <c r="G33" i="57" s="1"/>
  <c r="F28" i="89"/>
  <c r="B28" i="89"/>
  <c r="D39" i="31"/>
  <c r="E39" i="31"/>
  <c r="E38" i="71"/>
  <c r="D38" i="71"/>
  <c r="G27" i="26"/>
  <c r="I27" i="26" s="1"/>
  <c r="D28" i="26"/>
  <c r="B35" i="73"/>
  <c r="F35" i="73"/>
  <c r="G35" i="73" s="1"/>
  <c r="E38" i="34"/>
  <c r="G37" i="34"/>
  <c r="H37" i="34"/>
  <c r="D38" i="34"/>
  <c r="B32" i="60"/>
  <c r="F32" i="60"/>
  <c r="H32" i="60" s="1"/>
  <c r="F36" i="21"/>
  <c r="H36" i="21" s="1"/>
  <c r="B36" i="21"/>
  <c r="O17" i="2"/>
  <c r="N89" i="17"/>
  <c r="O87" i="17"/>
  <c r="O89" i="17" s="1"/>
  <c r="E40" i="28"/>
  <c r="D40" i="28"/>
  <c r="D33" i="56"/>
  <c r="E33" i="56"/>
  <c r="E29" i="83"/>
  <c r="D29" i="83"/>
  <c r="H31" i="68"/>
  <c r="I31" i="68" s="1"/>
  <c r="D32" i="68"/>
  <c r="E32" i="68"/>
  <c r="G38" i="69"/>
  <c r="I38" i="69" s="1"/>
  <c r="E39" i="69"/>
  <c r="D39" i="69"/>
  <c r="D37" i="19"/>
  <c r="E37" i="19"/>
  <c r="G37" i="71"/>
  <c r="D33" i="64"/>
  <c r="E33" i="64"/>
  <c r="B33" i="54"/>
  <c r="F33" i="54"/>
  <c r="G33" i="54" s="1"/>
  <c r="B37" i="32"/>
  <c r="F37" i="32"/>
  <c r="G37" i="32" s="1"/>
  <c r="F36" i="41"/>
  <c r="H36" i="41" s="1"/>
  <c r="B36" i="41"/>
  <c r="E30" i="88"/>
  <c r="D30" i="88"/>
  <c r="B28" i="92"/>
  <c r="F28" i="92"/>
  <c r="G28" i="92" s="1"/>
  <c r="H31" i="62"/>
  <c r="I31" i="62" s="1"/>
  <c r="B30" i="77"/>
  <c r="F30" i="77"/>
  <c r="G30" i="77" s="1"/>
  <c r="D37" i="3"/>
  <c r="E37" i="3" s="1"/>
  <c r="M89" i="17"/>
  <c r="N17" i="2"/>
  <c r="H39" i="28"/>
  <c r="I39" i="28" s="1"/>
  <c r="B30" i="79"/>
  <c r="F30" i="79"/>
  <c r="H30" i="79" s="1"/>
  <c r="F36" i="43"/>
  <c r="G36" i="43" s="1"/>
  <c r="B36" i="43"/>
  <c r="G34" i="45"/>
  <c r="I34" i="45" s="1"/>
  <c r="D38" i="30"/>
  <c r="E38" i="30"/>
  <c r="F36" i="17"/>
  <c r="G36" i="17" s="1"/>
  <c r="B36" i="17"/>
  <c r="C45" i="17"/>
  <c r="G29" i="88"/>
  <c r="I29" i="88" s="1"/>
  <c r="I27" i="92"/>
  <c r="H36" i="19"/>
  <c r="I36" i="19" s="1"/>
  <c r="H37" i="71"/>
  <c r="J108" i="81"/>
  <c r="J114" i="73"/>
  <c r="D28" i="13"/>
  <c r="E28" i="13" s="1"/>
  <c r="H27" i="13"/>
  <c r="G27" i="13"/>
  <c r="E29" i="87"/>
  <c r="D29" i="87"/>
  <c r="H39" i="35"/>
  <c r="E40" i="35"/>
  <c r="F40" i="35" s="1"/>
  <c r="G39" i="35"/>
  <c r="B40" i="35"/>
  <c r="E36" i="20"/>
  <c r="D36" i="20"/>
  <c r="I38" i="35"/>
  <c r="B37" i="18"/>
  <c r="F37" i="18"/>
  <c r="G37" i="18" s="1"/>
  <c r="H28" i="87"/>
  <c r="G35" i="20"/>
  <c r="J107" i="91"/>
  <c r="B32" i="59"/>
  <c r="F32" i="59"/>
  <c r="H32" i="59" s="1"/>
  <c r="E32" i="62"/>
  <c r="D32" i="62"/>
  <c r="G28" i="87"/>
  <c r="H35" i="20"/>
  <c r="I107" i="86"/>
  <c r="H107" i="86"/>
  <c r="B108" i="90"/>
  <c r="F108" i="90"/>
  <c r="B117" i="31"/>
  <c r="F117" i="31"/>
  <c r="B118" i="69"/>
  <c r="F118" i="69"/>
  <c r="F112" i="63"/>
  <c r="B112" i="63"/>
  <c r="J115" i="22"/>
  <c r="F115" i="39"/>
  <c r="B115" i="39"/>
  <c r="F112" i="60"/>
  <c r="B112" i="60"/>
  <c r="J111" i="62"/>
  <c r="F112" i="61"/>
  <c r="B112" i="61"/>
  <c r="I109" i="78"/>
  <c r="H109" i="78"/>
  <c r="E116" i="73"/>
  <c r="D116" i="73"/>
  <c r="G115" i="73"/>
  <c r="B118" i="70"/>
  <c r="F118" i="70"/>
  <c r="I117" i="30"/>
  <c r="H117" i="30"/>
  <c r="I117" i="29"/>
  <c r="H117" i="29"/>
  <c r="B117" i="32"/>
  <c r="F117" i="32"/>
  <c r="E117" i="22"/>
  <c r="G116" i="22"/>
  <c r="D117" i="22"/>
  <c r="H109" i="79"/>
  <c r="I109" i="79"/>
  <c r="B108" i="86"/>
  <c r="F108" i="86"/>
  <c r="H116" i="31"/>
  <c r="I116" i="31"/>
  <c r="H111" i="65"/>
  <c r="I111" i="65"/>
  <c r="H115" i="34"/>
  <c r="I115" i="34"/>
  <c r="H110" i="66"/>
  <c r="I110" i="66"/>
  <c r="D113" i="62"/>
  <c r="G112" i="62"/>
  <c r="E113" i="62"/>
  <c r="I108" i="85"/>
  <c r="H108" i="85"/>
  <c r="H114" i="39"/>
  <c r="I114" i="39"/>
  <c r="G115" i="41"/>
  <c r="E116" i="41"/>
  <c r="D116" i="41"/>
  <c r="H115" i="19"/>
  <c r="I115" i="19"/>
  <c r="B118" i="27"/>
  <c r="F118" i="27"/>
  <c r="B113" i="72"/>
  <c r="F113" i="72"/>
  <c r="B111" i="68"/>
  <c r="F111" i="68"/>
  <c r="F110" i="78"/>
  <c r="B110" i="78"/>
  <c r="F108" i="88"/>
  <c r="B108" i="88"/>
  <c r="I107" i="84"/>
  <c r="H107" i="84"/>
  <c r="F113" i="58"/>
  <c r="B113" i="58"/>
  <c r="F108" i="92"/>
  <c r="B108" i="92"/>
  <c r="I107" i="90"/>
  <c r="H107" i="90"/>
  <c r="J114" i="41"/>
  <c r="F112" i="65"/>
  <c r="B112" i="65"/>
  <c r="B111" i="66"/>
  <c r="F111" i="66"/>
  <c r="I111" i="63"/>
  <c r="H111" i="63"/>
  <c r="B109" i="85"/>
  <c r="F109" i="85"/>
  <c r="E109" i="91"/>
  <c r="G108" i="91"/>
  <c r="D109" i="91"/>
  <c r="I114" i="43"/>
  <c r="H114" i="43"/>
  <c r="H113" i="74"/>
  <c r="I113" i="74"/>
  <c r="H117" i="27"/>
  <c r="I117" i="27"/>
  <c r="E110" i="81"/>
  <c r="G109" i="81"/>
  <c r="D110" i="81"/>
  <c r="I110" i="68"/>
  <c r="H110" i="68"/>
  <c r="H112" i="53"/>
  <c r="I112" i="53"/>
  <c r="B116" i="20"/>
  <c r="F116" i="20"/>
  <c r="B112" i="64"/>
  <c r="F112" i="64"/>
  <c r="F118" i="30"/>
  <c r="B118" i="30"/>
  <c r="J107" i="89"/>
  <c r="H112" i="46"/>
  <c r="I112" i="46"/>
  <c r="I112" i="58"/>
  <c r="H112" i="58"/>
  <c r="I107" i="92"/>
  <c r="H107" i="92"/>
  <c r="J120" i="35"/>
  <c r="H117" i="69"/>
  <c r="I117" i="69"/>
  <c r="F116" i="34"/>
  <c r="B116" i="34"/>
  <c r="I111" i="60"/>
  <c r="H111" i="60"/>
  <c r="F115" i="43"/>
  <c r="B115" i="43"/>
  <c r="J113" i="45"/>
  <c r="B114" i="74"/>
  <c r="F114" i="74"/>
  <c r="B116" i="19"/>
  <c r="F116" i="19"/>
  <c r="I112" i="72"/>
  <c r="H112" i="72"/>
  <c r="H111" i="61"/>
  <c r="I111" i="61"/>
  <c r="B113" i="53"/>
  <c r="F113" i="53"/>
  <c r="I115" i="20"/>
  <c r="H115" i="20"/>
  <c r="D109" i="89"/>
  <c r="G108" i="89"/>
  <c r="E109" i="89"/>
  <c r="H107" i="88"/>
  <c r="I107" i="88"/>
  <c r="I117" i="70"/>
  <c r="H117" i="70"/>
  <c r="I111" i="64"/>
  <c r="H111" i="64"/>
  <c r="G114" i="45"/>
  <c r="D115" i="45"/>
  <c r="E115" i="45"/>
  <c r="F108" i="84"/>
  <c r="B108" i="84"/>
  <c r="B118" i="29"/>
  <c r="F118" i="29"/>
  <c r="H116" i="32"/>
  <c r="I116" i="32"/>
  <c r="B113" i="46"/>
  <c r="F113" i="46"/>
  <c r="B110" i="79"/>
  <c r="F110" i="79"/>
  <c r="F113" i="59"/>
  <c r="B113" i="59"/>
  <c r="H117" i="23"/>
  <c r="I117" i="23"/>
  <c r="H116" i="18"/>
  <c r="I116" i="18"/>
  <c r="J109" i="75"/>
  <c r="J113" i="56"/>
  <c r="J107" i="93"/>
  <c r="F117" i="18"/>
  <c r="B117" i="18"/>
  <c r="I112" i="59"/>
  <c r="H112" i="59"/>
  <c r="D115" i="56"/>
  <c r="E115" i="56"/>
  <c r="G114" i="56"/>
  <c r="F118" i="23"/>
  <c r="B118" i="23"/>
  <c r="B118" i="71"/>
  <c r="F118" i="71"/>
  <c r="F114" i="57"/>
  <c r="B114" i="57"/>
  <c r="J112" i="55"/>
  <c r="J109" i="77"/>
  <c r="I113" i="57"/>
  <c r="H113" i="57"/>
  <c r="J114" i="42"/>
  <c r="J108" i="80"/>
  <c r="J108" i="83"/>
  <c r="H117" i="71"/>
  <c r="I117" i="71"/>
  <c r="G107" i="13"/>
  <c r="D108" i="13"/>
  <c r="E108" i="13" s="1"/>
  <c r="H108" i="82"/>
  <c r="I108" i="82"/>
  <c r="G109" i="83"/>
  <c r="E110" i="83"/>
  <c r="D110" i="83"/>
  <c r="G122" i="35"/>
  <c r="E123" i="35"/>
  <c r="F123" i="35" s="1"/>
  <c r="B123" i="35"/>
  <c r="I110" i="67"/>
  <c r="H110" i="67"/>
  <c r="I107" i="87"/>
  <c r="H107" i="87"/>
  <c r="J115" i="21"/>
  <c r="H118" i="28"/>
  <c r="I118" i="28"/>
  <c r="J106" i="13"/>
  <c r="I116" i="17"/>
  <c r="H116" i="17"/>
  <c r="E116" i="42"/>
  <c r="G115" i="42"/>
  <c r="D116" i="42"/>
  <c r="D111" i="75"/>
  <c r="G110" i="75"/>
  <c r="E111" i="75"/>
  <c r="G107" i="33"/>
  <c r="D108" i="33"/>
  <c r="D111" i="76"/>
  <c r="E111" i="76"/>
  <c r="G110" i="76"/>
  <c r="E118" i="24"/>
  <c r="G117" i="24"/>
  <c r="D118" i="24"/>
  <c r="F119" i="28"/>
  <c r="B119" i="28"/>
  <c r="G109" i="80"/>
  <c r="D110" i="80"/>
  <c r="E110" i="80"/>
  <c r="D109" i="93"/>
  <c r="E109" i="93" s="1"/>
  <c r="G108" i="93"/>
  <c r="F117" i="17"/>
  <c r="B117" i="17"/>
  <c r="B108" i="96"/>
  <c r="B109" i="82"/>
  <c r="F109" i="82"/>
  <c r="H121" i="35"/>
  <c r="I121" i="35"/>
  <c r="D114" i="55"/>
  <c r="G113" i="55"/>
  <c r="E114" i="55"/>
  <c r="H115" i="3"/>
  <c r="I115" i="3"/>
  <c r="F115" i="44"/>
  <c r="J112" i="54"/>
  <c r="J106" i="33"/>
  <c r="B109" i="95"/>
  <c r="F109" i="95"/>
  <c r="G110" i="77"/>
  <c r="E111" i="77"/>
  <c r="D111" i="77"/>
  <c r="J109" i="76"/>
  <c r="E117" i="21"/>
  <c r="G116" i="21"/>
  <c r="D117" i="21"/>
  <c r="J116" i="24"/>
  <c r="E108" i="96"/>
  <c r="F108" i="96" s="1"/>
  <c r="F111" i="67"/>
  <c r="B111" i="67"/>
  <c r="F108" i="87"/>
  <c r="B108" i="87"/>
  <c r="B116" i="3"/>
  <c r="F116" i="3"/>
  <c r="H114" i="44"/>
  <c r="I114" i="44"/>
  <c r="I108" i="95"/>
  <c r="H108" i="95"/>
  <c r="E114" i="54"/>
  <c r="G113" i="54"/>
  <c r="D114" i="54"/>
  <c r="I107" i="96"/>
  <c r="H107" i="96"/>
  <c r="F19" i="36"/>
  <c r="I28" i="100" l="1"/>
  <c r="E30" i="100"/>
  <c r="F30" i="100" s="1"/>
  <c r="B30" i="100"/>
  <c r="B29" i="100"/>
  <c r="G29" i="100"/>
  <c r="H29" i="100"/>
  <c r="H107" i="100"/>
  <c r="I107" i="100"/>
  <c r="J107" i="100" s="1"/>
  <c r="E108" i="100"/>
  <c r="B108" i="100"/>
  <c r="F108" i="100"/>
  <c r="H37" i="32"/>
  <c r="I37" i="32" s="1"/>
  <c r="I29" i="85"/>
  <c r="G27" i="98"/>
  <c r="I27" i="98" s="1"/>
  <c r="E28" i="25"/>
  <c r="F28" i="25" s="1"/>
  <c r="B28" i="25"/>
  <c r="I27" i="25"/>
  <c r="I29" i="97"/>
  <c r="I27" i="99"/>
  <c r="D28" i="98"/>
  <c r="E28" i="98"/>
  <c r="E28" i="99"/>
  <c r="F28" i="99" s="1"/>
  <c r="B28" i="99"/>
  <c r="F30" i="97"/>
  <c r="H30" i="97" s="1"/>
  <c r="B30" i="97"/>
  <c r="H107" i="25"/>
  <c r="I107" i="25"/>
  <c r="B108" i="25"/>
  <c r="E108" i="25"/>
  <c r="F108" i="25" s="1"/>
  <c r="F108" i="99"/>
  <c r="B108" i="99"/>
  <c r="H107" i="99"/>
  <c r="I107" i="99"/>
  <c r="G28" i="94"/>
  <c r="I28" i="94" s="1"/>
  <c r="I37" i="34"/>
  <c r="J107" i="26"/>
  <c r="J107" i="98"/>
  <c r="G33" i="46"/>
  <c r="I33" i="46" s="1"/>
  <c r="H37" i="24"/>
  <c r="I37" i="24" s="1"/>
  <c r="H36" i="22"/>
  <c r="I36" i="22" s="1"/>
  <c r="J107" i="97"/>
  <c r="D109" i="98"/>
  <c r="G108" i="98"/>
  <c r="E109" i="98"/>
  <c r="G108" i="97"/>
  <c r="D109" i="97"/>
  <c r="E109" i="97"/>
  <c r="D109" i="26"/>
  <c r="B109" i="26" s="1"/>
  <c r="G108" i="26"/>
  <c r="H30" i="77"/>
  <c r="I30" i="77" s="1"/>
  <c r="H32" i="67"/>
  <c r="I32" i="67" s="1"/>
  <c r="D33" i="67"/>
  <c r="E33" i="67"/>
  <c r="G32" i="61"/>
  <c r="I32" i="61" s="1"/>
  <c r="E34" i="46"/>
  <c r="D34" i="46"/>
  <c r="G36" i="41"/>
  <c r="I36" i="41" s="1"/>
  <c r="E38" i="24"/>
  <c r="D38" i="24"/>
  <c r="G30" i="79"/>
  <c r="I30" i="79" s="1"/>
  <c r="G36" i="21"/>
  <c r="I36" i="21" s="1"/>
  <c r="I34" i="58"/>
  <c r="D31" i="80"/>
  <c r="E31" i="80"/>
  <c r="F30" i="86"/>
  <c r="H30" i="86" s="1"/>
  <c r="B30" i="86"/>
  <c r="E29" i="94"/>
  <c r="D29" i="94"/>
  <c r="I35" i="20"/>
  <c r="H30" i="80"/>
  <c r="I30" i="80" s="1"/>
  <c r="F31" i="82"/>
  <c r="B31" i="82"/>
  <c r="G27" i="93"/>
  <c r="I27" i="93" s="1"/>
  <c r="E28" i="93"/>
  <c r="D28" i="93"/>
  <c r="D109" i="94"/>
  <c r="G108" i="94"/>
  <c r="G38" i="23"/>
  <c r="H38" i="23"/>
  <c r="E39" i="23"/>
  <c r="D39" i="23"/>
  <c r="I35" i="42"/>
  <c r="H30" i="90"/>
  <c r="D31" i="90"/>
  <c r="E31" i="90"/>
  <c r="F35" i="58"/>
  <c r="G35" i="58" s="1"/>
  <c r="B35" i="58"/>
  <c r="H29" i="81"/>
  <c r="I29" i="81" s="1"/>
  <c r="B31" i="75"/>
  <c r="F31" i="75"/>
  <c r="B36" i="42"/>
  <c r="F36" i="42"/>
  <c r="H36" i="42" s="1"/>
  <c r="J107" i="94"/>
  <c r="E33" i="66"/>
  <c r="D33" i="66"/>
  <c r="I27" i="13"/>
  <c r="G30" i="78"/>
  <c r="I30" i="78" s="1"/>
  <c r="H35" i="44"/>
  <c r="I35" i="44" s="1"/>
  <c r="F35" i="55"/>
  <c r="H35" i="55" s="1"/>
  <c r="B35" i="55"/>
  <c r="B32" i="65"/>
  <c r="F32" i="65"/>
  <c r="E30" i="91"/>
  <c r="D30" i="91"/>
  <c r="H33" i="53"/>
  <c r="I33" i="53" s="1"/>
  <c r="E34" i="53"/>
  <c r="D34" i="53"/>
  <c r="H29" i="84"/>
  <c r="I29" i="84" s="1"/>
  <c r="D30" i="84"/>
  <c r="E30" i="84"/>
  <c r="G32" i="66"/>
  <c r="I32" i="66" s="1"/>
  <c r="G30" i="90"/>
  <c r="H29" i="91"/>
  <c r="I29" i="91" s="1"/>
  <c r="H30" i="76"/>
  <c r="I30" i="76" s="1"/>
  <c r="G38" i="27"/>
  <c r="E39" i="27"/>
  <c r="D39" i="27"/>
  <c r="H38" i="27"/>
  <c r="G27" i="96"/>
  <c r="I27" i="96" s="1"/>
  <c r="E28" i="96"/>
  <c r="D28" i="96"/>
  <c r="E33" i="61"/>
  <c r="D33" i="61"/>
  <c r="E36" i="44"/>
  <c r="D36" i="44"/>
  <c r="B34" i="72"/>
  <c r="F34" i="72"/>
  <c r="G34" i="72" s="1"/>
  <c r="D37" i="22"/>
  <c r="E37" i="22"/>
  <c r="E31" i="76"/>
  <c r="D31" i="76"/>
  <c r="B28" i="95"/>
  <c r="F28" i="95"/>
  <c r="H28" i="95" s="1"/>
  <c r="F30" i="85"/>
  <c r="G30" i="85" s="1"/>
  <c r="B30" i="85"/>
  <c r="H35" i="73"/>
  <c r="I35" i="73" s="1"/>
  <c r="F36" i="39"/>
  <c r="G36" i="39" s="1"/>
  <c r="B36" i="39"/>
  <c r="E30" i="81"/>
  <c r="D30" i="81"/>
  <c r="G19" i="36"/>
  <c r="I37" i="71"/>
  <c r="I28" i="33"/>
  <c r="E37" i="17"/>
  <c r="D37" i="17"/>
  <c r="F32" i="68"/>
  <c r="G32" i="68" s="1"/>
  <c r="B32" i="68"/>
  <c r="D39" i="70"/>
  <c r="E39" i="70"/>
  <c r="E34" i="54"/>
  <c r="D34" i="54"/>
  <c r="F37" i="19"/>
  <c r="G37" i="19" s="1"/>
  <c r="B37" i="19"/>
  <c r="F40" i="28"/>
  <c r="H40" i="28" s="1"/>
  <c r="B40" i="28"/>
  <c r="P17" i="2"/>
  <c r="D37" i="21"/>
  <c r="E37" i="21"/>
  <c r="F38" i="34"/>
  <c r="B38" i="34"/>
  <c r="G28" i="89"/>
  <c r="E29" i="89"/>
  <c r="D29" i="89"/>
  <c r="F35" i="45"/>
  <c r="G35" i="45" s="1"/>
  <c r="B35" i="45"/>
  <c r="G35" i="74"/>
  <c r="D36" i="74"/>
  <c r="E36" i="74"/>
  <c r="D33" i="63"/>
  <c r="E33" i="63"/>
  <c r="F29" i="83"/>
  <c r="G29" i="83" s="1"/>
  <c r="B29" i="83"/>
  <c r="G32" i="59"/>
  <c r="I32" i="59" s="1"/>
  <c r="I39" i="35"/>
  <c r="H36" i="17"/>
  <c r="I36" i="17" s="1"/>
  <c r="D31" i="79"/>
  <c r="E31" i="79"/>
  <c r="H33" i="54"/>
  <c r="I33" i="54" s="1"/>
  <c r="F33" i="64"/>
  <c r="B33" i="64"/>
  <c r="F39" i="69"/>
  <c r="H39" i="69" s="1"/>
  <c r="B39" i="69"/>
  <c r="D36" i="73"/>
  <c r="E36" i="73"/>
  <c r="B28" i="26"/>
  <c r="E28" i="26"/>
  <c r="F28" i="26" s="1"/>
  <c r="B38" i="71"/>
  <c r="F38" i="71"/>
  <c r="H38" i="71" s="1"/>
  <c r="F39" i="31"/>
  <c r="H39" i="31" s="1"/>
  <c r="B39" i="31"/>
  <c r="D39" i="29"/>
  <c r="E39" i="29"/>
  <c r="G38" i="70"/>
  <c r="B29" i="33"/>
  <c r="D37" i="43"/>
  <c r="E37" i="43"/>
  <c r="D29" i="92"/>
  <c r="E29" i="92"/>
  <c r="B33" i="56"/>
  <c r="F33" i="56"/>
  <c r="H33" i="56" s="1"/>
  <c r="D33" i="60"/>
  <c r="E33" i="60"/>
  <c r="F38" i="30"/>
  <c r="H38" i="30" s="1"/>
  <c r="B38" i="30"/>
  <c r="H36" i="43"/>
  <c r="I36" i="43" s="1"/>
  <c r="F37" i="3"/>
  <c r="H37" i="3" s="1"/>
  <c r="B37" i="3"/>
  <c r="D31" i="77"/>
  <c r="E31" i="77"/>
  <c r="H28" i="92"/>
  <c r="I28" i="92" s="1"/>
  <c r="F30" i="88"/>
  <c r="H30" i="88" s="1"/>
  <c r="B30" i="88"/>
  <c r="D37" i="41"/>
  <c r="E37" i="41"/>
  <c r="D38" i="32"/>
  <c r="E38" i="32"/>
  <c r="G32" i="60"/>
  <c r="I32" i="60" s="1"/>
  <c r="H28" i="89"/>
  <c r="H33" i="57"/>
  <c r="I33" i="57" s="1"/>
  <c r="E34" i="57"/>
  <c r="D34" i="57"/>
  <c r="G38" i="29"/>
  <c r="I38" i="29" s="1"/>
  <c r="H38" i="70"/>
  <c r="H35" i="74"/>
  <c r="H32" i="63"/>
  <c r="I32" i="63" s="1"/>
  <c r="D31" i="78"/>
  <c r="E31" i="78"/>
  <c r="E29" i="33"/>
  <c r="F29" i="33" s="1"/>
  <c r="J112" i="46"/>
  <c r="J117" i="27"/>
  <c r="J115" i="19"/>
  <c r="J110" i="66"/>
  <c r="J113" i="74"/>
  <c r="J115" i="34"/>
  <c r="J111" i="65"/>
  <c r="J110" i="68"/>
  <c r="J111" i="63"/>
  <c r="J121" i="35"/>
  <c r="J111" i="61"/>
  <c r="J107" i="88"/>
  <c r="J116" i="31"/>
  <c r="J109" i="79"/>
  <c r="J112" i="59"/>
  <c r="J117" i="70"/>
  <c r="J117" i="69"/>
  <c r="J112" i="53"/>
  <c r="J112" i="72"/>
  <c r="J107" i="92"/>
  <c r="J107" i="84"/>
  <c r="E38" i="18"/>
  <c r="D38" i="18"/>
  <c r="F28" i="13"/>
  <c r="B28" i="13"/>
  <c r="F32" i="62"/>
  <c r="G32" i="62" s="1"/>
  <c r="B32" i="62"/>
  <c r="J107" i="96"/>
  <c r="J117" i="29"/>
  <c r="D33" i="59"/>
  <c r="E33" i="59"/>
  <c r="I28" i="87"/>
  <c r="F36" i="20"/>
  <c r="G36" i="20" s="1"/>
  <c r="B36" i="20"/>
  <c r="F29" i="87"/>
  <c r="G29" i="87" s="1"/>
  <c r="B29" i="87"/>
  <c r="H37" i="18"/>
  <c r="I37" i="18" s="1"/>
  <c r="E41" i="35"/>
  <c r="F41" i="35" s="1"/>
  <c r="H40" i="35"/>
  <c r="B41" i="35"/>
  <c r="G40" i="35"/>
  <c r="J116" i="18"/>
  <c r="B115" i="45"/>
  <c r="F115" i="45"/>
  <c r="J115" i="20"/>
  <c r="J112" i="58"/>
  <c r="E117" i="20"/>
  <c r="G116" i="20"/>
  <c r="D117" i="20"/>
  <c r="I108" i="91"/>
  <c r="H108" i="91"/>
  <c r="J107" i="90"/>
  <c r="E114" i="58"/>
  <c r="G113" i="58"/>
  <c r="D114" i="58"/>
  <c r="D109" i="88"/>
  <c r="G108" i="88"/>
  <c r="E109" i="88"/>
  <c r="J114" i="39"/>
  <c r="I116" i="22"/>
  <c r="H116" i="22"/>
  <c r="E119" i="70"/>
  <c r="G118" i="70"/>
  <c r="D119" i="70"/>
  <c r="E113" i="61"/>
  <c r="D113" i="61"/>
  <c r="G112" i="61"/>
  <c r="E116" i="39"/>
  <c r="D116" i="39"/>
  <c r="G115" i="39"/>
  <c r="E119" i="69"/>
  <c r="G118" i="69"/>
  <c r="D119" i="69"/>
  <c r="E109" i="90"/>
  <c r="D109" i="90"/>
  <c r="G108" i="90"/>
  <c r="D111" i="79"/>
  <c r="E111" i="79"/>
  <c r="G110" i="79"/>
  <c r="J116" i="32"/>
  <c r="H114" i="45"/>
  <c r="I114" i="45"/>
  <c r="H108" i="89"/>
  <c r="I108" i="89"/>
  <c r="D114" i="53"/>
  <c r="E114" i="53"/>
  <c r="G113" i="53"/>
  <c r="E115" i="74"/>
  <c r="D115" i="74"/>
  <c r="G114" i="74"/>
  <c r="E116" i="43"/>
  <c r="G115" i="43"/>
  <c r="D116" i="43"/>
  <c r="E117" i="34"/>
  <c r="G116" i="34"/>
  <c r="D117" i="34"/>
  <c r="G118" i="30"/>
  <c r="E119" i="30"/>
  <c r="D119" i="30"/>
  <c r="E113" i="65"/>
  <c r="D113" i="65"/>
  <c r="G112" i="65"/>
  <c r="E114" i="72"/>
  <c r="D114" i="72"/>
  <c r="G113" i="72"/>
  <c r="B116" i="41"/>
  <c r="F116" i="41"/>
  <c r="H112" i="62"/>
  <c r="I112" i="62"/>
  <c r="D109" i="84"/>
  <c r="G108" i="84"/>
  <c r="E109" i="84"/>
  <c r="F109" i="89"/>
  <c r="B109" i="89"/>
  <c r="G112" i="64"/>
  <c r="D113" i="64"/>
  <c r="E113" i="64"/>
  <c r="F110" i="81"/>
  <c r="B110" i="81"/>
  <c r="J114" i="43"/>
  <c r="D110" i="85"/>
  <c r="G109" i="85"/>
  <c r="E110" i="85"/>
  <c r="D112" i="66"/>
  <c r="G111" i="66"/>
  <c r="E112" i="66"/>
  <c r="G108" i="92"/>
  <c r="D109" i="92"/>
  <c r="E109" i="92"/>
  <c r="E111" i="78"/>
  <c r="D111" i="78"/>
  <c r="G110" i="78"/>
  <c r="B113" i="62"/>
  <c r="F113" i="62"/>
  <c r="G117" i="32"/>
  <c r="E118" i="32"/>
  <c r="D118" i="32"/>
  <c r="H115" i="73"/>
  <c r="I115" i="73"/>
  <c r="J109" i="78"/>
  <c r="D113" i="60"/>
  <c r="G112" i="60"/>
  <c r="E113" i="60"/>
  <c r="D118" i="31"/>
  <c r="E118" i="31"/>
  <c r="G117" i="31"/>
  <c r="E114" i="46"/>
  <c r="G113" i="46"/>
  <c r="D114" i="46"/>
  <c r="G118" i="29"/>
  <c r="E119" i="29"/>
  <c r="D119" i="29"/>
  <c r="J111" i="64"/>
  <c r="D117" i="19"/>
  <c r="E117" i="19"/>
  <c r="G116" i="19"/>
  <c r="J111" i="60"/>
  <c r="I109" i="81"/>
  <c r="H109" i="81"/>
  <c r="F109" i="91"/>
  <c r="B109" i="91"/>
  <c r="D112" i="68"/>
  <c r="E112" i="68"/>
  <c r="G111" i="68"/>
  <c r="D119" i="27"/>
  <c r="E119" i="27"/>
  <c r="G118" i="27"/>
  <c r="I115" i="41"/>
  <c r="H115" i="41"/>
  <c r="J108" i="85"/>
  <c r="D109" i="86"/>
  <c r="E109" i="86"/>
  <c r="G108" i="86"/>
  <c r="B117" i="22"/>
  <c r="F117" i="22"/>
  <c r="J117" i="30"/>
  <c r="F116" i="73"/>
  <c r="B116" i="73"/>
  <c r="E113" i="63"/>
  <c r="G112" i="63"/>
  <c r="D113" i="63"/>
  <c r="J107" i="86"/>
  <c r="J114" i="44"/>
  <c r="J117" i="71"/>
  <c r="E118" i="18"/>
  <c r="D118" i="18"/>
  <c r="G117" i="18"/>
  <c r="J117" i="23"/>
  <c r="J116" i="17"/>
  <c r="J113" i="57"/>
  <c r="E119" i="23"/>
  <c r="G118" i="23"/>
  <c r="D119" i="23"/>
  <c r="F115" i="56"/>
  <c r="B115" i="56"/>
  <c r="J108" i="95"/>
  <c r="H114" i="56"/>
  <c r="I114" i="56"/>
  <c r="E114" i="59"/>
  <c r="D114" i="59"/>
  <c r="G113" i="59"/>
  <c r="D115" i="57"/>
  <c r="E115" i="57"/>
  <c r="G114" i="57"/>
  <c r="J118" i="28"/>
  <c r="J107" i="87"/>
  <c r="E119" i="71"/>
  <c r="G118" i="71"/>
  <c r="D119" i="71"/>
  <c r="J110" i="67"/>
  <c r="J108" i="82"/>
  <c r="G108" i="96"/>
  <c r="D109" i="96"/>
  <c r="D117" i="3"/>
  <c r="G116" i="3"/>
  <c r="E117" i="3"/>
  <c r="I113" i="54"/>
  <c r="H113" i="54"/>
  <c r="G111" i="67"/>
  <c r="D112" i="67"/>
  <c r="E112" i="67"/>
  <c r="H116" i="21"/>
  <c r="I116" i="21"/>
  <c r="J115" i="3"/>
  <c r="F114" i="55"/>
  <c r="B114" i="55"/>
  <c r="D110" i="82"/>
  <c r="G109" i="82"/>
  <c r="E110" i="82"/>
  <c r="H108" i="93"/>
  <c r="I108" i="93"/>
  <c r="B110" i="80"/>
  <c r="F110" i="80"/>
  <c r="F118" i="24"/>
  <c r="B118" i="24"/>
  <c r="I107" i="33"/>
  <c r="H107" i="33"/>
  <c r="B111" i="75"/>
  <c r="F111" i="75"/>
  <c r="F110" i="83"/>
  <c r="B110" i="83"/>
  <c r="D109" i="87"/>
  <c r="G108" i="87"/>
  <c r="E109" i="87"/>
  <c r="I110" i="77"/>
  <c r="H110" i="77"/>
  <c r="I109" i="80"/>
  <c r="H109" i="80"/>
  <c r="H117" i="24"/>
  <c r="I117" i="24"/>
  <c r="B111" i="76"/>
  <c r="F111" i="76"/>
  <c r="B116" i="42"/>
  <c r="F116" i="42"/>
  <c r="H115" i="42"/>
  <c r="I115" i="42"/>
  <c r="B124" i="35"/>
  <c r="E124" i="35"/>
  <c r="F124" i="35" s="1"/>
  <c r="G123" i="35"/>
  <c r="H109" i="83"/>
  <c r="I109" i="83"/>
  <c r="F108" i="13"/>
  <c r="B108" i="13"/>
  <c r="G115" i="44"/>
  <c r="D116" i="44"/>
  <c r="E116" i="44"/>
  <c r="B109" i="93"/>
  <c r="F109" i="93"/>
  <c r="B108" i="33"/>
  <c r="F114" i="54"/>
  <c r="B114" i="54"/>
  <c r="B117" i="21"/>
  <c r="F117" i="21"/>
  <c r="F111" i="77"/>
  <c r="B111" i="77"/>
  <c r="G109" i="95"/>
  <c r="D110" i="95"/>
  <c r="E110" i="95" s="1"/>
  <c r="H113" i="55"/>
  <c r="I113" i="55"/>
  <c r="G117" i="17"/>
  <c r="D118" i="17"/>
  <c r="E118" i="17"/>
  <c r="G119" i="28"/>
  <c r="D120" i="28"/>
  <c r="E120" i="28"/>
  <c r="H110" i="76"/>
  <c r="I110" i="76"/>
  <c r="E108" i="33"/>
  <c r="F108" i="33" s="1"/>
  <c r="H110" i="75"/>
  <c r="I110" i="75"/>
  <c r="H122" i="35"/>
  <c r="I122" i="35"/>
  <c r="I107" i="13"/>
  <c r="H107" i="13"/>
  <c r="D31" i="100" l="1"/>
  <c r="G30" i="100"/>
  <c r="H30" i="100"/>
  <c r="I29" i="100"/>
  <c r="E31" i="100"/>
  <c r="F31" i="100" s="1"/>
  <c r="D32" i="100" s="1"/>
  <c r="B31" i="100"/>
  <c r="G108" i="100"/>
  <c r="D109" i="100"/>
  <c r="J107" i="25"/>
  <c r="G28" i="25"/>
  <c r="D29" i="25"/>
  <c r="B29" i="25" s="1"/>
  <c r="H28" i="25"/>
  <c r="G30" i="97"/>
  <c r="I30" i="97" s="1"/>
  <c r="J107" i="99"/>
  <c r="D29" i="99"/>
  <c r="E29" i="99"/>
  <c r="H28" i="99"/>
  <c r="G28" i="99"/>
  <c r="B28" i="98"/>
  <c r="F28" i="98"/>
  <c r="H28" i="98" s="1"/>
  <c r="D31" i="97"/>
  <c r="E31" i="97"/>
  <c r="G108" i="25"/>
  <c r="D109" i="25"/>
  <c r="D109" i="99"/>
  <c r="G108" i="99"/>
  <c r="E109" i="99"/>
  <c r="I30" i="90"/>
  <c r="I28" i="89"/>
  <c r="I38" i="27"/>
  <c r="E109" i="26"/>
  <c r="F109" i="26" s="1"/>
  <c r="G109" i="26" s="1"/>
  <c r="H108" i="98"/>
  <c r="I108" i="98"/>
  <c r="F109" i="97"/>
  <c r="B109" i="97"/>
  <c r="F109" i="98"/>
  <c r="B109" i="98"/>
  <c r="H108" i="26"/>
  <c r="I108" i="26"/>
  <c r="I108" i="97"/>
  <c r="H108" i="97"/>
  <c r="G30" i="88"/>
  <c r="I30" i="88" s="1"/>
  <c r="B33" i="67"/>
  <c r="F33" i="67"/>
  <c r="G33" i="67" s="1"/>
  <c r="F34" i="46"/>
  <c r="G34" i="46" s="1"/>
  <c r="B34" i="46"/>
  <c r="B38" i="24"/>
  <c r="F38" i="24"/>
  <c r="G38" i="24" s="1"/>
  <c r="H31" i="82"/>
  <c r="D32" i="82"/>
  <c r="E32" i="82"/>
  <c r="B31" i="80"/>
  <c r="F31" i="80"/>
  <c r="G31" i="80" s="1"/>
  <c r="G36" i="42"/>
  <c r="I36" i="42" s="1"/>
  <c r="G31" i="82"/>
  <c r="I38" i="23"/>
  <c r="F28" i="93"/>
  <c r="B28" i="93"/>
  <c r="F29" i="94"/>
  <c r="B29" i="94"/>
  <c r="D31" i="86"/>
  <c r="E31" i="86"/>
  <c r="G30" i="86"/>
  <c r="I30" i="86" s="1"/>
  <c r="F31" i="90"/>
  <c r="G31" i="90" s="1"/>
  <c r="B31" i="90"/>
  <c r="F30" i="84"/>
  <c r="G30" i="84" s="1"/>
  <c r="B30" i="84"/>
  <c r="E109" i="94"/>
  <c r="F109" i="94" s="1"/>
  <c r="B109" i="94"/>
  <c r="E33" i="65"/>
  <c r="D33" i="65"/>
  <c r="E32" i="75"/>
  <c r="D32" i="75"/>
  <c r="B39" i="23"/>
  <c r="F39" i="23"/>
  <c r="G39" i="23" s="1"/>
  <c r="G38" i="71"/>
  <c r="I38" i="71" s="1"/>
  <c r="B30" i="91"/>
  <c r="F30" i="91"/>
  <c r="H30" i="91" s="1"/>
  <c r="H32" i="65"/>
  <c r="G35" i="55"/>
  <c r="I35" i="55" s="1"/>
  <c r="E36" i="55"/>
  <c r="D36" i="55"/>
  <c r="F33" i="66"/>
  <c r="H33" i="66" s="1"/>
  <c r="B33" i="66"/>
  <c r="H31" i="75"/>
  <c r="H35" i="58"/>
  <c r="I35" i="58" s="1"/>
  <c r="E36" i="58"/>
  <c r="D36" i="58"/>
  <c r="H108" i="94"/>
  <c r="I108" i="94"/>
  <c r="I38" i="70"/>
  <c r="B34" i="53"/>
  <c r="F34" i="53"/>
  <c r="H34" i="53" s="1"/>
  <c r="G32" i="65"/>
  <c r="E37" i="42"/>
  <c r="D37" i="42"/>
  <c r="G31" i="75"/>
  <c r="F30" i="81"/>
  <c r="H30" i="81" s="1"/>
  <c r="B30" i="81"/>
  <c r="D37" i="39"/>
  <c r="E37" i="39"/>
  <c r="E35" i="72"/>
  <c r="D35" i="72"/>
  <c r="G38" i="30"/>
  <c r="I38" i="30" s="1"/>
  <c r="G40" i="28"/>
  <c r="I40" i="28" s="1"/>
  <c r="H30" i="85"/>
  <c r="I30" i="85" s="1"/>
  <c r="B37" i="22"/>
  <c r="F37" i="22"/>
  <c r="H37" i="22" s="1"/>
  <c r="B33" i="61"/>
  <c r="F33" i="61"/>
  <c r="H33" i="61" s="1"/>
  <c r="H29" i="87"/>
  <c r="I29" i="87" s="1"/>
  <c r="H36" i="39"/>
  <c r="I36" i="39" s="1"/>
  <c r="G28" i="95"/>
  <c r="I28" i="95" s="1"/>
  <c r="E29" i="95"/>
  <c r="D29" i="95"/>
  <c r="B31" i="76"/>
  <c r="F31" i="76"/>
  <c r="G31" i="76" s="1"/>
  <c r="H34" i="72"/>
  <c r="I34" i="72" s="1"/>
  <c r="D31" i="85"/>
  <c r="E31" i="85"/>
  <c r="B36" i="44"/>
  <c r="F36" i="44"/>
  <c r="H36" i="44" s="1"/>
  <c r="B28" i="96"/>
  <c r="F28" i="96"/>
  <c r="G28" i="96" s="1"/>
  <c r="F39" i="27"/>
  <c r="B39" i="27"/>
  <c r="D30" i="33"/>
  <c r="E30" i="33" s="1"/>
  <c r="G29" i="33"/>
  <c r="H29" i="33"/>
  <c r="F29" i="92"/>
  <c r="H29" i="92" s="1"/>
  <c r="B29" i="92"/>
  <c r="B39" i="70"/>
  <c r="F39" i="70"/>
  <c r="G39" i="70" s="1"/>
  <c r="H36" i="20"/>
  <c r="I36" i="20" s="1"/>
  <c r="H32" i="62"/>
  <c r="I32" i="62" s="1"/>
  <c r="I35" i="74"/>
  <c r="E34" i="56"/>
  <c r="D34" i="56"/>
  <c r="G28" i="26"/>
  <c r="H28" i="26"/>
  <c r="D29" i="26"/>
  <c r="E29" i="26" s="1"/>
  <c r="E34" i="64"/>
  <c r="D34" i="64"/>
  <c r="F31" i="79"/>
  <c r="H31" i="79" s="1"/>
  <c r="B31" i="79"/>
  <c r="F33" i="63"/>
  <c r="B33" i="63"/>
  <c r="B37" i="21"/>
  <c r="F37" i="21"/>
  <c r="F39" i="29"/>
  <c r="G39" i="29" s="1"/>
  <c r="B39" i="29"/>
  <c r="E40" i="31"/>
  <c r="D40" i="31"/>
  <c r="B31" i="78"/>
  <c r="F31" i="78"/>
  <c r="B31" i="77"/>
  <c r="F31" i="77"/>
  <c r="D38" i="3"/>
  <c r="E38" i="3" s="1"/>
  <c r="G33" i="56"/>
  <c r="I33" i="56" s="1"/>
  <c r="F37" i="43"/>
  <c r="H37" i="43" s="1"/>
  <c r="B37" i="43"/>
  <c r="G39" i="31"/>
  <c r="I39" i="31" s="1"/>
  <c r="D40" i="69"/>
  <c r="E40" i="69"/>
  <c r="G33" i="64"/>
  <c r="D36" i="45"/>
  <c r="E36" i="45"/>
  <c r="E38" i="19"/>
  <c r="D38" i="19"/>
  <c r="H32" i="68"/>
  <c r="I32" i="68" s="1"/>
  <c r="E33" i="68"/>
  <c r="D33" i="68"/>
  <c r="B34" i="57"/>
  <c r="F34" i="57"/>
  <c r="G34" i="57" s="1"/>
  <c r="B36" i="73"/>
  <c r="F36" i="73"/>
  <c r="B37" i="17"/>
  <c r="C46" i="17"/>
  <c r="F37" i="17"/>
  <c r="G37" i="17" s="1"/>
  <c r="B38" i="32"/>
  <c r="F38" i="32"/>
  <c r="G38" i="32" s="1"/>
  <c r="F37" i="41"/>
  <c r="H37" i="41" s="1"/>
  <c r="B37" i="41"/>
  <c r="D31" i="88"/>
  <c r="E31" i="88"/>
  <c r="G37" i="3"/>
  <c r="I37" i="3" s="1"/>
  <c r="D39" i="30"/>
  <c r="E39" i="30"/>
  <c r="B33" i="60"/>
  <c r="F33" i="60"/>
  <c r="G33" i="60" s="1"/>
  <c r="E39" i="71"/>
  <c r="D39" i="71"/>
  <c r="G39" i="69"/>
  <c r="I39" i="69" s="1"/>
  <c r="H33" i="64"/>
  <c r="H29" i="83"/>
  <c r="I29" i="83" s="1"/>
  <c r="D30" i="83"/>
  <c r="E30" i="83"/>
  <c r="B36" i="74"/>
  <c r="F36" i="74"/>
  <c r="H35" i="45"/>
  <c r="I35" i="45" s="1"/>
  <c r="B29" i="89"/>
  <c r="F29" i="89"/>
  <c r="H29" i="89" s="1"/>
  <c r="D39" i="34"/>
  <c r="H38" i="34"/>
  <c r="E39" i="34"/>
  <c r="G38" i="34"/>
  <c r="E41" i="28"/>
  <c r="D41" i="28"/>
  <c r="H37" i="19"/>
  <c r="I37" i="19" s="1"/>
  <c r="F34" i="54"/>
  <c r="H34" i="54" s="1"/>
  <c r="B34" i="54"/>
  <c r="J112" i="62"/>
  <c r="J115" i="73"/>
  <c r="F33" i="59"/>
  <c r="G33" i="59" s="1"/>
  <c r="B33" i="59"/>
  <c r="D29" i="13"/>
  <c r="F38" i="18"/>
  <c r="B38" i="18"/>
  <c r="J108" i="93"/>
  <c r="D30" i="87"/>
  <c r="E30" i="87"/>
  <c r="E37" i="20"/>
  <c r="D37" i="20"/>
  <c r="D33" i="62"/>
  <c r="E33" i="62"/>
  <c r="H28" i="13"/>
  <c r="J114" i="56"/>
  <c r="I40" i="35"/>
  <c r="G28" i="13"/>
  <c r="E42" i="35"/>
  <c r="F42" i="35" s="1"/>
  <c r="H41" i="35"/>
  <c r="B42" i="35"/>
  <c r="G41" i="35"/>
  <c r="D118" i="22"/>
  <c r="G117" i="22"/>
  <c r="E118" i="22"/>
  <c r="F109" i="86"/>
  <c r="B109" i="86"/>
  <c r="I118" i="27"/>
  <c r="H118" i="27"/>
  <c r="B118" i="32"/>
  <c r="F118" i="32"/>
  <c r="I111" i="66"/>
  <c r="H111" i="66"/>
  <c r="B110" i="85"/>
  <c r="F110" i="85"/>
  <c r="D110" i="89"/>
  <c r="G109" i="89"/>
  <c r="E110" i="89"/>
  <c r="I113" i="72"/>
  <c r="H113" i="72"/>
  <c r="B113" i="65"/>
  <c r="F113" i="65"/>
  <c r="H118" i="30"/>
  <c r="I118" i="30"/>
  <c r="F116" i="43"/>
  <c r="B116" i="43"/>
  <c r="B115" i="74"/>
  <c r="F115" i="74"/>
  <c r="F114" i="53"/>
  <c r="B114" i="53"/>
  <c r="F111" i="79"/>
  <c r="B111" i="79"/>
  <c r="B119" i="69"/>
  <c r="F119" i="69"/>
  <c r="B116" i="39"/>
  <c r="F116" i="39"/>
  <c r="H108" i="88"/>
  <c r="I108" i="88"/>
  <c r="F117" i="20"/>
  <c r="B117" i="20"/>
  <c r="F112" i="68"/>
  <c r="B112" i="68"/>
  <c r="J109" i="81"/>
  <c r="B117" i="19"/>
  <c r="F117" i="19"/>
  <c r="H118" i="29"/>
  <c r="I118" i="29"/>
  <c r="H117" i="31"/>
  <c r="I117" i="31"/>
  <c r="I112" i="60"/>
  <c r="H112" i="60"/>
  <c r="H110" i="78"/>
  <c r="I110" i="78"/>
  <c r="B109" i="92"/>
  <c r="F109" i="92"/>
  <c r="B112" i="66"/>
  <c r="F112" i="66"/>
  <c r="B113" i="64"/>
  <c r="F113" i="64"/>
  <c r="B114" i="72"/>
  <c r="F114" i="72"/>
  <c r="B117" i="34"/>
  <c r="F117" i="34"/>
  <c r="I115" i="43"/>
  <c r="H115" i="43"/>
  <c r="J108" i="89"/>
  <c r="H108" i="90"/>
  <c r="I108" i="90"/>
  <c r="H118" i="69"/>
  <c r="I118" i="69"/>
  <c r="F119" i="70"/>
  <c r="B119" i="70"/>
  <c r="J116" i="22"/>
  <c r="F109" i="88"/>
  <c r="B109" i="88"/>
  <c r="H116" i="20"/>
  <c r="I116" i="20"/>
  <c r="E116" i="45"/>
  <c r="G115" i="45"/>
  <c r="D116" i="45"/>
  <c r="F113" i="63"/>
  <c r="B113" i="63"/>
  <c r="G116" i="73"/>
  <c r="E117" i="73"/>
  <c r="D117" i="73"/>
  <c r="I108" i="86"/>
  <c r="H108" i="86"/>
  <c r="F119" i="27"/>
  <c r="B119" i="27"/>
  <c r="F114" i="46"/>
  <c r="B114" i="46"/>
  <c r="F113" i="60"/>
  <c r="B113" i="60"/>
  <c r="I117" i="32"/>
  <c r="H117" i="32"/>
  <c r="B111" i="78"/>
  <c r="F111" i="78"/>
  <c r="H108" i="92"/>
  <c r="I108" i="92"/>
  <c r="I112" i="64"/>
  <c r="H112" i="64"/>
  <c r="H108" i="84"/>
  <c r="I108" i="84"/>
  <c r="G116" i="41"/>
  <c r="E117" i="41"/>
  <c r="D117" i="41"/>
  <c r="F119" i="30"/>
  <c r="B119" i="30"/>
  <c r="H116" i="34"/>
  <c r="I116" i="34"/>
  <c r="I113" i="53"/>
  <c r="H113" i="53"/>
  <c r="H110" i="79"/>
  <c r="I110" i="79"/>
  <c r="F109" i="90"/>
  <c r="B109" i="90"/>
  <c r="H112" i="61"/>
  <c r="I112" i="61"/>
  <c r="I118" i="70"/>
  <c r="H118" i="70"/>
  <c r="F114" i="58"/>
  <c r="B114" i="58"/>
  <c r="J109" i="80"/>
  <c r="I112" i="63"/>
  <c r="H112" i="63"/>
  <c r="J115" i="41"/>
  <c r="I111" i="68"/>
  <c r="H111" i="68"/>
  <c r="E110" i="91"/>
  <c r="G109" i="91"/>
  <c r="D110" i="91"/>
  <c r="H116" i="19"/>
  <c r="I116" i="19"/>
  <c r="B119" i="29"/>
  <c r="F119" i="29"/>
  <c r="H113" i="46"/>
  <c r="I113" i="46"/>
  <c r="F118" i="31"/>
  <c r="B118" i="31"/>
  <c r="D114" i="62"/>
  <c r="E114" i="62"/>
  <c r="G113" i="62"/>
  <c r="I109" i="85"/>
  <c r="H109" i="85"/>
  <c r="G110" i="81"/>
  <c r="E111" i="81"/>
  <c r="D111" i="81"/>
  <c r="F109" i="84"/>
  <c r="B109" i="84"/>
  <c r="H112" i="65"/>
  <c r="I112" i="65"/>
  <c r="I114" i="74"/>
  <c r="H114" i="74"/>
  <c r="J114" i="45"/>
  <c r="I115" i="39"/>
  <c r="H115" i="39"/>
  <c r="B113" i="61"/>
  <c r="F113" i="61"/>
  <c r="I113" i="58"/>
  <c r="H113" i="58"/>
  <c r="J108" i="91"/>
  <c r="J117" i="24"/>
  <c r="H113" i="59"/>
  <c r="I113" i="59"/>
  <c r="F119" i="23"/>
  <c r="B119" i="23"/>
  <c r="B114" i="59"/>
  <c r="F114" i="59"/>
  <c r="G115" i="56"/>
  <c r="E116" i="56"/>
  <c r="D116" i="56"/>
  <c r="H118" i="23"/>
  <c r="I118" i="23"/>
  <c r="I117" i="18"/>
  <c r="H117" i="18"/>
  <c r="F118" i="18"/>
  <c r="B118" i="18"/>
  <c r="J107" i="13"/>
  <c r="J122" i="35"/>
  <c r="J113" i="55"/>
  <c r="J110" i="77"/>
  <c r="B119" i="71"/>
  <c r="F119" i="71"/>
  <c r="H114" i="57"/>
  <c r="I114" i="57"/>
  <c r="J116" i="21"/>
  <c r="J113" i="54"/>
  <c r="H118" i="71"/>
  <c r="I118" i="71"/>
  <c r="B115" i="57"/>
  <c r="F115" i="57"/>
  <c r="G108" i="33"/>
  <c r="D109" i="33"/>
  <c r="E109" i="33" s="1"/>
  <c r="G108" i="13"/>
  <c r="D109" i="13"/>
  <c r="F109" i="87"/>
  <c r="B109" i="87"/>
  <c r="G118" i="24"/>
  <c r="E119" i="24"/>
  <c r="D119" i="24"/>
  <c r="F110" i="82"/>
  <c r="B110" i="82"/>
  <c r="G114" i="54"/>
  <c r="D115" i="54"/>
  <c r="E115" i="54"/>
  <c r="H115" i="44"/>
  <c r="I115" i="44"/>
  <c r="F120" i="28"/>
  <c r="B120" i="28"/>
  <c r="B118" i="17"/>
  <c r="F118" i="17"/>
  <c r="B110" i="95"/>
  <c r="F110" i="95"/>
  <c r="D112" i="77"/>
  <c r="E112" i="77"/>
  <c r="G111" i="77"/>
  <c r="D118" i="21"/>
  <c r="E118" i="21"/>
  <c r="G117" i="21"/>
  <c r="H123" i="35"/>
  <c r="I123" i="35"/>
  <c r="B112" i="67"/>
  <c r="F112" i="67"/>
  <c r="H116" i="3"/>
  <c r="I116" i="3"/>
  <c r="B109" i="96"/>
  <c r="I119" i="28"/>
  <c r="H119" i="28"/>
  <c r="H117" i="17"/>
  <c r="I117" i="17"/>
  <c r="I109" i="95"/>
  <c r="H109" i="95"/>
  <c r="G109" i="93"/>
  <c r="D110" i="93"/>
  <c r="E125" i="35"/>
  <c r="F125" i="35" s="1"/>
  <c r="B125" i="35"/>
  <c r="G124" i="35"/>
  <c r="J115" i="42"/>
  <c r="J107" i="33"/>
  <c r="E115" i="55"/>
  <c r="D115" i="55"/>
  <c r="G114" i="55"/>
  <c r="H111" i="67"/>
  <c r="I111" i="67"/>
  <c r="B117" i="3"/>
  <c r="F117" i="3"/>
  <c r="I108" i="96"/>
  <c r="H108" i="96"/>
  <c r="J110" i="75"/>
  <c r="J110" i="76"/>
  <c r="B116" i="44"/>
  <c r="F116" i="44"/>
  <c r="J109" i="83"/>
  <c r="E117" i="42"/>
  <c r="D117" i="42"/>
  <c r="G116" i="42"/>
  <c r="G111" i="76"/>
  <c r="D112" i="76"/>
  <c r="E112" i="76"/>
  <c r="I108" i="87"/>
  <c r="H108" i="87"/>
  <c r="E111" i="83"/>
  <c r="D111" i="83"/>
  <c r="G110" i="83"/>
  <c r="G111" i="75"/>
  <c r="D112" i="75"/>
  <c r="E112" i="75"/>
  <c r="D111" i="80"/>
  <c r="G110" i="80"/>
  <c r="E111" i="80"/>
  <c r="H109" i="82"/>
  <c r="I109" i="82"/>
  <c r="E109" i="96"/>
  <c r="F109" i="96" s="1"/>
  <c r="I30" i="100" l="1"/>
  <c r="H31" i="100"/>
  <c r="G31" i="100"/>
  <c r="E32" i="100"/>
  <c r="F32" i="100" s="1"/>
  <c r="B32" i="100"/>
  <c r="E109" i="100"/>
  <c r="F109" i="100"/>
  <c r="B109" i="100"/>
  <c r="H108" i="100"/>
  <c r="I108" i="100"/>
  <c r="J108" i="100" s="1"/>
  <c r="E29" i="25"/>
  <c r="F29" i="25" s="1"/>
  <c r="H29" i="25" s="1"/>
  <c r="I28" i="25"/>
  <c r="G28" i="98"/>
  <c r="I28" i="98" s="1"/>
  <c r="I28" i="99"/>
  <c r="D29" i="98"/>
  <c r="E29" i="98"/>
  <c r="F31" i="97"/>
  <c r="D32" i="97" s="1"/>
  <c r="B31" i="97"/>
  <c r="F29" i="99"/>
  <c r="H29" i="99" s="1"/>
  <c r="B29" i="99"/>
  <c r="E109" i="25"/>
  <c r="F109" i="25" s="1"/>
  <c r="B109" i="25"/>
  <c r="I108" i="25"/>
  <c r="H108" i="25"/>
  <c r="I108" i="99"/>
  <c r="H108" i="99"/>
  <c r="F109" i="99"/>
  <c r="B109" i="99"/>
  <c r="D110" i="26"/>
  <c r="E110" i="26" s="1"/>
  <c r="F110" i="26" s="1"/>
  <c r="J108" i="26"/>
  <c r="J108" i="98"/>
  <c r="I31" i="82"/>
  <c r="I33" i="64"/>
  <c r="I109" i="26"/>
  <c r="H109" i="26"/>
  <c r="J108" i="97"/>
  <c r="D110" i="98"/>
  <c r="G109" i="98"/>
  <c r="E110" i="98"/>
  <c r="D110" i="97"/>
  <c r="G109" i="97"/>
  <c r="E110" i="97"/>
  <c r="G30" i="91"/>
  <c r="I30" i="91" s="1"/>
  <c r="H33" i="67"/>
  <c r="I33" i="67" s="1"/>
  <c r="D34" i="67"/>
  <c r="E34" i="67"/>
  <c r="H34" i="46"/>
  <c r="I34" i="46" s="1"/>
  <c r="D35" i="46"/>
  <c r="E35" i="46"/>
  <c r="H38" i="24"/>
  <c r="I38" i="24" s="1"/>
  <c r="E39" i="24"/>
  <c r="D39" i="24"/>
  <c r="E29" i="93"/>
  <c r="D29" i="93"/>
  <c r="G33" i="66"/>
  <c r="I33" i="66" s="1"/>
  <c r="H39" i="23"/>
  <c r="I39" i="23" s="1"/>
  <c r="H29" i="94"/>
  <c r="E30" i="94"/>
  <c r="D30" i="94"/>
  <c r="H28" i="93"/>
  <c r="G29" i="89"/>
  <c r="I29" i="89" s="1"/>
  <c r="F31" i="86"/>
  <c r="B31" i="86"/>
  <c r="G28" i="93"/>
  <c r="H31" i="80"/>
  <c r="I31" i="80" s="1"/>
  <c r="D32" i="80"/>
  <c r="E32" i="80"/>
  <c r="F32" i="82"/>
  <c r="B32" i="82"/>
  <c r="I31" i="75"/>
  <c r="J108" i="94"/>
  <c r="G29" i="94"/>
  <c r="D110" i="94"/>
  <c r="G109" i="94"/>
  <c r="I32" i="65"/>
  <c r="B32" i="75"/>
  <c r="F32" i="75"/>
  <c r="H32" i="75" s="1"/>
  <c r="D31" i="84"/>
  <c r="E31" i="84"/>
  <c r="B37" i="42"/>
  <c r="F37" i="42"/>
  <c r="G34" i="53"/>
  <c r="I34" i="53" s="1"/>
  <c r="E35" i="53"/>
  <c r="D35" i="53"/>
  <c r="B36" i="55"/>
  <c r="F36" i="55"/>
  <c r="H30" i="84"/>
  <c r="I30" i="84" s="1"/>
  <c r="B36" i="58"/>
  <c r="F36" i="58"/>
  <c r="I29" i="33"/>
  <c r="D34" i="66"/>
  <c r="E34" i="66"/>
  <c r="E31" i="91"/>
  <c r="D31" i="91"/>
  <c r="E40" i="23"/>
  <c r="D40" i="23"/>
  <c r="F33" i="65"/>
  <c r="G33" i="65" s="1"/>
  <c r="B33" i="65"/>
  <c r="H31" i="90"/>
  <c r="I31" i="90" s="1"/>
  <c r="D32" i="90"/>
  <c r="E32" i="90"/>
  <c r="H31" i="76"/>
  <c r="I31" i="76" s="1"/>
  <c r="D32" i="76"/>
  <c r="E32" i="76"/>
  <c r="G33" i="61"/>
  <c r="I33" i="61" s="1"/>
  <c r="G37" i="22"/>
  <c r="I37" i="22" s="1"/>
  <c r="H28" i="96"/>
  <c r="I28" i="96" s="1"/>
  <c r="E29" i="96"/>
  <c r="D29" i="96"/>
  <c r="G36" i="44"/>
  <c r="I36" i="44" s="1"/>
  <c r="F31" i="85"/>
  <c r="B31" i="85"/>
  <c r="G30" i="81"/>
  <c r="I30" i="81" s="1"/>
  <c r="E31" i="81"/>
  <c r="D31" i="81"/>
  <c r="F29" i="95"/>
  <c r="H29" i="95" s="1"/>
  <c r="B29" i="95"/>
  <c r="E38" i="22"/>
  <c r="D38" i="22"/>
  <c r="B37" i="39"/>
  <c r="F37" i="39"/>
  <c r="H37" i="39" s="1"/>
  <c r="H33" i="59"/>
  <c r="I33" i="59" s="1"/>
  <c r="D40" i="27"/>
  <c r="G39" i="27"/>
  <c r="E40" i="27"/>
  <c r="H39" i="27"/>
  <c r="E37" i="44"/>
  <c r="D37" i="44"/>
  <c r="E34" i="61"/>
  <c r="D34" i="61"/>
  <c r="F35" i="72"/>
  <c r="H35" i="72" s="1"/>
  <c r="B35" i="72"/>
  <c r="D37" i="74"/>
  <c r="E37" i="74"/>
  <c r="D37" i="73"/>
  <c r="G36" i="73"/>
  <c r="E37" i="73"/>
  <c r="F36" i="45"/>
  <c r="G36" i="45" s="1"/>
  <c r="B36" i="45"/>
  <c r="E32" i="78"/>
  <c r="D32" i="78"/>
  <c r="E38" i="21"/>
  <c r="D38" i="21"/>
  <c r="B39" i="71"/>
  <c r="F39" i="71"/>
  <c r="H39" i="71" s="1"/>
  <c r="D34" i="60"/>
  <c r="E34" i="60"/>
  <c r="H34" i="57"/>
  <c r="I34" i="57" s="1"/>
  <c r="D35" i="57"/>
  <c r="E35" i="57"/>
  <c r="D38" i="43"/>
  <c r="E38" i="43"/>
  <c r="B40" i="31"/>
  <c r="F40" i="31"/>
  <c r="G40" i="31" s="1"/>
  <c r="G33" i="63"/>
  <c r="D34" i="63"/>
  <c r="E34" i="63"/>
  <c r="D32" i="79"/>
  <c r="E32" i="79"/>
  <c r="B41" i="28"/>
  <c r="F41" i="28"/>
  <c r="I38" i="34"/>
  <c r="D30" i="89"/>
  <c r="E30" i="89"/>
  <c r="H36" i="74"/>
  <c r="H33" i="60"/>
  <c r="I33" i="60" s="1"/>
  <c r="F31" i="88"/>
  <c r="B31" i="88"/>
  <c r="D38" i="41"/>
  <c r="E38" i="41"/>
  <c r="G37" i="43"/>
  <c r="I37" i="43" s="1"/>
  <c r="G31" i="78"/>
  <c r="H37" i="21"/>
  <c r="B34" i="64"/>
  <c r="F34" i="64"/>
  <c r="G34" i="64" s="1"/>
  <c r="B29" i="26"/>
  <c r="F29" i="26"/>
  <c r="B34" i="56"/>
  <c r="F34" i="56"/>
  <c r="G34" i="56" s="1"/>
  <c r="D38" i="17"/>
  <c r="E38" i="17"/>
  <c r="F33" i="68"/>
  <c r="H33" i="68" s="1"/>
  <c r="B33" i="68"/>
  <c r="F40" i="69"/>
  <c r="H40" i="69" s="1"/>
  <c r="B40" i="69"/>
  <c r="H31" i="77"/>
  <c r="D32" i="77"/>
  <c r="E32" i="77"/>
  <c r="F38" i="3"/>
  <c r="G38" i="3" s="1"/>
  <c r="B38" i="3"/>
  <c r="D40" i="29"/>
  <c r="E40" i="29"/>
  <c r="H39" i="70"/>
  <c r="I39" i="70" s="1"/>
  <c r="D40" i="70"/>
  <c r="E40" i="70"/>
  <c r="G34" i="54"/>
  <c r="I34" i="54" s="1"/>
  <c r="D35" i="54"/>
  <c r="E35" i="54"/>
  <c r="F39" i="34"/>
  <c r="H39" i="34" s="1"/>
  <c r="B39" i="34"/>
  <c r="G36" i="74"/>
  <c r="F30" i="83"/>
  <c r="G30" i="83" s="1"/>
  <c r="B30" i="83"/>
  <c r="B39" i="30"/>
  <c r="F39" i="30"/>
  <c r="H39" i="30" s="1"/>
  <c r="G37" i="41"/>
  <c r="I37" i="41" s="1"/>
  <c r="H38" i="32"/>
  <c r="I38" i="32" s="1"/>
  <c r="E39" i="32"/>
  <c r="D39" i="32"/>
  <c r="H37" i="17"/>
  <c r="I37" i="17" s="1"/>
  <c r="H36" i="73"/>
  <c r="B38" i="19"/>
  <c r="F38" i="19"/>
  <c r="H38" i="19" s="1"/>
  <c r="G31" i="77"/>
  <c r="H31" i="78"/>
  <c r="H39" i="29"/>
  <c r="I39" i="29" s="1"/>
  <c r="G37" i="21"/>
  <c r="H33" i="63"/>
  <c r="G31" i="79"/>
  <c r="I31" i="79" s="1"/>
  <c r="I28" i="26"/>
  <c r="G29" i="92"/>
  <c r="I29" i="92" s="1"/>
  <c r="E30" i="92"/>
  <c r="D30" i="92"/>
  <c r="F30" i="33"/>
  <c r="B30" i="33"/>
  <c r="J112" i="61"/>
  <c r="J110" i="79"/>
  <c r="J116" i="34"/>
  <c r="J118" i="69"/>
  <c r="J117" i="32"/>
  <c r="J108" i="86"/>
  <c r="J108" i="90"/>
  <c r="J112" i="60"/>
  <c r="J108" i="87"/>
  <c r="J112" i="63"/>
  <c r="J118" i="27"/>
  <c r="J118" i="30"/>
  <c r="I41" i="35"/>
  <c r="D39" i="18"/>
  <c r="E39" i="18"/>
  <c r="B29" i="13"/>
  <c r="J113" i="58"/>
  <c r="J115" i="39"/>
  <c r="J112" i="65"/>
  <c r="J109" i="85"/>
  <c r="B43" i="35"/>
  <c r="E43" i="35"/>
  <c r="F43" i="35" s="1"/>
  <c r="G42" i="35"/>
  <c r="H42" i="35"/>
  <c r="B33" i="62"/>
  <c r="F33" i="62"/>
  <c r="G33" i="62" s="1"/>
  <c r="B30" i="87"/>
  <c r="F30" i="87"/>
  <c r="G30" i="87" s="1"/>
  <c r="G38" i="18"/>
  <c r="B37" i="20"/>
  <c r="F37" i="20"/>
  <c r="G37" i="20" s="1"/>
  <c r="H38" i="18"/>
  <c r="J113" i="59"/>
  <c r="J113" i="46"/>
  <c r="J116" i="19"/>
  <c r="J110" i="78"/>
  <c r="J117" i="31"/>
  <c r="I28" i="13"/>
  <c r="E29" i="13"/>
  <c r="F29" i="13" s="1"/>
  <c r="D34" i="59"/>
  <c r="E34" i="59"/>
  <c r="H110" i="81"/>
  <c r="I110" i="81"/>
  <c r="I116" i="41"/>
  <c r="H116" i="41"/>
  <c r="J112" i="64"/>
  <c r="D114" i="60"/>
  <c r="G113" i="60"/>
  <c r="E114" i="60"/>
  <c r="D120" i="27"/>
  <c r="E120" i="27"/>
  <c r="G119" i="27"/>
  <c r="B116" i="45"/>
  <c r="F116" i="45"/>
  <c r="J115" i="43"/>
  <c r="G116" i="39"/>
  <c r="D117" i="39"/>
  <c r="E117" i="39"/>
  <c r="D116" i="74"/>
  <c r="G115" i="74"/>
  <c r="E116" i="74"/>
  <c r="B110" i="89"/>
  <c r="F110" i="89"/>
  <c r="J111" i="66"/>
  <c r="D110" i="86"/>
  <c r="G109" i="86"/>
  <c r="E110" i="86"/>
  <c r="J114" i="74"/>
  <c r="E110" i="84"/>
  <c r="D110" i="84"/>
  <c r="G109" i="84"/>
  <c r="B114" i="62"/>
  <c r="F114" i="62"/>
  <c r="E120" i="29"/>
  <c r="D120" i="29"/>
  <c r="G119" i="29"/>
  <c r="B110" i="91"/>
  <c r="F110" i="91"/>
  <c r="J111" i="68"/>
  <c r="J118" i="70"/>
  <c r="E110" i="90"/>
  <c r="D110" i="90"/>
  <c r="G109" i="90"/>
  <c r="J113" i="53"/>
  <c r="E120" i="30"/>
  <c r="G119" i="30"/>
  <c r="D120" i="30"/>
  <c r="J108" i="84"/>
  <c r="J108" i="92"/>
  <c r="I116" i="73"/>
  <c r="H116" i="73"/>
  <c r="H115" i="45"/>
  <c r="I115" i="45"/>
  <c r="E120" i="70"/>
  <c r="D120" i="70"/>
  <c r="G119" i="70"/>
  <c r="D118" i="34"/>
  <c r="G117" i="34"/>
  <c r="E118" i="34"/>
  <c r="G113" i="64"/>
  <c r="E114" i="64"/>
  <c r="D114" i="64"/>
  <c r="E110" i="92"/>
  <c r="G109" i="92"/>
  <c r="D110" i="92"/>
  <c r="J118" i="29"/>
  <c r="G117" i="20"/>
  <c r="E118" i="20"/>
  <c r="D118" i="20"/>
  <c r="D112" i="79"/>
  <c r="E112" i="79"/>
  <c r="G111" i="79"/>
  <c r="J113" i="72"/>
  <c r="G110" i="85"/>
  <c r="E111" i="85"/>
  <c r="D111" i="85"/>
  <c r="D119" i="32"/>
  <c r="G118" i="32"/>
  <c r="E119" i="32"/>
  <c r="F111" i="81"/>
  <c r="B111" i="81"/>
  <c r="D119" i="31"/>
  <c r="E119" i="31"/>
  <c r="G118" i="31"/>
  <c r="H109" i="91"/>
  <c r="I109" i="91"/>
  <c r="F117" i="41"/>
  <c r="B117" i="41"/>
  <c r="E115" i="46"/>
  <c r="D115" i="46"/>
  <c r="G114" i="46"/>
  <c r="G109" i="88"/>
  <c r="E110" i="88"/>
  <c r="D110" i="88"/>
  <c r="J108" i="88"/>
  <c r="D120" i="69"/>
  <c r="E120" i="69"/>
  <c r="G119" i="69"/>
  <c r="G113" i="65"/>
  <c r="E114" i="65"/>
  <c r="D114" i="65"/>
  <c r="I117" i="22"/>
  <c r="H117" i="22"/>
  <c r="E114" i="61"/>
  <c r="G113" i="61"/>
  <c r="D114" i="61"/>
  <c r="H113" i="62"/>
  <c r="I113" i="62"/>
  <c r="E115" i="58"/>
  <c r="G114" i="58"/>
  <c r="D115" i="58"/>
  <c r="D112" i="78"/>
  <c r="G111" i="78"/>
  <c r="E112" i="78"/>
  <c r="B117" i="73"/>
  <c r="F117" i="73"/>
  <c r="G113" i="63"/>
  <c r="E114" i="63"/>
  <c r="D114" i="63"/>
  <c r="J116" i="20"/>
  <c r="E115" i="72"/>
  <c r="G114" i="72"/>
  <c r="D115" i="72"/>
  <c r="D113" i="66"/>
  <c r="G112" i="66"/>
  <c r="E113" i="66"/>
  <c r="D118" i="19"/>
  <c r="E118" i="19"/>
  <c r="G117" i="19"/>
  <c r="G112" i="68"/>
  <c r="D113" i="68"/>
  <c r="E113" i="68"/>
  <c r="G114" i="53"/>
  <c r="E115" i="53"/>
  <c r="D115" i="53"/>
  <c r="D117" i="43"/>
  <c r="G116" i="43"/>
  <c r="E117" i="43"/>
  <c r="I109" i="89"/>
  <c r="H109" i="89"/>
  <c r="B118" i="22"/>
  <c r="F118" i="22"/>
  <c r="J118" i="71"/>
  <c r="D115" i="59"/>
  <c r="E115" i="59"/>
  <c r="G114" i="59"/>
  <c r="G118" i="18"/>
  <c r="D119" i="18"/>
  <c r="E119" i="18"/>
  <c r="F116" i="56"/>
  <c r="B116" i="56"/>
  <c r="G119" i="23"/>
  <c r="E120" i="23"/>
  <c r="D120" i="23"/>
  <c r="J117" i="18"/>
  <c r="J109" i="95"/>
  <c r="J118" i="23"/>
  <c r="I115" i="56"/>
  <c r="H115" i="56"/>
  <c r="J115" i="44"/>
  <c r="D116" i="57"/>
  <c r="E116" i="57"/>
  <c r="G115" i="57"/>
  <c r="J108" i="96"/>
  <c r="J114" i="57"/>
  <c r="G119" i="71"/>
  <c r="D120" i="71"/>
  <c r="E120" i="71"/>
  <c r="G109" i="96"/>
  <c r="D110" i="96"/>
  <c r="E110" i="96" s="1"/>
  <c r="F112" i="76"/>
  <c r="B112" i="76"/>
  <c r="D117" i="44"/>
  <c r="G116" i="44"/>
  <c r="E117" i="44"/>
  <c r="B115" i="55"/>
  <c r="F115" i="55"/>
  <c r="B110" i="93"/>
  <c r="B112" i="77"/>
  <c r="F112" i="77"/>
  <c r="H114" i="54"/>
  <c r="I114" i="54"/>
  <c r="B119" i="24"/>
  <c r="F119" i="24"/>
  <c r="B109" i="13"/>
  <c r="B112" i="75"/>
  <c r="F112" i="75"/>
  <c r="I110" i="80"/>
  <c r="H110" i="80"/>
  <c r="H111" i="75"/>
  <c r="I111" i="75"/>
  <c r="H111" i="76"/>
  <c r="I111" i="76"/>
  <c r="D118" i="3"/>
  <c r="G117" i="3"/>
  <c r="E118" i="3"/>
  <c r="I124" i="35"/>
  <c r="H124" i="35"/>
  <c r="I109" i="93"/>
  <c r="H109" i="93"/>
  <c r="J119" i="28"/>
  <c r="B118" i="21"/>
  <c r="F118" i="21"/>
  <c r="G110" i="95"/>
  <c r="D111" i="95"/>
  <c r="E111" i="95" s="1"/>
  <c r="D121" i="28"/>
  <c r="G120" i="28"/>
  <c r="E121" i="28"/>
  <c r="H108" i="13"/>
  <c r="I108" i="13"/>
  <c r="B109" i="33"/>
  <c r="F109" i="33"/>
  <c r="J109" i="82"/>
  <c r="B111" i="80"/>
  <c r="F111" i="80"/>
  <c r="H110" i="83"/>
  <c r="I110" i="83"/>
  <c r="I116" i="42"/>
  <c r="H116" i="42"/>
  <c r="J117" i="17"/>
  <c r="J116" i="3"/>
  <c r="D113" i="67"/>
  <c r="G112" i="67"/>
  <c r="E113" i="67"/>
  <c r="J123" i="35"/>
  <c r="I111" i="77"/>
  <c r="H111" i="77"/>
  <c r="E119" i="17"/>
  <c r="D119" i="17"/>
  <c r="G118" i="17"/>
  <c r="I118" i="24"/>
  <c r="H118" i="24"/>
  <c r="G109" i="87"/>
  <c r="D110" i="87"/>
  <c r="E110" i="87"/>
  <c r="H108" i="33"/>
  <c r="I108" i="33"/>
  <c r="F111" i="83"/>
  <c r="B111" i="83"/>
  <c r="B117" i="42"/>
  <c r="F117" i="42"/>
  <c r="J111" i="67"/>
  <c r="I114" i="55"/>
  <c r="H114" i="55"/>
  <c r="B126" i="35"/>
  <c r="E126" i="35"/>
  <c r="F126" i="35" s="1"/>
  <c r="G125" i="35"/>
  <c r="E110" i="93"/>
  <c r="F110" i="93" s="1"/>
  <c r="H117" i="21"/>
  <c r="I117" i="21"/>
  <c r="B115" i="54"/>
  <c r="F115" i="54"/>
  <c r="D111" i="82"/>
  <c r="G110" i="82"/>
  <c r="E111" i="82"/>
  <c r="E109" i="13"/>
  <c r="F109" i="13" s="1"/>
  <c r="I31" i="100" l="1"/>
  <c r="G32" i="100"/>
  <c r="H32" i="100"/>
  <c r="D33" i="100"/>
  <c r="E33" i="100"/>
  <c r="D110" i="100"/>
  <c r="G109" i="100"/>
  <c r="G29" i="25"/>
  <c r="I29" i="25" s="1"/>
  <c r="D30" i="25"/>
  <c r="I28" i="93"/>
  <c r="G29" i="99"/>
  <c r="I29" i="99" s="1"/>
  <c r="G31" i="97"/>
  <c r="H31" i="97"/>
  <c r="F29" i="98"/>
  <c r="G29" i="98" s="1"/>
  <c r="B29" i="98"/>
  <c r="D30" i="99"/>
  <c r="E30" i="99"/>
  <c r="E32" i="97"/>
  <c r="F32" i="97" s="1"/>
  <c r="B32" i="97"/>
  <c r="D110" i="25"/>
  <c r="G109" i="25"/>
  <c r="J108" i="25"/>
  <c r="D110" i="99"/>
  <c r="G109" i="99"/>
  <c r="E110" i="99"/>
  <c r="J108" i="99"/>
  <c r="G40" i="69"/>
  <c r="I40" i="69" s="1"/>
  <c r="B110" i="26"/>
  <c r="I29" i="94"/>
  <c r="G39" i="30"/>
  <c r="I39" i="30" s="1"/>
  <c r="J109" i="26"/>
  <c r="H109" i="98"/>
  <c r="I109" i="98"/>
  <c r="I109" i="97"/>
  <c r="H109" i="97"/>
  <c r="F110" i="98"/>
  <c r="B110" i="98"/>
  <c r="F110" i="97"/>
  <c r="B110" i="97"/>
  <c r="G110" i="26"/>
  <c r="D111" i="26"/>
  <c r="H30" i="83"/>
  <c r="I30" i="83" s="1"/>
  <c r="G39" i="71"/>
  <c r="I39" i="71" s="1"/>
  <c r="B34" i="67"/>
  <c r="F34" i="67"/>
  <c r="H34" i="67" s="1"/>
  <c r="B35" i="46"/>
  <c r="F35" i="46"/>
  <c r="G35" i="46" s="1"/>
  <c r="F39" i="24"/>
  <c r="G39" i="24" s="1"/>
  <c r="B39" i="24"/>
  <c r="H32" i="82"/>
  <c r="D33" i="82"/>
  <c r="E33" i="82"/>
  <c r="B30" i="94"/>
  <c r="F30" i="94"/>
  <c r="H30" i="94" s="1"/>
  <c r="H34" i="64"/>
  <c r="I34" i="64" s="1"/>
  <c r="G32" i="82"/>
  <c r="F32" i="80"/>
  <c r="G32" i="80" s="1"/>
  <c r="B32" i="80"/>
  <c r="G31" i="86"/>
  <c r="E32" i="86"/>
  <c r="D32" i="86"/>
  <c r="H31" i="86"/>
  <c r="F29" i="93"/>
  <c r="H29" i="93" s="1"/>
  <c r="B29" i="93"/>
  <c r="G37" i="39"/>
  <c r="I37" i="39" s="1"/>
  <c r="H36" i="55"/>
  <c r="E37" i="55"/>
  <c r="D37" i="55"/>
  <c r="H33" i="65"/>
  <c r="I33" i="65" s="1"/>
  <c r="F40" i="23"/>
  <c r="B40" i="23"/>
  <c r="G37" i="42"/>
  <c r="D38" i="42"/>
  <c r="E38" i="42"/>
  <c r="B31" i="84"/>
  <c r="F31" i="84"/>
  <c r="G31" i="84" s="1"/>
  <c r="G32" i="75"/>
  <c r="I32" i="75" s="1"/>
  <c r="H36" i="58"/>
  <c r="G36" i="58"/>
  <c r="E37" i="58"/>
  <c r="D37" i="58"/>
  <c r="I33" i="63"/>
  <c r="F34" i="66"/>
  <c r="G34" i="66" s="1"/>
  <c r="B34" i="66"/>
  <c r="B35" i="53"/>
  <c r="F35" i="53"/>
  <c r="H37" i="42"/>
  <c r="I109" i="94"/>
  <c r="H109" i="94"/>
  <c r="D34" i="65"/>
  <c r="E34" i="65"/>
  <c r="G38" i="19"/>
  <c r="I38" i="19" s="1"/>
  <c r="B32" i="90"/>
  <c r="F32" i="90"/>
  <c r="G32" i="90" s="1"/>
  <c r="F31" i="91"/>
  <c r="B31" i="91"/>
  <c r="G36" i="55"/>
  <c r="E33" i="75"/>
  <c r="D33" i="75"/>
  <c r="E110" i="94"/>
  <c r="F110" i="94" s="1"/>
  <c r="B110" i="94"/>
  <c r="B40" i="27"/>
  <c r="F40" i="27"/>
  <c r="G40" i="27" s="1"/>
  <c r="B38" i="22"/>
  <c r="F38" i="22"/>
  <c r="G38" i="22" s="1"/>
  <c r="H31" i="85"/>
  <c r="E32" i="85"/>
  <c r="D32" i="85"/>
  <c r="B32" i="76"/>
  <c r="F32" i="76"/>
  <c r="D36" i="72"/>
  <c r="E36" i="72"/>
  <c r="F34" i="61"/>
  <c r="H34" i="61" s="1"/>
  <c r="B34" i="61"/>
  <c r="I39" i="27"/>
  <c r="D30" i="95"/>
  <c r="E30" i="95"/>
  <c r="H34" i="56"/>
  <c r="I34" i="56" s="1"/>
  <c r="G35" i="72"/>
  <c r="I35" i="72" s="1"/>
  <c r="D38" i="39"/>
  <c r="E38" i="39"/>
  <c r="G29" i="95"/>
  <c r="I29" i="95" s="1"/>
  <c r="B31" i="81"/>
  <c r="F31" i="81"/>
  <c r="H31" i="81" s="1"/>
  <c r="G31" i="85"/>
  <c r="B29" i="96"/>
  <c r="F29" i="96"/>
  <c r="G29" i="96" s="1"/>
  <c r="F37" i="44"/>
  <c r="G37" i="44" s="1"/>
  <c r="B37" i="44"/>
  <c r="I36" i="73"/>
  <c r="H41" i="28"/>
  <c r="E42" i="28"/>
  <c r="D42" i="28"/>
  <c r="B30" i="92"/>
  <c r="F30" i="92"/>
  <c r="H30" i="92" s="1"/>
  <c r="H38" i="3"/>
  <c r="I38" i="3" s="1"/>
  <c r="G31" i="88"/>
  <c r="E32" i="88"/>
  <c r="D32" i="88"/>
  <c r="H40" i="31"/>
  <c r="I40" i="31" s="1"/>
  <c r="D41" i="31"/>
  <c r="E41" i="31"/>
  <c r="F32" i="78"/>
  <c r="G32" i="78" s="1"/>
  <c r="B32" i="78"/>
  <c r="I38" i="18"/>
  <c r="H30" i="87"/>
  <c r="I30" i="87" s="1"/>
  <c r="H33" i="62"/>
  <c r="I33" i="62" s="1"/>
  <c r="E40" i="30"/>
  <c r="D40" i="30"/>
  <c r="B40" i="29"/>
  <c r="F40" i="29"/>
  <c r="H40" i="29" s="1"/>
  <c r="F38" i="17"/>
  <c r="H38" i="17" s="1"/>
  <c r="B38" i="17"/>
  <c r="C47" i="17"/>
  <c r="F38" i="41"/>
  <c r="H38" i="41" s="1"/>
  <c r="B38" i="41"/>
  <c r="B34" i="63"/>
  <c r="F34" i="63"/>
  <c r="G34" i="63" s="1"/>
  <c r="F35" i="57"/>
  <c r="B35" i="57"/>
  <c r="E40" i="71"/>
  <c r="D40" i="71"/>
  <c r="B37" i="73"/>
  <c r="F37" i="73"/>
  <c r="B37" i="74"/>
  <c r="F37" i="74"/>
  <c r="H37" i="74" s="1"/>
  <c r="F39" i="32"/>
  <c r="G39" i="32" s="1"/>
  <c r="B39" i="32"/>
  <c r="D39" i="3"/>
  <c r="E39" i="3" s="1"/>
  <c r="I31" i="77"/>
  <c r="G33" i="68"/>
  <c r="I33" i="68" s="1"/>
  <c r="E34" i="68"/>
  <c r="D34" i="68"/>
  <c r="F32" i="79"/>
  <c r="G32" i="79" s="1"/>
  <c r="B32" i="79"/>
  <c r="F38" i="43"/>
  <c r="B38" i="43"/>
  <c r="H36" i="45"/>
  <c r="I36" i="45" s="1"/>
  <c r="E37" i="45"/>
  <c r="D37" i="45"/>
  <c r="B35" i="54"/>
  <c r="F35" i="54"/>
  <c r="F30" i="89"/>
  <c r="B30" i="89"/>
  <c r="F34" i="60"/>
  <c r="G34" i="60" s="1"/>
  <c r="B34" i="60"/>
  <c r="I42" i="35"/>
  <c r="D31" i="33"/>
  <c r="E31" i="33" s="1"/>
  <c r="H30" i="33"/>
  <c r="G30" i="33"/>
  <c r="I31" i="78"/>
  <c r="D39" i="19"/>
  <c r="E39" i="19"/>
  <c r="E31" i="83"/>
  <c r="D31" i="83"/>
  <c r="E40" i="34"/>
  <c r="D40" i="34"/>
  <c r="G39" i="34"/>
  <c r="I39" i="34" s="1"/>
  <c r="F40" i="70"/>
  <c r="H40" i="70" s="1"/>
  <c r="B40" i="70"/>
  <c r="B32" i="77"/>
  <c r="F32" i="77"/>
  <c r="G32" i="77" s="1"/>
  <c r="D41" i="69"/>
  <c r="E41" i="69"/>
  <c r="D35" i="56"/>
  <c r="E35" i="56"/>
  <c r="G29" i="26"/>
  <c r="H29" i="26"/>
  <c r="D30" i="26"/>
  <c r="D35" i="64"/>
  <c r="E35" i="64"/>
  <c r="I37" i="21"/>
  <c r="H31" i="88"/>
  <c r="I36" i="74"/>
  <c r="G41" i="28"/>
  <c r="B38" i="21"/>
  <c r="F38" i="21"/>
  <c r="J117" i="22"/>
  <c r="J109" i="91"/>
  <c r="J116" i="73"/>
  <c r="D30" i="13"/>
  <c r="E30" i="13" s="1"/>
  <c r="H29" i="13"/>
  <c r="G29" i="13"/>
  <c r="D31" i="87"/>
  <c r="E31" i="87"/>
  <c r="E34" i="62"/>
  <c r="D34" i="62"/>
  <c r="J111" i="75"/>
  <c r="J113" i="62"/>
  <c r="H37" i="20"/>
  <c r="I37" i="20" s="1"/>
  <c r="F39" i="18"/>
  <c r="B39" i="18"/>
  <c r="J110" i="81"/>
  <c r="B34" i="59"/>
  <c r="F34" i="59"/>
  <c r="G34" i="59" s="1"/>
  <c r="D38" i="20"/>
  <c r="E38" i="20"/>
  <c r="G43" i="35"/>
  <c r="E44" i="35"/>
  <c r="F44" i="35" s="1"/>
  <c r="H43" i="35"/>
  <c r="B44" i="35"/>
  <c r="G118" i="22"/>
  <c r="D119" i="22"/>
  <c r="E119" i="22"/>
  <c r="I112" i="68"/>
  <c r="H112" i="68"/>
  <c r="I114" i="72"/>
  <c r="H114" i="72"/>
  <c r="H114" i="58"/>
  <c r="I114" i="58"/>
  <c r="F120" i="69"/>
  <c r="B120" i="69"/>
  <c r="I109" i="88"/>
  <c r="H109" i="88"/>
  <c r="H118" i="31"/>
  <c r="I118" i="31"/>
  <c r="D112" i="81"/>
  <c r="G111" i="81"/>
  <c r="E112" i="81"/>
  <c r="F111" i="85"/>
  <c r="B111" i="85"/>
  <c r="H111" i="79"/>
  <c r="I111" i="79"/>
  <c r="I109" i="92"/>
  <c r="H109" i="92"/>
  <c r="H113" i="64"/>
  <c r="I113" i="64"/>
  <c r="H119" i="70"/>
  <c r="I119" i="70"/>
  <c r="H119" i="29"/>
  <c r="I119" i="29"/>
  <c r="B117" i="39"/>
  <c r="F117" i="39"/>
  <c r="J114" i="54"/>
  <c r="I116" i="43"/>
  <c r="H116" i="43"/>
  <c r="I114" i="53"/>
  <c r="H114" i="53"/>
  <c r="H117" i="19"/>
  <c r="I117" i="19"/>
  <c r="I112" i="66"/>
  <c r="H112" i="66"/>
  <c r="I113" i="63"/>
  <c r="H113" i="63"/>
  <c r="H111" i="78"/>
  <c r="I111" i="78"/>
  <c r="I113" i="65"/>
  <c r="H113" i="65"/>
  <c r="H114" i="46"/>
  <c r="I114" i="46"/>
  <c r="G117" i="41"/>
  <c r="E118" i="41"/>
  <c r="D118" i="41"/>
  <c r="H117" i="20"/>
  <c r="I117" i="20"/>
  <c r="F120" i="70"/>
  <c r="B120" i="70"/>
  <c r="B120" i="30"/>
  <c r="F120" i="30"/>
  <c r="H109" i="90"/>
  <c r="I109" i="90"/>
  <c r="B120" i="29"/>
  <c r="F120" i="29"/>
  <c r="I109" i="84"/>
  <c r="H109" i="84"/>
  <c r="I115" i="74"/>
  <c r="H115" i="74"/>
  <c r="I116" i="39"/>
  <c r="H116" i="39"/>
  <c r="H119" i="27"/>
  <c r="I119" i="27"/>
  <c r="I113" i="60"/>
  <c r="H113" i="60"/>
  <c r="J116" i="41"/>
  <c r="B117" i="43"/>
  <c r="F117" i="43"/>
  <c r="F113" i="66"/>
  <c r="B113" i="66"/>
  <c r="E118" i="73"/>
  <c r="D118" i="73"/>
  <c r="G117" i="73"/>
  <c r="F112" i="78"/>
  <c r="B112" i="78"/>
  <c r="B114" i="61"/>
  <c r="F114" i="61"/>
  <c r="I119" i="69"/>
  <c r="H119" i="69"/>
  <c r="B110" i="88"/>
  <c r="F110" i="88"/>
  <c r="B115" i="46"/>
  <c r="F115" i="46"/>
  <c r="F119" i="31"/>
  <c r="B119" i="31"/>
  <c r="H118" i="32"/>
  <c r="I118" i="32"/>
  <c r="I110" i="85"/>
  <c r="H110" i="85"/>
  <c r="B112" i="79"/>
  <c r="F112" i="79"/>
  <c r="B114" i="64"/>
  <c r="F114" i="64"/>
  <c r="I117" i="34"/>
  <c r="H117" i="34"/>
  <c r="I119" i="30"/>
  <c r="H119" i="30"/>
  <c r="F110" i="90"/>
  <c r="B110" i="90"/>
  <c r="G110" i="91"/>
  <c r="E111" i="91"/>
  <c r="D111" i="91"/>
  <c r="B110" i="84"/>
  <c r="F110" i="84"/>
  <c r="I109" i="86"/>
  <c r="H109" i="86"/>
  <c r="D111" i="89"/>
  <c r="G110" i="89"/>
  <c r="E111" i="89"/>
  <c r="F116" i="74"/>
  <c r="B116" i="74"/>
  <c r="F114" i="60"/>
  <c r="B114" i="60"/>
  <c r="J109" i="89"/>
  <c r="B115" i="53"/>
  <c r="F115" i="53"/>
  <c r="F113" i="68"/>
  <c r="B113" i="68"/>
  <c r="F118" i="19"/>
  <c r="B118" i="19"/>
  <c r="F115" i="72"/>
  <c r="B115" i="72"/>
  <c r="F114" i="63"/>
  <c r="B114" i="63"/>
  <c r="F115" i="58"/>
  <c r="B115" i="58"/>
  <c r="H113" i="61"/>
  <c r="I113" i="61"/>
  <c r="B114" i="65"/>
  <c r="F114" i="65"/>
  <c r="B119" i="32"/>
  <c r="F119" i="32"/>
  <c r="B118" i="20"/>
  <c r="F118" i="20"/>
  <c r="B110" i="92"/>
  <c r="F110" i="92"/>
  <c r="B118" i="34"/>
  <c r="F118" i="34"/>
  <c r="J115" i="45"/>
  <c r="D115" i="62"/>
  <c r="G114" i="62"/>
  <c r="E115" i="62"/>
  <c r="B110" i="86"/>
  <c r="F110" i="86"/>
  <c r="E117" i="45"/>
  <c r="G116" i="45"/>
  <c r="D117" i="45"/>
  <c r="B120" i="27"/>
  <c r="F120" i="27"/>
  <c r="J110" i="83"/>
  <c r="J115" i="56"/>
  <c r="H119" i="23"/>
  <c r="I119" i="23"/>
  <c r="F119" i="18"/>
  <c r="B119" i="18"/>
  <c r="H114" i="59"/>
  <c r="I114" i="59"/>
  <c r="I118" i="18"/>
  <c r="H118" i="18"/>
  <c r="J117" i="21"/>
  <c r="B120" i="23"/>
  <c r="F120" i="23"/>
  <c r="D117" i="56"/>
  <c r="E117" i="56"/>
  <c r="G116" i="56"/>
  <c r="F115" i="59"/>
  <c r="B115" i="59"/>
  <c r="B120" i="71"/>
  <c r="F120" i="71"/>
  <c r="I115" i="57"/>
  <c r="H115" i="57"/>
  <c r="J111" i="76"/>
  <c r="I119" i="71"/>
  <c r="H119" i="71"/>
  <c r="B116" i="57"/>
  <c r="F116" i="57"/>
  <c r="J111" i="77"/>
  <c r="J116" i="42"/>
  <c r="G109" i="13"/>
  <c r="D110" i="13"/>
  <c r="G110" i="93"/>
  <c r="D111" i="93"/>
  <c r="E111" i="93" s="1"/>
  <c r="I110" i="82"/>
  <c r="H110" i="82"/>
  <c r="E116" i="54"/>
  <c r="G115" i="54"/>
  <c r="D116" i="54"/>
  <c r="B127" i="35"/>
  <c r="G126" i="35"/>
  <c r="E127" i="35"/>
  <c r="F127" i="35" s="1"/>
  <c r="F110" i="87"/>
  <c r="B110" i="87"/>
  <c r="F113" i="67"/>
  <c r="B113" i="67"/>
  <c r="I110" i="95"/>
  <c r="H110" i="95"/>
  <c r="J109" i="93"/>
  <c r="J124" i="35"/>
  <c r="H117" i="3"/>
  <c r="I117" i="3"/>
  <c r="E113" i="77"/>
  <c r="D113" i="77"/>
  <c r="G112" i="77"/>
  <c r="D113" i="76"/>
  <c r="G112" i="76"/>
  <c r="E113" i="76"/>
  <c r="J114" i="55"/>
  <c r="J108" i="33"/>
  <c r="I109" i="87"/>
  <c r="H109" i="87"/>
  <c r="D110" i="33"/>
  <c r="E110" i="33" s="1"/>
  <c r="G109" i="33"/>
  <c r="I120" i="28"/>
  <c r="H120" i="28"/>
  <c r="B118" i="3"/>
  <c r="F118" i="3"/>
  <c r="J110" i="80"/>
  <c r="E113" i="75"/>
  <c r="D113" i="75"/>
  <c r="G112" i="75"/>
  <c r="H116" i="44"/>
  <c r="I116" i="44"/>
  <c r="E112" i="83"/>
  <c r="D112" i="83"/>
  <c r="G111" i="83"/>
  <c r="I118" i="17"/>
  <c r="H118" i="17"/>
  <c r="G111" i="80"/>
  <c r="E112" i="80"/>
  <c r="D112" i="80"/>
  <c r="F121" i="28"/>
  <c r="B121" i="28"/>
  <c r="E119" i="21"/>
  <c r="G118" i="21"/>
  <c r="D119" i="21"/>
  <c r="G119" i="24"/>
  <c r="E120" i="24"/>
  <c r="D120" i="24"/>
  <c r="B117" i="44"/>
  <c r="F117" i="44"/>
  <c r="F110" i="96"/>
  <c r="B110" i="96"/>
  <c r="B111" i="82"/>
  <c r="F111" i="82"/>
  <c r="I125" i="35"/>
  <c r="H125" i="35"/>
  <c r="E118" i="42"/>
  <c r="G117" i="42"/>
  <c r="D118" i="42"/>
  <c r="J118" i="24"/>
  <c r="F119" i="17"/>
  <c r="B119" i="17"/>
  <c r="H112" i="67"/>
  <c r="I112" i="67"/>
  <c r="J108" i="13"/>
  <c r="B111" i="95"/>
  <c r="F111" i="95"/>
  <c r="D116" i="55"/>
  <c r="G115" i="55"/>
  <c r="E116" i="55"/>
  <c r="I109" i="96"/>
  <c r="H109" i="96"/>
  <c r="I32" i="100" l="1"/>
  <c r="B33" i="100"/>
  <c r="F33" i="100"/>
  <c r="D34" i="100" s="1"/>
  <c r="G33" i="100"/>
  <c r="H33" i="100"/>
  <c r="H109" i="100"/>
  <c r="I109" i="100"/>
  <c r="J109" i="100" s="1"/>
  <c r="E110" i="100"/>
  <c r="B110" i="100"/>
  <c r="F110" i="100"/>
  <c r="B30" i="25"/>
  <c r="E30" i="25"/>
  <c r="F30" i="25" s="1"/>
  <c r="I31" i="97"/>
  <c r="D33" i="97"/>
  <c r="H32" i="97"/>
  <c r="G32" i="97"/>
  <c r="I31" i="88"/>
  <c r="F30" i="99"/>
  <c r="G30" i="99" s="1"/>
  <c r="B30" i="99"/>
  <c r="D30" i="98"/>
  <c r="E30" i="98"/>
  <c r="H29" i="98"/>
  <c r="I29" i="98" s="1"/>
  <c r="H109" i="25"/>
  <c r="I109" i="25"/>
  <c r="E110" i="25"/>
  <c r="F110" i="25" s="1"/>
  <c r="B110" i="25"/>
  <c r="H109" i="99"/>
  <c r="I109" i="99"/>
  <c r="F110" i="99"/>
  <c r="B110" i="99"/>
  <c r="G29" i="93"/>
  <c r="I29" i="93" s="1"/>
  <c r="G34" i="61"/>
  <c r="I34" i="61" s="1"/>
  <c r="I36" i="58"/>
  <c r="D111" i="97"/>
  <c r="G110" i="97"/>
  <c r="E111" i="97"/>
  <c r="J109" i="97"/>
  <c r="E111" i="26"/>
  <c r="F111" i="26" s="1"/>
  <c r="B111" i="26"/>
  <c r="J109" i="98"/>
  <c r="H110" i="26"/>
  <c r="I110" i="26"/>
  <c r="D111" i="98"/>
  <c r="G110" i="98"/>
  <c r="E111" i="98"/>
  <c r="I32" i="82"/>
  <c r="I31" i="86"/>
  <c r="G34" i="67"/>
  <c r="I34" i="67" s="1"/>
  <c r="D35" i="67"/>
  <c r="E35" i="67"/>
  <c r="I36" i="55"/>
  <c r="H35" i="46"/>
  <c r="I35" i="46" s="1"/>
  <c r="D36" i="46"/>
  <c r="E36" i="46"/>
  <c r="I37" i="42"/>
  <c r="H39" i="24"/>
  <c r="I39" i="24" s="1"/>
  <c r="D40" i="24"/>
  <c r="E40" i="24"/>
  <c r="I31" i="85"/>
  <c r="B32" i="86"/>
  <c r="F32" i="86"/>
  <c r="H32" i="80"/>
  <c r="I32" i="80" s="1"/>
  <c r="E33" i="80"/>
  <c r="D33" i="80"/>
  <c r="F33" i="82"/>
  <c r="H33" i="82" s="1"/>
  <c r="B33" i="82"/>
  <c r="E30" i="93"/>
  <c r="D30" i="93"/>
  <c r="G30" i="94"/>
  <c r="I30" i="94" s="1"/>
  <c r="D31" i="94"/>
  <c r="E31" i="94"/>
  <c r="D111" i="94"/>
  <c r="G110" i="94"/>
  <c r="F37" i="58"/>
  <c r="B37" i="58"/>
  <c r="G40" i="23"/>
  <c r="D41" i="23"/>
  <c r="E41" i="23"/>
  <c r="H32" i="90"/>
  <c r="I32" i="90" s="1"/>
  <c r="E33" i="90"/>
  <c r="D33" i="90"/>
  <c r="F34" i="65"/>
  <c r="H34" i="65" s="1"/>
  <c r="B34" i="65"/>
  <c r="B38" i="42"/>
  <c r="F38" i="42"/>
  <c r="H38" i="42" s="1"/>
  <c r="H40" i="23"/>
  <c r="E36" i="53"/>
  <c r="D36" i="53"/>
  <c r="H32" i="78"/>
  <c r="I32" i="78" s="1"/>
  <c r="F33" i="75"/>
  <c r="B33" i="75"/>
  <c r="H35" i="53"/>
  <c r="H31" i="84"/>
  <c r="I31" i="84" s="1"/>
  <c r="D32" i="84"/>
  <c r="E32" i="84"/>
  <c r="D32" i="91"/>
  <c r="H31" i="91"/>
  <c r="G31" i="91"/>
  <c r="E32" i="91"/>
  <c r="J109" i="94"/>
  <c r="G35" i="53"/>
  <c r="H34" i="66"/>
  <c r="I34" i="66" s="1"/>
  <c r="E35" i="66"/>
  <c r="D35" i="66"/>
  <c r="B37" i="55"/>
  <c r="F37" i="55"/>
  <c r="G37" i="55" s="1"/>
  <c r="B36" i="72"/>
  <c r="F36" i="72"/>
  <c r="G32" i="76"/>
  <c r="E33" i="76"/>
  <c r="D33" i="76"/>
  <c r="G38" i="41"/>
  <c r="I38" i="41" s="1"/>
  <c r="E38" i="44"/>
  <c r="D38" i="44"/>
  <c r="F30" i="95"/>
  <c r="B30" i="95"/>
  <c r="D35" i="61"/>
  <c r="E35" i="61"/>
  <c r="H37" i="44"/>
  <c r="I37" i="44" s="1"/>
  <c r="B32" i="85"/>
  <c r="F32" i="85"/>
  <c r="H32" i="85" s="1"/>
  <c r="H38" i="22"/>
  <c r="I38" i="22" s="1"/>
  <c r="D39" i="22"/>
  <c r="E39" i="22"/>
  <c r="H29" i="96"/>
  <c r="I29" i="96" s="1"/>
  <c r="D30" i="96"/>
  <c r="E30" i="96"/>
  <c r="G31" i="81"/>
  <c r="I31" i="81" s="1"/>
  <c r="E32" i="81"/>
  <c r="D32" i="81"/>
  <c r="F38" i="39"/>
  <c r="G38" i="39" s="1"/>
  <c r="B38" i="39"/>
  <c r="H32" i="76"/>
  <c r="I32" i="76" s="1"/>
  <c r="D41" i="27"/>
  <c r="H40" i="27"/>
  <c r="I40" i="27" s="1"/>
  <c r="E41" i="27"/>
  <c r="B30" i="26"/>
  <c r="E30" i="26"/>
  <c r="F30" i="26" s="1"/>
  <c r="E33" i="77"/>
  <c r="D33" i="77"/>
  <c r="I30" i="33"/>
  <c r="E35" i="60"/>
  <c r="D35" i="60"/>
  <c r="E31" i="89"/>
  <c r="D31" i="89"/>
  <c r="E33" i="79"/>
  <c r="D33" i="79"/>
  <c r="B40" i="71"/>
  <c r="F40" i="71"/>
  <c r="H40" i="71" s="1"/>
  <c r="E39" i="17"/>
  <c r="D39" i="17"/>
  <c r="F41" i="31"/>
  <c r="G41" i="31" s="1"/>
  <c r="B41" i="31"/>
  <c r="E31" i="92"/>
  <c r="D31" i="92"/>
  <c r="D39" i="21"/>
  <c r="E39" i="21"/>
  <c r="D41" i="70"/>
  <c r="E41" i="70"/>
  <c r="D36" i="54"/>
  <c r="E36" i="54"/>
  <c r="B42" i="28"/>
  <c r="F42" i="28"/>
  <c r="G42" i="28" s="1"/>
  <c r="F40" i="34"/>
  <c r="B40" i="34"/>
  <c r="D39" i="43"/>
  <c r="E39" i="43"/>
  <c r="E36" i="57"/>
  <c r="D36" i="57"/>
  <c r="G40" i="29"/>
  <c r="I40" i="29" s="1"/>
  <c r="D41" i="29"/>
  <c r="E41" i="29"/>
  <c r="H34" i="59"/>
  <c r="I34" i="59" s="1"/>
  <c r="G38" i="21"/>
  <c r="I29" i="26"/>
  <c r="H32" i="77"/>
  <c r="I32" i="77" s="1"/>
  <c r="B39" i="19"/>
  <c r="F39" i="19"/>
  <c r="H34" i="60"/>
  <c r="I34" i="60" s="1"/>
  <c r="H30" i="89"/>
  <c r="G35" i="54"/>
  <c r="H38" i="43"/>
  <c r="H32" i="79"/>
  <c r="I32" i="79" s="1"/>
  <c r="F34" i="68"/>
  <c r="B34" i="68"/>
  <c r="E40" i="32"/>
  <c r="D40" i="32"/>
  <c r="G35" i="57"/>
  <c r="H34" i="63"/>
  <c r="I34" i="63" s="1"/>
  <c r="E35" i="63"/>
  <c r="D35" i="63"/>
  <c r="G38" i="17"/>
  <c r="I38" i="17" s="1"/>
  <c r="B40" i="30"/>
  <c r="F40" i="30"/>
  <c r="I41" i="28"/>
  <c r="F35" i="64"/>
  <c r="B35" i="64"/>
  <c r="E38" i="74"/>
  <c r="D38" i="74"/>
  <c r="H37" i="73"/>
  <c r="E38" i="73"/>
  <c r="G37" i="73"/>
  <c r="D38" i="73"/>
  <c r="B35" i="56"/>
  <c r="F35" i="56"/>
  <c r="H35" i="56" s="1"/>
  <c r="H38" i="21"/>
  <c r="B41" i="69"/>
  <c r="F41" i="69"/>
  <c r="G40" i="70"/>
  <c r="I40" i="70" s="1"/>
  <c r="F31" i="83"/>
  <c r="B31" i="83"/>
  <c r="F31" i="33"/>
  <c r="D32" i="33" s="1"/>
  <c r="E32" i="33" s="1"/>
  <c r="B31" i="33"/>
  <c r="G30" i="89"/>
  <c r="H35" i="54"/>
  <c r="F37" i="45"/>
  <c r="H37" i="45" s="1"/>
  <c r="B37" i="45"/>
  <c r="G38" i="43"/>
  <c r="F39" i="3"/>
  <c r="H39" i="3" s="1"/>
  <c r="B39" i="3"/>
  <c r="H39" i="32"/>
  <c r="I39" i="32" s="1"/>
  <c r="G37" i="74"/>
  <c r="I37" i="74" s="1"/>
  <c r="H35" i="57"/>
  <c r="E39" i="41"/>
  <c r="D39" i="41"/>
  <c r="D33" i="78"/>
  <c r="E33" i="78"/>
  <c r="F32" i="88"/>
  <c r="B32" i="88"/>
  <c r="G30" i="92"/>
  <c r="I30" i="92" s="1"/>
  <c r="J114" i="72"/>
  <c r="J117" i="3"/>
  <c r="J119" i="71"/>
  <c r="E40" i="18"/>
  <c r="D40" i="18"/>
  <c r="J116" i="44"/>
  <c r="J115" i="57"/>
  <c r="J114" i="59"/>
  <c r="J119" i="23"/>
  <c r="J109" i="90"/>
  <c r="J112" i="66"/>
  <c r="J114" i="53"/>
  <c r="J119" i="70"/>
  <c r="J109" i="88"/>
  <c r="J112" i="68"/>
  <c r="I43" i="35"/>
  <c r="J113" i="61"/>
  <c r="J117" i="19"/>
  <c r="J118" i="31"/>
  <c r="G44" i="35"/>
  <c r="B45" i="35"/>
  <c r="H44" i="35"/>
  <c r="E45" i="35"/>
  <c r="F45" i="35" s="1"/>
  <c r="E35" i="59"/>
  <c r="D35" i="59"/>
  <c r="G39" i="18"/>
  <c r="F31" i="87"/>
  <c r="H31" i="87" s="1"/>
  <c r="B31" i="87"/>
  <c r="I29" i="13"/>
  <c r="J118" i="32"/>
  <c r="J119" i="27"/>
  <c r="J117" i="20"/>
  <c r="J119" i="29"/>
  <c r="J113" i="64"/>
  <c r="J111" i="79"/>
  <c r="F38" i="20"/>
  <c r="H38" i="20" s="1"/>
  <c r="B38" i="20"/>
  <c r="H39" i="18"/>
  <c r="F34" i="62"/>
  <c r="H34" i="62" s="1"/>
  <c r="B34" i="62"/>
  <c r="B30" i="13"/>
  <c r="F30" i="13"/>
  <c r="G120" i="27"/>
  <c r="D121" i="27"/>
  <c r="E121" i="27"/>
  <c r="H114" i="62"/>
  <c r="I114" i="62"/>
  <c r="E115" i="63"/>
  <c r="G114" i="63"/>
  <c r="D115" i="63"/>
  <c r="E119" i="19"/>
  <c r="G118" i="19"/>
  <c r="D119" i="19"/>
  <c r="B111" i="89"/>
  <c r="F111" i="89"/>
  <c r="E113" i="79"/>
  <c r="G112" i="79"/>
  <c r="D113" i="79"/>
  <c r="D116" i="46"/>
  <c r="G115" i="46"/>
  <c r="E116" i="46"/>
  <c r="I117" i="73"/>
  <c r="H117" i="73"/>
  <c r="E114" i="66"/>
  <c r="D114" i="66"/>
  <c r="G113" i="66"/>
  <c r="F118" i="41"/>
  <c r="B118" i="41"/>
  <c r="E118" i="39"/>
  <c r="G117" i="39"/>
  <c r="D118" i="39"/>
  <c r="B112" i="81"/>
  <c r="F112" i="81"/>
  <c r="J109" i="87"/>
  <c r="D111" i="86"/>
  <c r="E111" i="86"/>
  <c r="G110" i="86"/>
  <c r="B115" i="62"/>
  <c r="F115" i="62"/>
  <c r="D111" i="92"/>
  <c r="E111" i="92"/>
  <c r="G110" i="92"/>
  <c r="G119" i="32"/>
  <c r="D120" i="32"/>
  <c r="E120" i="32"/>
  <c r="E117" i="74"/>
  <c r="G116" i="74"/>
  <c r="D117" i="74"/>
  <c r="B111" i="91"/>
  <c r="F111" i="91"/>
  <c r="D111" i="90"/>
  <c r="E111" i="90"/>
  <c r="G110" i="90"/>
  <c r="J117" i="34"/>
  <c r="J119" i="69"/>
  <c r="F118" i="73"/>
  <c r="B118" i="73"/>
  <c r="E118" i="43"/>
  <c r="D118" i="43"/>
  <c r="G117" i="43"/>
  <c r="J113" i="60"/>
  <c r="J116" i="39"/>
  <c r="J109" i="84"/>
  <c r="G120" i="70"/>
  <c r="E121" i="70"/>
  <c r="D121" i="70"/>
  <c r="J109" i="92"/>
  <c r="D112" i="85"/>
  <c r="G111" i="85"/>
  <c r="E112" i="85"/>
  <c r="F117" i="45"/>
  <c r="B117" i="45"/>
  <c r="E116" i="58"/>
  <c r="G115" i="58"/>
  <c r="D116" i="58"/>
  <c r="G115" i="72"/>
  <c r="E116" i="72"/>
  <c r="D116" i="72"/>
  <c r="E114" i="68"/>
  <c r="D114" i="68"/>
  <c r="G113" i="68"/>
  <c r="J109" i="86"/>
  <c r="D115" i="64"/>
  <c r="E115" i="64"/>
  <c r="G114" i="64"/>
  <c r="G110" i="88"/>
  <c r="D111" i="88"/>
  <c r="E111" i="88"/>
  <c r="G114" i="61"/>
  <c r="D115" i="61"/>
  <c r="E115" i="61"/>
  <c r="G120" i="29"/>
  <c r="E121" i="29"/>
  <c r="D121" i="29"/>
  <c r="D121" i="30"/>
  <c r="E121" i="30"/>
  <c r="G120" i="30"/>
  <c r="I117" i="41"/>
  <c r="H117" i="41"/>
  <c r="J113" i="65"/>
  <c r="J113" i="63"/>
  <c r="J116" i="43"/>
  <c r="D121" i="69"/>
  <c r="G120" i="69"/>
  <c r="E121" i="69"/>
  <c r="F119" i="22"/>
  <c r="B119" i="22"/>
  <c r="J110" i="95"/>
  <c r="H116" i="45"/>
  <c r="I116" i="45"/>
  <c r="G118" i="34"/>
  <c r="E119" i="34"/>
  <c r="D119" i="34"/>
  <c r="D119" i="20"/>
  <c r="E119" i="20"/>
  <c r="G118" i="20"/>
  <c r="G114" i="65"/>
  <c r="E115" i="65"/>
  <c r="D115" i="65"/>
  <c r="D116" i="53"/>
  <c r="E116" i="53"/>
  <c r="G115" i="53"/>
  <c r="D115" i="60"/>
  <c r="E115" i="60"/>
  <c r="G114" i="60"/>
  <c r="H110" i="89"/>
  <c r="I110" i="89"/>
  <c r="G110" i="84"/>
  <c r="D111" i="84"/>
  <c r="E111" i="84"/>
  <c r="I110" i="91"/>
  <c r="H110" i="91"/>
  <c r="J119" i="30"/>
  <c r="J110" i="85"/>
  <c r="G119" i="31"/>
  <c r="E120" i="31"/>
  <c r="D120" i="31"/>
  <c r="D113" i="78"/>
  <c r="G112" i="78"/>
  <c r="E113" i="78"/>
  <c r="J115" i="74"/>
  <c r="J114" i="46"/>
  <c r="J111" i="78"/>
  <c r="H111" i="81"/>
  <c r="I111" i="81"/>
  <c r="J114" i="58"/>
  <c r="I118" i="22"/>
  <c r="H118" i="22"/>
  <c r="G119" i="18"/>
  <c r="D120" i="18"/>
  <c r="E120" i="18"/>
  <c r="F117" i="56"/>
  <c r="B117" i="56"/>
  <c r="G115" i="59"/>
  <c r="E116" i="59"/>
  <c r="D116" i="59"/>
  <c r="D121" i="23"/>
  <c r="G120" i="23"/>
  <c r="E121" i="23"/>
  <c r="J118" i="18"/>
  <c r="I116" i="56"/>
  <c r="H116" i="56"/>
  <c r="J110" i="82"/>
  <c r="G120" i="71"/>
  <c r="D121" i="71"/>
  <c r="E121" i="71"/>
  <c r="J109" i="96"/>
  <c r="G116" i="57"/>
  <c r="D117" i="57"/>
  <c r="E117" i="57"/>
  <c r="F112" i="83"/>
  <c r="B112" i="83"/>
  <c r="H112" i="75"/>
  <c r="I112" i="75"/>
  <c r="F113" i="77"/>
  <c r="B113" i="77"/>
  <c r="D111" i="87"/>
  <c r="G110" i="87"/>
  <c r="E111" i="87"/>
  <c r="B128" i="35"/>
  <c r="E128" i="35"/>
  <c r="F128" i="35" s="1"/>
  <c r="G127" i="35"/>
  <c r="B116" i="54"/>
  <c r="F116" i="54"/>
  <c r="B110" i="13"/>
  <c r="F116" i="55"/>
  <c r="B116" i="55"/>
  <c r="G111" i="95"/>
  <c r="D112" i="95"/>
  <c r="E112" i="95" s="1"/>
  <c r="B118" i="42"/>
  <c r="F118" i="42"/>
  <c r="D120" i="17"/>
  <c r="E120" i="17"/>
  <c r="G119" i="17"/>
  <c r="H117" i="42"/>
  <c r="I117" i="42"/>
  <c r="J125" i="35"/>
  <c r="D111" i="96"/>
  <c r="E111" i="96" s="1"/>
  <c r="G110" i="96"/>
  <c r="F112" i="80"/>
  <c r="B112" i="80"/>
  <c r="J118" i="17"/>
  <c r="B113" i="75"/>
  <c r="F113" i="75"/>
  <c r="D119" i="3"/>
  <c r="G118" i="3"/>
  <c r="E119" i="3"/>
  <c r="B110" i="33"/>
  <c r="F110" i="33"/>
  <c r="I112" i="76"/>
  <c r="H112" i="76"/>
  <c r="G113" i="67"/>
  <c r="D114" i="67"/>
  <c r="E114" i="67"/>
  <c r="H126" i="35"/>
  <c r="I126" i="35"/>
  <c r="H115" i="54"/>
  <c r="I115" i="54"/>
  <c r="I109" i="13"/>
  <c r="H109" i="13"/>
  <c r="H119" i="24"/>
  <c r="I119" i="24"/>
  <c r="J112" i="67"/>
  <c r="D118" i="44"/>
  <c r="G117" i="44"/>
  <c r="E118" i="44"/>
  <c r="B120" i="24"/>
  <c r="F120" i="24"/>
  <c r="B119" i="21"/>
  <c r="F119" i="21"/>
  <c r="G121" i="28"/>
  <c r="D122" i="28"/>
  <c r="E122" i="28"/>
  <c r="J120" i="28"/>
  <c r="B113" i="76"/>
  <c r="F113" i="76"/>
  <c r="B111" i="93"/>
  <c r="F111" i="93"/>
  <c r="E110" i="13"/>
  <c r="F110" i="13" s="1"/>
  <c r="I115" i="55"/>
  <c r="H115" i="55"/>
  <c r="D112" i="82"/>
  <c r="G111" i="82"/>
  <c r="E112" i="82"/>
  <c r="H118" i="21"/>
  <c r="I118" i="21"/>
  <c r="I111" i="80"/>
  <c r="H111" i="80"/>
  <c r="H111" i="83"/>
  <c r="I111" i="83"/>
  <c r="I109" i="33"/>
  <c r="H109" i="33"/>
  <c r="I112" i="77"/>
  <c r="H112" i="77"/>
  <c r="I110" i="93"/>
  <c r="H110" i="93"/>
  <c r="I33" i="100" l="1"/>
  <c r="E34" i="100"/>
  <c r="F34" i="100" s="1"/>
  <c r="B34" i="100"/>
  <c r="D111" i="100"/>
  <c r="G110" i="100"/>
  <c r="I35" i="57"/>
  <c r="H30" i="25"/>
  <c r="D31" i="25"/>
  <c r="G30" i="25"/>
  <c r="B32" i="33"/>
  <c r="J109" i="99"/>
  <c r="H30" i="99"/>
  <c r="I30" i="99" s="1"/>
  <c r="F32" i="33"/>
  <c r="H32" i="33" s="1"/>
  <c r="I40" i="23"/>
  <c r="I32" i="97"/>
  <c r="F30" i="98"/>
  <c r="G30" i="98" s="1"/>
  <c r="B30" i="98"/>
  <c r="D31" i="99"/>
  <c r="E31" i="99"/>
  <c r="E33" i="97"/>
  <c r="F33" i="97" s="1"/>
  <c r="B33" i="97"/>
  <c r="G110" i="25"/>
  <c r="D111" i="25"/>
  <c r="J109" i="25"/>
  <c r="G110" i="99"/>
  <c r="E111" i="99"/>
  <c r="D111" i="99"/>
  <c r="G34" i="65"/>
  <c r="I34" i="65" s="1"/>
  <c r="I31" i="91"/>
  <c r="H110" i="98"/>
  <c r="I110" i="98"/>
  <c r="F111" i="98"/>
  <c r="B111" i="98"/>
  <c r="H110" i="97"/>
  <c r="I110" i="97"/>
  <c r="J110" i="26"/>
  <c r="G111" i="26"/>
  <c r="D112" i="26"/>
  <c r="F111" i="97"/>
  <c r="B111" i="97"/>
  <c r="B35" i="67"/>
  <c r="F35" i="67"/>
  <c r="H35" i="67" s="1"/>
  <c r="B36" i="46"/>
  <c r="F36" i="46"/>
  <c r="G36" i="46" s="1"/>
  <c r="F40" i="24"/>
  <c r="H40" i="24" s="1"/>
  <c r="B40" i="24"/>
  <c r="G39" i="3"/>
  <c r="I39" i="3" s="1"/>
  <c r="G33" i="82"/>
  <c r="I33" i="82" s="1"/>
  <c r="E34" i="82"/>
  <c r="D34" i="82"/>
  <c r="B31" i="94"/>
  <c r="F31" i="94"/>
  <c r="H31" i="94" s="1"/>
  <c r="E33" i="86"/>
  <c r="G32" i="86"/>
  <c r="H32" i="86"/>
  <c r="D33" i="86"/>
  <c r="B33" i="80"/>
  <c r="F33" i="80"/>
  <c r="G33" i="80" s="1"/>
  <c r="B30" i="93"/>
  <c r="F30" i="93"/>
  <c r="H30" i="93" s="1"/>
  <c r="D34" i="75"/>
  <c r="E34" i="75"/>
  <c r="H38" i="39"/>
  <c r="I38" i="39" s="1"/>
  <c r="F35" i="66"/>
  <c r="H35" i="66" s="1"/>
  <c r="B35" i="66"/>
  <c r="B32" i="91"/>
  <c r="F32" i="91"/>
  <c r="I35" i="53"/>
  <c r="H33" i="75"/>
  <c r="G38" i="42"/>
  <c r="I38" i="42" s="1"/>
  <c r="E39" i="42"/>
  <c r="D39" i="42"/>
  <c r="F41" i="23"/>
  <c r="B41" i="23"/>
  <c r="D38" i="58"/>
  <c r="E38" i="58"/>
  <c r="H37" i="55"/>
  <c r="I37" i="55" s="1"/>
  <c r="E38" i="55"/>
  <c r="D38" i="55"/>
  <c r="I110" i="94"/>
  <c r="H110" i="94"/>
  <c r="F33" i="90"/>
  <c r="H33" i="90" s="1"/>
  <c r="B33" i="90"/>
  <c r="I39" i="18"/>
  <c r="B32" i="84"/>
  <c r="F32" i="84"/>
  <c r="H32" i="84" s="1"/>
  <c r="G33" i="75"/>
  <c r="B36" i="53"/>
  <c r="F36" i="53"/>
  <c r="H36" i="53" s="1"/>
  <c r="E35" i="65"/>
  <c r="D35" i="65"/>
  <c r="G37" i="58"/>
  <c r="H37" i="58"/>
  <c r="E111" i="94"/>
  <c r="F111" i="94" s="1"/>
  <c r="B111" i="94"/>
  <c r="F39" i="22"/>
  <c r="H39" i="22" s="1"/>
  <c r="B39" i="22"/>
  <c r="H30" i="95"/>
  <c r="D31" i="95"/>
  <c r="E31" i="95"/>
  <c r="D37" i="72"/>
  <c r="E37" i="72"/>
  <c r="F35" i="61"/>
  <c r="G35" i="61" s="1"/>
  <c r="B35" i="61"/>
  <c r="G31" i="33"/>
  <c r="H41" i="31"/>
  <c r="I41" i="31" s="1"/>
  <c r="E39" i="39"/>
  <c r="D39" i="39"/>
  <c r="G30" i="95"/>
  <c r="H36" i="72"/>
  <c r="H31" i="33"/>
  <c r="F41" i="27"/>
  <c r="G41" i="27" s="1"/>
  <c r="B41" i="27"/>
  <c r="B32" i="81"/>
  <c r="F32" i="81"/>
  <c r="F30" i="96"/>
  <c r="H30" i="96" s="1"/>
  <c r="B30" i="96"/>
  <c r="G32" i="85"/>
  <c r="I32" i="85" s="1"/>
  <c r="E33" i="85"/>
  <c r="D33" i="85"/>
  <c r="F38" i="44"/>
  <c r="G38" i="44" s="1"/>
  <c r="B38" i="44"/>
  <c r="F33" i="76"/>
  <c r="H33" i="76" s="1"/>
  <c r="B33" i="76"/>
  <c r="G36" i="72"/>
  <c r="I44" i="35"/>
  <c r="H32" i="88"/>
  <c r="D33" i="88"/>
  <c r="E33" i="88"/>
  <c r="H40" i="30"/>
  <c r="E41" i="30"/>
  <c r="D41" i="30"/>
  <c r="B39" i="43"/>
  <c r="F39" i="43"/>
  <c r="C48" i="17"/>
  <c r="B39" i="17"/>
  <c r="F39" i="17"/>
  <c r="H39" i="17" s="1"/>
  <c r="G32" i="88"/>
  <c r="B38" i="73"/>
  <c r="F38" i="73"/>
  <c r="H38" i="73" s="1"/>
  <c r="F38" i="74"/>
  <c r="H38" i="74" s="1"/>
  <c r="B38" i="74"/>
  <c r="D36" i="64"/>
  <c r="E36" i="64"/>
  <c r="E35" i="68"/>
  <c r="D35" i="68"/>
  <c r="I30" i="89"/>
  <c r="I38" i="21"/>
  <c r="B36" i="57"/>
  <c r="F36" i="57"/>
  <c r="H36" i="57" s="1"/>
  <c r="D31" i="26"/>
  <c r="G30" i="26"/>
  <c r="B39" i="41"/>
  <c r="F39" i="41"/>
  <c r="H39" i="41" s="1"/>
  <c r="E38" i="45"/>
  <c r="D38" i="45"/>
  <c r="D32" i="83"/>
  <c r="E32" i="83"/>
  <c r="D42" i="69"/>
  <c r="E42" i="69"/>
  <c r="B35" i="63"/>
  <c r="F35" i="63"/>
  <c r="H35" i="63" s="1"/>
  <c r="B33" i="79"/>
  <c r="F33" i="79"/>
  <c r="G33" i="79" s="1"/>
  <c r="G38" i="20"/>
  <c r="I38" i="20" s="1"/>
  <c r="G37" i="45"/>
  <c r="I37" i="45" s="1"/>
  <c r="H31" i="83"/>
  <c r="H41" i="69"/>
  <c r="I37" i="73"/>
  <c r="G35" i="64"/>
  <c r="H34" i="68"/>
  <c r="H30" i="26"/>
  <c r="F41" i="29"/>
  <c r="H41" i="29" s="1"/>
  <c r="B41" i="29"/>
  <c r="G40" i="34"/>
  <c r="E41" i="34"/>
  <c r="D41" i="34"/>
  <c r="E43" i="28"/>
  <c r="D43" i="28"/>
  <c r="F36" i="54"/>
  <c r="H36" i="54" s="1"/>
  <c r="B36" i="54"/>
  <c r="F39" i="21"/>
  <c r="H39" i="21" s="1"/>
  <c r="B39" i="21"/>
  <c r="F31" i="92"/>
  <c r="H31" i="92" s="1"/>
  <c r="B31" i="92"/>
  <c r="G40" i="71"/>
  <c r="I40" i="71" s="1"/>
  <c r="E41" i="71"/>
  <c r="D41" i="71"/>
  <c r="B35" i="60"/>
  <c r="F35" i="60"/>
  <c r="G35" i="60" s="1"/>
  <c r="B40" i="32"/>
  <c r="F40" i="32"/>
  <c r="G40" i="32" s="1"/>
  <c r="G39" i="19"/>
  <c r="D40" i="19"/>
  <c r="E40" i="19"/>
  <c r="B41" i="70"/>
  <c r="F41" i="70"/>
  <c r="H41" i="70" s="1"/>
  <c r="F31" i="89"/>
  <c r="G31" i="89" s="1"/>
  <c r="B31" i="89"/>
  <c r="G34" i="62"/>
  <c r="I34" i="62" s="1"/>
  <c r="F33" i="78"/>
  <c r="B33" i="78"/>
  <c r="E40" i="3"/>
  <c r="D40" i="3"/>
  <c r="I35" i="54"/>
  <c r="G31" i="83"/>
  <c r="G41" i="69"/>
  <c r="G35" i="56"/>
  <c r="I35" i="56" s="1"/>
  <c r="D36" i="56"/>
  <c r="E36" i="56"/>
  <c r="H35" i="64"/>
  <c r="G40" i="30"/>
  <c r="G34" i="68"/>
  <c r="I38" i="43"/>
  <c r="H39" i="19"/>
  <c r="H40" i="34"/>
  <c r="H42" i="28"/>
  <c r="I42" i="28" s="1"/>
  <c r="D42" i="31"/>
  <c r="E42" i="31"/>
  <c r="B33" i="77"/>
  <c r="F33" i="77"/>
  <c r="G33" i="77" s="1"/>
  <c r="D31" i="13"/>
  <c r="E31" i="13" s="1"/>
  <c r="F40" i="18"/>
  <c r="B40" i="18"/>
  <c r="D39" i="20"/>
  <c r="E39" i="20"/>
  <c r="H30" i="13"/>
  <c r="D32" i="87"/>
  <c r="E32" i="87"/>
  <c r="B35" i="59"/>
  <c r="F35" i="59"/>
  <c r="H35" i="59" s="1"/>
  <c r="J118" i="22"/>
  <c r="J110" i="91"/>
  <c r="J110" i="89"/>
  <c r="G30" i="13"/>
  <c r="E35" i="62"/>
  <c r="D35" i="62"/>
  <c r="G31" i="87"/>
  <c r="I31" i="87" s="1"/>
  <c r="B46" i="35"/>
  <c r="G45" i="35"/>
  <c r="H45" i="35"/>
  <c r="E46" i="35"/>
  <c r="F46" i="35" s="1"/>
  <c r="I110" i="84"/>
  <c r="H110" i="84"/>
  <c r="F116" i="53"/>
  <c r="B116" i="53"/>
  <c r="I118" i="20"/>
  <c r="H118" i="20"/>
  <c r="H120" i="69"/>
  <c r="I120" i="69"/>
  <c r="H120" i="29"/>
  <c r="I120" i="29"/>
  <c r="F114" i="68"/>
  <c r="B114" i="68"/>
  <c r="I115" i="72"/>
  <c r="H115" i="72"/>
  <c r="B112" i="85"/>
  <c r="F112" i="85"/>
  <c r="H120" i="70"/>
  <c r="I120" i="70"/>
  <c r="I117" i="43"/>
  <c r="H117" i="43"/>
  <c r="G118" i="73"/>
  <c r="E119" i="73"/>
  <c r="D119" i="73"/>
  <c r="B117" i="74"/>
  <c r="F117" i="74"/>
  <c r="F120" i="32"/>
  <c r="B120" i="32"/>
  <c r="B111" i="92"/>
  <c r="F111" i="92"/>
  <c r="B113" i="79"/>
  <c r="F113" i="79"/>
  <c r="F115" i="63"/>
  <c r="B115" i="63"/>
  <c r="I112" i="78"/>
  <c r="H112" i="78"/>
  <c r="H119" i="31"/>
  <c r="I119" i="31"/>
  <c r="F115" i="60"/>
  <c r="B115" i="60"/>
  <c r="F115" i="65"/>
  <c r="B115" i="65"/>
  <c r="I118" i="34"/>
  <c r="H118" i="34"/>
  <c r="B121" i="69"/>
  <c r="F121" i="69"/>
  <c r="F121" i="30"/>
  <c r="B121" i="30"/>
  <c r="F111" i="88"/>
  <c r="B111" i="88"/>
  <c r="F115" i="64"/>
  <c r="B115" i="64"/>
  <c r="F116" i="58"/>
  <c r="B116" i="58"/>
  <c r="D118" i="45"/>
  <c r="G117" i="45"/>
  <c r="E118" i="45"/>
  <c r="F118" i="43"/>
  <c r="B118" i="43"/>
  <c r="F111" i="90"/>
  <c r="B111" i="90"/>
  <c r="I116" i="74"/>
  <c r="H116" i="74"/>
  <c r="H119" i="32"/>
  <c r="I119" i="32"/>
  <c r="D116" i="62"/>
  <c r="E116" i="62"/>
  <c r="G115" i="62"/>
  <c r="F111" i="86"/>
  <c r="B111" i="86"/>
  <c r="F118" i="39"/>
  <c r="B118" i="39"/>
  <c r="E119" i="41"/>
  <c r="G118" i="41"/>
  <c r="D119" i="41"/>
  <c r="H112" i="79"/>
  <c r="I112" i="79"/>
  <c r="B119" i="19"/>
  <c r="F119" i="19"/>
  <c r="H114" i="63"/>
  <c r="I114" i="63"/>
  <c r="B113" i="78"/>
  <c r="F113" i="78"/>
  <c r="H115" i="53"/>
  <c r="I115" i="53"/>
  <c r="F119" i="20"/>
  <c r="B119" i="20"/>
  <c r="J116" i="45"/>
  <c r="E120" i="22"/>
  <c r="G119" i="22"/>
  <c r="D120" i="22"/>
  <c r="J117" i="41"/>
  <c r="F121" i="29"/>
  <c r="B121" i="29"/>
  <c r="B115" i="61"/>
  <c r="F115" i="61"/>
  <c r="I110" i="88"/>
  <c r="H110" i="88"/>
  <c r="F116" i="72"/>
  <c r="B116" i="72"/>
  <c r="I115" i="58"/>
  <c r="H115" i="58"/>
  <c r="F121" i="70"/>
  <c r="B121" i="70"/>
  <c r="D112" i="91"/>
  <c r="G111" i="91"/>
  <c r="E112" i="91"/>
  <c r="I110" i="92"/>
  <c r="H110" i="92"/>
  <c r="I117" i="39"/>
  <c r="H117" i="39"/>
  <c r="I113" i="66"/>
  <c r="H113" i="66"/>
  <c r="J117" i="73"/>
  <c r="I115" i="46"/>
  <c r="H115" i="46"/>
  <c r="I118" i="19"/>
  <c r="H118" i="19"/>
  <c r="B121" i="27"/>
  <c r="F121" i="27"/>
  <c r="J115" i="54"/>
  <c r="J126" i="35"/>
  <c r="J111" i="81"/>
  <c r="B120" i="31"/>
  <c r="F120" i="31"/>
  <c r="B111" i="84"/>
  <c r="F111" i="84"/>
  <c r="H114" i="60"/>
  <c r="I114" i="60"/>
  <c r="H114" i="65"/>
  <c r="I114" i="65"/>
  <c r="B119" i="34"/>
  <c r="F119" i="34"/>
  <c r="I120" i="30"/>
  <c r="H120" i="30"/>
  <c r="I114" i="61"/>
  <c r="H114" i="61"/>
  <c r="H114" i="64"/>
  <c r="I114" i="64"/>
  <c r="I113" i="68"/>
  <c r="H113" i="68"/>
  <c r="H111" i="85"/>
  <c r="I111" i="85"/>
  <c r="I110" i="90"/>
  <c r="H110" i="90"/>
  <c r="I110" i="86"/>
  <c r="H110" i="86"/>
  <c r="D113" i="81"/>
  <c r="E113" i="81"/>
  <c r="G112" i="81"/>
  <c r="F114" i="66"/>
  <c r="B114" i="66"/>
  <c r="B116" i="46"/>
  <c r="F116" i="46"/>
  <c r="D112" i="89"/>
  <c r="G111" i="89"/>
  <c r="E112" i="89"/>
  <c r="J114" i="62"/>
  <c r="I120" i="27"/>
  <c r="H120" i="27"/>
  <c r="B121" i="23"/>
  <c r="F121" i="23"/>
  <c r="B116" i="59"/>
  <c r="F116" i="59"/>
  <c r="J116" i="56"/>
  <c r="B120" i="18"/>
  <c r="F120" i="18"/>
  <c r="I120" i="23"/>
  <c r="H120" i="23"/>
  <c r="I115" i="59"/>
  <c r="H115" i="59"/>
  <c r="D118" i="56"/>
  <c r="E118" i="56"/>
  <c r="G117" i="56"/>
  <c r="H119" i="18"/>
  <c r="I119" i="18"/>
  <c r="J111" i="83"/>
  <c r="J117" i="42"/>
  <c r="B117" i="57"/>
  <c r="F117" i="57"/>
  <c r="H116" i="57"/>
  <c r="I116" i="57"/>
  <c r="B121" i="71"/>
  <c r="F121" i="71"/>
  <c r="J109" i="33"/>
  <c r="J111" i="80"/>
  <c r="J119" i="24"/>
  <c r="H120" i="71"/>
  <c r="I120" i="71"/>
  <c r="G110" i="13"/>
  <c r="D111" i="13"/>
  <c r="E111" i="13" s="1"/>
  <c r="F112" i="82"/>
  <c r="B112" i="82"/>
  <c r="J110" i="93"/>
  <c r="J112" i="77"/>
  <c r="J118" i="21"/>
  <c r="J115" i="55"/>
  <c r="I121" i="28"/>
  <c r="H121" i="28"/>
  <c r="I117" i="44"/>
  <c r="H117" i="44"/>
  <c r="I118" i="3"/>
  <c r="H118" i="3"/>
  <c r="D113" i="80"/>
  <c r="G112" i="80"/>
  <c r="E113" i="80"/>
  <c r="D119" i="42"/>
  <c r="G118" i="42"/>
  <c r="E119" i="42"/>
  <c r="H111" i="95"/>
  <c r="I111" i="95"/>
  <c r="H111" i="82"/>
  <c r="I111" i="82"/>
  <c r="E114" i="76"/>
  <c r="D114" i="76"/>
  <c r="G113" i="76"/>
  <c r="D120" i="21"/>
  <c r="E120" i="21"/>
  <c r="G119" i="21"/>
  <c r="F118" i="44"/>
  <c r="B118" i="44"/>
  <c r="B114" i="67"/>
  <c r="F114" i="67"/>
  <c r="B119" i="3"/>
  <c r="F119" i="3"/>
  <c r="F111" i="96"/>
  <c r="B111" i="96"/>
  <c r="I119" i="17"/>
  <c r="H119" i="17"/>
  <c r="G116" i="54"/>
  <c r="E117" i="54"/>
  <c r="D117" i="54"/>
  <c r="I127" i="35"/>
  <c r="H127" i="35"/>
  <c r="H110" i="87"/>
  <c r="I110" i="87"/>
  <c r="G113" i="77"/>
  <c r="D114" i="77"/>
  <c r="E114" i="77"/>
  <c r="J112" i="75"/>
  <c r="G112" i="83"/>
  <c r="D113" i="83"/>
  <c r="E113" i="83"/>
  <c r="D112" i="93"/>
  <c r="E112" i="93" s="1"/>
  <c r="G111" i="93"/>
  <c r="E121" i="24"/>
  <c r="D121" i="24"/>
  <c r="G120" i="24"/>
  <c r="J109" i="13"/>
  <c r="H113" i="67"/>
  <c r="I113" i="67"/>
  <c r="G113" i="75"/>
  <c r="D114" i="75"/>
  <c r="E114" i="75"/>
  <c r="G116" i="55"/>
  <c r="E117" i="55"/>
  <c r="D117" i="55"/>
  <c r="G128" i="35"/>
  <c r="B129" i="35"/>
  <c r="E129" i="35"/>
  <c r="F129" i="35" s="1"/>
  <c r="F111" i="87"/>
  <c r="B111" i="87"/>
  <c r="B122" i="28"/>
  <c r="F122" i="28"/>
  <c r="J112" i="76"/>
  <c r="G110" i="33"/>
  <c r="D111" i="33"/>
  <c r="E111" i="33" s="1"/>
  <c r="I110" i="96"/>
  <c r="H110" i="96"/>
  <c r="F120" i="17"/>
  <c r="B120" i="17"/>
  <c r="F112" i="95"/>
  <c r="B112" i="95"/>
  <c r="G34" i="100" l="1"/>
  <c r="H34" i="100"/>
  <c r="N6" i="33"/>
  <c r="I34" i="100"/>
  <c r="D35" i="100"/>
  <c r="E35" i="100"/>
  <c r="F35" i="100" s="1"/>
  <c r="D36" i="100" s="1"/>
  <c r="I30" i="26"/>
  <c r="H110" i="100"/>
  <c r="I110" i="100"/>
  <c r="J110" i="100" s="1"/>
  <c r="E111" i="100"/>
  <c r="F111" i="100" s="1"/>
  <c r="B111" i="100"/>
  <c r="D33" i="33"/>
  <c r="E31" i="25"/>
  <c r="F31" i="25" s="1"/>
  <c r="B31" i="25"/>
  <c r="I30" i="25"/>
  <c r="G32" i="33"/>
  <c r="I32" i="33" s="1"/>
  <c r="G31" i="94"/>
  <c r="I31" i="94" s="1"/>
  <c r="D34" i="97"/>
  <c r="H33" i="97"/>
  <c r="G33" i="97"/>
  <c r="F31" i="99"/>
  <c r="D32" i="99" s="1"/>
  <c r="B31" i="99"/>
  <c r="D31" i="98"/>
  <c r="E31" i="98"/>
  <c r="H30" i="98"/>
  <c r="I30" i="98" s="1"/>
  <c r="E111" i="25"/>
  <c r="F111" i="25" s="1"/>
  <c r="B111" i="25"/>
  <c r="I110" i="25"/>
  <c r="H110" i="25"/>
  <c r="F111" i="99"/>
  <c r="B111" i="99"/>
  <c r="H110" i="99"/>
  <c r="I110" i="99"/>
  <c r="J110" i="97"/>
  <c r="J110" i="98"/>
  <c r="I30" i="95"/>
  <c r="G30" i="96"/>
  <c r="I30" i="96" s="1"/>
  <c r="G36" i="54"/>
  <c r="I36" i="54" s="1"/>
  <c r="G39" i="41"/>
  <c r="I39" i="41" s="1"/>
  <c r="E112" i="26"/>
  <c r="F112" i="26" s="1"/>
  <c r="B112" i="26"/>
  <c r="D112" i="98"/>
  <c r="G111" i="98"/>
  <c r="E112" i="98"/>
  <c r="D112" i="97"/>
  <c r="G111" i="97"/>
  <c r="E112" i="97"/>
  <c r="H111" i="26"/>
  <c r="I111" i="26"/>
  <c r="G30" i="93"/>
  <c r="I30" i="93" s="1"/>
  <c r="G33" i="90"/>
  <c r="I33" i="90" s="1"/>
  <c r="G35" i="67"/>
  <c r="I35" i="67" s="1"/>
  <c r="D36" i="67"/>
  <c r="E36" i="67"/>
  <c r="G35" i="66"/>
  <c r="I35" i="66" s="1"/>
  <c r="H36" i="46"/>
  <c r="I36" i="46" s="1"/>
  <c r="E37" i="46"/>
  <c r="D37" i="46"/>
  <c r="G40" i="24"/>
  <c r="I40" i="24" s="1"/>
  <c r="E41" i="24"/>
  <c r="D41" i="24"/>
  <c r="B33" i="86"/>
  <c r="F33" i="86"/>
  <c r="F34" i="82"/>
  <c r="B34" i="82"/>
  <c r="H33" i="77"/>
  <c r="I33" i="77" s="1"/>
  <c r="I31" i="33"/>
  <c r="H35" i="61"/>
  <c r="I35" i="61" s="1"/>
  <c r="H33" i="80"/>
  <c r="I33" i="80" s="1"/>
  <c r="D34" i="80"/>
  <c r="E34" i="80"/>
  <c r="I32" i="86"/>
  <c r="H38" i="44"/>
  <c r="I38" i="44" s="1"/>
  <c r="E31" i="93"/>
  <c r="D31" i="93"/>
  <c r="E32" i="94"/>
  <c r="D32" i="94"/>
  <c r="D112" i="94"/>
  <c r="G111" i="94"/>
  <c r="B35" i="65"/>
  <c r="F35" i="65"/>
  <c r="D42" i="23"/>
  <c r="E42" i="23"/>
  <c r="H41" i="23"/>
  <c r="G32" i="91"/>
  <c r="D33" i="91"/>
  <c r="E33" i="91"/>
  <c r="G32" i="84"/>
  <c r="I32" i="84" s="1"/>
  <c r="E33" i="84"/>
  <c r="D33" i="84"/>
  <c r="J110" i="94"/>
  <c r="G41" i="23"/>
  <c r="B38" i="55"/>
  <c r="F38" i="55"/>
  <c r="G38" i="55" s="1"/>
  <c r="B38" i="58"/>
  <c r="F38" i="58"/>
  <c r="I33" i="75"/>
  <c r="H32" i="91"/>
  <c r="D36" i="66"/>
  <c r="E36" i="66"/>
  <c r="H35" i="60"/>
  <c r="I35" i="60" s="1"/>
  <c r="I39" i="19"/>
  <c r="I37" i="58"/>
  <c r="G36" i="53"/>
  <c r="I36" i="53" s="1"/>
  <c r="D37" i="53"/>
  <c r="E37" i="53"/>
  <c r="E34" i="90"/>
  <c r="D34" i="90"/>
  <c r="F39" i="42"/>
  <c r="G39" i="42" s="1"/>
  <c r="B39" i="42"/>
  <c r="F34" i="75"/>
  <c r="G34" i="75" s="1"/>
  <c r="B34" i="75"/>
  <c r="B33" i="85"/>
  <c r="F33" i="85"/>
  <c r="G33" i="85" s="1"/>
  <c r="H32" i="81"/>
  <c r="D33" i="81"/>
  <c r="E33" i="81"/>
  <c r="F37" i="72"/>
  <c r="G37" i="72" s="1"/>
  <c r="B37" i="72"/>
  <c r="H40" i="32"/>
  <c r="I40" i="32" s="1"/>
  <c r="D31" i="96"/>
  <c r="E31" i="96"/>
  <c r="H41" i="27"/>
  <c r="I41" i="27" s="1"/>
  <c r="D42" i="27"/>
  <c r="E42" i="27"/>
  <c r="D36" i="61"/>
  <c r="E36" i="61"/>
  <c r="F31" i="95"/>
  <c r="H31" i="95" s="1"/>
  <c r="B31" i="95"/>
  <c r="G39" i="22"/>
  <c r="I39" i="22" s="1"/>
  <c r="E40" i="22"/>
  <c r="D40" i="22"/>
  <c r="G33" i="76"/>
  <c r="I33" i="76" s="1"/>
  <c r="E34" i="76"/>
  <c r="D34" i="76"/>
  <c r="D39" i="44"/>
  <c r="E39" i="44"/>
  <c r="G32" i="81"/>
  <c r="I36" i="72"/>
  <c r="F39" i="39"/>
  <c r="H39" i="39" s="1"/>
  <c r="B39" i="39"/>
  <c r="I45" i="35"/>
  <c r="I40" i="34"/>
  <c r="B42" i="69"/>
  <c r="F42" i="69"/>
  <c r="G42" i="69" s="1"/>
  <c r="D40" i="43"/>
  <c r="E40" i="43"/>
  <c r="I40" i="30"/>
  <c r="D36" i="60"/>
  <c r="E36" i="60"/>
  <c r="G39" i="21"/>
  <c r="I39" i="21" s="1"/>
  <c r="E40" i="21"/>
  <c r="D40" i="21"/>
  <c r="D37" i="54"/>
  <c r="E37" i="54"/>
  <c r="G41" i="29"/>
  <c r="I41" i="29" s="1"/>
  <c r="D42" i="29"/>
  <c r="E42" i="29"/>
  <c r="I41" i="69"/>
  <c r="H33" i="79"/>
  <c r="I33" i="79" s="1"/>
  <c r="E34" i="79"/>
  <c r="D34" i="79"/>
  <c r="E36" i="63"/>
  <c r="D36" i="63"/>
  <c r="F36" i="64"/>
  <c r="H36" i="64" s="1"/>
  <c r="B36" i="64"/>
  <c r="D39" i="74"/>
  <c r="E39" i="74"/>
  <c r="E40" i="17"/>
  <c r="D40" i="17"/>
  <c r="D34" i="78"/>
  <c r="E34" i="78"/>
  <c r="E31" i="26"/>
  <c r="F31" i="26" s="1"/>
  <c r="D32" i="26" s="1"/>
  <c r="B32" i="26" s="1"/>
  <c r="B31" i="26"/>
  <c r="F42" i="31"/>
  <c r="H42" i="31" s="1"/>
  <c r="B42" i="31"/>
  <c r="I35" i="64"/>
  <c r="B36" i="56"/>
  <c r="F36" i="56"/>
  <c r="G36" i="56" s="1"/>
  <c r="H33" i="78"/>
  <c r="H31" i="89"/>
  <c r="I31" i="89" s="1"/>
  <c r="E32" i="89"/>
  <c r="D32" i="89"/>
  <c r="F40" i="19"/>
  <c r="G40" i="19" s="1"/>
  <c r="B40" i="19"/>
  <c r="D41" i="32"/>
  <c r="E41" i="32"/>
  <c r="D32" i="92"/>
  <c r="E32" i="92"/>
  <c r="B43" i="28"/>
  <c r="F43" i="28"/>
  <c r="G43" i="28" s="1"/>
  <c r="I31" i="83"/>
  <c r="B32" i="83"/>
  <c r="F32" i="83"/>
  <c r="H32" i="83" s="1"/>
  <c r="B35" i="68"/>
  <c r="F35" i="68"/>
  <c r="H35" i="68" s="1"/>
  <c r="D39" i="73"/>
  <c r="G38" i="73"/>
  <c r="I38" i="73" s="1"/>
  <c r="E39" i="73"/>
  <c r="G39" i="43"/>
  <c r="F41" i="30"/>
  <c r="B41" i="30"/>
  <c r="B33" i="88"/>
  <c r="F33" i="88"/>
  <c r="H33" i="88" s="1"/>
  <c r="F40" i="3"/>
  <c r="B40" i="3"/>
  <c r="E42" i="70"/>
  <c r="D42" i="70"/>
  <c r="B41" i="34"/>
  <c r="F41" i="34"/>
  <c r="G41" i="34" s="1"/>
  <c r="D37" i="57"/>
  <c r="E37" i="57"/>
  <c r="E34" i="77"/>
  <c r="D34" i="77"/>
  <c r="G33" i="78"/>
  <c r="G41" i="70"/>
  <c r="I41" i="70" s="1"/>
  <c r="F41" i="71"/>
  <c r="B41" i="71"/>
  <c r="G31" i="92"/>
  <c r="I31" i="92" s="1"/>
  <c r="I34" i="68"/>
  <c r="G35" i="63"/>
  <c r="I35" i="63" s="1"/>
  <c r="B38" i="45"/>
  <c r="F38" i="45"/>
  <c r="H38" i="45" s="1"/>
  <c r="E40" i="41"/>
  <c r="D40" i="41"/>
  <c r="G36" i="57"/>
  <c r="I36" i="57" s="1"/>
  <c r="G38" i="74"/>
  <c r="I38" i="74" s="1"/>
  <c r="G39" i="17"/>
  <c r="I39" i="17" s="1"/>
  <c r="H39" i="43"/>
  <c r="I32" i="88"/>
  <c r="J114" i="60"/>
  <c r="J115" i="46"/>
  <c r="J119" i="31"/>
  <c r="J118" i="34"/>
  <c r="J115" i="53"/>
  <c r="J114" i="63"/>
  <c r="J112" i="78"/>
  <c r="J110" i="96"/>
  <c r="J111" i="85"/>
  <c r="J114" i="64"/>
  <c r="J114" i="65"/>
  <c r="J120" i="70"/>
  <c r="J120" i="29"/>
  <c r="F32" i="87"/>
  <c r="B32" i="87"/>
  <c r="I30" i="13"/>
  <c r="E41" i="18"/>
  <c r="D41" i="18"/>
  <c r="B33" i="33"/>
  <c r="E47" i="35"/>
  <c r="F47" i="35" s="1"/>
  <c r="G46" i="35"/>
  <c r="B47" i="35"/>
  <c r="H46" i="35"/>
  <c r="F39" i="20"/>
  <c r="B39" i="20"/>
  <c r="G40" i="18"/>
  <c r="J112" i="79"/>
  <c r="J119" i="32"/>
  <c r="J120" i="69"/>
  <c r="D36" i="59"/>
  <c r="E36" i="59"/>
  <c r="B31" i="13"/>
  <c r="F31" i="13"/>
  <c r="H31" i="13" s="1"/>
  <c r="J111" i="95"/>
  <c r="J119" i="18"/>
  <c r="B35" i="62"/>
  <c r="F35" i="62"/>
  <c r="G35" i="62" s="1"/>
  <c r="G35" i="59"/>
  <c r="I35" i="59" s="1"/>
  <c r="H40" i="18"/>
  <c r="E33" i="33"/>
  <c r="F33" i="33" s="1"/>
  <c r="H111" i="89"/>
  <c r="I111" i="89"/>
  <c r="E115" i="66"/>
  <c r="G114" i="66"/>
  <c r="D115" i="66"/>
  <c r="G111" i="84"/>
  <c r="D112" i="84"/>
  <c r="E112" i="84"/>
  <c r="G121" i="70"/>
  <c r="D122" i="70"/>
  <c r="E122" i="70"/>
  <c r="D117" i="72"/>
  <c r="E117" i="72"/>
  <c r="G116" i="72"/>
  <c r="F120" i="22"/>
  <c r="B120" i="22"/>
  <c r="G113" i="78"/>
  <c r="E114" i="78"/>
  <c r="D114" i="78"/>
  <c r="D120" i="19"/>
  <c r="G119" i="19"/>
  <c r="E120" i="19"/>
  <c r="B119" i="41"/>
  <c r="F119" i="41"/>
  <c r="G118" i="39"/>
  <c r="E119" i="39"/>
  <c r="D119" i="39"/>
  <c r="B118" i="45"/>
  <c r="F118" i="45"/>
  <c r="E116" i="64"/>
  <c r="D116" i="64"/>
  <c r="G115" i="64"/>
  <c r="G121" i="30"/>
  <c r="E122" i="30"/>
  <c r="D122" i="30"/>
  <c r="D116" i="60"/>
  <c r="E116" i="60"/>
  <c r="G115" i="60"/>
  <c r="G112" i="85"/>
  <c r="D113" i="85"/>
  <c r="E113" i="85"/>
  <c r="J115" i="59"/>
  <c r="J120" i="27"/>
  <c r="B112" i="89"/>
  <c r="F112" i="89"/>
  <c r="H112" i="81"/>
  <c r="I112" i="81"/>
  <c r="J110" i="86"/>
  <c r="J120" i="30"/>
  <c r="J117" i="39"/>
  <c r="H111" i="91"/>
  <c r="I111" i="91"/>
  <c r="I119" i="22"/>
  <c r="H119" i="22"/>
  <c r="D120" i="20"/>
  <c r="G119" i="20"/>
  <c r="E120" i="20"/>
  <c r="I118" i="41"/>
  <c r="H118" i="41"/>
  <c r="B116" i="62"/>
  <c r="F116" i="62"/>
  <c r="J116" i="74"/>
  <c r="E119" i="43"/>
  <c r="G118" i="43"/>
  <c r="D119" i="43"/>
  <c r="G121" i="69"/>
  <c r="E122" i="69"/>
  <c r="D122" i="69"/>
  <c r="B119" i="73"/>
  <c r="F119" i="73"/>
  <c r="J117" i="43"/>
  <c r="D115" i="68"/>
  <c r="G114" i="68"/>
  <c r="E115" i="68"/>
  <c r="E117" i="53"/>
  <c r="D117" i="53"/>
  <c r="G116" i="53"/>
  <c r="J118" i="3"/>
  <c r="G116" i="46"/>
  <c r="D117" i="46"/>
  <c r="E117" i="46"/>
  <c r="G119" i="34"/>
  <c r="E120" i="34"/>
  <c r="D120" i="34"/>
  <c r="D121" i="31"/>
  <c r="E121" i="31"/>
  <c r="G120" i="31"/>
  <c r="J118" i="19"/>
  <c r="B112" i="91"/>
  <c r="F112" i="91"/>
  <c r="J115" i="58"/>
  <c r="J110" i="88"/>
  <c r="E122" i="29"/>
  <c r="G121" i="29"/>
  <c r="D122" i="29"/>
  <c r="D112" i="86"/>
  <c r="G111" i="86"/>
  <c r="E112" i="86"/>
  <c r="G116" i="58"/>
  <c r="D117" i="58"/>
  <c r="E117" i="58"/>
  <c r="E112" i="88"/>
  <c r="G111" i="88"/>
  <c r="D112" i="88"/>
  <c r="E116" i="65"/>
  <c r="D116" i="65"/>
  <c r="G115" i="65"/>
  <c r="E116" i="63"/>
  <c r="G115" i="63"/>
  <c r="D116" i="63"/>
  <c r="G120" i="32"/>
  <c r="E121" i="32"/>
  <c r="D121" i="32"/>
  <c r="J120" i="23"/>
  <c r="B113" i="81"/>
  <c r="F113" i="81"/>
  <c r="J110" i="90"/>
  <c r="J113" i="68"/>
  <c r="J114" i="61"/>
  <c r="D122" i="27"/>
  <c r="G121" i="27"/>
  <c r="E122" i="27"/>
  <c r="J113" i="66"/>
  <c r="J110" i="92"/>
  <c r="D116" i="61"/>
  <c r="E116" i="61"/>
  <c r="G115" i="61"/>
  <c r="I115" i="62"/>
  <c r="H115" i="62"/>
  <c r="D112" i="90"/>
  <c r="G111" i="90"/>
  <c r="E112" i="90"/>
  <c r="H117" i="45"/>
  <c r="I117" i="45"/>
  <c r="E114" i="79"/>
  <c r="D114" i="79"/>
  <c r="G113" i="79"/>
  <c r="E112" i="92"/>
  <c r="D112" i="92"/>
  <c r="G111" i="92"/>
  <c r="E118" i="74"/>
  <c r="D118" i="74"/>
  <c r="G117" i="74"/>
  <c r="I118" i="73"/>
  <c r="H118" i="73"/>
  <c r="J115" i="72"/>
  <c r="J118" i="20"/>
  <c r="J110" i="84"/>
  <c r="J117" i="44"/>
  <c r="F118" i="56"/>
  <c r="B118" i="56"/>
  <c r="G120" i="18"/>
  <c r="D121" i="18"/>
  <c r="E121" i="18"/>
  <c r="E117" i="59"/>
  <c r="G116" i="59"/>
  <c r="D117" i="59"/>
  <c r="I117" i="56"/>
  <c r="H117" i="56"/>
  <c r="G121" i="23"/>
  <c r="D122" i="23"/>
  <c r="E122" i="23"/>
  <c r="J121" i="28"/>
  <c r="E122" i="71"/>
  <c r="G121" i="71"/>
  <c r="D122" i="71"/>
  <c r="J116" i="57"/>
  <c r="J120" i="71"/>
  <c r="G117" i="57"/>
  <c r="E118" i="57"/>
  <c r="D118" i="57"/>
  <c r="D113" i="95"/>
  <c r="G112" i="95"/>
  <c r="D112" i="87"/>
  <c r="G111" i="87"/>
  <c r="E112" i="87"/>
  <c r="F117" i="55"/>
  <c r="B117" i="55"/>
  <c r="H113" i="75"/>
  <c r="I113" i="75"/>
  <c r="F113" i="83"/>
  <c r="B113" i="83"/>
  <c r="J127" i="35"/>
  <c r="D120" i="3"/>
  <c r="G119" i="3"/>
  <c r="E120" i="3"/>
  <c r="D119" i="44"/>
  <c r="G118" i="44"/>
  <c r="E119" i="44"/>
  <c r="B120" i="21"/>
  <c r="F120" i="21"/>
  <c r="I112" i="80"/>
  <c r="H112" i="80"/>
  <c r="F111" i="33"/>
  <c r="B111" i="33"/>
  <c r="B130" i="35"/>
  <c r="E130" i="35"/>
  <c r="F130" i="35" s="1"/>
  <c r="G129" i="35"/>
  <c r="J113" i="67"/>
  <c r="I111" i="93"/>
  <c r="H111" i="93"/>
  <c r="I112" i="83"/>
  <c r="H112" i="83"/>
  <c r="B114" i="77"/>
  <c r="F114" i="77"/>
  <c r="J110" i="87"/>
  <c r="F117" i="54"/>
  <c r="B117" i="54"/>
  <c r="G111" i="96"/>
  <c r="D112" i="96"/>
  <c r="E112" i="96" s="1"/>
  <c r="G114" i="67"/>
  <c r="D115" i="67"/>
  <c r="E115" i="67"/>
  <c r="H118" i="42"/>
  <c r="I118" i="42"/>
  <c r="B113" i="80"/>
  <c r="F113" i="80"/>
  <c r="E121" i="17"/>
  <c r="D121" i="17"/>
  <c r="G120" i="17"/>
  <c r="H110" i="33"/>
  <c r="I110" i="33"/>
  <c r="D123" i="28"/>
  <c r="G122" i="28"/>
  <c r="E123" i="28"/>
  <c r="I116" i="55"/>
  <c r="H116" i="55"/>
  <c r="I120" i="24"/>
  <c r="H120" i="24"/>
  <c r="H113" i="77"/>
  <c r="I113" i="77"/>
  <c r="H119" i="21"/>
  <c r="I119" i="21"/>
  <c r="H113" i="76"/>
  <c r="I113" i="76"/>
  <c r="F119" i="42"/>
  <c r="B119" i="42"/>
  <c r="F111" i="13"/>
  <c r="B111" i="13"/>
  <c r="I128" i="35"/>
  <c r="H128" i="35"/>
  <c r="F114" i="75"/>
  <c r="B114" i="75"/>
  <c r="B121" i="24"/>
  <c r="F121" i="24"/>
  <c r="F112" i="93"/>
  <c r="B112" i="93"/>
  <c r="I116" i="54"/>
  <c r="H116" i="54"/>
  <c r="J119" i="17"/>
  <c r="F114" i="76"/>
  <c r="B114" i="76"/>
  <c r="J111" i="82"/>
  <c r="D113" i="82"/>
  <c r="G112" i="82"/>
  <c r="E113" i="82"/>
  <c r="I110" i="13"/>
  <c r="H110" i="13"/>
  <c r="E36" i="100" l="1"/>
  <c r="B36" i="100"/>
  <c r="F36" i="100"/>
  <c r="D37" i="100" s="1"/>
  <c r="G36" i="100"/>
  <c r="H36" i="100"/>
  <c r="B35" i="100"/>
  <c r="G35" i="100"/>
  <c r="H35" i="100"/>
  <c r="N5" i="33"/>
  <c r="D112" i="100"/>
  <c r="G111" i="100"/>
  <c r="E112" i="100"/>
  <c r="G31" i="25"/>
  <c r="D32" i="25"/>
  <c r="H31" i="25"/>
  <c r="E32" i="99"/>
  <c r="F32" i="99" s="1"/>
  <c r="G32" i="99" s="1"/>
  <c r="B32" i="99"/>
  <c r="H31" i="99"/>
  <c r="F31" i="98"/>
  <c r="B31" i="98"/>
  <c r="G31" i="99"/>
  <c r="I33" i="97"/>
  <c r="E34" i="97"/>
  <c r="F34" i="97" s="1"/>
  <c r="D35" i="97" s="1"/>
  <c r="B34" i="97"/>
  <c r="J110" i="25"/>
  <c r="G111" i="25"/>
  <c r="D112" i="25"/>
  <c r="J110" i="99"/>
  <c r="E112" i="99"/>
  <c r="D112" i="99"/>
  <c r="G111" i="99"/>
  <c r="H36" i="56"/>
  <c r="I36" i="56" s="1"/>
  <c r="I39" i="43"/>
  <c r="H111" i="98"/>
  <c r="I111" i="98"/>
  <c r="H111" i="97"/>
  <c r="I111" i="97"/>
  <c r="F112" i="98"/>
  <c r="B112" i="98"/>
  <c r="J111" i="26"/>
  <c r="B112" i="97"/>
  <c r="F112" i="97"/>
  <c r="D113" i="26"/>
  <c r="G112" i="26"/>
  <c r="H34" i="75"/>
  <c r="I34" i="75" s="1"/>
  <c r="B36" i="67"/>
  <c r="F36" i="67"/>
  <c r="G36" i="67" s="1"/>
  <c r="H35" i="62"/>
  <c r="I35" i="62" s="1"/>
  <c r="F37" i="46"/>
  <c r="G37" i="46" s="1"/>
  <c r="B37" i="46"/>
  <c r="B41" i="24"/>
  <c r="F41" i="24"/>
  <c r="G41" i="24" s="1"/>
  <c r="G34" i="82"/>
  <c r="D35" i="82"/>
  <c r="E35" i="82"/>
  <c r="F32" i="94"/>
  <c r="G32" i="94" s="1"/>
  <c r="B32" i="94"/>
  <c r="B34" i="80"/>
  <c r="F34" i="80"/>
  <c r="H34" i="80" s="1"/>
  <c r="G33" i="86"/>
  <c r="H33" i="86"/>
  <c r="D34" i="86"/>
  <c r="E34" i="86"/>
  <c r="H34" i="82"/>
  <c r="B31" i="93"/>
  <c r="F31" i="93"/>
  <c r="F36" i="66"/>
  <c r="G36" i="66" s="1"/>
  <c r="B36" i="66"/>
  <c r="F33" i="84"/>
  <c r="G33" i="84" s="1"/>
  <c r="B33" i="84"/>
  <c r="E36" i="65"/>
  <c r="D36" i="65"/>
  <c r="H39" i="42"/>
  <c r="I39" i="42" s="1"/>
  <c r="D40" i="42"/>
  <c r="E40" i="42"/>
  <c r="F37" i="53"/>
  <c r="G37" i="53" s="1"/>
  <c r="B37" i="53"/>
  <c r="I32" i="91"/>
  <c r="B42" i="23"/>
  <c r="F42" i="23"/>
  <c r="H42" i="23" s="1"/>
  <c r="E35" i="75"/>
  <c r="D35" i="75"/>
  <c r="F34" i="90"/>
  <c r="G34" i="90" s="1"/>
  <c r="B34" i="90"/>
  <c r="H38" i="55"/>
  <c r="I38" i="55" s="1"/>
  <c r="D39" i="55"/>
  <c r="E39" i="55"/>
  <c r="I41" i="23"/>
  <c r="G35" i="65"/>
  <c r="I111" i="94"/>
  <c r="H111" i="94"/>
  <c r="B33" i="91"/>
  <c r="F33" i="91"/>
  <c r="H38" i="58"/>
  <c r="E39" i="58"/>
  <c r="G38" i="58"/>
  <c r="D39" i="58"/>
  <c r="H35" i="65"/>
  <c r="E112" i="94"/>
  <c r="F112" i="94" s="1"/>
  <c r="B112" i="94"/>
  <c r="B34" i="76"/>
  <c r="F34" i="76"/>
  <c r="H34" i="76" s="1"/>
  <c r="F40" i="22"/>
  <c r="G40" i="22" s="1"/>
  <c r="B40" i="22"/>
  <c r="B33" i="81"/>
  <c r="F33" i="81"/>
  <c r="G33" i="81" s="1"/>
  <c r="I40" i="18"/>
  <c r="G31" i="95"/>
  <c r="I31" i="95" s="1"/>
  <c r="D32" i="95"/>
  <c r="E32" i="95"/>
  <c r="B31" i="96"/>
  <c r="F31" i="96"/>
  <c r="H31" i="96" s="1"/>
  <c r="D38" i="72"/>
  <c r="E38" i="72"/>
  <c r="I32" i="81"/>
  <c r="G39" i="39"/>
  <c r="I39" i="39" s="1"/>
  <c r="E40" i="39"/>
  <c r="D40" i="39"/>
  <c r="B42" i="27"/>
  <c r="F42" i="27"/>
  <c r="B39" i="44"/>
  <c r="F39" i="44"/>
  <c r="G39" i="44" s="1"/>
  <c r="F36" i="61"/>
  <c r="G36" i="61" s="1"/>
  <c r="B36" i="61"/>
  <c r="H37" i="72"/>
  <c r="I37" i="72" s="1"/>
  <c r="H33" i="85"/>
  <c r="I33" i="85" s="1"/>
  <c r="E34" i="85"/>
  <c r="D34" i="85"/>
  <c r="B37" i="57"/>
  <c r="F37" i="57"/>
  <c r="H37" i="57" s="1"/>
  <c r="H40" i="3"/>
  <c r="D41" i="3"/>
  <c r="E41" i="3" s="1"/>
  <c r="B34" i="79"/>
  <c r="F34" i="79"/>
  <c r="G34" i="79" s="1"/>
  <c r="E42" i="71"/>
  <c r="D42" i="71"/>
  <c r="D42" i="30"/>
  <c r="E42" i="30"/>
  <c r="G35" i="68"/>
  <c r="I35" i="68" s="1"/>
  <c r="D36" i="68"/>
  <c r="E36" i="68"/>
  <c r="G32" i="83"/>
  <c r="I32" i="83" s="1"/>
  <c r="E33" i="83"/>
  <c r="D33" i="83"/>
  <c r="E44" i="28"/>
  <c r="D44" i="28"/>
  <c r="B32" i="92"/>
  <c r="F32" i="92"/>
  <c r="G32" i="92" s="1"/>
  <c r="G42" i="31"/>
  <c r="I42" i="31" s="1"/>
  <c r="F34" i="78"/>
  <c r="G34" i="78" s="1"/>
  <c r="B34" i="78"/>
  <c r="F39" i="74"/>
  <c r="G39" i="74" s="1"/>
  <c r="B39" i="74"/>
  <c r="F42" i="29"/>
  <c r="G42" i="29" s="1"/>
  <c r="B42" i="29"/>
  <c r="B40" i="21"/>
  <c r="F40" i="21"/>
  <c r="F36" i="60"/>
  <c r="H36" i="60" s="1"/>
  <c r="B36" i="60"/>
  <c r="F40" i="43"/>
  <c r="G40" i="43" s="1"/>
  <c r="B40" i="43"/>
  <c r="B37" i="54"/>
  <c r="F37" i="54"/>
  <c r="H37" i="54" s="1"/>
  <c r="E32" i="26"/>
  <c r="F32" i="26" s="1"/>
  <c r="G32" i="26" s="1"/>
  <c r="H41" i="71"/>
  <c r="E42" i="34"/>
  <c r="D42" i="34"/>
  <c r="G40" i="3"/>
  <c r="E34" i="88"/>
  <c r="D34" i="88"/>
  <c r="G41" i="30"/>
  <c r="B39" i="73"/>
  <c r="F39" i="73"/>
  <c r="H40" i="19"/>
  <c r="I40" i="19" s="1"/>
  <c r="E41" i="19"/>
  <c r="D41" i="19"/>
  <c r="C49" i="17"/>
  <c r="B40" i="17"/>
  <c r="F40" i="17"/>
  <c r="F36" i="63"/>
  <c r="G36" i="63" s="1"/>
  <c r="B36" i="63"/>
  <c r="G31" i="26"/>
  <c r="B40" i="41"/>
  <c r="F40" i="41"/>
  <c r="G40" i="41" s="1"/>
  <c r="F34" i="77"/>
  <c r="B34" i="77"/>
  <c r="B42" i="70"/>
  <c r="F42" i="70"/>
  <c r="G42" i="70" s="1"/>
  <c r="E43" i="31"/>
  <c r="D43" i="31"/>
  <c r="G36" i="64"/>
  <c r="I36" i="64" s="1"/>
  <c r="E37" i="64"/>
  <c r="D37" i="64"/>
  <c r="G31" i="13"/>
  <c r="I31" i="13" s="1"/>
  <c r="I46" i="35"/>
  <c r="G38" i="45"/>
  <c r="I38" i="45" s="1"/>
  <c r="E39" i="45"/>
  <c r="D39" i="45"/>
  <c r="G41" i="71"/>
  <c r="H41" i="34"/>
  <c r="I41" i="34" s="1"/>
  <c r="G33" i="88"/>
  <c r="I33" i="88" s="1"/>
  <c r="H41" i="30"/>
  <c r="H43" i="28"/>
  <c r="I43" i="28" s="1"/>
  <c r="F41" i="32"/>
  <c r="G41" i="32" s="1"/>
  <c r="B41" i="32"/>
  <c r="B32" i="89"/>
  <c r="F32" i="89"/>
  <c r="H32" i="89" s="1"/>
  <c r="I33" i="78"/>
  <c r="D37" i="56"/>
  <c r="E37" i="56"/>
  <c r="H31" i="26"/>
  <c r="H42" i="69"/>
  <c r="I42" i="69" s="1"/>
  <c r="D43" i="69"/>
  <c r="E43" i="69"/>
  <c r="J111" i="89"/>
  <c r="J117" i="56"/>
  <c r="J117" i="45"/>
  <c r="D34" i="33"/>
  <c r="H33" i="33"/>
  <c r="G33" i="33"/>
  <c r="E40" i="20"/>
  <c r="D40" i="20"/>
  <c r="H47" i="35"/>
  <c r="G47" i="35"/>
  <c r="E48" i="35"/>
  <c r="F48" i="35" s="1"/>
  <c r="B48" i="35"/>
  <c r="D33" i="87"/>
  <c r="E33" i="87"/>
  <c r="J116" i="54"/>
  <c r="J110" i="33"/>
  <c r="J112" i="81"/>
  <c r="E36" i="62"/>
  <c r="D36" i="62"/>
  <c r="D32" i="13"/>
  <c r="G39" i="20"/>
  <c r="F41" i="18"/>
  <c r="H41" i="18" s="1"/>
  <c r="B41" i="18"/>
  <c r="H32" i="87"/>
  <c r="B36" i="59"/>
  <c r="F36" i="59"/>
  <c r="H39" i="20"/>
  <c r="G32" i="87"/>
  <c r="H113" i="79"/>
  <c r="I113" i="79"/>
  <c r="F116" i="61"/>
  <c r="B116" i="61"/>
  <c r="H121" i="27"/>
  <c r="I121" i="27"/>
  <c r="B121" i="32"/>
  <c r="F121" i="32"/>
  <c r="F116" i="63"/>
  <c r="B116" i="63"/>
  <c r="B116" i="65"/>
  <c r="F116" i="65"/>
  <c r="H121" i="29"/>
  <c r="I121" i="29"/>
  <c r="E113" i="91"/>
  <c r="D113" i="91"/>
  <c r="G112" i="91"/>
  <c r="I119" i="34"/>
  <c r="H119" i="34"/>
  <c r="G119" i="73"/>
  <c r="D120" i="73"/>
  <c r="E120" i="73"/>
  <c r="I121" i="69"/>
  <c r="H121" i="69"/>
  <c r="J118" i="41"/>
  <c r="I115" i="60"/>
  <c r="H115" i="60"/>
  <c r="I116" i="72"/>
  <c r="H116" i="72"/>
  <c r="B122" i="70"/>
  <c r="F122" i="70"/>
  <c r="H111" i="84"/>
  <c r="I111" i="84"/>
  <c r="J118" i="73"/>
  <c r="I111" i="92"/>
  <c r="H111" i="92"/>
  <c r="F114" i="79"/>
  <c r="B114" i="79"/>
  <c r="J115" i="62"/>
  <c r="B122" i="27"/>
  <c r="F122" i="27"/>
  <c r="D114" i="81"/>
  <c r="E114" i="81"/>
  <c r="G113" i="81"/>
  <c r="H115" i="63"/>
  <c r="I115" i="63"/>
  <c r="I111" i="86"/>
  <c r="H111" i="86"/>
  <c r="F121" i="31"/>
  <c r="B121" i="31"/>
  <c r="H116" i="53"/>
  <c r="I116" i="53"/>
  <c r="I114" i="68"/>
  <c r="H114" i="68"/>
  <c r="B119" i="43"/>
  <c r="F119" i="43"/>
  <c r="G116" i="62"/>
  <c r="D117" i="62"/>
  <c r="E117" i="62"/>
  <c r="J119" i="22"/>
  <c r="E113" i="89"/>
  <c r="D113" i="89"/>
  <c r="G112" i="89"/>
  <c r="H121" i="30"/>
  <c r="I121" i="30"/>
  <c r="G118" i="45"/>
  <c r="D119" i="45"/>
  <c r="E119" i="45"/>
  <c r="H118" i="39"/>
  <c r="I118" i="39"/>
  <c r="H119" i="19"/>
  <c r="I119" i="19"/>
  <c r="I113" i="78"/>
  <c r="H113" i="78"/>
  <c r="H121" i="70"/>
  <c r="I121" i="70"/>
  <c r="B115" i="66"/>
  <c r="F115" i="66"/>
  <c r="I117" i="74"/>
  <c r="H117" i="74"/>
  <c r="F112" i="92"/>
  <c r="B112" i="92"/>
  <c r="I111" i="90"/>
  <c r="H111" i="90"/>
  <c r="I115" i="61"/>
  <c r="H115" i="61"/>
  <c r="I120" i="32"/>
  <c r="H120" i="32"/>
  <c r="B112" i="88"/>
  <c r="F112" i="88"/>
  <c r="B117" i="58"/>
  <c r="F117" i="58"/>
  <c r="B112" i="86"/>
  <c r="F112" i="86"/>
  <c r="B120" i="34"/>
  <c r="F120" i="34"/>
  <c r="F117" i="46"/>
  <c r="B117" i="46"/>
  <c r="B117" i="53"/>
  <c r="F117" i="53"/>
  <c r="F115" i="68"/>
  <c r="B115" i="68"/>
  <c r="F122" i="69"/>
  <c r="B122" i="69"/>
  <c r="H118" i="43"/>
  <c r="I118" i="43"/>
  <c r="I119" i="20"/>
  <c r="H119" i="20"/>
  <c r="J111" i="91"/>
  <c r="B113" i="85"/>
  <c r="F113" i="85"/>
  <c r="B116" i="60"/>
  <c r="F116" i="60"/>
  <c r="H115" i="64"/>
  <c r="I115" i="64"/>
  <c r="G119" i="41"/>
  <c r="D120" i="41"/>
  <c r="E120" i="41"/>
  <c r="B120" i="19"/>
  <c r="F120" i="19"/>
  <c r="B117" i="72"/>
  <c r="F117" i="72"/>
  <c r="H114" i="66"/>
  <c r="I114" i="66"/>
  <c r="J112" i="80"/>
  <c r="F118" i="74"/>
  <c r="B118" i="74"/>
  <c r="F112" i="90"/>
  <c r="B112" i="90"/>
  <c r="I115" i="65"/>
  <c r="H115" i="65"/>
  <c r="I111" i="88"/>
  <c r="H111" i="88"/>
  <c r="I116" i="58"/>
  <c r="H116" i="58"/>
  <c r="B122" i="29"/>
  <c r="F122" i="29"/>
  <c r="H120" i="31"/>
  <c r="I120" i="31"/>
  <c r="H116" i="46"/>
  <c r="I116" i="46"/>
  <c r="F120" i="20"/>
  <c r="B120" i="20"/>
  <c r="H112" i="85"/>
  <c r="I112" i="85"/>
  <c r="F122" i="30"/>
  <c r="B122" i="30"/>
  <c r="B116" i="64"/>
  <c r="F116" i="64"/>
  <c r="F119" i="39"/>
  <c r="B119" i="39"/>
  <c r="F114" i="78"/>
  <c r="B114" i="78"/>
  <c r="D121" i="22"/>
  <c r="E121" i="22"/>
  <c r="G120" i="22"/>
  <c r="F112" i="84"/>
  <c r="B112" i="84"/>
  <c r="J111" i="93"/>
  <c r="F117" i="59"/>
  <c r="B117" i="59"/>
  <c r="B121" i="18"/>
  <c r="F121" i="18"/>
  <c r="G118" i="56"/>
  <c r="D119" i="56"/>
  <c r="E119" i="56"/>
  <c r="H116" i="59"/>
  <c r="I116" i="59"/>
  <c r="H120" i="18"/>
  <c r="I120" i="18"/>
  <c r="J113" i="77"/>
  <c r="J118" i="42"/>
  <c r="F122" i="23"/>
  <c r="B122" i="23"/>
  <c r="H121" i="23"/>
  <c r="I121" i="23"/>
  <c r="I117" i="57"/>
  <c r="H117" i="57"/>
  <c r="B122" i="71"/>
  <c r="F122" i="71"/>
  <c r="H121" i="71"/>
  <c r="I121" i="71"/>
  <c r="J120" i="24"/>
  <c r="F118" i="57"/>
  <c r="B118" i="57"/>
  <c r="D115" i="76"/>
  <c r="G114" i="76"/>
  <c r="E115" i="76"/>
  <c r="F123" i="28"/>
  <c r="B123" i="28"/>
  <c r="B121" i="17"/>
  <c r="F121" i="17"/>
  <c r="I111" i="96"/>
  <c r="H111" i="96"/>
  <c r="E115" i="77"/>
  <c r="G114" i="77"/>
  <c r="D115" i="77"/>
  <c r="E121" i="21"/>
  <c r="G120" i="21"/>
  <c r="D121" i="21"/>
  <c r="F119" i="44"/>
  <c r="B119" i="44"/>
  <c r="D118" i="55"/>
  <c r="E118" i="55"/>
  <c r="G117" i="55"/>
  <c r="B113" i="95"/>
  <c r="J110" i="13"/>
  <c r="I112" i="82"/>
  <c r="H112" i="82"/>
  <c r="J128" i="35"/>
  <c r="E114" i="80"/>
  <c r="G113" i="80"/>
  <c r="D114" i="80"/>
  <c r="B115" i="67"/>
  <c r="F115" i="67"/>
  <c r="J112" i="83"/>
  <c r="E113" i="95"/>
  <c r="F113" i="95" s="1"/>
  <c r="F113" i="82"/>
  <c r="B113" i="82"/>
  <c r="D113" i="93"/>
  <c r="E113" i="93" s="1"/>
  <c r="G112" i="93"/>
  <c r="D122" i="24"/>
  <c r="G121" i="24"/>
  <c r="E122" i="24"/>
  <c r="J113" i="76"/>
  <c r="J119" i="21"/>
  <c r="J116" i="55"/>
  <c r="H114" i="67"/>
  <c r="I114" i="67"/>
  <c r="D118" i="54"/>
  <c r="G117" i="54"/>
  <c r="E118" i="54"/>
  <c r="I129" i="35"/>
  <c r="H129" i="35"/>
  <c r="H119" i="3"/>
  <c r="I119" i="3"/>
  <c r="D114" i="83"/>
  <c r="G113" i="83"/>
  <c r="E114" i="83"/>
  <c r="J113" i="75"/>
  <c r="H111" i="87"/>
  <c r="I111" i="87"/>
  <c r="G114" i="75"/>
  <c r="D115" i="75"/>
  <c r="E115" i="75"/>
  <c r="G111" i="13"/>
  <c r="D112" i="13"/>
  <c r="D120" i="42"/>
  <c r="G119" i="42"/>
  <c r="E120" i="42"/>
  <c r="I122" i="28"/>
  <c r="H122" i="28"/>
  <c r="I120" i="17"/>
  <c r="H120" i="17"/>
  <c r="F112" i="96"/>
  <c r="B112" i="96"/>
  <c r="G130" i="35"/>
  <c r="E131" i="35"/>
  <c r="F131" i="35" s="1"/>
  <c r="B131" i="35"/>
  <c r="D112" i="33"/>
  <c r="E112" i="33" s="1"/>
  <c r="G111" i="33"/>
  <c r="H118" i="44"/>
  <c r="I118" i="44"/>
  <c r="F120" i="3"/>
  <c r="B120" i="3"/>
  <c r="B112" i="87"/>
  <c r="F112" i="87"/>
  <c r="H112" i="95"/>
  <c r="I112" i="95"/>
  <c r="E35" i="36"/>
  <c r="I36" i="100" l="1"/>
  <c r="I35" i="100"/>
  <c r="E37" i="100"/>
  <c r="F37" i="100" s="1"/>
  <c r="B37" i="100"/>
  <c r="N7" i="33"/>
  <c r="H111" i="100"/>
  <c r="I111" i="100"/>
  <c r="J111" i="100" s="1"/>
  <c r="B112" i="100"/>
  <c r="F112" i="100"/>
  <c r="I31" i="25"/>
  <c r="B32" i="25"/>
  <c r="E32" i="25"/>
  <c r="F32" i="25" s="1"/>
  <c r="I35" i="65"/>
  <c r="H32" i="26"/>
  <c r="I40" i="3"/>
  <c r="H36" i="66"/>
  <c r="I36" i="66" s="1"/>
  <c r="G34" i="97"/>
  <c r="D32" i="98"/>
  <c r="E32" i="98"/>
  <c r="E35" i="97"/>
  <c r="F35" i="97" s="1"/>
  <c r="D36" i="97" s="1"/>
  <c r="B35" i="97"/>
  <c r="H31" i="98"/>
  <c r="I31" i="99"/>
  <c r="D33" i="99"/>
  <c r="E33" i="99"/>
  <c r="H34" i="97"/>
  <c r="G31" i="98"/>
  <c r="H32" i="99"/>
  <c r="I32" i="99" s="1"/>
  <c r="H111" i="25"/>
  <c r="I111" i="25"/>
  <c r="E112" i="25"/>
  <c r="F112" i="25" s="1"/>
  <c r="B112" i="25"/>
  <c r="I31" i="26"/>
  <c r="I111" i="99"/>
  <c r="H111" i="99"/>
  <c r="F112" i="99"/>
  <c r="B112" i="99"/>
  <c r="H34" i="90"/>
  <c r="I34" i="90" s="1"/>
  <c r="J111" i="97"/>
  <c r="G34" i="80"/>
  <c r="I34" i="80" s="1"/>
  <c r="J111" i="98"/>
  <c r="I112" i="26"/>
  <c r="H112" i="26"/>
  <c r="D113" i="97"/>
  <c r="E113" i="97" s="1"/>
  <c r="G112" i="97"/>
  <c r="E113" i="26"/>
  <c r="F113" i="26" s="1"/>
  <c r="B113" i="26"/>
  <c r="G112" i="98"/>
  <c r="D113" i="98"/>
  <c r="E113" i="98"/>
  <c r="I34" i="82"/>
  <c r="H34" i="78"/>
  <c r="I34" i="78" s="1"/>
  <c r="H36" i="67"/>
  <c r="I36" i="67" s="1"/>
  <c r="E37" i="67"/>
  <c r="D37" i="67"/>
  <c r="H37" i="46"/>
  <c r="I37" i="46" s="1"/>
  <c r="D38" i="46"/>
  <c r="E38" i="46"/>
  <c r="H41" i="24"/>
  <c r="I41" i="24" s="1"/>
  <c r="D42" i="24"/>
  <c r="E42" i="24"/>
  <c r="G32" i="89"/>
  <c r="I32" i="89" s="1"/>
  <c r="E32" i="93"/>
  <c r="D32" i="93"/>
  <c r="H31" i="93"/>
  <c r="F34" i="86"/>
  <c r="B34" i="86"/>
  <c r="D33" i="94"/>
  <c r="E33" i="94"/>
  <c r="F35" i="82"/>
  <c r="H35" i="82" s="1"/>
  <c r="B35" i="82"/>
  <c r="H42" i="29"/>
  <c r="I42" i="29" s="1"/>
  <c r="G34" i="76"/>
  <c r="I34" i="76" s="1"/>
  <c r="G31" i="93"/>
  <c r="I33" i="86"/>
  <c r="E35" i="80"/>
  <c r="D35" i="80"/>
  <c r="H32" i="94"/>
  <c r="I32" i="94" s="1"/>
  <c r="H36" i="63"/>
  <c r="I36" i="63" s="1"/>
  <c r="D113" i="94"/>
  <c r="G112" i="94"/>
  <c r="G33" i="91"/>
  <c r="D34" i="91"/>
  <c r="E34" i="91"/>
  <c r="J111" i="94"/>
  <c r="B39" i="55"/>
  <c r="F39" i="55"/>
  <c r="G39" i="55" s="1"/>
  <c r="G42" i="23"/>
  <c r="I42" i="23" s="1"/>
  <c r="D43" i="23"/>
  <c r="E43" i="23"/>
  <c r="F40" i="42"/>
  <c r="G40" i="42" s="1"/>
  <c r="B40" i="42"/>
  <c r="F39" i="58"/>
  <c r="B39" i="58"/>
  <c r="H33" i="91"/>
  <c r="E35" i="90"/>
  <c r="D35" i="90"/>
  <c r="H40" i="41"/>
  <c r="I40" i="41" s="1"/>
  <c r="H40" i="22"/>
  <c r="I40" i="22" s="1"/>
  <c r="I38" i="58"/>
  <c r="B35" i="75"/>
  <c r="F35" i="75"/>
  <c r="H37" i="53"/>
  <c r="I37" i="53" s="1"/>
  <c r="E38" i="53"/>
  <c r="D38" i="53"/>
  <c r="B36" i="65"/>
  <c r="F36" i="65"/>
  <c r="H33" i="84"/>
  <c r="I33" i="84" s="1"/>
  <c r="D34" i="84"/>
  <c r="E34" i="84"/>
  <c r="E37" i="66"/>
  <c r="D37" i="66"/>
  <c r="B34" i="85"/>
  <c r="F34" i="85"/>
  <c r="H36" i="61"/>
  <c r="I36" i="61" s="1"/>
  <c r="D37" i="61"/>
  <c r="E37" i="61"/>
  <c r="H39" i="44"/>
  <c r="I39" i="44" s="1"/>
  <c r="G42" i="27"/>
  <c r="E43" i="27"/>
  <c r="H42" i="27"/>
  <c r="D43" i="27"/>
  <c r="B40" i="39"/>
  <c r="F40" i="39"/>
  <c r="G40" i="39" s="1"/>
  <c r="F32" i="95"/>
  <c r="H32" i="95" s="1"/>
  <c r="B32" i="95"/>
  <c r="H41" i="32"/>
  <c r="I41" i="32" s="1"/>
  <c r="G31" i="96"/>
  <c r="I31" i="96" s="1"/>
  <c r="H33" i="81"/>
  <c r="I33" i="81" s="1"/>
  <c r="E34" i="81"/>
  <c r="D34" i="81"/>
  <c r="E35" i="76"/>
  <c r="D35" i="76"/>
  <c r="E40" i="44"/>
  <c r="D40" i="44"/>
  <c r="B38" i="72"/>
  <c r="F38" i="72"/>
  <c r="H38" i="72" s="1"/>
  <c r="D41" i="22"/>
  <c r="E41" i="22"/>
  <c r="E32" i="96"/>
  <c r="D32" i="96"/>
  <c r="I39" i="20"/>
  <c r="H40" i="17"/>
  <c r="D41" i="17"/>
  <c r="E41" i="17"/>
  <c r="E41" i="21"/>
  <c r="D41" i="21"/>
  <c r="F43" i="31"/>
  <c r="H43" i="31" s="1"/>
  <c r="B43" i="31"/>
  <c r="E35" i="77"/>
  <c r="D35" i="77"/>
  <c r="B41" i="19"/>
  <c r="F41" i="19"/>
  <c r="H41" i="19" s="1"/>
  <c r="B42" i="34"/>
  <c r="F42" i="34"/>
  <c r="I41" i="71"/>
  <c r="E38" i="54"/>
  <c r="D38" i="54"/>
  <c r="H40" i="21"/>
  <c r="H32" i="92"/>
  <c r="I32" i="92" s="1"/>
  <c r="E33" i="92"/>
  <c r="D33" i="92"/>
  <c r="B33" i="83"/>
  <c r="F33" i="83"/>
  <c r="G33" i="83" s="1"/>
  <c r="B42" i="30"/>
  <c r="F42" i="30"/>
  <c r="H42" i="30" s="1"/>
  <c r="F42" i="71"/>
  <c r="B42" i="71"/>
  <c r="D33" i="26"/>
  <c r="E33" i="26" s="1"/>
  <c r="E33" i="89"/>
  <c r="D33" i="89"/>
  <c r="I41" i="30"/>
  <c r="B37" i="64"/>
  <c r="F37" i="64"/>
  <c r="G37" i="64" s="1"/>
  <c r="G34" i="77"/>
  <c r="D41" i="41"/>
  <c r="E41" i="41"/>
  <c r="F34" i="88"/>
  <c r="B34" i="88"/>
  <c r="D43" i="29"/>
  <c r="E43" i="29"/>
  <c r="H39" i="74"/>
  <c r="I39" i="74" s="1"/>
  <c r="E40" i="74"/>
  <c r="D40" i="74"/>
  <c r="D35" i="78"/>
  <c r="E35" i="78"/>
  <c r="F36" i="68"/>
  <c r="B36" i="68"/>
  <c r="B39" i="45"/>
  <c r="F39" i="45"/>
  <c r="D43" i="70"/>
  <c r="E43" i="70"/>
  <c r="E35" i="79"/>
  <c r="D35" i="79"/>
  <c r="B43" i="69"/>
  <c r="F43" i="69"/>
  <c r="B37" i="56"/>
  <c r="F37" i="56"/>
  <c r="G37" i="56" s="1"/>
  <c r="E42" i="32"/>
  <c r="D42" i="32"/>
  <c r="H42" i="70"/>
  <c r="I42" i="70" s="1"/>
  <c r="H34" i="77"/>
  <c r="D37" i="63"/>
  <c r="E37" i="63"/>
  <c r="G40" i="17"/>
  <c r="H39" i="73"/>
  <c r="G39" i="73"/>
  <c r="D40" i="73"/>
  <c r="E40" i="73"/>
  <c r="G37" i="54"/>
  <c r="I37" i="54" s="1"/>
  <c r="H40" i="43"/>
  <c r="I40" i="43" s="1"/>
  <c r="E41" i="43"/>
  <c r="D41" i="43"/>
  <c r="G36" i="60"/>
  <c r="I36" i="60" s="1"/>
  <c r="E37" i="60"/>
  <c r="D37" i="60"/>
  <c r="G40" i="21"/>
  <c r="B44" i="28"/>
  <c r="F44" i="28"/>
  <c r="H34" i="79"/>
  <c r="I34" i="79" s="1"/>
  <c r="B41" i="3"/>
  <c r="F41" i="3"/>
  <c r="G41" i="3" s="1"/>
  <c r="G37" i="57"/>
  <c r="I37" i="57" s="1"/>
  <c r="D38" i="57"/>
  <c r="E38" i="57"/>
  <c r="J121" i="23"/>
  <c r="J121" i="30"/>
  <c r="J120" i="32"/>
  <c r="J111" i="90"/>
  <c r="J129" i="35"/>
  <c r="J119" i="20"/>
  <c r="J117" i="74"/>
  <c r="J118" i="43"/>
  <c r="J118" i="39"/>
  <c r="J115" i="63"/>
  <c r="J121" i="29"/>
  <c r="J121" i="27"/>
  <c r="J113" i="79"/>
  <c r="J121" i="69"/>
  <c r="E37" i="59"/>
  <c r="D37" i="59"/>
  <c r="E42" i="18"/>
  <c r="D42" i="18"/>
  <c r="B32" i="13"/>
  <c r="E49" i="35"/>
  <c r="F49" i="35" s="1"/>
  <c r="B49" i="35"/>
  <c r="H48" i="35"/>
  <c r="G48" i="35"/>
  <c r="F36" i="62"/>
  <c r="B36" i="62"/>
  <c r="B40" i="20"/>
  <c r="F40" i="20"/>
  <c r="G40" i="20" s="1"/>
  <c r="I33" i="33"/>
  <c r="J111" i="88"/>
  <c r="J116" i="53"/>
  <c r="J116" i="72"/>
  <c r="G36" i="59"/>
  <c r="I32" i="87"/>
  <c r="G41" i="18"/>
  <c r="I41" i="18" s="1"/>
  <c r="I47" i="35"/>
  <c r="B34" i="33"/>
  <c r="J120" i="31"/>
  <c r="J115" i="64"/>
  <c r="H36" i="59"/>
  <c r="E32" i="13"/>
  <c r="F32" i="13" s="1"/>
  <c r="B33" i="87"/>
  <c r="F33" i="87"/>
  <c r="G33" i="87" s="1"/>
  <c r="E34" i="33"/>
  <c r="F34" i="33" s="1"/>
  <c r="J112" i="82"/>
  <c r="G113" i="85"/>
  <c r="E114" i="85"/>
  <c r="D114" i="85"/>
  <c r="D123" i="69"/>
  <c r="G122" i="69"/>
  <c r="E123" i="69"/>
  <c r="E116" i="66"/>
  <c r="D116" i="66"/>
  <c r="G115" i="66"/>
  <c r="I118" i="45"/>
  <c r="H118" i="45"/>
  <c r="F113" i="89"/>
  <c r="B113" i="89"/>
  <c r="F117" i="62"/>
  <c r="B117" i="62"/>
  <c r="B114" i="81"/>
  <c r="F114" i="81"/>
  <c r="I119" i="73"/>
  <c r="H119" i="73"/>
  <c r="F113" i="91"/>
  <c r="B113" i="91"/>
  <c r="D117" i="65"/>
  <c r="G116" i="65"/>
  <c r="E117" i="65"/>
  <c r="G121" i="32"/>
  <c r="E122" i="32"/>
  <c r="D122" i="32"/>
  <c r="B121" i="22"/>
  <c r="F121" i="22"/>
  <c r="G119" i="39"/>
  <c r="D120" i="39"/>
  <c r="E120" i="39"/>
  <c r="G122" i="30"/>
  <c r="E123" i="30"/>
  <c r="D123" i="30"/>
  <c r="E121" i="20"/>
  <c r="D121" i="20"/>
  <c r="G120" i="20"/>
  <c r="J116" i="58"/>
  <c r="J115" i="65"/>
  <c r="D119" i="74"/>
  <c r="G118" i="74"/>
  <c r="E119" i="74"/>
  <c r="E118" i="72"/>
  <c r="D118" i="72"/>
  <c r="G117" i="72"/>
  <c r="D113" i="86"/>
  <c r="E113" i="86"/>
  <c r="G112" i="86"/>
  <c r="D113" i="88"/>
  <c r="G112" i="88"/>
  <c r="E113" i="88"/>
  <c r="J113" i="78"/>
  <c r="H116" i="62"/>
  <c r="I116" i="62"/>
  <c r="J114" i="68"/>
  <c r="G121" i="31"/>
  <c r="E122" i="31"/>
  <c r="D122" i="31"/>
  <c r="E123" i="27"/>
  <c r="D123" i="27"/>
  <c r="G122" i="27"/>
  <c r="E115" i="79"/>
  <c r="D115" i="79"/>
  <c r="G114" i="79"/>
  <c r="E123" i="70"/>
  <c r="G122" i="70"/>
  <c r="D123" i="70"/>
  <c r="G116" i="61"/>
  <c r="D117" i="61"/>
  <c r="E117" i="61"/>
  <c r="E113" i="84"/>
  <c r="D113" i="84"/>
  <c r="G112" i="84"/>
  <c r="D117" i="64"/>
  <c r="G116" i="64"/>
  <c r="E117" i="64"/>
  <c r="J112" i="85"/>
  <c r="J116" i="46"/>
  <c r="E123" i="29"/>
  <c r="G122" i="29"/>
  <c r="D123" i="29"/>
  <c r="B120" i="41"/>
  <c r="F120" i="41"/>
  <c r="G116" i="60"/>
  <c r="D117" i="60"/>
  <c r="E117" i="60"/>
  <c r="G115" i="68"/>
  <c r="E116" i="68"/>
  <c r="D116" i="68"/>
  <c r="G117" i="46"/>
  <c r="E118" i="46"/>
  <c r="D118" i="46"/>
  <c r="J115" i="61"/>
  <c r="D113" i="92"/>
  <c r="E113" i="92"/>
  <c r="G112" i="92"/>
  <c r="J121" i="70"/>
  <c r="J119" i="19"/>
  <c r="D120" i="43"/>
  <c r="E120" i="43"/>
  <c r="G119" i="43"/>
  <c r="H113" i="81"/>
  <c r="I113" i="81"/>
  <c r="J115" i="60"/>
  <c r="J119" i="34"/>
  <c r="I120" i="22"/>
  <c r="H120" i="22"/>
  <c r="D115" i="78"/>
  <c r="E115" i="78"/>
  <c r="G114" i="78"/>
  <c r="D113" i="90"/>
  <c r="G112" i="90"/>
  <c r="E113" i="90"/>
  <c r="J114" i="66"/>
  <c r="G120" i="19"/>
  <c r="D121" i="19"/>
  <c r="E121" i="19"/>
  <c r="I119" i="41"/>
  <c r="H119" i="41"/>
  <c r="E118" i="53"/>
  <c r="G117" i="53"/>
  <c r="D118" i="53"/>
  <c r="G120" i="34"/>
  <c r="D121" i="34"/>
  <c r="E121" i="34"/>
  <c r="E118" i="58"/>
  <c r="D118" i="58"/>
  <c r="G117" i="58"/>
  <c r="B119" i="45"/>
  <c r="F119" i="45"/>
  <c r="H112" i="89"/>
  <c r="I112" i="89"/>
  <c r="J111" i="86"/>
  <c r="J111" i="92"/>
  <c r="J111" i="84"/>
  <c r="B120" i="73"/>
  <c r="F120" i="73"/>
  <c r="I112" i="91"/>
  <c r="H112" i="91"/>
  <c r="G116" i="63"/>
  <c r="E117" i="63"/>
  <c r="D117" i="63"/>
  <c r="J112" i="95"/>
  <c r="J116" i="59"/>
  <c r="I118" i="56"/>
  <c r="H118" i="56"/>
  <c r="D118" i="59"/>
  <c r="E118" i="59"/>
  <c r="G117" i="59"/>
  <c r="G122" i="23"/>
  <c r="E123" i="23"/>
  <c r="D123" i="23"/>
  <c r="D122" i="18"/>
  <c r="G121" i="18"/>
  <c r="E122" i="18"/>
  <c r="J114" i="67"/>
  <c r="J120" i="18"/>
  <c r="F119" i="56"/>
  <c r="B119" i="56"/>
  <c r="G118" i="57"/>
  <c r="E119" i="57"/>
  <c r="D119" i="57"/>
  <c r="J121" i="71"/>
  <c r="G122" i="71"/>
  <c r="E123" i="71"/>
  <c r="D123" i="71"/>
  <c r="J117" i="57"/>
  <c r="G113" i="95"/>
  <c r="D114" i="95"/>
  <c r="E114" i="95" s="1"/>
  <c r="J118" i="44"/>
  <c r="H130" i="35"/>
  <c r="I130" i="35"/>
  <c r="G112" i="96"/>
  <c r="D113" i="96"/>
  <c r="E113" i="96" s="1"/>
  <c r="J120" i="17"/>
  <c r="B120" i="42"/>
  <c r="F120" i="42"/>
  <c r="B115" i="75"/>
  <c r="F115" i="75"/>
  <c r="H113" i="83"/>
  <c r="I113" i="83"/>
  <c r="H121" i="24"/>
  <c r="I121" i="24"/>
  <c r="F113" i="93"/>
  <c r="B113" i="93"/>
  <c r="B114" i="80"/>
  <c r="F114" i="80"/>
  <c r="F118" i="55"/>
  <c r="B118" i="55"/>
  <c r="G119" i="44"/>
  <c r="D120" i="44"/>
  <c r="E120" i="44"/>
  <c r="I114" i="76"/>
  <c r="H114" i="76"/>
  <c r="B112" i="13"/>
  <c r="H114" i="75"/>
  <c r="I114" i="75"/>
  <c r="F114" i="83"/>
  <c r="B114" i="83"/>
  <c r="H117" i="54"/>
  <c r="I117" i="54"/>
  <c r="F122" i="24"/>
  <c r="B122" i="24"/>
  <c r="H113" i="80"/>
  <c r="I113" i="80"/>
  <c r="B121" i="21"/>
  <c r="F121" i="21"/>
  <c r="G121" i="17"/>
  <c r="E122" i="17"/>
  <c r="D122" i="17"/>
  <c r="D124" i="28"/>
  <c r="G123" i="28"/>
  <c r="E124" i="28"/>
  <c r="B115" i="76"/>
  <c r="F115" i="76"/>
  <c r="I111" i="33"/>
  <c r="N88" i="33" s="1"/>
  <c r="H111" i="33"/>
  <c r="M88" i="33" s="1"/>
  <c r="M89" i="33" s="1"/>
  <c r="D113" i="87"/>
  <c r="G112" i="87"/>
  <c r="E113" i="87"/>
  <c r="F112" i="33"/>
  <c r="B112" i="33"/>
  <c r="J122" i="28"/>
  <c r="E112" i="13"/>
  <c r="F112" i="13" s="1"/>
  <c r="J111" i="87"/>
  <c r="J119" i="3"/>
  <c r="B118" i="54"/>
  <c r="F118" i="54"/>
  <c r="I112" i="93"/>
  <c r="H112" i="93"/>
  <c r="H117" i="55"/>
  <c r="I117" i="55"/>
  <c r="I120" i="21"/>
  <c r="H120" i="21"/>
  <c r="F115" i="77"/>
  <c r="B115" i="77"/>
  <c r="J111" i="96"/>
  <c r="D121" i="3"/>
  <c r="G120" i="3"/>
  <c r="E121" i="3"/>
  <c r="B132" i="35"/>
  <c r="E132" i="35"/>
  <c r="F132" i="35" s="1"/>
  <c r="G131" i="35"/>
  <c r="H119" i="42"/>
  <c r="I119" i="42"/>
  <c r="H111" i="13"/>
  <c r="I111" i="13"/>
  <c r="G113" i="82"/>
  <c r="D114" i="82"/>
  <c r="E114" i="82"/>
  <c r="G115" i="67"/>
  <c r="D116" i="67"/>
  <c r="E116" i="67"/>
  <c r="I114" i="77"/>
  <c r="H114" i="77"/>
  <c r="F35" i="36"/>
  <c r="D38" i="100" l="1"/>
  <c r="H37" i="100"/>
  <c r="G37" i="100"/>
  <c r="E38" i="100"/>
  <c r="F38" i="100" s="1"/>
  <c r="B38" i="100"/>
  <c r="G35" i="36"/>
  <c r="G112" i="100"/>
  <c r="D113" i="100"/>
  <c r="O88" i="33"/>
  <c r="O89" i="33" s="1"/>
  <c r="N89" i="33"/>
  <c r="I32" i="26"/>
  <c r="G32" i="25"/>
  <c r="H32" i="25"/>
  <c r="D33" i="25"/>
  <c r="B33" i="26"/>
  <c r="F33" i="26"/>
  <c r="G33" i="26" s="1"/>
  <c r="G42" i="30"/>
  <c r="I42" i="30" s="1"/>
  <c r="I34" i="97"/>
  <c r="I31" i="98"/>
  <c r="J111" i="99"/>
  <c r="H35" i="97"/>
  <c r="F33" i="99"/>
  <c r="D34" i="99" s="1"/>
  <c r="B33" i="99"/>
  <c r="G35" i="97"/>
  <c r="E36" i="97"/>
  <c r="F36" i="97" s="1"/>
  <c r="D37" i="97" s="1"/>
  <c r="B36" i="97"/>
  <c r="B32" i="98"/>
  <c r="F32" i="98"/>
  <c r="H32" i="98" s="1"/>
  <c r="G112" i="25"/>
  <c r="D113" i="25"/>
  <c r="J111" i="25"/>
  <c r="D113" i="99"/>
  <c r="G112" i="99"/>
  <c r="E113" i="99"/>
  <c r="J112" i="26"/>
  <c r="F113" i="98"/>
  <c r="B113" i="98"/>
  <c r="H112" i="97"/>
  <c r="I112" i="97"/>
  <c r="H112" i="98"/>
  <c r="I112" i="98"/>
  <c r="B113" i="97"/>
  <c r="F113" i="97"/>
  <c r="D114" i="26"/>
  <c r="G113" i="26"/>
  <c r="H33" i="83"/>
  <c r="I33" i="83" s="1"/>
  <c r="I34" i="77"/>
  <c r="F37" i="67"/>
  <c r="H37" i="67" s="1"/>
  <c r="B37" i="67"/>
  <c r="B38" i="46"/>
  <c r="F38" i="46"/>
  <c r="H38" i="46" s="1"/>
  <c r="B42" i="24"/>
  <c r="F42" i="24"/>
  <c r="H42" i="24" s="1"/>
  <c r="F35" i="80"/>
  <c r="B35" i="80"/>
  <c r="F32" i="93"/>
  <c r="H32" i="93" s="1"/>
  <c r="B32" i="93"/>
  <c r="H37" i="56"/>
  <c r="I37" i="56" s="1"/>
  <c r="D36" i="82"/>
  <c r="E36" i="82"/>
  <c r="H34" i="86"/>
  <c r="D35" i="86"/>
  <c r="G34" i="86"/>
  <c r="E35" i="86"/>
  <c r="G35" i="82"/>
  <c r="I35" i="82" s="1"/>
  <c r="I31" i="93"/>
  <c r="G38" i="72"/>
  <c r="I38" i="72" s="1"/>
  <c r="F33" i="94"/>
  <c r="H33" i="94" s="1"/>
  <c r="B33" i="94"/>
  <c r="B34" i="84"/>
  <c r="F34" i="84"/>
  <c r="H34" i="84" s="1"/>
  <c r="H35" i="75"/>
  <c r="E36" i="75"/>
  <c r="D36" i="75"/>
  <c r="H39" i="58"/>
  <c r="D40" i="58"/>
  <c r="E40" i="58"/>
  <c r="I112" i="94"/>
  <c r="H112" i="94"/>
  <c r="F35" i="90"/>
  <c r="G35" i="90" s="1"/>
  <c r="B35" i="90"/>
  <c r="F37" i="66"/>
  <c r="H37" i="66" s="1"/>
  <c r="B37" i="66"/>
  <c r="B38" i="53"/>
  <c r="F38" i="53"/>
  <c r="I33" i="91"/>
  <c r="D41" i="42"/>
  <c r="E41" i="42"/>
  <c r="E113" i="94"/>
  <c r="F113" i="94" s="1"/>
  <c r="B113" i="94"/>
  <c r="H36" i="65"/>
  <c r="E37" i="65"/>
  <c r="D37" i="65"/>
  <c r="F43" i="23"/>
  <c r="B43" i="23"/>
  <c r="I42" i="27"/>
  <c r="G36" i="65"/>
  <c r="G35" i="75"/>
  <c r="G39" i="58"/>
  <c r="H40" i="42"/>
  <c r="I40" i="42" s="1"/>
  <c r="H39" i="55"/>
  <c r="I39" i="55" s="1"/>
  <c r="D40" i="55"/>
  <c r="E40" i="55"/>
  <c r="F34" i="91"/>
  <c r="B34" i="91"/>
  <c r="I39" i="73"/>
  <c r="H37" i="64"/>
  <c r="I37" i="64" s="1"/>
  <c r="G41" i="19"/>
  <c r="I41" i="19" s="1"/>
  <c r="B43" i="27"/>
  <c r="F43" i="27"/>
  <c r="D35" i="85"/>
  <c r="E35" i="85"/>
  <c r="H40" i="20"/>
  <c r="I40" i="20" s="1"/>
  <c r="F32" i="96"/>
  <c r="B32" i="96"/>
  <c r="F34" i="81"/>
  <c r="H34" i="81" s="1"/>
  <c r="B34" i="81"/>
  <c r="D39" i="72"/>
  <c r="E39" i="72"/>
  <c r="H40" i="39"/>
  <c r="I40" i="39" s="1"/>
  <c r="D41" i="39"/>
  <c r="E41" i="39"/>
  <c r="F37" i="61"/>
  <c r="H37" i="61" s="1"/>
  <c r="B37" i="61"/>
  <c r="H34" i="85"/>
  <c r="F41" i="22"/>
  <c r="H41" i="22" s="1"/>
  <c r="B41" i="22"/>
  <c r="F40" i="44"/>
  <c r="H40" i="44" s="1"/>
  <c r="B40" i="44"/>
  <c r="B35" i="76"/>
  <c r="F35" i="76"/>
  <c r="G35" i="76" s="1"/>
  <c r="G32" i="95"/>
  <c r="I32" i="95" s="1"/>
  <c r="D33" i="95"/>
  <c r="E33" i="95"/>
  <c r="G34" i="85"/>
  <c r="I36" i="59"/>
  <c r="H44" i="28"/>
  <c r="E45" i="28"/>
  <c r="D45" i="28"/>
  <c r="F37" i="63"/>
  <c r="G37" i="63" s="1"/>
  <c r="B37" i="63"/>
  <c r="F42" i="32"/>
  <c r="H42" i="32" s="1"/>
  <c r="B42" i="32"/>
  <c r="D44" i="69"/>
  <c r="E44" i="69"/>
  <c r="E40" i="45"/>
  <c r="D40" i="45"/>
  <c r="H34" i="88"/>
  <c r="E35" i="88"/>
  <c r="D35" i="88"/>
  <c r="B38" i="54"/>
  <c r="F38" i="54"/>
  <c r="G38" i="54" s="1"/>
  <c r="F41" i="21"/>
  <c r="G41" i="21" s="1"/>
  <c r="B41" i="21"/>
  <c r="F41" i="17"/>
  <c r="G41" i="17" s="1"/>
  <c r="B41" i="17"/>
  <c r="C50" i="17"/>
  <c r="F38" i="57"/>
  <c r="G38" i="57" s="1"/>
  <c r="B38" i="57"/>
  <c r="D42" i="3"/>
  <c r="E42" i="3" s="1"/>
  <c r="E37" i="68"/>
  <c r="D37" i="68"/>
  <c r="B35" i="78"/>
  <c r="F35" i="78"/>
  <c r="G35" i="78" s="1"/>
  <c r="B33" i="89"/>
  <c r="F33" i="89"/>
  <c r="H33" i="89" s="1"/>
  <c r="D43" i="71"/>
  <c r="E43" i="71"/>
  <c r="I40" i="21"/>
  <c r="B35" i="77"/>
  <c r="F35" i="77"/>
  <c r="G35" i="77" s="1"/>
  <c r="I40" i="17"/>
  <c r="H33" i="87"/>
  <c r="I33" i="87" s="1"/>
  <c r="F41" i="43"/>
  <c r="H41" i="43" s="1"/>
  <c r="B41" i="43"/>
  <c r="H43" i="69"/>
  <c r="B35" i="79"/>
  <c r="F35" i="79"/>
  <c r="G39" i="45"/>
  <c r="G36" i="68"/>
  <c r="B40" i="74"/>
  <c r="F40" i="74"/>
  <c r="G40" i="74" s="1"/>
  <c r="F43" i="29"/>
  <c r="H43" i="29" s="1"/>
  <c r="B43" i="29"/>
  <c r="G34" i="88"/>
  <c r="B41" i="41"/>
  <c r="F41" i="41"/>
  <c r="G41" i="41" s="1"/>
  <c r="E38" i="64"/>
  <c r="D38" i="64"/>
  <c r="H42" i="71"/>
  <c r="F33" i="92"/>
  <c r="B33" i="92"/>
  <c r="E42" i="19"/>
  <c r="D42" i="19"/>
  <c r="E44" i="31"/>
  <c r="D44" i="31"/>
  <c r="I48" i="35"/>
  <c r="H41" i="3"/>
  <c r="I41" i="3" s="1"/>
  <c r="G44" i="28"/>
  <c r="F37" i="60"/>
  <c r="B37" i="60"/>
  <c r="B40" i="73"/>
  <c r="F40" i="73"/>
  <c r="G40" i="73" s="1"/>
  <c r="D38" i="56"/>
  <c r="E38" i="56"/>
  <c r="G43" i="69"/>
  <c r="F43" i="70"/>
  <c r="B43" i="70"/>
  <c r="H39" i="45"/>
  <c r="H36" i="68"/>
  <c r="G42" i="71"/>
  <c r="E43" i="30"/>
  <c r="D43" i="30"/>
  <c r="E34" i="83"/>
  <c r="D34" i="83"/>
  <c r="G42" i="34"/>
  <c r="D43" i="34"/>
  <c r="H42" i="34"/>
  <c r="E43" i="34"/>
  <c r="G43" i="31"/>
  <c r="I43" i="31" s="1"/>
  <c r="D35" i="33"/>
  <c r="H34" i="33"/>
  <c r="G34" i="33"/>
  <c r="D33" i="13"/>
  <c r="H32" i="13"/>
  <c r="G32" i="13"/>
  <c r="E37" i="62"/>
  <c r="D37" i="62"/>
  <c r="B37" i="59"/>
  <c r="F37" i="59"/>
  <c r="H37" i="59" s="1"/>
  <c r="H36" i="62"/>
  <c r="G36" i="62"/>
  <c r="G49" i="35"/>
  <c r="H49" i="35"/>
  <c r="E50" i="35"/>
  <c r="F50" i="35" s="1"/>
  <c r="B50" i="35"/>
  <c r="F42" i="18"/>
  <c r="H42" i="18" s="1"/>
  <c r="B42" i="18"/>
  <c r="J112" i="91"/>
  <c r="J119" i="41"/>
  <c r="J120" i="22"/>
  <c r="J116" i="62"/>
  <c r="D34" i="87"/>
  <c r="E34" i="87"/>
  <c r="E41" i="20"/>
  <c r="D41" i="20"/>
  <c r="J114" i="76"/>
  <c r="H116" i="63"/>
  <c r="I116" i="63"/>
  <c r="J112" i="89"/>
  <c r="I117" i="58"/>
  <c r="H117" i="58"/>
  <c r="B121" i="34"/>
  <c r="F121" i="34"/>
  <c r="F121" i="19"/>
  <c r="B121" i="19"/>
  <c r="I112" i="90"/>
  <c r="H112" i="90"/>
  <c r="B115" i="78"/>
  <c r="F115" i="78"/>
  <c r="H112" i="92"/>
  <c r="I112" i="92"/>
  <c r="B118" i="46"/>
  <c r="F118" i="46"/>
  <c r="I116" i="60"/>
  <c r="H116" i="60"/>
  <c r="H122" i="29"/>
  <c r="I122" i="29"/>
  <c r="F113" i="84"/>
  <c r="B113" i="84"/>
  <c r="I116" i="61"/>
  <c r="H116" i="61"/>
  <c r="I114" i="79"/>
  <c r="H114" i="79"/>
  <c r="B123" i="27"/>
  <c r="F123" i="27"/>
  <c r="H121" i="31"/>
  <c r="I121" i="31"/>
  <c r="H112" i="86"/>
  <c r="I112" i="86"/>
  <c r="F118" i="72"/>
  <c r="B118" i="72"/>
  <c r="B119" i="74"/>
  <c r="F119" i="74"/>
  <c r="F121" i="20"/>
  <c r="B121" i="20"/>
  <c r="H122" i="30"/>
  <c r="I122" i="30"/>
  <c r="E122" i="22"/>
  <c r="G121" i="22"/>
  <c r="D122" i="22"/>
  <c r="H121" i="32"/>
  <c r="I121" i="32"/>
  <c r="G114" i="81"/>
  <c r="D115" i="81"/>
  <c r="E115" i="81"/>
  <c r="H115" i="66"/>
  <c r="I115" i="66"/>
  <c r="I122" i="69"/>
  <c r="H122" i="69"/>
  <c r="H113" i="85"/>
  <c r="I113" i="85"/>
  <c r="B118" i="58"/>
  <c r="F118" i="58"/>
  <c r="I120" i="34"/>
  <c r="H120" i="34"/>
  <c r="I120" i="19"/>
  <c r="H120" i="19"/>
  <c r="B113" i="90"/>
  <c r="F113" i="90"/>
  <c r="J113" i="81"/>
  <c r="F120" i="43"/>
  <c r="B120" i="43"/>
  <c r="H115" i="68"/>
  <c r="I115" i="68"/>
  <c r="E121" i="41"/>
  <c r="G120" i="41"/>
  <c r="D121" i="41"/>
  <c r="I116" i="64"/>
  <c r="H116" i="64"/>
  <c r="B123" i="70"/>
  <c r="F123" i="70"/>
  <c r="F115" i="79"/>
  <c r="B115" i="79"/>
  <c r="G113" i="91"/>
  <c r="E114" i="91"/>
  <c r="D114" i="91"/>
  <c r="G113" i="89"/>
  <c r="D114" i="89"/>
  <c r="E114" i="89"/>
  <c r="F116" i="66"/>
  <c r="B116" i="66"/>
  <c r="F123" i="69"/>
  <c r="B123" i="69"/>
  <c r="F117" i="63"/>
  <c r="B117" i="63"/>
  <c r="G119" i="45"/>
  <c r="D120" i="45"/>
  <c r="E120" i="45"/>
  <c r="B118" i="53"/>
  <c r="F118" i="53"/>
  <c r="I114" i="78"/>
  <c r="H114" i="78"/>
  <c r="F113" i="92"/>
  <c r="B113" i="92"/>
  <c r="I117" i="46"/>
  <c r="H117" i="46"/>
  <c r="F117" i="64"/>
  <c r="B117" i="64"/>
  <c r="H122" i="70"/>
  <c r="I122" i="70"/>
  <c r="F122" i="31"/>
  <c r="B122" i="31"/>
  <c r="H112" i="88"/>
  <c r="I112" i="88"/>
  <c r="B113" i="86"/>
  <c r="F113" i="86"/>
  <c r="F123" i="30"/>
  <c r="B123" i="30"/>
  <c r="F120" i="39"/>
  <c r="B120" i="39"/>
  <c r="F122" i="32"/>
  <c r="B122" i="32"/>
  <c r="I116" i="65"/>
  <c r="H116" i="65"/>
  <c r="F114" i="85"/>
  <c r="B114" i="85"/>
  <c r="E121" i="73"/>
  <c r="G120" i="73"/>
  <c r="D121" i="73"/>
  <c r="H117" i="53"/>
  <c r="I117" i="53"/>
  <c r="I119" i="43"/>
  <c r="H119" i="43"/>
  <c r="F116" i="68"/>
  <c r="B116" i="68"/>
  <c r="F117" i="60"/>
  <c r="B117" i="60"/>
  <c r="B123" i="29"/>
  <c r="F123" i="29"/>
  <c r="H112" i="84"/>
  <c r="I112" i="84"/>
  <c r="B117" i="61"/>
  <c r="F117" i="61"/>
  <c r="H122" i="27"/>
  <c r="I122" i="27"/>
  <c r="B113" i="88"/>
  <c r="F113" i="88"/>
  <c r="H117" i="72"/>
  <c r="I117" i="72"/>
  <c r="H118" i="74"/>
  <c r="I118" i="74"/>
  <c r="H120" i="20"/>
  <c r="I120" i="20"/>
  <c r="H119" i="39"/>
  <c r="I119" i="39"/>
  <c r="B117" i="65"/>
  <c r="F117" i="65"/>
  <c r="J119" i="73"/>
  <c r="D118" i="62"/>
  <c r="G117" i="62"/>
  <c r="E118" i="62"/>
  <c r="J118" i="45"/>
  <c r="J130" i="35"/>
  <c r="F123" i="23"/>
  <c r="B123" i="23"/>
  <c r="H117" i="59"/>
  <c r="I117" i="59"/>
  <c r="J118" i="56"/>
  <c r="I121" i="18"/>
  <c r="H121" i="18"/>
  <c r="J121" i="24"/>
  <c r="J113" i="83"/>
  <c r="D120" i="56"/>
  <c r="G119" i="56"/>
  <c r="E120" i="56"/>
  <c r="F122" i="18"/>
  <c r="B122" i="18"/>
  <c r="H122" i="23"/>
  <c r="I122" i="23"/>
  <c r="B118" i="59"/>
  <c r="F118" i="59"/>
  <c r="H122" i="71"/>
  <c r="I122" i="71"/>
  <c r="J120" i="21"/>
  <c r="F119" i="57"/>
  <c r="B119" i="57"/>
  <c r="J112" i="93"/>
  <c r="J119" i="42"/>
  <c r="J117" i="55"/>
  <c r="B123" i="71"/>
  <c r="F123" i="71"/>
  <c r="I118" i="57"/>
  <c r="H118" i="57"/>
  <c r="D113" i="13"/>
  <c r="E113" i="13" s="1"/>
  <c r="G112" i="13"/>
  <c r="F114" i="82"/>
  <c r="B114" i="82"/>
  <c r="E133" i="35"/>
  <c r="F133" i="35" s="1"/>
  <c r="G132" i="35"/>
  <c r="B133" i="35"/>
  <c r="G112" i="33"/>
  <c r="D113" i="33"/>
  <c r="E113" i="33" s="1"/>
  <c r="G121" i="21"/>
  <c r="D122" i="21"/>
  <c r="E122" i="21"/>
  <c r="B120" i="44"/>
  <c r="F120" i="44"/>
  <c r="D116" i="75"/>
  <c r="E116" i="75"/>
  <c r="G115" i="75"/>
  <c r="F113" i="96"/>
  <c r="B113" i="96"/>
  <c r="H113" i="82"/>
  <c r="I113" i="82"/>
  <c r="I120" i="3"/>
  <c r="H120" i="3"/>
  <c r="H123" i="28"/>
  <c r="I123" i="28"/>
  <c r="F122" i="17"/>
  <c r="B122" i="17"/>
  <c r="G122" i="24"/>
  <c r="D123" i="24"/>
  <c r="E123" i="24"/>
  <c r="H119" i="44"/>
  <c r="I119" i="44"/>
  <c r="G113" i="93"/>
  <c r="D114" i="93"/>
  <c r="E114" i="93" s="1"/>
  <c r="H112" i="96"/>
  <c r="I112" i="96"/>
  <c r="F116" i="67"/>
  <c r="B116" i="67"/>
  <c r="B121" i="3"/>
  <c r="F121" i="3"/>
  <c r="I112" i="87"/>
  <c r="H112" i="87"/>
  <c r="J111" i="33"/>
  <c r="F124" i="28"/>
  <c r="B124" i="28"/>
  <c r="J117" i="54"/>
  <c r="D115" i="83"/>
  <c r="E115" i="83"/>
  <c r="G114" i="83"/>
  <c r="E115" i="80"/>
  <c r="D115" i="80"/>
  <c r="G114" i="80"/>
  <c r="D121" i="42"/>
  <c r="G120" i="42"/>
  <c r="E121" i="42"/>
  <c r="B114" i="95"/>
  <c r="F114" i="95"/>
  <c r="J114" i="77"/>
  <c r="I115" i="67"/>
  <c r="H115" i="67"/>
  <c r="J111" i="13"/>
  <c r="H131" i="35"/>
  <c r="I131" i="35"/>
  <c r="D116" i="77"/>
  <c r="E116" i="77"/>
  <c r="G115" i="77"/>
  <c r="G118" i="54"/>
  <c r="E119" i="54"/>
  <c r="D119" i="54"/>
  <c r="F113" i="87"/>
  <c r="B113" i="87"/>
  <c r="G115" i="76"/>
  <c r="E116" i="76"/>
  <c r="D116" i="76"/>
  <c r="H121" i="17"/>
  <c r="I121" i="17"/>
  <c r="J113" i="80"/>
  <c r="J114" i="75"/>
  <c r="D119" i="55"/>
  <c r="G118" i="55"/>
  <c r="E119" i="55"/>
  <c r="H113" i="95"/>
  <c r="I113" i="95"/>
  <c r="D39" i="100" l="1"/>
  <c r="G38" i="100"/>
  <c r="I37" i="100"/>
  <c r="H38" i="100"/>
  <c r="I38" i="100" s="1"/>
  <c r="E39" i="100"/>
  <c r="F39" i="100"/>
  <c r="H39" i="100" s="1"/>
  <c r="B39" i="100"/>
  <c r="E113" i="100"/>
  <c r="F113" i="100"/>
  <c r="B113" i="100"/>
  <c r="I112" i="100"/>
  <c r="H112" i="100"/>
  <c r="D34" i="26"/>
  <c r="I32" i="25"/>
  <c r="H33" i="26"/>
  <c r="B33" i="25"/>
  <c r="E33" i="25"/>
  <c r="F33" i="25" s="1"/>
  <c r="G32" i="98"/>
  <c r="I32" i="98" s="1"/>
  <c r="G33" i="99"/>
  <c r="H36" i="97"/>
  <c r="G36" i="97"/>
  <c r="E34" i="99"/>
  <c r="F34" i="99" s="1"/>
  <c r="D35" i="99" s="1"/>
  <c r="B34" i="99"/>
  <c r="E37" i="97"/>
  <c r="F37" i="97" s="1"/>
  <c r="B37" i="97"/>
  <c r="D33" i="98"/>
  <c r="E33" i="98"/>
  <c r="H33" i="99"/>
  <c r="I35" i="97"/>
  <c r="E113" i="25"/>
  <c r="F113" i="25" s="1"/>
  <c r="B113" i="25"/>
  <c r="I112" i="25"/>
  <c r="N88" i="25" s="1"/>
  <c r="H112" i="25"/>
  <c r="M88" i="25" s="1"/>
  <c r="I112" i="99"/>
  <c r="H112" i="99"/>
  <c r="B113" i="99"/>
  <c r="F113" i="99"/>
  <c r="J112" i="97"/>
  <c r="I34" i="86"/>
  <c r="J112" i="98"/>
  <c r="E114" i="26"/>
  <c r="F114" i="26" s="1"/>
  <c r="B114" i="26"/>
  <c r="G113" i="97"/>
  <c r="D114" i="97"/>
  <c r="E114" i="97"/>
  <c r="I113" i="26"/>
  <c r="N88" i="26" s="1"/>
  <c r="H113" i="26"/>
  <c r="M88" i="26" s="1"/>
  <c r="M89" i="26" s="1"/>
  <c r="D114" i="98"/>
  <c r="G113" i="98"/>
  <c r="E114" i="98"/>
  <c r="H35" i="90"/>
  <c r="I35" i="90" s="1"/>
  <c r="G33" i="94"/>
  <c r="I33" i="94" s="1"/>
  <c r="G34" i="84"/>
  <c r="I34" i="84" s="1"/>
  <c r="G37" i="67"/>
  <c r="I37" i="67" s="1"/>
  <c r="E38" i="67"/>
  <c r="D38" i="67"/>
  <c r="G37" i="66"/>
  <c r="I37" i="66" s="1"/>
  <c r="G38" i="46"/>
  <c r="I38" i="46" s="1"/>
  <c r="E39" i="46"/>
  <c r="D39" i="46"/>
  <c r="I39" i="45"/>
  <c r="G42" i="24"/>
  <c r="I42" i="24" s="1"/>
  <c r="E43" i="24"/>
  <c r="D43" i="24"/>
  <c r="G41" i="22"/>
  <c r="I41" i="22" s="1"/>
  <c r="I36" i="65"/>
  <c r="H41" i="17"/>
  <c r="I41" i="17" s="1"/>
  <c r="I39" i="58"/>
  <c r="B36" i="82"/>
  <c r="F36" i="82"/>
  <c r="D36" i="80"/>
  <c r="E36" i="80"/>
  <c r="B35" i="86"/>
  <c r="F35" i="86"/>
  <c r="G32" i="93"/>
  <c r="I32" i="93" s="1"/>
  <c r="D33" i="93"/>
  <c r="E33" i="93"/>
  <c r="H35" i="80"/>
  <c r="G42" i="18"/>
  <c r="I42" i="18" s="1"/>
  <c r="G41" i="43"/>
  <c r="I41" i="43" s="1"/>
  <c r="D34" i="94"/>
  <c r="E34" i="94"/>
  <c r="G35" i="80"/>
  <c r="G113" i="94"/>
  <c r="D114" i="94"/>
  <c r="B114" i="94" s="1"/>
  <c r="H41" i="21"/>
  <c r="I41" i="21" s="1"/>
  <c r="H38" i="53"/>
  <c r="E39" i="53"/>
  <c r="D39" i="53"/>
  <c r="J112" i="94"/>
  <c r="F36" i="75"/>
  <c r="G36" i="75" s="1"/>
  <c r="B36" i="75"/>
  <c r="D35" i="91"/>
  <c r="H34" i="91"/>
  <c r="E35" i="91"/>
  <c r="G34" i="91"/>
  <c r="B40" i="55"/>
  <c r="F40" i="55"/>
  <c r="G40" i="55" s="1"/>
  <c r="G43" i="23"/>
  <c r="D44" i="23"/>
  <c r="E44" i="23"/>
  <c r="H43" i="23"/>
  <c r="D38" i="66"/>
  <c r="E38" i="66"/>
  <c r="E35" i="84"/>
  <c r="D35" i="84"/>
  <c r="G37" i="59"/>
  <c r="I37" i="59" s="1"/>
  <c r="B37" i="65"/>
  <c r="F37" i="65"/>
  <c r="F41" i="42"/>
  <c r="B41" i="42"/>
  <c r="G38" i="53"/>
  <c r="D36" i="90"/>
  <c r="E36" i="90"/>
  <c r="F40" i="58"/>
  <c r="B40" i="58"/>
  <c r="I35" i="75"/>
  <c r="B39" i="72"/>
  <c r="F39" i="72"/>
  <c r="G39" i="72" s="1"/>
  <c r="H32" i="96"/>
  <c r="D33" i="96"/>
  <c r="E33" i="96"/>
  <c r="B35" i="85"/>
  <c r="F35" i="85"/>
  <c r="G35" i="85" s="1"/>
  <c r="G43" i="29"/>
  <c r="I43" i="29" s="1"/>
  <c r="G37" i="61"/>
  <c r="I37" i="61" s="1"/>
  <c r="B41" i="39"/>
  <c r="F41" i="39"/>
  <c r="G41" i="39" s="1"/>
  <c r="G43" i="27"/>
  <c r="D44" i="27"/>
  <c r="E44" i="27"/>
  <c r="H43" i="27"/>
  <c r="H35" i="76"/>
  <c r="I35" i="76" s="1"/>
  <c r="D36" i="76"/>
  <c r="E36" i="76"/>
  <c r="G40" i="44"/>
  <c r="I40" i="44" s="1"/>
  <c r="D41" i="44"/>
  <c r="E41" i="44"/>
  <c r="D42" i="22"/>
  <c r="E42" i="22"/>
  <c r="G34" i="81"/>
  <c r="I34" i="81" s="1"/>
  <c r="E35" i="81"/>
  <c r="D35" i="81"/>
  <c r="F33" i="95"/>
  <c r="H33" i="95" s="1"/>
  <c r="B33" i="95"/>
  <c r="I34" i="85"/>
  <c r="D38" i="61"/>
  <c r="E38" i="61"/>
  <c r="G32" i="96"/>
  <c r="I44" i="28"/>
  <c r="I36" i="68"/>
  <c r="B43" i="34"/>
  <c r="F43" i="34"/>
  <c r="H43" i="34" s="1"/>
  <c r="F43" i="30"/>
  <c r="H43" i="30" s="1"/>
  <c r="B43" i="30"/>
  <c r="B38" i="56"/>
  <c r="F38" i="56"/>
  <c r="H38" i="56" s="1"/>
  <c r="F42" i="19"/>
  <c r="G42" i="19" s="1"/>
  <c r="B42" i="19"/>
  <c r="I42" i="71"/>
  <c r="H41" i="41"/>
  <c r="I41" i="41" s="1"/>
  <c r="E42" i="41"/>
  <c r="D42" i="41"/>
  <c r="H40" i="74"/>
  <c r="I40" i="74" s="1"/>
  <c r="I43" i="69"/>
  <c r="G33" i="89"/>
  <c r="I33" i="89" s="1"/>
  <c r="D34" i="89"/>
  <c r="E34" i="89"/>
  <c r="F42" i="3"/>
  <c r="H42" i="3" s="1"/>
  <c r="B42" i="3"/>
  <c r="D39" i="57"/>
  <c r="E39" i="57"/>
  <c r="H38" i="54"/>
  <c r="I38" i="54" s="1"/>
  <c r="D39" i="54"/>
  <c r="E39" i="54"/>
  <c r="B44" i="69"/>
  <c r="F44" i="69"/>
  <c r="G44" i="69" s="1"/>
  <c r="D43" i="32"/>
  <c r="E43" i="32"/>
  <c r="G43" i="70"/>
  <c r="D44" i="70"/>
  <c r="E44" i="70"/>
  <c r="E38" i="60"/>
  <c r="D38" i="60"/>
  <c r="H33" i="92"/>
  <c r="E34" i="92"/>
  <c r="D34" i="92"/>
  <c r="B38" i="64"/>
  <c r="F38" i="64"/>
  <c r="H35" i="79"/>
  <c r="D36" i="79"/>
  <c r="E36" i="79"/>
  <c r="E36" i="77"/>
  <c r="D36" i="77"/>
  <c r="D36" i="78"/>
  <c r="E36" i="78"/>
  <c r="I34" i="88"/>
  <c r="B45" i="28"/>
  <c r="F45" i="28"/>
  <c r="G45" i="28" s="1"/>
  <c r="F34" i="83"/>
  <c r="G34" i="83" s="1"/>
  <c r="B34" i="83"/>
  <c r="H40" i="73"/>
  <c r="I40" i="73" s="1"/>
  <c r="D41" i="73"/>
  <c r="E41" i="73"/>
  <c r="G37" i="60"/>
  <c r="F44" i="31"/>
  <c r="G44" i="31" s="1"/>
  <c r="B44" i="31"/>
  <c r="D44" i="29"/>
  <c r="E44" i="29"/>
  <c r="G35" i="79"/>
  <c r="E42" i="43"/>
  <c r="D42" i="43"/>
  <c r="H35" i="77"/>
  <c r="I35" i="77" s="1"/>
  <c r="B43" i="71"/>
  <c r="F43" i="71"/>
  <c r="G43" i="71" s="1"/>
  <c r="H38" i="57"/>
  <c r="I38" i="57" s="1"/>
  <c r="E42" i="17"/>
  <c r="D42" i="17"/>
  <c r="D42" i="21"/>
  <c r="E42" i="21"/>
  <c r="F40" i="45"/>
  <c r="H40" i="45" s="1"/>
  <c r="B40" i="45"/>
  <c r="G42" i="32"/>
  <c r="I42" i="32" s="1"/>
  <c r="E38" i="63"/>
  <c r="D38" i="63"/>
  <c r="I42" i="34"/>
  <c r="H43" i="70"/>
  <c r="H37" i="60"/>
  <c r="G33" i="92"/>
  <c r="D41" i="74"/>
  <c r="E41" i="74"/>
  <c r="H35" i="78"/>
  <c r="I35" i="78" s="1"/>
  <c r="F37" i="68"/>
  <c r="G37" i="68" s="1"/>
  <c r="B37" i="68"/>
  <c r="F35" i="88"/>
  <c r="B35" i="88"/>
  <c r="H37" i="63"/>
  <c r="I37" i="63" s="1"/>
  <c r="J117" i="46"/>
  <c r="J113" i="85"/>
  <c r="J116" i="64"/>
  <c r="J114" i="78"/>
  <c r="J120" i="19"/>
  <c r="J122" i="69"/>
  <c r="J116" i="63"/>
  <c r="J116" i="61"/>
  <c r="J117" i="58"/>
  <c r="J117" i="59"/>
  <c r="J114" i="79"/>
  <c r="J116" i="60"/>
  <c r="J112" i="90"/>
  <c r="B51" i="35"/>
  <c r="E51" i="35"/>
  <c r="F51" i="35" s="1"/>
  <c r="H50" i="35"/>
  <c r="G50" i="35"/>
  <c r="I32" i="13"/>
  <c r="I34" i="33"/>
  <c r="F34" i="87"/>
  <c r="G34" i="87" s="1"/>
  <c r="B34" i="87"/>
  <c r="B34" i="26"/>
  <c r="E43" i="18"/>
  <c r="D43" i="18"/>
  <c r="I49" i="35"/>
  <c r="I36" i="62"/>
  <c r="D38" i="59"/>
  <c r="E38" i="59"/>
  <c r="B33" i="13"/>
  <c r="B35" i="33"/>
  <c r="F37" i="62"/>
  <c r="H37" i="62" s="1"/>
  <c r="B37" i="62"/>
  <c r="J120" i="20"/>
  <c r="J117" i="72"/>
  <c r="J122" i="27"/>
  <c r="J112" i="84"/>
  <c r="F41" i="20"/>
  <c r="B41" i="20"/>
  <c r="E34" i="26"/>
  <c r="F34" i="26" s="1"/>
  <c r="E33" i="13"/>
  <c r="F33" i="13" s="1"/>
  <c r="E35" i="33"/>
  <c r="F35" i="33" s="1"/>
  <c r="I117" i="62"/>
  <c r="H117" i="62"/>
  <c r="G117" i="60"/>
  <c r="E118" i="60"/>
  <c r="D118" i="60"/>
  <c r="J119" i="43"/>
  <c r="I120" i="73"/>
  <c r="H120" i="73"/>
  <c r="J116" i="65"/>
  <c r="D121" i="39"/>
  <c r="G120" i="39"/>
  <c r="E121" i="39"/>
  <c r="G122" i="31"/>
  <c r="E123" i="31"/>
  <c r="D123" i="31"/>
  <c r="D118" i="64"/>
  <c r="G117" i="64"/>
  <c r="E118" i="64"/>
  <c r="D114" i="92"/>
  <c r="E114" i="92"/>
  <c r="G113" i="92"/>
  <c r="I113" i="89"/>
  <c r="H113" i="89"/>
  <c r="D121" i="43"/>
  <c r="E121" i="43"/>
  <c r="G120" i="43"/>
  <c r="G118" i="58"/>
  <c r="D119" i="58"/>
  <c r="E119" i="58"/>
  <c r="J121" i="32"/>
  <c r="D122" i="20"/>
  <c r="E122" i="20"/>
  <c r="G121" i="20"/>
  <c r="D119" i="72"/>
  <c r="G118" i="72"/>
  <c r="E119" i="72"/>
  <c r="G113" i="84"/>
  <c r="E114" i="84"/>
  <c r="D114" i="84"/>
  <c r="B118" i="62"/>
  <c r="F118" i="62"/>
  <c r="J119" i="39"/>
  <c r="J118" i="74"/>
  <c r="G113" i="88"/>
  <c r="D114" i="88"/>
  <c r="E114" i="88"/>
  <c r="E118" i="61"/>
  <c r="G117" i="61"/>
  <c r="D118" i="61"/>
  <c r="G123" i="29"/>
  <c r="E124" i="29"/>
  <c r="D124" i="29"/>
  <c r="J117" i="53"/>
  <c r="J112" i="88"/>
  <c r="J122" i="70"/>
  <c r="G117" i="63"/>
  <c r="E118" i="63"/>
  <c r="D118" i="63"/>
  <c r="E117" i="66"/>
  <c r="G116" i="66"/>
  <c r="D117" i="66"/>
  <c r="F114" i="91"/>
  <c r="B114" i="91"/>
  <c r="G115" i="79"/>
  <c r="D116" i="79"/>
  <c r="E116" i="79"/>
  <c r="J115" i="68"/>
  <c r="J122" i="30"/>
  <c r="D120" i="74"/>
  <c r="E120" i="74"/>
  <c r="G119" i="74"/>
  <c r="J112" i="86"/>
  <c r="E124" i="27"/>
  <c r="D124" i="27"/>
  <c r="G123" i="27"/>
  <c r="J122" i="29"/>
  <c r="E119" i="46"/>
  <c r="D119" i="46"/>
  <c r="G118" i="46"/>
  <c r="G115" i="78"/>
  <c r="E116" i="78"/>
  <c r="D116" i="78"/>
  <c r="G116" i="68"/>
  <c r="E117" i="68"/>
  <c r="D117" i="68"/>
  <c r="E115" i="85"/>
  <c r="G114" i="85"/>
  <c r="D115" i="85"/>
  <c r="E123" i="32"/>
  <c r="D123" i="32"/>
  <c r="G122" i="32"/>
  <c r="G123" i="30"/>
  <c r="D124" i="30"/>
  <c r="E124" i="30"/>
  <c r="B120" i="45"/>
  <c r="F120" i="45"/>
  <c r="D124" i="70"/>
  <c r="E124" i="70"/>
  <c r="G123" i="70"/>
  <c r="B121" i="41"/>
  <c r="F121" i="41"/>
  <c r="G113" i="90"/>
  <c r="D114" i="90"/>
  <c r="E114" i="90"/>
  <c r="F115" i="81"/>
  <c r="B115" i="81"/>
  <c r="F122" i="22"/>
  <c r="B122" i="22"/>
  <c r="D122" i="19"/>
  <c r="G121" i="19"/>
  <c r="E122" i="19"/>
  <c r="J121" i="18"/>
  <c r="E118" i="65"/>
  <c r="D118" i="65"/>
  <c r="G117" i="65"/>
  <c r="B121" i="73"/>
  <c r="F121" i="73"/>
  <c r="D114" i="86"/>
  <c r="G113" i="86"/>
  <c r="E114" i="86"/>
  <c r="D119" i="53"/>
  <c r="E119" i="53"/>
  <c r="G118" i="53"/>
  <c r="H119" i="45"/>
  <c r="I119" i="45"/>
  <c r="G123" i="69"/>
  <c r="E124" i="69"/>
  <c r="D124" i="69"/>
  <c r="B114" i="89"/>
  <c r="F114" i="89"/>
  <c r="I113" i="91"/>
  <c r="H113" i="91"/>
  <c r="H120" i="41"/>
  <c r="I120" i="41"/>
  <c r="J120" i="34"/>
  <c r="J115" i="66"/>
  <c r="I114" i="81"/>
  <c r="H114" i="81"/>
  <c r="H121" i="22"/>
  <c r="I121" i="22"/>
  <c r="J121" i="31"/>
  <c r="J112" i="92"/>
  <c r="G121" i="34"/>
  <c r="E122" i="34"/>
  <c r="D122" i="34"/>
  <c r="J120" i="3"/>
  <c r="J122" i="71"/>
  <c r="D119" i="59"/>
  <c r="G118" i="59"/>
  <c r="E119" i="59"/>
  <c r="J122" i="23"/>
  <c r="H119" i="56"/>
  <c r="I119" i="56"/>
  <c r="D124" i="23"/>
  <c r="E124" i="23"/>
  <c r="G123" i="23"/>
  <c r="G122" i="18"/>
  <c r="D123" i="18"/>
  <c r="E123" i="18"/>
  <c r="F120" i="56"/>
  <c r="B120" i="56"/>
  <c r="E124" i="71"/>
  <c r="G123" i="71"/>
  <c r="D124" i="71"/>
  <c r="G119" i="57"/>
  <c r="E120" i="57"/>
  <c r="D120" i="57"/>
  <c r="J115" i="67"/>
  <c r="J118" i="57"/>
  <c r="J131" i="35"/>
  <c r="J113" i="95"/>
  <c r="H118" i="55"/>
  <c r="I118" i="55"/>
  <c r="I115" i="76"/>
  <c r="H115" i="76"/>
  <c r="I115" i="77"/>
  <c r="H115" i="77"/>
  <c r="H120" i="42"/>
  <c r="I120" i="42"/>
  <c r="I114" i="83"/>
  <c r="H114" i="83"/>
  <c r="H113" i="93"/>
  <c r="I113" i="93"/>
  <c r="J119" i="44"/>
  <c r="G113" i="96"/>
  <c r="D114" i="96"/>
  <c r="E114" i="96" s="1"/>
  <c r="B113" i="33"/>
  <c r="F113" i="33"/>
  <c r="B119" i="55"/>
  <c r="F119" i="55"/>
  <c r="J121" i="17"/>
  <c r="D114" i="87"/>
  <c r="G113" i="87"/>
  <c r="E114" i="87"/>
  <c r="H118" i="54"/>
  <c r="I118" i="54"/>
  <c r="G114" i="95"/>
  <c r="D115" i="95"/>
  <c r="E115" i="95" s="1"/>
  <c r="F121" i="42"/>
  <c r="B121" i="42"/>
  <c r="H114" i="80"/>
  <c r="I114" i="80"/>
  <c r="D122" i="3"/>
  <c r="G121" i="3"/>
  <c r="E122" i="3"/>
  <c r="G116" i="67"/>
  <c r="D117" i="67"/>
  <c r="E117" i="67"/>
  <c r="D123" i="17"/>
  <c r="G122" i="17"/>
  <c r="E123" i="17"/>
  <c r="H115" i="75"/>
  <c r="I115" i="75"/>
  <c r="B122" i="21"/>
  <c r="F122" i="21"/>
  <c r="H112" i="33"/>
  <c r="I112" i="33"/>
  <c r="I132" i="35"/>
  <c r="H132" i="35"/>
  <c r="D115" i="82"/>
  <c r="G114" i="82"/>
  <c r="E115" i="82"/>
  <c r="I112" i="13"/>
  <c r="H112" i="13"/>
  <c r="F116" i="76"/>
  <c r="B116" i="76"/>
  <c r="B116" i="77"/>
  <c r="F116" i="77"/>
  <c r="F115" i="80"/>
  <c r="B115" i="80"/>
  <c r="B115" i="83"/>
  <c r="F115" i="83"/>
  <c r="J112" i="87"/>
  <c r="J112" i="96"/>
  <c r="F123" i="24"/>
  <c r="B123" i="24"/>
  <c r="J123" i="28"/>
  <c r="J113" i="82"/>
  <c r="G120" i="44"/>
  <c r="D121" i="44"/>
  <c r="E121" i="44"/>
  <c r="I121" i="21"/>
  <c r="H121" i="21"/>
  <c r="E134" i="35"/>
  <c r="F134" i="35" s="1"/>
  <c r="B134" i="35"/>
  <c r="G133" i="35"/>
  <c r="F119" i="54"/>
  <c r="B119" i="54"/>
  <c r="D125" i="28"/>
  <c r="G124" i="28"/>
  <c r="E125" i="28"/>
  <c r="B114" i="93"/>
  <c r="F114" i="93"/>
  <c r="I122" i="24"/>
  <c r="H122" i="24"/>
  <c r="B116" i="75"/>
  <c r="F116" i="75"/>
  <c r="F113" i="13"/>
  <c r="B113" i="13"/>
  <c r="G39" i="100" l="1"/>
  <c r="I39" i="100" s="1"/>
  <c r="D40" i="100"/>
  <c r="E40" i="100"/>
  <c r="F40" i="100" s="1"/>
  <c r="D41" i="100" s="1"/>
  <c r="J112" i="100"/>
  <c r="D114" i="100"/>
  <c r="G113" i="100"/>
  <c r="E114" i="100"/>
  <c r="I33" i="26"/>
  <c r="N89" i="26"/>
  <c r="O88" i="26"/>
  <c r="O89" i="26" s="1"/>
  <c r="N18" i="2"/>
  <c r="M89" i="25"/>
  <c r="N89" i="25"/>
  <c r="O18" i="2"/>
  <c r="O88" i="25"/>
  <c r="O89" i="25" s="1"/>
  <c r="G33" i="25"/>
  <c r="N5" i="25" s="1"/>
  <c r="D34" i="25"/>
  <c r="H33" i="25"/>
  <c r="N6" i="25" s="1"/>
  <c r="I33" i="99"/>
  <c r="J112" i="25"/>
  <c r="D38" i="97"/>
  <c r="H37" i="97"/>
  <c r="G37" i="97"/>
  <c r="E35" i="99"/>
  <c r="F35" i="99" s="1"/>
  <c r="B35" i="99"/>
  <c r="H34" i="99"/>
  <c r="G34" i="99"/>
  <c r="F33" i="98"/>
  <c r="B33" i="98"/>
  <c r="I36" i="97"/>
  <c r="G113" i="25"/>
  <c r="D114" i="25"/>
  <c r="D114" i="99"/>
  <c r="G113" i="99"/>
  <c r="E114" i="99"/>
  <c r="J112" i="99"/>
  <c r="I43" i="70"/>
  <c r="I37" i="60"/>
  <c r="I43" i="23"/>
  <c r="B114" i="98"/>
  <c r="F114" i="98"/>
  <c r="I113" i="97"/>
  <c r="H113" i="97"/>
  <c r="J113" i="26"/>
  <c r="F114" i="97"/>
  <c r="B114" i="97"/>
  <c r="H113" i="98"/>
  <c r="I113" i="98"/>
  <c r="D115" i="26"/>
  <c r="G114" i="26"/>
  <c r="F38" i="67"/>
  <c r="H38" i="67" s="1"/>
  <c r="B38" i="67"/>
  <c r="B39" i="46"/>
  <c r="F39" i="46"/>
  <c r="H39" i="46" s="1"/>
  <c r="H44" i="31"/>
  <c r="I44" i="31" s="1"/>
  <c r="B43" i="24"/>
  <c r="F43" i="24"/>
  <c r="G42" i="3"/>
  <c r="I42" i="3" s="1"/>
  <c r="I35" i="80"/>
  <c r="H39" i="72"/>
  <c r="I39" i="72" s="1"/>
  <c r="I34" i="91"/>
  <c r="H36" i="82"/>
  <c r="E37" i="82"/>
  <c r="D37" i="82"/>
  <c r="G35" i="86"/>
  <c r="H35" i="86"/>
  <c r="E36" i="86"/>
  <c r="D36" i="86"/>
  <c r="F34" i="94"/>
  <c r="G34" i="94" s="1"/>
  <c r="B34" i="94"/>
  <c r="B36" i="80"/>
  <c r="F36" i="80"/>
  <c r="H36" i="80" s="1"/>
  <c r="B33" i="93"/>
  <c r="F33" i="93"/>
  <c r="H33" i="93" s="1"/>
  <c r="G36" i="82"/>
  <c r="I33" i="92"/>
  <c r="H44" i="69"/>
  <c r="I44" i="69" s="1"/>
  <c r="G33" i="95"/>
  <c r="I33" i="95" s="1"/>
  <c r="B36" i="90"/>
  <c r="F36" i="90"/>
  <c r="G36" i="90" s="1"/>
  <c r="G41" i="42"/>
  <c r="D42" i="42"/>
  <c r="E42" i="42"/>
  <c r="H40" i="55"/>
  <c r="I40" i="55" s="1"/>
  <c r="E41" i="55"/>
  <c r="D41" i="55"/>
  <c r="B39" i="53"/>
  <c r="F39" i="53"/>
  <c r="G39" i="53" s="1"/>
  <c r="E114" i="94"/>
  <c r="F114" i="94" s="1"/>
  <c r="E38" i="65"/>
  <c r="D38" i="65"/>
  <c r="G38" i="56"/>
  <c r="I38" i="56" s="1"/>
  <c r="G37" i="65"/>
  <c r="B44" i="23"/>
  <c r="F44" i="23"/>
  <c r="H44" i="23" s="1"/>
  <c r="B35" i="91"/>
  <c r="F35" i="91"/>
  <c r="B35" i="84"/>
  <c r="F35" i="84"/>
  <c r="G40" i="58"/>
  <c r="D41" i="58"/>
  <c r="E41" i="58"/>
  <c r="H40" i="58"/>
  <c r="H41" i="42"/>
  <c r="H37" i="65"/>
  <c r="B38" i="66"/>
  <c r="F38" i="66"/>
  <c r="H38" i="66" s="1"/>
  <c r="H36" i="75"/>
  <c r="I36" i="75" s="1"/>
  <c r="E37" i="75"/>
  <c r="D37" i="75"/>
  <c r="I38" i="53"/>
  <c r="I113" i="94"/>
  <c r="H113" i="94"/>
  <c r="B35" i="81"/>
  <c r="F35" i="81"/>
  <c r="H35" i="81" s="1"/>
  <c r="F41" i="44"/>
  <c r="H41" i="44" s="1"/>
  <c r="B41" i="44"/>
  <c r="H43" i="71"/>
  <c r="I43" i="71" s="1"/>
  <c r="G43" i="34"/>
  <c r="I43" i="34" s="1"/>
  <c r="F38" i="61"/>
  <c r="G38" i="61" s="1"/>
  <c r="B38" i="61"/>
  <c r="I43" i="27"/>
  <c r="H41" i="39"/>
  <c r="I41" i="39" s="1"/>
  <c r="E42" i="39"/>
  <c r="D42" i="39"/>
  <c r="G37" i="62"/>
  <c r="I37" i="62" s="1"/>
  <c r="E34" i="95"/>
  <c r="D34" i="95"/>
  <c r="F42" i="22"/>
  <c r="H42" i="22" s="1"/>
  <c r="B42" i="22"/>
  <c r="H35" i="85"/>
  <c r="I35" i="85" s="1"/>
  <c r="D36" i="85"/>
  <c r="E36" i="85"/>
  <c r="F33" i="96"/>
  <c r="G33" i="96" s="1"/>
  <c r="B33" i="96"/>
  <c r="B36" i="76"/>
  <c r="F36" i="76"/>
  <c r="G36" i="76" s="1"/>
  <c r="B44" i="27"/>
  <c r="F44" i="27"/>
  <c r="I32" i="96"/>
  <c r="D40" i="72"/>
  <c r="E40" i="72"/>
  <c r="I50" i="35"/>
  <c r="E36" i="88"/>
  <c r="D36" i="88"/>
  <c r="F41" i="74"/>
  <c r="H41" i="74" s="1"/>
  <c r="B41" i="74"/>
  <c r="C51" i="17"/>
  <c r="B42" i="17"/>
  <c r="F42" i="17"/>
  <c r="H42" i="17" s="1"/>
  <c r="B42" i="43"/>
  <c r="F42" i="43"/>
  <c r="G42" i="43" s="1"/>
  <c r="B44" i="29"/>
  <c r="F44" i="29"/>
  <c r="H44" i="29" s="1"/>
  <c r="D45" i="31"/>
  <c r="E45" i="31"/>
  <c r="D39" i="64"/>
  <c r="E39" i="64"/>
  <c r="B34" i="92"/>
  <c r="F34" i="92"/>
  <c r="H34" i="92" s="1"/>
  <c r="D39" i="56"/>
  <c r="E39" i="56"/>
  <c r="H34" i="87"/>
  <c r="I34" i="87" s="1"/>
  <c r="E38" i="68"/>
  <c r="D38" i="68"/>
  <c r="G40" i="45"/>
  <c r="I40" i="45" s="1"/>
  <c r="H45" i="28"/>
  <c r="I45" i="28" s="1"/>
  <c r="E46" i="28"/>
  <c r="D46" i="28"/>
  <c r="G38" i="64"/>
  <c r="B44" i="70"/>
  <c r="F44" i="70"/>
  <c r="H44" i="70" s="1"/>
  <c r="D45" i="69"/>
  <c r="E45" i="69"/>
  <c r="D43" i="19"/>
  <c r="E43" i="19"/>
  <c r="G35" i="88"/>
  <c r="B38" i="63"/>
  <c r="F38" i="63"/>
  <c r="H38" i="63" s="1"/>
  <c r="E44" i="71"/>
  <c r="D44" i="71"/>
  <c r="B36" i="78"/>
  <c r="F36" i="78"/>
  <c r="H36" i="78" s="1"/>
  <c r="F36" i="79"/>
  <c r="H36" i="79" s="1"/>
  <c r="B36" i="79"/>
  <c r="B34" i="89"/>
  <c r="F34" i="89"/>
  <c r="G34" i="89" s="1"/>
  <c r="F42" i="41"/>
  <c r="B42" i="41"/>
  <c r="D44" i="34"/>
  <c r="E44" i="34"/>
  <c r="H35" i="88"/>
  <c r="H37" i="68"/>
  <c r="I37" i="68" s="1"/>
  <c r="E41" i="45"/>
  <c r="D41" i="45"/>
  <c r="F42" i="21"/>
  <c r="G42" i="21" s="1"/>
  <c r="B42" i="21"/>
  <c r="B41" i="73"/>
  <c r="F41" i="73"/>
  <c r="H41" i="73" s="1"/>
  <c r="H34" i="83"/>
  <c r="I34" i="83" s="1"/>
  <c r="D35" i="83"/>
  <c r="E35" i="83"/>
  <c r="B36" i="77"/>
  <c r="F36" i="77"/>
  <c r="H36" i="77" s="1"/>
  <c r="I35" i="79"/>
  <c r="H38" i="64"/>
  <c r="B38" i="60"/>
  <c r="F38" i="60"/>
  <c r="G38" i="60" s="1"/>
  <c r="F43" i="32"/>
  <c r="H43" i="32" s="1"/>
  <c r="B43" i="32"/>
  <c r="B39" i="54"/>
  <c r="F39" i="54"/>
  <c r="G39" i="54" s="1"/>
  <c r="B39" i="57"/>
  <c r="F39" i="57"/>
  <c r="H39" i="57" s="1"/>
  <c r="D43" i="3"/>
  <c r="E43" i="3" s="1"/>
  <c r="H42" i="19"/>
  <c r="I42" i="19" s="1"/>
  <c r="G43" i="30"/>
  <c r="I43" i="30" s="1"/>
  <c r="D44" i="30"/>
  <c r="E44" i="30"/>
  <c r="J119" i="56"/>
  <c r="J119" i="45"/>
  <c r="J112" i="33"/>
  <c r="J113" i="91"/>
  <c r="J120" i="73"/>
  <c r="D35" i="26"/>
  <c r="E35" i="26" s="1"/>
  <c r="H34" i="26"/>
  <c r="N6" i="26" s="1"/>
  <c r="G34" i="26"/>
  <c r="N5" i="26" s="1"/>
  <c r="D34" i="13"/>
  <c r="E34" i="13" s="1"/>
  <c r="G33" i="13"/>
  <c r="H33" i="13"/>
  <c r="D36" i="33"/>
  <c r="E36" i="33" s="1"/>
  <c r="G35" i="33"/>
  <c r="H35" i="33"/>
  <c r="E42" i="20"/>
  <c r="D42" i="20"/>
  <c r="E52" i="35"/>
  <c r="F52" i="35" s="1"/>
  <c r="G51" i="35"/>
  <c r="H51" i="35"/>
  <c r="B52" i="35"/>
  <c r="G41" i="20"/>
  <c r="E38" i="62"/>
  <c r="D38" i="62"/>
  <c r="J120" i="41"/>
  <c r="H41" i="20"/>
  <c r="B38" i="59"/>
  <c r="F38" i="59"/>
  <c r="H38" i="59" s="1"/>
  <c r="B43" i="18"/>
  <c r="F43" i="18"/>
  <c r="H43" i="18" s="1"/>
  <c r="D35" i="87"/>
  <c r="E35" i="87"/>
  <c r="J121" i="22"/>
  <c r="B124" i="69"/>
  <c r="F124" i="69"/>
  <c r="H117" i="65"/>
  <c r="I117" i="65"/>
  <c r="G122" i="22"/>
  <c r="D123" i="22"/>
  <c r="E123" i="22"/>
  <c r="F114" i="90"/>
  <c r="B114" i="90"/>
  <c r="I123" i="70"/>
  <c r="H123" i="70"/>
  <c r="H122" i="32"/>
  <c r="I122" i="32"/>
  <c r="H114" i="85"/>
  <c r="I114" i="85"/>
  <c r="H116" i="68"/>
  <c r="I116" i="68"/>
  <c r="I118" i="46"/>
  <c r="H118" i="46"/>
  <c r="I123" i="27"/>
  <c r="H123" i="27"/>
  <c r="H119" i="74"/>
  <c r="I119" i="74"/>
  <c r="B114" i="84"/>
  <c r="F114" i="84"/>
  <c r="H118" i="72"/>
  <c r="I118" i="72"/>
  <c r="F122" i="20"/>
  <c r="B122" i="20"/>
  <c r="I118" i="58"/>
  <c r="H118" i="58"/>
  <c r="B114" i="92"/>
  <c r="F114" i="92"/>
  <c r="F123" i="31"/>
  <c r="B123" i="31"/>
  <c r="H120" i="39"/>
  <c r="I120" i="39"/>
  <c r="I117" i="60"/>
  <c r="H117" i="60"/>
  <c r="H121" i="34"/>
  <c r="I121" i="34"/>
  <c r="H118" i="53"/>
  <c r="I118" i="53"/>
  <c r="I113" i="86"/>
  <c r="H113" i="86"/>
  <c r="F118" i="65"/>
  <c r="B118" i="65"/>
  <c r="H121" i="19"/>
  <c r="I121" i="19"/>
  <c r="I113" i="90"/>
  <c r="H113" i="90"/>
  <c r="F123" i="32"/>
  <c r="B123" i="32"/>
  <c r="F116" i="78"/>
  <c r="B116" i="78"/>
  <c r="B119" i="46"/>
  <c r="F119" i="46"/>
  <c r="B124" i="27"/>
  <c r="F124" i="27"/>
  <c r="E115" i="91"/>
  <c r="G114" i="91"/>
  <c r="D115" i="91"/>
  <c r="B118" i="63"/>
  <c r="F118" i="63"/>
  <c r="H123" i="29"/>
  <c r="I123" i="29"/>
  <c r="F119" i="72"/>
  <c r="B119" i="72"/>
  <c r="H120" i="43"/>
  <c r="I120" i="43"/>
  <c r="J113" i="89"/>
  <c r="B121" i="39"/>
  <c r="F121" i="39"/>
  <c r="D115" i="89"/>
  <c r="G114" i="89"/>
  <c r="E115" i="89"/>
  <c r="I123" i="69"/>
  <c r="H123" i="69"/>
  <c r="F114" i="86"/>
  <c r="B114" i="86"/>
  <c r="E122" i="73"/>
  <c r="G121" i="73"/>
  <c r="D122" i="73"/>
  <c r="B122" i="19"/>
  <c r="F122" i="19"/>
  <c r="E116" i="81"/>
  <c r="G115" i="81"/>
  <c r="D116" i="81"/>
  <c r="E122" i="41"/>
  <c r="D122" i="41"/>
  <c r="G121" i="41"/>
  <c r="F124" i="70"/>
  <c r="B124" i="70"/>
  <c r="F124" i="30"/>
  <c r="B124" i="30"/>
  <c r="F117" i="68"/>
  <c r="B117" i="68"/>
  <c r="F120" i="74"/>
  <c r="B120" i="74"/>
  <c r="F116" i="79"/>
  <c r="B116" i="79"/>
  <c r="B117" i="66"/>
  <c r="F117" i="66"/>
  <c r="B118" i="61"/>
  <c r="F118" i="61"/>
  <c r="F114" i="88"/>
  <c r="B114" i="88"/>
  <c r="D119" i="62"/>
  <c r="E119" i="62"/>
  <c r="G118" i="62"/>
  <c r="H113" i="84"/>
  <c r="I113" i="84"/>
  <c r="I121" i="20"/>
  <c r="H121" i="20"/>
  <c r="I113" i="92"/>
  <c r="H113" i="92"/>
  <c r="I117" i="64"/>
  <c r="H117" i="64"/>
  <c r="H122" i="31"/>
  <c r="I122" i="31"/>
  <c r="F118" i="60"/>
  <c r="B118" i="60"/>
  <c r="J117" i="62"/>
  <c r="J132" i="35"/>
  <c r="F122" i="34"/>
  <c r="B122" i="34"/>
  <c r="J114" i="81"/>
  <c r="B119" i="53"/>
  <c r="F119" i="53"/>
  <c r="G120" i="45"/>
  <c r="E121" i="45"/>
  <c r="D121" i="45"/>
  <c r="I123" i="30"/>
  <c r="H123" i="30"/>
  <c r="F115" i="85"/>
  <c r="B115" i="85"/>
  <c r="H115" i="78"/>
  <c r="I115" i="78"/>
  <c r="H115" i="79"/>
  <c r="I115" i="79"/>
  <c r="I116" i="66"/>
  <c r="H116" i="66"/>
  <c r="I117" i="63"/>
  <c r="H117" i="63"/>
  <c r="B124" i="29"/>
  <c r="F124" i="29"/>
  <c r="H117" i="61"/>
  <c r="I117" i="61"/>
  <c r="I113" i="88"/>
  <c r="H113" i="88"/>
  <c r="B119" i="58"/>
  <c r="F119" i="58"/>
  <c r="F121" i="43"/>
  <c r="B121" i="43"/>
  <c r="B118" i="64"/>
  <c r="F118" i="64"/>
  <c r="J114" i="80"/>
  <c r="B123" i="18"/>
  <c r="F123" i="18"/>
  <c r="B124" i="23"/>
  <c r="F124" i="23"/>
  <c r="I118" i="59"/>
  <c r="H118" i="59"/>
  <c r="J114" i="83"/>
  <c r="J115" i="77"/>
  <c r="H122" i="18"/>
  <c r="I122" i="18"/>
  <c r="B119" i="59"/>
  <c r="F119" i="59"/>
  <c r="D121" i="56"/>
  <c r="E121" i="56"/>
  <c r="G120" i="56"/>
  <c r="I123" i="23"/>
  <c r="H123" i="23"/>
  <c r="J118" i="55"/>
  <c r="H119" i="57"/>
  <c r="I119" i="57"/>
  <c r="B124" i="71"/>
  <c r="F124" i="71"/>
  <c r="J115" i="76"/>
  <c r="F120" i="57"/>
  <c r="B120" i="57"/>
  <c r="H123" i="71"/>
  <c r="I123" i="71"/>
  <c r="G114" i="93"/>
  <c r="D115" i="93"/>
  <c r="F125" i="28"/>
  <c r="B125" i="28"/>
  <c r="B135" i="35"/>
  <c r="G134" i="35"/>
  <c r="E135" i="35"/>
  <c r="F135" i="35" s="1"/>
  <c r="H114" i="82"/>
  <c r="I114" i="82"/>
  <c r="B117" i="67"/>
  <c r="F117" i="67"/>
  <c r="H121" i="3"/>
  <c r="I121" i="3"/>
  <c r="I113" i="96"/>
  <c r="H113" i="96"/>
  <c r="G113" i="13"/>
  <c r="D114" i="13"/>
  <c r="J122" i="24"/>
  <c r="J121" i="21"/>
  <c r="G123" i="24"/>
  <c r="E124" i="24"/>
  <c r="D124" i="24"/>
  <c r="E116" i="83"/>
  <c r="G115" i="83"/>
  <c r="D116" i="83"/>
  <c r="F115" i="82"/>
  <c r="B115" i="82"/>
  <c r="I116" i="67"/>
  <c r="H116" i="67"/>
  <c r="B122" i="3"/>
  <c r="F122" i="3"/>
  <c r="B115" i="95"/>
  <c r="F115" i="95"/>
  <c r="J120" i="42"/>
  <c r="G116" i="75"/>
  <c r="E117" i="75"/>
  <c r="D117" i="75"/>
  <c r="H133" i="35"/>
  <c r="I133" i="35"/>
  <c r="B121" i="44"/>
  <c r="F121" i="44"/>
  <c r="G115" i="80"/>
  <c r="E116" i="80"/>
  <c r="D116" i="80"/>
  <c r="G116" i="77"/>
  <c r="E117" i="77"/>
  <c r="D117" i="77"/>
  <c r="J112" i="13"/>
  <c r="J115" i="75"/>
  <c r="H122" i="17"/>
  <c r="I122" i="17"/>
  <c r="H114" i="95"/>
  <c r="I114" i="95"/>
  <c r="H113" i="87"/>
  <c r="I113" i="87"/>
  <c r="G119" i="55"/>
  <c r="D120" i="55"/>
  <c r="E120" i="55"/>
  <c r="J113" i="93"/>
  <c r="I124" i="28"/>
  <c r="H124" i="28"/>
  <c r="E120" i="54"/>
  <c r="D120" i="54"/>
  <c r="G119" i="54"/>
  <c r="H120" i="44"/>
  <c r="I120" i="44"/>
  <c r="D117" i="76"/>
  <c r="G116" i="76"/>
  <c r="E117" i="76"/>
  <c r="G122" i="21"/>
  <c r="E123" i="21"/>
  <c r="D123" i="21"/>
  <c r="B123" i="17"/>
  <c r="F123" i="17"/>
  <c r="D122" i="42"/>
  <c r="E122" i="42"/>
  <c r="G121" i="42"/>
  <c r="J118" i="54"/>
  <c r="B114" i="87"/>
  <c r="F114" i="87"/>
  <c r="G113" i="33"/>
  <c r="D114" i="33"/>
  <c r="E114" i="33" s="1"/>
  <c r="F114" i="96"/>
  <c r="B114" i="96"/>
  <c r="E27" i="36"/>
  <c r="E28" i="36"/>
  <c r="E96" i="36" l="1"/>
  <c r="E41" i="100"/>
  <c r="F41" i="100"/>
  <c r="D42" i="100" s="1"/>
  <c r="B41" i="100"/>
  <c r="G41" i="100"/>
  <c r="H41" i="100"/>
  <c r="B40" i="100"/>
  <c r="G40" i="100"/>
  <c r="H40" i="100"/>
  <c r="N7" i="25"/>
  <c r="M19" i="1"/>
  <c r="R132" i="1" s="1"/>
  <c r="H113" i="100"/>
  <c r="I113" i="100"/>
  <c r="J113" i="100" s="1"/>
  <c r="B114" i="100"/>
  <c r="F114" i="100"/>
  <c r="I37" i="65"/>
  <c r="I38" i="64"/>
  <c r="N7" i="26"/>
  <c r="N19" i="1"/>
  <c r="R133" i="1" s="1"/>
  <c r="N19" i="2"/>
  <c r="O19" i="2"/>
  <c r="P18" i="2"/>
  <c r="P19" i="2" s="1"/>
  <c r="P20" i="2" s="1"/>
  <c r="I36" i="82"/>
  <c r="I33" i="25"/>
  <c r="B34" i="25"/>
  <c r="E34" i="25"/>
  <c r="F34" i="25" s="1"/>
  <c r="I41" i="20"/>
  <c r="I34" i="99"/>
  <c r="D36" i="99"/>
  <c r="E36" i="99"/>
  <c r="H35" i="99"/>
  <c r="G35" i="99"/>
  <c r="D34" i="98"/>
  <c r="E34" i="98"/>
  <c r="H33" i="98"/>
  <c r="I37" i="97"/>
  <c r="G33" i="98"/>
  <c r="E38" i="97"/>
  <c r="F38" i="97" s="1"/>
  <c r="D39" i="97" s="1"/>
  <c r="B38" i="97"/>
  <c r="E114" i="25"/>
  <c r="F114" i="25" s="1"/>
  <c r="B114" i="25"/>
  <c r="H113" i="25"/>
  <c r="I113" i="25"/>
  <c r="H113" i="99"/>
  <c r="I113" i="99"/>
  <c r="F114" i="99"/>
  <c r="B114" i="99"/>
  <c r="G33" i="93"/>
  <c r="I33" i="93" s="1"/>
  <c r="I35" i="88"/>
  <c r="G39" i="57"/>
  <c r="I39" i="57" s="1"/>
  <c r="I41" i="42"/>
  <c r="I114" i="26"/>
  <c r="H114" i="26"/>
  <c r="J113" i="97"/>
  <c r="B115" i="26"/>
  <c r="E115" i="26"/>
  <c r="F115" i="26" s="1"/>
  <c r="G114" i="97"/>
  <c r="D115" i="97"/>
  <c r="E115" i="97"/>
  <c r="D115" i="98"/>
  <c r="G114" i="98"/>
  <c r="E115" i="98"/>
  <c r="J113" i="98"/>
  <c r="H33" i="96"/>
  <c r="I33" i="96" s="1"/>
  <c r="I35" i="86"/>
  <c r="G36" i="80"/>
  <c r="I36" i="80" s="1"/>
  <c r="G38" i="67"/>
  <c r="I38" i="67" s="1"/>
  <c r="E39" i="67"/>
  <c r="D39" i="67"/>
  <c r="G38" i="66"/>
  <c r="I38" i="66" s="1"/>
  <c r="H38" i="60"/>
  <c r="I38" i="60" s="1"/>
  <c r="G39" i="46"/>
  <c r="I39" i="46" s="1"/>
  <c r="E40" i="46"/>
  <c r="D40" i="46"/>
  <c r="D44" i="24"/>
  <c r="E44" i="24"/>
  <c r="H43" i="24"/>
  <c r="G43" i="24"/>
  <c r="G42" i="17"/>
  <c r="I42" i="17" s="1"/>
  <c r="G42" i="22"/>
  <c r="I42" i="22" s="1"/>
  <c r="G36" i="79"/>
  <c r="I36" i="79" s="1"/>
  <c r="H38" i="61"/>
  <c r="I38" i="61" s="1"/>
  <c r="J113" i="94"/>
  <c r="D34" i="93"/>
  <c r="E34" i="93"/>
  <c r="E37" i="80"/>
  <c r="D37" i="80"/>
  <c r="H34" i="94"/>
  <c r="I34" i="94" s="1"/>
  <c r="D35" i="94"/>
  <c r="E35" i="94"/>
  <c r="F36" i="86"/>
  <c r="B36" i="86"/>
  <c r="F37" i="82"/>
  <c r="G37" i="82" s="1"/>
  <c r="B37" i="82"/>
  <c r="H34" i="89"/>
  <c r="I34" i="89" s="1"/>
  <c r="G44" i="70"/>
  <c r="I44" i="70" s="1"/>
  <c r="G41" i="44"/>
  <c r="I41" i="44" s="1"/>
  <c r="D39" i="66"/>
  <c r="E39" i="66"/>
  <c r="I40" i="58"/>
  <c r="G114" i="94"/>
  <c r="D115" i="94"/>
  <c r="D37" i="90"/>
  <c r="E37" i="90"/>
  <c r="H35" i="84"/>
  <c r="E36" i="84"/>
  <c r="D36" i="84"/>
  <c r="H42" i="21"/>
  <c r="I42" i="21" s="1"/>
  <c r="G44" i="23"/>
  <c r="I44" i="23" s="1"/>
  <c r="D45" i="23"/>
  <c r="E45" i="23"/>
  <c r="B41" i="55"/>
  <c r="F41" i="55"/>
  <c r="G41" i="55" s="1"/>
  <c r="F42" i="42"/>
  <c r="G42" i="42" s="1"/>
  <c r="B42" i="42"/>
  <c r="F37" i="75"/>
  <c r="G37" i="75" s="1"/>
  <c r="B37" i="75"/>
  <c r="E36" i="91"/>
  <c r="H35" i="91"/>
  <c r="D36" i="91"/>
  <c r="G35" i="91"/>
  <c r="I51" i="35"/>
  <c r="G44" i="29"/>
  <c r="I44" i="29" s="1"/>
  <c r="B41" i="58"/>
  <c r="F41" i="58"/>
  <c r="G35" i="84"/>
  <c r="B38" i="65"/>
  <c r="F38" i="65"/>
  <c r="H39" i="53"/>
  <c r="I39" i="53" s="1"/>
  <c r="D40" i="53"/>
  <c r="E40" i="53"/>
  <c r="H36" i="90"/>
  <c r="I36" i="90" s="1"/>
  <c r="B34" i="95"/>
  <c r="F34" i="95"/>
  <c r="G34" i="95" s="1"/>
  <c r="G43" i="32"/>
  <c r="I43" i="32" s="1"/>
  <c r="D37" i="76"/>
  <c r="E37" i="76"/>
  <c r="B36" i="85"/>
  <c r="F36" i="85"/>
  <c r="G36" i="85" s="1"/>
  <c r="G41" i="73"/>
  <c r="I41" i="73" s="1"/>
  <c r="G34" i="92"/>
  <c r="I34" i="92" s="1"/>
  <c r="E39" i="61"/>
  <c r="D39" i="61"/>
  <c r="E42" i="44"/>
  <c r="D42" i="44"/>
  <c r="B40" i="72"/>
  <c r="F40" i="72"/>
  <c r="G40" i="72" s="1"/>
  <c r="E45" i="27"/>
  <c r="G44" i="27"/>
  <c r="H44" i="27"/>
  <c r="D45" i="27"/>
  <c r="H36" i="76"/>
  <c r="I36" i="76" s="1"/>
  <c r="D34" i="96"/>
  <c r="E34" i="96"/>
  <c r="E43" i="22"/>
  <c r="D43" i="22"/>
  <c r="B42" i="39"/>
  <c r="F42" i="39"/>
  <c r="H42" i="39" s="1"/>
  <c r="G35" i="81"/>
  <c r="I35" i="81" s="1"/>
  <c r="D36" i="81"/>
  <c r="E36" i="81"/>
  <c r="I33" i="13"/>
  <c r="G38" i="59"/>
  <c r="I38" i="59" s="1"/>
  <c r="E39" i="60"/>
  <c r="D39" i="60"/>
  <c r="D42" i="73"/>
  <c r="E42" i="73"/>
  <c r="D43" i="41"/>
  <c r="E43" i="41"/>
  <c r="B44" i="71"/>
  <c r="F44" i="71"/>
  <c r="G44" i="71" s="1"/>
  <c r="D39" i="63"/>
  <c r="E39" i="63"/>
  <c r="B45" i="69"/>
  <c r="F45" i="69"/>
  <c r="H45" i="69" s="1"/>
  <c r="F46" i="28"/>
  <c r="H46" i="28" s="1"/>
  <c r="B46" i="28"/>
  <c r="E45" i="29"/>
  <c r="D45" i="29"/>
  <c r="E42" i="74"/>
  <c r="D42" i="74"/>
  <c r="B44" i="30"/>
  <c r="F44" i="30"/>
  <c r="G44" i="30" s="1"/>
  <c r="B43" i="3"/>
  <c r="F43" i="3"/>
  <c r="G43" i="3" s="1"/>
  <c r="E40" i="57"/>
  <c r="D40" i="57"/>
  <c r="H39" i="54"/>
  <c r="I39" i="54" s="1"/>
  <c r="G36" i="77"/>
  <c r="I36" i="77" s="1"/>
  <c r="D43" i="21"/>
  <c r="E43" i="21"/>
  <c r="H42" i="41"/>
  <c r="B45" i="31"/>
  <c r="F45" i="31"/>
  <c r="G41" i="74"/>
  <c r="I41" i="74" s="1"/>
  <c r="E44" i="32"/>
  <c r="D44" i="32"/>
  <c r="B35" i="83"/>
  <c r="F35" i="83"/>
  <c r="G35" i="83" s="1"/>
  <c r="B41" i="45"/>
  <c r="F41" i="45"/>
  <c r="H41" i="45" s="1"/>
  <c r="G42" i="41"/>
  <c r="E35" i="89"/>
  <c r="D35" i="89"/>
  <c r="E37" i="79"/>
  <c r="D37" i="79"/>
  <c r="G36" i="78"/>
  <c r="I36" i="78" s="1"/>
  <c r="E37" i="78"/>
  <c r="D37" i="78"/>
  <c r="G38" i="63"/>
  <c r="I38" i="63" s="1"/>
  <c r="E45" i="70"/>
  <c r="D45" i="70"/>
  <c r="H42" i="43"/>
  <c r="I42" i="43" s="1"/>
  <c r="E43" i="43"/>
  <c r="D43" i="43"/>
  <c r="B36" i="88"/>
  <c r="F36" i="88"/>
  <c r="G36" i="88" s="1"/>
  <c r="I35" i="33"/>
  <c r="E40" i="54"/>
  <c r="D40" i="54"/>
  <c r="D37" i="77"/>
  <c r="E37" i="77"/>
  <c r="B44" i="34"/>
  <c r="F44" i="34"/>
  <c r="F43" i="19"/>
  <c r="B43" i="19"/>
  <c r="F38" i="68"/>
  <c r="H38" i="68" s="1"/>
  <c r="B38" i="68"/>
  <c r="F39" i="56"/>
  <c r="B39" i="56"/>
  <c r="D35" i="92"/>
  <c r="E35" i="92"/>
  <c r="F39" i="64"/>
  <c r="H39" i="64" s="1"/>
  <c r="B39" i="64"/>
  <c r="D43" i="17"/>
  <c r="E43" i="17"/>
  <c r="J121" i="19"/>
  <c r="J121" i="34"/>
  <c r="J118" i="59"/>
  <c r="J118" i="58"/>
  <c r="J122" i="31"/>
  <c r="J113" i="84"/>
  <c r="J116" i="68"/>
  <c r="J122" i="32"/>
  <c r="J118" i="46"/>
  <c r="J123" i="70"/>
  <c r="J124" i="28"/>
  <c r="J115" i="78"/>
  <c r="J123" i="23"/>
  <c r="J116" i="67"/>
  <c r="J120" i="39"/>
  <c r="B38" i="62"/>
  <c r="F38" i="62"/>
  <c r="B42" i="20"/>
  <c r="F42" i="20"/>
  <c r="G42" i="20" s="1"/>
  <c r="J117" i="63"/>
  <c r="J118" i="53"/>
  <c r="I34" i="26"/>
  <c r="D44" i="18"/>
  <c r="E44" i="18"/>
  <c r="D39" i="59"/>
  <c r="E39" i="59"/>
  <c r="G52" i="35"/>
  <c r="B53" i="35"/>
  <c r="E53" i="35"/>
  <c r="F53" i="35" s="1"/>
  <c r="H52" i="35"/>
  <c r="J117" i="64"/>
  <c r="J121" i="20"/>
  <c r="J123" i="69"/>
  <c r="B35" i="87"/>
  <c r="F35" i="87"/>
  <c r="G35" i="87" s="1"/>
  <c r="G43" i="18"/>
  <c r="I43" i="18" s="1"/>
  <c r="B36" i="33"/>
  <c r="F36" i="33"/>
  <c r="G36" i="33" s="1"/>
  <c r="B34" i="13"/>
  <c r="F34" i="13"/>
  <c r="H34" i="13" s="1"/>
  <c r="B35" i="26"/>
  <c r="F35" i="26"/>
  <c r="G35" i="26" s="1"/>
  <c r="J120" i="44"/>
  <c r="D116" i="85"/>
  <c r="G115" i="85"/>
  <c r="E116" i="85"/>
  <c r="E120" i="53"/>
  <c r="D120" i="53"/>
  <c r="G119" i="53"/>
  <c r="D123" i="34"/>
  <c r="E123" i="34"/>
  <c r="G122" i="34"/>
  <c r="D119" i="60"/>
  <c r="E119" i="60"/>
  <c r="G118" i="60"/>
  <c r="E119" i="61"/>
  <c r="G118" i="61"/>
  <c r="D119" i="61"/>
  <c r="G122" i="19"/>
  <c r="D123" i="19"/>
  <c r="E123" i="19"/>
  <c r="G121" i="39"/>
  <c r="D122" i="39"/>
  <c r="E122" i="39"/>
  <c r="H114" i="91"/>
  <c r="I114" i="91"/>
  <c r="G119" i="46"/>
  <c r="E120" i="46"/>
  <c r="D120" i="46"/>
  <c r="J118" i="72"/>
  <c r="J119" i="74"/>
  <c r="J114" i="85"/>
  <c r="D125" i="29"/>
  <c r="G124" i="29"/>
  <c r="E125" i="29"/>
  <c r="I120" i="45"/>
  <c r="H120" i="45"/>
  <c r="F119" i="62"/>
  <c r="B119" i="62"/>
  <c r="E117" i="79"/>
  <c r="D117" i="79"/>
  <c r="G116" i="79"/>
  <c r="G117" i="68"/>
  <c r="E118" i="68"/>
  <c r="D118" i="68"/>
  <c r="G124" i="70"/>
  <c r="E125" i="70"/>
  <c r="D125" i="70"/>
  <c r="B116" i="81"/>
  <c r="F116" i="81"/>
  <c r="E119" i="63"/>
  <c r="G118" i="63"/>
  <c r="D119" i="63"/>
  <c r="G123" i="32"/>
  <c r="D124" i="32"/>
  <c r="E124" i="32"/>
  <c r="J117" i="60"/>
  <c r="E124" i="31"/>
  <c r="D124" i="31"/>
  <c r="G123" i="31"/>
  <c r="B123" i="22"/>
  <c r="F123" i="22"/>
  <c r="D125" i="69"/>
  <c r="G124" i="69"/>
  <c r="E125" i="69"/>
  <c r="E122" i="43"/>
  <c r="D122" i="43"/>
  <c r="G121" i="43"/>
  <c r="J113" i="88"/>
  <c r="J116" i="66"/>
  <c r="J123" i="30"/>
  <c r="J113" i="92"/>
  <c r="E118" i="66"/>
  <c r="D118" i="66"/>
  <c r="G117" i="66"/>
  <c r="I121" i="41"/>
  <c r="H121" i="41"/>
  <c r="I115" i="81"/>
  <c r="H115" i="81"/>
  <c r="B122" i="73"/>
  <c r="F122" i="73"/>
  <c r="D115" i="86"/>
  <c r="G114" i="86"/>
  <c r="E115" i="86"/>
  <c r="H114" i="89"/>
  <c r="I114" i="89"/>
  <c r="D120" i="72"/>
  <c r="E120" i="72"/>
  <c r="G119" i="72"/>
  <c r="E125" i="27"/>
  <c r="G124" i="27"/>
  <c r="D125" i="27"/>
  <c r="D115" i="92"/>
  <c r="E115" i="92"/>
  <c r="G114" i="92"/>
  <c r="D115" i="84"/>
  <c r="G114" i="84"/>
  <c r="E115" i="84"/>
  <c r="H122" i="22"/>
  <c r="I122" i="22"/>
  <c r="E119" i="64"/>
  <c r="G118" i="64"/>
  <c r="D119" i="64"/>
  <c r="D120" i="58"/>
  <c r="E120" i="58"/>
  <c r="G119" i="58"/>
  <c r="J117" i="61"/>
  <c r="J115" i="79"/>
  <c r="F121" i="45"/>
  <c r="B121" i="45"/>
  <c r="H118" i="62"/>
  <c r="I118" i="62"/>
  <c r="D115" i="88"/>
  <c r="G114" i="88"/>
  <c r="E115" i="88"/>
  <c r="D121" i="74"/>
  <c r="G120" i="74"/>
  <c r="E121" i="74"/>
  <c r="D125" i="30"/>
  <c r="G124" i="30"/>
  <c r="E125" i="30"/>
  <c r="B122" i="41"/>
  <c r="F122" i="41"/>
  <c r="I121" i="73"/>
  <c r="H121" i="73"/>
  <c r="F115" i="89"/>
  <c r="B115" i="89"/>
  <c r="J120" i="43"/>
  <c r="J123" i="29"/>
  <c r="B115" i="91"/>
  <c r="F115" i="91"/>
  <c r="E117" i="78"/>
  <c r="D117" i="78"/>
  <c r="G116" i="78"/>
  <c r="J113" i="90"/>
  <c r="G118" i="65"/>
  <c r="D119" i="65"/>
  <c r="E119" i="65"/>
  <c r="J113" i="86"/>
  <c r="D123" i="20"/>
  <c r="G122" i="20"/>
  <c r="E123" i="20"/>
  <c r="J123" i="27"/>
  <c r="E115" i="90"/>
  <c r="G114" i="90"/>
  <c r="D115" i="90"/>
  <c r="J117" i="65"/>
  <c r="J113" i="87"/>
  <c r="J122" i="17"/>
  <c r="J133" i="35"/>
  <c r="F121" i="56"/>
  <c r="B121" i="56"/>
  <c r="J122" i="18"/>
  <c r="D124" i="18"/>
  <c r="E124" i="18"/>
  <c r="G123" i="18"/>
  <c r="J114" i="95"/>
  <c r="J119" i="57"/>
  <c r="H120" i="56"/>
  <c r="I120" i="56"/>
  <c r="D120" i="59"/>
  <c r="G119" i="59"/>
  <c r="E120" i="59"/>
  <c r="D125" i="23"/>
  <c r="E125" i="23"/>
  <c r="G124" i="23"/>
  <c r="J113" i="96"/>
  <c r="G124" i="71"/>
  <c r="D125" i="71"/>
  <c r="E125" i="71"/>
  <c r="G120" i="57"/>
  <c r="D121" i="57"/>
  <c r="E121" i="57"/>
  <c r="J121" i="3"/>
  <c r="J114" i="82"/>
  <c r="J123" i="71"/>
  <c r="H122" i="21"/>
  <c r="I122" i="21"/>
  <c r="I119" i="54"/>
  <c r="H119" i="54"/>
  <c r="F120" i="55"/>
  <c r="B120" i="55"/>
  <c r="F116" i="80"/>
  <c r="B116" i="80"/>
  <c r="D122" i="44"/>
  <c r="G121" i="44"/>
  <c r="E122" i="44"/>
  <c r="F117" i="75"/>
  <c r="B117" i="75"/>
  <c r="D116" i="95"/>
  <c r="E116" i="95" s="1"/>
  <c r="G115" i="95"/>
  <c r="B124" i="24"/>
  <c r="F124" i="24"/>
  <c r="B114" i="13"/>
  <c r="B115" i="93"/>
  <c r="D115" i="87"/>
  <c r="G114" i="87"/>
  <c r="E115" i="87"/>
  <c r="H121" i="42"/>
  <c r="I121" i="42"/>
  <c r="E124" i="17"/>
  <c r="G123" i="17"/>
  <c r="D124" i="17"/>
  <c r="B120" i="54"/>
  <c r="F120" i="54"/>
  <c r="H119" i="55"/>
  <c r="I119" i="55"/>
  <c r="F117" i="77"/>
  <c r="B117" i="77"/>
  <c r="F116" i="83"/>
  <c r="B116" i="83"/>
  <c r="I113" i="13"/>
  <c r="H113" i="13"/>
  <c r="I114" i="93"/>
  <c r="H114" i="93"/>
  <c r="B114" i="33"/>
  <c r="F114" i="33"/>
  <c r="F123" i="21"/>
  <c r="B123" i="21"/>
  <c r="I116" i="76"/>
  <c r="H116" i="76"/>
  <c r="H115" i="80"/>
  <c r="I115" i="80"/>
  <c r="I116" i="75"/>
  <c r="H116" i="75"/>
  <c r="D123" i="3"/>
  <c r="G122" i="3"/>
  <c r="E123" i="3"/>
  <c r="G115" i="82"/>
  <c r="D116" i="82"/>
  <c r="E116" i="82"/>
  <c r="I115" i="83"/>
  <c r="H115" i="83"/>
  <c r="I123" i="24"/>
  <c r="H123" i="24"/>
  <c r="G117" i="67"/>
  <c r="D118" i="67"/>
  <c r="E118" i="67"/>
  <c r="G135" i="35"/>
  <c r="B136" i="35"/>
  <c r="E136" i="35"/>
  <c r="F136" i="35" s="1"/>
  <c r="D126" i="28"/>
  <c r="G125" i="28"/>
  <c r="E126" i="28"/>
  <c r="D115" i="96"/>
  <c r="E115" i="96" s="1"/>
  <c r="G114" i="96"/>
  <c r="I113" i="33"/>
  <c r="H113" i="33"/>
  <c r="B122" i="42"/>
  <c r="F122" i="42"/>
  <c r="F117" i="76"/>
  <c r="B117" i="76"/>
  <c r="I116" i="77"/>
  <c r="H116" i="77"/>
  <c r="E114" i="13"/>
  <c r="F114" i="13" s="1"/>
  <c r="H134" i="35"/>
  <c r="I134" i="35"/>
  <c r="E115" i="93"/>
  <c r="F115" i="93" s="1"/>
  <c r="F28" i="36"/>
  <c r="F27" i="36"/>
  <c r="F96" i="36" l="1"/>
  <c r="I41" i="100"/>
  <c r="I40" i="100"/>
  <c r="E42" i="100"/>
  <c r="B42" i="100"/>
  <c r="F42" i="100"/>
  <c r="D43" i="100" s="1"/>
  <c r="G27" i="36"/>
  <c r="M20" i="1"/>
  <c r="G114" i="100"/>
  <c r="D115" i="100"/>
  <c r="G28" i="36"/>
  <c r="N20" i="1"/>
  <c r="O19" i="1"/>
  <c r="N20" i="2"/>
  <c r="I97" i="36"/>
  <c r="H34" i="25"/>
  <c r="G34" i="25"/>
  <c r="D35" i="25"/>
  <c r="J113" i="25"/>
  <c r="I33" i="98"/>
  <c r="J113" i="99"/>
  <c r="H34" i="95"/>
  <c r="I34" i="95" s="1"/>
  <c r="E39" i="97"/>
  <c r="F39" i="97" s="1"/>
  <c r="D40" i="97" s="1"/>
  <c r="B39" i="97"/>
  <c r="I35" i="99"/>
  <c r="H38" i="97"/>
  <c r="G38" i="97"/>
  <c r="F34" i="98"/>
  <c r="G34" i="98" s="1"/>
  <c r="B34" i="98"/>
  <c r="F36" i="99"/>
  <c r="G36" i="99" s="1"/>
  <c r="B36" i="99"/>
  <c r="D115" i="25"/>
  <c r="G114" i="25"/>
  <c r="E115" i="99"/>
  <c r="D115" i="99"/>
  <c r="G114" i="99"/>
  <c r="I35" i="84"/>
  <c r="I43" i="24"/>
  <c r="J114" i="26"/>
  <c r="B115" i="97"/>
  <c r="F115" i="97"/>
  <c r="H114" i="98"/>
  <c r="I114" i="98"/>
  <c r="I114" i="97"/>
  <c r="H114" i="97"/>
  <c r="F115" i="98"/>
  <c r="B115" i="98"/>
  <c r="G115" i="26"/>
  <c r="D116" i="26"/>
  <c r="F39" i="67"/>
  <c r="G39" i="67" s="1"/>
  <c r="B39" i="67"/>
  <c r="B40" i="46"/>
  <c r="F40" i="46"/>
  <c r="G40" i="46" s="1"/>
  <c r="F44" i="24"/>
  <c r="H44" i="24" s="1"/>
  <c r="B44" i="24"/>
  <c r="I35" i="91"/>
  <c r="E38" i="82"/>
  <c r="D38" i="82"/>
  <c r="F35" i="94"/>
  <c r="G35" i="94" s="1"/>
  <c r="B35" i="94"/>
  <c r="H35" i="26"/>
  <c r="I35" i="26" s="1"/>
  <c r="F34" i="93"/>
  <c r="H34" i="93" s="1"/>
  <c r="B34" i="93"/>
  <c r="H36" i="88"/>
  <c r="I36" i="88" s="1"/>
  <c r="H37" i="82"/>
  <c r="I37" i="82" s="1"/>
  <c r="H36" i="86"/>
  <c r="D37" i="86"/>
  <c r="G36" i="86"/>
  <c r="E37" i="86"/>
  <c r="B37" i="80"/>
  <c r="F37" i="80"/>
  <c r="G37" i="80" s="1"/>
  <c r="F40" i="53"/>
  <c r="G40" i="53" s="1"/>
  <c r="B40" i="53"/>
  <c r="D39" i="65"/>
  <c r="E39" i="65"/>
  <c r="F36" i="84"/>
  <c r="H36" i="84" s="1"/>
  <c r="B36" i="84"/>
  <c r="D42" i="55"/>
  <c r="E42" i="55"/>
  <c r="F45" i="23"/>
  <c r="H45" i="23" s="1"/>
  <c r="B45" i="23"/>
  <c r="E115" i="94"/>
  <c r="F115" i="94" s="1"/>
  <c r="B115" i="94"/>
  <c r="B39" i="66"/>
  <c r="F39" i="66"/>
  <c r="H39" i="66" s="1"/>
  <c r="B36" i="91"/>
  <c r="F36" i="91"/>
  <c r="G36" i="91" s="1"/>
  <c r="H38" i="65"/>
  <c r="E38" i="75"/>
  <c r="D38" i="75"/>
  <c r="E43" i="42"/>
  <c r="D43" i="42"/>
  <c r="H114" i="94"/>
  <c r="I114" i="94"/>
  <c r="B37" i="90"/>
  <c r="F37" i="90"/>
  <c r="G38" i="65"/>
  <c r="G41" i="58"/>
  <c r="H41" i="58"/>
  <c r="E42" i="58"/>
  <c r="D42" i="58"/>
  <c r="H37" i="75"/>
  <c r="I37" i="75" s="1"/>
  <c r="H42" i="42"/>
  <c r="I42" i="42" s="1"/>
  <c r="H41" i="55"/>
  <c r="I41" i="55" s="1"/>
  <c r="H35" i="87"/>
  <c r="I35" i="87" s="1"/>
  <c r="F34" i="96"/>
  <c r="B34" i="96"/>
  <c r="I44" i="27"/>
  <c r="F37" i="76"/>
  <c r="H37" i="76" s="1"/>
  <c r="B37" i="76"/>
  <c r="F43" i="22"/>
  <c r="B43" i="22"/>
  <c r="B39" i="61"/>
  <c r="F39" i="61"/>
  <c r="G39" i="61" s="1"/>
  <c r="H36" i="85"/>
  <c r="I36" i="85" s="1"/>
  <c r="E37" i="85"/>
  <c r="D37" i="85"/>
  <c r="H35" i="83"/>
  <c r="I35" i="83" s="1"/>
  <c r="G46" i="28"/>
  <c r="I46" i="28" s="1"/>
  <c r="B36" i="81"/>
  <c r="F36" i="81"/>
  <c r="G36" i="81" s="1"/>
  <c r="H40" i="72"/>
  <c r="I40" i="72" s="1"/>
  <c r="D41" i="72"/>
  <c r="E41" i="72"/>
  <c r="G42" i="39"/>
  <c r="I42" i="39" s="1"/>
  <c r="E43" i="39"/>
  <c r="D43" i="39"/>
  <c r="F45" i="27"/>
  <c r="B45" i="27"/>
  <c r="F42" i="44"/>
  <c r="H42" i="44" s="1"/>
  <c r="B42" i="44"/>
  <c r="E35" i="95"/>
  <c r="D35" i="95"/>
  <c r="H39" i="56"/>
  <c r="E40" i="56"/>
  <c r="D40" i="56"/>
  <c r="F37" i="78"/>
  <c r="G37" i="78" s="1"/>
  <c r="B37" i="78"/>
  <c r="D46" i="31"/>
  <c r="E46" i="31"/>
  <c r="B43" i="21"/>
  <c r="F43" i="21"/>
  <c r="H43" i="21" s="1"/>
  <c r="G34" i="13"/>
  <c r="I34" i="13" s="1"/>
  <c r="B35" i="92"/>
  <c r="F35" i="92"/>
  <c r="H35" i="92" s="1"/>
  <c r="E44" i="19"/>
  <c r="D44" i="19"/>
  <c r="F43" i="43"/>
  <c r="H43" i="43" s="1"/>
  <c r="B43" i="43"/>
  <c r="B35" i="89"/>
  <c r="F35" i="89"/>
  <c r="G35" i="89" s="1"/>
  <c r="G41" i="45"/>
  <c r="I41" i="45" s="1"/>
  <c r="E42" i="45"/>
  <c r="D42" i="45"/>
  <c r="D36" i="83"/>
  <c r="E36" i="83"/>
  <c r="H45" i="31"/>
  <c r="E46" i="69"/>
  <c r="D46" i="69"/>
  <c r="D45" i="71"/>
  <c r="E45" i="71"/>
  <c r="B43" i="41"/>
  <c r="F43" i="41"/>
  <c r="H44" i="34"/>
  <c r="D45" i="34"/>
  <c r="E45" i="34"/>
  <c r="F42" i="74"/>
  <c r="H42" i="74" s="1"/>
  <c r="B42" i="74"/>
  <c r="H42" i="20"/>
  <c r="I42" i="20" s="1"/>
  <c r="F43" i="17"/>
  <c r="B43" i="17"/>
  <c r="C52" i="17"/>
  <c r="G43" i="19"/>
  <c r="G44" i="34"/>
  <c r="E37" i="88"/>
  <c r="D37" i="88"/>
  <c r="G45" i="31"/>
  <c r="I42" i="41"/>
  <c r="D44" i="3"/>
  <c r="E44" i="3" s="1"/>
  <c r="H44" i="30"/>
  <c r="I44" i="30" s="1"/>
  <c r="E45" i="30"/>
  <c r="D45" i="30"/>
  <c r="B45" i="29"/>
  <c r="F45" i="29"/>
  <c r="F39" i="63"/>
  <c r="H39" i="63" s="1"/>
  <c r="B39" i="63"/>
  <c r="F40" i="54"/>
  <c r="H40" i="54" s="1"/>
  <c r="B40" i="54"/>
  <c r="F45" i="70"/>
  <c r="H45" i="70" s="1"/>
  <c r="B45" i="70"/>
  <c r="B39" i="60"/>
  <c r="F39" i="60"/>
  <c r="H39" i="60" s="1"/>
  <c r="G39" i="64"/>
  <c r="I39" i="64" s="1"/>
  <c r="E40" i="64"/>
  <c r="D40" i="64"/>
  <c r="G39" i="56"/>
  <c r="G38" i="68"/>
  <c r="I38" i="68" s="1"/>
  <c r="D39" i="68"/>
  <c r="E39" i="68"/>
  <c r="H43" i="19"/>
  <c r="B37" i="77"/>
  <c r="F37" i="77"/>
  <c r="H37" i="77" s="1"/>
  <c r="B37" i="79"/>
  <c r="F37" i="79"/>
  <c r="G37" i="79" s="1"/>
  <c r="F44" i="32"/>
  <c r="B44" i="32"/>
  <c r="B40" i="57"/>
  <c r="F40" i="57"/>
  <c r="H40" i="57" s="1"/>
  <c r="H43" i="3"/>
  <c r="I43" i="3" s="1"/>
  <c r="E47" i="28"/>
  <c r="D47" i="28"/>
  <c r="G45" i="69"/>
  <c r="I45" i="69" s="1"/>
  <c r="H44" i="71"/>
  <c r="I44" i="71" s="1"/>
  <c r="B42" i="73"/>
  <c r="F42" i="73"/>
  <c r="H42" i="73" s="1"/>
  <c r="J121" i="73"/>
  <c r="J114" i="91"/>
  <c r="J120" i="45"/>
  <c r="J114" i="89"/>
  <c r="J121" i="41"/>
  <c r="E36" i="87"/>
  <c r="D36" i="87"/>
  <c r="I52" i="35"/>
  <c r="F39" i="59"/>
  <c r="B39" i="59"/>
  <c r="D39" i="62"/>
  <c r="E39" i="62"/>
  <c r="H36" i="33"/>
  <c r="I36" i="33" s="1"/>
  <c r="B54" i="35"/>
  <c r="H53" i="35"/>
  <c r="G53" i="35"/>
  <c r="E54" i="35"/>
  <c r="F54" i="35" s="1"/>
  <c r="J120" i="56"/>
  <c r="D36" i="26"/>
  <c r="E36" i="26" s="1"/>
  <c r="D35" i="13"/>
  <c r="B44" i="18"/>
  <c r="F44" i="18"/>
  <c r="H44" i="18" s="1"/>
  <c r="E43" i="20"/>
  <c r="D43" i="20"/>
  <c r="G38" i="62"/>
  <c r="D37" i="33"/>
  <c r="E37" i="33" s="1"/>
  <c r="H38" i="62"/>
  <c r="E116" i="91"/>
  <c r="D116" i="91"/>
  <c r="G115" i="91"/>
  <c r="G122" i="41"/>
  <c r="D123" i="41"/>
  <c r="E123" i="41"/>
  <c r="B125" i="30"/>
  <c r="F125" i="30"/>
  <c r="F119" i="64"/>
  <c r="B119" i="64"/>
  <c r="J122" i="22"/>
  <c r="B115" i="84"/>
  <c r="F115" i="84"/>
  <c r="B125" i="27"/>
  <c r="F125" i="27"/>
  <c r="H121" i="43"/>
  <c r="I121" i="43"/>
  <c r="I124" i="69"/>
  <c r="H124" i="69"/>
  <c r="H123" i="31"/>
  <c r="I123" i="31"/>
  <c r="H118" i="63"/>
  <c r="I118" i="63"/>
  <c r="B125" i="70"/>
  <c r="F125" i="70"/>
  <c r="I121" i="39"/>
  <c r="H121" i="39"/>
  <c r="B119" i="61"/>
  <c r="F119" i="61"/>
  <c r="B123" i="34"/>
  <c r="F123" i="34"/>
  <c r="B115" i="90"/>
  <c r="F115" i="90"/>
  <c r="I116" i="78"/>
  <c r="H116" i="78"/>
  <c r="D116" i="89"/>
  <c r="G115" i="89"/>
  <c r="E116" i="89"/>
  <c r="I114" i="88"/>
  <c r="H114" i="88"/>
  <c r="I119" i="58"/>
  <c r="H119" i="58"/>
  <c r="I118" i="64"/>
  <c r="H118" i="64"/>
  <c r="H114" i="92"/>
  <c r="I114" i="92"/>
  <c r="H124" i="27"/>
  <c r="I124" i="27"/>
  <c r="B120" i="72"/>
  <c r="F120" i="72"/>
  <c r="I114" i="86"/>
  <c r="H114" i="86"/>
  <c r="H117" i="66"/>
  <c r="I117" i="66"/>
  <c r="B122" i="43"/>
  <c r="F122" i="43"/>
  <c r="F125" i="69"/>
  <c r="B125" i="69"/>
  <c r="F124" i="31"/>
  <c r="B124" i="31"/>
  <c r="B124" i="32"/>
  <c r="F124" i="32"/>
  <c r="I117" i="68"/>
  <c r="H117" i="68"/>
  <c r="B120" i="46"/>
  <c r="F120" i="46"/>
  <c r="I118" i="61"/>
  <c r="H118" i="61"/>
  <c r="F119" i="60"/>
  <c r="B119" i="60"/>
  <c r="I119" i="53"/>
  <c r="H119" i="53"/>
  <c r="H115" i="85"/>
  <c r="I115" i="85"/>
  <c r="H114" i="90"/>
  <c r="I114" i="90"/>
  <c r="I122" i="20"/>
  <c r="H122" i="20"/>
  <c r="F119" i="65"/>
  <c r="B119" i="65"/>
  <c r="F117" i="78"/>
  <c r="B117" i="78"/>
  <c r="H120" i="74"/>
  <c r="I120" i="74"/>
  <c r="F115" i="88"/>
  <c r="B115" i="88"/>
  <c r="E122" i="45"/>
  <c r="G121" i="45"/>
  <c r="D122" i="45"/>
  <c r="B115" i="86"/>
  <c r="F115" i="86"/>
  <c r="J115" i="81"/>
  <c r="F118" i="66"/>
  <c r="B118" i="66"/>
  <c r="E124" i="22"/>
  <c r="D124" i="22"/>
  <c r="G123" i="22"/>
  <c r="H123" i="32"/>
  <c r="I123" i="32"/>
  <c r="E117" i="81"/>
  <c r="D117" i="81"/>
  <c r="G116" i="81"/>
  <c r="H124" i="70"/>
  <c r="I124" i="70"/>
  <c r="I116" i="79"/>
  <c r="H116" i="79"/>
  <c r="G119" i="62"/>
  <c r="D120" i="62"/>
  <c r="E120" i="62"/>
  <c r="I124" i="29"/>
  <c r="H124" i="29"/>
  <c r="B123" i="19"/>
  <c r="F123" i="19"/>
  <c r="I122" i="34"/>
  <c r="H122" i="34"/>
  <c r="B120" i="53"/>
  <c r="F120" i="53"/>
  <c r="B116" i="85"/>
  <c r="F116" i="85"/>
  <c r="J116" i="75"/>
  <c r="F123" i="20"/>
  <c r="B123" i="20"/>
  <c r="H118" i="65"/>
  <c r="I118" i="65"/>
  <c r="I124" i="30"/>
  <c r="H124" i="30"/>
  <c r="B121" i="74"/>
  <c r="F121" i="74"/>
  <c r="J118" i="62"/>
  <c r="F120" i="58"/>
  <c r="B120" i="58"/>
  <c r="I114" i="84"/>
  <c r="H114" i="84"/>
  <c r="B115" i="92"/>
  <c r="F115" i="92"/>
  <c r="H119" i="72"/>
  <c r="I119" i="72"/>
  <c r="D123" i="73"/>
  <c r="G122" i="73"/>
  <c r="E123" i="73"/>
  <c r="B119" i="63"/>
  <c r="F119" i="63"/>
  <c r="B118" i="68"/>
  <c r="F118" i="68"/>
  <c r="B117" i="79"/>
  <c r="F117" i="79"/>
  <c r="B125" i="29"/>
  <c r="F125" i="29"/>
  <c r="I119" i="46"/>
  <c r="H119" i="46"/>
  <c r="F122" i="39"/>
  <c r="B122" i="39"/>
  <c r="I122" i="19"/>
  <c r="H122" i="19"/>
  <c r="H118" i="60"/>
  <c r="I118" i="60"/>
  <c r="J113" i="13"/>
  <c r="F125" i="23"/>
  <c r="B125" i="23"/>
  <c r="B120" i="59"/>
  <c r="F120" i="59"/>
  <c r="E122" i="56"/>
  <c r="D122" i="56"/>
  <c r="G121" i="56"/>
  <c r="I123" i="18"/>
  <c r="H123" i="18"/>
  <c r="H124" i="23"/>
  <c r="I124" i="23"/>
  <c r="I119" i="59"/>
  <c r="H119" i="59"/>
  <c r="F124" i="18"/>
  <c r="B124" i="18"/>
  <c r="H124" i="71"/>
  <c r="I124" i="71"/>
  <c r="J115" i="80"/>
  <c r="J121" i="42"/>
  <c r="F121" i="57"/>
  <c r="B121" i="57"/>
  <c r="J113" i="33"/>
  <c r="H120" i="57"/>
  <c r="I120" i="57"/>
  <c r="B125" i="71"/>
  <c r="F125" i="71"/>
  <c r="G115" i="93"/>
  <c r="D116" i="93"/>
  <c r="G114" i="13"/>
  <c r="D115" i="13"/>
  <c r="E115" i="13" s="1"/>
  <c r="J134" i="35"/>
  <c r="B115" i="96"/>
  <c r="F115" i="96"/>
  <c r="H125" i="28"/>
  <c r="I125" i="28"/>
  <c r="I135" i="35"/>
  <c r="H135" i="35"/>
  <c r="H115" i="82"/>
  <c r="I115" i="82"/>
  <c r="H122" i="3"/>
  <c r="I122" i="3"/>
  <c r="D115" i="33"/>
  <c r="E115" i="33" s="1"/>
  <c r="G114" i="33"/>
  <c r="G116" i="83"/>
  <c r="E117" i="83"/>
  <c r="D117" i="83"/>
  <c r="D118" i="77"/>
  <c r="E118" i="77"/>
  <c r="G117" i="77"/>
  <c r="E121" i="55"/>
  <c r="D121" i="55"/>
  <c r="G120" i="55"/>
  <c r="B126" i="28"/>
  <c r="F126" i="28"/>
  <c r="B118" i="67"/>
  <c r="F118" i="67"/>
  <c r="J115" i="83"/>
  <c r="F123" i="3"/>
  <c r="B123" i="3"/>
  <c r="D124" i="21"/>
  <c r="G123" i="21"/>
  <c r="E124" i="21"/>
  <c r="J119" i="55"/>
  <c r="H115" i="95"/>
  <c r="I115" i="95"/>
  <c r="G116" i="80"/>
  <c r="D117" i="80"/>
  <c r="E117" i="80"/>
  <c r="J119" i="54"/>
  <c r="D123" i="42"/>
  <c r="E123" i="42"/>
  <c r="G122" i="42"/>
  <c r="H114" i="96"/>
  <c r="I114" i="96"/>
  <c r="E137" i="35"/>
  <c r="F137" i="35" s="1"/>
  <c r="B137" i="35"/>
  <c r="G136" i="35"/>
  <c r="I117" i="67"/>
  <c r="H117" i="67"/>
  <c r="G120" i="54"/>
  <c r="E121" i="54"/>
  <c r="D121" i="54"/>
  <c r="B124" i="17"/>
  <c r="F124" i="17"/>
  <c r="I114" i="87"/>
  <c r="H114" i="87"/>
  <c r="E125" i="24"/>
  <c r="D125" i="24"/>
  <c r="G124" i="24"/>
  <c r="E118" i="75"/>
  <c r="D118" i="75"/>
  <c r="G117" i="75"/>
  <c r="I121" i="44"/>
  <c r="H121" i="44"/>
  <c r="J116" i="77"/>
  <c r="G117" i="76"/>
  <c r="D118" i="76"/>
  <c r="E118" i="76"/>
  <c r="J123" i="24"/>
  <c r="B116" i="82"/>
  <c r="F116" i="82"/>
  <c r="J116" i="76"/>
  <c r="J114" i="93"/>
  <c r="I123" i="17"/>
  <c r="H123" i="17"/>
  <c r="B115" i="87"/>
  <c r="F115" i="87"/>
  <c r="B116" i="95"/>
  <c r="F116" i="95"/>
  <c r="B122" i="44"/>
  <c r="F122" i="44"/>
  <c r="J122" i="21"/>
  <c r="G96" i="36" l="1"/>
  <c r="H42" i="100"/>
  <c r="G42" i="100"/>
  <c r="I42" i="100" s="1"/>
  <c r="E43" i="100"/>
  <c r="F43" i="100" s="1"/>
  <c r="B43" i="100"/>
  <c r="E115" i="100"/>
  <c r="F115" i="100"/>
  <c r="B115" i="100"/>
  <c r="H114" i="100"/>
  <c r="I114" i="100"/>
  <c r="J114" i="100" s="1"/>
  <c r="R134" i="1"/>
  <c r="O20" i="1"/>
  <c r="B35" i="25"/>
  <c r="E35" i="25"/>
  <c r="F35" i="25" s="1"/>
  <c r="I34" i="25"/>
  <c r="I43" i="19"/>
  <c r="H36" i="99"/>
  <c r="I36" i="99" s="1"/>
  <c r="H34" i="98"/>
  <c r="I34" i="98" s="1"/>
  <c r="G39" i="97"/>
  <c r="I38" i="97"/>
  <c r="E40" i="97"/>
  <c r="F40" i="97" s="1"/>
  <c r="D41" i="97" s="1"/>
  <c r="B40" i="97"/>
  <c r="D37" i="99"/>
  <c r="E37" i="99"/>
  <c r="D35" i="98"/>
  <c r="E35" i="98"/>
  <c r="H39" i="97"/>
  <c r="I114" i="25"/>
  <c r="H114" i="25"/>
  <c r="E115" i="25"/>
  <c r="F115" i="25" s="1"/>
  <c r="B115" i="25"/>
  <c r="H114" i="99"/>
  <c r="I114" i="99"/>
  <c r="F115" i="99"/>
  <c r="B115" i="99"/>
  <c r="I38" i="65"/>
  <c r="J114" i="97"/>
  <c r="J114" i="98"/>
  <c r="D116" i="98"/>
  <c r="G115" i="98"/>
  <c r="E116" i="98"/>
  <c r="B116" i="26"/>
  <c r="E116" i="26"/>
  <c r="F116" i="26" s="1"/>
  <c r="D116" i="97"/>
  <c r="E116" i="97" s="1"/>
  <c r="G115" i="97"/>
  <c r="H115" i="26"/>
  <c r="I115" i="26"/>
  <c r="G35" i="92"/>
  <c r="I35" i="92" s="1"/>
  <c r="G37" i="76"/>
  <c r="I37" i="76" s="1"/>
  <c r="G42" i="74"/>
  <c r="I42" i="74" s="1"/>
  <c r="H39" i="67"/>
  <c r="I39" i="67" s="1"/>
  <c r="E40" i="67"/>
  <c r="D40" i="67"/>
  <c r="I41" i="58"/>
  <c r="H40" i="46"/>
  <c r="I40" i="46" s="1"/>
  <c r="E41" i="46"/>
  <c r="D41" i="46"/>
  <c r="G44" i="24"/>
  <c r="I44" i="24" s="1"/>
  <c r="D45" i="24"/>
  <c r="E45" i="24"/>
  <c r="G44" i="18"/>
  <c r="I44" i="18" s="1"/>
  <c r="J114" i="94"/>
  <c r="D36" i="94"/>
  <c r="E36" i="94"/>
  <c r="H37" i="80"/>
  <c r="I37" i="80" s="1"/>
  <c r="E38" i="80"/>
  <c r="D38" i="80"/>
  <c r="F37" i="86"/>
  <c r="G37" i="86" s="1"/>
  <c r="B37" i="86"/>
  <c r="B38" i="82"/>
  <c r="F38" i="82"/>
  <c r="G40" i="57"/>
  <c r="I40" i="57" s="1"/>
  <c r="I36" i="86"/>
  <c r="H35" i="94"/>
  <c r="I35" i="94" s="1"/>
  <c r="G34" i="93"/>
  <c r="I34" i="93" s="1"/>
  <c r="E35" i="93"/>
  <c r="D35" i="93"/>
  <c r="F38" i="75"/>
  <c r="H38" i="75" s="1"/>
  <c r="B38" i="75"/>
  <c r="D116" i="94"/>
  <c r="B116" i="94" s="1"/>
  <c r="G115" i="94"/>
  <c r="G45" i="23"/>
  <c r="I45" i="23" s="1"/>
  <c r="D46" i="23"/>
  <c r="E46" i="23" s="1"/>
  <c r="D38" i="90"/>
  <c r="E38" i="90"/>
  <c r="E116" i="94"/>
  <c r="H37" i="90"/>
  <c r="F43" i="42"/>
  <c r="H43" i="42" s="1"/>
  <c r="B43" i="42"/>
  <c r="G39" i="66"/>
  <c r="I39" i="66" s="1"/>
  <c r="D40" i="66"/>
  <c r="E40" i="66"/>
  <c r="B42" i="55"/>
  <c r="F42" i="55"/>
  <c r="H42" i="55" s="1"/>
  <c r="E37" i="84"/>
  <c r="D37" i="84"/>
  <c r="F39" i="65"/>
  <c r="H39" i="65" s="1"/>
  <c r="B39" i="65"/>
  <c r="B42" i="58"/>
  <c r="F42" i="58"/>
  <c r="G37" i="90"/>
  <c r="H36" i="91"/>
  <c r="I36" i="91" s="1"/>
  <c r="D37" i="91"/>
  <c r="E37" i="91"/>
  <c r="G36" i="84"/>
  <c r="I36" i="84" s="1"/>
  <c r="H40" i="53"/>
  <c r="I40" i="53" s="1"/>
  <c r="D41" i="53"/>
  <c r="E41" i="53"/>
  <c r="D43" i="44"/>
  <c r="E43" i="44"/>
  <c r="E44" i="22"/>
  <c r="D44" i="22"/>
  <c r="E35" i="96"/>
  <c r="D35" i="96"/>
  <c r="I38" i="62"/>
  <c r="G45" i="70"/>
  <c r="I45" i="70" s="1"/>
  <c r="G40" i="54"/>
  <c r="I40" i="54" s="1"/>
  <c r="H35" i="89"/>
  <c r="I35" i="89" s="1"/>
  <c r="G42" i="44"/>
  <c r="I42" i="44" s="1"/>
  <c r="G34" i="96"/>
  <c r="H45" i="27"/>
  <c r="D46" i="27"/>
  <c r="E46" i="27"/>
  <c r="G45" i="27"/>
  <c r="H36" i="81"/>
  <c r="I36" i="81" s="1"/>
  <c r="D37" i="81"/>
  <c r="E37" i="81"/>
  <c r="H39" i="61"/>
  <c r="I39" i="61" s="1"/>
  <c r="D40" i="61"/>
  <c r="E40" i="61"/>
  <c r="H43" i="22"/>
  <c r="F35" i="95"/>
  <c r="B35" i="95"/>
  <c r="B43" i="39"/>
  <c r="F43" i="39"/>
  <c r="G43" i="39" s="1"/>
  <c r="B41" i="72"/>
  <c r="F41" i="72"/>
  <c r="G41" i="72" s="1"/>
  <c r="B37" i="85"/>
  <c r="F37" i="85"/>
  <c r="G43" i="22"/>
  <c r="E38" i="76"/>
  <c r="D38" i="76"/>
  <c r="H34" i="96"/>
  <c r="G42" i="73"/>
  <c r="I42" i="73" s="1"/>
  <c r="G39" i="60"/>
  <c r="I39" i="60" s="1"/>
  <c r="H45" i="29"/>
  <c r="D46" i="29"/>
  <c r="E46" i="29"/>
  <c r="H43" i="17"/>
  <c r="E44" i="17"/>
  <c r="D44" i="17"/>
  <c r="E44" i="41"/>
  <c r="D44" i="41"/>
  <c r="B45" i="71"/>
  <c r="F45" i="71"/>
  <c r="B42" i="45"/>
  <c r="F42" i="45"/>
  <c r="H42" i="45" s="1"/>
  <c r="I39" i="56"/>
  <c r="E41" i="57"/>
  <c r="D41" i="57"/>
  <c r="H44" i="32"/>
  <c r="E45" i="32"/>
  <c r="D45" i="32"/>
  <c r="D38" i="79"/>
  <c r="E38" i="79"/>
  <c r="F40" i="64"/>
  <c r="G40" i="64" s="1"/>
  <c r="B40" i="64"/>
  <c r="F37" i="88"/>
  <c r="H37" i="88" s="1"/>
  <c r="B37" i="88"/>
  <c r="G43" i="17"/>
  <c r="F46" i="69"/>
  <c r="B46" i="69"/>
  <c r="I45" i="31"/>
  <c r="F46" i="31"/>
  <c r="H46" i="31" s="1"/>
  <c r="B46" i="31"/>
  <c r="D43" i="73"/>
  <c r="E43" i="73"/>
  <c r="F39" i="68"/>
  <c r="H39" i="68" s="1"/>
  <c r="B39" i="68"/>
  <c r="E40" i="60"/>
  <c r="D40" i="60"/>
  <c r="G39" i="63"/>
  <c r="I39" i="63" s="1"/>
  <c r="E40" i="63"/>
  <c r="D40" i="63"/>
  <c r="B45" i="30"/>
  <c r="F45" i="30"/>
  <c r="G45" i="30" s="1"/>
  <c r="B44" i="3"/>
  <c r="F44" i="3"/>
  <c r="G44" i="3" s="1"/>
  <c r="D43" i="74"/>
  <c r="E43" i="74"/>
  <c r="F45" i="34"/>
  <c r="H45" i="34" s="1"/>
  <c r="B45" i="34"/>
  <c r="H43" i="41"/>
  <c r="G43" i="43"/>
  <c r="I43" i="43" s="1"/>
  <c r="E44" i="43"/>
  <c r="D44" i="43"/>
  <c r="D36" i="92"/>
  <c r="E36" i="92"/>
  <c r="G43" i="21"/>
  <c r="I43" i="21" s="1"/>
  <c r="E44" i="21"/>
  <c r="D44" i="21"/>
  <c r="D38" i="78"/>
  <c r="E38" i="78"/>
  <c r="B40" i="56"/>
  <c r="F40" i="56"/>
  <c r="H40" i="56" s="1"/>
  <c r="B47" i="28"/>
  <c r="F47" i="28"/>
  <c r="H47" i="28" s="1"/>
  <c r="G44" i="32"/>
  <c r="H37" i="79"/>
  <c r="I37" i="79" s="1"/>
  <c r="G37" i="77"/>
  <c r="I37" i="77" s="1"/>
  <c r="D38" i="77"/>
  <c r="E38" i="77"/>
  <c r="D46" i="70"/>
  <c r="E46" i="70"/>
  <c r="D41" i="54"/>
  <c r="E41" i="54"/>
  <c r="G45" i="29"/>
  <c r="I44" i="34"/>
  <c r="G43" i="41"/>
  <c r="B36" i="83"/>
  <c r="F36" i="83"/>
  <c r="G36" i="83" s="1"/>
  <c r="E36" i="89"/>
  <c r="D36" i="89"/>
  <c r="B44" i="19"/>
  <c r="F44" i="19"/>
  <c r="G44" i="19" s="1"/>
  <c r="H37" i="78"/>
  <c r="I37" i="78" s="1"/>
  <c r="J115" i="85"/>
  <c r="J114" i="92"/>
  <c r="J114" i="96"/>
  <c r="J117" i="66"/>
  <c r="J114" i="84"/>
  <c r="J125" i="28"/>
  <c r="B35" i="13"/>
  <c r="E40" i="59"/>
  <c r="D40" i="59"/>
  <c r="J119" i="59"/>
  <c r="J123" i="18"/>
  <c r="J122" i="34"/>
  <c r="J124" i="29"/>
  <c r="J116" i="78"/>
  <c r="J121" i="39"/>
  <c r="J124" i="69"/>
  <c r="F37" i="33"/>
  <c r="B37" i="33"/>
  <c r="E45" i="18"/>
  <c r="D45" i="18"/>
  <c r="I53" i="35"/>
  <c r="H39" i="59"/>
  <c r="J122" i="19"/>
  <c r="J119" i="46"/>
  <c r="J116" i="79"/>
  <c r="B43" i="20"/>
  <c r="F43" i="20"/>
  <c r="B36" i="26"/>
  <c r="F36" i="26"/>
  <c r="H36" i="26" s="1"/>
  <c r="B39" i="62"/>
  <c r="F39" i="62"/>
  <c r="J118" i="65"/>
  <c r="J124" i="70"/>
  <c r="J120" i="74"/>
  <c r="J114" i="90"/>
  <c r="J124" i="27"/>
  <c r="E35" i="13"/>
  <c r="F35" i="13" s="1"/>
  <c r="H54" i="35"/>
  <c r="B55" i="35"/>
  <c r="G54" i="35"/>
  <c r="E55" i="35"/>
  <c r="F55" i="35" s="1"/>
  <c r="G39" i="59"/>
  <c r="B36" i="87"/>
  <c r="F36" i="87"/>
  <c r="G36" i="87" s="1"/>
  <c r="D123" i="39"/>
  <c r="G122" i="39"/>
  <c r="E123" i="39"/>
  <c r="D118" i="79"/>
  <c r="E118" i="79"/>
  <c r="G117" i="79"/>
  <c r="E120" i="63"/>
  <c r="D120" i="63"/>
  <c r="G119" i="63"/>
  <c r="B123" i="73"/>
  <c r="F123" i="73"/>
  <c r="E121" i="58"/>
  <c r="G120" i="58"/>
  <c r="D121" i="58"/>
  <c r="I116" i="81"/>
  <c r="H116" i="81"/>
  <c r="D121" i="46"/>
  <c r="E121" i="46"/>
  <c r="G120" i="46"/>
  <c r="D125" i="32"/>
  <c r="E125" i="32"/>
  <c r="G124" i="32"/>
  <c r="G120" i="72"/>
  <c r="E121" i="72"/>
  <c r="D121" i="72"/>
  <c r="G125" i="30"/>
  <c r="E126" i="30"/>
  <c r="D126" i="30"/>
  <c r="I122" i="41"/>
  <c r="H122" i="41"/>
  <c r="J119" i="72"/>
  <c r="J124" i="30"/>
  <c r="E124" i="20"/>
  <c r="D124" i="20"/>
  <c r="G123" i="20"/>
  <c r="E121" i="53"/>
  <c r="D121" i="53"/>
  <c r="G120" i="53"/>
  <c r="E124" i="19"/>
  <c r="G123" i="19"/>
  <c r="D124" i="19"/>
  <c r="F117" i="81"/>
  <c r="B117" i="81"/>
  <c r="H123" i="22"/>
  <c r="I123" i="22"/>
  <c r="E119" i="66"/>
  <c r="D119" i="66"/>
  <c r="G118" i="66"/>
  <c r="B122" i="45"/>
  <c r="F122" i="45"/>
  <c r="G115" i="88"/>
  <c r="E116" i="88"/>
  <c r="D116" i="88"/>
  <c r="D118" i="78"/>
  <c r="G117" i="78"/>
  <c r="E118" i="78"/>
  <c r="J122" i="20"/>
  <c r="E120" i="60"/>
  <c r="G119" i="60"/>
  <c r="D120" i="60"/>
  <c r="G125" i="69"/>
  <c r="E126" i="69"/>
  <c r="D126" i="69"/>
  <c r="J119" i="58"/>
  <c r="I115" i="89"/>
  <c r="H115" i="89"/>
  <c r="D116" i="90"/>
  <c r="G115" i="90"/>
  <c r="E116" i="90"/>
  <c r="E120" i="61"/>
  <c r="D120" i="61"/>
  <c r="G119" i="61"/>
  <c r="J118" i="63"/>
  <c r="D126" i="27"/>
  <c r="E126" i="27"/>
  <c r="G125" i="27"/>
  <c r="H115" i="91"/>
  <c r="I115" i="91"/>
  <c r="D126" i="29"/>
  <c r="E126" i="29"/>
  <c r="G125" i="29"/>
  <c r="G118" i="68"/>
  <c r="E119" i="68"/>
  <c r="D119" i="68"/>
  <c r="E122" i="74"/>
  <c r="D122" i="74"/>
  <c r="G121" i="74"/>
  <c r="B120" i="62"/>
  <c r="F120" i="62"/>
  <c r="B124" i="22"/>
  <c r="F124" i="22"/>
  <c r="I121" i="45"/>
  <c r="H121" i="45"/>
  <c r="D123" i="43"/>
  <c r="G122" i="43"/>
  <c r="E123" i="43"/>
  <c r="F116" i="89"/>
  <c r="B116" i="89"/>
  <c r="B116" i="91"/>
  <c r="F116" i="91"/>
  <c r="J118" i="60"/>
  <c r="H122" i="73"/>
  <c r="I122" i="73"/>
  <c r="G115" i="92"/>
  <c r="E116" i="92"/>
  <c r="D116" i="92"/>
  <c r="D117" i="85"/>
  <c r="E117" i="85"/>
  <c r="G116" i="85"/>
  <c r="H119" i="62"/>
  <c r="I119" i="62"/>
  <c r="J123" i="32"/>
  <c r="E116" i="86"/>
  <c r="D116" i="86"/>
  <c r="G115" i="86"/>
  <c r="D120" i="65"/>
  <c r="E120" i="65"/>
  <c r="G119" i="65"/>
  <c r="J119" i="53"/>
  <c r="J118" i="61"/>
  <c r="J117" i="68"/>
  <c r="D125" i="31"/>
  <c r="G124" i="31"/>
  <c r="E125" i="31"/>
  <c r="J114" i="86"/>
  <c r="J118" i="64"/>
  <c r="J114" i="88"/>
  <c r="D124" i="34"/>
  <c r="E124" i="34"/>
  <c r="G123" i="34"/>
  <c r="G125" i="70"/>
  <c r="D126" i="70"/>
  <c r="E126" i="70"/>
  <c r="J123" i="31"/>
  <c r="J121" i="43"/>
  <c r="D116" i="84"/>
  <c r="G115" i="84"/>
  <c r="E116" i="84"/>
  <c r="D120" i="64"/>
  <c r="G119" i="64"/>
  <c r="E120" i="64"/>
  <c r="F123" i="41"/>
  <c r="B123" i="41"/>
  <c r="J135" i="35"/>
  <c r="D125" i="18"/>
  <c r="G124" i="18"/>
  <c r="E125" i="18"/>
  <c r="E126" i="23"/>
  <c r="G125" i="23"/>
  <c r="D126" i="23"/>
  <c r="J122" i="3"/>
  <c r="J124" i="23"/>
  <c r="I121" i="56"/>
  <c r="H121" i="56"/>
  <c r="D121" i="59"/>
  <c r="E121" i="59"/>
  <c r="G120" i="59"/>
  <c r="B122" i="56"/>
  <c r="F122" i="56"/>
  <c r="E126" i="71"/>
  <c r="G125" i="71"/>
  <c r="D126" i="71"/>
  <c r="E122" i="57"/>
  <c r="G121" i="57"/>
  <c r="D122" i="57"/>
  <c r="J123" i="17"/>
  <c r="J121" i="44"/>
  <c r="J114" i="87"/>
  <c r="J117" i="67"/>
  <c r="J120" i="57"/>
  <c r="J124" i="71"/>
  <c r="B118" i="75"/>
  <c r="F118" i="75"/>
  <c r="B123" i="42"/>
  <c r="F123" i="42"/>
  <c r="H116" i="80"/>
  <c r="I116" i="80"/>
  <c r="B118" i="77"/>
  <c r="F118" i="77"/>
  <c r="I114" i="33"/>
  <c r="H114" i="33"/>
  <c r="D116" i="87"/>
  <c r="G115" i="87"/>
  <c r="E116" i="87"/>
  <c r="I124" i="24"/>
  <c r="H124" i="24"/>
  <c r="B121" i="54"/>
  <c r="F121" i="54"/>
  <c r="I136" i="35"/>
  <c r="H136" i="35"/>
  <c r="J115" i="95"/>
  <c r="G123" i="3"/>
  <c r="D124" i="3"/>
  <c r="E124" i="3"/>
  <c r="F117" i="83"/>
  <c r="B117" i="83"/>
  <c r="G115" i="96"/>
  <c r="D116" i="96"/>
  <c r="E116" i="96" s="1"/>
  <c r="B116" i="93"/>
  <c r="G122" i="44"/>
  <c r="D123" i="44"/>
  <c r="E123" i="44"/>
  <c r="B118" i="76"/>
  <c r="F118" i="76"/>
  <c r="B125" i="24"/>
  <c r="F125" i="24"/>
  <c r="H122" i="42"/>
  <c r="I122" i="42"/>
  <c r="H123" i="21"/>
  <c r="I123" i="21"/>
  <c r="D119" i="67"/>
  <c r="G118" i="67"/>
  <c r="E119" i="67"/>
  <c r="G126" i="28"/>
  <c r="D127" i="28"/>
  <c r="E127" i="28"/>
  <c r="H120" i="55"/>
  <c r="I120" i="55"/>
  <c r="I117" i="77"/>
  <c r="H117" i="77"/>
  <c r="F115" i="33"/>
  <c r="B115" i="33"/>
  <c r="J115" i="82"/>
  <c r="B115" i="13"/>
  <c r="F115" i="13"/>
  <c r="I115" i="93"/>
  <c r="H115" i="93"/>
  <c r="D117" i="95"/>
  <c r="E117" i="95" s="1"/>
  <c r="G116" i="95"/>
  <c r="D117" i="82"/>
  <c r="G116" i="82"/>
  <c r="E117" i="82"/>
  <c r="I117" i="76"/>
  <c r="H117" i="76"/>
  <c r="H117" i="75"/>
  <c r="I117" i="75"/>
  <c r="D125" i="17"/>
  <c r="G124" i="17"/>
  <c r="E125" i="17"/>
  <c r="H120" i="54"/>
  <c r="I120" i="54"/>
  <c r="B138" i="35"/>
  <c r="E138" i="35"/>
  <c r="F138" i="35" s="1"/>
  <c r="G137" i="35"/>
  <c r="F117" i="80"/>
  <c r="B117" i="80"/>
  <c r="B124" i="21"/>
  <c r="F124" i="21"/>
  <c r="F121" i="55"/>
  <c r="B121" i="55"/>
  <c r="I116" i="83"/>
  <c r="H116" i="83"/>
  <c r="I114" i="13"/>
  <c r="H114" i="13"/>
  <c r="E116" i="93"/>
  <c r="F116" i="93" s="1"/>
  <c r="D44" i="100" l="1"/>
  <c r="E44" i="100"/>
  <c r="G43" i="100"/>
  <c r="H43" i="100"/>
  <c r="D116" i="100"/>
  <c r="G115" i="100"/>
  <c r="D36" i="25"/>
  <c r="B36" i="25" s="1"/>
  <c r="G35" i="25"/>
  <c r="H35" i="25"/>
  <c r="J114" i="99"/>
  <c r="I34" i="96"/>
  <c r="I39" i="97"/>
  <c r="G38" i="75"/>
  <c r="I38" i="75" s="1"/>
  <c r="I54" i="35"/>
  <c r="F37" i="99"/>
  <c r="D38" i="99" s="1"/>
  <c r="B37" i="99"/>
  <c r="E41" i="97"/>
  <c r="F41" i="97" s="1"/>
  <c r="D42" i="97" s="1"/>
  <c r="B41" i="97"/>
  <c r="H40" i="97"/>
  <c r="F35" i="98"/>
  <c r="H35" i="98" s="1"/>
  <c r="B35" i="98"/>
  <c r="G40" i="97"/>
  <c r="G115" i="25"/>
  <c r="D116" i="25"/>
  <c r="J115" i="26"/>
  <c r="J114" i="25"/>
  <c r="D116" i="99"/>
  <c r="G115" i="99"/>
  <c r="E116" i="99"/>
  <c r="I43" i="17"/>
  <c r="H115" i="97"/>
  <c r="I115" i="97"/>
  <c r="F116" i="94"/>
  <c r="B116" i="97"/>
  <c r="F116" i="97"/>
  <c r="H115" i="98"/>
  <c r="I115" i="98"/>
  <c r="G116" i="26"/>
  <c r="D117" i="26"/>
  <c r="F116" i="98"/>
  <c r="B116" i="98"/>
  <c r="B40" i="67"/>
  <c r="F40" i="67"/>
  <c r="G40" i="67" s="1"/>
  <c r="H40" i="64"/>
  <c r="I40" i="64" s="1"/>
  <c r="B41" i="46"/>
  <c r="F41" i="46"/>
  <c r="H41" i="46" s="1"/>
  <c r="F45" i="24"/>
  <c r="H45" i="24" s="1"/>
  <c r="B45" i="24"/>
  <c r="H44" i="19"/>
  <c r="I44" i="19" s="1"/>
  <c r="B38" i="80"/>
  <c r="F38" i="80"/>
  <c r="G38" i="80" s="1"/>
  <c r="F36" i="94"/>
  <c r="H36" i="94" s="1"/>
  <c r="B36" i="94"/>
  <c r="G39" i="65"/>
  <c r="I39" i="65" s="1"/>
  <c r="G38" i="82"/>
  <c r="E39" i="82"/>
  <c r="D39" i="82"/>
  <c r="G36" i="26"/>
  <c r="I36" i="26" s="1"/>
  <c r="G46" i="31"/>
  <c r="I46" i="31" s="1"/>
  <c r="H38" i="82"/>
  <c r="B35" i="93"/>
  <c r="F35" i="93"/>
  <c r="H35" i="93" s="1"/>
  <c r="E38" i="86"/>
  <c r="H37" i="86"/>
  <c r="I37" i="86" s="1"/>
  <c r="D38" i="86"/>
  <c r="G42" i="58"/>
  <c r="D43" i="58"/>
  <c r="H42" i="58"/>
  <c r="E43" i="58"/>
  <c r="B40" i="66"/>
  <c r="F40" i="66"/>
  <c r="H40" i="66" s="1"/>
  <c r="B41" i="53"/>
  <c r="F41" i="53"/>
  <c r="H41" i="53" s="1"/>
  <c r="B37" i="91"/>
  <c r="F37" i="91"/>
  <c r="D40" i="65"/>
  <c r="E40" i="65"/>
  <c r="G42" i="55"/>
  <c r="I42" i="55" s="1"/>
  <c r="D43" i="55"/>
  <c r="E43" i="55"/>
  <c r="E44" i="42"/>
  <c r="D44" i="42"/>
  <c r="I44" i="32"/>
  <c r="H43" i="39"/>
  <c r="I43" i="39" s="1"/>
  <c r="B37" i="84"/>
  <c r="F37" i="84"/>
  <c r="I37" i="90"/>
  <c r="B38" i="90"/>
  <c r="F38" i="90"/>
  <c r="I115" i="94"/>
  <c r="H115" i="94"/>
  <c r="H41" i="72"/>
  <c r="I41" i="72" s="1"/>
  <c r="I45" i="27"/>
  <c r="G43" i="42"/>
  <c r="I43" i="42" s="1"/>
  <c r="F46" i="23"/>
  <c r="B46" i="23"/>
  <c r="E39" i="75"/>
  <c r="D39" i="75"/>
  <c r="G37" i="85"/>
  <c r="D38" i="85"/>
  <c r="E38" i="85"/>
  <c r="H35" i="95"/>
  <c r="D36" i="95"/>
  <c r="E36" i="95"/>
  <c r="B37" i="81"/>
  <c r="F37" i="81"/>
  <c r="F44" i="22"/>
  <c r="G44" i="22" s="1"/>
  <c r="B44" i="22"/>
  <c r="G47" i="28"/>
  <c r="I47" i="28" s="1"/>
  <c r="G37" i="88"/>
  <c r="I37" i="88" s="1"/>
  <c r="I43" i="22"/>
  <c r="F40" i="61"/>
  <c r="H40" i="61" s="1"/>
  <c r="B40" i="61"/>
  <c r="F38" i="76"/>
  <c r="G38" i="76" s="1"/>
  <c r="B38" i="76"/>
  <c r="D42" i="72"/>
  <c r="E42" i="72"/>
  <c r="E44" i="39"/>
  <c r="D44" i="39"/>
  <c r="B46" i="27"/>
  <c r="F46" i="27"/>
  <c r="H37" i="85"/>
  <c r="G35" i="95"/>
  <c r="B35" i="96"/>
  <c r="F35" i="96"/>
  <c r="H35" i="96" s="1"/>
  <c r="B43" i="44"/>
  <c r="F43" i="44"/>
  <c r="I45" i="29"/>
  <c r="H36" i="83"/>
  <c r="I36" i="83" s="1"/>
  <c r="D37" i="83"/>
  <c r="E37" i="83"/>
  <c r="B46" i="70"/>
  <c r="F46" i="70"/>
  <c r="H46" i="70" s="1"/>
  <c r="B43" i="74"/>
  <c r="F43" i="74"/>
  <c r="G43" i="74" s="1"/>
  <c r="B40" i="60"/>
  <c r="F40" i="60"/>
  <c r="G40" i="60" s="1"/>
  <c r="H46" i="69"/>
  <c r="D47" i="69"/>
  <c r="E47" i="69"/>
  <c r="B45" i="32"/>
  <c r="F45" i="32"/>
  <c r="G45" i="32" s="1"/>
  <c r="G45" i="71"/>
  <c r="D46" i="71"/>
  <c r="E46" i="71"/>
  <c r="F44" i="17"/>
  <c r="H44" i="17" s="1"/>
  <c r="C53" i="17"/>
  <c r="B44" i="17"/>
  <c r="B46" i="29"/>
  <c r="F46" i="29"/>
  <c r="H46" i="29" s="1"/>
  <c r="F36" i="89"/>
  <c r="H36" i="89" s="1"/>
  <c r="B36" i="89"/>
  <c r="D46" i="34"/>
  <c r="E46" i="34" s="1"/>
  <c r="H45" i="30"/>
  <c r="I45" i="30" s="1"/>
  <c r="E46" i="30"/>
  <c r="D46" i="30"/>
  <c r="E40" i="68"/>
  <c r="D40" i="68"/>
  <c r="D47" i="31"/>
  <c r="E47" i="31"/>
  <c r="E38" i="88"/>
  <c r="D38" i="88"/>
  <c r="E41" i="64"/>
  <c r="D41" i="64"/>
  <c r="D45" i="19"/>
  <c r="E45" i="19"/>
  <c r="I43" i="41"/>
  <c r="B41" i="54"/>
  <c r="F41" i="54"/>
  <c r="H41" i="54" s="1"/>
  <c r="D48" i="28"/>
  <c r="E48" i="28" s="1"/>
  <c r="F38" i="78"/>
  <c r="G38" i="78" s="1"/>
  <c r="B38" i="78"/>
  <c r="G45" i="34"/>
  <c r="I45" i="34" s="1"/>
  <c r="H44" i="3"/>
  <c r="I44" i="3" s="1"/>
  <c r="D45" i="3"/>
  <c r="E45" i="3" s="1"/>
  <c r="G39" i="68"/>
  <c r="I39" i="68" s="1"/>
  <c r="G46" i="69"/>
  <c r="D43" i="45"/>
  <c r="E43" i="45"/>
  <c r="F44" i="41"/>
  <c r="B44" i="41"/>
  <c r="F38" i="77"/>
  <c r="B38" i="77"/>
  <c r="G40" i="56"/>
  <c r="I40" i="56" s="1"/>
  <c r="D41" i="56"/>
  <c r="E41" i="56"/>
  <c r="F44" i="21"/>
  <c r="B44" i="21"/>
  <c r="B36" i="92"/>
  <c r="F36" i="92"/>
  <c r="B44" i="43"/>
  <c r="F44" i="43"/>
  <c r="B40" i="63"/>
  <c r="F40" i="63"/>
  <c r="G40" i="63" s="1"/>
  <c r="B43" i="73"/>
  <c r="F43" i="73"/>
  <c r="G43" i="73" s="1"/>
  <c r="B38" i="79"/>
  <c r="F38" i="79"/>
  <c r="H38" i="79" s="1"/>
  <c r="F41" i="57"/>
  <c r="H41" i="57" s="1"/>
  <c r="B41" i="57"/>
  <c r="G42" i="45"/>
  <c r="I42" i="45" s="1"/>
  <c r="H45" i="71"/>
  <c r="J123" i="22"/>
  <c r="J115" i="89"/>
  <c r="J122" i="41"/>
  <c r="D36" i="13"/>
  <c r="H35" i="13"/>
  <c r="G35" i="13"/>
  <c r="D40" i="62"/>
  <c r="E40" i="62"/>
  <c r="E44" i="20"/>
  <c r="D44" i="20"/>
  <c r="I39" i="59"/>
  <c r="D38" i="33"/>
  <c r="E38" i="33" s="1"/>
  <c r="B40" i="59"/>
  <c r="F40" i="59"/>
  <c r="H40" i="59" s="1"/>
  <c r="D37" i="87"/>
  <c r="E37" i="87"/>
  <c r="H43" i="20"/>
  <c r="G55" i="35"/>
  <c r="H55" i="35"/>
  <c r="B56" i="35"/>
  <c r="E56" i="35"/>
  <c r="F56" i="35" s="1"/>
  <c r="G39" i="62"/>
  <c r="D37" i="26"/>
  <c r="E37" i="26" s="1"/>
  <c r="H37" i="33"/>
  <c r="J119" i="62"/>
  <c r="J122" i="73"/>
  <c r="H36" i="87"/>
  <c r="I36" i="87" s="1"/>
  <c r="H39" i="62"/>
  <c r="G43" i="20"/>
  <c r="B45" i="18"/>
  <c r="F45" i="18"/>
  <c r="G45" i="18" s="1"/>
  <c r="G37" i="33"/>
  <c r="H115" i="84"/>
  <c r="I115" i="84"/>
  <c r="H116" i="85"/>
  <c r="I116" i="85"/>
  <c r="E117" i="89"/>
  <c r="D117" i="89"/>
  <c r="G116" i="89"/>
  <c r="E121" i="62"/>
  <c r="G120" i="62"/>
  <c r="D121" i="62"/>
  <c r="I125" i="29"/>
  <c r="H125" i="29"/>
  <c r="I125" i="69"/>
  <c r="H125" i="69"/>
  <c r="B116" i="88"/>
  <c r="F116" i="88"/>
  <c r="B124" i="19"/>
  <c r="F124" i="19"/>
  <c r="F121" i="53"/>
  <c r="B121" i="53"/>
  <c r="B121" i="72"/>
  <c r="F121" i="72"/>
  <c r="B121" i="46"/>
  <c r="F121" i="46"/>
  <c r="I120" i="58"/>
  <c r="H120" i="58"/>
  <c r="I119" i="63"/>
  <c r="H119" i="63"/>
  <c r="B123" i="39"/>
  <c r="F123" i="39"/>
  <c r="H119" i="64"/>
  <c r="I119" i="64"/>
  <c r="B116" i="84"/>
  <c r="F116" i="84"/>
  <c r="F126" i="70"/>
  <c r="B126" i="70"/>
  <c r="F124" i="34"/>
  <c r="B124" i="34"/>
  <c r="F120" i="65"/>
  <c r="B120" i="65"/>
  <c r="H115" i="92"/>
  <c r="I115" i="92"/>
  <c r="G116" i="91"/>
  <c r="E117" i="91"/>
  <c r="D117" i="91"/>
  <c r="J121" i="45"/>
  <c r="F119" i="68"/>
  <c r="B119" i="68"/>
  <c r="I125" i="27"/>
  <c r="H125" i="27"/>
  <c r="I119" i="61"/>
  <c r="H119" i="61"/>
  <c r="H115" i="90"/>
  <c r="I115" i="90"/>
  <c r="F120" i="60"/>
  <c r="B120" i="60"/>
  <c r="I118" i="66"/>
  <c r="H118" i="66"/>
  <c r="I123" i="19"/>
  <c r="H123" i="19"/>
  <c r="F126" i="30"/>
  <c r="B126" i="30"/>
  <c r="B125" i="32"/>
  <c r="F125" i="32"/>
  <c r="B120" i="63"/>
  <c r="F120" i="63"/>
  <c r="B118" i="79"/>
  <c r="F118" i="79"/>
  <c r="B120" i="64"/>
  <c r="F120" i="64"/>
  <c r="I125" i="70"/>
  <c r="H125" i="70"/>
  <c r="I124" i="31"/>
  <c r="H124" i="31"/>
  <c r="H115" i="86"/>
  <c r="I115" i="86"/>
  <c r="F117" i="85"/>
  <c r="B117" i="85"/>
  <c r="H122" i="43"/>
  <c r="I122" i="43"/>
  <c r="D125" i="22"/>
  <c r="G124" i="22"/>
  <c r="E125" i="22"/>
  <c r="I121" i="74"/>
  <c r="H121" i="74"/>
  <c r="B126" i="29"/>
  <c r="F126" i="29"/>
  <c r="B120" i="61"/>
  <c r="F120" i="61"/>
  <c r="B116" i="90"/>
  <c r="F116" i="90"/>
  <c r="B126" i="69"/>
  <c r="F126" i="69"/>
  <c r="I119" i="60"/>
  <c r="H119" i="60"/>
  <c r="I117" i="78"/>
  <c r="H117" i="78"/>
  <c r="I115" i="88"/>
  <c r="H115" i="88"/>
  <c r="B119" i="66"/>
  <c r="F119" i="66"/>
  <c r="H123" i="20"/>
  <c r="I123" i="20"/>
  <c r="I120" i="72"/>
  <c r="H120" i="72"/>
  <c r="I120" i="46"/>
  <c r="H120" i="46"/>
  <c r="J116" i="81"/>
  <c r="E124" i="73"/>
  <c r="G123" i="73"/>
  <c r="D124" i="73"/>
  <c r="J121" i="56"/>
  <c r="G123" i="41"/>
  <c r="E124" i="41"/>
  <c r="D124" i="41"/>
  <c r="H123" i="34"/>
  <c r="I123" i="34"/>
  <c r="B125" i="31"/>
  <c r="F125" i="31"/>
  <c r="H119" i="65"/>
  <c r="I119" i="65"/>
  <c r="B116" i="86"/>
  <c r="F116" i="86"/>
  <c r="F116" i="92"/>
  <c r="B116" i="92"/>
  <c r="F123" i="43"/>
  <c r="B123" i="43"/>
  <c r="F122" i="74"/>
  <c r="B122" i="74"/>
  <c r="I118" i="68"/>
  <c r="H118" i="68"/>
  <c r="J115" i="91"/>
  <c r="B126" i="27"/>
  <c r="F126" i="27"/>
  <c r="B118" i="78"/>
  <c r="F118" i="78"/>
  <c r="G122" i="45"/>
  <c r="D123" i="45"/>
  <c r="E123" i="45"/>
  <c r="D118" i="81"/>
  <c r="G117" i="81"/>
  <c r="E118" i="81"/>
  <c r="I120" i="53"/>
  <c r="H120" i="53"/>
  <c r="F124" i="20"/>
  <c r="B124" i="20"/>
  <c r="I125" i="30"/>
  <c r="H125" i="30"/>
  <c r="I124" i="32"/>
  <c r="H124" i="32"/>
  <c r="B121" i="58"/>
  <c r="F121" i="58"/>
  <c r="I117" i="79"/>
  <c r="H117" i="79"/>
  <c r="H122" i="39"/>
  <c r="I122" i="39"/>
  <c r="J123" i="21"/>
  <c r="F121" i="59"/>
  <c r="B121" i="59"/>
  <c r="J136" i="35"/>
  <c r="B126" i="23"/>
  <c r="F126" i="23"/>
  <c r="I124" i="18"/>
  <c r="H124" i="18"/>
  <c r="G122" i="56"/>
  <c r="E123" i="56"/>
  <c r="D123" i="56"/>
  <c r="H120" i="59"/>
  <c r="I120" i="59"/>
  <c r="I125" i="23"/>
  <c r="H125" i="23"/>
  <c r="F125" i="18"/>
  <c r="B125" i="18"/>
  <c r="J114" i="13"/>
  <c r="J115" i="93"/>
  <c r="F122" i="57"/>
  <c r="B122" i="57"/>
  <c r="H121" i="57"/>
  <c r="I121" i="57"/>
  <c r="B126" i="71"/>
  <c r="F126" i="71"/>
  <c r="J120" i="54"/>
  <c r="J117" i="75"/>
  <c r="J124" i="24"/>
  <c r="I125" i="71"/>
  <c r="H125" i="71"/>
  <c r="J116" i="80"/>
  <c r="G116" i="93"/>
  <c r="D117" i="93"/>
  <c r="E117" i="93" s="1"/>
  <c r="E125" i="21"/>
  <c r="G124" i="21"/>
  <c r="D125" i="21"/>
  <c r="I124" i="17"/>
  <c r="H124" i="17"/>
  <c r="B117" i="82"/>
  <c r="F117" i="82"/>
  <c r="G115" i="13"/>
  <c r="D116" i="13"/>
  <c r="E116" i="13" s="1"/>
  <c r="I126" i="28"/>
  <c r="H126" i="28"/>
  <c r="F124" i="3"/>
  <c r="B124" i="3"/>
  <c r="E122" i="55"/>
  <c r="D122" i="55"/>
  <c r="G121" i="55"/>
  <c r="J116" i="83"/>
  <c r="G117" i="80"/>
  <c r="E118" i="80"/>
  <c r="D118" i="80"/>
  <c r="B125" i="17"/>
  <c r="F125" i="17"/>
  <c r="J117" i="76"/>
  <c r="B117" i="95"/>
  <c r="F117" i="95"/>
  <c r="J117" i="77"/>
  <c r="G117" i="83"/>
  <c r="D118" i="83"/>
  <c r="E118" i="83"/>
  <c r="I123" i="3"/>
  <c r="H123" i="3"/>
  <c r="E122" i="54"/>
  <c r="D122" i="54"/>
  <c r="G121" i="54"/>
  <c r="I115" i="87"/>
  <c r="H115" i="87"/>
  <c r="J114" i="33"/>
  <c r="E119" i="75"/>
  <c r="D119" i="75"/>
  <c r="G118" i="75"/>
  <c r="I137" i="35"/>
  <c r="H137" i="35"/>
  <c r="J120" i="55"/>
  <c r="I118" i="67"/>
  <c r="H118" i="67"/>
  <c r="B123" i="44"/>
  <c r="F123" i="44"/>
  <c r="F116" i="96"/>
  <c r="B116" i="96"/>
  <c r="B116" i="87"/>
  <c r="F116" i="87"/>
  <c r="D119" i="77"/>
  <c r="G118" i="77"/>
  <c r="E119" i="77"/>
  <c r="B139" i="35"/>
  <c r="G138" i="35"/>
  <c r="E139" i="35"/>
  <c r="F139" i="35" s="1"/>
  <c r="H116" i="82"/>
  <c r="I116" i="82"/>
  <c r="H116" i="95"/>
  <c r="I116" i="95"/>
  <c r="G115" i="33"/>
  <c r="D116" i="33"/>
  <c r="E116" i="33" s="1"/>
  <c r="F127" i="28"/>
  <c r="B127" i="28"/>
  <c r="B119" i="67"/>
  <c r="F119" i="67"/>
  <c r="J122" i="42"/>
  <c r="E126" i="24"/>
  <c r="D126" i="24"/>
  <c r="G125" i="24"/>
  <c r="D119" i="76"/>
  <c r="E119" i="76"/>
  <c r="G118" i="76"/>
  <c r="I122" i="44"/>
  <c r="H122" i="44"/>
  <c r="I115" i="96"/>
  <c r="H115" i="96"/>
  <c r="E124" i="42"/>
  <c r="D124" i="42"/>
  <c r="G123" i="42"/>
  <c r="I43" i="100" l="1"/>
  <c r="B44" i="100"/>
  <c r="F44" i="100"/>
  <c r="D45" i="100" s="1"/>
  <c r="H44" i="100"/>
  <c r="H115" i="100"/>
  <c r="I115" i="100"/>
  <c r="J115" i="100" s="1"/>
  <c r="E116" i="100"/>
  <c r="B116" i="100"/>
  <c r="F116" i="100"/>
  <c r="I35" i="25"/>
  <c r="E36" i="25"/>
  <c r="F36" i="25" s="1"/>
  <c r="G36" i="25" s="1"/>
  <c r="J115" i="98"/>
  <c r="G36" i="94"/>
  <c r="I36" i="94" s="1"/>
  <c r="I38" i="82"/>
  <c r="G37" i="99"/>
  <c r="D36" i="98"/>
  <c r="E36" i="98"/>
  <c r="I40" i="97"/>
  <c r="E42" i="97"/>
  <c r="F42" i="97" s="1"/>
  <c r="B42" i="97"/>
  <c r="G35" i="98"/>
  <c r="I35" i="98" s="1"/>
  <c r="H41" i="97"/>
  <c r="E38" i="99"/>
  <c r="F38" i="99" s="1"/>
  <c r="B38" i="99"/>
  <c r="G41" i="97"/>
  <c r="H37" i="99"/>
  <c r="E116" i="25"/>
  <c r="F116" i="25" s="1"/>
  <c r="B116" i="25"/>
  <c r="I115" i="25"/>
  <c r="H115" i="25"/>
  <c r="H115" i="99"/>
  <c r="I115" i="99"/>
  <c r="B116" i="99"/>
  <c r="F116" i="99"/>
  <c r="I37" i="85"/>
  <c r="G41" i="57"/>
  <c r="I41" i="57" s="1"/>
  <c r="J115" i="97"/>
  <c r="D117" i="94"/>
  <c r="G116" i="94"/>
  <c r="D117" i="98"/>
  <c r="G116" i="98"/>
  <c r="E117" i="98"/>
  <c r="H116" i="26"/>
  <c r="I116" i="26"/>
  <c r="E117" i="26"/>
  <c r="F117" i="26" s="1"/>
  <c r="B117" i="26"/>
  <c r="D117" i="97"/>
  <c r="E117" i="97" s="1"/>
  <c r="G116" i="97"/>
  <c r="G38" i="79"/>
  <c r="I38" i="79" s="1"/>
  <c r="H40" i="67"/>
  <c r="I40" i="67" s="1"/>
  <c r="E41" i="67"/>
  <c r="D41" i="67"/>
  <c r="D42" i="46"/>
  <c r="E42" i="46"/>
  <c r="G41" i="46"/>
  <c r="I41" i="46" s="1"/>
  <c r="G45" i="24"/>
  <c r="I45" i="24" s="1"/>
  <c r="E46" i="24"/>
  <c r="D46" i="24"/>
  <c r="B39" i="82"/>
  <c r="F39" i="82"/>
  <c r="G39" i="82" s="1"/>
  <c r="H43" i="74"/>
  <c r="I43" i="74" s="1"/>
  <c r="J115" i="94"/>
  <c r="F38" i="86"/>
  <c r="B38" i="86"/>
  <c r="D36" i="93"/>
  <c r="E36" i="93"/>
  <c r="H38" i="80"/>
  <c r="I38" i="80" s="1"/>
  <c r="E39" i="80"/>
  <c r="D39" i="80"/>
  <c r="G40" i="66"/>
  <c r="I40" i="66" s="1"/>
  <c r="I42" i="58"/>
  <c r="G35" i="93"/>
  <c r="I35" i="93" s="1"/>
  <c r="D37" i="94"/>
  <c r="E37" i="94"/>
  <c r="F39" i="75"/>
  <c r="H39" i="75" s="1"/>
  <c r="B39" i="75"/>
  <c r="H38" i="90"/>
  <c r="E39" i="90"/>
  <c r="D39" i="90"/>
  <c r="G37" i="84"/>
  <c r="E38" i="84"/>
  <c r="D38" i="84"/>
  <c r="B43" i="55"/>
  <c r="F43" i="55"/>
  <c r="G43" i="55" s="1"/>
  <c r="G37" i="91"/>
  <c r="H37" i="91"/>
  <c r="D38" i="91"/>
  <c r="E38" i="91"/>
  <c r="F44" i="42"/>
  <c r="H44" i="42" s="1"/>
  <c r="B44" i="42"/>
  <c r="H44" i="22"/>
  <c r="I44" i="22" s="1"/>
  <c r="F43" i="58"/>
  <c r="B43" i="58"/>
  <c r="H46" i="23"/>
  <c r="G46" i="23"/>
  <c r="D47" i="23"/>
  <c r="E47" i="23" s="1"/>
  <c r="G38" i="90"/>
  <c r="H37" i="84"/>
  <c r="B40" i="65"/>
  <c r="F40" i="65"/>
  <c r="G41" i="53"/>
  <c r="I41" i="53" s="1"/>
  <c r="D42" i="53"/>
  <c r="E42" i="53"/>
  <c r="D41" i="66"/>
  <c r="E41" i="66"/>
  <c r="E44" i="44"/>
  <c r="D44" i="44"/>
  <c r="H46" i="27"/>
  <c r="D47" i="27"/>
  <c r="E47" i="27"/>
  <c r="G46" i="27"/>
  <c r="B42" i="72"/>
  <c r="F42" i="72"/>
  <c r="G42" i="72" s="1"/>
  <c r="G37" i="81"/>
  <c r="E38" i="81"/>
  <c r="D38" i="81"/>
  <c r="I35" i="95"/>
  <c r="B38" i="85"/>
  <c r="F38" i="85"/>
  <c r="G38" i="85" s="1"/>
  <c r="D36" i="96"/>
  <c r="E36" i="96"/>
  <c r="F44" i="39"/>
  <c r="H44" i="39" s="1"/>
  <c r="B44" i="39"/>
  <c r="E41" i="61"/>
  <c r="D41" i="61"/>
  <c r="H40" i="60"/>
  <c r="I40" i="60" s="1"/>
  <c r="G46" i="70"/>
  <c r="I46" i="70" s="1"/>
  <c r="G43" i="44"/>
  <c r="G40" i="61"/>
  <c r="I40" i="61" s="1"/>
  <c r="E45" i="22"/>
  <c r="D45" i="22"/>
  <c r="H43" i="44"/>
  <c r="G35" i="96"/>
  <c r="I35" i="96" s="1"/>
  <c r="H38" i="76"/>
  <c r="I38" i="76" s="1"/>
  <c r="D39" i="76"/>
  <c r="E39" i="76"/>
  <c r="H37" i="81"/>
  <c r="B36" i="95"/>
  <c r="F36" i="95"/>
  <c r="H36" i="95" s="1"/>
  <c r="D45" i="43"/>
  <c r="E45" i="43" s="1"/>
  <c r="F46" i="34"/>
  <c r="G46" i="34" s="1"/>
  <c r="B46" i="34"/>
  <c r="B41" i="56"/>
  <c r="F41" i="56"/>
  <c r="H41" i="56" s="1"/>
  <c r="D45" i="21"/>
  <c r="E45" i="21"/>
  <c r="E39" i="77"/>
  <c r="D39" i="77"/>
  <c r="H44" i="41"/>
  <c r="D45" i="41"/>
  <c r="E45" i="41" s="1"/>
  <c r="F45" i="19"/>
  <c r="G45" i="19" s="1"/>
  <c r="B45" i="19"/>
  <c r="F41" i="64"/>
  <c r="G41" i="64" s="1"/>
  <c r="B41" i="64"/>
  <c r="D46" i="32"/>
  <c r="E46" i="32" s="1"/>
  <c r="I39" i="62"/>
  <c r="G40" i="59"/>
  <c r="I40" i="59" s="1"/>
  <c r="I45" i="71"/>
  <c r="G44" i="43"/>
  <c r="H44" i="21"/>
  <c r="H38" i="77"/>
  <c r="E39" i="78"/>
  <c r="D39" i="78"/>
  <c r="B48" i="28"/>
  <c r="F48" i="28"/>
  <c r="G48" i="28" s="1"/>
  <c r="B47" i="31"/>
  <c r="F47" i="31"/>
  <c r="G47" i="31" s="1"/>
  <c r="F40" i="68"/>
  <c r="B40" i="68"/>
  <c r="E37" i="89"/>
  <c r="D37" i="89"/>
  <c r="D47" i="70"/>
  <c r="E47" i="70" s="1"/>
  <c r="B37" i="83"/>
  <c r="F37" i="83"/>
  <c r="G37" i="83" s="1"/>
  <c r="E37" i="92"/>
  <c r="D37" i="92"/>
  <c r="F46" i="30"/>
  <c r="G46" i="30" s="1"/>
  <c r="B46" i="30"/>
  <c r="D41" i="63"/>
  <c r="E41" i="63"/>
  <c r="H36" i="92"/>
  <c r="B45" i="3"/>
  <c r="F45" i="3"/>
  <c r="G45" i="3" s="1"/>
  <c r="E42" i="54"/>
  <c r="D42" i="54"/>
  <c r="D45" i="17"/>
  <c r="E45" i="17" s="1"/>
  <c r="E42" i="57"/>
  <c r="D42" i="57"/>
  <c r="E39" i="79"/>
  <c r="D39" i="79"/>
  <c r="H43" i="73"/>
  <c r="I43" i="73" s="1"/>
  <c r="D44" i="73"/>
  <c r="E44" i="73"/>
  <c r="H40" i="63"/>
  <c r="I40" i="63" s="1"/>
  <c r="H44" i="43"/>
  <c r="G36" i="92"/>
  <c r="G44" i="21"/>
  <c r="G38" i="77"/>
  <c r="G44" i="41"/>
  <c r="B43" i="45"/>
  <c r="F43" i="45"/>
  <c r="I46" i="69"/>
  <c r="H38" i="78"/>
  <c r="I38" i="78" s="1"/>
  <c r="G41" i="54"/>
  <c r="I41" i="54" s="1"/>
  <c r="B38" i="88"/>
  <c r="F38" i="88"/>
  <c r="H38" i="88" s="1"/>
  <c r="G36" i="89"/>
  <c r="I36" i="89" s="1"/>
  <c r="G46" i="29"/>
  <c r="I46" i="29" s="1"/>
  <c r="D47" i="29"/>
  <c r="E47" i="29" s="1"/>
  <c r="G44" i="17"/>
  <c r="I44" i="17" s="1"/>
  <c r="B46" i="71"/>
  <c r="F46" i="71"/>
  <c r="H46" i="71" s="1"/>
  <c r="H45" i="32"/>
  <c r="I45" i="32" s="1"/>
  <c r="B47" i="69"/>
  <c r="F47" i="69"/>
  <c r="D41" i="60"/>
  <c r="E41" i="60"/>
  <c r="E44" i="74"/>
  <c r="D44" i="74"/>
  <c r="J115" i="92"/>
  <c r="J119" i="63"/>
  <c r="J123" i="19"/>
  <c r="J125" i="30"/>
  <c r="J120" i="53"/>
  <c r="J120" i="46"/>
  <c r="J115" i="88"/>
  <c r="J119" i="60"/>
  <c r="J124" i="31"/>
  <c r="J119" i="61"/>
  <c r="H45" i="18"/>
  <c r="I45" i="18" s="1"/>
  <c r="I37" i="33"/>
  <c r="F37" i="87"/>
  <c r="H37" i="87" s="1"/>
  <c r="B37" i="87"/>
  <c r="J115" i="90"/>
  <c r="J115" i="84"/>
  <c r="B57" i="35"/>
  <c r="G56" i="35"/>
  <c r="H56" i="35"/>
  <c r="E57" i="35"/>
  <c r="F57" i="35" s="1"/>
  <c r="D41" i="59"/>
  <c r="E41" i="59"/>
  <c r="F38" i="33"/>
  <c r="G38" i="33" s="1"/>
  <c r="B38" i="33"/>
  <c r="I35" i="13"/>
  <c r="D46" i="18"/>
  <c r="E46" i="18" s="1"/>
  <c r="F37" i="26"/>
  <c r="B37" i="26"/>
  <c r="I43" i="20"/>
  <c r="B40" i="62"/>
  <c r="F40" i="62"/>
  <c r="H40" i="62" s="1"/>
  <c r="B36" i="13"/>
  <c r="J115" i="96"/>
  <c r="J121" i="57"/>
  <c r="J122" i="43"/>
  <c r="J115" i="86"/>
  <c r="J116" i="85"/>
  <c r="I55" i="35"/>
  <c r="F44" i="20"/>
  <c r="B44" i="20"/>
  <c r="E36" i="13"/>
  <c r="F36" i="13" s="1"/>
  <c r="J122" i="39"/>
  <c r="G121" i="58"/>
  <c r="D122" i="58"/>
  <c r="E122" i="58"/>
  <c r="B118" i="81"/>
  <c r="F118" i="81"/>
  <c r="E119" i="78"/>
  <c r="G118" i="78"/>
  <c r="D119" i="78"/>
  <c r="D123" i="74"/>
  <c r="G122" i="74"/>
  <c r="E123" i="74"/>
  <c r="D117" i="92"/>
  <c r="E117" i="92"/>
  <c r="G116" i="92"/>
  <c r="I123" i="73"/>
  <c r="H123" i="73"/>
  <c r="H124" i="22"/>
  <c r="I124" i="22"/>
  <c r="D121" i="64"/>
  <c r="G120" i="64"/>
  <c r="E121" i="64"/>
  <c r="G118" i="79"/>
  <c r="E119" i="79"/>
  <c r="D119" i="79"/>
  <c r="G125" i="32"/>
  <c r="D126" i="32"/>
  <c r="E126" i="32"/>
  <c r="J119" i="64"/>
  <c r="G121" i="46"/>
  <c r="E122" i="46"/>
  <c r="D122" i="46"/>
  <c r="D117" i="88"/>
  <c r="G116" i="88"/>
  <c r="E117" i="88"/>
  <c r="D117" i="86"/>
  <c r="E117" i="86"/>
  <c r="G116" i="86"/>
  <c r="D126" i="31"/>
  <c r="E126" i="31"/>
  <c r="G125" i="31"/>
  <c r="F124" i="41"/>
  <c r="B124" i="41"/>
  <c r="E120" i="66"/>
  <c r="D120" i="66"/>
  <c r="G119" i="66"/>
  <c r="G126" i="69"/>
  <c r="E127" i="69"/>
  <c r="D127" i="69"/>
  <c r="G120" i="61"/>
  <c r="D121" i="61"/>
  <c r="E121" i="61"/>
  <c r="B125" i="22"/>
  <c r="F125" i="22"/>
  <c r="E118" i="85"/>
  <c r="G117" i="85"/>
  <c r="D118" i="85"/>
  <c r="D121" i="60"/>
  <c r="E121" i="60"/>
  <c r="G120" i="60"/>
  <c r="G119" i="68"/>
  <c r="E120" i="68"/>
  <c r="D120" i="68"/>
  <c r="H116" i="91"/>
  <c r="I116" i="91"/>
  <c r="E121" i="65"/>
  <c r="G120" i="65"/>
  <c r="D121" i="65"/>
  <c r="D127" i="70"/>
  <c r="G126" i="70"/>
  <c r="E127" i="70"/>
  <c r="D122" i="53"/>
  <c r="E122" i="53"/>
  <c r="G121" i="53"/>
  <c r="J125" i="29"/>
  <c r="H116" i="89"/>
  <c r="I116" i="89"/>
  <c r="J118" i="67"/>
  <c r="J125" i="23"/>
  <c r="B123" i="45"/>
  <c r="F123" i="45"/>
  <c r="G126" i="27"/>
  <c r="D127" i="27"/>
  <c r="E127" i="27"/>
  <c r="J118" i="68"/>
  <c r="E124" i="43"/>
  <c r="G123" i="43"/>
  <c r="D124" i="43"/>
  <c r="J120" i="72"/>
  <c r="J117" i="78"/>
  <c r="J121" i="74"/>
  <c r="G120" i="63"/>
  <c r="D121" i="63"/>
  <c r="E121" i="63"/>
  <c r="D117" i="84"/>
  <c r="G116" i="84"/>
  <c r="E117" i="84"/>
  <c r="D124" i="39"/>
  <c r="G123" i="39"/>
  <c r="E124" i="39"/>
  <c r="G121" i="72"/>
  <c r="E122" i="72"/>
  <c r="D122" i="72"/>
  <c r="G124" i="19"/>
  <c r="E125" i="19"/>
  <c r="D125" i="19"/>
  <c r="B121" i="62"/>
  <c r="F121" i="62"/>
  <c r="B117" i="89"/>
  <c r="F117" i="89"/>
  <c r="J117" i="79"/>
  <c r="J124" i="32"/>
  <c r="D125" i="20"/>
  <c r="E125" i="20"/>
  <c r="G124" i="20"/>
  <c r="H117" i="81"/>
  <c r="I117" i="81"/>
  <c r="H122" i="45"/>
  <c r="I122" i="45"/>
  <c r="J119" i="65"/>
  <c r="J123" i="34"/>
  <c r="I123" i="41"/>
  <c r="H123" i="41"/>
  <c r="B124" i="73"/>
  <c r="F124" i="73"/>
  <c r="J123" i="20"/>
  <c r="E117" i="90"/>
  <c r="D117" i="90"/>
  <c r="G116" i="90"/>
  <c r="E127" i="29"/>
  <c r="D127" i="29"/>
  <c r="G126" i="29"/>
  <c r="J125" i="70"/>
  <c r="G126" i="30"/>
  <c r="E127" i="30"/>
  <c r="D127" i="30"/>
  <c r="J118" i="66"/>
  <c r="J125" i="27"/>
  <c r="F117" i="91"/>
  <c r="B117" i="91"/>
  <c r="G124" i="34"/>
  <c r="E125" i="34"/>
  <c r="D125" i="34"/>
  <c r="J120" i="58"/>
  <c r="J125" i="69"/>
  <c r="I120" i="62"/>
  <c r="H120" i="62"/>
  <c r="J116" i="95"/>
  <c r="J124" i="17"/>
  <c r="J120" i="59"/>
  <c r="H122" i="56"/>
  <c r="I122" i="56"/>
  <c r="D127" i="23"/>
  <c r="E127" i="23"/>
  <c r="G126" i="23"/>
  <c r="D122" i="59"/>
  <c r="G121" i="59"/>
  <c r="E122" i="59"/>
  <c r="E126" i="18"/>
  <c r="D126" i="18"/>
  <c r="G125" i="18"/>
  <c r="B123" i="56"/>
  <c r="F123" i="56"/>
  <c r="J124" i="18"/>
  <c r="E127" i="71"/>
  <c r="D127" i="71"/>
  <c r="G126" i="71"/>
  <c r="G122" i="57"/>
  <c r="E123" i="57"/>
  <c r="D123" i="57"/>
  <c r="J137" i="35"/>
  <c r="J115" i="87"/>
  <c r="J125" i="71"/>
  <c r="F124" i="42"/>
  <c r="B124" i="42"/>
  <c r="F119" i="76"/>
  <c r="B119" i="76"/>
  <c r="G127" i="28"/>
  <c r="D128" i="28"/>
  <c r="E128" i="28"/>
  <c r="I138" i="35"/>
  <c r="H138" i="35"/>
  <c r="G116" i="96"/>
  <c r="D117" i="96"/>
  <c r="I118" i="75"/>
  <c r="H118" i="75"/>
  <c r="B122" i="54"/>
  <c r="F122" i="54"/>
  <c r="B118" i="83"/>
  <c r="F118" i="83"/>
  <c r="H117" i="80"/>
  <c r="I117" i="80"/>
  <c r="I121" i="55"/>
  <c r="H121" i="55"/>
  <c r="H115" i="13"/>
  <c r="I115" i="13"/>
  <c r="F125" i="21"/>
  <c r="B125" i="21"/>
  <c r="J122" i="44"/>
  <c r="I125" i="24"/>
  <c r="H125" i="24"/>
  <c r="G119" i="67"/>
  <c r="D120" i="67"/>
  <c r="E120" i="67"/>
  <c r="G116" i="87"/>
  <c r="D117" i="87"/>
  <c r="E117" i="87"/>
  <c r="B119" i="75"/>
  <c r="F119" i="75"/>
  <c r="H117" i="83"/>
  <c r="I117" i="83"/>
  <c r="B122" i="55"/>
  <c r="F122" i="55"/>
  <c r="G124" i="3"/>
  <c r="D125" i="3"/>
  <c r="E125" i="3"/>
  <c r="D118" i="82"/>
  <c r="G117" i="82"/>
  <c r="E118" i="82"/>
  <c r="H124" i="21"/>
  <c r="I124" i="21"/>
  <c r="I118" i="76"/>
  <c r="H118" i="76"/>
  <c r="F126" i="24"/>
  <c r="B126" i="24"/>
  <c r="B116" i="33"/>
  <c r="F116" i="33"/>
  <c r="J116" i="82"/>
  <c r="H118" i="77"/>
  <c r="I118" i="77"/>
  <c r="J123" i="3"/>
  <c r="D118" i="95"/>
  <c r="E118" i="95" s="1"/>
  <c r="G117" i="95"/>
  <c r="D126" i="17"/>
  <c r="E126" i="17"/>
  <c r="G125" i="17"/>
  <c r="B118" i="80"/>
  <c r="F118" i="80"/>
  <c r="F117" i="93"/>
  <c r="B117" i="93"/>
  <c r="H123" i="42"/>
  <c r="I123" i="42"/>
  <c r="I115" i="33"/>
  <c r="H115" i="33"/>
  <c r="G139" i="35"/>
  <c r="B140" i="35"/>
  <c r="E140" i="35"/>
  <c r="F140" i="35" s="1"/>
  <c r="F119" i="77"/>
  <c r="B119" i="77"/>
  <c r="D124" i="44"/>
  <c r="G123" i="44"/>
  <c r="E124" i="44"/>
  <c r="H121" i="54"/>
  <c r="I121" i="54"/>
  <c r="J126" i="28"/>
  <c r="B116" i="13"/>
  <c r="F116" i="13"/>
  <c r="I116" i="93"/>
  <c r="H116" i="93"/>
  <c r="G44" i="100" l="1"/>
  <c r="I44" i="100" s="1"/>
  <c r="E45" i="100"/>
  <c r="B45" i="100"/>
  <c r="F45" i="100"/>
  <c r="H45" i="100" s="1"/>
  <c r="G116" i="100"/>
  <c r="D117" i="100"/>
  <c r="H36" i="25"/>
  <c r="I36" i="25" s="1"/>
  <c r="D37" i="25"/>
  <c r="B37" i="25" s="1"/>
  <c r="I37" i="99"/>
  <c r="I37" i="81"/>
  <c r="D43" i="97"/>
  <c r="B43" i="97" s="1"/>
  <c r="G42" i="97"/>
  <c r="I41" i="97"/>
  <c r="D39" i="99"/>
  <c r="E39" i="99"/>
  <c r="G38" i="99"/>
  <c r="H38" i="99"/>
  <c r="E43" i="97"/>
  <c r="H42" i="97"/>
  <c r="F36" i="98"/>
  <c r="B36" i="98"/>
  <c r="I43" i="44"/>
  <c r="D117" i="25"/>
  <c r="G116" i="25"/>
  <c r="J116" i="26"/>
  <c r="J115" i="25"/>
  <c r="D117" i="99"/>
  <c r="G116" i="99"/>
  <c r="E117" i="99"/>
  <c r="J115" i="99"/>
  <c r="I44" i="43"/>
  <c r="I44" i="41"/>
  <c r="I37" i="84"/>
  <c r="I44" i="21"/>
  <c r="D118" i="26"/>
  <c r="G117" i="26"/>
  <c r="I116" i="97"/>
  <c r="H116" i="97"/>
  <c r="F117" i="97"/>
  <c r="B117" i="97"/>
  <c r="F117" i="98"/>
  <c r="B117" i="98"/>
  <c r="H116" i="98"/>
  <c r="I116" i="98"/>
  <c r="I116" i="94"/>
  <c r="H116" i="94"/>
  <c r="E117" i="94"/>
  <c r="F117" i="94" s="1"/>
  <c r="E118" i="94" s="1"/>
  <c r="B117" i="94"/>
  <c r="G36" i="95"/>
  <c r="I36" i="95" s="1"/>
  <c r="I38" i="90"/>
  <c r="G39" i="75"/>
  <c r="I39" i="75" s="1"/>
  <c r="F41" i="67"/>
  <c r="G41" i="67" s="1"/>
  <c r="B41" i="67"/>
  <c r="F42" i="46"/>
  <c r="G42" i="46" s="1"/>
  <c r="B42" i="46"/>
  <c r="G44" i="42"/>
  <c r="I44" i="42" s="1"/>
  <c r="F46" i="24"/>
  <c r="G46" i="24" s="1"/>
  <c r="B46" i="24"/>
  <c r="G38" i="86"/>
  <c r="H38" i="86"/>
  <c r="D39" i="86"/>
  <c r="E39" i="86"/>
  <c r="H39" i="82"/>
  <c r="I39" i="82" s="1"/>
  <c r="E40" i="82"/>
  <c r="D40" i="82"/>
  <c r="I46" i="23"/>
  <c r="B37" i="94"/>
  <c r="F37" i="94"/>
  <c r="G37" i="94" s="1"/>
  <c r="B39" i="80"/>
  <c r="F39" i="80"/>
  <c r="G39" i="80" s="1"/>
  <c r="F36" i="93"/>
  <c r="B36" i="93"/>
  <c r="I46" i="27"/>
  <c r="H40" i="65"/>
  <c r="E41" i="65"/>
  <c r="D41" i="65"/>
  <c r="F47" i="23"/>
  <c r="B47" i="23"/>
  <c r="D45" i="42"/>
  <c r="E45" i="42" s="1"/>
  <c r="I37" i="91"/>
  <c r="E44" i="55"/>
  <c r="D44" i="55"/>
  <c r="F42" i="53"/>
  <c r="G42" i="53" s="1"/>
  <c r="B42" i="53"/>
  <c r="B39" i="90"/>
  <c r="F39" i="90"/>
  <c r="H39" i="90" s="1"/>
  <c r="G41" i="56"/>
  <c r="I41" i="56" s="1"/>
  <c r="G43" i="58"/>
  <c r="E44" i="58"/>
  <c r="D44" i="58"/>
  <c r="B38" i="84"/>
  <c r="F38" i="84"/>
  <c r="B41" i="66"/>
  <c r="F41" i="66"/>
  <c r="G40" i="65"/>
  <c r="H43" i="58"/>
  <c r="B38" i="91"/>
  <c r="F38" i="91"/>
  <c r="H38" i="91" s="1"/>
  <c r="H43" i="55"/>
  <c r="I43" i="55" s="1"/>
  <c r="D40" i="75"/>
  <c r="E40" i="75"/>
  <c r="G44" i="39"/>
  <c r="I44" i="39" s="1"/>
  <c r="D39" i="85"/>
  <c r="E39" i="85"/>
  <c r="G38" i="88"/>
  <c r="I38" i="88" s="1"/>
  <c r="H41" i="64"/>
  <c r="I41" i="64" s="1"/>
  <c r="D37" i="95"/>
  <c r="E37" i="95"/>
  <c r="B41" i="61"/>
  <c r="F41" i="61"/>
  <c r="G41" i="61" s="1"/>
  <c r="H38" i="33"/>
  <c r="I38" i="33" s="1"/>
  <c r="I56" i="35"/>
  <c r="B39" i="76"/>
  <c r="F39" i="76"/>
  <c r="G39" i="76" s="1"/>
  <c r="B45" i="22"/>
  <c r="F45" i="22"/>
  <c r="H45" i="22" s="1"/>
  <c r="B36" i="96"/>
  <c r="F36" i="96"/>
  <c r="H36" i="96" s="1"/>
  <c r="H38" i="85"/>
  <c r="I38" i="85" s="1"/>
  <c r="B44" i="44"/>
  <c r="F44" i="44"/>
  <c r="D45" i="39"/>
  <c r="E45" i="39" s="1"/>
  <c r="B38" i="81"/>
  <c r="F38" i="81"/>
  <c r="H38" i="81" s="1"/>
  <c r="H42" i="72"/>
  <c r="I42" i="72" s="1"/>
  <c r="E43" i="72"/>
  <c r="D43" i="72"/>
  <c r="B47" i="27"/>
  <c r="F47" i="27"/>
  <c r="I36" i="92"/>
  <c r="D48" i="69"/>
  <c r="E48" i="69" s="1"/>
  <c r="B47" i="29"/>
  <c r="F47" i="29"/>
  <c r="H47" i="29" s="1"/>
  <c r="D44" i="45"/>
  <c r="E44" i="45"/>
  <c r="F39" i="79"/>
  <c r="H39" i="79" s="1"/>
  <c r="B39" i="79"/>
  <c r="F41" i="63"/>
  <c r="G41" i="63" s="1"/>
  <c r="B41" i="63"/>
  <c r="F37" i="89"/>
  <c r="G37" i="89" s="1"/>
  <c r="B37" i="89"/>
  <c r="E41" i="68"/>
  <c r="D41" i="68"/>
  <c r="I38" i="77"/>
  <c r="F46" i="32"/>
  <c r="G46" i="32" s="1"/>
  <c r="B46" i="32"/>
  <c r="H46" i="34"/>
  <c r="I46" i="34" s="1"/>
  <c r="D47" i="34"/>
  <c r="E47" i="34" s="1"/>
  <c r="F41" i="60"/>
  <c r="H41" i="60" s="1"/>
  <c r="B41" i="60"/>
  <c r="D47" i="30"/>
  <c r="E47" i="30" s="1"/>
  <c r="F47" i="70"/>
  <c r="H47" i="70" s="1"/>
  <c r="B47" i="70"/>
  <c r="G40" i="68"/>
  <c r="H47" i="31"/>
  <c r="I47" i="31" s="1"/>
  <c r="H48" i="28"/>
  <c r="I48" i="28" s="1"/>
  <c r="F39" i="78"/>
  <c r="G39" i="78" s="1"/>
  <c r="B39" i="78"/>
  <c r="D42" i="64"/>
  <c r="E42" i="64"/>
  <c r="H45" i="19"/>
  <c r="I45" i="19" s="1"/>
  <c r="F45" i="41"/>
  <c r="G45" i="41" s="1"/>
  <c r="B45" i="41"/>
  <c r="G37" i="87"/>
  <c r="I37" i="87" s="1"/>
  <c r="F44" i="74"/>
  <c r="G44" i="74" s="1"/>
  <c r="B44" i="74"/>
  <c r="H47" i="69"/>
  <c r="G43" i="45"/>
  <c r="B44" i="73"/>
  <c r="F44" i="73"/>
  <c r="B42" i="57"/>
  <c r="F42" i="57"/>
  <c r="H42" i="57" s="1"/>
  <c r="F45" i="17"/>
  <c r="G45" i="17" s="1"/>
  <c r="C54" i="17"/>
  <c r="B45" i="17"/>
  <c r="H45" i="3"/>
  <c r="I45" i="3" s="1"/>
  <c r="D46" i="3"/>
  <c r="E46" i="3" s="1"/>
  <c r="H46" i="30"/>
  <c r="I46" i="30" s="1"/>
  <c r="H37" i="83"/>
  <c r="I37" i="83" s="1"/>
  <c r="D38" i="83"/>
  <c r="E38" i="83"/>
  <c r="B45" i="21"/>
  <c r="F45" i="21"/>
  <c r="H45" i="21" s="1"/>
  <c r="D42" i="56"/>
  <c r="E42" i="56"/>
  <c r="G47" i="69"/>
  <c r="G46" i="71"/>
  <c r="I46" i="71" s="1"/>
  <c r="D47" i="71"/>
  <c r="E47" i="71" s="1"/>
  <c r="D39" i="88"/>
  <c r="E39" i="88"/>
  <c r="H43" i="45"/>
  <c r="F42" i="54"/>
  <c r="H42" i="54" s="1"/>
  <c r="B42" i="54"/>
  <c r="B37" i="92"/>
  <c r="F37" i="92"/>
  <c r="H37" i="92" s="1"/>
  <c r="H40" i="68"/>
  <c r="D48" i="31"/>
  <c r="E48" i="31" s="1"/>
  <c r="D49" i="28"/>
  <c r="E49" i="28"/>
  <c r="D46" i="19"/>
  <c r="E46" i="19" s="1"/>
  <c r="F39" i="77"/>
  <c r="G39" i="77" s="1"/>
  <c r="B39" i="77"/>
  <c r="B45" i="43"/>
  <c r="F45" i="43"/>
  <c r="G45" i="43" s="1"/>
  <c r="J122" i="45"/>
  <c r="D37" i="13"/>
  <c r="E37" i="13" s="1"/>
  <c r="H36" i="13"/>
  <c r="G36" i="13"/>
  <c r="J122" i="56"/>
  <c r="E41" i="62"/>
  <c r="D41" i="62"/>
  <c r="D38" i="26"/>
  <c r="E38" i="26" s="1"/>
  <c r="B41" i="59"/>
  <c r="F41" i="59"/>
  <c r="H41" i="59" s="1"/>
  <c r="D45" i="20"/>
  <c r="E45" i="20"/>
  <c r="G44" i="20"/>
  <c r="G37" i="26"/>
  <c r="D39" i="33"/>
  <c r="E39" i="33" s="1"/>
  <c r="E38" i="87"/>
  <c r="D38" i="87"/>
  <c r="J123" i="42"/>
  <c r="J117" i="81"/>
  <c r="J116" i="89"/>
  <c r="J116" i="91"/>
  <c r="H44" i="20"/>
  <c r="G40" i="62"/>
  <c r="I40" i="62" s="1"/>
  <c r="H37" i="26"/>
  <c r="B46" i="18"/>
  <c r="F46" i="18"/>
  <c r="H46" i="18" s="1"/>
  <c r="H57" i="35"/>
  <c r="B58" i="35"/>
  <c r="E58" i="35"/>
  <c r="F58" i="35" s="1"/>
  <c r="G57" i="35"/>
  <c r="F127" i="30"/>
  <c r="B127" i="30"/>
  <c r="H116" i="90"/>
  <c r="I116" i="90"/>
  <c r="E125" i="73"/>
  <c r="D125" i="73"/>
  <c r="G124" i="73"/>
  <c r="F125" i="20"/>
  <c r="B125" i="20"/>
  <c r="H121" i="72"/>
  <c r="I121" i="72"/>
  <c r="F121" i="63"/>
  <c r="B121" i="63"/>
  <c r="D124" i="45"/>
  <c r="E124" i="45"/>
  <c r="G123" i="45"/>
  <c r="B127" i="70"/>
  <c r="F127" i="70"/>
  <c r="H119" i="68"/>
  <c r="I119" i="68"/>
  <c r="B118" i="85"/>
  <c r="F118" i="85"/>
  <c r="B127" i="69"/>
  <c r="F127" i="69"/>
  <c r="B120" i="66"/>
  <c r="F120" i="66"/>
  <c r="I125" i="31"/>
  <c r="H125" i="31"/>
  <c r="F117" i="88"/>
  <c r="B117" i="88"/>
  <c r="B119" i="79"/>
  <c r="F119" i="79"/>
  <c r="H120" i="64"/>
  <c r="I120" i="64"/>
  <c r="F117" i="92"/>
  <c r="B117" i="92"/>
  <c r="F119" i="78"/>
  <c r="B119" i="78"/>
  <c r="B125" i="34"/>
  <c r="F125" i="34"/>
  <c r="D118" i="91"/>
  <c r="G117" i="91"/>
  <c r="E118" i="91"/>
  <c r="I126" i="29"/>
  <c r="H126" i="29"/>
  <c r="B117" i="90"/>
  <c r="F117" i="90"/>
  <c r="G121" i="62"/>
  <c r="D122" i="62"/>
  <c r="E122" i="62"/>
  <c r="I124" i="19"/>
  <c r="H124" i="19"/>
  <c r="H116" i="84"/>
  <c r="I116" i="84"/>
  <c r="I120" i="63"/>
  <c r="H120" i="63"/>
  <c r="F124" i="43"/>
  <c r="B124" i="43"/>
  <c r="F122" i="53"/>
  <c r="B122" i="53"/>
  <c r="F121" i="65"/>
  <c r="B121" i="65"/>
  <c r="H120" i="60"/>
  <c r="I120" i="60"/>
  <c r="H117" i="85"/>
  <c r="I117" i="85"/>
  <c r="F117" i="86"/>
  <c r="B117" i="86"/>
  <c r="B122" i="46"/>
  <c r="F122" i="46"/>
  <c r="F121" i="64"/>
  <c r="B121" i="64"/>
  <c r="J123" i="73"/>
  <c r="H118" i="78"/>
  <c r="I118" i="78"/>
  <c r="J120" i="62"/>
  <c r="I126" i="30"/>
  <c r="H126" i="30"/>
  <c r="F127" i="29"/>
  <c r="B127" i="29"/>
  <c r="H124" i="20"/>
  <c r="I124" i="20"/>
  <c r="F122" i="72"/>
  <c r="B122" i="72"/>
  <c r="H123" i="39"/>
  <c r="I123" i="39"/>
  <c r="B117" i="84"/>
  <c r="F117" i="84"/>
  <c r="H123" i="43"/>
  <c r="I123" i="43"/>
  <c r="B127" i="27"/>
  <c r="F127" i="27"/>
  <c r="I120" i="65"/>
  <c r="H120" i="65"/>
  <c r="F120" i="68"/>
  <c r="B120" i="68"/>
  <c r="F121" i="61"/>
  <c r="B121" i="61"/>
  <c r="I126" i="69"/>
  <c r="H126" i="69"/>
  <c r="B126" i="31"/>
  <c r="F126" i="31"/>
  <c r="F126" i="32"/>
  <c r="B126" i="32"/>
  <c r="H118" i="79"/>
  <c r="I118" i="79"/>
  <c r="J124" i="22"/>
  <c r="I116" i="92"/>
  <c r="H116" i="92"/>
  <c r="H122" i="74"/>
  <c r="I122" i="74"/>
  <c r="F122" i="58"/>
  <c r="B122" i="58"/>
  <c r="H124" i="34"/>
  <c r="I124" i="34"/>
  <c r="J123" i="41"/>
  <c r="G117" i="89"/>
  <c r="E118" i="89"/>
  <c r="D118" i="89"/>
  <c r="F125" i="19"/>
  <c r="B125" i="19"/>
  <c r="B124" i="39"/>
  <c r="F124" i="39"/>
  <c r="H126" i="27"/>
  <c r="I126" i="27"/>
  <c r="I121" i="53"/>
  <c r="H121" i="53"/>
  <c r="H126" i="70"/>
  <c r="I126" i="70"/>
  <c r="B121" i="60"/>
  <c r="F121" i="60"/>
  <c r="D126" i="22"/>
  <c r="E126" i="22"/>
  <c r="G125" i="22"/>
  <c r="H120" i="61"/>
  <c r="I120" i="61"/>
  <c r="H119" i="66"/>
  <c r="I119" i="66"/>
  <c r="G124" i="41"/>
  <c r="D125" i="41"/>
  <c r="E125" i="41"/>
  <c r="H116" i="86"/>
  <c r="I116" i="86"/>
  <c r="H116" i="88"/>
  <c r="I116" i="88"/>
  <c r="I121" i="46"/>
  <c r="H121" i="46"/>
  <c r="H125" i="32"/>
  <c r="I125" i="32"/>
  <c r="B123" i="74"/>
  <c r="F123" i="74"/>
  <c r="G118" i="81"/>
  <c r="E119" i="81"/>
  <c r="D119" i="81"/>
  <c r="I121" i="58"/>
  <c r="H121" i="58"/>
  <c r="H125" i="18"/>
  <c r="I125" i="18"/>
  <c r="I126" i="23"/>
  <c r="H126" i="23"/>
  <c r="J117" i="83"/>
  <c r="B126" i="18"/>
  <c r="F126" i="18"/>
  <c r="I121" i="59"/>
  <c r="H121" i="59"/>
  <c r="G123" i="56"/>
  <c r="D124" i="56"/>
  <c r="E124" i="56"/>
  <c r="F122" i="59"/>
  <c r="B122" i="59"/>
  <c r="F127" i="23"/>
  <c r="B127" i="23"/>
  <c r="F123" i="57"/>
  <c r="B123" i="57"/>
  <c r="B127" i="71"/>
  <c r="F127" i="71"/>
  <c r="J121" i="54"/>
  <c r="J121" i="55"/>
  <c r="J138" i="35"/>
  <c r="I122" i="57"/>
  <c r="H122" i="57"/>
  <c r="J115" i="33"/>
  <c r="J115" i="13"/>
  <c r="H126" i="71"/>
  <c r="I126" i="71"/>
  <c r="G119" i="77"/>
  <c r="D120" i="77"/>
  <c r="E120" i="77"/>
  <c r="I125" i="17"/>
  <c r="H125" i="17"/>
  <c r="G126" i="24"/>
  <c r="D127" i="24"/>
  <c r="E127" i="24"/>
  <c r="H117" i="82"/>
  <c r="I117" i="82"/>
  <c r="B125" i="3"/>
  <c r="F125" i="3"/>
  <c r="F117" i="87"/>
  <c r="B117" i="87"/>
  <c r="D123" i="54"/>
  <c r="E123" i="54"/>
  <c r="G122" i="54"/>
  <c r="B117" i="96"/>
  <c r="B128" i="28"/>
  <c r="F128" i="28"/>
  <c r="G116" i="13"/>
  <c r="D117" i="13"/>
  <c r="E117" i="13" s="1"/>
  <c r="I139" i="35"/>
  <c r="H139" i="35"/>
  <c r="H117" i="95"/>
  <c r="I117" i="95"/>
  <c r="G116" i="33"/>
  <c r="D117" i="33"/>
  <c r="E117" i="33" s="1"/>
  <c r="F118" i="82"/>
  <c r="B118" i="82"/>
  <c r="I124" i="3"/>
  <c r="H124" i="3"/>
  <c r="I116" i="87"/>
  <c r="H116" i="87"/>
  <c r="J125" i="24"/>
  <c r="E126" i="21"/>
  <c r="D126" i="21"/>
  <c r="G125" i="21"/>
  <c r="J118" i="75"/>
  <c r="I116" i="96"/>
  <c r="H116" i="96"/>
  <c r="I127" i="28"/>
  <c r="H127" i="28"/>
  <c r="J116" i="93"/>
  <c r="I123" i="44"/>
  <c r="H123" i="44"/>
  <c r="D119" i="80"/>
  <c r="G118" i="80"/>
  <c r="E119" i="80"/>
  <c r="B126" i="17"/>
  <c r="F126" i="17"/>
  <c r="J118" i="77"/>
  <c r="J118" i="76"/>
  <c r="J124" i="21"/>
  <c r="D123" i="55"/>
  <c r="G122" i="55"/>
  <c r="E123" i="55"/>
  <c r="B120" i="67"/>
  <c r="F120" i="67"/>
  <c r="J117" i="80"/>
  <c r="E117" i="96"/>
  <c r="F117" i="96" s="1"/>
  <c r="B124" i="44"/>
  <c r="F124" i="44"/>
  <c r="B141" i="35"/>
  <c r="E141" i="35"/>
  <c r="F141" i="35" s="1"/>
  <c r="G140" i="35"/>
  <c r="D118" i="93"/>
  <c r="E118" i="93" s="1"/>
  <c r="G117" i="93"/>
  <c r="B118" i="95"/>
  <c r="F118" i="95"/>
  <c r="E120" i="75"/>
  <c r="D120" i="75"/>
  <c r="G119" i="75"/>
  <c r="H119" i="67"/>
  <c r="I119" i="67"/>
  <c r="D119" i="83"/>
  <c r="E119" i="83"/>
  <c r="G118" i="83"/>
  <c r="D120" i="76"/>
  <c r="G119" i="76"/>
  <c r="E120" i="76"/>
  <c r="E125" i="42"/>
  <c r="D125" i="42"/>
  <c r="G124" i="42"/>
  <c r="G45" i="100" l="1"/>
  <c r="I45" i="100" s="1"/>
  <c r="D46" i="100"/>
  <c r="E46" i="100"/>
  <c r="F46" i="100" s="1"/>
  <c r="D47" i="100" s="1"/>
  <c r="E117" i="100"/>
  <c r="F117" i="100"/>
  <c r="B117" i="100"/>
  <c r="H116" i="100"/>
  <c r="I116" i="100"/>
  <c r="J116" i="100" s="1"/>
  <c r="E37" i="25"/>
  <c r="F37" i="25" s="1"/>
  <c r="G37" i="25" s="1"/>
  <c r="I42" i="97"/>
  <c r="I38" i="99"/>
  <c r="F43" i="97"/>
  <c r="G43" i="97" s="1"/>
  <c r="D37" i="98"/>
  <c r="E37" i="98"/>
  <c r="H36" i="98"/>
  <c r="G36" i="98"/>
  <c r="F39" i="99"/>
  <c r="B39" i="99"/>
  <c r="H116" i="25"/>
  <c r="I116" i="25"/>
  <c r="E117" i="25"/>
  <c r="F117" i="25" s="1"/>
  <c r="B117" i="25"/>
  <c r="H116" i="99"/>
  <c r="I116" i="99"/>
  <c r="B117" i="99"/>
  <c r="F117" i="99"/>
  <c r="G47" i="70"/>
  <c r="I47" i="70" s="1"/>
  <c r="H45" i="17"/>
  <c r="I45" i="17" s="1"/>
  <c r="I40" i="65"/>
  <c r="G42" i="57"/>
  <c r="I42" i="57" s="1"/>
  <c r="H42" i="46"/>
  <c r="I42" i="46" s="1"/>
  <c r="J116" i="98"/>
  <c r="G117" i="94"/>
  <c r="D118" i="94"/>
  <c r="B118" i="94" s="1"/>
  <c r="J116" i="94"/>
  <c r="D118" i="98"/>
  <c r="G117" i="98"/>
  <c r="E118" i="98"/>
  <c r="J116" i="97"/>
  <c r="H117" i="26"/>
  <c r="I117" i="26"/>
  <c r="D118" i="97"/>
  <c r="E118" i="97" s="1"/>
  <c r="G117" i="97"/>
  <c r="E118" i="26"/>
  <c r="F118" i="26" s="1"/>
  <c r="B118" i="26"/>
  <c r="H37" i="89"/>
  <c r="I37" i="89" s="1"/>
  <c r="H39" i="80"/>
  <c r="I39" i="80" s="1"/>
  <c r="H39" i="76"/>
  <c r="I39" i="76" s="1"/>
  <c r="H41" i="67"/>
  <c r="I41" i="67" s="1"/>
  <c r="E42" i="67"/>
  <c r="D42" i="67"/>
  <c r="E43" i="46"/>
  <c r="D43" i="46"/>
  <c r="H46" i="24"/>
  <c r="I46" i="24" s="1"/>
  <c r="D47" i="24"/>
  <c r="E47" i="24"/>
  <c r="G41" i="60"/>
  <c r="I41" i="60" s="1"/>
  <c r="G45" i="22"/>
  <c r="I45" i="22" s="1"/>
  <c r="D37" i="93"/>
  <c r="E37" i="93"/>
  <c r="I37" i="26"/>
  <c r="H44" i="74"/>
  <c r="I44" i="74" s="1"/>
  <c r="H36" i="93"/>
  <c r="G36" i="93"/>
  <c r="H37" i="94"/>
  <c r="I37" i="94" s="1"/>
  <c r="D38" i="94"/>
  <c r="E38" i="94"/>
  <c r="B40" i="82"/>
  <c r="F40" i="82"/>
  <c r="H40" i="82" s="1"/>
  <c r="F39" i="86"/>
  <c r="B39" i="86"/>
  <c r="H39" i="78"/>
  <c r="I39" i="78" s="1"/>
  <c r="D40" i="80"/>
  <c r="E40" i="80"/>
  <c r="I38" i="86"/>
  <c r="G38" i="81"/>
  <c r="I38" i="81" s="1"/>
  <c r="G41" i="66"/>
  <c r="D42" i="66"/>
  <c r="E42" i="66"/>
  <c r="H38" i="84"/>
  <c r="E39" i="84"/>
  <c r="D39" i="84"/>
  <c r="B41" i="65"/>
  <c r="F41" i="65"/>
  <c r="H41" i="65" s="1"/>
  <c r="I43" i="58"/>
  <c r="G39" i="90"/>
  <c r="I39" i="90" s="1"/>
  <c r="E40" i="90"/>
  <c r="D40" i="90"/>
  <c r="F44" i="55"/>
  <c r="H44" i="55" s="1"/>
  <c r="B44" i="55"/>
  <c r="F45" i="42"/>
  <c r="G45" i="42" s="1"/>
  <c r="B45" i="42"/>
  <c r="G47" i="29"/>
  <c r="I47" i="29" s="1"/>
  <c r="E39" i="91"/>
  <c r="D39" i="91"/>
  <c r="G38" i="91"/>
  <c r="I38" i="91" s="1"/>
  <c r="F40" i="75"/>
  <c r="H40" i="75" s="1"/>
  <c r="B40" i="75"/>
  <c r="H41" i="66"/>
  <c r="G38" i="84"/>
  <c r="B44" i="58"/>
  <c r="F44" i="58"/>
  <c r="H42" i="53"/>
  <c r="I42" i="53" s="1"/>
  <c r="D43" i="53"/>
  <c r="E43" i="53"/>
  <c r="H47" i="23"/>
  <c r="G47" i="23"/>
  <c r="D48" i="23"/>
  <c r="E48" i="23" s="1"/>
  <c r="D45" i="44"/>
  <c r="E45" i="44"/>
  <c r="H41" i="61"/>
  <c r="I41" i="61" s="1"/>
  <c r="B43" i="72"/>
  <c r="F43" i="72"/>
  <c r="G43" i="72" s="1"/>
  <c r="F45" i="39"/>
  <c r="H45" i="39" s="1"/>
  <c r="B45" i="39"/>
  <c r="G44" i="44"/>
  <c r="E40" i="76"/>
  <c r="D40" i="76"/>
  <c r="D39" i="81"/>
  <c r="E39" i="81"/>
  <c r="D42" i="61"/>
  <c r="E42" i="61"/>
  <c r="B37" i="95"/>
  <c r="F37" i="95"/>
  <c r="G37" i="95" s="1"/>
  <c r="B39" i="85"/>
  <c r="F39" i="85"/>
  <c r="H39" i="85" s="1"/>
  <c r="H46" i="32"/>
  <c r="I46" i="32" s="1"/>
  <c r="G47" i="27"/>
  <c r="H47" i="27"/>
  <c r="D48" i="27"/>
  <c r="E48" i="27" s="1"/>
  <c r="H44" i="44"/>
  <c r="G36" i="96"/>
  <c r="I36" i="96" s="1"/>
  <c r="E37" i="96"/>
  <c r="D37" i="96"/>
  <c r="D46" i="22"/>
  <c r="E46" i="22" s="1"/>
  <c r="I44" i="20"/>
  <c r="I36" i="13"/>
  <c r="H45" i="43"/>
  <c r="I45" i="43" s="1"/>
  <c r="H39" i="77"/>
  <c r="I39" i="77" s="1"/>
  <c r="B47" i="71"/>
  <c r="F47" i="71"/>
  <c r="H47" i="71" s="1"/>
  <c r="B38" i="83"/>
  <c r="F38" i="83"/>
  <c r="F47" i="34"/>
  <c r="G47" i="34" s="1"/>
  <c r="B47" i="34"/>
  <c r="E40" i="79"/>
  <c r="D40" i="79"/>
  <c r="I57" i="35"/>
  <c r="G42" i="54"/>
  <c r="I42" i="54" s="1"/>
  <c r="E43" i="57"/>
  <c r="D43" i="57"/>
  <c r="I43" i="45"/>
  <c r="I47" i="69"/>
  <c r="D45" i="74"/>
  <c r="E45" i="74"/>
  <c r="H41" i="63"/>
  <c r="I41" i="63" s="1"/>
  <c r="E42" i="63"/>
  <c r="D42" i="63"/>
  <c r="G39" i="79"/>
  <c r="I39" i="79" s="1"/>
  <c r="D48" i="29"/>
  <c r="E48" i="29" s="1"/>
  <c r="D46" i="43"/>
  <c r="E46" i="43" s="1"/>
  <c r="B46" i="19"/>
  <c r="F46" i="19"/>
  <c r="G46" i="19" s="1"/>
  <c r="B49" i="28"/>
  <c r="F49" i="28"/>
  <c r="G49" i="28" s="1"/>
  <c r="G37" i="92"/>
  <c r="I37" i="92" s="1"/>
  <c r="E38" i="92"/>
  <c r="D38" i="92"/>
  <c r="B42" i="56"/>
  <c r="F42" i="56"/>
  <c r="D46" i="17"/>
  <c r="E46" i="17" s="1"/>
  <c r="F42" i="64"/>
  <c r="H42" i="64" s="1"/>
  <c r="B42" i="64"/>
  <c r="B47" i="30"/>
  <c r="F47" i="30"/>
  <c r="H47" i="30" s="1"/>
  <c r="D47" i="32"/>
  <c r="E47" i="32" s="1"/>
  <c r="F41" i="68"/>
  <c r="G41" i="68" s="1"/>
  <c r="B41" i="68"/>
  <c r="F44" i="45"/>
  <c r="B44" i="45"/>
  <c r="D40" i="77"/>
  <c r="E40" i="77"/>
  <c r="B48" i="31"/>
  <c r="F48" i="31"/>
  <c r="H48" i="31" s="1"/>
  <c r="E43" i="54"/>
  <c r="D43" i="54"/>
  <c r="F39" i="88"/>
  <c r="G39" i="88" s="1"/>
  <c r="B39" i="88"/>
  <c r="G45" i="21"/>
  <c r="I45" i="21" s="1"/>
  <c r="D46" i="21"/>
  <c r="E46" i="21"/>
  <c r="F46" i="3"/>
  <c r="G46" i="3" s="1"/>
  <c r="B46" i="3"/>
  <c r="G44" i="73"/>
  <c r="E45" i="73"/>
  <c r="H44" i="73"/>
  <c r="D45" i="73"/>
  <c r="H45" i="41"/>
  <c r="I45" i="41" s="1"/>
  <c r="E46" i="41"/>
  <c r="D46" i="41"/>
  <c r="E40" i="78"/>
  <c r="D40" i="78"/>
  <c r="I40" i="68"/>
  <c r="D48" i="70"/>
  <c r="E48" i="70" s="1"/>
  <c r="D42" i="60"/>
  <c r="E42" i="60"/>
  <c r="E38" i="89"/>
  <c r="D38" i="89"/>
  <c r="F48" i="69"/>
  <c r="H48" i="69" s="1"/>
  <c r="B48" i="69"/>
  <c r="J117" i="95"/>
  <c r="J126" i="30"/>
  <c r="J120" i="61"/>
  <c r="J116" i="86"/>
  <c r="J116" i="90"/>
  <c r="J124" i="34"/>
  <c r="J117" i="85"/>
  <c r="J116" i="84"/>
  <c r="J120" i="64"/>
  <c r="D47" i="18"/>
  <c r="E47" i="18" s="1"/>
  <c r="B39" i="33"/>
  <c r="F39" i="33"/>
  <c r="H39" i="33" s="1"/>
  <c r="F45" i="20"/>
  <c r="G45" i="20" s="1"/>
  <c r="B45" i="20"/>
  <c r="E42" i="59"/>
  <c r="D42" i="59"/>
  <c r="B38" i="26"/>
  <c r="F38" i="26"/>
  <c r="G38" i="26" s="1"/>
  <c r="B41" i="62"/>
  <c r="F41" i="62"/>
  <c r="H41" i="62" s="1"/>
  <c r="J126" i="69"/>
  <c r="J126" i="29"/>
  <c r="G41" i="59"/>
  <c r="I41" i="59" s="1"/>
  <c r="B38" i="87"/>
  <c r="F38" i="87"/>
  <c r="G38" i="87" s="1"/>
  <c r="J125" i="18"/>
  <c r="J118" i="79"/>
  <c r="J123" i="43"/>
  <c r="J123" i="39"/>
  <c r="J124" i="20"/>
  <c r="J118" i="78"/>
  <c r="J120" i="63"/>
  <c r="J124" i="19"/>
  <c r="J125" i="31"/>
  <c r="J121" i="72"/>
  <c r="G58" i="35"/>
  <c r="E59" i="35"/>
  <c r="F59" i="35" s="1"/>
  <c r="B59" i="35"/>
  <c r="H58" i="35"/>
  <c r="G46" i="18"/>
  <c r="I46" i="18" s="1"/>
  <c r="B37" i="13"/>
  <c r="F37" i="13"/>
  <c r="H37" i="13" s="1"/>
  <c r="J125" i="32"/>
  <c r="J116" i="88"/>
  <c r="J126" i="70"/>
  <c r="J126" i="27"/>
  <c r="I117" i="89"/>
  <c r="H117" i="89"/>
  <c r="J122" i="74"/>
  <c r="G126" i="32"/>
  <c r="D127" i="32"/>
  <c r="E127" i="32"/>
  <c r="G120" i="68"/>
  <c r="D121" i="68"/>
  <c r="E121" i="68"/>
  <c r="G122" i="72"/>
  <c r="D123" i="72"/>
  <c r="E123" i="72"/>
  <c r="D128" i="29"/>
  <c r="E128" i="29"/>
  <c r="G127" i="29"/>
  <c r="J120" i="60"/>
  <c r="I121" i="62"/>
  <c r="H121" i="62"/>
  <c r="D126" i="34"/>
  <c r="G125" i="34"/>
  <c r="E126" i="34"/>
  <c r="E120" i="79"/>
  <c r="G119" i="79"/>
  <c r="D120" i="79"/>
  <c r="D128" i="69"/>
  <c r="G127" i="69"/>
  <c r="E128" i="69"/>
  <c r="J119" i="68"/>
  <c r="I123" i="45"/>
  <c r="H123" i="45"/>
  <c r="D122" i="63"/>
  <c r="E122" i="63"/>
  <c r="G121" i="63"/>
  <c r="G125" i="20"/>
  <c r="D126" i="20"/>
  <c r="E126" i="20"/>
  <c r="H118" i="81"/>
  <c r="I118" i="81"/>
  <c r="B125" i="41"/>
  <c r="F125" i="41"/>
  <c r="F126" i="22"/>
  <c r="B126" i="22"/>
  <c r="E126" i="19"/>
  <c r="D126" i="19"/>
  <c r="G125" i="19"/>
  <c r="D127" i="31"/>
  <c r="E127" i="31"/>
  <c r="G126" i="31"/>
  <c r="G121" i="64"/>
  <c r="D122" i="64"/>
  <c r="E122" i="64"/>
  <c r="G117" i="86"/>
  <c r="D118" i="86"/>
  <c r="E118" i="86"/>
  <c r="G122" i="53"/>
  <c r="E123" i="53"/>
  <c r="D123" i="53"/>
  <c r="G117" i="90"/>
  <c r="D118" i="90"/>
  <c r="E118" i="90"/>
  <c r="D118" i="92"/>
  <c r="E118" i="92"/>
  <c r="G117" i="92"/>
  <c r="H124" i="73"/>
  <c r="I124" i="73"/>
  <c r="J125" i="17"/>
  <c r="J121" i="58"/>
  <c r="G123" i="74"/>
  <c r="D124" i="74"/>
  <c r="E124" i="74"/>
  <c r="I124" i="41"/>
  <c r="H124" i="41"/>
  <c r="D122" i="60"/>
  <c r="G121" i="60"/>
  <c r="E122" i="60"/>
  <c r="E125" i="39"/>
  <c r="G124" i="39"/>
  <c r="D125" i="39"/>
  <c r="B118" i="89"/>
  <c r="F118" i="89"/>
  <c r="E122" i="61"/>
  <c r="D122" i="61"/>
  <c r="G121" i="61"/>
  <c r="J120" i="65"/>
  <c r="G122" i="46"/>
  <c r="D123" i="46"/>
  <c r="E123" i="46"/>
  <c r="H117" i="91"/>
  <c r="I117" i="91"/>
  <c r="D121" i="66"/>
  <c r="G120" i="66"/>
  <c r="E121" i="66"/>
  <c r="D119" i="85"/>
  <c r="E119" i="85"/>
  <c r="G118" i="85"/>
  <c r="D128" i="70"/>
  <c r="E128" i="70"/>
  <c r="G127" i="70"/>
  <c r="B124" i="45"/>
  <c r="F124" i="45"/>
  <c r="F125" i="73"/>
  <c r="B125" i="73"/>
  <c r="J121" i="59"/>
  <c r="B119" i="81"/>
  <c r="F119" i="81"/>
  <c r="J121" i="46"/>
  <c r="J119" i="66"/>
  <c r="H125" i="22"/>
  <c r="I125" i="22"/>
  <c r="J121" i="53"/>
  <c r="D123" i="58"/>
  <c r="E123" i="58"/>
  <c r="G122" i="58"/>
  <c r="J116" i="92"/>
  <c r="D128" i="27"/>
  <c r="G127" i="27"/>
  <c r="E128" i="27"/>
  <c r="D118" i="84"/>
  <c r="E118" i="84"/>
  <c r="G117" i="84"/>
  <c r="G121" i="65"/>
  <c r="E122" i="65"/>
  <c r="D122" i="65"/>
  <c r="D125" i="43"/>
  <c r="E125" i="43"/>
  <c r="G124" i="43"/>
  <c r="F122" i="62"/>
  <c r="B122" i="62"/>
  <c r="B118" i="91"/>
  <c r="F118" i="91"/>
  <c r="G119" i="78"/>
  <c r="D120" i="78"/>
  <c r="E120" i="78"/>
  <c r="D118" i="88"/>
  <c r="E118" i="88"/>
  <c r="G117" i="88"/>
  <c r="D128" i="30"/>
  <c r="G127" i="30"/>
  <c r="E128" i="30"/>
  <c r="F124" i="56"/>
  <c r="B124" i="56"/>
  <c r="G127" i="23"/>
  <c r="E128" i="23"/>
  <c r="D128" i="23"/>
  <c r="I123" i="56"/>
  <c r="H123" i="56"/>
  <c r="G122" i="59"/>
  <c r="E123" i="59"/>
  <c r="D123" i="59"/>
  <c r="D127" i="18"/>
  <c r="E127" i="18"/>
  <c r="G126" i="18"/>
  <c r="J126" i="23"/>
  <c r="G123" i="57"/>
  <c r="E124" i="57"/>
  <c r="D124" i="57"/>
  <c r="J123" i="44"/>
  <c r="J116" i="96"/>
  <c r="J126" i="71"/>
  <c r="J122" i="57"/>
  <c r="G127" i="71"/>
  <c r="D128" i="71"/>
  <c r="E128" i="71"/>
  <c r="D118" i="96"/>
  <c r="E118" i="96" s="1"/>
  <c r="G117" i="96"/>
  <c r="H124" i="42"/>
  <c r="I124" i="42"/>
  <c r="H119" i="76"/>
  <c r="I119" i="76"/>
  <c r="I117" i="93"/>
  <c r="H117" i="93"/>
  <c r="F123" i="55"/>
  <c r="B123" i="55"/>
  <c r="F126" i="21"/>
  <c r="B126" i="21"/>
  <c r="J116" i="87"/>
  <c r="G118" i="82"/>
  <c r="D119" i="82"/>
  <c r="E119" i="82"/>
  <c r="J139" i="35"/>
  <c r="H116" i="13"/>
  <c r="I116" i="13"/>
  <c r="D129" i="28"/>
  <c r="G128" i="28"/>
  <c r="E129" i="28"/>
  <c r="H122" i="54"/>
  <c r="I122" i="54"/>
  <c r="G117" i="87"/>
  <c r="D118" i="87"/>
  <c r="E118" i="87"/>
  <c r="H126" i="24"/>
  <c r="I126" i="24"/>
  <c r="F125" i="42"/>
  <c r="B125" i="42"/>
  <c r="B120" i="76"/>
  <c r="F120" i="76"/>
  <c r="I118" i="83"/>
  <c r="H118" i="83"/>
  <c r="D125" i="44"/>
  <c r="G124" i="44"/>
  <c r="E125" i="44"/>
  <c r="G120" i="67"/>
  <c r="D121" i="67"/>
  <c r="E121" i="67"/>
  <c r="I118" i="80"/>
  <c r="H118" i="80"/>
  <c r="H116" i="33"/>
  <c r="I116" i="33"/>
  <c r="G125" i="3"/>
  <c r="D126" i="3"/>
  <c r="E126" i="3"/>
  <c r="F120" i="77"/>
  <c r="B120" i="77"/>
  <c r="I119" i="75"/>
  <c r="H119" i="75"/>
  <c r="G118" i="95"/>
  <c r="D119" i="95"/>
  <c r="E119" i="95" s="1"/>
  <c r="F118" i="93"/>
  <c r="B118" i="93"/>
  <c r="H140" i="35"/>
  <c r="I140" i="35"/>
  <c r="G126" i="17"/>
  <c r="D127" i="17"/>
  <c r="E127" i="17"/>
  <c r="F119" i="80"/>
  <c r="B119" i="80"/>
  <c r="J127" i="28"/>
  <c r="J124" i="3"/>
  <c r="F123" i="54"/>
  <c r="B123" i="54"/>
  <c r="I119" i="77"/>
  <c r="H119" i="77"/>
  <c r="B119" i="83"/>
  <c r="F119" i="83"/>
  <c r="J119" i="67"/>
  <c r="F120" i="75"/>
  <c r="B120" i="75"/>
  <c r="G141" i="35"/>
  <c r="B142" i="35"/>
  <c r="E142" i="35"/>
  <c r="F142" i="35" s="1"/>
  <c r="I122" i="55"/>
  <c r="H122" i="55"/>
  <c r="H125" i="21"/>
  <c r="I125" i="21"/>
  <c r="B117" i="33"/>
  <c r="F117" i="33"/>
  <c r="B117" i="13"/>
  <c r="F117" i="13"/>
  <c r="J117" i="82"/>
  <c r="B127" i="24"/>
  <c r="F127" i="24"/>
  <c r="E47" i="100" l="1"/>
  <c r="F47" i="100" s="1"/>
  <c r="B47" i="100"/>
  <c r="B46" i="100"/>
  <c r="G46" i="100"/>
  <c r="H46" i="100"/>
  <c r="D118" i="100"/>
  <c r="G117" i="100"/>
  <c r="D38" i="25"/>
  <c r="H37" i="25"/>
  <c r="I37" i="25" s="1"/>
  <c r="D44" i="97"/>
  <c r="E44" i="97" s="1"/>
  <c r="H43" i="97"/>
  <c r="I43" i="97" s="1"/>
  <c r="J116" i="25"/>
  <c r="J116" i="99"/>
  <c r="I36" i="98"/>
  <c r="D40" i="99"/>
  <c r="E40" i="99"/>
  <c r="H39" i="99"/>
  <c r="G39" i="99"/>
  <c r="B37" i="98"/>
  <c r="F37" i="98"/>
  <c r="G37" i="98" s="1"/>
  <c r="G117" i="25"/>
  <c r="D118" i="25"/>
  <c r="E118" i="99"/>
  <c r="D118" i="99"/>
  <c r="G117" i="99"/>
  <c r="J117" i="26"/>
  <c r="F118" i="94"/>
  <c r="D119" i="94" s="1"/>
  <c r="E119" i="94" s="1"/>
  <c r="H117" i="97"/>
  <c r="I117" i="97"/>
  <c r="D119" i="26"/>
  <c r="G118" i="26"/>
  <c r="F118" i="97"/>
  <c r="B118" i="97"/>
  <c r="F118" i="98"/>
  <c r="B118" i="98"/>
  <c r="H117" i="98"/>
  <c r="I117" i="98"/>
  <c r="I117" i="94"/>
  <c r="H117" i="94"/>
  <c r="G40" i="75"/>
  <c r="I40" i="75" s="1"/>
  <c r="I36" i="93"/>
  <c r="B42" i="67"/>
  <c r="F42" i="67"/>
  <c r="H42" i="67" s="1"/>
  <c r="I41" i="66"/>
  <c r="B43" i="46"/>
  <c r="F43" i="46"/>
  <c r="H43" i="46" s="1"/>
  <c r="F47" i="24"/>
  <c r="G47" i="24" s="1"/>
  <c r="B47" i="24"/>
  <c r="G48" i="31"/>
  <c r="I48" i="31" s="1"/>
  <c r="G47" i="71"/>
  <c r="I47" i="71" s="1"/>
  <c r="F40" i="80"/>
  <c r="B40" i="80"/>
  <c r="B38" i="94"/>
  <c r="F38" i="94"/>
  <c r="H38" i="94" s="1"/>
  <c r="F37" i="93"/>
  <c r="B37" i="93"/>
  <c r="H39" i="88"/>
  <c r="I39" i="88" s="1"/>
  <c r="G40" i="82"/>
  <c r="I40" i="82" s="1"/>
  <c r="D41" i="82"/>
  <c r="E41" i="82"/>
  <c r="H38" i="87"/>
  <c r="I38" i="87" s="1"/>
  <c r="I44" i="73"/>
  <c r="G39" i="86"/>
  <c r="H39" i="86"/>
  <c r="E40" i="86"/>
  <c r="D40" i="86"/>
  <c r="I44" i="44"/>
  <c r="H43" i="72"/>
  <c r="I43" i="72" s="1"/>
  <c r="I47" i="23"/>
  <c r="D45" i="58"/>
  <c r="E45" i="58" s="1"/>
  <c r="H44" i="58"/>
  <c r="G44" i="58"/>
  <c r="G41" i="65"/>
  <c r="I41" i="65" s="1"/>
  <c r="G47" i="30"/>
  <c r="I47" i="30" s="1"/>
  <c r="E41" i="75"/>
  <c r="D41" i="75"/>
  <c r="I38" i="84"/>
  <c r="B48" i="23"/>
  <c r="F48" i="23"/>
  <c r="F43" i="53"/>
  <c r="G43" i="53" s="1"/>
  <c r="B43" i="53"/>
  <c r="B39" i="91"/>
  <c r="F39" i="91"/>
  <c r="H39" i="91" s="1"/>
  <c r="G44" i="55"/>
  <c r="I44" i="55" s="1"/>
  <c r="D45" i="55"/>
  <c r="E45" i="55"/>
  <c r="H45" i="42"/>
  <c r="I45" i="42" s="1"/>
  <c r="E46" i="42"/>
  <c r="D46" i="42"/>
  <c r="F40" i="90"/>
  <c r="G40" i="90" s="1"/>
  <c r="B40" i="90"/>
  <c r="E42" i="65"/>
  <c r="D42" i="65"/>
  <c r="B39" i="84"/>
  <c r="F39" i="84"/>
  <c r="F42" i="66"/>
  <c r="G42" i="66" s="1"/>
  <c r="B42" i="66"/>
  <c r="G39" i="85"/>
  <c r="I39" i="85" s="1"/>
  <c r="D40" i="85"/>
  <c r="E40" i="85"/>
  <c r="E38" i="95"/>
  <c r="D38" i="95"/>
  <c r="F39" i="81"/>
  <c r="H39" i="81" s="1"/>
  <c r="B39" i="81"/>
  <c r="G39" i="33"/>
  <c r="I39" i="33" s="1"/>
  <c r="G48" i="69"/>
  <c r="I48" i="69" s="1"/>
  <c r="H41" i="68"/>
  <c r="I41" i="68" s="1"/>
  <c r="B37" i="96"/>
  <c r="F37" i="96"/>
  <c r="H37" i="96" s="1"/>
  <c r="B48" i="27"/>
  <c r="F48" i="27"/>
  <c r="E46" i="39"/>
  <c r="D46" i="39"/>
  <c r="B45" i="44"/>
  <c r="F45" i="44"/>
  <c r="H45" i="44" s="1"/>
  <c r="B46" i="22"/>
  <c r="F46" i="22"/>
  <c r="H46" i="22" s="1"/>
  <c r="B40" i="76"/>
  <c r="F40" i="76"/>
  <c r="G40" i="76" s="1"/>
  <c r="G37" i="13"/>
  <c r="I37" i="13" s="1"/>
  <c r="I47" i="27"/>
  <c r="H37" i="95"/>
  <c r="I37" i="95" s="1"/>
  <c r="B42" i="61"/>
  <c r="F42" i="61"/>
  <c r="H42" i="61" s="1"/>
  <c r="G45" i="39"/>
  <c r="I45" i="39" s="1"/>
  <c r="D44" i="72"/>
  <c r="E44" i="72"/>
  <c r="F42" i="60"/>
  <c r="H42" i="60" s="1"/>
  <c r="B42" i="60"/>
  <c r="D47" i="3"/>
  <c r="E47" i="3" s="1"/>
  <c r="D43" i="56"/>
  <c r="E43" i="56"/>
  <c r="B38" i="92"/>
  <c r="F38" i="92"/>
  <c r="G38" i="92" s="1"/>
  <c r="E50" i="28"/>
  <c r="D50" i="28"/>
  <c r="B43" i="57"/>
  <c r="F43" i="57"/>
  <c r="G43" i="57" s="1"/>
  <c r="D39" i="83"/>
  <c r="E39" i="83"/>
  <c r="G41" i="62"/>
  <c r="I41" i="62" s="1"/>
  <c r="D49" i="69"/>
  <c r="E49" i="69" s="1"/>
  <c r="B40" i="78"/>
  <c r="F40" i="78"/>
  <c r="H40" i="78" s="1"/>
  <c r="B45" i="73"/>
  <c r="F45" i="73"/>
  <c r="G45" i="73" s="1"/>
  <c r="G44" i="45"/>
  <c r="D45" i="45"/>
  <c r="E45" i="45" s="1"/>
  <c r="F47" i="32"/>
  <c r="G47" i="32" s="1"/>
  <c r="B47" i="32"/>
  <c r="F46" i="17"/>
  <c r="H46" i="17" s="1"/>
  <c r="B46" i="17"/>
  <c r="C55" i="17"/>
  <c r="D47" i="19"/>
  <c r="E47" i="19" s="1"/>
  <c r="F42" i="63"/>
  <c r="H42" i="63" s="1"/>
  <c r="B42" i="63"/>
  <c r="B45" i="74"/>
  <c r="F45" i="74"/>
  <c r="H45" i="74" s="1"/>
  <c r="F40" i="79"/>
  <c r="G40" i="79" s="1"/>
  <c r="B40" i="79"/>
  <c r="B38" i="89"/>
  <c r="F38" i="89"/>
  <c r="H38" i="89" s="1"/>
  <c r="F48" i="70"/>
  <c r="H48" i="70" s="1"/>
  <c r="B48" i="70"/>
  <c r="B46" i="41"/>
  <c r="F46" i="41"/>
  <c r="H46" i="41" s="1"/>
  <c r="F46" i="21"/>
  <c r="H46" i="21" s="1"/>
  <c r="B46" i="21"/>
  <c r="E40" i="88"/>
  <c r="D40" i="88"/>
  <c r="D49" i="31"/>
  <c r="E49" i="31" s="1"/>
  <c r="B40" i="77"/>
  <c r="F40" i="77"/>
  <c r="G40" i="77" s="1"/>
  <c r="D42" i="68"/>
  <c r="E42" i="68"/>
  <c r="D43" i="64"/>
  <c r="E43" i="64"/>
  <c r="G42" i="56"/>
  <c r="H49" i="28"/>
  <c r="I49" i="28" s="1"/>
  <c r="B48" i="29"/>
  <c r="F48" i="29"/>
  <c r="H48" i="29" s="1"/>
  <c r="D48" i="34"/>
  <c r="E48" i="34" s="1"/>
  <c r="H47" i="34"/>
  <c r="I47" i="34" s="1"/>
  <c r="G38" i="83"/>
  <c r="H46" i="3"/>
  <c r="I46" i="3" s="1"/>
  <c r="B43" i="54"/>
  <c r="F43" i="54"/>
  <c r="H43" i="54" s="1"/>
  <c r="H44" i="45"/>
  <c r="D48" i="30"/>
  <c r="E48" i="30" s="1"/>
  <c r="G42" i="64"/>
  <c r="I42" i="64" s="1"/>
  <c r="H42" i="56"/>
  <c r="H46" i="19"/>
  <c r="I46" i="19" s="1"/>
  <c r="F46" i="43"/>
  <c r="H46" i="43" s="1"/>
  <c r="B46" i="43"/>
  <c r="H38" i="83"/>
  <c r="D48" i="71"/>
  <c r="E48" i="71" s="1"/>
  <c r="J123" i="45"/>
  <c r="J121" i="62"/>
  <c r="J118" i="80"/>
  <c r="J117" i="91"/>
  <c r="J124" i="41"/>
  <c r="J122" i="54"/>
  <c r="J125" i="22"/>
  <c r="J124" i="73"/>
  <c r="D39" i="26"/>
  <c r="E39" i="26" s="1"/>
  <c r="D46" i="20"/>
  <c r="E46" i="20" s="1"/>
  <c r="J119" i="75"/>
  <c r="H59" i="35"/>
  <c r="B60" i="35"/>
  <c r="E60" i="35"/>
  <c r="F60" i="35" s="1"/>
  <c r="G59" i="35"/>
  <c r="B42" i="59"/>
  <c r="F42" i="59"/>
  <c r="H42" i="59" s="1"/>
  <c r="D38" i="13"/>
  <c r="E38" i="13" s="1"/>
  <c r="I58" i="35"/>
  <c r="E39" i="87"/>
  <c r="D39" i="87"/>
  <c r="E42" i="62"/>
  <c r="D42" i="62"/>
  <c r="H38" i="26"/>
  <c r="I38" i="26" s="1"/>
  <c r="H45" i="20"/>
  <c r="I45" i="20" s="1"/>
  <c r="D40" i="33"/>
  <c r="E40" i="33" s="1"/>
  <c r="F47" i="18"/>
  <c r="H47" i="18" s="1"/>
  <c r="B47" i="18"/>
  <c r="H119" i="78"/>
  <c r="I119" i="78"/>
  <c r="E123" i="62"/>
  <c r="G122" i="62"/>
  <c r="D123" i="62"/>
  <c r="B122" i="65"/>
  <c r="F122" i="65"/>
  <c r="F128" i="27"/>
  <c r="B128" i="27"/>
  <c r="F123" i="58"/>
  <c r="B123" i="58"/>
  <c r="H118" i="85"/>
  <c r="I118" i="85"/>
  <c r="H120" i="66"/>
  <c r="I120" i="66"/>
  <c r="I121" i="61"/>
  <c r="H121" i="61"/>
  <c r="I117" i="92"/>
  <c r="H117" i="92"/>
  <c r="B118" i="90"/>
  <c r="F118" i="90"/>
  <c r="I122" i="53"/>
  <c r="H122" i="53"/>
  <c r="F126" i="20"/>
  <c r="B126" i="20"/>
  <c r="F122" i="63"/>
  <c r="B122" i="63"/>
  <c r="I119" i="79"/>
  <c r="H119" i="79"/>
  <c r="B126" i="34"/>
  <c r="F126" i="34"/>
  <c r="I127" i="29"/>
  <c r="H127" i="29"/>
  <c r="B123" i="72"/>
  <c r="F123" i="72"/>
  <c r="H120" i="68"/>
  <c r="I120" i="68"/>
  <c r="I127" i="30"/>
  <c r="H127" i="30"/>
  <c r="B118" i="88"/>
  <c r="F118" i="88"/>
  <c r="D119" i="91"/>
  <c r="E119" i="91"/>
  <c r="G118" i="91"/>
  <c r="I124" i="43"/>
  <c r="H124" i="43"/>
  <c r="B118" i="84"/>
  <c r="F118" i="84"/>
  <c r="H127" i="70"/>
  <c r="I127" i="70"/>
  <c r="B121" i="66"/>
  <c r="F121" i="66"/>
  <c r="B123" i="46"/>
  <c r="F123" i="46"/>
  <c r="B122" i="61"/>
  <c r="F122" i="61"/>
  <c r="B125" i="39"/>
  <c r="F125" i="39"/>
  <c r="H121" i="60"/>
  <c r="I121" i="60"/>
  <c r="I117" i="90"/>
  <c r="H117" i="90"/>
  <c r="B122" i="64"/>
  <c r="F122" i="64"/>
  <c r="B127" i="31"/>
  <c r="F127" i="31"/>
  <c r="J118" i="81"/>
  <c r="H125" i="20"/>
  <c r="I125" i="20"/>
  <c r="H127" i="69"/>
  <c r="I127" i="69"/>
  <c r="I122" i="72"/>
  <c r="H122" i="72"/>
  <c r="B128" i="30"/>
  <c r="F128" i="30"/>
  <c r="I121" i="65"/>
  <c r="H121" i="65"/>
  <c r="H122" i="58"/>
  <c r="I122" i="58"/>
  <c r="D120" i="81"/>
  <c r="G119" i="81"/>
  <c r="E120" i="81"/>
  <c r="G125" i="73"/>
  <c r="D126" i="73"/>
  <c r="E126" i="73"/>
  <c r="B119" i="85"/>
  <c r="F119" i="85"/>
  <c r="H122" i="46"/>
  <c r="I122" i="46"/>
  <c r="I124" i="39"/>
  <c r="H124" i="39"/>
  <c r="F122" i="60"/>
  <c r="B122" i="60"/>
  <c r="B124" i="74"/>
  <c r="F124" i="74"/>
  <c r="B118" i="92"/>
  <c r="F118" i="92"/>
  <c r="F123" i="53"/>
  <c r="B123" i="53"/>
  <c r="F118" i="86"/>
  <c r="B118" i="86"/>
  <c r="H121" i="64"/>
  <c r="I121" i="64"/>
  <c r="I125" i="19"/>
  <c r="H125" i="19"/>
  <c r="D127" i="22"/>
  <c r="E127" i="22"/>
  <c r="G126" i="22"/>
  <c r="I121" i="63"/>
  <c r="H121" i="63"/>
  <c r="F128" i="69"/>
  <c r="B128" i="69"/>
  <c r="F128" i="29"/>
  <c r="B128" i="29"/>
  <c r="F127" i="32"/>
  <c r="B127" i="32"/>
  <c r="J122" i="55"/>
  <c r="I117" i="88"/>
  <c r="H117" i="88"/>
  <c r="B120" i="78"/>
  <c r="F120" i="78"/>
  <c r="F125" i="43"/>
  <c r="B125" i="43"/>
  <c r="H117" i="84"/>
  <c r="I117" i="84"/>
  <c r="H127" i="27"/>
  <c r="I127" i="27"/>
  <c r="G124" i="45"/>
  <c r="D125" i="45"/>
  <c r="E125" i="45"/>
  <c r="B128" i="70"/>
  <c r="F128" i="70"/>
  <c r="E119" i="89"/>
  <c r="D119" i="89"/>
  <c r="G118" i="89"/>
  <c r="H123" i="74"/>
  <c r="I123" i="74"/>
  <c r="I117" i="86"/>
  <c r="H117" i="86"/>
  <c r="H126" i="31"/>
  <c r="I126" i="31"/>
  <c r="F126" i="19"/>
  <c r="B126" i="19"/>
  <c r="G125" i="41"/>
  <c r="E126" i="41"/>
  <c r="D126" i="41"/>
  <c r="B120" i="79"/>
  <c r="F120" i="79"/>
  <c r="H125" i="34"/>
  <c r="I125" i="34"/>
  <c r="B121" i="68"/>
  <c r="F121" i="68"/>
  <c r="H126" i="32"/>
  <c r="I126" i="32"/>
  <c r="J117" i="89"/>
  <c r="J123" i="56"/>
  <c r="F127" i="18"/>
  <c r="B127" i="18"/>
  <c r="I122" i="59"/>
  <c r="H122" i="59"/>
  <c r="F128" i="23"/>
  <c r="B128" i="23"/>
  <c r="D125" i="56"/>
  <c r="E125" i="56"/>
  <c r="G124" i="56"/>
  <c r="J125" i="21"/>
  <c r="J140" i="35"/>
  <c r="J116" i="33"/>
  <c r="H126" i="18"/>
  <c r="I126" i="18"/>
  <c r="F123" i="59"/>
  <c r="B123" i="59"/>
  <c r="H127" i="23"/>
  <c r="I127" i="23"/>
  <c r="I127" i="71"/>
  <c r="H127" i="71"/>
  <c r="F124" i="57"/>
  <c r="B124" i="57"/>
  <c r="J117" i="93"/>
  <c r="J124" i="42"/>
  <c r="B128" i="71"/>
  <c r="F128" i="71"/>
  <c r="H123" i="57"/>
  <c r="I123" i="57"/>
  <c r="B127" i="17"/>
  <c r="F127" i="17"/>
  <c r="F126" i="3"/>
  <c r="B126" i="3"/>
  <c r="G125" i="42"/>
  <c r="D126" i="42"/>
  <c r="E126" i="42"/>
  <c r="B129" i="28"/>
  <c r="F129" i="28"/>
  <c r="I118" i="82"/>
  <c r="H118" i="82"/>
  <c r="B118" i="96"/>
  <c r="F118" i="96"/>
  <c r="D128" i="24"/>
  <c r="G127" i="24"/>
  <c r="E128" i="24"/>
  <c r="D118" i="13"/>
  <c r="G117" i="13"/>
  <c r="E143" i="35"/>
  <c r="F143" i="35" s="1"/>
  <c r="G142" i="35"/>
  <c r="B143" i="35"/>
  <c r="H126" i="17"/>
  <c r="I126" i="17"/>
  <c r="D119" i="93"/>
  <c r="G118" i="93"/>
  <c r="I125" i="3"/>
  <c r="H125" i="3"/>
  <c r="I124" i="44"/>
  <c r="H124" i="44"/>
  <c r="D121" i="76"/>
  <c r="E121" i="76"/>
  <c r="G120" i="76"/>
  <c r="B118" i="87"/>
  <c r="F118" i="87"/>
  <c r="J116" i="13"/>
  <c r="G123" i="55"/>
  <c r="E124" i="55"/>
  <c r="D124" i="55"/>
  <c r="D118" i="33"/>
  <c r="E118" i="33" s="1"/>
  <c r="G117" i="33"/>
  <c r="D120" i="80"/>
  <c r="G119" i="80"/>
  <c r="E120" i="80"/>
  <c r="F119" i="95"/>
  <c r="B119" i="95"/>
  <c r="B121" i="67"/>
  <c r="F121" i="67"/>
  <c r="B125" i="44"/>
  <c r="F125" i="44"/>
  <c r="J118" i="83"/>
  <c r="J126" i="24"/>
  <c r="H117" i="87"/>
  <c r="I117" i="87"/>
  <c r="J119" i="76"/>
  <c r="H117" i="96"/>
  <c r="I117" i="96"/>
  <c r="I141" i="35"/>
  <c r="H141" i="35"/>
  <c r="D121" i="75"/>
  <c r="G120" i="75"/>
  <c r="E121" i="75"/>
  <c r="D120" i="83"/>
  <c r="G119" i="83"/>
  <c r="E120" i="83"/>
  <c r="J119" i="77"/>
  <c r="D124" i="54"/>
  <c r="G123" i="54"/>
  <c r="E124" i="54"/>
  <c r="I118" i="95"/>
  <c r="H118" i="95"/>
  <c r="E121" i="77"/>
  <c r="G120" i="77"/>
  <c r="D121" i="77"/>
  <c r="H120" i="67"/>
  <c r="I120" i="67"/>
  <c r="H128" i="28"/>
  <c r="I128" i="28"/>
  <c r="B119" i="82"/>
  <c r="F119" i="82"/>
  <c r="G126" i="21"/>
  <c r="E127" i="21"/>
  <c r="D127" i="21"/>
  <c r="D48" i="100" l="1"/>
  <c r="E48" i="100"/>
  <c r="G47" i="100"/>
  <c r="H47" i="100"/>
  <c r="I46" i="100"/>
  <c r="I117" i="100"/>
  <c r="H117" i="100"/>
  <c r="E118" i="100"/>
  <c r="B118" i="100"/>
  <c r="F118" i="100"/>
  <c r="F44" i="97"/>
  <c r="D45" i="97" s="1"/>
  <c r="B45" i="97" s="1"/>
  <c r="E38" i="25"/>
  <c r="F38" i="25" s="1"/>
  <c r="B38" i="25"/>
  <c r="B44" i="97"/>
  <c r="I44" i="45"/>
  <c r="B119" i="94"/>
  <c r="F119" i="94"/>
  <c r="G119" i="94" s="1"/>
  <c r="G118" i="94"/>
  <c r="I118" i="94" s="1"/>
  <c r="I38" i="83"/>
  <c r="H37" i="98"/>
  <c r="I37" i="98" s="1"/>
  <c r="I39" i="99"/>
  <c r="D38" i="98"/>
  <c r="E38" i="98"/>
  <c r="B40" i="99"/>
  <c r="F40" i="99"/>
  <c r="D41" i="99" s="1"/>
  <c r="E118" i="25"/>
  <c r="F118" i="25" s="1"/>
  <c r="B118" i="25"/>
  <c r="H117" i="25"/>
  <c r="I117" i="25"/>
  <c r="H117" i="99"/>
  <c r="I117" i="99"/>
  <c r="F118" i="99"/>
  <c r="B118" i="99"/>
  <c r="I39" i="86"/>
  <c r="G46" i="17"/>
  <c r="I46" i="17" s="1"/>
  <c r="J117" i="98"/>
  <c r="G38" i="94"/>
  <c r="I38" i="94" s="1"/>
  <c r="H47" i="24"/>
  <c r="I47" i="24" s="1"/>
  <c r="J117" i="97"/>
  <c r="H118" i="26"/>
  <c r="I118" i="26"/>
  <c r="D119" i="98"/>
  <c r="G118" i="98"/>
  <c r="E119" i="98"/>
  <c r="J117" i="94"/>
  <c r="E119" i="26"/>
  <c r="F119" i="26" s="1"/>
  <c r="B119" i="26"/>
  <c r="D119" i="97"/>
  <c r="G118" i="97"/>
  <c r="E119" i="97"/>
  <c r="H40" i="90"/>
  <c r="I40" i="90" s="1"/>
  <c r="H40" i="77"/>
  <c r="I40" i="77" s="1"/>
  <c r="G42" i="67"/>
  <c r="I42" i="67" s="1"/>
  <c r="E43" i="67"/>
  <c r="D43" i="67"/>
  <c r="G42" i="60"/>
  <c r="I42" i="60" s="1"/>
  <c r="I42" i="56"/>
  <c r="G43" i="46"/>
  <c r="I43" i="46" s="1"/>
  <c r="E44" i="46"/>
  <c r="D44" i="46"/>
  <c r="E48" i="24"/>
  <c r="D48" i="24"/>
  <c r="F40" i="86"/>
  <c r="B40" i="86"/>
  <c r="G47" i="18"/>
  <c r="I47" i="18" s="1"/>
  <c r="G42" i="63"/>
  <c r="I42" i="63" s="1"/>
  <c r="E38" i="93"/>
  <c r="D38" i="93"/>
  <c r="H40" i="80"/>
  <c r="E41" i="80"/>
  <c r="D41" i="80"/>
  <c r="G37" i="96"/>
  <c r="I37" i="96" s="1"/>
  <c r="G39" i="81"/>
  <c r="I39" i="81" s="1"/>
  <c r="G37" i="93"/>
  <c r="G46" i="43"/>
  <c r="I46" i="43" s="1"/>
  <c r="F41" i="82"/>
  <c r="H41" i="82" s="1"/>
  <c r="B41" i="82"/>
  <c r="H37" i="93"/>
  <c r="E39" i="94"/>
  <c r="D39" i="94"/>
  <c r="G40" i="80"/>
  <c r="G43" i="54"/>
  <c r="I43" i="54" s="1"/>
  <c r="G45" i="44"/>
  <c r="I45" i="44" s="1"/>
  <c r="H39" i="84"/>
  <c r="E40" i="84"/>
  <c r="D40" i="84"/>
  <c r="F46" i="42"/>
  <c r="G46" i="42" s="1"/>
  <c r="B46" i="42"/>
  <c r="B45" i="55"/>
  <c r="F45" i="55"/>
  <c r="G45" i="55" s="1"/>
  <c r="G48" i="23"/>
  <c r="H48" i="23"/>
  <c r="D49" i="23"/>
  <c r="E49" i="23" s="1"/>
  <c r="F45" i="58"/>
  <c r="B45" i="58"/>
  <c r="H42" i="66"/>
  <c r="I42" i="66" s="1"/>
  <c r="E43" i="66"/>
  <c r="D43" i="66"/>
  <c r="B42" i="65"/>
  <c r="F42" i="65"/>
  <c r="H42" i="65" s="1"/>
  <c r="G39" i="91"/>
  <c r="I39" i="91" s="1"/>
  <c r="E40" i="91"/>
  <c r="D40" i="91"/>
  <c r="I44" i="58"/>
  <c r="G48" i="29"/>
  <c r="I48" i="29" s="1"/>
  <c r="G39" i="84"/>
  <c r="D41" i="90"/>
  <c r="E41" i="90"/>
  <c r="H43" i="53"/>
  <c r="I43" i="53" s="1"/>
  <c r="E44" i="53"/>
  <c r="D44" i="53"/>
  <c r="B41" i="75"/>
  <c r="F41" i="75"/>
  <c r="H41" i="75" s="1"/>
  <c r="D47" i="22"/>
  <c r="E47" i="22" s="1"/>
  <c r="F40" i="85"/>
  <c r="G40" i="85" s="1"/>
  <c r="B40" i="85"/>
  <c r="B46" i="39"/>
  <c r="F46" i="39"/>
  <c r="H46" i="39" s="1"/>
  <c r="G46" i="41"/>
  <c r="I46" i="41" s="1"/>
  <c r="G48" i="70"/>
  <c r="I48" i="70" s="1"/>
  <c r="G45" i="74"/>
  <c r="I45" i="74" s="1"/>
  <c r="B44" i="72"/>
  <c r="F44" i="72"/>
  <c r="G44" i="72" s="1"/>
  <c r="G48" i="27"/>
  <c r="D49" i="27"/>
  <c r="E49" i="27"/>
  <c r="H48" i="27"/>
  <c r="D38" i="96"/>
  <c r="E38" i="96"/>
  <c r="E40" i="81"/>
  <c r="D40" i="81"/>
  <c r="B38" i="95"/>
  <c r="F38" i="95"/>
  <c r="H38" i="95" s="1"/>
  <c r="E43" i="61"/>
  <c r="D43" i="61"/>
  <c r="G46" i="21"/>
  <c r="I46" i="21" s="1"/>
  <c r="G42" i="61"/>
  <c r="I42" i="61" s="1"/>
  <c r="H40" i="76"/>
  <c r="I40" i="76" s="1"/>
  <c r="D41" i="76"/>
  <c r="E41" i="76"/>
  <c r="G46" i="22"/>
  <c r="I46" i="22" s="1"/>
  <c r="D46" i="44"/>
  <c r="E46" i="44" s="1"/>
  <c r="B48" i="71"/>
  <c r="F48" i="71"/>
  <c r="G48" i="71" s="1"/>
  <c r="F48" i="30"/>
  <c r="H48" i="30" s="1"/>
  <c r="B48" i="30"/>
  <c r="F48" i="34"/>
  <c r="B48" i="34"/>
  <c r="F43" i="64"/>
  <c r="G43" i="64" s="1"/>
  <c r="B43" i="64"/>
  <c r="F49" i="31"/>
  <c r="H49" i="31" s="1"/>
  <c r="B49" i="31"/>
  <c r="H40" i="79"/>
  <c r="I40" i="79" s="1"/>
  <c r="B47" i="19"/>
  <c r="F47" i="19"/>
  <c r="H47" i="19" s="1"/>
  <c r="H47" i="32"/>
  <c r="I47" i="32" s="1"/>
  <c r="B45" i="45"/>
  <c r="F45" i="45"/>
  <c r="H45" i="45" s="1"/>
  <c r="B50" i="28"/>
  <c r="F50" i="28"/>
  <c r="G50" i="28" s="1"/>
  <c r="E39" i="92"/>
  <c r="D39" i="92"/>
  <c r="G42" i="59"/>
  <c r="I42" i="59" s="1"/>
  <c r="I59" i="35"/>
  <c r="E44" i="54"/>
  <c r="D44" i="54"/>
  <c r="E41" i="77"/>
  <c r="D41" i="77"/>
  <c r="F40" i="88"/>
  <c r="H40" i="88" s="1"/>
  <c r="B40" i="88"/>
  <c r="D47" i="41"/>
  <c r="E47" i="41"/>
  <c r="D46" i="74"/>
  <c r="E46" i="74" s="1"/>
  <c r="H45" i="73"/>
  <c r="I45" i="73" s="1"/>
  <c r="F49" i="69"/>
  <c r="B49" i="69"/>
  <c r="H43" i="57"/>
  <c r="I43" i="57" s="1"/>
  <c r="D44" i="57"/>
  <c r="E44" i="57"/>
  <c r="B47" i="3"/>
  <c r="F47" i="3"/>
  <c r="H47" i="3" s="1"/>
  <c r="D49" i="29"/>
  <c r="E49" i="29"/>
  <c r="F42" i="68"/>
  <c r="G42" i="68" s="1"/>
  <c r="B42" i="68"/>
  <c r="D47" i="21"/>
  <c r="E47" i="21"/>
  <c r="D49" i="70"/>
  <c r="E49" i="70" s="1"/>
  <c r="E43" i="63"/>
  <c r="D43" i="63"/>
  <c r="G40" i="78"/>
  <c r="I40" i="78" s="1"/>
  <c r="E41" i="78"/>
  <c r="D41" i="78"/>
  <c r="F39" i="83"/>
  <c r="G39" i="83" s="1"/>
  <c r="B39" i="83"/>
  <c r="H38" i="92"/>
  <c r="I38" i="92" s="1"/>
  <c r="E43" i="60"/>
  <c r="D43" i="60"/>
  <c r="E47" i="43"/>
  <c r="D47" i="43"/>
  <c r="G38" i="89"/>
  <c r="I38" i="89" s="1"/>
  <c r="D39" i="89"/>
  <c r="E39" i="89"/>
  <c r="D41" i="79"/>
  <c r="E41" i="79"/>
  <c r="D47" i="17"/>
  <c r="E47" i="17" s="1"/>
  <c r="D48" i="32"/>
  <c r="E48" i="32" s="1"/>
  <c r="E46" i="73"/>
  <c r="D46" i="73"/>
  <c r="B43" i="56"/>
  <c r="F43" i="56"/>
  <c r="G43" i="56" s="1"/>
  <c r="J117" i="86"/>
  <c r="J117" i="88"/>
  <c r="J124" i="39"/>
  <c r="J125" i="3"/>
  <c r="J126" i="31"/>
  <c r="J123" i="74"/>
  <c r="J125" i="20"/>
  <c r="J120" i="68"/>
  <c r="J118" i="85"/>
  <c r="J125" i="19"/>
  <c r="J121" i="60"/>
  <c r="F40" i="33"/>
  <c r="B40" i="33"/>
  <c r="F38" i="13"/>
  <c r="H38" i="13" s="1"/>
  <c r="B38" i="13"/>
  <c r="B61" i="35"/>
  <c r="G60" i="35"/>
  <c r="H60" i="35"/>
  <c r="E61" i="35"/>
  <c r="F61" i="35" s="1"/>
  <c r="F46" i="20"/>
  <c r="G46" i="20" s="1"/>
  <c r="B46" i="20"/>
  <c r="J127" i="29"/>
  <c r="F42" i="62"/>
  <c r="B42" i="62"/>
  <c r="F39" i="87"/>
  <c r="H39" i="87" s="1"/>
  <c r="B39" i="87"/>
  <c r="E43" i="59"/>
  <c r="D43" i="59"/>
  <c r="J127" i="23"/>
  <c r="J126" i="18"/>
  <c r="J126" i="32"/>
  <c r="J125" i="34"/>
  <c r="J127" i="70"/>
  <c r="J127" i="30"/>
  <c r="J122" i="53"/>
  <c r="J117" i="92"/>
  <c r="J119" i="78"/>
  <c r="E48" i="18"/>
  <c r="D48" i="18"/>
  <c r="F39" i="26"/>
  <c r="B39" i="26"/>
  <c r="D122" i="68"/>
  <c r="E122" i="68"/>
  <c r="G121" i="68"/>
  <c r="G120" i="79"/>
  <c r="E121" i="79"/>
  <c r="D121" i="79"/>
  <c r="H125" i="41"/>
  <c r="I125" i="41"/>
  <c r="E129" i="70"/>
  <c r="G128" i="70"/>
  <c r="D129" i="70"/>
  <c r="H124" i="45"/>
  <c r="I124" i="45"/>
  <c r="H126" i="22"/>
  <c r="I126" i="22"/>
  <c r="G118" i="86"/>
  <c r="D119" i="86"/>
  <c r="E119" i="86"/>
  <c r="D123" i="60"/>
  <c r="E123" i="60"/>
  <c r="G122" i="60"/>
  <c r="F126" i="73"/>
  <c r="B126" i="73"/>
  <c r="F120" i="81"/>
  <c r="B120" i="81"/>
  <c r="J121" i="65"/>
  <c r="J122" i="72"/>
  <c r="G122" i="64"/>
  <c r="D123" i="64"/>
  <c r="E123" i="64"/>
  <c r="E123" i="61"/>
  <c r="G122" i="61"/>
  <c r="D123" i="61"/>
  <c r="D122" i="66"/>
  <c r="G121" i="66"/>
  <c r="E122" i="66"/>
  <c r="G118" i="84"/>
  <c r="D119" i="84"/>
  <c r="E119" i="84"/>
  <c r="I118" i="91"/>
  <c r="H118" i="91"/>
  <c r="J119" i="79"/>
  <c r="E127" i="20"/>
  <c r="G126" i="20"/>
  <c r="D127" i="20"/>
  <c r="J121" i="61"/>
  <c r="G128" i="27"/>
  <c r="E129" i="27"/>
  <c r="D129" i="27"/>
  <c r="I122" i="62"/>
  <c r="H122" i="62"/>
  <c r="J128" i="28"/>
  <c r="I118" i="89"/>
  <c r="H118" i="89"/>
  <c r="J127" i="27"/>
  <c r="D128" i="32"/>
  <c r="E128" i="32"/>
  <c r="G127" i="32"/>
  <c r="D129" i="69"/>
  <c r="G128" i="69"/>
  <c r="E129" i="69"/>
  <c r="J121" i="64"/>
  <c r="G124" i="74"/>
  <c r="D125" i="74"/>
  <c r="E125" i="74"/>
  <c r="D120" i="85"/>
  <c r="E120" i="85"/>
  <c r="G119" i="85"/>
  <c r="H125" i="73"/>
  <c r="I125" i="73"/>
  <c r="J122" i="58"/>
  <c r="E129" i="30"/>
  <c r="G128" i="30"/>
  <c r="D129" i="30"/>
  <c r="J127" i="69"/>
  <c r="E124" i="72"/>
  <c r="G123" i="72"/>
  <c r="D124" i="72"/>
  <c r="D127" i="34"/>
  <c r="G126" i="34"/>
  <c r="E127" i="34"/>
  <c r="J120" i="66"/>
  <c r="E123" i="65"/>
  <c r="D123" i="65"/>
  <c r="G122" i="65"/>
  <c r="F126" i="41"/>
  <c r="B126" i="41"/>
  <c r="E127" i="19"/>
  <c r="D127" i="19"/>
  <c r="G126" i="19"/>
  <c r="B119" i="89"/>
  <c r="F119" i="89"/>
  <c r="E126" i="43"/>
  <c r="G125" i="43"/>
  <c r="D126" i="43"/>
  <c r="B127" i="22"/>
  <c r="F127" i="22"/>
  <c r="G123" i="53"/>
  <c r="E124" i="53"/>
  <c r="D124" i="53"/>
  <c r="D128" i="31"/>
  <c r="E128" i="31"/>
  <c r="G127" i="31"/>
  <c r="G125" i="39"/>
  <c r="D126" i="39"/>
  <c r="E126" i="39"/>
  <c r="D124" i="46"/>
  <c r="G123" i="46"/>
  <c r="E124" i="46"/>
  <c r="F119" i="91"/>
  <c r="B119" i="91"/>
  <c r="E123" i="63"/>
  <c r="G122" i="63"/>
  <c r="D123" i="63"/>
  <c r="G123" i="58"/>
  <c r="E124" i="58"/>
  <c r="D124" i="58"/>
  <c r="B125" i="45"/>
  <c r="F125" i="45"/>
  <c r="J117" i="84"/>
  <c r="E121" i="78"/>
  <c r="D121" i="78"/>
  <c r="G120" i="78"/>
  <c r="E129" i="29"/>
  <c r="D129" i="29"/>
  <c r="G128" i="29"/>
  <c r="J121" i="63"/>
  <c r="E119" i="92"/>
  <c r="D119" i="92"/>
  <c r="G118" i="92"/>
  <c r="J122" i="46"/>
  <c r="H119" i="81"/>
  <c r="I119" i="81"/>
  <c r="J117" i="90"/>
  <c r="J124" i="43"/>
  <c r="D119" i="88"/>
  <c r="G118" i="88"/>
  <c r="E119" i="88"/>
  <c r="G118" i="90"/>
  <c r="D119" i="90"/>
  <c r="E119" i="90"/>
  <c r="B123" i="62"/>
  <c r="F123" i="62"/>
  <c r="J117" i="87"/>
  <c r="J126" i="17"/>
  <c r="G123" i="59"/>
  <c r="D124" i="59"/>
  <c r="E124" i="59"/>
  <c r="F125" i="56"/>
  <c r="B125" i="56"/>
  <c r="E129" i="23"/>
  <c r="D129" i="23"/>
  <c r="G128" i="23"/>
  <c r="J122" i="59"/>
  <c r="J120" i="67"/>
  <c r="J123" i="57"/>
  <c r="D128" i="18"/>
  <c r="G127" i="18"/>
  <c r="E128" i="18"/>
  <c r="H124" i="56"/>
  <c r="I124" i="56"/>
  <c r="J118" i="95"/>
  <c r="J118" i="82"/>
  <c r="D129" i="71"/>
  <c r="E129" i="71"/>
  <c r="G128" i="71"/>
  <c r="J124" i="44"/>
  <c r="E125" i="57"/>
  <c r="D125" i="57"/>
  <c r="G124" i="57"/>
  <c r="J127" i="71"/>
  <c r="F127" i="21"/>
  <c r="B127" i="21"/>
  <c r="H123" i="54"/>
  <c r="I123" i="54"/>
  <c r="B120" i="83"/>
  <c r="F120" i="83"/>
  <c r="J117" i="96"/>
  <c r="G121" i="67"/>
  <c r="D122" i="67"/>
  <c r="E122" i="67"/>
  <c r="H119" i="80"/>
  <c r="I119" i="80"/>
  <c r="B124" i="55"/>
  <c r="F124" i="55"/>
  <c r="B119" i="93"/>
  <c r="B118" i="13"/>
  <c r="F128" i="24"/>
  <c r="B128" i="24"/>
  <c r="F126" i="42"/>
  <c r="B126" i="42"/>
  <c r="D128" i="17"/>
  <c r="E128" i="17"/>
  <c r="G127" i="17"/>
  <c r="F124" i="54"/>
  <c r="B124" i="54"/>
  <c r="J141" i="35"/>
  <c r="G125" i="44"/>
  <c r="D126" i="44"/>
  <c r="E126" i="44"/>
  <c r="F120" i="80"/>
  <c r="B120" i="80"/>
  <c r="I117" i="33"/>
  <c r="H117" i="33"/>
  <c r="F121" i="76"/>
  <c r="B121" i="76"/>
  <c r="I142" i="35"/>
  <c r="H142" i="35"/>
  <c r="G118" i="96"/>
  <c r="D119" i="96"/>
  <c r="H125" i="42"/>
  <c r="I125" i="42"/>
  <c r="G126" i="3"/>
  <c r="D127" i="3"/>
  <c r="E127" i="3"/>
  <c r="I126" i="21"/>
  <c r="H126" i="21"/>
  <c r="B121" i="77"/>
  <c r="F121" i="77"/>
  <c r="H120" i="75"/>
  <c r="I120" i="75"/>
  <c r="B118" i="33"/>
  <c r="F118" i="33"/>
  <c r="I123" i="55"/>
  <c r="H123" i="55"/>
  <c r="H118" i="93"/>
  <c r="I118" i="93"/>
  <c r="B144" i="35"/>
  <c r="G143" i="35"/>
  <c r="E144" i="35"/>
  <c r="F144" i="35" s="1"/>
  <c r="E118" i="13"/>
  <c r="F118" i="13" s="1"/>
  <c r="G119" i="82"/>
  <c r="D120" i="82"/>
  <c r="E120" i="82"/>
  <c r="I120" i="77"/>
  <c r="H120" i="77"/>
  <c r="I119" i="83"/>
  <c r="H119" i="83"/>
  <c r="F121" i="75"/>
  <c r="B121" i="75"/>
  <c r="G119" i="95"/>
  <c r="D120" i="95"/>
  <c r="D119" i="87"/>
  <c r="G118" i="87"/>
  <c r="E119" i="87"/>
  <c r="I120" i="76"/>
  <c r="H120" i="76"/>
  <c r="E119" i="93"/>
  <c r="F119" i="93" s="1"/>
  <c r="H117" i="13"/>
  <c r="I117" i="13"/>
  <c r="H127" i="24"/>
  <c r="I127" i="24"/>
  <c r="D130" i="28"/>
  <c r="G129" i="28"/>
  <c r="E130" i="28"/>
  <c r="I47" i="100" l="1"/>
  <c r="F48" i="100"/>
  <c r="G48" i="100" s="1"/>
  <c r="B48" i="100"/>
  <c r="G118" i="100"/>
  <c r="D119" i="100"/>
  <c r="E119" i="100"/>
  <c r="J117" i="100"/>
  <c r="G44" i="97"/>
  <c r="H44" i="97"/>
  <c r="E45" i="97"/>
  <c r="F45" i="97" s="1"/>
  <c r="D46" i="97" s="1"/>
  <c r="B46" i="97" s="1"/>
  <c r="D39" i="25"/>
  <c r="H38" i="25"/>
  <c r="G38" i="25"/>
  <c r="D120" i="94"/>
  <c r="E120" i="94" s="1"/>
  <c r="H118" i="94"/>
  <c r="J118" i="94" s="1"/>
  <c r="E41" i="99"/>
  <c r="F41" i="99" s="1"/>
  <c r="G41" i="99" s="1"/>
  <c r="B41" i="99"/>
  <c r="E46" i="97"/>
  <c r="F46" i="97" s="1"/>
  <c r="D47" i="97" s="1"/>
  <c r="B38" i="98"/>
  <c r="F38" i="98"/>
  <c r="H40" i="99"/>
  <c r="G40" i="99"/>
  <c r="D119" i="25"/>
  <c r="G118" i="25"/>
  <c r="J118" i="26"/>
  <c r="J117" i="25"/>
  <c r="D119" i="99"/>
  <c r="G118" i="99"/>
  <c r="E119" i="99"/>
  <c r="J117" i="99"/>
  <c r="G46" i="39"/>
  <c r="I46" i="39" s="1"/>
  <c r="I39" i="84"/>
  <c r="H118" i="98"/>
  <c r="I118" i="98"/>
  <c r="G119" i="26"/>
  <c r="D120" i="26"/>
  <c r="F119" i="98"/>
  <c r="B119" i="98"/>
  <c r="H118" i="97"/>
  <c r="I118" i="97"/>
  <c r="B119" i="97"/>
  <c r="F119" i="97"/>
  <c r="G40" i="88"/>
  <c r="I40" i="88" s="1"/>
  <c r="G41" i="75"/>
  <c r="I41" i="75" s="1"/>
  <c r="B43" i="67"/>
  <c r="F43" i="67"/>
  <c r="H43" i="67" s="1"/>
  <c r="B44" i="46"/>
  <c r="F44" i="46"/>
  <c r="G44" i="46" s="1"/>
  <c r="F48" i="24"/>
  <c r="G48" i="24" s="1"/>
  <c r="B48" i="24"/>
  <c r="I48" i="23"/>
  <c r="G47" i="19"/>
  <c r="I47" i="19" s="1"/>
  <c r="I37" i="93"/>
  <c r="B39" i="94"/>
  <c r="F39" i="94"/>
  <c r="H39" i="94" s="1"/>
  <c r="B38" i="93"/>
  <c r="F38" i="93"/>
  <c r="H38" i="93" s="1"/>
  <c r="H46" i="42"/>
  <c r="I46" i="42" s="1"/>
  <c r="F41" i="80"/>
  <c r="B41" i="80"/>
  <c r="D42" i="82"/>
  <c r="E42" i="82"/>
  <c r="D41" i="86"/>
  <c r="E41" i="86"/>
  <c r="H40" i="86"/>
  <c r="G40" i="86"/>
  <c r="G41" i="82"/>
  <c r="I41" i="82" s="1"/>
  <c r="I40" i="80"/>
  <c r="H46" i="20"/>
  <c r="I46" i="20" s="1"/>
  <c r="G45" i="45"/>
  <c r="I45" i="45" s="1"/>
  <c r="B44" i="53"/>
  <c r="F44" i="53"/>
  <c r="F41" i="90"/>
  <c r="B41" i="90"/>
  <c r="B40" i="91"/>
  <c r="F40" i="91"/>
  <c r="G42" i="65"/>
  <c r="I42" i="65" s="1"/>
  <c r="E43" i="65"/>
  <c r="D43" i="65"/>
  <c r="B49" i="23"/>
  <c r="F49" i="23"/>
  <c r="B40" i="84"/>
  <c r="F40" i="84"/>
  <c r="E42" i="75"/>
  <c r="D42" i="75"/>
  <c r="B43" i="66"/>
  <c r="F43" i="66"/>
  <c r="H43" i="66" s="1"/>
  <c r="G45" i="58"/>
  <c r="H45" i="58"/>
  <c r="D46" i="58"/>
  <c r="E46" i="58" s="1"/>
  <c r="H45" i="55"/>
  <c r="I45" i="55" s="1"/>
  <c r="D46" i="55"/>
  <c r="E46" i="55" s="1"/>
  <c r="D47" i="42"/>
  <c r="E47" i="42"/>
  <c r="B43" i="61"/>
  <c r="F43" i="61"/>
  <c r="G43" i="61" s="1"/>
  <c r="F46" i="44"/>
  <c r="H46" i="44" s="1"/>
  <c r="B46" i="44"/>
  <c r="B41" i="76"/>
  <c r="F41" i="76"/>
  <c r="F40" i="81"/>
  <c r="G40" i="81" s="1"/>
  <c r="B40" i="81"/>
  <c r="I48" i="27"/>
  <c r="G49" i="31"/>
  <c r="I49" i="31" s="1"/>
  <c r="G38" i="95"/>
  <c r="I38" i="95" s="1"/>
  <c r="D39" i="95"/>
  <c r="E39" i="95"/>
  <c r="E41" i="85"/>
  <c r="D41" i="85"/>
  <c r="F47" i="22"/>
  <c r="B47" i="22"/>
  <c r="B38" i="96"/>
  <c r="F38" i="96"/>
  <c r="H38" i="96" s="1"/>
  <c r="D45" i="72"/>
  <c r="E45" i="72" s="1"/>
  <c r="F49" i="27"/>
  <c r="B49" i="27"/>
  <c r="H44" i="72"/>
  <c r="I44" i="72" s="1"/>
  <c r="D47" i="39"/>
  <c r="E47" i="39" s="1"/>
  <c r="H40" i="85"/>
  <c r="I40" i="85" s="1"/>
  <c r="I60" i="35"/>
  <c r="F41" i="79"/>
  <c r="B41" i="79"/>
  <c r="H39" i="83"/>
  <c r="I39" i="83" s="1"/>
  <c r="D40" i="83"/>
  <c r="E40" i="83"/>
  <c r="F43" i="63"/>
  <c r="B43" i="63"/>
  <c r="B44" i="57"/>
  <c r="F44" i="57"/>
  <c r="H44" i="57" s="1"/>
  <c r="B41" i="77"/>
  <c r="F41" i="77"/>
  <c r="G41" i="77" s="1"/>
  <c r="E48" i="19"/>
  <c r="D48" i="19"/>
  <c r="D50" i="31"/>
  <c r="E50" i="31" s="1"/>
  <c r="F46" i="73"/>
  <c r="H46" i="73" s="1"/>
  <c r="B46" i="73"/>
  <c r="F41" i="78"/>
  <c r="B41" i="78"/>
  <c r="F47" i="21"/>
  <c r="G47" i="21" s="1"/>
  <c r="B47" i="21"/>
  <c r="D43" i="68"/>
  <c r="E43" i="68"/>
  <c r="D48" i="3"/>
  <c r="E48" i="3" s="1"/>
  <c r="G49" i="69"/>
  <c r="D50" i="69"/>
  <c r="E50" i="69" s="1"/>
  <c r="F46" i="74"/>
  <c r="H46" i="74" s="1"/>
  <c r="B46" i="74"/>
  <c r="F39" i="92"/>
  <c r="B39" i="92"/>
  <c r="D51" i="28"/>
  <c r="E51" i="28" s="1"/>
  <c r="D44" i="64"/>
  <c r="E44" i="64"/>
  <c r="G48" i="30"/>
  <c r="I48" i="30" s="1"/>
  <c r="D49" i="30"/>
  <c r="E49" i="30" s="1"/>
  <c r="G39" i="87"/>
  <c r="I39" i="87" s="1"/>
  <c r="H43" i="56"/>
  <c r="I43" i="56" s="1"/>
  <c r="D44" i="56"/>
  <c r="E44" i="56"/>
  <c r="F47" i="17"/>
  <c r="G47" i="17" s="1"/>
  <c r="C56" i="17"/>
  <c r="B47" i="17"/>
  <c r="F39" i="89"/>
  <c r="B39" i="89"/>
  <c r="F47" i="43"/>
  <c r="B47" i="43"/>
  <c r="B44" i="54"/>
  <c r="F44" i="54"/>
  <c r="H43" i="64"/>
  <c r="I43" i="64" s="1"/>
  <c r="B48" i="32"/>
  <c r="F48" i="32"/>
  <c r="H48" i="32" s="1"/>
  <c r="F43" i="60"/>
  <c r="G43" i="60" s="1"/>
  <c r="B43" i="60"/>
  <c r="F49" i="70"/>
  <c r="H49" i="70" s="1"/>
  <c r="B49" i="70"/>
  <c r="H42" i="68"/>
  <c r="I42" i="68" s="1"/>
  <c r="F49" i="29"/>
  <c r="H49" i="29" s="1"/>
  <c r="B49" i="29"/>
  <c r="G47" i="3"/>
  <c r="I47" i="3" s="1"/>
  <c r="H49" i="69"/>
  <c r="F47" i="41"/>
  <c r="B47" i="41"/>
  <c r="D41" i="88"/>
  <c r="E41" i="88"/>
  <c r="H50" i="28"/>
  <c r="I50" i="28" s="1"/>
  <c r="D46" i="45"/>
  <c r="E46" i="45" s="1"/>
  <c r="H48" i="34"/>
  <c r="D49" i="34"/>
  <c r="E49" i="34" s="1"/>
  <c r="G48" i="34"/>
  <c r="H48" i="71"/>
  <c r="I48" i="71" s="1"/>
  <c r="D49" i="71"/>
  <c r="E49" i="71" s="1"/>
  <c r="J125" i="41"/>
  <c r="J122" i="62"/>
  <c r="J119" i="81"/>
  <c r="J118" i="89"/>
  <c r="J126" i="22"/>
  <c r="D40" i="26"/>
  <c r="D41" i="33"/>
  <c r="E41" i="33" s="1"/>
  <c r="D43" i="62"/>
  <c r="E43" i="62"/>
  <c r="D47" i="20"/>
  <c r="E47" i="20" s="1"/>
  <c r="H40" i="33"/>
  <c r="J126" i="21"/>
  <c r="H39" i="26"/>
  <c r="F48" i="18"/>
  <c r="B48" i="18"/>
  <c r="H42" i="62"/>
  <c r="D39" i="13"/>
  <c r="E39" i="13" s="1"/>
  <c r="G40" i="33"/>
  <c r="G39" i="26"/>
  <c r="B43" i="59"/>
  <c r="F43" i="59"/>
  <c r="G43" i="59" s="1"/>
  <c r="D40" i="87"/>
  <c r="E40" i="87"/>
  <c r="G42" i="62"/>
  <c r="H61" i="35"/>
  <c r="G61" i="35"/>
  <c r="E62" i="35"/>
  <c r="F62" i="35" s="1"/>
  <c r="B62" i="35"/>
  <c r="G38" i="13"/>
  <c r="I38" i="13" s="1"/>
  <c r="J142" i="35"/>
  <c r="F119" i="90"/>
  <c r="B119" i="90"/>
  <c r="F119" i="88"/>
  <c r="B119" i="88"/>
  <c r="H123" i="46"/>
  <c r="I123" i="46"/>
  <c r="H125" i="39"/>
  <c r="I125" i="39"/>
  <c r="F124" i="53"/>
  <c r="B124" i="53"/>
  <c r="E120" i="89"/>
  <c r="D120" i="89"/>
  <c r="G119" i="89"/>
  <c r="F123" i="65"/>
  <c r="B123" i="65"/>
  <c r="H126" i="34"/>
  <c r="I126" i="34"/>
  <c r="I119" i="85"/>
  <c r="H119" i="85"/>
  <c r="B125" i="74"/>
  <c r="F125" i="74"/>
  <c r="H128" i="69"/>
  <c r="I128" i="69"/>
  <c r="B128" i="32"/>
  <c r="F128" i="32"/>
  <c r="H126" i="20"/>
  <c r="I126" i="20"/>
  <c r="J118" i="91"/>
  <c r="I122" i="61"/>
  <c r="H122" i="61"/>
  <c r="H122" i="64"/>
  <c r="I122" i="64"/>
  <c r="D121" i="81"/>
  <c r="E121" i="81"/>
  <c r="G120" i="81"/>
  <c r="H118" i="86"/>
  <c r="I118" i="86"/>
  <c r="I120" i="79"/>
  <c r="H120" i="79"/>
  <c r="G123" i="62"/>
  <c r="E124" i="62"/>
  <c r="D124" i="62"/>
  <c r="H118" i="90"/>
  <c r="I118" i="90"/>
  <c r="I120" i="78"/>
  <c r="H120" i="78"/>
  <c r="G125" i="45"/>
  <c r="E126" i="45"/>
  <c r="D126" i="45"/>
  <c r="I123" i="58"/>
  <c r="H123" i="58"/>
  <c r="B124" i="46"/>
  <c r="F124" i="46"/>
  <c r="I127" i="31"/>
  <c r="H127" i="31"/>
  <c r="F126" i="43"/>
  <c r="B126" i="43"/>
  <c r="B127" i="34"/>
  <c r="F127" i="34"/>
  <c r="I124" i="74"/>
  <c r="H124" i="74"/>
  <c r="F129" i="69"/>
  <c r="B129" i="69"/>
  <c r="H128" i="27"/>
  <c r="I128" i="27"/>
  <c r="I121" i="66"/>
  <c r="H121" i="66"/>
  <c r="B123" i="60"/>
  <c r="F123" i="60"/>
  <c r="B129" i="70"/>
  <c r="F129" i="70"/>
  <c r="H121" i="68"/>
  <c r="I121" i="68"/>
  <c r="J120" i="75"/>
  <c r="I118" i="92"/>
  <c r="H118" i="92"/>
  <c r="I128" i="29"/>
  <c r="H128" i="29"/>
  <c r="F121" i="78"/>
  <c r="B121" i="78"/>
  <c r="B123" i="63"/>
  <c r="F123" i="63"/>
  <c r="G119" i="91"/>
  <c r="D120" i="91"/>
  <c r="E120" i="91"/>
  <c r="H123" i="53"/>
  <c r="I123" i="53"/>
  <c r="I125" i="43"/>
  <c r="H125" i="43"/>
  <c r="I126" i="19"/>
  <c r="H126" i="19"/>
  <c r="E127" i="41"/>
  <c r="G126" i="41"/>
  <c r="D127" i="41"/>
  <c r="B124" i="72"/>
  <c r="F124" i="72"/>
  <c r="F129" i="30"/>
  <c r="B129" i="30"/>
  <c r="J125" i="73"/>
  <c r="F120" i="85"/>
  <c r="B120" i="85"/>
  <c r="I127" i="32"/>
  <c r="H127" i="32"/>
  <c r="B119" i="84"/>
  <c r="F119" i="84"/>
  <c r="F122" i="66"/>
  <c r="B122" i="66"/>
  <c r="G126" i="73"/>
  <c r="E127" i="73"/>
  <c r="D127" i="73"/>
  <c r="I128" i="70"/>
  <c r="H128" i="70"/>
  <c r="B121" i="79"/>
  <c r="F121" i="79"/>
  <c r="H118" i="88"/>
  <c r="I118" i="88"/>
  <c r="B119" i="92"/>
  <c r="F119" i="92"/>
  <c r="F129" i="29"/>
  <c r="B129" i="29"/>
  <c r="F124" i="58"/>
  <c r="B124" i="58"/>
  <c r="H122" i="63"/>
  <c r="I122" i="63"/>
  <c r="F126" i="39"/>
  <c r="B126" i="39"/>
  <c r="B128" i="31"/>
  <c r="F128" i="31"/>
  <c r="E128" i="22"/>
  <c r="G127" i="22"/>
  <c r="D128" i="22"/>
  <c r="F127" i="19"/>
  <c r="B127" i="19"/>
  <c r="H122" i="65"/>
  <c r="I122" i="65"/>
  <c r="I123" i="72"/>
  <c r="H123" i="72"/>
  <c r="H128" i="30"/>
  <c r="I128" i="30"/>
  <c r="F129" i="27"/>
  <c r="B129" i="27"/>
  <c r="F127" i="20"/>
  <c r="B127" i="20"/>
  <c r="H118" i="84"/>
  <c r="I118" i="84"/>
  <c r="F123" i="61"/>
  <c r="B123" i="61"/>
  <c r="B123" i="64"/>
  <c r="F123" i="64"/>
  <c r="I122" i="60"/>
  <c r="H122" i="60"/>
  <c r="F119" i="86"/>
  <c r="B119" i="86"/>
  <c r="J124" i="45"/>
  <c r="B122" i="68"/>
  <c r="F122" i="68"/>
  <c r="J127" i="24"/>
  <c r="J124" i="56"/>
  <c r="H128" i="23"/>
  <c r="I128" i="23"/>
  <c r="D126" i="56"/>
  <c r="E126" i="56"/>
  <c r="G125" i="56"/>
  <c r="I127" i="18"/>
  <c r="H127" i="18"/>
  <c r="B129" i="23"/>
  <c r="F129" i="23"/>
  <c r="F124" i="59"/>
  <c r="B124" i="59"/>
  <c r="B128" i="18"/>
  <c r="F128" i="18"/>
  <c r="H123" i="59"/>
  <c r="I123" i="59"/>
  <c r="J120" i="77"/>
  <c r="I128" i="71"/>
  <c r="H128" i="71"/>
  <c r="J125" i="42"/>
  <c r="J123" i="54"/>
  <c r="I124" i="57"/>
  <c r="H124" i="57"/>
  <c r="F125" i="57"/>
  <c r="B125" i="57"/>
  <c r="B129" i="71"/>
  <c r="F129" i="71"/>
  <c r="D119" i="13"/>
  <c r="E119" i="13" s="1"/>
  <c r="G118" i="13"/>
  <c r="G119" i="93"/>
  <c r="D120" i="93"/>
  <c r="E120" i="93" s="1"/>
  <c r="J117" i="13"/>
  <c r="H118" i="87"/>
  <c r="I118" i="87"/>
  <c r="B120" i="95"/>
  <c r="H119" i="94"/>
  <c r="I119" i="94"/>
  <c r="B127" i="3"/>
  <c r="F127" i="3"/>
  <c r="B119" i="96"/>
  <c r="G120" i="80"/>
  <c r="E121" i="80"/>
  <c r="D121" i="80"/>
  <c r="G128" i="24"/>
  <c r="E129" i="24"/>
  <c r="D129" i="24"/>
  <c r="E125" i="55"/>
  <c r="G124" i="55"/>
  <c r="D125" i="55"/>
  <c r="H121" i="67"/>
  <c r="I121" i="67"/>
  <c r="H129" i="28"/>
  <c r="I129" i="28"/>
  <c r="B119" i="87"/>
  <c r="F119" i="87"/>
  <c r="H119" i="95"/>
  <c r="I119" i="95"/>
  <c r="G121" i="75"/>
  <c r="E122" i="75"/>
  <c r="D122" i="75"/>
  <c r="B145" i="35"/>
  <c r="G144" i="35"/>
  <c r="E145" i="35"/>
  <c r="F145" i="35" s="1"/>
  <c r="E122" i="77"/>
  <c r="G121" i="77"/>
  <c r="D122" i="77"/>
  <c r="I126" i="3"/>
  <c r="H126" i="3"/>
  <c r="I118" i="96"/>
  <c r="H118" i="96"/>
  <c r="F126" i="44"/>
  <c r="B126" i="44"/>
  <c r="D125" i="54"/>
  <c r="E125" i="54"/>
  <c r="G124" i="54"/>
  <c r="F128" i="17"/>
  <c r="B128" i="17"/>
  <c r="G120" i="83"/>
  <c r="D121" i="83"/>
  <c r="E121" i="83"/>
  <c r="F130" i="28"/>
  <c r="B130" i="28"/>
  <c r="J120" i="76"/>
  <c r="B120" i="82"/>
  <c r="F120" i="82"/>
  <c r="I143" i="35"/>
  <c r="H143" i="35"/>
  <c r="J123" i="55"/>
  <c r="D122" i="76"/>
  <c r="G121" i="76"/>
  <c r="E122" i="76"/>
  <c r="J117" i="33"/>
  <c r="I125" i="44"/>
  <c r="H125" i="44"/>
  <c r="E127" i="42"/>
  <c r="D127" i="42"/>
  <c r="G126" i="42"/>
  <c r="J119" i="80"/>
  <c r="E120" i="95"/>
  <c r="F120" i="95" s="1"/>
  <c r="J119" i="83"/>
  <c r="I119" i="82"/>
  <c r="H119" i="82"/>
  <c r="F120" i="94"/>
  <c r="B120" i="94"/>
  <c r="J118" i="93"/>
  <c r="G118" i="33"/>
  <c r="D119" i="33"/>
  <c r="E119" i="33" s="1"/>
  <c r="E119" i="96"/>
  <c r="F119" i="96" s="1"/>
  <c r="H127" i="17"/>
  <c r="I127" i="17"/>
  <c r="F122" i="67"/>
  <c r="B122" i="67"/>
  <c r="G127" i="21"/>
  <c r="E128" i="21"/>
  <c r="D128" i="21"/>
  <c r="H48" i="100" l="1"/>
  <c r="D49" i="100"/>
  <c r="E49" i="100"/>
  <c r="F119" i="100"/>
  <c r="B119" i="100"/>
  <c r="H118" i="100"/>
  <c r="I118" i="100"/>
  <c r="H45" i="97"/>
  <c r="I44" i="97"/>
  <c r="G45" i="97"/>
  <c r="I38" i="25"/>
  <c r="B39" i="25"/>
  <c r="E39" i="25"/>
  <c r="F39" i="25" s="1"/>
  <c r="J118" i="98"/>
  <c r="I40" i="99"/>
  <c r="D39" i="98"/>
  <c r="E39" i="98"/>
  <c r="E47" i="97"/>
  <c r="F47" i="97" s="1"/>
  <c r="B47" i="97"/>
  <c r="H38" i="98"/>
  <c r="H46" i="97"/>
  <c r="D42" i="99"/>
  <c r="E42" i="99"/>
  <c r="G38" i="98"/>
  <c r="G46" i="97"/>
  <c r="H41" i="99"/>
  <c r="I41" i="99" s="1"/>
  <c r="I118" i="25"/>
  <c r="H118" i="25"/>
  <c r="E119" i="25"/>
  <c r="F119" i="25" s="1"/>
  <c r="B119" i="25"/>
  <c r="I118" i="99"/>
  <c r="H118" i="99"/>
  <c r="B119" i="99"/>
  <c r="F119" i="99"/>
  <c r="H44" i="46"/>
  <c r="I44" i="46" s="1"/>
  <c r="J118" i="97"/>
  <c r="E120" i="26"/>
  <c r="F120" i="26" s="1"/>
  <c r="B120" i="26"/>
  <c r="H119" i="26"/>
  <c r="I119" i="26"/>
  <c r="D120" i="97"/>
  <c r="E120" i="97" s="1"/>
  <c r="G119" i="97"/>
  <c r="G119" i="98"/>
  <c r="D120" i="98"/>
  <c r="E120" i="98"/>
  <c r="G43" i="67"/>
  <c r="I43" i="67" s="1"/>
  <c r="D44" i="67"/>
  <c r="E44" i="67"/>
  <c r="E45" i="46"/>
  <c r="D45" i="46"/>
  <c r="H48" i="24"/>
  <c r="I48" i="24" s="1"/>
  <c r="D49" i="24"/>
  <c r="E49" i="24"/>
  <c r="B41" i="86"/>
  <c r="F41" i="86"/>
  <c r="H41" i="80"/>
  <c r="D42" i="80"/>
  <c r="E42" i="80"/>
  <c r="I45" i="58"/>
  <c r="I40" i="86"/>
  <c r="F42" i="82"/>
  <c r="H42" i="82" s="1"/>
  <c r="B42" i="82"/>
  <c r="G38" i="93"/>
  <c r="I38" i="93" s="1"/>
  <c r="E39" i="93"/>
  <c r="D39" i="93"/>
  <c r="G39" i="94"/>
  <c r="I39" i="94" s="1"/>
  <c r="E40" i="94"/>
  <c r="D40" i="94"/>
  <c r="G41" i="80"/>
  <c r="G44" i="57"/>
  <c r="I44" i="57" s="1"/>
  <c r="H43" i="61"/>
  <c r="I43" i="61" s="1"/>
  <c r="B46" i="58"/>
  <c r="F46" i="58"/>
  <c r="B42" i="75"/>
  <c r="F42" i="75"/>
  <c r="H42" i="75" s="1"/>
  <c r="D41" i="84"/>
  <c r="E41" i="84"/>
  <c r="G49" i="23"/>
  <c r="D50" i="23"/>
  <c r="E50" i="23" s="1"/>
  <c r="H40" i="91"/>
  <c r="D41" i="91"/>
  <c r="E41" i="91"/>
  <c r="G40" i="91"/>
  <c r="H41" i="90"/>
  <c r="E42" i="90"/>
  <c r="D42" i="90"/>
  <c r="D44" i="66"/>
  <c r="E44" i="66" s="1"/>
  <c r="B43" i="65"/>
  <c r="F43" i="65"/>
  <c r="G43" i="65" s="1"/>
  <c r="H44" i="53"/>
  <c r="D45" i="53"/>
  <c r="E45" i="53"/>
  <c r="G49" i="70"/>
  <c r="I49" i="70" s="1"/>
  <c r="H47" i="17"/>
  <c r="I47" i="17" s="1"/>
  <c r="B47" i="42"/>
  <c r="F47" i="42"/>
  <c r="H47" i="42" s="1"/>
  <c r="B46" i="55"/>
  <c r="F46" i="55"/>
  <c r="H46" i="55" s="1"/>
  <c r="G40" i="84"/>
  <c r="G41" i="90"/>
  <c r="H41" i="77"/>
  <c r="I41" i="77" s="1"/>
  <c r="G43" i="66"/>
  <c r="I43" i="66" s="1"/>
  <c r="H40" i="84"/>
  <c r="H49" i="23"/>
  <c r="G44" i="53"/>
  <c r="G41" i="76"/>
  <c r="E42" i="76"/>
  <c r="D42" i="76"/>
  <c r="F45" i="72"/>
  <c r="H45" i="72" s="1"/>
  <c r="B45" i="72"/>
  <c r="H47" i="22"/>
  <c r="D48" i="22"/>
  <c r="E48" i="22" s="1"/>
  <c r="B39" i="95"/>
  <c r="F39" i="95"/>
  <c r="G39" i="95" s="1"/>
  <c r="D47" i="44"/>
  <c r="E47" i="44" s="1"/>
  <c r="F47" i="39"/>
  <c r="G47" i="39" s="1"/>
  <c r="B47" i="39"/>
  <c r="B41" i="85"/>
  <c r="F41" i="85"/>
  <c r="G41" i="85" s="1"/>
  <c r="H40" i="81"/>
  <c r="I40" i="81" s="1"/>
  <c r="E41" i="81"/>
  <c r="D41" i="81"/>
  <c r="D39" i="96"/>
  <c r="E39" i="96"/>
  <c r="E50" i="27"/>
  <c r="G49" i="27"/>
  <c r="D50" i="27"/>
  <c r="H49" i="27"/>
  <c r="G38" i="96"/>
  <c r="I38" i="96" s="1"/>
  <c r="G47" i="22"/>
  <c r="H41" i="76"/>
  <c r="G46" i="44"/>
  <c r="I46" i="44" s="1"/>
  <c r="D44" i="61"/>
  <c r="E44" i="61" s="1"/>
  <c r="I49" i="69"/>
  <c r="B49" i="71"/>
  <c r="F49" i="71"/>
  <c r="F46" i="45"/>
  <c r="H46" i="45" s="1"/>
  <c r="B46" i="45"/>
  <c r="B49" i="30"/>
  <c r="F49" i="30"/>
  <c r="H49" i="30" s="1"/>
  <c r="F44" i="64"/>
  <c r="G44" i="64" s="1"/>
  <c r="B44" i="64"/>
  <c r="G46" i="74"/>
  <c r="I46" i="74" s="1"/>
  <c r="D47" i="74"/>
  <c r="E47" i="74" s="1"/>
  <c r="F48" i="3"/>
  <c r="G48" i="3" s="1"/>
  <c r="B48" i="3"/>
  <c r="H41" i="78"/>
  <c r="D42" i="78"/>
  <c r="E42" i="78"/>
  <c r="G46" i="73"/>
  <c r="I46" i="73" s="1"/>
  <c r="D47" i="73"/>
  <c r="E47" i="73" s="1"/>
  <c r="F50" i="31"/>
  <c r="B50" i="31"/>
  <c r="B41" i="88"/>
  <c r="F41" i="88"/>
  <c r="D48" i="41"/>
  <c r="E48" i="41" s="1"/>
  <c r="H44" i="54"/>
  <c r="E45" i="54"/>
  <c r="D45" i="54"/>
  <c r="D48" i="43"/>
  <c r="E48" i="43" s="1"/>
  <c r="E40" i="89"/>
  <c r="D40" i="89"/>
  <c r="H39" i="92"/>
  <c r="D40" i="92"/>
  <c r="E40" i="92"/>
  <c r="B50" i="69"/>
  <c r="F50" i="69"/>
  <c r="H50" i="69" s="1"/>
  <c r="G43" i="63"/>
  <c r="D44" i="63"/>
  <c r="E44" i="63"/>
  <c r="I48" i="34"/>
  <c r="H47" i="41"/>
  <c r="E50" i="29"/>
  <c r="D50" i="29"/>
  <c r="G44" i="54"/>
  <c r="H47" i="43"/>
  <c r="H39" i="89"/>
  <c r="D48" i="17"/>
  <c r="E48" i="17"/>
  <c r="B51" i="28"/>
  <c r="F51" i="28"/>
  <c r="H51" i="28" s="1"/>
  <c r="D48" i="21"/>
  <c r="E48" i="21"/>
  <c r="B48" i="19"/>
  <c r="F48" i="19"/>
  <c r="H48" i="19" s="1"/>
  <c r="D42" i="77"/>
  <c r="E42" i="77"/>
  <c r="G41" i="79"/>
  <c r="D42" i="79"/>
  <c r="E42" i="79"/>
  <c r="I61" i="35"/>
  <c r="F49" i="34"/>
  <c r="B49" i="34"/>
  <c r="G47" i="41"/>
  <c r="G49" i="29"/>
  <c r="I49" i="29" s="1"/>
  <c r="D50" i="70"/>
  <c r="E50" i="70" s="1"/>
  <c r="H43" i="60"/>
  <c r="I43" i="60" s="1"/>
  <c r="D44" i="60"/>
  <c r="E44" i="60" s="1"/>
  <c r="G48" i="32"/>
  <c r="I48" i="32" s="1"/>
  <c r="D49" i="32"/>
  <c r="E49" i="32" s="1"/>
  <c r="G47" i="43"/>
  <c r="G39" i="89"/>
  <c r="B44" i="56"/>
  <c r="F44" i="56"/>
  <c r="G44" i="56" s="1"/>
  <c r="G39" i="92"/>
  <c r="B43" i="68"/>
  <c r="F43" i="68"/>
  <c r="H47" i="21"/>
  <c r="I47" i="21" s="1"/>
  <c r="G41" i="78"/>
  <c r="D45" i="57"/>
  <c r="E45" i="57" s="1"/>
  <c r="H43" i="63"/>
  <c r="F40" i="83"/>
  <c r="H40" i="83" s="1"/>
  <c r="B40" i="83"/>
  <c r="H41" i="79"/>
  <c r="J125" i="43"/>
  <c r="J123" i="46"/>
  <c r="J123" i="72"/>
  <c r="D49" i="18"/>
  <c r="E49" i="18" s="1"/>
  <c r="I39" i="26"/>
  <c r="F47" i="20"/>
  <c r="B47" i="20"/>
  <c r="J122" i="60"/>
  <c r="J127" i="32"/>
  <c r="J126" i="19"/>
  <c r="J121" i="66"/>
  <c r="J127" i="31"/>
  <c r="J123" i="58"/>
  <c r="J120" i="79"/>
  <c r="J119" i="85"/>
  <c r="D44" i="59"/>
  <c r="E44" i="59" s="1"/>
  <c r="I42" i="62"/>
  <c r="B40" i="26"/>
  <c r="J119" i="94"/>
  <c r="J128" i="29"/>
  <c r="J121" i="68"/>
  <c r="J128" i="27"/>
  <c r="J120" i="78"/>
  <c r="B63" i="35"/>
  <c r="E63" i="35"/>
  <c r="F63" i="35" s="1"/>
  <c r="G62" i="35"/>
  <c r="H62" i="35"/>
  <c r="B40" i="87"/>
  <c r="F40" i="87"/>
  <c r="G40" i="87" s="1"/>
  <c r="B39" i="13"/>
  <c r="F39" i="13"/>
  <c r="H39" i="13" s="1"/>
  <c r="G48" i="18"/>
  <c r="I40" i="33"/>
  <c r="B43" i="62"/>
  <c r="F43" i="62"/>
  <c r="G43" i="62" s="1"/>
  <c r="E40" i="26"/>
  <c r="F40" i="26" s="1"/>
  <c r="J122" i="63"/>
  <c r="J118" i="88"/>
  <c r="J122" i="64"/>
  <c r="H43" i="59"/>
  <c r="I43" i="59" s="1"/>
  <c r="H48" i="18"/>
  <c r="F41" i="33"/>
  <c r="G41" i="33" s="1"/>
  <c r="B41" i="33"/>
  <c r="D124" i="64"/>
  <c r="G123" i="64"/>
  <c r="E124" i="64"/>
  <c r="J118" i="84"/>
  <c r="D127" i="39"/>
  <c r="G126" i="39"/>
  <c r="E127" i="39"/>
  <c r="E125" i="58"/>
  <c r="D125" i="58"/>
  <c r="G124" i="58"/>
  <c r="E120" i="84"/>
  <c r="G119" i="84"/>
  <c r="D120" i="84"/>
  <c r="D130" i="30"/>
  <c r="G129" i="30"/>
  <c r="E130" i="30"/>
  <c r="I126" i="41"/>
  <c r="H126" i="41"/>
  <c r="E130" i="69"/>
  <c r="G129" i="69"/>
  <c r="D130" i="69"/>
  <c r="F124" i="62"/>
  <c r="B124" i="62"/>
  <c r="I120" i="81"/>
  <c r="H120" i="81"/>
  <c r="J126" i="20"/>
  <c r="J128" i="69"/>
  <c r="E120" i="88"/>
  <c r="G119" i="88"/>
  <c r="D120" i="88"/>
  <c r="G122" i="68"/>
  <c r="E123" i="68"/>
  <c r="D123" i="68"/>
  <c r="G119" i="86"/>
  <c r="D120" i="86"/>
  <c r="E120" i="86"/>
  <c r="G129" i="27"/>
  <c r="E130" i="27"/>
  <c r="D130" i="27"/>
  <c r="D128" i="19"/>
  <c r="E128" i="19"/>
  <c r="G127" i="19"/>
  <c r="E129" i="31"/>
  <c r="D129" i="31"/>
  <c r="G128" i="31"/>
  <c r="H126" i="73"/>
  <c r="I126" i="73"/>
  <c r="G120" i="85"/>
  <c r="E121" i="85"/>
  <c r="D121" i="85"/>
  <c r="D125" i="72"/>
  <c r="E125" i="72"/>
  <c r="G124" i="72"/>
  <c r="F120" i="91"/>
  <c r="B120" i="91"/>
  <c r="E124" i="60"/>
  <c r="D124" i="60"/>
  <c r="G123" i="60"/>
  <c r="D125" i="46"/>
  <c r="G124" i="46"/>
  <c r="E125" i="46"/>
  <c r="F126" i="45"/>
  <c r="B126" i="45"/>
  <c r="D124" i="65"/>
  <c r="E124" i="65"/>
  <c r="G123" i="65"/>
  <c r="J127" i="18"/>
  <c r="J128" i="30"/>
  <c r="J122" i="65"/>
  <c r="F128" i="22"/>
  <c r="B128" i="22"/>
  <c r="D130" i="29"/>
  <c r="G129" i="29"/>
  <c r="E130" i="29"/>
  <c r="J128" i="70"/>
  <c r="J123" i="53"/>
  <c r="H119" i="91"/>
  <c r="I119" i="91"/>
  <c r="E122" i="78"/>
  <c r="D122" i="78"/>
  <c r="G121" i="78"/>
  <c r="J118" i="92"/>
  <c r="J124" i="74"/>
  <c r="G126" i="43"/>
  <c r="E127" i="43"/>
  <c r="D127" i="43"/>
  <c r="J118" i="90"/>
  <c r="I123" i="62"/>
  <c r="H123" i="62"/>
  <c r="J118" i="86"/>
  <c r="B121" i="81"/>
  <c r="F121" i="81"/>
  <c r="J122" i="61"/>
  <c r="E129" i="32"/>
  <c r="D129" i="32"/>
  <c r="G128" i="32"/>
  <c r="D126" i="74"/>
  <c r="G125" i="74"/>
  <c r="E126" i="74"/>
  <c r="J126" i="34"/>
  <c r="I119" i="89"/>
  <c r="H119" i="89"/>
  <c r="D125" i="53"/>
  <c r="G124" i="53"/>
  <c r="E125" i="53"/>
  <c r="E120" i="90"/>
  <c r="G119" i="90"/>
  <c r="D120" i="90"/>
  <c r="J126" i="3"/>
  <c r="D124" i="61"/>
  <c r="G123" i="61"/>
  <c r="E124" i="61"/>
  <c r="E128" i="20"/>
  <c r="D128" i="20"/>
  <c r="G127" i="20"/>
  <c r="I127" i="22"/>
  <c r="H127" i="22"/>
  <c r="G119" i="92"/>
  <c r="D120" i="92"/>
  <c r="E120" i="92"/>
  <c r="D122" i="79"/>
  <c r="E122" i="79"/>
  <c r="G121" i="79"/>
  <c r="F127" i="73"/>
  <c r="B127" i="73"/>
  <c r="E123" i="66"/>
  <c r="D123" i="66"/>
  <c r="G122" i="66"/>
  <c r="B127" i="41"/>
  <c r="F127" i="41"/>
  <c r="G123" i="63"/>
  <c r="E124" i="63"/>
  <c r="D124" i="63"/>
  <c r="G129" i="70"/>
  <c r="D130" i="70"/>
  <c r="E130" i="70"/>
  <c r="E128" i="34"/>
  <c r="G127" i="34"/>
  <c r="D128" i="34"/>
  <c r="H125" i="45"/>
  <c r="I125" i="45"/>
  <c r="B120" i="89"/>
  <c r="F120" i="89"/>
  <c r="J125" i="39"/>
  <c r="J124" i="57"/>
  <c r="J128" i="71"/>
  <c r="J123" i="59"/>
  <c r="J128" i="23"/>
  <c r="J119" i="82"/>
  <c r="I125" i="56"/>
  <c r="H125" i="56"/>
  <c r="J143" i="35"/>
  <c r="J119" i="95"/>
  <c r="D129" i="18"/>
  <c r="E129" i="18"/>
  <c r="G128" i="18"/>
  <c r="D130" i="23"/>
  <c r="E130" i="23"/>
  <c r="G129" i="23"/>
  <c r="D125" i="59"/>
  <c r="G124" i="59"/>
  <c r="E125" i="59"/>
  <c r="B126" i="56"/>
  <c r="F126" i="56"/>
  <c r="G129" i="71"/>
  <c r="E130" i="71"/>
  <c r="D130" i="71"/>
  <c r="G125" i="57"/>
  <c r="D126" i="57"/>
  <c r="E126" i="57"/>
  <c r="D120" i="96"/>
  <c r="E120" i="96" s="1"/>
  <c r="G119" i="96"/>
  <c r="G120" i="95"/>
  <c r="D121" i="95"/>
  <c r="E121" i="95" s="1"/>
  <c r="I121" i="76"/>
  <c r="H121" i="76"/>
  <c r="H120" i="83"/>
  <c r="I120" i="83"/>
  <c r="J118" i="96"/>
  <c r="H144" i="35"/>
  <c r="I144" i="35"/>
  <c r="H124" i="55"/>
  <c r="I124" i="55"/>
  <c r="I128" i="24"/>
  <c r="H128" i="24"/>
  <c r="D123" i="67"/>
  <c r="G122" i="67"/>
  <c r="E123" i="67"/>
  <c r="H126" i="42"/>
  <c r="I126" i="42"/>
  <c r="F122" i="76"/>
  <c r="B122" i="76"/>
  <c r="F125" i="54"/>
  <c r="B125" i="54"/>
  <c r="F122" i="75"/>
  <c r="B122" i="75"/>
  <c r="J129" i="28"/>
  <c r="B121" i="80"/>
  <c r="F121" i="80"/>
  <c r="F128" i="21"/>
  <c r="B128" i="21"/>
  <c r="I127" i="21"/>
  <c r="H127" i="21"/>
  <c r="F119" i="33"/>
  <c r="B119" i="33"/>
  <c r="D121" i="94"/>
  <c r="E121" i="94" s="1"/>
  <c r="G120" i="94"/>
  <c r="B127" i="42"/>
  <c r="F127" i="42"/>
  <c r="J125" i="44"/>
  <c r="E129" i="17"/>
  <c r="G128" i="17"/>
  <c r="D129" i="17"/>
  <c r="B122" i="77"/>
  <c r="F122" i="77"/>
  <c r="J121" i="67"/>
  <c r="B129" i="24"/>
  <c r="F129" i="24"/>
  <c r="D128" i="3"/>
  <c r="G127" i="3"/>
  <c r="E128" i="3"/>
  <c r="J118" i="87"/>
  <c r="B120" i="93"/>
  <c r="F120" i="93"/>
  <c r="H118" i="13"/>
  <c r="I118" i="13"/>
  <c r="J127" i="17"/>
  <c r="H118" i="33"/>
  <c r="I118" i="33"/>
  <c r="G120" i="82"/>
  <c r="D121" i="82"/>
  <c r="E121" i="82"/>
  <c r="G130" i="28"/>
  <c r="D131" i="28"/>
  <c r="E131" i="28"/>
  <c r="F121" i="83"/>
  <c r="B121" i="83"/>
  <c r="I124" i="54"/>
  <c r="H124" i="54"/>
  <c r="G126" i="44"/>
  <c r="D127" i="44"/>
  <c r="E127" i="44"/>
  <c r="I121" i="77"/>
  <c r="H121" i="77"/>
  <c r="G145" i="35"/>
  <c r="E146" i="35"/>
  <c r="F146" i="35" s="1"/>
  <c r="B146" i="35"/>
  <c r="H121" i="75"/>
  <c r="I121" i="75"/>
  <c r="D120" i="87"/>
  <c r="G119" i="87"/>
  <c r="E120" i="87"/>
  <c r="F125" i="55"/>
  <c r="B125" i="55"/>
  <c r="I120" i="80"/>
  <c r="H120" i="80"/>
  <c r="I119" i="93"/>
  <c r="H119" i="93"/>
  <c r="B119" i="13"/>
  <c r="F119" i="13"/>
  <c r="I48" i="100" l="1"/>
  <c r="F49" i="100"/>
  <c r="B49" i="100"/>
  <c r="G49" i="100"/>
  <c r="H49" i="100"/>
  <c r="J118" i="100"/>
  <c r="D120" i="100"/>
  <c r="G119" i="100"/>
  <c r="E120" i="100"/>
  <c r="I45" i="97"/>
  <c r="I40" i="84"/>
  <c r="G39" i="25"/>
  <c r="D40" i="25"/>
  <c r="H39" i="25"/>
  <c r="I41" i="76"/>
  <c r="I49" i="23"/>
  <c r="D48" i="97"/>
  <c r="G47" i="97"/>
  <c r="H47" i="97"/>
  <c r="F42" i="99"/>
  <c r="D43" i="99" s="1"/>
  <c r="B42" i="99"/>
  <c r="I46" i="97"/>
  <c r="F39" i="98"/>
  <c r="G39" i="98" s="1"/>
  <c r="B39" i="98"/>
  <c r="I38" i="98"/>
  <c r="G119" i="25"/>
  <c r="D120" i="25"/>
  <c r="J118" i="99"/>
  <c r="J118" i="25"/>
  <c r="E120" i="99"/>
  <c r="G119" i="99"/>
  <c r="D120" i="99"/>
  <c r="I39" i="92"/>
  <c r="G42" i="82"/>
  <c r="I42" i="82" s="1"/>
  <c r="I41" i="79"/>
  <c r="I119" i="97"/>
  <c r="H119" i="97"/>
  <c r="B120" i="98"/>
  <c r="F120" i="98"/>
  <c r="B120" i="97"/>
  <c r="F120" i="97"/>
  <c r="G120" i="26"/>
  <c r="D121" i="26"/>
  <c r="H119" i="98"/>
  <c r="I119" i="98"/>
  <c r="J119" i="26"/>
  <c r="B44" i="67"/>
  <c r="F44" i="67"/>
  <c r="G44" i="67" s="1"/>
  <c r="I43" i="63"/>
  <c r="B45" i="46"/>
  <c r="F45" i="46"/>
  <c r="H45" i="46" s="1"/>
  <c r="G49" i="30"/>
  <c r="I49" i="30" s="1"/>
  <c r="B49" i="24"/>
  <c r="F49" i="24"/>
  <c r="G49" i="24" s="1"/>
  <c r="I41" i="90"/>
  <c r="G46" i="55"/>
  <c r="I46" i="55" s="1"/>
  <c r="G47" i="42"/>
  <c r="I47" i="42" s="1"/>
  <c r="F39" i="93"/>
  <c r="G39" i="93" s="1"/>
  <c r="B39" i="93"/>
  <c r="B42" i="80"/>
  <c r="F42" i="80"/>
  <c r="G42" i="80" s="1"/>
  <c r="F40" i="94"/>
  <c r="B40" i="94"/>
  <c r="I41" i="80"/>
  <c r="G42" i="75"/>
  <c r="I42" i="75" s="1"/>
  <c r="D43" i="82"/>
  <c r="E43" i="82" s="1"/>
  <c r="D42" i="86"/>
  <c r="G41" i="86"/>
  <c r="E42" i="86"/>
  <c r="H41" i="86"/>
  <c r="H44" i="64"/>
  <c r="I44" i="64" s="1"/>
  <c r="G45" i="72"/>
  <c r="I45" i="72" s="1"/>
  <c r="I44" i="53"/>
  <c r="B44" i="66"/>
  <c r="F44" i="66"/>
  <c r="H44" i="66" s="1"/>
  <c r="I40" i="91"/>
  <c r="B41" i="84"/>
  <c r="F41" i="84"/>
  <c r="H41" i="84" s="1"/>
  <c r="D47" i="55"/>
  <c r="E47" i="55"/>
  <c r="D48" i="42"/>
  <c r="E48" i="42" s="1"/>
  <c r="H43" i="65"/>
  <c r="I43" i="65" s="1"/>
  <c r="E44" i="65"/>
  <c r="D44" i="65"/>
  <c r="B42" i="90"/>
  <c r="F42" i="90"/>
  <c r="B50" i="23"/>
  <c r="F50" i="23"/>
  <c r="D43" i="75"/>
  <c r="E43" i="75" s="1"/>
  <c r="H46" i="58"/>
  <c r="D47" i="58"/>
  <c r="G46" i="58"/>
  <c r="E47" i="58"/>
  <c r="F45" i="53"/>
  <c r="B45" i="53"/>
  <c r="F41" i="91"/>
  <c r="B41" i="91"/>
  <c r="F44" i="61"/>
  <c r="H44" i="61" s="1"/>
  <c r="B44" i="61"/>
  <c r="F48" i="22"/>
  <c r="H48" i="22" s="1"/>
  <c r="B48" i="22"/>
  <c r="B41" i="81"/>
  <c r="F41" i="81"/>
  <c r="G41" i="81" s="1"/>
  <c r="B47" i="44"/>
  <c r="F47" i="44"/>
  <c r="F50" i="27"/>
  <c r="H50" i="27" s="1"/>
  <c r="B50" i="27"/>
  <c r="F39" i="96"/>
  <c r="G39" i="96" s="1"/>
  <c r="B39" i="96"/>
  <c r="H47" i="39"/>
  <c r="I47" i="39" s="1"/>
  <c r="D48" i="39"/>
  <c r="E48" i="39" s="1"/>
  <c r="H39" i="95"/>
  <c r="I39" i="95" s="1"/>
  <c r="D40" i="95"/>
  <c r="E40" i="95"/>
  <c r="I47" i="22"/>
  <c r="D46" i="72"/>
  <c r="E46" i="72" s="1"/>
  <c r="H40" i="87"/>
  <c r="I40" i="87" s="1"/>
  <c r="I49" i="27"/>
  <c r="H41" i="85"/>
  <c r="I41" i="85" s="1"/>
  <c r="D42" i="85"/>
  <c r="E42" i="85"/>
  <c r="F42" i="76"/>
  <c r="G42" i="76" s="1"/>
  <c r="B42" i="76"/>
  <c r="I48" i="18"/>
  <c r="I62" i="35"/>
  <c r="I47" i="43"/>
  <c r="G40" i="83"/>
  <c r="I40" i="83" s="1"/>
  <c r="H43" i="68"/>
  <c r="E44" i="68"/>
  <c r="D44" i="68"/>
  <c r="D45" i="56"/>
  <c r="E45" i="56" s="1"/>
  <c r="B49" i="32"/>
  <c r="F49" i="32"/>
  <c r="D50" i="34"/>
  <c r="E50" i="34" s="1"/>
  <c r="H49" i="34"/>
  <c r="B42" i="79"/>
  <c r="F42" i="79"/>
  <c r="G42" i="79" s="1"/>
  <c r="I39" i="89"/>
  <c r="B44" i="63"/>
  <c r="F44" i="63"/>
  <c r="H44" i="63" s="1"/>
  <c r="E42" i="88"/>
  <c r="D42" i="88"/>
  <c r="E51" i="31"/>
  <c r="D51" i="31"/>
  <c r="D50" i="71"/>
  <c r="E50" i="71" s="1"/>
  <c r="H41" i="33"/>
  <c r="I41" i="33" s="1"/>
  <c r="G43" i="68"/>
  <c r="G48" i="19"/>
  <c r="I48" i="19" s="1"/>
  <c r="D49" i="19"/>
  <c r="E49" i="19" s="1"/>
  <c r="G51" i="28"/>
  <c r="I51" i="28" s="1"/>
  <c r="I47" i="41"/>
  <c r="D51" i="69"/>
  <c r="E51" i="69" s="1"/>
  <c r="B40" i="92"/>
  <c r="F40" i="92"/>
  <c r="F48" i="43"/>
  <c r="H48" i="43" s="1"/>
  <c r="B48" i="43"/>
  <c r="I44" i="54"/>
  <c r="B47" i="73"/>
  <c r="F47" i="73"/>
  <c r="G47" i="73" s="1"/>
  <c r="B42" i="78"/>
  <c r="F42" i="78"/>
  <c r="H42" i="78" s="1"/>
  <c r="B47" i="74"/>
  <c r="F47" i="74"/>
  <c r="G47" i="74" s="1"/>
  <c r="D47" i="45"/>
  <c r="E47" i="45" s="1"/>
  <c r="B45" i="57"/>
  <c r="F45" i="57"/>
  <c r="H44" i="56"/>
  <c r="I44" i="56" s="1"/>
  <c r="G49" i="34"/>
  <c r="B50" i="29"/>
  <c r="F50" i="29"/>
  <c r="H50" i="29" s="1"/>
  <c r="G50" i="69"/>
  <c r="I50" i="69" s="1"/>
  <c r="H41" i="88"/>
  <c r="G50" i="31"/>
  <c r="I41" i="78"/>
  <c r="D45" i="64"/>
  <c r="E45" i="64" s="1"/>
  <c r="D50" i="30"/>
  <c r="E50" i="30"/>
  <c r="G46" i="45"/>
  <c r="I46" i="45" s="1"/>
  <c r="G49" i="71"/>
  <c r="E41" i="83"/>
  <c r="D41" i="83"/>
  <c r="B44" i="60"/>
  <c r="F44" i="60"/>
  <c r="H44" i="60" s="1"/>
  <c r="F50" i="70"/>
  <c r="G50" i="70" s="1"/>
  <c r="B50" i="70"/>
  <c r="B42" i="77"/>
  <c r="F42" i="77"/>
  <c r="G42" i="77" s="1"/>
  <c r="F48" i="21"/>
  <c r="H48" i="21" s="1"/>
  <c r="B48" i="21"/>
  <c r="E52" i="28"/>
  <c r="D52" i="28"/>
  <c r="F48" i="17"/>
  <c r="G48" i="17" s="1"/>
  <c r="B48" i="17"/>
  <c r="C57" i="17"/>
  <c r="F40" i="89"/>
  <c r="G40" i="89" s="1"/>
  <c r="B40" i="89"/>
  <c r="F45" i="54"/>
  <c r="G45" i="54" s="1"/>
  <c r="B45" i="54"/>
  <c r="B48" i="41"/>
  <c r="F48" i="41"/>
  <c r="H48" i="41" s="1"/>
  <c r="G41" i="88"/>
  <c r="H50" i="31"/>
  <c r="H48" i="3"/>
  <c r="I48" i="3" s="1"/>
  <c r="D49" i="3"/>
  <c r="E49" i="3" s="1"/>
  <c r="H49" i="71"/>
  <c r="J119" i="89"/>
  <c r="J126" i="41"/>
  <c r="J126" i="73"/>
  <c r="D41" i="26"/>
  <c r="E41" i="26" s="1"/>
  <c r="G40" i="26"/>
  <c r="H40" i="26"/>
  <c r="G63" i="35"/>
  <c r="B64" i="35"/>
  <c r="E64" i="35"/>
  <c r="F64" i="35" s="1"/>
  <c r="H63" i="35"/>
  <c r="B44" i="59"/>
  <c r="F44" i="59"/>
  <c r="G44" i="59" s="1"/>
  <c r="D44" i="62"/>
  <c r="E44" i="62"/>
  <c r="E48" i="20"/>
  <c r="D48" i="20"/>
  <c r="B49" i="18"/>
  <c r="F49" i="18"/>
  <c r="G49" i="18" s="1"/>
  <c r="J128" i="24"/>
  <c r="J127" i="22"/>
  <c r="J123" i="62"/>
  <c r="D40" i="13"/>
  <c r="G47" i="20"/>
  <c r="D42" i="33"/>
  <c r="E42" i="33" s="1"/>
  <c r="H43" i="62"/>
  <c r="I43" i="62" s="1"/>
  <c r="G39" i="13"/>
  <c r="I39" i="13" s="1"/>
  <c r="D41" i="87"/>
  <c r="E41" i="87"/>
  <c r="H47" i="20"/>
  <c r="I122" i="66"/>
  <c r="H122" i="66"/>
  <c r="E128" i="73"/>
  <c r="G127" i="73"/>
  <c r="D128" i="73"/>
  <c r="B120" i="90"/>
  <c r="F120" i="90"/>
  <c r="I124" i="53"/>
  <c r="H124" i="53"/>
  <c r="I128" i="32"/>
  <c r="H128" i="32"/>
  <c r="E122" i="81"/>
  <c r="G121" i="81"/>
  <c r="D122" i="81"/>
  <c r="H126" i="43"/>
  <c r="I126" i="43"/>
  <c r="F122" i="78"/>
  <c r="B122" i="78"/>
  <c r="B130" i="29"/>
  <c r="F130" i="29"/>
  <c r="F124" i="65"/>
  <c r="B124" i="65"/>
  <c r="I124" i="46"/>
  <c r="H124" i="46"/>
  <c r="I120" i="85"/>
  <c r="H120" i="85"/>
  <c r="F129" i="31"/>
  <c r="B129" i="31"/>
  <c r="B128" i="19"/>
  <c r="F128" i="19"/>
  <c r="J120" i="81"/>
  <c r="H129" i="69"/>
  <c r="I129" i="69"/>
  <c r="I119" i="84"/>
  <c r="H119" i="84"/>
  <c r="G120" i="89"/>
  <c r="D121" i="89"/>
  <c r="E121" i="89"/>
  <c r="F128" i="34"/>
  <c r="B128" i="34"/>
  <c r="F130" i="70"/>
  <c r="B130" i="70"/>
  <c r="I123" i="63"/>
  <c r="H123" i="63"/>
  <c r="F123" i="66"/>
  <c r="B123" i="66"/>
  <c r="I121" i="79"/>
  <c r="H121" i="79"/>
  <c r="F120" i="92"/>
  <c r="B120" i="92"/>
  <c r="I127" i="20"/>
  <c r="H127" i="20"/>
  <c r="H123" i="61"/>
  <c r="I123" i="61"/>
  <c r="H119" i="90"/>
  <c r="I119" i="90"/>
  <c r="B125" i="53"/>
  <c r="F125" i="53"/>
  <c r="F129" i="32"/>
  <c r="B129" i="32"/>
  <c r="B125" i="46"/>
  <c r="F125" i="46"/>
  <c r="F125" i="72"/>
  <c r="B125" i="72"/>
  <c r="F130" i="27"/>
  <c r="B130" i="27"/>
  <c r="B120" i="86"/>
  <c r="F120" i="86"/>
  <c r="H122" i="68"/>
  <c r="I122" i="68"/>
  <c r="I129" i="30"/>
  <c r="H129" i="30"/>
  <c r="I127" i="34"/>
  <c r="H127" i="34"/>
  <c r="I129" i="70"/>
  <c r="H129" i="70"/>
  <c r="D128" i="41"/>
  <c r="E128" i="41"/>
  <c r="G127" i="41"/>
  <c r="I119" i="92"/>
  <c r="H119" i="92"/>
  <c r="B128" i="20"/>
  <c r="F128" i="20"/>
  <c r="F124" i="61"/>
  <c r="B124" i="61"/>
  <c r="H125" i="74"/>
  <c r="I125" i="74"/>
  <c r="B127" i="43"/>
  <c r="F127" i="43"/>
  <c r="J119" i="91"/>
  <c r="E129" i="22"/>
  <c r="G128" i="22"/>
  <c r="D129" i="22"/>
  <c r="H123" i="65"/>
  <c r="I123" i="65"/>
  <c r="D127" i="45"/>
  <c r="G126" i="45"/>
  <c r="E127" i="45"/>
  <c r="H123" i="60"/>
  <c r="I123" i="60"/>
  <c r="G120" i="91"/>
  <c r="D121" i="91"/>
  <c r="E121" i="91"/>
  <c r="B121" i="85"/>
  <c r="F121" i="85"/>
  <c r="I127" i="19"/>
  <c r="H127" i="19"/>
  <c r="I119" i="86"/>
  <c r="H119" i="86"/>
  <c r="F120" i="88"/>
  <c r="B120" i="88"/>
  <c r="D125" i="62"/>
  <c r="G124" i="62"/>
  <c r="E125" i="62"/>
  <c r="F130" i="30"/>
  <c r="B130" i="30"/>
  <c r="H124" i="58"/>
  <c r="I124" i="58"/>
  <c r="I126" i="39"/>
  <c r="H126" i="39"/>
  <c r="I123" i="64"/>
  <c r="H123" i="64"/>
  <c r="J125" i="45"/>
  <c r="F124" i="63"/>
  <c r="B124" i="63"/>
  <c r="B122" i="79"/>
  <c r="F122" i="79"/>
  <c r="B126" i="74"/>
  <c r="F126" i="74"/>
  <c r="H121" i="78"/>
  <c r="I121" i="78"/>
  <c r="H129" i="29"/>
  <c r="I129" i="29"/>
  <c r="B124" i="60"/>
  <c r="F124" i="60"/>
  <c r="I124" i="72"/>
  <c r="H124" i="72"/>
  <c r="H128" i="31"/>
  <c r="I128" i="31"/>
  <c r="H129" i="27"/>
  <c r="I129" i="27"/>
  <c r="F123" i="68"/>
  <c r="B123" i="68"/>
  <c r="H119" i="88"/>
  <c r="I119" i="88"/>
  <c r="B130" i="69"/>
  <c r="F130" i="69"/>
  <c r="B120" i="84"/>
  <c r="F120" i="84"/>
  <c r="F125" i="58"/>
  <c r="B125" i="58"/>
  <c r="F127" i="39"/>
  <c r="B127" i="39"/>
  <c r="F124" i="64"/>
  <c r="B124" i="64"/>
  <c r="J124" i="55"/>
  <c r="J144" i="35"/>
  <c r="B125" i="59"/>
  <c r="F125" i="59"/>
  <c r="B129" i="18"/>
  <c r="F129" i="18"/>
  <c r="B130" i="23"/>
  <c r="F130" i="23"/>
  <c r="J124" i="54"/>
  <c r="D127" i="56"/>
  <c r="E127" i="56"/>
  <c r="G126" i="56"/>
  <c r="H128" i="18"/>
  <c r="I128" i="18"/>
  <c r="J125" i="56"/>
  <c r="I124" i="59"/>
  <c r="H124" i="59"/>
  <c r="H129" i="23"/>
  <c r="I129" i="23"/>
  <c r="B126" i="57"/>
  <c r="F126" i="57"/>
  <c r="B130" i="71"/>
  <c r="F130" i="71"/>
  <c r="H125" i="57"/>
  <c r="I125" i="57"/>
  <c r="I129" i="71"/>
  <c r="H129" i="71"/>
  <c r="J118" i="33"/>
  <c r="J121" i="76"/>
  <c r="B147" i="35"/>
  <c r="G146" i="35"/>
  <c r="E147" i="35"/>
  <c r="F147" i="35" s="1"/>
  <c r="H130" i="28"/>
  <c r="I130" i="28"/>
  <c r="B121" i="82"/>
  <c r="F121" i="82"/>
  <c r="G120" i="93"/>
  <c r="D121" i="93"/>
  <c r="E121" i="93" s="1"/>
  <c r="G127" i="42"/>
  <c r="E128" i="42"/>
  <c r="D128" i="42"/>
  <c r="H120" i="94"/>
  <c r="I120" i="94"/>
  <c r="G128" i="21"/>
  <c r="D129" i="21"/>
  <c r="E129" i="21"/>
  <c r="J120" i="83"/>
  <c r="I120" i="95"/>
  <c r="H120" i="95"/>
  <c r="D126" i="55"/>
  <c r="G125" i="55"/>
  <c r="E126" i="55"/>
  <c r="H119" i="87"/>
  <c r="I119" i="87"/>
  <c r="I145" i="35"/>
  <c r="H145" i="35"/>
  <c r="B127" i="44"/>
  <c r="F127" i="44"/>
  <c r="D122" i="83"/>
  <c r="E122" i="83"/>
  <c r="G121" i="83"/>
  <c r="H120" i="82"/>
  <c r="I120" i="82"/>
  <c r="D123" i="75"/>
  <c r="E123" i="75"/>
  <c r="G122" i="75"/>
  <c r="I122" i="67"/>
  <c r="H122" i="67"/>
  <c r="I119" i="96"/>
  <c r="H119" i="96"/>
  <c r="J119" i="93"/>
  <c r="B120" i="87"/>
  <c r="F120" i="87"/>
  <c r="H126" i="44"/>
  <c r="I126" i="44"/>
  <c r="J118" i="13"/>
  <c r="I127" i="3"/>
  <c r="H127" i="3"/>
  <c r="E123" i="77"/>
  <c r="D123" i="77"/>
  <c r="G122" i="77"/>
  <c r="F129" i="17"/>
  <c r="B129" i="17"/>
  <c r="F121" i="94"/>
  <c r="B121" i="94"/>
  <c r="G119" i="33"/>
  <c r="D120" i="33"/>
  <c r="J127" i="21"/>
  <c r="D123" i="76"/>
  <c r="E123" i="76"/>
  <c r="G122" i="76"/>
  <c r="J126" i="42"/>
  <c r="F123" i="67"/>
  <c r="B123" i="67"/>
  <c r="D120" i="13"/>
  <c r="E120" i="13" s="1"/>
  <c r="G119" i="13"/>
  <c r="J120" i="80"/>
  <c r="J121" i="75"/>
  <c r="J121" i="77"/>
  <c r="B131" i="28"/>
  <c r="F131" i="28"/>
  <c r="F128" i="3"/>
  <c r="B128" i="3"/>
  <c r="E130" i="24"/>
  <c r="G129" i="24"/>
  <c r="D130" i="24"/>
  <c r="H128" i="17"/>
  <c r="I128" i="17"/>
  <c r="D122" i="80"/>
  <c r="E122" i="80"/>
  <c r="G121" i="80"/>
  <c r="E126" i="54"/>
  <c r="G125" i="54"/>
  <c r="D126" i="54"/>
  <c r="F121" i="95"/>
  <c r="B121" i="95"/>
  <c r="F120" i="96"/>
  <c r="B120" i="96"/>
  <c r="I49" i="100" l="1"/>
  <c r="D50" i="100"/>
  <c r="E50" i="100"/>
  <c r="I119" i="100"/>
  <c r="H119" i="100"/>
  <c r="B120" i="100"/>
  <c r="F120" i="100"/>
  <c r="I39" i="25"/>
  <c r="E40" i="25"/>
  <c r="F40" i="25" s="1"/>
  <c r="B40" i="25"/>
  <c r="I47" i="97"/>
  <c r="G45" i="46"/>
  <c r="I45" i="46" s="1"/>
  <c r="I50" i="31"/>
  <c r="H39" i="98"/>
  <c r="I39" i="98" s="1"/>
  <c r="E43" i="99"/>
  <c r="F43" i="99" s="1"/>
  <c r="D44" i="99" s="1"/>
  <c r="B43" i="99"/>
  <c r="H42" i="99"/>
  <c r="G42" i="99"/>
  <c r="D40" i="98"/>
  <c r="E40" i="98"/>
  <c r="E48" i="97"/>
  <c r="F48" i="97" s="1"/>
  <c r="B48" i="97"/>
  <c r="E120" i="25"/>
  <c r="F120" i="25" s="1"/>
  <c r="B120" i="25"/>
  <c r="H119" i="25"/>
  <c r="I119" i="25"/>
  <c r="B120" i="99"/>
  <c r="F120" i="99"/>
  <c r="I119" i="99"/>
  <c r="H119" i="99"/>
  <c r="I49" i="71"/>
  <c r="H50" i="70"/>
  <c r="I50" i="70" s="1"/>
  <c r="G48" i="22"/>
  <c r="I48" i="22" s="1"/>
  <c r="J119" i="98"/>
  <c r="G120" i="98"/>
  <c r="D121" i="98"/>
  <c r="E121" i="98"/>
  <c r="I120" i="26"/>
  <c r="H120" i="26"/>
  <c r="G120" i="97"/>
  <c r="D121" i="97"/>
  <c r="E121" i="97" s="1"/>
  <c r="E121" i="26"/>
  <c r="F121" i="26" s="1"/>
  <c r="B121" i="26"/>
  <c r="J119" i="97"/>
  <c r="H42" i="76"/>
  <c r="I42" i="76" s="1"/>
  <c r="I41" i="86"/>
  <c r="H42" i="80"/>
  <c r="I42" i="80" s="1"/>
  <c r="H44" i="67"/>
  <c r="I44" i="67" s="1"/>
  <c r="D45" i="67"/>
  <c r="E45" i="67"/>
  <c r="D46" i="46"/>
  <c r="E46" i="46"/>
  <c r="H49" i="24"/>
  <c r="I49" i="24" s="1"/>
  <c r="E50" i="24"/>
  <c r="D50" i="24"/>
  <c r="F42" i="86"/>
  <c r="B42" i="86"/>
  <c r="E41" i="94"/>
  <c r="D41" i="94"/>
  <c r="B43" i="82"/>
  <c r="F43" i="82"/>
  <c r="G43" i="82" s="1"/>
  <c r="H40" i="94"/>
  <c r="G40" i="94"/>
  <c r="G44" i="66"/>
  <c r="I44" i="66" s="1"/>
  <c r="D43" i="80"/>
  <c r="E43" i="80"/>
  <c r="H39" i="93"/>
  <c r="I39" i="93" s="1"/>
  <c r="E40" i="93"/>
  <c r="D40" i="93"/>
  <c r="H45" i="53"/>
  <c r="D46" i="53"/>
  <c r="E46" i="53" s="1"/>
  <c r="I46" i="58"/>
  <c r="G42" i="90"/>
  <c r="E43" i="90"/>
  <c r="D43" i="90"/>
  <c r="B47" i="55"/>
  <c r="F47" i="55"/>
  <c r="H47" i="55" s="1"/>
  <c r="H42" i="77"/>
  <c r="I42" i="77" s="1"/>
  <c r="E42" i="91"/>
  <c r="H41" i="91"/>
  <c r="D42" i="91"/>
  <c r="F47" i="58"/>
  <c r="B47" i="58"/>
  <c r="G50" i="23"/>
  <c r="H50" i="23"/>
  <c r="D51" i="23"/>
  <c r="E51" i="23" s="1"/>
  <c r="F44" i="65"/>
  <c r="B44" i="65"/>
  <c r="B48" i="42"/>
  <c r="F48" i="42"/>
  <c r="G41" i="84"/>
  <c r="I41" i="84" s="1"/>
  <c r="D42" i="84"/>
  <c r="E42" i="84"/>
  <c r="G48" i="41"/>
  <c r="I48" i="41" s="1"/>
  <c r="G41" i="91"/>
  <c r="G45" i="53"/>
  <c r="F43" i="75"/>
  <c r="G43" i="75" s="1"/>
  <c r="B43" i="75"/>
  <c r="H42" i="90"/>
  <c r="D45" i="66"/>
  <c r="E45" i="66"/>
  <c r="F42" i="85"/>
  <c r="H42" i="85" s="1"/>
  <c r="B42" i="85"/>
  <c r="G47" i="44"/>
  <c r="D48" i="44"/>
  <c r="E48" i="44" s="1"/>
  <c r="H44" i="59"/>
  <c r="I44" i="59" s="1"/>
  <c r="H40" i="89"/>
  <c r="I40" i="89" s="1"/>
  <c r="G42" i="78"/>
  <c r="I42" i="78" s="1"/>
  <c r="E43" i="76"/>
  <c r="D43" i="76"/>
  <c r="B48" i="39"/>
  <c r="F48" i="39"/>
  <c r="G48" i="39" s="1"/>
  <c r="G50" i="27"/>
  <c r="I50" i="27" s="1"/>
  <c r="D51" i="27"/>
  <c r="E51" i="27" s="1"/>
  <c r="G44" i="60"/>
  <c r="I44" i="60" s="1"/>
  <c r="B40" i="95"/>
  <c r="F40" i="95"/>
  <c r="G40" i="95" s="1"/>
  <c r="H39" i="96"/>
  <c r="I39" i="96" s="1"/>
  <c r="E40" i="96"/>
  <c r="D40" i="96"/>
  <c r="H41" i="81"/>
  <c r="I41" i="81" s="1"/>
  <c r="D42" i="81"/>
  <c r="E42" i="81"/>
  <c r="D49" i="22"/>
  <c r="E49" i="22" s="1"/>
  <c r="D45" i="61"/>
  <c r="E45" i="61" s="1"/>
  <c r="F46" i="72"/>
  <c r="H46" i="72" s="1"/>
  <c r="B46" i="72"/>
  <c r="H47" i="44"/>
  <c r="G44" i="61"/>
  <c r="I44" i="61" s="1"/>
  <c r="I47" i="20"/>
  <c r="D49" i="17"/>
  <c r="E49" i="17"/>
  <c r="B45" i="64"/>
  <c r="F45" i="64"/>
  <c r="H45" i="64" s="1"/>
  <c r="D46" i="57"/>
  <c r="E46" i="57" s="1"/>
  <c r="F47" i="45"/>
  <c r="G47" i="45" s="1"/>
  <c r="B47" i="45"/>
  <c r="D41" i="92"/>
  <c r="E41" i="92"/>
  <c r="F50" i="71"/>
  <c r="B50" i="71"/>
  <c r="B51" i="31"/>
  <c r="F51" i="31"/>
  <c r="G44" i="63"/>
  <c r="I44" i="63" s="1"/>
  <c r="D45" i="63"/>
  <c r="E45" i="63" s="1"/>
  <c r="H42" i="79"/>
  <c r="I42" i="79" s="1"/>
  <c r="H49" i="18"/>
  <c r="I49" i="18" s="1"/>
  <c r="B49" i="3"/>
  <c r="F49" i="3"/>
  <c r="E46" i="54"/>
  <c r="D46" i="54"/>
  <c r="F52" i="28"/>
  <c r="G52" i="28" s="1"/>
  <c r="B52" i="28"/>
  <c r="G48" i="21"/>
  <c r="I48" i="21" s="1"/>
  <c r="D49" i="21"/>
  <c r="E49" i="21" s="1"/>
  <c r="D45" i="60"/>
  <c r="E45" i="60" s="1"/>
  <c r="H45" i="57"/>
  <c r="H47" i="74"/>
  <c r="I47" i="74" s="1"/>
  <c r="H47" i="73"/>
  <c r="I47" i="73" s="1"/>
  <c r="G48" i="43"/>
  <c r="I48" i="43" s="1"/>
  <c r="B51" i="69"/>
  <c r="F51" i="69"/>
  <c r="G51" i="69" s="1"/>
  <c r="G49" i="32"/>
  <c r="E50" i="32"/>
  <c r="D50" i="32"/>
  <c r="F45" i="56"/>
  <c r="H45" i="56" s="1"/>
  <c r="B45" i="56"/>
  <c r="I43" i="68"/>
  <c r="I63" i="35"/>
  <c r="D49" i="41"/>
  <c r="E49" i="41" s="1"/>
  <c r="H45" i="54"/>
  <c r="I45" i="54" s="1"/>
  <c r="D41" i="89"/>
  <c r="E41" i="89"/>
  <c r="D51" i="70"/>
  <c r="E51" i="70"/>
  <c r="B50" i="30"/>
  <c r="F50" i="30"/>
  <c r="H50" i="30" s="1"/>
  <c r="E43" i="78"/>
  <c r="D43" i="78"/>
  <c r="G40" i="92"/>
  <c r="B42" i="88"/>
  <c r="F42" i="88"/>
  <c r="H42" i="88" s="1"/>
  <c r="E43" i="79"/>
  <c r="D43" i="79"/>
  <c r="I49" i="34"/>
  <c r="I40" i="26"/>
  <c r="H48" i="17"/>
  <c r="I48" i="17" s="1"/>
  <c r="D43" i="77"/>
  <c r="E43" i="77" s="1"/>
  <c r="F41" i="83"/>
  <c r="B41" i="83"/>
  <c r="I41" i="88"/>
  <c r="G50" i="29"/>
  <c r="I50" i="29" s="1"/>
  <c r="D51" i="29"/>
  <c r="E51" i="29" s="1"/>
  <c r="G45" i="57"/>
  <c r="D48" i="74"/>
  <c r="E48" i="74"/>
  <c r="D48" i="73"/>
  <c r="E48" i="73" s="1"/>
  <c r="D49" i="43"/>
  <c r="E49" i="43" s="1"/>
  <c r="H40" i="92"/>
  <c r="B49" i="19"/>
  <c r="F49" i="19"/>
  <c r="H49" i="19" s="1"/>
  <c r="B50" i="34"/>
  <c r="F50" i="34"/>
  <c r="H49" i="32"/>
  <c r="B44" i="68"/>
  <c r="F44" i="68"/>
  <c r="G44" i="68" s="1"/>
  <c r="J124" i="58"/>
  <c r="J127" i="19"/>
  <c r="J124" i="72"/>
  <c r="J129" i="23"/>
  <c r="J124" i="53"/>
  <c r="J122" i="68"/>
  <c r="J123" i="61"/>
  <c r="J119" i="84"/>
  <c r="B40" i="13"/>
  <c r="B41" i="87"/>
  <c r="F41" i="87"/>
  <c r="G41" i="87" s="1"/>
  <c r="B44" i="62"/>
  <c r="F44" i="62"/>
  <c r="E65" i="35"/>
  <c r="F65" i="35" s="1"/>
  <c r="H64" i="35"/>
  <c r="B65" i="35"/>
  <c r="G64" i="35"/>
  <c r="J119" i="86"/>
  <c r="J123" i="60"/>
  <c r="J119" i="92"/>
  <c r="J119" i="90"/>
  <c r="J126" i="43"/>
  <c r="B42" i="33"/>
  <c r="F42" i="33"/>
  <c r="H42" i="33" s="1"/>
  <c r="E40" i="13"/>
  <c r="F40" i="13" s="1"/>
  <c r="D50" i="18"/>
  <c r="E50" i="18" s="1"/>
  <c r="F48" i="20"/>
  <c r="G48" i="20" s="1"/>
  <c r="B48" i="20"/>
  <c r="D45" i="59"/>
  <c r="E45" i="59"/>
  <c r="B41" i="26"/>
  <c r="F41" i="26"/>
  <c r="H41" i="26" s="1"/>
  <c r="G127" i="39"/>
  <c r="E128" i="39"/>
  <c r="D128" i="39"/>
  <c r="G124" i="63"/>
  <c r="E125" i="63"/>
  <c r="D125" i="63"/>
  <c r="F125" i="62"/>
  <c r="B125" i="62"/>
  <c r="F127" i="45"/>
  <c r="B127" i="45"/>
  <c r="H128" i="22"/>
  <c r="I128" i="22"/>
  <c r="G124" i="61"/>
  <c r="E125" i="61"/>
  <c r="D125" i="61"/>
  <c r="E121" i="86"/>
  <c r="D121" i="86"/>
  <c r="G120" i="86"/>
  <c r="I120" i="89"/>
  <c r="H120" i="89"/>
  <c r="D131" i="29"/>
  <c r="G130" i="29"/>
  <c r="E131" i="29"/>
  <c r="H127" i="73"/>
  <c r="I127" i="73"/>
  <c r="J125" i="57"/>
  <c r="D131" i="69"/>
  <c r="G130" i="69"/>
  <c r="E131" i="69"/>
  <c r="J128" i="31"/>
  <c r="E125" i="60"/>
  <c r="D125" i="60"/>
  <c r="G124" i="60"/>
  <c r="J121" i="78"/>
  <c r="E123" i="79"/>
  <c r="G122" i="79"/>
  <c r="D123" i="79"/>
  <c r="J126" i="39"/>
  <c r="G130" i="30"/>
  <c r="D131" i="30"/>
  <c r="E131" i="30"/>
  <c r="J123" i="65"/>
  <c r="J125" i="74"/>
  <c r="E129" i="20"/>
  <c r="D129" i="20"/>
  <c r="G128" i="20"/>
  <c r="H127" i="41"/>
  <c r="I127" i="41"/>
  <c r="J129" i="70"/>
  <c r="J129" i="30"/>
  <c r="G125" i="72"/>
  <c r="D126" i="72"/>
  <c r="E126" i="72"/>
  <c r="G129" i="32"/>
  <c r="E130" i="32"/>
  <c r="D130" i="32"/>
  <c r="J127" i="20"/>
  <c r="J121" i="79"/>
  <c r="J123" i="63"/>
  <c r="G128" i="34"/>
  <c r="E129" i="34"/>
  <c r="D129" i="34"/>
  <c r="G129" i="31"/>
  <c r="E130" i="31"/>
  <c r="D130" i="31"/>
  <c r="J124" i="46"/>
  <c r="G120" i="90"/>
  <c r="D121" i="90"/>
  <c r="E121" i="90"/>
  <c r="G124" i="64"/>
  <c r="D125" i="64"/>
  <c r="E125" i="64"/>
  <c r="E126" i="58"/>
  <c r="D126" i="58"/>
  <c r="G125" i="58"/>
  <c r="G123" i="68"/>
  <c r="E124" i="68"/>
  <c r="D124" i="68"/>
  <c r="E121" i="88"/>
  <c r="G120" i="88"/>
  <c r="D121" i="88"/>
  <c r="F121" i="91"/>
  <c r="B121" i="91"/>
  <c r="D126" i="46"/>
  <c r="E126" i="46"/>
  <c r="G125" i="46"/>
  <c r="G125" i="53"/>
  <c r="D126" i="53"/>
  <c r="E126" i="53"/>
  <c r="D129" i="19"/>
  <c r="E129" i="19"/>
  <c r="G128" i="19"/>
  <c r="B122" i="81"/>
  <c r="F122" i="81"/>
  <c r="J128" i="32"/>
  <c r="D121" i="84"/>
  <c r="G120" i="84"/>
  <c r="E121" i="84"/>
  <c r="J119" i="88"/>
  <c r="J129" i="27"/>
  <c r="J129" i="29"/>
  <c r="D127" i="74"/>
  <c r="E127" i="74"/>
  <c r="G126" i="74"/>
  <c r="J123" i="64"/>
  <c r="H124" i="62"/>
  <c r="I124" i="62"/>
  <c r="G121" i="85"/>
  <c r="E122" i="85"/>
  <c r="D122" i="85"/>
  <c r="I120" i="91"/>
  <c r="H120" i="91"/>
  <c r="I126" i="45"/>
  <c r="H126" i="45"/>
  <c r="B129" i="22"/>
  <c r="F129" i="22"/>
  <c r="G127" i="43"/>
  <c r="E128" i="43"/>
  <c r="D128" i="43"/>
  <c r="B128" i="41"/>
  <c r="F128" i="41"/>
  <c r="J127" i="34"/>
  <c r="E131" i="27"/>
  <c r="D131" i="27"/>
  <c r="G130" i="27"/>
  <c r="G120" i="92"/>
  <c r="E121" i="92"/>
  <c r="D121" i="92"/>
  <c r="G123" i="66"/>
  <c r="E124" i="66"/>
  <c r="D124" i="66"/>
  <c r="G130" i="70"/>
  <c r="D131" i="70"/>
  <c r="E131" i="70"/>
  <c r="F121" i="89"/>
  <c r="B121" i="89"/>
  <c r="J129" i="69"/>
  <c r="J120" i="85"/>
  <c r="G124" i="65"/>
  <c r="D125" i="65"/>
  <c r="E125" i="65"/>
  <c r="D123" i="78"/>
  <c r="G122" i="78"/>
  <c r="E123" i="78"/>
  <c r="H121" i="81"/>
  <c r="I121" i="81"/>
  <c r="B128" i="73"/>
  <c r="F128" i="73"/>
  <c r="J122" i="66"/>
  <c r="J119" i="87"/>
  <c r="E131" i="23"/>
  <c r="D131" i="23"/>
  <c r="G130" i="23"/>
  <c r="D130" i="18"/>
  <c r="G129" i="18"/>
  <c r="E130" i="18"/>
  <c r="G125" i="59"/>
  <c r="E126" i="59"/>
  <c r="D126" i="59"/>
  <c r="I126" i="56"/>
  <c r="H126" i="56"/>
  <c r="J124" i="59"/>
  <c r="J128" i="18"/>
  <c r="J120" i="95"/>
  <c r="B127" i="56"/>
  <c r="F127" i="56"/>
  <c r="G126" i="57"/>
  <c r="E127" i="57"/>
  <c r="D127" i="57"/>
  <c r="J128" i="17"/>
  <c r="J127" i="3"/>
  <c r="J119" i="96"/>
  <c r="J120" i="94"/>
  <c r="E131" i="71"/>
  <c r="G130" i="71"/>
  <c r="D131" i="71"/>
  <c r="J120" i="82"/>
  <c r="J129" i="71"/>
  <c r="D122" i="95"/>
  <c r="E122" i="95" s="1"/>
  <c r="G121" i="95"/>
  <c r="B130" i="24"/>
  <c r="F130" i="24"/>
  <c r="G128" i="3"/>
  <c r="D129" i="3"/>
  <c r="E129" i="3"/>
  <c r="H119" i="13"/>
  <c r="I119" i="13"/>
  <c r="H122" i="76"/>
  <c r="I122" i="76"/>
  <c r="B120" i="33"/>
  <c r="G121" i="94"/>
  <c r="D122" i="94"/>
  <c r="E122" i="94" s="1"/>
  <c r="F123" i="77"/>
  <c r="B123" i="77"/>
  <c r="G120" i="87"/>
  <c r="D121" i="87"/>
  <c r="E121" i="87"/>
  <c r="G127" i="44"/>
  <c r="D128" i="44"/>
  <c r="E128" i="44"/>
  <c r="H127" i="42"/>
  <c r="I127" i="42"/>
  <c r="H120" i="93"/>
  <c r="I120" i="93"/>
  <c r="F122" i="80"/>
  <c r="B122" i="80"/>
  <c r="H129" i="24"/>
  <c r="I129" i="24"/>
  <c r="G123" i="67"/>
  <c r="D124" i="67"/>
  <c r="E124" i="67"/>
  <c r="H119" i="33"/>
  <c r="I119" i="33"/>
  <c r="B123" i="75"/>
  <c r="F123" i="75"/>
  <c r="B122" i="83"/>
  <c r="F122" i="83"/>
  <c r="D122" i="82"/>
  <c r="G121" i="82"/>
  <c r="E122" i="82"/>
  <c r="E148" i="35"/>
  <c r="F148" i="35" s="1"/>
  <c r="G147" i="35"/>
  <c r="B148" i="35"/>
  <c r="G120" i="96"/>
  <c r="D121" i="96"/>
  <c r="B126" i="54"/>
  <c r="F126" i="54"/>
  <c r="D132" i="28"/>
  <c r="G131" i="28"/>
  <c r="E132" i="28"/>
  <c r="F120" i="13"/>
  <c r="B120" i="13"/>
  <c r="F123" i="76"/>
  <c r="B123" i="76"/>
  <c r="E120" i="33"/>
  <c r="F120" i="33" s="1"/>
  <c r="D130" i="17"/>
  <c r="G129" i="17"/>
  <c r="E130" i="17"/>
  <c r="H125" i="55"/>
  <c r="I125" i="55"/>
  <c r="F129" i="21"/>
  <c r="B129" i="21"/>
  <c r="F128" i="42"/>
  <c r="B128" i="42"/>
  <c r="I146" i="35"/>
  <c r="H146" i="35"/>
  <c r="H125" i="54"/>
  <c r="I125" i="54"/>
  <c r="I121" i="80"/>
  <c r="H121" i="80"/>
  <c r="H122" i="77"/>
  <c r="I122" i="77"/>
  <c r="J126" i="44"/>
  <c r="J122" i="67"/>
  <c r="H122" i="75"/>
  <c r="I122" i="75"/>
  <c r="H121" i="83"/>
  <c r="I121" i="83"/>
  <c r="J145" i="35"/>
  <c r="F126" i="55"/>
  <c r="B126" i="55"/>
  <c r="I128" i="21"/>
  <c r="H128" i="21"/>
  <c r="F121" i="93"/>
  <c r="B121" i="93"/>
  <c r="J130" i="28"/>
  <c r="B50" i="100" l="1"/>
  <c r="F50" i="100"/>
  <c r="G50" i="100" s="1"/>
  <c r="G120" i="100"/>
  <c r="D121" i="100"/>
  <c r="J119" i="100"/>
  <c r="D41" i="25"/>
  <c r="G40" i="25"/>
  <c r="H40" i="25"/>
  <c r="I40" i="92"/>
  <c r="D49" i="97"/>
  <c r="G48" i="97"/>
  <c r="H48" i="97"/>
  <c r="I42" i="99"/>
  <c r="E44" i="99"/>
  <c r="F44" i="99" s="1"/>
  <c r="D45" i="99" s="1"/>
  <c r="B44" i="99"/>
  <c r="F40" i="98"/>
  <c r="G40" i="98" s="1"/>
  <c r="B40" i="98"/>
  <c r="H43" i="99"/>
  <c r="G43" i="99"/>
  <c r="G120" i="25"/>
  <c r="D121" i="25"/>
  <c r="I50" i="23"/>
  <c r="J119" i="25"/>
  <c r="J119" i="99"/>
  <c r="G120" i="99"/>
  <c r="D121" i="99"/>
  <c r="E121" i="99"/>
  <c r="I47" i="44"/>
  <c r="I49" i="32"/>
  <c r="H48" i="20"/>
  <c r="I48" i="20" s="1"/>
  <c r="I42" i="90"/>
  <c r="G47" i="55"/>
  <c r="I47" i="55" s="1"/>
  <c r="J120" i="26"/>
  <c r="B121" i="97"/>
  <c r="F121" i="97"/>
  <c r="H120" i="97"/>
  <c r="I120" i="97"/>
  <c r="B121" i="98"/>
  <c r="F121" i="98"/>
  <c r="D122" i="26"/>
  <c r="G121" i="26"/>
  <c r="H120" i="98"/>
  <c r="I120" i="98"/>
  <c r="H43" i="75"/>
  <c r="I43" i="75" s="1"/>
  <c r="H44" i="68"/>
  <c r="I44" i="68" s="1"/>
  <c r="B45" i="67"/>
  <c r="F45" i="67"/>
  <c r="G45" i="67" s="1"/>
  <c r="B46" i="46"/>
  <c r="F46" i="46"/>
  <c r="B50" i="24"/>
  <c r="F50" i="24"/>
  <c r="G50" i="24" s="1"/>
  <c r="G50" i="30"/>
  <c r="I50" i="30" s="1"/>
  <c r="H47" i="45"/>
  <c r="I47" i="45" s="1"/>
  <c r="G46" i="72"/>
  <c r="I46" i="72" s="1"/>
  <c r="E44" i="82"/>
  <c r="D44" i="82"/>
  <c r="G45" i="64"/>
  <c r="I45" i="64" s="1"/>
  <c r="I40" i="94"/>
  <c r="G42" i="86"/>
  <c r="H42" i="86"/>
  <c r="D43" i="86"/>
  <c r="E43" i="86" s="1"/>
  <c r="B40" i="93"/>
  <c r="F40" i="93"/>
  <c r="G40" i="93" s="1"/>
  <c r="F43" i="80"/>
  <c r="B43" i="80"/>
  <c r="H43" i="82"/>
  <c r="I43" i="82" s="1"/>
  <c r="B41" i="94"/>
  <c r="F41" i="94"/>
  <c r="G41" i="94" s="1"/>
  <c r="D49" i="42"/>
  <c r="E49" i="42" s="1"/>
  <c r="B51" i="23"/>
  <c r="F51" i="23"/>
  <c r="E48" i="58"/>
  <c r="D48" i="58"/>
  <c r="H47" i="58"/>
  <c r="G47" i="58"/>
  <c r="F42" i="84"/>
  <c r="H42" i="84" s="1"/>
  <c r="B42" i="84"/>
  <c r="G44" i="65"/>
  <c r="D45" i="65"/>
  <c r="E45" i="65" s="1"/>
  <c r="F42" i="91"/>
  <c r="G42" i="91" s="1"/>
  <c r="B42" i="91"/>
  <c r="F43" i="90"/>
  <c r="H43" i="90" s="1"/>
  <c r="B43" i="90"/>
  <c r="G41" i="26"/>
  <c r="I41" i="26" s="1"/>
  <c r="B45" i="66"/>
  <c r="F45" i="66"/>
  <c r="H48" i="42"/>
  <c r="I41" i="91"/>
  <c r="B46" i="53"/>
  <c r="F46" i="53"/>
  <c r="G46" i="53" s="1"/>
  <c r="D44" i="75"/>
  <c r="E44" i="75" s="1"/>
  <c r="G48" i="42"/>
  <c r="H44" i="65"/>
  <c r="D48" i="55"/>
  <c r="E48" i="55" s="1"/>
  <c r="I45" i="53"/>
  <c r="B49" i="22"/>
  <c r="F49" i="22"/>
  <c r="B48" i="44"/>
  <c r="F48" i="44"/>
  <c r="G48" i="44" s="1"/>
  <c r="G42" i="88"/>
  <c r="I42" i="88" s="1"/>
  <c r="F45" i="61"/>
  <c r="G45" i="61" s="1"/>
  <c r="B45" i="61"/>
  <c r="B43" i="76"/>
  <c r="F43" i="76"/>
  <c r="H43" i="76" s="1"/>
  <c r="H51" i="69"/>
  <c r="I51" i="69" s="1"/>
  <c r="D47" i="72"/>
  <c r="E47" i="72" s="1"/>
  <c r="B40" i="96"/>
  <c r="F40" i="96"/>
  <c r="G40" i="96" s="1"/>
  <c r="H40" i="95"/>
  <c r="I40" i="95" s="1"/>
  <c r="D41" i="95"/>
  <c r="E41" i="95"/>
  <c r="G42" i="85"/>
  <c r="I42" i="85" s="1"/>
  <c r="E43" i="85"/>
  <c r="D43" i="85"/>
  <c r="D49" i="39"/>
  <c r="E49" i="39" s="1"/>
  <c r="G42" i="33"/>
  <c r="I42" i="33" s="1"/>
  <c r="I45" i="57"/>
  <c r="F42" i="81"/>
  <c r="H42" i="81" s="1"/>
  <c r="B42" i="81"/>
  <c r="F51" i="27"/>
  <c r="B51" i="27"/>
  <c r="H48" i="39"/>
  <c r="I48" i="39" s="1"/>
  <c r="I64" i="35"/>
  <c r="E42" i="83"/>
  <c r="D42" i="83"/>
  <c r="B43" i="77"/>
  <c r="F43" i="77"/>
  <c r="H43" i="77" s="1"/>
  <c r="F43" i="79"/>
  <c r="B43" i="79"/>
  <c r="F51" i="70"/>
  <c r="B51" i="70"/>
  <c r="F49" i="41"/>
  <c r="B49" i="41"/>
  <c r="B49" i="21"/>
  <c r="F49" i="21"/>
  <c r="H49" i="21" s="1"/>
  <c r="D50" i="3"/>
  <c r="E50" i="3" s="1"/>
  <c r="F45" i="63"/>
  <c r="G45" i="63" s="1"/>
  <c r="B45" i="63"/>
  <c r="E52" i="31"/>
  <c r="D52" i="31"/>
  <c r="D51" i="71"/>
  <c r="E51" i="71" s="1"/>
  <c r="C58" i="17"/>
  <c r="B49" i="17"/>
  <c r="F49" i="17"/>
  <c r="H41" i="87"/>
  <c r="I41" i="87" s="1"/>
  <c r="E45" i="68"/>
  <c r="D45" i="68"/>
  <c r="F48" i="73"/>
  <c r="H48" i="73" s="1"/>
  <c r="B48" i="73"/>
  <c r="H41" i="83"/>
  <c r="B45" i="60"/>
  <c r="F45" i="60"/>
  <c r="D53" i="28"/>
  <c r="E53" i="28" s="1"/>
  <c r="H50" i="71"/>
  <c r="F41" i="92"/>
  <c r="G41" i="92" s="1"/>
  <c r="B41" i="92"/>
  <c r="D48" i="45"/>
  <c r="E48" i="45" s="1"/>
  <c r="G50" i="34"/>
  <c r="E51" i="34"/>
  <c r="H50" i="34"/>
  <c r="D51" i="34"/>
  <c r="G49" i="19"/>
  <c r="I49" i="19" s="1"/>
  <c r="D50" i="19"/>
  <c r="E50" i="19" s="1"/>
  <c r="B49" i="43"/>
  <c r="F49" i="43"/>
  <c r="H49" i="43" s="1"/>
  <c r="B51" i="29"/>
  <c r="F51" i="29"/>
  <c r="H51" i="29" s="1"/>
  <c r="G41" i="83"/>
  <c r="D43" i="88"/>
  <c r="E43" i="88" s="1"/>
  <c r="D51" i="30"/>
  <c r="E51" i="30" s="1"/>
  <c r="F41" i="89"/>
  <c r="H41" i="89" s="1"/>
  <c r="B41" i="89"/>
  <c r="G45" i="56"/>
  <c r="I45" i="56" s="1"/>
  <c r="D46" i="56"/>
  <c r="E46" i="56"/>
  <c r="B46" i="54"/>
  <c r="F46" i="54"/>
  <c r="H46" i="54" s="1"/>
  <c r="G49" i="3"/>
  <c r="G51" i="31"/>
  <c r="F46" i="57"/>
  <c r="H46" i="57" s="1"/>
  <c r="B46" i="57"/>
  <c r="D46" i="64"/>
  <c r="E46" i="64" s="1"/>
  <c r="B48" i="74"/>
  <c r="F48" i="74"/>
  <c r="G48" i="74" s="1"/>
  <c r="B43" i="78"/>
  <c r="F43" i="78"/>
  <c r="F50" i="32"/>
  <c r="G50" i="32" s="1"/>
  <c r="B50" i="32"/>
  <c r="D52" i="69"/>
  <c r="E52" i="69" s="1"/>
  <c r="H52" i="28"/>
  <c r="I52" i="28" s="1"/>
  <c r="H49" i="3"/>
  <c r="H51" i="31"/>
  <c r="G50" i="71"/>
  <c r="J122" i="75"/>
  <c r="J125" i="54"/>
  <c r="J120" i="89"/>
  <c r="D41" i="13"/>
  <c r="E41" i="13" s="1"/>
  <c r="H40" i="13"/>
  <c r="G40" i="13"/>
  <c r="D45" i="62"/>
  <c r="E45" i="62" s="1"/>
  <c r="J126" i="45"/>
  <c r="G65" i="35"/>
  <c r="E66" i="35"/>
  <c r="F66" i="35" s="1"/>
  <c r="B66" i="35"/>
  <c r="H65" i="35"/>
  <c r="J126" i="56"/>
  <c r="J127" i="41"/>
  <c r="J128" i="22"/>
  <c r="D42" i="26"/>
  <c r="E42" i="26" s="1"/>
  <c r="E49" i="20"/>
  <c r="D49" i="20"/>
  <c r="D43" i="33"/>
  <c r="H44" i="62"/>
  <c r="B45" i="59"/>
  <c r="F45" i="59"/>
  <c r="B50" i="18"/>
  <c r="F50" i="18"/>
  <c r="G44" i="62"/>
  <c r="D42" i="87"/>
  <c r="E42" i="87"/>
  <c r="E129" i="73"/>
  <c r="D129" i="73"/>
  <c r="G128" i="73"/>
  <c r="F125" i="65"/>
  <c r="B125" i="65"/>
  <c r="I130" i="70"/>
  <c r="H130" i="70"/>
  <c r="F121" i="92"/>
  <c r="B121" i="92"/>
  <c r="B131" i="27"/>
  <c r="F131" i="27"/>
  <c r="G129" i="22"/>
  <c r="E130" i="22"/>
  <c r="D130" i="22"/>
  <c r="I121" i="85"/>
  <c r="H121" i="85"/>
  <c r="I126" i="74"/>
  <c r="H126" i="74"/>
  <c r="F121" i="84"/>
  <c r="B121" i="84"/>
  <c r="I128" i="19"/>
  <c r="H128" i="19"/>
  <c r="F126" i="53"/>
  <c r="B126" i="53"/>
  <c r="F126" i="46"/>
  <c r="B126" i="46"/>
  <c r="I120" i="88"/>
  <c r="H120" i="88"/>
  <c r="H123" i="68"/>
  <c r="I123" i="68"/>
  <c r="B121" i="90"/>
  <c r="F121" i="90"/>
  <c r="I128" i="34"/>
  <c r="H128" i="34"/>
  <c r="B130" i="32"/>
  <c r="F130" i="32"/>
  <c r="B126" i="72"/>
  <c r="F126" i="72"/>
  <c r="F131" i="30"/>
  <c r="B131" i="30"/>
  <c r="I122" i="79"/>
  <c r="H122" i="79"/>
  <c r="F125" i="60"/>
  <c r="B125" i="60"/>
  <c r="H130" i="69"/>
  <c r="I130" i="69"/>
  <c r="I124" i="63"/>
  <c r="H124" i="63"/>
  <c r="I122" i="78"/>
  <c r="H122" i="78"/>
  <c r="H124" i="65"/>
  <c r="I124" i="65"/>
  <c r="E122" i="89"/>
  <c r="G121" i="89"/>
  <c r="D122" i="89"/>
  <c r="F124" i="66"/>
  <c r="B124" i="66"/>
  <c r="F128" i="43"/>
  <c r="B128" i="43"/>
  <c r="J120" i="91"/>
  <c r="J124" i="62"/>
  <c r="I125" i="53"/>
  <c r="H125" i="53"/>
  <c r="H125" i="58"/>
  <c r="I125" i="58"/>
  <c r="F125" i="64"/>
  <c r="B125" i="64"/>
  <c r="H120" i="90"/>
  <c r="I120" i="90"/>
  <c r="H129" i="31"/>
  <c r="I129" i="31"/>
  <c r="I125" i="72"/>
  <c r="H125" i="72"/>
  <c r="H130" i="30"/>
  <c r="I130" i="30"/>
  <c r="B131" i="69"/>
  <c r="F131" i="69"/>
  <c r="B125" i="61"/>
  <c r="F125" i="61"/>
  <c r="G125" i="62"/>
  <c r="D126" i="62"/>
  <c r="E126" i="62"/>
  <c r="B128" i="39"/>
  <c r="F128" i="39"/>
  <c r="J121" i="81"/>
  <c r="B123" i="78"/>
  <c r="F123" i="78"/>
  <c r="I120" i="92"/>
  <c r="H120" i="92"/>
  <c r="F122" i="85"/>
  <c r="B122" i="85"/>
  <c r="F127" i="74"/>
  <c r="B127" i="74"/>
  <c r="D123" i="81"/>
  <c r="G122" i="81"/>
  <c r="E123" i="81"/>
  <c r="F129" i="19"/>
  <c r="B129" i="19"/>
  <c r="H125" i="46"/>
  <c r="I125" i="46"/>
  <c r="D122" i="91"/>
  <c r="E122" i="91"/>
  <c r="G121" i="91"/>
  <c r="F124" i="68"/>
  <c r="B124" i="68"/>
  <c r="B126" i="58"/>
  <c r="F126" i="58"/>
  <c r="H124" i="64"/>
  <c r="I124" i="64"/>
  <c r="B129" i="34"/>
  <c r="F129" i="34"/>
  <c r="H129" i="32"/>
  <c r="I129" i="32"/>
  <c r="H128" i="20"/>
  <c r="I128" i="20"/>
  <c r="H130" i="29"/>
  <c r="I130" i="29"/>
  <c r="I120" i="86"/>
  <c r="H120" i="86"/>
  <c r="F125" i="63"/>
  <c r="B125" i="63"/>
  <c r="J127" i="42"/>
  <c r="F131" i="70"/>
  <c r="B131" i="70"/>
  <c r="H123" i="66"/>
  <c r="I123" i="66"/>
  <c r="H130" i="27"/>
  <c r="I130" i="27"/>
  <c r="E129" i="41"/>
  <c r="D129" i="41"/>
  <c r="G128" i="41"/>
  <c r="H127" i="43"/>
  <c r="I127" i="43"/>
  <c r="I120" i="84"/>
  <c r="H120" i="84"/>
  <c r="B121" i="88"/>
  <c r="F121" i="88"/>
  <c r="B130" i="31"/>
  <c r="F130" i="31"/>
  <c r="F129" i="20"/>
  <c r="B129" i="20"/>
  <c r="B123" i="79"/>
  <c r="F123" i="79"/>
  <c r="I124" i="60"/>
  <c r="H124" i="60"/>
  <c r="J127" i="73"/>
  <c r="B131" i="29"/>
  <c r="F131" i="29"/>
  <c r="F121" i="86"/>
  <c r="B121" i="86"/>
  <c r="H124" i="61"/>
  <c r="I124" i="61"/>
  <c r="E128" i="45"/>
  <c r="G127" i="45"/>
  <c r="D128" i="45"/>
  <c r="H127" i="39"/>
  <c r="I127" i="39"/>
  <c r="J146" i="35"/>
  <c r="B126" i="59"/>
  <c r="F126" i="59"/>
  <c r="I129" i="18"/>
  <c r="H129" i="18"/>
  <c r="I130" i="23"/>
  <c r="H130" i="23"/>
  <c r="G127" i="56"/>
  <c r="D128" i="56"/>
  <c r="E128" i="56"/>
  <c r="B130" i="18"/>
  <c r="F130" i="18"/>
  <c r="F131" i="23"/>
  <c r="B131" i="23"/>
  <c r="J129" i="24"/>
  <c r="J122" i="76"/>
  <c r="I125" i="59"/>
  <c r="H125" i="59"/>
  <c r="J121" i="83"/>
  <c r="B127" i="57"/>
  <c r="F127" i="57"/>
  <c r="B131" i="71"/>
  <c r="F131" i="71"/>
  <c r="J119" i="13"/>
  <c r="I130" i="71"/>
  <c r="H130" i="71"/>
  <c r="H126" i="57"/>
  <c r="I126" i="57"/>
  <c r="G120" i="33"/>
  <c r="D121" i="33"/>
  <c r="E121" i="33" s="1"/>
  <c r="D122" i="93"/>
  <c r="G121" i="93"/>
  <c r="D127" i="55"/>
  <c r="G126" i="55"/>
  <c r="E127" i="55"/>
  <c r="B130" i="17"/>
  <c r="F130" i="17"/>
  <c r="I131" i="28"/>
  <c r="H131" i="28"/>
  <c r="H120" i="96"/>
  <c r="I120" i="96"/>
  <c r="H127" i="44"/>
  <c r="I127" i="44"/>
  <c r="B121" i="87"/>
  <c r="F121" i="87"/>
  <c r="I121" i="94"/>
  <c r="H121" i="94"/>
  <c r="E131" i="24"/>
  <c r="G130" i="24"/>
  <c r="D131" i="24"/>
  <c r="F132" i="28"/>
  <c r="B132" i="28"/>
  <c r="I121" i="82"/>
  <c r="H121" i="82"/>
  <c r="B124" i="67"/>
  <c r="F124" i="67"/>
  <c r="E123" i="80"/>
  <c r="D123" i="80"/>
  <c r="G122" i="80"/>
  <c r="H120" i="87"/>
  <c r="I120" i="87"/>
  <c r="I121" i="95"/>
  <c r="H121" i="95"/>
  <c r="J128" i="21"/>
  <c r="G128" i="42"/>
  <c r="D129" i="42"/>
  <c r="E129" i="42"/>
  <c r="E130" i="21"/>
  <c r="D130" i="21"/>
  <c r="G129" i="21"/>
  <c r="J125" i="55"/>
  <c r="D124" i="76"/>
  <c r="E124" i="76"/>
  <c r="G123" i="76"/>
  <c r="G120" i="13"/>
  <c r="D121" i="13"/>
  <c r="E121" i="13" s="1"/>
  <c r="E127" i="54"/>
  <c r="G126" i="54"/>
  <c r="D127" i="54"/>
  <c r="B121" i="96"/>
  <c r="H147" i="35"/>
  <c r="I147" i="35"/>
  <c r="B122" i="82"/>
  <c r="F122" i="82"/>
  <c r="G123" i="75"/>
  <c r="D124" i="75"/>
  <c r="E124" i="75"/>
  <c r="I123" i="67"/>
  <c r="H123" i="67"/>
  <c r="J120" i="93"/>
  <c r="B129" i="3"/>
  <c r="F129" i="3"/>
  <c r="J122" i="77"/>
  <c r="J121" i="80"/>
  <c r="H129" i="17"/>
  <c r="I129" i="17"/>
  <c r="E121" i="96"/>
  <c r="F121" i="96" s="1"/>
  <c r="G148" i="35"/>
  <c r="B149" i="35"/>
  <c r="E149" i="35"/>
  <c r="F149" i="35" s="1"/>
  <c r="E123" i="83"/>
  <c r="G122" i="83"/>
  <c r="D123" i="83"/>
  <c r="J119" i="33"/>
  <c r="F128" i="44"/>
  <c r="B128" i="44"/>
  <c r="D124" i="77"/>
  <c r="E124" i="77"/>
  <c r="G123" i="77"/>
  <c r="F122" i="94"/>
  <c r="B122" i="94"/>
  <c r="I128" i="3"/>
  <c r="H128" i="3"/>
  <c r="B122" i="95"/>
  <c r="F122" i="95"/>
  <c r="H50" i="100" l="1"/>
  <c r="D51" i="100"/>
  <c r="E51" i="100"/>
  <c r="E121" i="100"/>
  <c r="F121" i="100"/>
  <c r="B121" i="100"/>
  <c r="H120" i="100"/>
  <c r="I120" i="100"/>
  <c r="J120" i="100" s="1"/>
  <c r="I40" i="25"/>
  <c r="E41" i="25"/>
  <c r="F41" i="25" s="1"/>
  <c r="B41" i="25"/>
  <c r="G44" i="99"/>
  <c r="I48" i="97"/>
  <c r="E45" i="99"/>
  <c r="F45" i="99" s="1"/>
  <c r="B45" i="99"/>
  <c r="I43" i="99"/>
  <c r="D41" i="98"/>
  <c r="E41" i="98"/>
  <c r="H40" i="98"/>
  <c r="I40" i="98" s="1"/>
  <c r="H44" i="99"/>
  <c r="I44" i="99" s="1"/>
  <c r="E49" i="97"/>
  <c r="F49" i="97" s="1"/>
  <c r="D50" i="97" s="1"/>
  <c r="B49" i="97"/>
  <c r="E121" i="25"/>
  <c r="F121" i="25" s="1"/>
  <c r="B121" i="25"/>
  <c r="I120" i="25"/>
  <c r="H120" i="25"/>
  <c r="B121" i="99"/>
  <c r="F121" i="99"/>
  <c r="I120" i="99"/>
  <c r="H120" i="99"/>
  <c r="I49" i="3"/>
  <c r="J120" i="97"/>
  <c r="H121" i="26"/>
  <c r="I121" i="26"/>
  <c r="E122" i="26"/>
  <c r="F122" i="26" s="1"/>
  <c r="B122" i="26"/>
  <c r="J120" i="98"/>
  <c r="D122" i="98"/>
  <c r="G121" i="98"/>
  <c r="E122" i="98"/>
  <c r="G121" i="97"/>
  <c r="D122" i="97"/>
  <c r="E122" i="97"/>
  <c r="H41" i="92"/>
  <c r="I41" i="92" s="1"/>
  <c r="H42" i="91"/>
  <c r="I42" i="91" s="1"/>
  <c r="H45" i="67"/>
  <c r="I45" i="67" s="1"/>
  <c r="D46" i="67"/>
  <c r="E46" i="67"/>
  <c r="I44" i="65"/>
  <c r="G46" i="57"/>
  <c r="I46" i="57" s="1"/>
  <c r="H46" i="53"/>
  <c r="I46" i="53" s="1"/>
  <c r="G46" i="46"/>
  <c r="D47" i="46"/>
  <c r="E47" i="46" s="1"/>
  <c r="H46" i="46"/>
  <c r="E51" i="24"/>
  <c r="D51" i="24"/>
  <c r="H50" i="24"/>
  <c r="I50" i="24" s="1"/>
  <c r="G43" i="80"/>
  <c r="E44" i="80"/>
  <c r="D44" i="80"/>
  <c r="F43" i="86"/>
  <c r="B43" i="86"/>
  <c r="I48" i="42"/>
  <c r="H43" i="80"/>
  <c r="H40" i="93"/>
  <c r="I40" i="93" s="1"/>
  <c r="D41" i="93"/>
  <c r="E41" i="93"/>
  <c r="I42" i="86"/>
  <c r="H41" i="94"/>
  <c r="I41" i="94" s="1"/>
  <c r="D42" i="94"/>
  <c r="E42" i="94" s="1"/>
  <c r="B44" i="82"/>
  <c r="F44" i="82"/>
  <c r="H50" i="32"/>
  <c r="I50" i="32" s="1"/>
  <c r="G49" i="21"/>
  <c r="I49" i="21" s="1"/>
  <c r="G43" i="76"/>
  <c r="I43" i="76" s="1"/>
  <c r="G45" i="66"/>
  <c r="D46" i="66"/>
  <c r="E46" i="66" s="1"/>
  <c r="B45" i="65"/>
  <c r="F45" i="65"/>
  <c r="G45" i="65" s="1"/>
  <c r="F48" i="58"/>
  <c r="H48" i="58" s="1"/>
  <c r="B48" i="58"/>
  <c r="G41" i="89"/>
  <c r="I41" i="89" s="1"/>
  <c r="H40" i="96"/>
  <c r="I40" i="96" s="1"/>
  <c r="B48" i="55"/>
  <c r="F48" i="55"/>
  <c r="G48" i="55" s="1"/>
  <c r="G43" i="90"/>
  <c r="I43" i="90" s="1"/>
  <c r="D44" i="90"/>
  <c r="E44" i="90" s="1"/>
  <c r="D43" i="91"/>
  <c r="E43" i="91"/>
  <c r="G42" i="84"/>
  <c r="I42" i="84" s="1"/>
  <c r="D43" i="84"/>
  <c r="E43" i="84"/>
  <c r="G48" i="73"/>
  <c r="I48" i="73" s="1"/>
  <c r="F44" i="75"/>
  <c r="H44" i="75" s="1"/>
  <c r="B44" i="75"/>
  <c r="D47" i="53"/>
  <c r="E47" i="53"/>
  <c r="H51" i="23"/>
  <c r="D52" i="23"/>
  <c r="E52" i="23"/>
  <c r="B49" i="42"/>
  <c r="F49" i="42"/>
  <c r="G49" i="42" s="1"/>
  <c r="H45" i="66"/>
  <c r="I47" i="58"/>
  <c r="G51" i="23"/>
  <c r="G49" i="43"/>
  <c r="I49" i="43" s="1"/>
  <c r="G42" i="81"/>
  <c r="I42" i="81" s="1"/>
  <c r="B49" i="39"/>
  <c r="F49" i="39"/>
  <c r="H49" i="39" s="1"/>
  <c r="E46" i="61"/>
  <c r="D46" i="61"/>
  <c r="H48" i="44"/>
  <c r="I48" i="44" s="1"/>
  <c r="D49" i="44"/>
  <c r="E49" i="44" s="1"/>
  <c r="F47" i="72"/>
  <c r="B47" i="72"/>
  <c r="H49" i="22"/>
  <c r="D50" i="22"/>
  <c r="E50" i="22" s="1"/>
  <c r="H48" i="74"/>
  <c r="I48" i="74" s="1"/>
  <c r="H51" i="27"/>
  <c r="D52" i="27"/>
  <c r="E52" i="27" s="1"/>
  <c r="G51" i="27"/>
  <c r="E41" i="96"/>
  <c r="D41" i="96"/>
  <c r="D43" i="81"/>
  <c r="E43" i="81" s="1"/>
  <c r="H45" i="63"/>
  <c r="I45" i="63" s="1"/>
  <c r="B43" i="85"/>
  <c r="F43" i="85"/>
  <c r="H43" i="85" s="1"/>
  <c r="B41" i="95"/>
  <c r="F41" i="95"/>
  <c r="H41" i="95" s="1"/>
  <c r="E44" i="76"/>
  <c r="D44" i="76"/>
  <c r="H45" i="61"/>
  <c r="I45" i="61" s="1"/>
  <c r="G49" i="22"/>
  <c r="I51" i="31"/>
  <c r="H43" i="78"/>
  <c r="D44" i="78"/>
  <c r="E44" i="78" s="1"/>
  <c r="F46" i="64"/>
  <c r="G46" i="64" s="1"/>
  <c r="B46" i="64"/>
  <c r="F51" i="30"/>
  <c r="G51" i="30" s="1"/>
  <c r="B51" i="30"/>
  <c r="F51" i="34"/>
  <c r="G51" i="34" s="1"/>
  <c r="B51" i="34"/>
  <c r="I50" i="71"/>
  <c r="D46" i="60"/>
  <c r="E46" i="60" s="1"/>
  <c r="I41" i="83"/>
  <c r="D50" i="17"/>
  <c r="E50" i="17" s="1"/>
  <c r="F51" i="71"/>
  <c r="G51" i="71" s="1"/>
  <c r="B51" i="71"/>
  <c r="F50" i="3"/>
  <c r="G50" i="3" s="1"/>
  <c r="B50" i="3"/>
  <c r="H49" i="41"/>
  <c r="D50" i="41"/>
  <c r="E50" i="41" s="1"/>
  <c r="E52" i="70"/>
  <c r="D52" i="70"/>
  <c r="D44" i="79"/>
  <c r="E44" i="79"/>
  <c r="B42" i="83"/>
  <c r="F42" i="83"/>
  <c r="H42" i="83" s="1"/>
  <c r="D49" i="74"/>
  <c r="E49" i="74" s="1"/>
  <c r="E47" i="57"/>
  <c r="D47" i="57"/>
  <c r="B46" i="56"/>
  <c r="F46" i="56"/>
  <c r="G51" i="29"/>
  <c r="I51" i="29" s="1"/>
  <c r="D52" i="29"/>
  <c r="E52" i="29" s="1"/>
  <c r="D50" i="43"/>
  <c r="E50" i="43" s="1"/>
  <c r="I50" i="34"/>
  <c r="G49" i="17"/>
  <c r="D50" i="21"/>
  <c r="E50" i="21" s="1"/>
  <c r="H51" i="70"/>
  <c r="H43" i="79"/>
  <c r="B52" i="69"/>
  <c r="F52" i="69"/>
  <c r="G52" i="69" s="1"/>
  <c r="D51" i="32"/>
  <c r="E51" i="32" s="1"/>
  <c r="G46" i="54"/>
  <c r="I46" i="54" s="1"/>
  <c r="E47" i="54"/>
  <c r="D47" i="54"/>
  <c r="E42" i="89"/>
  <c r="D42" i="89"/>
  <c r="F43" i="88"/>
  <c r="B43" i="88"/>
  <c r="F50" i="19"/>
  <c r="G50" i="19" s="1"/>
  <c r="B50" i="19"/>
  <c r="F48" i="45"/>
  <c r="H48" i="45" s="1"/>
  <c r="B48" i="45"/>
  <c r="D42" i="92"/>
  <c r="E42" i="92"/>
  <c r="B53" i="28"/>
  <c r="F53" i="28"/>
  <c r="H53" i="28" s="1"/>
  <c r="H45" i="60"/>
  <c r="D49" i="73"/>
  <c r="E49" i="73" s="1"/>
  <c r="F52" i="31"/>
  <c r="H52" i="31" s="1"/>
  <c r="B52" i="31"/>
  <c r="D46" i="63"/>
  <c r="E46" i="63" s="1"/>
  <c r="G49" i="41"/>
  <c r="G51" i="70"/>
  <c r="G43" i="79"/>
  <c r="G43" i="77"/>
  <c r="I43" i="77" s="1"/>
  <c r="E44" i="77"/>
  <c r="D44" i="77"/>
  <c r="G43" i="78"/>
  <c r="G45" i="60"/>
  <c r="F45" i="68"/>
  <c r="H45" i="68" s="1"/>
  <c r="B45" i="68"/>
  <c r="H49" i="17"/>
  <c r="J130" i="69"/>
  <c r="J123" i="68"/>
  <c r="J120" i="84"/>
  <c r="J120" i="86"/>
  <c r="J125" i="53"/>
  <c r="J130" i="70"/>
  <c r="J130" i="71"/>
  <c r="J125" i="72"/>
  <c r="D51" i="18"/>
  <c r="E51" i="18"/>
  <c r="D46" i="59"/>
  <c r="E46" i="59" s="1"/>
  <c r="J130" i="23"/>
  <c r="J130" i="30"/>
  <c r="J129" i="31"/>
  <c r="J124" i="63"/>
  <c r="J121" i="85"/>
  <c r="G50" i="18"/>
  <c r="H45" i="59"/>
  <c r="I44" i="62"/>
  <c r="B43" i="33"/>
  <c r="B49" i="20"/>
  <c r="F49" i="20"/>
  <c r="H49" i="20" s="1"/>
  <c r="I65" i="35"/>
  <c r="F45" i="62"/>
  <c r="B45" i="62"/>
  <c r="I40" i="13"/>
  <c r="J123" i="66"/>
  <c r="F42" i="87"/>
  <c r="B42" i="87"/>
  <c r="E43" i="33"/>
  <c r="F43" i="33" s="1"/>
  <c r="F42" i="26"/>
  <c r="H42" i="26" s="1"/>
  <c r="B42" i="26"/>
  <c r="J127" i="39"/>
  <c r="J127" i="43"/>
  <c r="J130" i="29"/>
  <c r="J129" i="32"/>
  <c r="J124" i="64"/>
  <c r="H50" i="18"/>
  <c r="G45" i="59"/>
  <c r="H66" i="35"/>
  <c r="G66" i="35"/>
  <c r="B67" i="35"/>
  <c r="E67" i="35"/>
  <c r="F67" i="35" s="1"/>
  <c r="B41" i="13"/>
  <c r="F41" i="13"/>
  <c r="J125" i="59"/>
  <c r="J129" i="18"/>
  <c r="J124" i="61"/>
  <c r="E132" i="29"/>
  <c r="D132" i="29"/>
  <c r="G131" i="29"/>
  <c r="J124" i="60"/>
  <c r="D130" i="20"/>
  <c r="E130" i="20"/>
  <c r="G129" i="20"/>
  <c r="J130" i="27"/>
  <c r="E126" i="63"/>
  <c r="G125" i="63"/>
  <c r="D126" i="63"/>
  <c r="E125" i="68"/>
  <c r="D125" i="68"/>
  <c r="G124" i="68"/>
  <c r="J125" i="46"/>
  <c r="G127" i="74"/>
  <c r="D128" i="74"/>
  <c r="E128" i="74"/>
  <c r="J120" i="92"/>
  <c r="D129" i="39"/>
  <c r="E129" i="39"/>
  <c r="G128" i="39"/>
  <c r="H125" i="62"/>
  <c r="I125" i="62"/>
  <c r="E125" i="66"/>
  <c r="D125" i="66"/>
  <c r="G124" i="66"/>
  <c r="J124" i="65"/>
  <c r="E131" i="32"/>
  <c r="G130" i="32"/>
  <c r="D131" i="32"/>
  <c r="D122" i="90"/>
  <c r="G121" i="90"/>
  <c r="E122" i="90"/>
  <c r="H129" i="22"/>
  <c r="I129" i="22"/>
  <c r="E122" i="92"/>
  <c r="D122" i="92"/>
  <c r="G121" i="92"/>
  <c r="E126" i="65"/>
  <c r="D126" i="65"/>
  <c r="G125" i="65"/>
  <c r="J120" i="87"/>
  <c r="J126" i="57"/>
  <c r="B128" i="45"/>
  <c r="F128" i="45"/>
  <c r="E124" i="79"/>
  <c r="G123" i="79"/>
  <c r="D124" i="79"/>
  <c r="E131" i="31"/>
  <c r="D131" i="31"/>
  <c r="G130" i="31"/>
  <c r="H128" i="41"/>
  <c r="I128" i="41"/>
  <c r="E132" i="70"/>
  <c r="D132" i="70"/>
  <c r="G131" i="70"/>
  <c r="J128" i="20"/>
  <c r="E130" i="34"/>
  <c r="G129" i="34"/>
  <c r="D130" i="34"/>
  <c r="D127" i="58"/>
  <c r="E127" i="58"/>
  <c r="G126" i="58"/>
  <c r="I121" i="91"/>
  <c r="H121" i="91"/>
  <c r="I122" i="81"/>
  <c r="H122" i="81"/>
  <c r="D124" i="78"/>
  <c r="E124" i="78"/>
  <c r="G123" i="78"/>
  <c r="E126" i="61"/>
  <c r="G125" i="61"/>
  <c r="D126" i="61"/>
  <c r="B122" i="89"/>
  <c r="F122" i="89"/>
  <c r="E126" i="60"/>
  <c r="D126" i="60"/>
  <c r="G125" i="60"/>
  <c r="E132" i="30"/>
  <c r="G131" i="30"/>
  <c r="D132" i="30"/>
  <c r="J120" i="88"/>
  <c r="G126" i="53"/>
  <c r="E127" i="53"/>
  <c r="D127" i="53"/>
  <c r="D122" i="84"/>
  <c r="G121" i="84"/>
  <c r="E122" i="84"/>
  <c r="D132" i="27"/>
  <c r="G131" i="27"/>
  <c r="E132" i="27"/>
  <c r="I128" i="73"/>
  <c r="H128" i="73"/>
  <c r="I127" i="45"/>
  <c r="H127" i="45"/>
  <c r="B129" i="41"/>
  <c r="F129" i="41"/>
  <c r="F123" i="81"/>
  <c r="B123" i="81"/>
  <c r="G122" i="85"/>
  <c r="E123" i="85"/>
  <c r="D123" i="85"/>
  <c r="E126" i="64"/>
  <c r="G125" i="64"/>
  <c r="D126" i="64"/>
  <c r="E129" i="43"/>
  <c r="G128" i="43"/>
  <c r="D129" i="43"/>
  <c r="H121" i="89"/>
  <c r="I121" i="89"/>
  <c r="G126" i="72"/>
  <c r="E127" i="72"/>
  <c r="D127" i="72"/>
  <c r="F130" i="22"/>
  <c r="B130" i="22"/>
  <c r="B129" i="73"/>
  <c r="F129" i="73"/>
  <c r="D122" i="86"/>
  <c r="G121" i="86"/>
  <c r="E122" i="86"/>
  <c r="E122" i="88"/>
  <c r="G121" i="88"/>
  <c r="D122" i="88"/>
  <c r="B122" i="91"/>
  <c r="F122" i="91"/>
  <c r="D130" i="19"/>
  <c r="E130" i="19"/>
  <c r="G129" i="19"/>
  <c r="B126" i="62"/>
  <c r="F126" i="62"/>
  <c r="G131" i="69"/>
  <c r="D132" i="69"/>
  <c r="E132" i="69"/>
  <c r="J120" i="90"/>
  <c r="J125" i="58"/>
  <c r="J122" i="78"/>
  <c r="J122" i="79"/>
  <c r="J128" i="34"/>
  <c r="G126" i="46"/>
  <c r="E127" i="46"/>
  <c r="D127" i="46"/>
  <c r="J128" i="19"/>
  <c r="J126" i="74"/>
  <c r="E132" i="23"/>
  <c r="D132" i="23"/>
  <c r="G131" i="23"/>
  <c r="G130" i="18"/>
  <c r="E131" i="18"/>
  <c r="D131" i="18"/>
  <c r="F128" i="56"/>
  <c r="B128" i="56"/>
  <c r="G126" i="59"/>
  <c r="E127" i="59"/>
  <c r="D127" i="59"/>
  <c r="H127" i="56"/>
  <c r="I127" i="56"/>
  <c r="J147" i="35"/>
  <c r="D132" i="71"/>
  <c r="E132" i="71"/>
  <c r="G131" i="71"/>
  <c r="J131" i="28"/>
  <c r="J127" i="44"/>
  <c r="J120" i="96"/>
  <c r="E128" i="57"/>
  <c r="D128" i="57"/>
  <c r="G127" i="57"/>
  <c r="G121" i="96"/>
  <c r="D122" i="96"/>
  <c r="E122" i="96" s="1"/>
  <c r="F124" i="77"/>
  <c r="B124" i="77"/>
  <c r="F123" i="83"/>
  <c r="B123" i="83"/>
  <c r="G149" i="35"/>
  <c r="B150" i="35"/>
  <c r="E150" i="35"/>
  <c r="F150" i="35" s="1"/>
  <c r="J129" i="17"/>
  <c r="D123" i="82"/>
  <c r="G122" i="82"/>
  <c r="E123" i="82"/>
  <c r="H120" i="13"/>
  <c r="I120" i="13"/>
  <c r="B130" i="21"/>
  <c r="F130" i="21"/>
  <c r="I128" i="42"/>
  <c r="H128" i="42"/>
  <c r="J121" i="95"/>
  <c r="B123" i="80"/>
  <c r="F123" i="80"/>
  <c r="G132" i="28"/>
  <c r="D133" i="28"/>
  <c r="E133" i="28"/>
  <c r="E131" i="17"/>
  <c r="D131" i="17"/>
  <c r="G130" i="17"/>
  <c r="I126" i="55"/>
  <c r="H126" i="55"/>
  <c r="B122" i="93"/>
  <c r="D123" i="95"/>
  <c r="E123" i="95" s="1"/>
  <c r="G122" i="95"/>
  <c r="D123" i="94"/>
  <c r="E123" i="94" s="1"/>
  <c r="G122" i="94"/>
  <c r="H122" i="83"/>
  <c r="I122" i="83"/>
  <c r="D130" i="3"/>
  <c r="G129" i="3"/>
  <c r="E130" i="3"/>
  <c r="B124" i="75"/>
  <c r="F124" i="75"/>
  <c r="B127" i="54"/>
  <c r="F127" i="54"/>
  <c r="B124" i="76"/>
  <c r="F124" i="76"/>
  <c r="F131" i="24"/>
  <c r="B131" i="24"/>
  <c r="F127" i="55"/>
  <c r="B127" i="55"/>
  <c r="J128" i="3"/>
  <c r="H123" i="77"/>
  <c r="I123" i="77"/>
  <c r="D129" i="44"/>
  <c r="G128" i="44"/>
  <c r="E129" i="44"/>
  <c r="H148" i="35"/>
  <c r="I148" i="35"/>
  <c r="I123" i="75"/>
  <c r="H123" i="75"/>
  <c r="H126" i="54"/>
  <c r="I126" i="54"/>
  <c r="D125" i="67"/>
  <c r="G124" i="67"/>
  <c r="E125" i="67"/>
  <c r="J121" i="82"/>
  <c r="H130" i="24"/>
  <c r="I130" i="24"/>
  <c r="H121" i="93"/>
  <c r="I121" i="93"/>
  <c r="B121" i="33"/>
  <c r="F121" i="33"/>
  <c r="J123" i="67"/>
  <c r="B121" i="13"/>
  <c r="F121" i="13"/>
  <c r="H123" i="76"/>
  <c r="I123" i="76"/>
  <c r="I129" i="21"/>
  <c r="H129" i="21"/>
  <c r="F129" i="42"/>
  <c r="B129" i="42"/>
  <c r="I122" i="80"/>
  <c r="H122" i="80"/>
  <c r="J121" i="94"/>
  <c r="G121" i="87"/>
  <c r="D122" i="87"/>
  <c r="E122" i="87"/>
  <c r="E122" i="93"/>
  <c r="F122" i="93" s="1"/>
  <c r="I120" i="33"/>
  <c r="H120" i="33"/>
  <c r="I50" i="100" l="1"/>
  <c r="B51" i="100"/>
  <c r="F51" i="100"/>
  <c r="G51" i="100" s="1"/>
  <c r="H51" i="100"/>
  <c r="D122" i="100"/>
  <c r="G121" i="100"/>
  <c r="I49" i="41"/>
  <c r="G41" i="25"/>
  <c r="H41" i="25"/>
  <c r="D42" i="25"/>
  <c r="I49" i="22"/>
  <c r="D46" i="99"/>
  <c r="B46" i="99" s="1"/>
  <c r="G45" i="99"/>
  <c r="E50" i="97"/>
  <c r="F50" i="97" s="1"/>
  <c r="B50" i="97"/>
  <c r="H49" i="97"/>
  <c r="F41" i="98"/>
  <c r="B41" i="98"/>
  <c r="G49" i="97"/>
  <c r="E46" i="99"/>
  <c r="H45" i="99"/>
  <c r="D122" i="25"/>
  <c r="G121" i="25"/>
  <c r="J120" i="25"/>
  <c r="J120" i="99"/>
  <c r="G121" i="99"/>
  <c r="D122" i="99"/>
  <c r="E122" i="99"/>
  <c r="I46" i="46"/>
  <c r="J121" i="26"/>
  <c r="I49" i="17"/>
  <c r="D123" i="26"/>
  <c r="G122" i="26"/>
  <c r="H121" i="98"/>
  <c r="I121" i="98"/>
  <c r="B122" i="97"/>
  <c r="F122" i="97"/>
  <c r="F122" i="98"/>
  <c r="B122" i="98"/>
  <c r="H121" i="97"/>
  <c r="I121" i="97"/>
  <c r="I43" i="80"/>
  <c r="F46" i="67"/>
  <c r="H46" i="67" s="1"/>
  <c r="B46" i="67"/>
  <c r="I45" i="66"/>
  <c r="B47" i="46"/>
  <c r="F47" i="46"/>
  <c r="H47" i="46" s="1"/>
  <c r="H51" i="30"/>
  <c r="I51" i="30" s="1"/>
  <c r="F51" i="24"/>
  <c r="G51" i="24" s="1"/>
  <c r="B51" i="24"/>
  <c r="I45" i="60"/>
  <c r="H48" i="55"/>
  <c r="I48" i="55" s="1"/>
  <c r="D45" i="82"/>
  <c r="E45" i="82" s="1"/>
  <c r="H43" i="86"/>
  <c r="D44" i="86"/>
  <c r="E44" i="86" s="1"/>
  <c r="B44" i="80"/>
  <c r="F44" i="80"/>
  <c r="G44" i="80" s="1"/>
  <c r="H46" i="64"/>
  <c r="I46" i="64" s="1"/>
  <c r="G43" i="86"/>
  <c r="G44" i="82"/>
  <c r="F42" i="94"/>
  <c r="B42" i="94"/>
  <c r="H44" i="82"/>
  <c r="F41" i="93"/>
  <c r="B41" i="93"/>
  <c r="H49" i="42"/>
  <c r="I49" i="42" s="1"/>
  <c r="F52" i="23"/>
  <c r="B52" i="23"/>
  <c r="G44" i="75"/>
  <c r="I44" i="75" s="1"/>
  <c r="G48" i="58"/>
  <c r="I48" i="58" s="1"/>
  <c r="E49" i="58"/>
  <c r="D49" i="58"/>
  <c r="I51" i="23"/>
  <c r="F43" i="91"/>
  <c r="B43" i="91"/>
  <c r="F46" i="66"/>
  <c r="G46" i="66" s="1"/>
  <c r="B46" i="66"/>
  <c r="F43" i="84"/>
  <c r="G43" i="84" s="1"/>
  <c r="B43" i="84"/>
  <c r="D49" i="55"/>
  <c r="E49" i="55" s="1"/>
  <c r="D50" i="42"/>
  <c r="E50" i="42"/>
  <c r="B47" i="53"/>
  <c r="F47" i="53"/>
  <c r="D45" i="75"/>
  <c r="E45" i="75"/>
  <c r="B44" i="90"/>
  <c r="F44" i="90"/>
  <c r="H44" i="90" s="1"/>
  <c r="H45" i="65"/>
  <c r="I45" i="65" s="1"/>
  <c r="D46" i="65"/>
  <c r="E46" i="65" s="1"/>
  <c r="G48" i="45"/>
  <c r="I48" i="45" s="1"/>
  <c r="B44" i="76"/>
  <c r="F44" i="76"/>
  <c r="H44" i="76" s="1"/>
  <c r="I51" i="27"/>
  <c r="D48" i="72"/>
  <c r="E48" i="72" s="1"/>
  <c r="B46" i="61"/>
  <c r="F46" i="61"/>
  <c r="G46" i="61" s="1"/>
  <c r="G49" i="39"/>
  <c r="I49" i="39" s="1"/>
  <c r="D50" i="39"/>
  <c r="E50" i="39"/>
  <c r="H47" i="72"/>
  <c r="B49" i="44"/>
  <c r="F49" i="44"/>
  <c r="H49" i="44" s="1"/>
  <c r="D44" i="85"/>
  <c r="E44" i="85" s="1"/>
  <c r="B50" i="22"/>
  <c r="F50" i="22"/>
  <c r="G50" i="22" s="1"/>
  <c r="G41" i="95"/>
  <c r="I41" i="95" s="1"/>
  <c r="D42" i="95"/>
  <c r="E42" i="95" s="1"/>
  <c r="G43" i="85"/>
  <c r="I43" i="85" s="1"/>
  <c r="F43" i="81"/>
  <c r="B43" i="81"/>
  <c r="F41" i="96"/>
  <c r="B41" i="96"/>
  <c r="F52" i="27"/>
  <c r="B52" i="27"/>
  <c r="G47" i="72"/>
  <c r="I50" i="18"/>
  <c r="I43" i="78"/>
  <c r="G45" i="68"/>
  <c r="I45" i="68" s="1"/>
  <c r="D46" i="68"/>
  <c r="E46" i="68"/>
  <c r="B46" i="63"/>
  <c r="F46" i="63"/>
  <c r="G46" i="63" s="1"/>
  <c r="G52" i="31"/>
  <c r="I52" i="31" s="1"/>
  <c r="D53" i="31"/>
  <c r="E53" i="31" s="1"/>
  <c r="B42" i="92"/>
  <c r="F42" i="92"/>
  <c r="D51" i="19"/>
  <c r="E51" i="19" s="1"/>
  <c r="D44" i="88"/>
  <c r="E44" i="88" s="1"/>
  <c r="B51" i="32"/>
  <c r="F51" i="32"/>
  <c r="H51" i="32" s="1"/>
  <c r="H52" i="69"/>
  <c r="I52" i="69" s="1"/>
  <c r="I43" i="79"/>
  <c r="B52" i="29"/>
  <c r="F52" i="29"/>
  <c r="H52" i="29" s="1"/>
  <c r="G46" i="56"/>
  <c r="D47" i="56"/>
  <c r="E47" i="56" s="1"/>
  <c r="B49" i="74"/>
  <c r="F49" i="74"/>
  <c r="F44" i="79"/>
  <c r="G44" i="79" s="1"/>
  <c r="B44" i="79"/>
  <c r="B44" i="78"/>
  <c r="F44" i="78"/>
  <c r="G44" i="78" s="1"/>
  <c r="G42" i="26"/>
  <c r="I42" i="26" s="1"/>
  <c r="B49" i="73"/>
  <c r="F49" i="73"/>
  <c r="H49" i="73" s="1"/>
  <c r="G53" i="28"/>
  <c r="I53" i="28" s="1"/>
  <c r="D54" i="28"/>
  <c r="E54" i="28"/>
  <c r="H43" i="88"/>
  <c r="B42" i="89"/>
  <c r="F42" i="89"/>
  <c r="I51" i="70"/>
  <c r="B50" i="43"/>
  <c r="F50" i="43"/>
  <c r="D43" i="83"/>
  <c r="E43" i="83" s="1"/>
  <c r="B52" i="70"/>
  <c r="F52" i="70"/>
  <c r="D51" i="3"/>
  <c r="E51" i="3" s="1"/>
  <c r="D52" i="71"/>
  <c r="E52" i="71" s="1"/>
  <c r="D47" i="64"/>
  <c r="E47" i="64" s="1"/>
  <c r="F44" i="77"/>
  <c r="G44" i="77" s="1"/>
  <c r="B44" i="77"/>
  <c r="D53" i="69"/>
  <c r="E53" i="69" s="1"/>
  <c r="F50" i="21"/>
  <c r="B50" i="21"/>
  <c r="F47" i="57"/>
  <c r="H47" i="57" s="1"/>
  <c r="B47" i="57"/>
  <c r="C59" i="17"/>
  <c r="F50" i="17"/>
  <c r="H50" i="17" s="1"/>
  <c r="B50" i="17"/>
  <c r="B46" i="60"/>
  <c r="F46" i="60"/>
  <c r="G46" i="60" s="1"/>
  <c r="I45" i="59"/>
  <c r="E49" i="45"/>
  <c r="D49" i="45"/>
  <c r="H50" i="19"/>
  <c r="I50" i="19" s="1"/>
  <c r="G43" i="88"/>
  <c r="F47" i="54"/>
  <c r="B47" i="54"/>
  <c r="H46" i="56"/>
  <c r="G42" i="83"/>
  <c r="I42" i="83" s="1"/>
  <c r="F50" i="41"/>
  <c r="G50" i="41" s="1"/>
  <c r="B50" i="41"/>
  <c r="H50" i="3"/>
  <c r="I50" i="3" s="1"/>
  <c r="H51" i="71"/>
  <c r="I51" i="71" s="1"/>
  <c r="H51" i="34"/>
  <c r="I51" i="34" s="1"/>
  <c r="E52" i="34"/>
  <c r="D52" i="34"/>
  <c r="D52" i="30"/>
  <c r="E52" i="30"/>
  <c r="J129" i="22"/>
  <c r="J121" i="91"/>
  <c r="J125" i="62"/>
  <c r="D44" i="33"/>
  <c r="G43" i="33"/>
  <c r="H43" i="33"/>
  <c r="D42" i="13"/>
  <c r="E42" i="13" s="1"/>
  <c r="G67" i="35"/>
  <c r="B68" i="35"/>
  <c r="E68" i="35"/>
  <c r="F68" i="35" s="1"/>
  <c r="H67" i="35"/>
  <c r="E43" i="87"/>
  <c r="D43" i="87"/>
  <c r="B46" i="59"/>
  <c r="F46" i="59"/>
  <c r="G46" i="59" s="1"/>
  <c r="J127" i="45"/>
  <c r="H42" i="87"/>
  <c r="D46" i="62"/>
  <c r="E46" i="62"/>
  <c r="D50" i="20"/>
  <c r="E50" i="20" s="1"/>
  <c r="G41" i="13"/>
  <c r="G42" i="87"/>
  <c r="G45" i="62"/>
  <c r="B51" i="18"/>
  <c r="F51" i="18"/>
  <c r="G51" i="18" s="1"/>
  <c r="J127" i="56"/>
  <c r="J128" i="73"/>
  <c r="H41" i="13"/>
  <c r="I66" i="35"/>
  <c r="D43" i="26"/>
  <c r="E43" i="26" s="1"/>
  <c r="H45" i="62"/>
  <c r="G49" i="20"/>
  <c r="I49" i="20" s="1"/>
  <c r="F132" i="69"/>
  <c r="B132" i="69"/>
  <c r="H129" i="19"/>
  <c r="I129" i="19"/>
  <c r="F129" i="43"/>
  <c r="B129" i="43"/>
  <c r="H125" i="64"/>
  <c r="I125" i="64"/>
  <c r="I122" i="85"/>
  <c r="H122" i="85"/>
  <c r="H131" i="30"/>
  <c r="I131" i="30"/>
  <c r="I125" i="61"/>
  <c r="H125" i="61"/>
  <c r="F124" i="78"/>
  <c r="B124" i="78"/>
  <c r="B130" i="34"/>
  <c r="F130" i="34"/>
  <c r="H131" i="70"/>
  <c r="I131" i="70"/>
  <c r="F124" i="79"/>
  <c r="B124" i="79"/>
  <c r="B126" i="65"/>
  <c r="F126" i="65"/>
  <c r="H121" i="90"/>
  <c r="I121" i="90"/>
  <c r="B128" i="74"/>
  <c r="F128" i="74"/>
  <c r="B125" i="68"/>
  <c r="F125" i="68"/>
  <c r="F130" i="20"/>
  <c r="B130" i="20"/>
  <c r="H126" i="46"/>
  <c r="I126" i="46"/>
  <c r="H131" i="69"/>
  <c r="I131" i="69"/>
  <c r="B122" i="88"/>
  <c r="F122" i="88"/>
  <c r="H121" i="86"/>
  <c r="I121" i="86"/>
  <c r="H126" i="72"/>
  <c r="I126" i="72"/>
  <c r="H128" i="43"/>
  <c r="I128" i="43"/>
  <c r="I121" i="84"/>
  <c r="H121" i="84"/>
  <c r="H126" i="53"/>
  <c r="I126" i="53"/>
  <c r="G122" i="89"/>
  <c r="E123" i="89"/>
  <c r="D123" i="89"/>
  <c r="H126" i="58"/>
  <c r="I126" i="58"/>
  <c r="I129" i="34"/>
  <c r="H129" i="34"/>
  <c r="F132" i="70"/>
  <c r="B132" i="70"/>
  <c r="I130" i="31"/>
  <c r="H130" i="31"/>
  <c r="I123" i="79"/>
  <c r="H123" i="79"/>
  <c r="F122" i="90"/>
  <c r="B122" i="90"/>
  <c r="F129" i="39"/>
  <c r="B129" i="39"/>
  <c r="H127" i="74"/>
  <c r="I127" i="74"/>
  <c r="J120" i="13"/>
  <c r="G126" i="62"/>
  <c r="D127" i="62"/>
  <c r="E127" i="62"/>
  <c r="F130" i="19"/>
  <c r="B130" i="19"/>
  <c r="H121" i="88"/>
  <c r="I121" i="88"/>
  <c r="F122" i="86"/>
  <c r="B122" i="86"/>
  <c r="E131" i="22"/>
  <c r="G130" i="22"/>
  <c r="D131" i="22"/>
  <c r="J121" i="89"/>
  <c r="F123" i="85"/>
  <c r="B123" i="85"/>
  <c r="G123" i="81"/>
  <c r="D124" i="81"/>
  <c r="E124" i="81"/>
  <c r="I131" i="27"/>
  <c r="H131" i="27"/>
  <c r="F122" i="84"/>
  <c r="B122" i="84"/>
  <c r="I125" i="60"/>
  <c r="H125" i="60"/>
  <c r="H123" i="78"/>
  <c r="I123" i="78"/>
  <c r="J122" i="81"/>
  <c r="F131" i="31"/>
  <c r="B131" i="31"/>
  <c r="I121" i="92"/>
  <c r="H121" i="92"/>
  <c r="B131" i="32"/>
  <c r="F131" i="32"/>
  <c r="I124" i="66"/>
  <c r="H124" i="66"/>
  <c r="F126" i="63"/>
  <c r="B126" i="63"/>
  <c r="H129" i="20"/>
  <c r="I129" i="20"/>
  <c r="I131" i="29"/>
  <c r="H131" i="29"/>
  <c r="B127" i="46"/>
  <c r="F127" i="46"/>
  <c r="D123" i="91"/>
  <c r="G122" i="91"/>
  <c r="E123" i="91"/>
  <c r="D130" i="73"/>
  <c r="G129" i="73"/>
  <c r="E130" i="73"/>
  <c r="F127" i="72"/>
  <c r="B127" i="72"/>
  <c r="B126" i="64"/>
  <c r="F126" i="64"/>
  <c r="D130" i="41"/>
  <c r="G129" i="41"/>
  <c r="E130" i="41"/>
  <c r="F132" i="27"/>
  <c r="B132" i="27"/>
  <c r="F127" i="53"/>
  <c r="B127" i="53"/>
  <c r="F132" i="30"/>
  <c r="B132" i="30"/>
  <c r="F126" i="60"/>
  <c r="B126" i="60"/>
  <c r="B126" i="61"/>
  <c r="F126" i="61"/>
  <c r="B127" i="58"/>
  <c r="F127" i="58"/>
  <c r="J128" i="41"/>
  <c r="E129" i="45"/>
  <c r="D129" i="45"/>
  <c r="G128" i="45"/>
  <c r="H125" i="65"/>
  <c r="I125" i="65"/>
  <c r="B122" i="92"/>
  <c r="F122" i="92"/>
  <c r="H130" i="32"/>
  <c r="I130" i="32"/>
  <c r="F125" i="66"/>
  <c r="B125" i="66"/>
  <c r="H128" i="39"/>
  <c r="I128" i="39"/>
  <c r="I124" i="68"/>
  <c r="H124" i="68"/>
  <c r="I125" i="63"/>
  <c r="H125" i="63"/>
  <c r="F132" i="29"/>
  <c r="B132" i="29"/>
  <c r="I126" i="59"/>
  <c r="H126" i="59"/>
  <c r="H131" i="23"/>
  <c r="I131" i="23"/>
  <c r="F131" i="18"/>
  <c r="B131" i="18"/>
  <c r="F132" i="23"/>
  <c r="B132" i="23"/>
  <c r="J122" i="83"/>
  <c r="J126" i="55"/>
  <c r="B127" i="59"/>
  <c r="F127" i="59"/>
  <c r="E129" i="56"/>
  <c r="D129" i="56"/>
  <c r="G128" i="56"/>
  <c r="I130" i="18"/>
  <c r="H130" i="18"/>
  <c r="F128" i="57"/>
  <c r="B128" i="57"/>
  <c r="F132" i="71"/>
  <c r="B132" i="71"/>
  <c r="J129" i="21"/>
  <c r="J121" i="93"/>
  <c r="H127" i="57"/>
  <c r="I127" i="57"/>
  <c r="I131" i="71"/>
  <c r="H131" i="71"/>
  <c r="G122" i="93"/>
  <c r="D123" i="93"/>
  <c r="J120" i="33"/>
  <c r="I121" i="87"/>
  <c r="H121" i="87"/>
  <c r="J122" i="80"/>
  <c r="E130" i="42"/>
  <c r="D130" i="42"/>
  <c r="G129" i="42"/>
  <c r="J123" i="76"/>
  <c r="G121" i="33"/>
  <c r="D122" i="33"/>
  <c r="E122" i="33" s="1"/>
  <c r="H124" i="67"/>
  <c r="I124" i="67"/>
  <c r="J123" i="75"/>
  <c r="J123" i="77"/>
  <c r="G127" i="55"/>
  <c r="E128" i="55"/>
  <c r="D128" i="55"/>
  <c r="D125" i="75"/>
  <c r="E125" i="75"/>
  <c r="G124" i="75"/>
  <c r="H129" i="3"/>
  <c r="I129" i="3"/>
  <c r="B123" i="94"/>
  <c r="F123" i="94"/>
  <c r="I122" i="95"/>
  <c r="H122" i="95"/>
  <c r="H132" i="28"/>
  <c r="I132" i="28"/>
  <c r="D131" i="21"/>
  <c r="E131" i="21"/>
  <c r="G130" i="21"/>
  <c r="H149" i="35"/>
  <c r="I149" i="35"/>
  <c r="E124" i="83"/>
  <c r="G123" i="83"/>
  <c r="D124" i="83"/>
  <c r="B125" i="67"/>
  <c r="F125" i="67"/>
  <c r="J126" i="54"/>
  <c r="J148" i="35"/>
  <c r="F130" i="3"/>
  <c r="B130" i="3"/>
  <c r="F123" i="95"/>
  <c r="B123" i="95"/>
  <c r="I122" i="82"/>
  <c r="H122" i="82"/>
  <c r="D122" i="13"/>
  <c r="E122" i="13" s="1"/>
  <c r="G121" i="13"/>
  <c r="J130" i="24"/>
  <c r="I128" i="44"/>
  <c r="H128" i="44"/>
  <c r="G124" i="76"/>
  <c r="E125" i="76"/>
  <c r="D125" i="76"/>
  <c r="E128" i="54"/>
  <c r="G127" i="54"/>
  <c r="D128" i="54"/>
  <c r="H122" i="94"/>
  <c r="I122" i="94"/>
  <c r="I130" i="17"/>
  <c r="H130" i="17"/>
  <c r="B123" i="82"/>
  <c r="F123" i="82"/>
  <c r="G150" i="35"/>
  <c r="B151" i="35"/>
  <c r="E151" i="35"/>
  <c r="F151" i="35" s="1"/>
  <c r="E125" i="77"/>
  <c r="G124" i="77"/>
  <c r="D125" i="77"/>
  <c r="B122" i="96"/>
  <c r="F122" i="96"/>
  <c r="F122" i="87"/>
  <c r="B122" i="87"/>
  <c r="B129" i="44"/>
  <c r="F129" i="44"/>
  <c r="E132" i="24"/>
  <c r="D132" i="24"/>
  <c r="G131" i="24"/>
  <c r="B131" i="17"/>
  <c r="F131" i="17"/>
  <c r="F133" i="28"/>
  <c r="B133" i="28"/>
  <c r="D124" i="80"/>
  <c r="E124" i="80"/>
  <c r="G123" i="80"/>
  <c r="J128" i="42"/>
  <c r="I121" i="96"/>
  <c r="H121" i="96"/>
  <c r="I51" i="100" l="1"/>
  <c r="D52" i="100"/>
  <c r="E52" i="100"/>
  <c r="I41" i="25"/>
  <c r="I121" i="100"/>
  <c r="H121" i="100"/>
  <c r="E122" i="100"/>
  <c r="B122" i="100"/>
  <c r="F122" i="100"/>
  <c r="E42" i="25"/>
  <c r="F42" i="25" s="1"/>
  <c r="B42" i="25"/>
  <c r="I45" i="99"/>
  <c r="F46" i="99"/>
  <c r="H46" i="99" s="1"/>
  <c r="D51" i="97"/>
  <c r="B51" i="97" s="1"/>
  <c r="G50" i="97"/>
  <c r="G47" i="46"/>
  <c r="I47" i="46" s="1"/>
  <c r="H51" i="24"/>
  <c r="I51" i="24" s="1"/>
  <c r="D42" i="98"/>
  <c r="E42" i="98"/>
  <c r="H41" i="98"/>
  <c r="I49" i="97"/>
  <c r="E51" i="97"/>
  <c r="G41" i="98"/>
  <c r="H50" i="97"/>
  <c r="I121" i="25"/>
  <c r="H121" i="25"/>
  <c r="E122" i="25"/>
  <c r="F122" i="25" s="1"/>
  <c r="B122" i="25"/>
  <c r="F122" i="99"/>
  <c r="B122" i="99"/>
  <c r="H121" i="99"/>
  <c r="I121" i="99"/>
  <c r="J121" i="98"/>
  <c r="I46" i="56"/>
  <c r="J121" i="97"/>
  <c r="G122" i="97"/>
  <c r="D123" i="97"/>
  <c r="E123" i="97"/>
  <c r="I122" i="26"/>
  <c r="H122" i="26"/>
  <c r="D123" i="98"/>
  <c r="G122" i="98"/>
  <c r="E123" i="98"/>
  <c r="E123" i="26"/>
  <c r="F123" i="26" s="1"/>
  <c r="B123" i="26"/>
  <c r="I44" i="82"/>
  <c r="H43" i="84"/>
  <c r="I43" i="84" s="1"/>
  <c r="H44" i="80"/>
  <c r="I44" i="80" s="1"/>
  <c r="G46" i="67"/>
  <c r="I46" i="67" s="1"/>
  <c r="D47" i="67"/>
  <c r="E47" i="67" s="1"/>
  <c r="H46" i="59"/>
  <c r="I46" i="59" s="1"/>
  <c r="D48" i="46"/>
  <c r="E48" i="46" s="1"/>
  <c r="D52" i="24"/>
  <c r="E52" i="24" s="1"/>
  <c r="E42" i="93"/>
  <c r="D42" i="93"/>
  <c r="H42" i="94"/>
  <c r="D43" i="94"/>
  <c r="E43" i="94"/>
  <c r="B44" i="86"/>
  <c r="F44" i="86"/>
  <c r="H44" i="86" s="1"/>
  <c r="H41" i="93"/>
  <c r="G41" i="93"/>
  <c r="G42" i="94"/>
  <c r="D45" i="80"/>
  <c r="E45" i="80" s="1"/>
  <c r="I43" i="86"/>
  <c r="B45" i="82"/>
  <c r="F45" i="82"/>
  <c r="G45" i="82" s="1"/>
  <c r="B46" i="65"/>
  <c r="F46" i="65"/>
  <c r="H46" i="65" s="1"/>
  <c r="G47" i="53"/>
  <c r="D48" i="53"/>
  <c r="E48" i="53" s="1"/>
  <c r="F50" i="42"/>
  <c r="H50" i="42" s="1"/>
  <c r="B50" i="42"/>
  <c r="B49" i="55"/>
  <c r="F49" i="55"/>
  <c r="H49" i="55" s="1"/>
  <c r="H43" i="91"/>
  <c r="D44" i="91"/>
  <c r="E44" i="91" s="1"/>
  <c r="G43" i="91"/>
  <c r="F49" i="58"/>
  <c r="H49" i="58" s="1"/>
  <c r="B49" i="58"/>
  <c r="F45" i="75"/>
  <c r="G45" i="75" s="1"/>
  <c r="B45" i="75"/>
  <c r="D44" i="84"/>
  <c r="E44" i="84"/>
  <c r="H46" i="66"/>
  <c r="I46" i="66" s="1"/>
  <c r="D47" i="66"/>
  <c r="E47" i="66" s="1"/>
  <c r="H52" i="23"/>
  <c r="G52" i="23"/>
  <c r="D53" i="23"/>
  <c r="E53" i="23"/>
  <c r="H44" i="77"/>
  <c r="I44" i="77" s="1"/>
  <c r="G44" i="90"/>
  <c r="I44" i="90" s="1"/>
  <c r="D45" i="90"/>
  <c r="E45" i="90" s="1"/>
  <c r="H47" i="53"/>
  <c r="H52" i="27"/>
  <c r="D53" i="27"/>
  <c r="G52" i="27"/>
  <c r="E53" i="27"/>
  <c r="D42" i="96"/>
  <c r="E42" i="96"/>
  <c r="F44" i="85"/>
  <c r="H44" i="85" s="1"/>
  <c r="B44" i="85"/>
  <c r="H41" i="96"/>
  <c r="H43" i="81"/>
  <c r="D44" i="81"/>
  <c r="E44" i="81" s="1"/>
  <c r="H50" i="22"/>
  <c r="I50" i="22" s="1"/>
  <c r="D51" i="22"/>
  <c r="E51" i="22" s="1"/>
  <c r="G49" i="44"/>
  <c r="I49" i="44" s="1"/>
  <c r="E50" i="44"/>
  <c r="D50" i="44"/>
  <c r="B50" i="39"/>
  <c r="F50" i="39"/>
  <c r="G50" i="39" s="1"/>
  <c r="E47" i="61"/>
  <c r="D47" i="61"/>
  <c r="G51" i="32"/>
  <c r="I51" i="32" s="1"/>
  <c r="F42" i="95"/>
  <c r="H42" i="95" s="1"/>
  <c r="B42" i="95"/>
  <c r="I45" i="62"/>
  <c r="H44" i="78"/>
  <c r="I44" i="78" s="1"/>
  <c r="H46" i="63"/>
  <c r="I46" i="63" s="1"/>
  <c r="G41" i="96"/>
  <c r="G43" i="81"/>
  <c r="I47" i="72"/>
  <c r="H46" i="61"/>
  <c r="I46" i="61" s="1"/>
  <c r="F48" i="72"/>
  <c r="H48" i="72" s="1"/>
  <c r="B48" i="72"/>
  <c r="G44" i="76"/>
  <c r="I44" i="76" s="1"/>
  <c r="D45" i="76"/>
  <c r="E45" i="76" s="1"/>
  <c r="I67" i="35"/>
  <c r="B52" i="34"/>
  <c r="F52" i="34"/>
  <c r="H47" i="54"/>
  <c r="D48" i="54"/>
  <c r="E48" i="54" s="1"/>
  <c r="G50" i="21"/>
  <c r="D51" i="21"/>
  <c r="E51" i="21" s="1"/>
  <c r="G52" i="70"/>
  <c r="D53" i="70"/>
  <c r="E53" i="70"/>
  <c r="D51" i="43"/>
  <c r="E51" i="43"/>
  <c r="D43" i="89"/>
  <c r="E43" i="89" s="1"/>
  <c r="G49" i="74"/>
  <c r="D50" i="74"/>
  <c r="E50" i="74" s="1"/>
  <c r="F44" i="88"/>
  <c r="G44" i="88" s="1"/>
  <c r="B44" i="88"/>
  <c r="G42" i="92"/>
  <c r="D43" i="92"/>
  <c r="E43" i="92" s="1"/>
  <c r="B53" i="31"/>
  <c r="F53" i="31"/>
  <c r="H53" i="31" s="1"/>
  <c r="D51" i="17"/>
  <c r="E51" i="17"/>
  <c r="D48" i="57"/>
  <c r="E48" i="57" s="1"/>
  <c r="F47" i="64"/>
  <c r="G47" i="64" s="1"/>
  <c r="B47" i="64"/>
  <c r="F54" i="28"/>
  <c r="H54" i="28" s="1"/>
  <c r="B54" i="28"/>
  <c r="D50" i="73"/>
  <c r="E50" i="73"/>
  <c r="B51" i="19"/>
  <c r="F51" i="19"/>
  <c r="H51" i="19" s="1"/>
  <c r="F46" i="68"/>
  <c r="H46" i="68" s="1"/>
  <c r="B46" i="68"/>
  <c r="I43" i="33"/>
  <c r="H50" i="41"/>
  <c r="I50" i="41" s="1"/>
  <c r="D51" i="41"/>
  <c r="E51" i="41"/>
  <c r="G47" i="54"/>
  <c r="G50" i="17"/>
  <c r="I50" i="17" s="1"/>
  <c r="G47" i="57"/>
  <c r="I47" i="57" s="1"/>
  <c r="H50" i="21"/>
  <c r="B53" i="69"/>
  <c r="F53" i="69"/>
  <c r="H53" i="69" s="1"/>
  <c r="F51" i="3"/>
  <c r="G51" i="3" s="1"/>
  <c r="B51" i="3"/>
  <c r="F43" i="83"/>
  <c r="H43" i="83" s="1"/>
  <c r="B43" i="83"/>
  <c r="G50" i="43"/>
  <c r="G42" i="89"/>
  <c r="I43" i="88"/>
  <c r="H44" i="79"/>
  <c r="I44" i="79" s="1"/>
  <c r="D45" i="79"/>
  <c r="E45" i="79"/>
  <c r="D47" i="63"/>
  <c r="E47" i="63" s="1"/>
  <c r="F52" i="30"/>
  <c r="G52" i="30" s="1"/>
  <c r="B52" i="30"/>
  <c r="F49" i="45"/>
  <c r="B49" i="45"/>
  <c r="H46" i="60"/>
  <c r="I46" i="60" s="1"/>
  <c r="E47" i="60"/>
  <c r="D47" i="60"/>
  <c r="D45" i="77"/>
  <c r="E45" i="77"/>
  <c r="F52" i="71"/>
  <c r="H52" i="71" s="1"/>
  <c r="B52" i="71"/>
  <c r="H52" i="70"/>
  <c r="H50" i="43"/>
  <c r="H42" i="89"/>
  <c r="G49" i="73"/>
  <c r="I49" i="73" s="1"/>
  <c r="D45" i="78"/>
  <c r="E45" i="78" s="1"/>
  <c r="H49" i="74"/>
  <c r="F47" i="56"/>
  <c r="H47" i="56" s="1"/>
  <c r="B47" i="56"/>
  <c r="G52" i="29"/>
  <c r="I52" i="29" s="1"/>
  <c r="E53" i="29"/>
  <c r="D53" i="29"/>
  <c r="D52" i="32"/>
  <c r="E52" i="32"/>
  <c r="H42" i="92"/>
  <c r="J126" i="53"/>
  <c r="J128" i="43"/>
  <c r="J121" i="86"/>
  <c r="J131" i="69"/>
  <c r="J131" i="70"/>
  <c r="J131" i="30"/>
  <c r="J125" i="64"/>
  <c r="J129" i="19"/>
  <c r="J128" i="39"/>
  <c r="J130" i="32"/>
  <c r="J125" i="65"/>
  <c r="J126" i="72"/>
  <c r="J121" i="90"/>
  <c r="J123" i="78"/>
  <c r="J126" i="46"/>
  <c r="J124" i="66"/>
  <c r="J127" i="57"/>
  <c r="J131" i="29"/>
  <c r="J121" i="92"/>
  <c r="F43" i="87"/>
  <c r="G43" i="87" s="1"/>
  <c r="B43" i="87"/>
  <c r="J131" i="71"/>
  <c r="B46" i="62"/>
  <c r="F46" i="62"/>
  <c r="H46" i="62" s="1"/>
  <c r="I42" i="87"/>
  <c r="G68" i="35"/>
  <c r="H68" i="35"/>
  <c r="E69" i="35"/>
  <c r="F69" i="35" s="1"/>
  <c r="B69" i="35"/>
  <c r="J123" i="79"/>
  <c r="I41" i="13"/>
  <c r="E52" i="18"/>
  <c r="D52" i="18"/>
  <c r="F50" i="20"/>
  <c r="G50" i="20" s="1"/>
  <c r="B50" i="20"/>
  <c r="B44" i="33"/>
  <c r="J127" i="74"/>
  <c r="F43" i="26"/>
  <c r="H43" i="26" s="1"/>
  <c r="B43" i="26"/>
  <c r="H51" i="18"/>
  <c r="I51" i="18" s="1"/>
  <c r="E47" i="59"/>
  <c r="D47" i="59"/>
  <c r="B42" i="13"/>
  <c r="F42" i="13"/>
  <c r="G42" i="13" s="1"/>
  <c r="E44" i="33"/>
  <c r="F44" i="33" s="1"/>
  <c r="G122" i="92"/>
  <c r="D123" i="92"/>
  <c r="E123" i="92"/>
  <c r="I128" i="45"/>
  <c r="H128" i="45"/>
  <c r="G127" i="58"/>
  <c r="E128" i="58"/>
  <c r="D128" i="58"/>
  <c r="I129" i="73"/>
  <c r="H129" i="73"/>
  <c r="F123" i="91"/>
  <c r="B123" i="91"/>
  <c r="D127" i="63"/>
  <c r="E127" i="63"/>
  <c r="G126" i="63"/>
  <c r="G131" i="31"/>
  <c r="E132" i="31"/>
  <c r="D132" i="31"/>
  <c r="I123" i="81"/>
  <c r="H123" i="81"/>
  <c r="B131" i="22"/>
  <c r="F131" i="22"/>
  <c r="E123" i="86"/>
  <c r="D123" i="86"/>
  <c r="G122" i="86"/>
  <c r="D131" i="19"/>
  <c r="E131" i="19"/>
  <c r="G130" i="19"/>
  <c r="D130" i="39"/>
  <c r="G129" i="39"/>
  <c r="E130" i="39"/>
  <c r="G132" i="70"/>
  <c r="E133" i="70"/>
  <c r="D133" i="70"/>
  <c r="G128" i="74"/>
  <c r="D129" i="74"/>
  <c r="E129" i="74"/>
  <c r="D127" i="65"/>
  <c r="G126" i="65"/>
  <c r="E127" i="65"/>
  <c r="J126" i="59"/>
  <c r="E133" i="29"/>
  <c r="G132" i="29"/>
  <c r="D133" i="29"/>
  <c r="J124" i="68"/>
  <c r="D126" i="66"/>
  <c r="E126" i="66"/>
  <c r="G125" i="66"/>
  <c r="B129" i="45"/>
  <c r="F129" i="45"/>
  <c r="D127" i="60"/>
  <c r="E127" i="60"/>
  <c r="G126" i="60"/>
  <c r="G127" i="53"/>
  <c r="E128" i="53"/>
  <c r="D128" i="53"/>
  <c r="I129" i="41"/>
  <c r="H129" i="41"/>
  <c r="F130" i="73"/>
  <c r="B130" i="73"/>
  <c r="G127" i="46"/>
  <c r="D128" i="46"/>
  <c r="E128" i="46"/>
  <c r="J129" i="20"/>
  <c r="J125" i="60"/>
  <c r="J131" i="27"/>
  <c r="H130" i="22"/>
  <c r="I130" i="22"/>
  <c r="J121" i="88"/>
  <c r="B123" i="89"/>
  <c r="F123" i="89"/>
  <c r="E131" i="20"/>
  <c r="G130" i="20"/>
  <c r="D131" i="20"/>
  <c r="E125" i="78"/>
  <c r="D125" i="78"/>
  <c r="G124" i="78"/>
  <c r="D127" i="61"/>
  <c r="E127" i="61"/>
  <c r="G126" i="61"/>
  <c r="B130" i="41"/>
  <c r="F130" i="41"/>
  <c r="E128" i="72"/>
  <c r="G127" i="72"/>
  <c r="D128" i="72"/>
  <c r="G123" i="85"/>
  <c r="E124" i="85"/>
  <c r="D124" i="85"/>
  <c r="B127" i="62"/>
  <c r="F127" i="62"/>
  <c r="E123" i="90"/>
  <c r="D123" i="90"/>
  <c r="G122" i="90"/>
  <c r="J130" i="31"/>
  <c r="J129" i="34"/>
  <c r="E123" i="88"/>
  <c r="D123" i="88"/>
  <c r="G122" i="88"/>
  <c r="D126" i="68"/>
  <c r="G125" i="68"/>
  <c r="E126" i="68"/>
  <c r="D131" i="34"/>
  <c r="G130" i="34"/>
  <c r="E131" i="34"/>
  <c r="J125" i="63"/>
  <c r="G132" i="30"/>
  <c r="E133" i="30"/>
  <c r="D133" i="30"/>
  <c r="E133" i="27"/>
  <c r="G132" i="27"/>
  <c r="D133" i="27"/>
  <c r="D127" i="64"/>
  <c r="G126" i="64"/>
  <c r="E127" i="64"/>
  <c r="H122" i="91"/>
  <c r="I122" i="91"/>
  <c r="D132" i="32"/>
  <c r="E132" i="32"/>
  <c r="G131" i="32"/>
  <c r="E123" i="84"/>
  <c r="G122" i="84"/>
  <c r="D123" i="84"/>
  <c r="B124" i="81"/>
  <c r="F124" i="81"/>
  <c r="H126" i="62"/>
  <c r="I126" i="62"/>
  <c r="J126" i="58"/>
  <c r="H122" i="89"/>
  <c r="I122" i="89"/>
  <c r="J121" i="84"/>
  <c r="G124" i="79"/>
  <c r="D125" i="79"/>
  <c r="E125" i="79"/>
  <c r="J125" i="61"/>
  <c r="J122" i="85"/>
  <c r="D130" i="43"/>
  <c r="G129" i="43"/>
  <c r="E130" i="43"/>
  <c r="E133" i="69"/>
  <c r="G132" i="69"/>
  <c r="D133" i="69"/>
  <c r="G127" i="59"/>
  <c r="E128" i="59"/>
  <c r="D128" i="59"/>
  <c r="J131" i="23"/>
  <c r="H128" i="56"/>
  <c r="I128" i="56"/>
  <c r="J130" i="18"/>
  <c r="F129" i="56"/>
  <c r="B129" i="56"/>
  <c r="J124" i="67"/>
  <c r="G132" i="23"/>
  <c r="D133" i="23"/>
  <c r="E133" i="23"/>
  <c r="E132" i="18"/>
  <c r="D132" i="18"/>
  <c r="G131" i="18"/>
  <c r="J122" i="94"/>
  <c r="J128" i="44"/>
  <c r="J122" i="95"/>
  <c r="J121" i="96"/>
  <c r="J130" i="17"/>
  <c r="G132" i="71"/>
  <c r="D133" i="71"/>
  <c r="E133" i="71"/>
  <c r="E129" i="57"/>
  <c r="D129" i="57"/>
  <c r="G128" i="57"/>
  <c r="F124" i="80"/>
  <c r="B124" i="80"/>
  <c r="G129" i="44"/>
  <c r="D130" i="44"/>
  <c r="E130" i="44"/>
  <c r="D123" i="87"/>
  <c r="G122" i="87"/>
  <c r="E123" i="87"/>
  <c r="G122" i="96"/>
  <c r="D123" i="96"/>
  <c r="H150" i="35"/>
  <c r="I150" i="35"/>
  <c r="B128" i="54"/>
  <c r="F128" i="54"/>
  <c r="B122" i="13"/>
  <c r="F122" i="13"/>
  <c r="F125" i="75"/>
  <c r="B125" i="75"/>
  <c r="H127" i="55"/>
  <c r="I127" i="55"/>
  <c r="I121" i="33"/>
  <c r="H121" i="33"/>
  <c r="F130" i="42"/>
  <c r="B130" i="42"/>
  <c r="J121" i="87"/>
  <c r="G131" i="17"/>
  <c r="E132" i="17"/>
  <c r="D132" i="17"/>
  <c r="I131" i="24"/>
  <c r="H131" i="24"/>
  <c r="I127" i="54"/>
  <c r="H127" i="54"/>
  <c r="I124" i="76"/>
  <c r="H124" i="76"/>
  <c r="D126" i="67"/>
  <c r="G125" i="67"/>
  <c r="E126" i="67"/>
  <c r="J149" i="35"/>
  <c r="F131" i="21"/>
  <c r="B131" i="21"/>
  <c r="J132" i="28"/>
  <c r="J129" i="3"/>
  <c r="B123" i="93"/>
  <c r="I123" i="80"/>
  <c r="H123" i="80"/>
  <c r="D134" i="28"/>
  <c r="G133" i="28"/>
  <c r="E134" i="28"/>
  <c r="F132" i="24"/>
  <c r="B132" i="24"/>
  <c r="B125" i="77"/>
  <c r="F125" i="77"/>
  <c r="G151" i="35"/>
  <c r="B152" i="35"/>
  <c r="E152" i="35"/>
  <c r="F152" i="35" s="1"/>
  <c r="I121" i="13"/>
  <c r="H121" i="13"/>
  <c r="G123" i="95"/>
  <c r="D124" i="95"/>
  <c r="E124" i="95" s="1"/>
  <c r="D131" i="3"/>
  <c r="G130" i="3"/>
  <c r="E131" i="3"/>
  <c r="B124" i="83"/>
  <c r="F124" i="83"/>
  <c r="I124" i="75"/>
  <c r="H124" i="75"/>
  <c r="F128" i="55"/>
  <c r="B128" i="55"/>
  <c r="H122" i="93"/>
  <c r="I122" i="93"/>
  <c r="I124" i="77"/>
  <c r="H124" i="77"/>
  <c r="D124" i="82"/>
  <c r="G123" i="82"/>
  <c r="E124" i="82"/>
  <c r="B125" i="76"/>
  <c r="F125" i="76"/>
  <c r="J122" i="82"/>
  <c r="H123" i="83"/>
  <c r="I123" i="83"/>
  <c r="H130" i="21"/>
  <c r="I130" i="21"/>
  <c r="G123" i="94"/>
  <c r="D124" i="94"/>
  <c r="F122" i="33"/>
  <c r="B122" i="33"/>
  <c r="H129" i="42"/>
  <c r="I129" i="42"/>
  <c r="E123" i="93"/>
  <c r="F123" i="93" s="1"/>
  <c r="B52" i="100" l="1"/>
  <c r="F52" i="100"/>
  <c r="G52" i="100" s="1"/>
  <c r="G122" i="100"/>
  <c r="D123" i="100"/>
  <c r="B123" i="100" s="1"/>
  <c r="E123" i="100"/>
  <c r="F123" i="100" s="1"/>
  <c r="J121" i="100"/>
  <c r="G46" i="99"/>
  <c r="I46" i="99" s="1"/>
  <c r="D47" i="99"/>
  <c r="B47" i="99" s="1"/>
  <c r="H42" i="25"/>
  <c r="G42" i="25"/>
  <c r="D43" i="25"/>
  <c r="I47" i="53"/>
  <c r="F51" i="97"/>
  <c r="D52" i="97" s="1"/>
  <c r="E52" i="97" s="1"/>
  <c r="J121" i="99"/>
  <c r="I50" i="97"/>
  <c r="I42" i="92"/>
  <c r="J121" i="25"/>
  <c r="F42" i="98"/>
  <c r="G42" i="98" s="1"/>
  <c r="B42" i="98"/>
  <c r="I41" i="98"/>
  <c r="E47" i="99"/>
  <c r="G122" i="25"/>
  <c r="D123" i="25"/>
  <c r="D123" i="99"/>
  <c r="G122" i="99"/>
  <c r="E123" i="99"/>
  <c r="I52" i="70"/>
  <c r="I42" i="94"/>
  <c r="H45" i="82"/>
  <c r="I45" i="82" s="1"/>
  <c r="I49" i="74"/>
  <c r="J122" i="26"/>
  <c r="H122" i="98"/>
  <c r="I122" i="98"/>
  <c r="B123" i="98"/>
  <c r="F123" i="98"/>
  <c r="F123" i="97"/>
  <c r="B123" i="97"/>
  <c r="D124" i="26"/>
  <c r="B124" i="26" s="1"/>
  <c r="G123" i="26"/>
  <c r="I122" i="97"/>
  <c r="H122" i="97"/>
  <c r="F47" i="67"/>
  <c r="G47" i="67" s="1"/>
  <c r="B47" i="67"/>
  <c r="G49" i="58"/>
  <c r="I49" i="58" s="1"/>
  <c r="B48" i="46"/>
  <c r="F48" i="46"/>
  <c r="B52" i="24"/>
  <c r="F52" i="24"/>
  <c r="G52" i="24" s="1"/>
  <c r="I50" i="21"/>
  <c r="I47" i="54"/>
  <c r="G44" i="85"/>
  <c r="I44" i="85" s="1"/>
  <c r="F43" i="94"/>
  <c r="H43" i="94" s="1"/>
  <c r="B43" i="94"/>
  <c r="F45" i="80"/>
  <c r="B45" i="80"/>
  <c r="I41" i="93"/>
  <c r="F42" i="93"/>
  <c r="H42" i="93" s="1"/>
  <c r="B42" i="93"/>
  <c r="H51" i="3"/>
  <c r="I51" i="3" s="1"/>
  <c r="I52" i="23"/>
  <c r="D46" i="82"/>
  <c r="E46" i="82" s="1"/>
  <c r="E45" i="86"/>
  <c r="D45" i="86"/>
  <c r="G44" i="86"/>
  <c r="I44" i="86" s="1"/>
  <c r="G42" i="95"/>
  <c r="I42" i="95" s="1"/>
  <c r="I43" i="91"/>
  <c r="G49" i="55"/>
  <c r="I49" i="55" s="1"/>
  <c r="D50" i="55"/>
  <c r="E50" i="55" s="1"/>
  <c r="G50" i="42"/>
  <c r="I50" i="42" s="1"/>
  <c r="D51" i="42"/>
  <c r="E51" i="42" s="1"/>
  <c r="G53" i="31"/>
  <c r="I53" i="31" s="1"/>
  <c r="F45" i="90"/>
  <c r="H45" i="90" s="1"/>
  <c r="B45" i="90"/>
  <c r="B47" i="66"/>
  <c r="F47" i="66"/>
  <c r="B44" i="84"/>
  <c r="F44" i="84"/>
  <c r="G44" i="84" s="1"/>
  <c r="D46" i="75"/>
  <c r="E46" i="75" s="1"/>
  <c r="F44" i="91"/>
  <c r="G44" i="91" s="1"/>
  <c r="B44" i="91"/>
  <c r="G46" i="65"/>
  <c r="I46" i="65" s="1"/>
  <c r="D47" i="65"/>
  <c r="E47" i="65" s="1"/>
  <c r="I50" i="43"/>
  <c r="B53" i="23"/>
  <c r="F53" i="23"/>
  <c r="H45" i="75"/>
  <c r="I45" i="75" s="1"/>
  <c r="D50" i="58"/>
  <c r="E50" i="58" s="1"/>
  <c r="B48" i="53"/>
  <c r="F48" i="53"/>
  <c r="G48" i="53" s="1"/>
  <c r="F47" i="61"/>
  <c r="G47" i="61" s="1"/>
  <c r="B47" i="61"/>
  <c r="H42" i="13"/>
  <c r="I42" i="13" s="1"/>
  <c r="G46" i="62"/>
  <c r="I46" i="62" s="1"/>
  <c r="D43" i="95"/>
  <c r="E43" i="95" s="1"/>
  <c r="B50" i="44"/>
  <c r="F50" i="44"/>
  <c r="H50" i="44" s="1"/>
  <c r="I41" i="96"/>
  <c r="D45" i="85"/>
  <c r="E45" i="85"/>
  <c r="F45" i="76"/>
  <c r="B45" i="76"/>
  <c r="G48" i="72"/>
  <c r="I48" i="72" s="1"/>
  <c r="D49" i="72"/>
  <c r="E49" i="72" s="1"/>
  <c r="H50" i="39"/>
  <c r="I50" i="39" s="1"/>
  <c r="D51" i="39"/>
  <c r="E51" i="39"/>
  <c r="F44" i="81"/>
  <c r="H44" i="81" s="1"/>
  <c r="B44" i="81"/>
  <c r="B53" i="27"/>
  <c r="F53" i="27"/>
  <c r="H53" i="27" s="1"/>
  <c r="I43" i="81"/>
  <c r="F51" i="22"/>
  <c r="H51" i="22" s="1"/>
  <c r="B51" i="22"/>
  <c r="B42" i="96"/>
  <c r="F42" i="96"/>
  <c r="H42" i="96" s="1"/>
  <c r="I52" i="27"/>
  <c r="F47" i="60"/>
  <c r="H47" i="60" s="1"/>
  <c r="B47" i="60"/>
  <c r="H52" i="30"/>
  <c r="I52" i="30" s="1"/>
  <c r="D53" i="30"/>
  <c r="E53" i="30" s="1"/>
  <c r="B47" i="63"/>
  <c r="F47" i="63"/>
  <c r="H47" i="63" s="1"/>
  <c r="B48" i="57"/>
  <c r="F48" i="57"/>
  <c r="G48" i="57" s="1"/>
  <c r="B43" i="92"/>
  <c r="F43" i="92"/>
  <c r="G43" i="92" s="1"/>
  <c r="D53" i="34"/>
  <c r="E53" i="34"/>
  <c r="H52" i="34"/>
  <c r="G52" i="34"/>
  <c r="H50" i="20"/>
  <c r="I50" i="20" s="1"/>
  <c r="D48" i="56"/>
  <c r="E48" i="56"/>
  <c r="G52" i="71"/>
  <c r="D53" i="71"/>
  <c r="E53" i="71" s="1"/>
  <c r="B45" i="77"/>
  <c r="F45" i="77"/>
  <c r="H45" i="77" s="1"/>
  <c r="G49" i="45"/>
  <c r="D50" i="45"/>
  <c r="E50" i="45" s="1"/>
  <c r="G53" i="69"/>
  <c r="I53" i="69" s="1"/>
  <c r="D54" i="69"/>
  <c r="E54" i="69" s="1"/>
  <c r="F51" i="43"/>
  <c r="H51" i="43" s="1"/>
  <c r="B51" i="43"/>
  <c r="B51" i="21"/>
  <c r="F51" i="21"/>
  <c r="H51" i="21" s="1"/>
  <c r="G47" i="56"/>
  <c r="I47" i="56" s="1"/>
  <c r="H49" i="45"/>
  <c r="I42" i="89"/>
  <c r="D44" i="83"/>
  <c r="E44" i="83" s="1"/>
  <c r="D47" i="68"/>
  <c r="E47" i="68" s="1"/>
  <c r="G51" i="19"/>
  <c r="I51" i="19" s="1"/>
  <c r="E52" i="19"/>
  <c r="D52" i="19"/>
  <c r="F50" i="73"/>
  <c r="B50" i="73"/>
  <c r="D55" i="28"/>
  <c r="E55" i="28" s="1"/>
  <c r="D48" i="64"/>
  <c r="E48" i="64"/>
  <c r="F51" i="17"/>
  <c r="H51" i="17" s="1"/>
  <c r="B51" i="17"/>
  <c r="C60" i="17"/>
  <c r="D54" i="31"/>
  <c r="E54" i="31" s="1"/>
  <c r="D45" i="88"/>
  <c r="E45" i="88" s="1"/>
  <c r="F53" i="70"/>
  <c r="H53" i="70" s="1"/>
  <c r="B53" i="70"/>
  <c r="B48" i="54"/>
  <c r="F48" i="54"/>
  <c r="H48" i="54" s="1"/>
  <c r="F52" i="32"/>
  <c r="G52" i="32" s="1"/>
  <c r="B52" i="32"/>
  <c r="F53" i="29"/>
  <c r="H53" i="29" s="1"/>
  <c r="B53" i="29"/>
  <c r="F45" i="78"/>
  <c r="G45" i="78" s="1"/>
  <c r="B45" i="78"/>
  <c r="I52" i="71"/>
  <c r="B45" i="79"/>
  <c r="F45" i="79"/>
  <c r="G45" i="79" s="1"/>
  <c r="G43" i="83"/>
  <c r="I43" i="83" s="1"/>
  <c r="D52" i="3"/>
  <c r="E52" i="3" s="1"/>
  <c r="F51" i="41"/>
  <c r="H51" i="41" s="1"/>
  <c r="B51" i="41"/>
  <c r="G46" i="68"/>
  <c r="I46" i="68" s="1"/>
  <c r="G54" i="28"/>
  <c r="I54" i="28" s="1"/>
  <c r="H47" i="64"/>
  <c r="I47" i="64" s="1"/>
  <c r="H44" i="88"/>
  <c r="I44" i="88" s="1"/>
  <c r="F50" i="74"/>
  <c r="G50" i="74" s="1"/>
  <c r="B50" i="74"/>
  <c r="F43" i="89"/>
  <c r="G43" i="89" s="1"/>
  <c r="B43" i="89"/>
  <c r="J122" i="91"/>
  <c r="J130" i="22"/>
  <c r="D45" i="33"/>
  <c r="G44" i="33"/>
  <c r="H44" i="33"/>
  <c r="E51" i="20"/>
  <c r="D51" i="20"/>
  <c r="H69" i="35"/>
  <c r="G69" i="35"/>
  <c r="B70" i="35"/>
  <c r="E70" i="35"/>
  <c r="F70" i="35" s="1"/>
  <c r="E44" i="87"/>
  <c r="D44" i="87"/>
  <c r="J126" i="62"/>
  <c r="D43" i="13"/>
  <c r="E43" i="13" s="1"/>
  <c r="I68" i="35"/>
  <c r="D47" i="62"/>
  <c r="E47" i="62" s="1"/>
  <c r="H43" i="87"/>
  <c r="I43" i="87" s="1"/>
  <c r="D44" i="26"/>
  <c r="E44" i="26" s="1"/>
  <c r="J128" i="45"/>
  <c r="B47" i="59"/>
  <c r="F47" i="59"/>
  <c r="H47" i="59" s="1"/>
  <c r="G43" i="26"/>
  <c r="I43" i="26" s="1"/>
  <c r="B52" i="18"/>
  <c r="F52" i="18"/>
  <c r="H52" i="18" s="1"/>
  <c r="H132" i="69"/>
  <c r="I132" i="69"/>
  <c r="F130" i="43"/>
  <c r="B130" i="43"/>
  <c r="B125" i="79"/>
  <c r="F125" i="79"/>
  <c r="G124" i="81"/>
  <c r="D125" i="81"/>
  <c r="E125" i="81"/>
  <c r="B127" i="64"/>
  <c r="F127" i="64"/>
  <c r="B133" i="30"/>
  <c r="F133" i="30"/>
  <c r="H125" i="68"/>
  <c r="I125" i="68"/>
  <c r="F123" i="90"/>
  <c r="B123" i="90"/>
  <c r="B124" i="85"/>
  <c r="F124" i="85"/>
  <c r="I127" i="72"/>
  <c r="H127" i="72"/>
  <c r="I126" i="61"/>
  <c r="H126" i="61"/>
  <c r="B125" i="78"/>
  <c r="F125" i="78"/>
  <c r="B128" i="53"/>
  <c r="F128" i="53"/>
  <c r="I125" i="66"/>
  <c r="H125" i="66"/>
  <c r="B133" i="29"/>
  <c r="F133" i="29"/>
  <c r="B129" i="74"/>
  <c r="F129" i="74"/>
  <c r="H132" i="70"/>
  <c r="I132" i="70"/>
  <c r="H130" i="19"/>
  <c r="I130" i="19"/>
  <c r="B123" i="86"/>
  <c r="F123" i="86"/>
  <c r="I131" i="31"/>
  <c r="H131" i="31"/>
  <c r="B128" i="58"/>
  <c r="F128" i="58"/>
  <c r="J130" i="21"/>
  <c r="J123" i="83"/>
  <c r="J128" i="56"/>
  <c r="H124" i="79"/>
  <c r="I124" i="79"/>
  <c r="H131" i="32"/>
  <c r="I131" i="32"/>
  <c r="B133" i="27"/>
  <c r="F133" i="27"/>
  <c r="H130" i="34"/>
  <c r="I130" i="34"/>
  <c r="B126" i="68"/>
  <c r="F126" i="68"/>
  <c r="D124" i="89"/>
  <c r="G123" i="89"/>
  <c r="E124" i="89"/>
  <c r="G130" i="73"/>
  <c r="E131" i="73"/>
  <c r="D131" i="73"/>
  <c r="B127" i="60"/>
  <c r="F127" i="60"/>
  <c r="H132" i="29"/>
  <c r="I132" i="29"/>
  <c r="I126" i="65"/>
  <c r="H126" i="65"/>
  <c r="I128" i="74"/>
  <c r="H128" i="74"/>
  <c r="J123" i="81"/>
  <c r="I126" i="63"/>
  <c r="H126" i="63"/>
  <c r="E124" i="91"/>
  <c r="D124" i="91"/>
  <c r="G123" i="91"/>
  <c r="B123" i="84"/>
  <c r="F123" i="84"/>
  <c r="I132" i="27"/>
  <c r="H132" i="27"/>
  <c r="H132" i="30"/>
  <c r="I132" i="30"/>
  <c r="F131" i="34"/>
  <c r="B131" i="34"/>
  <c r="H122" i="88"/>
  <c r="I122" i="88"/>
  <c r="E128" i="62"/>
  <c r="D128" i="62"/>
  <c r="G127" i="62"/>
  <c r="I123" i="85"/>
  <c r="H123" i="85"/>
  <c r="G130" i="41"/>
  <c r="D131" i="41"/>
  <c r="E131" i="41"/>
  <c r="B127" i="61"/>
  <c r="F127" i="61"/>
  <c r="B131" i="20"/>
  <c r="F131" i="20"/>
  <c r="B128" i="46"/>
  <c r="F128" i="46"/>
  <c r="H127" i="53"/>
  <c r="I127" i="53"/>
  <c r="E130" i="45"/>
  <c r="D130" i="45"/>
  <c r="G129" i="45"/>
  <c r="F126" i="66"/>
  <c r="B126" i="66"/>
  <c r="F127" i="65"/>
  <c r="B127" i="65"/>
  <c r="B133" i="70"/>
  <c r="F133" i="70"/>
  <c r="I129" i="39"/>
  <c r="H129" i="39"/>
  <c r="B131" i="19"/>
  <c r="F131" i="19"/>
  <c r="G131" i="22"/>
  <c r="D132" i="22"/>
  <c r="E132" i="22"/>
  <c r="F132" i="31"/>
  <c r="B132" i="31"/>
  <c r="I127" i="58"/>
  <c r="H127" i="58"/>
  <c r="B123" i="92"/>
  <c r="F123" i="92"/>
  <c r="B133" i="69"/>
  <c r="F133" i="69"/>
  <c r="I129" i="43"/>
  <c r="H129" i="43"/>
  <c r="J122" i="89"/>
  <c r="H122" i="84"/>
  <c r="I122" i="84"/>
  <c r="F132" i="32"/>
  <c r="B132" i="32"/>
  <c r="I126" i="64"/>
  <c r="H126" i="64"/>
  <c r="F123" i="88"/>
  <c r="B123" i="88"/>
  <c r="I122" i="90"/>
  <c r="H122" i="90"/>
  <c r="B128" i="72"/>
  <c r="F128" i="72"/>
  <c r="H124" i="78"/>
  <c r="I124" i="78"/>
  <c r="H130" i="20"/>
  <c r="I130" i="20"/>
  <c r="I127" i="46"/>
  <c r="H127" i="46"/>
  <c r="J129" i="41"/>
  <c r="H126" i="60"/>
  <c r="I126" i="60"/>
  <c r="B130" i="39"/>
  <c r="F130" i="39"/>
  <c r="I122" i="86"/>
  <c r="H122" i="86"/>
  <c r="B127" i="63"/>
  <c r="F127" i="63"/>
  <c r="J129" i="73"/>
  <c r="H122" i="92"/>
  <c r="I122" i="92"/>
  <c r="B132" i="18"/>
  <c r="F132" i="18"/>
  <c r="I132" i="23"/>
  <c r="H132" i="23"/>
  <c r="I127" i="59"/>
  <c r="H127" i="59"/>
  <c r="J127" i="55"/>
  <c r="I131" i="18"/>
  <c r="H131" i="18"/>
  <c r="B133" i="23"/>
  <c r="F133" i="23"/>
  <c r="D130" i="56"/>
  <c r="G129" i="56"/>
  <c r="E130" i="56"/>
  <c r="F128" i="59"/>
  <c r="B128" i="59"/>
  <c r="F129" i="57"/>
  <c r="B129" i="57"/>
  <c r="J129" i="42"/>
  <c r="J121" i="13"/>
  <c r="J150" i="35"/>
  <c r="B133" i="71"/>
  <c r="F133" i="71"/>
  <c r="H128" i="57"/>
  <c r="I128" i="57"/>
  <c r="I132" i="71"/>
  <c r="H132" i="71"/>
  <c r="G123" i="93"/>
  <c r="D124" i="93"/>
  <c r="E124" i="93" s="1"/>
  <c r="B124" i="94"/>
  <c r="J124" i="77"/>
  <c r="H130" i="3"/>
  <c r="I130" i="3"/>
  <c r="B124" i="95"/>
  <c r="F124" i="95"/>
  <c r="G152" i="35"/>
  <c r="B153" i="35"/>
  <c r="E153" i="35"/>
  <c r="F153" i="35" s="1"/>
  <c r="I133" i="28"/>
  <c r="H133" i="28"/>
  <c r="H131" i="17"/>
  <c r="I131" i="17"/>
  <c r="E126" i="75"/>
  <c r="D126" i="75"/>
  <c r="G125" i="75"/>
  <c r="E129" i="54"/>
  <c r="G128" i="54"/>
  <c r="D129" i="54"/>
  <c r="B123" i="96"/>
  <c r="H122" i="87"/>
  <c r="I122" i="87"/>
  <c r="I123" i="94"/>
  <c r="H123" i="94"/>
  <c r="I123" i="82"/>
  <c r="H123" i="82"/>
  <c r="F131" i="3"/>
  <c r="B131" i="3"/>
  <c r="B134" i="28"/>
  <c r="F134" i="28"/>
  <c r="G131" i="21"/>
  <c r="D132" i="21"/>
  <c r="E132" i="21"/>
  <c r="I125" i="67"/>
  <c r="H125" i="67"/>
  <c r="J127" i="54"/>
  <c r="J131" i="24"/>
  <c r="D131" i="42"/>
  <c r="G130" i="42"/>
  <c r="E131" i="42"/>
  <c r="H122" i="96"/>
  <c r="I122" i="96"/>
  <c r="B123" i="87"/>
  <c r="F123" i="87"/>
  <c r="E125" i="80"/>
  <c r="G124" i="80"/>
  <c r="D125" i="80"/>
  <c r="G122" i="33"/>
  <c r="D123" i="33"/>
  <c r="E123" i="33" s="1"/>
  <c r="D126" i="76"/>
  <c r="E126" i="76"/>
  <c r="G125" i="76"/>
  <c r="F124" i="82"/>
  <c r="B124" i="82"/>
  <c r="D129" i="55"/>
  <c r="E129" i="55"/>
  <c r="G128" i="55"/>
  <c r="J124" i="75"/>
  <c r="E125" i="83"/>
  <c r="D125" i="83"/>
  <c r="G124" i="83"/>
  <c r="H123" i="95"/>
  <c r="I123" i="95"/>
  <c r="I151" i="35"/>
  <c r="H151" i="35"/>
  <c r="D133" i="24"/>
  <c r="G132" i="24"/>
  <c r="E133" i="24"/>
  <c r="B126" i="67"/>
  <c r="F126" i="67"/>
  <c r="B132" i="17"/>
  <c r="F132" i="17"/>
  <c r="E123" i="96"/>
  <c r="F123" i="96" s="1"/>
  <c r="F130" i="44"/>
  <c r="B130" i="44"/>
  <c r="E124" i="94"/>
  <c r="F124" i="94" s="1"/>
  <c r="J122" i="93"/>
  <c r="D126" i="77"/>
  <c r="E126" i="77"/>
  <c r="G125" i="77"/>
  <c r="J123" i="80"/>
  <c r="J124" i="76"/>
  <c r="J121" i="33"/>
  <c r="D123" i="13"/>
  <c r="E123" i="13" s="1"/>
  <c r="G122" i="13"/>
  <c r="H129" i="44"/>
  <c r="I129" i="44"/>
  <c r="F47" i="99" l="1"/>
  <c r="H52" i="100"/>
  <c r="I52" i="100" s="1"/>
  <c r="D53" i="100"/>
  <c r="E53" i="100"/>
  <c r="F53" i="100" s="1"/>
  <c r="D124" i="100"/>
  <c r="G123" i="100"/>
  <c r="I122" i="100"/>
  <c r="H122" i="100"/>
  <c r="I42" i="25"/>
  <c r="G51" i="97"/>
  <c r="E43" i="25"/>
  <c r="F43" i="25" s="1"/>
  <c r="B43" i="25"/>
  <c r="H51" i="97"/>
  <c r="H52" i="24"/>
  <c r="I52" i="24" s="1"/>
  <c r="H42" i="98"/>
  <c r="I42" i="98" s="1"/>
  <c r="D48" i="99"/>
  <c r="E48" i="99"/>
  <c r="H47" i="99"/>
  <c r="G47" i="99"/>
  <c r="D43" i="98"/>
  <c r="E43" i="98" s="1"/>
  <c r="F52" i="97"/>
  <c r="D53" i="97" s="1"/>
  <c r="B52" i="97"/>
  <c r="E123" i="25"/>
  <c r="F123" i="25" s="1"/>
  <c r="B123" i="25"/>
  <c r="I122" i="25"/>
  <c r="H122" i="25"/>
  <c r="I122" i="99"/>
  <c r="H122" i="99"/>
  <c r="B123" i="99"/>
  <c r="F123" i="99"/>
  <c r="J122" i="98"/>
  <c r="G53" i="70"/>
  <c r="I53" i="70" s="1"/>
  <c r="H47" i="67"/>
  <c r="I47" i="67" s="1"/>
  <c r="J122" i="97"/>
  <c r="G123" i="97"/>
  <c r="D124" i="97"/>
  <c r="E124" i="97"/>
  <c r="H123" i="26"/>
  <c r="I123" i="26"/>
  <c r="G123" i="98"/>
  <c r="D124" i="98"/>
  <c r="E124" i="98"/>
  <c r="E124" i="26"/>
  <c r="F124" i="26" s="1"/>
  <c r="D48" i="67"/>
  <c r="E48" i="67" s="1"/>
  <c r="G47" i="59"/>
  <c r="I47" i="59" s="1"/>
  <c r="H48" i="46"/>
  <c r="D49" i="46"/>
  <c r="E49" i="46"/>
  <c r="G48" i="46"/>
  <c r="D53" i="24"/>
  <c r="E53" i="24" s="1"/>
  <c r="D43" i="93"/>
  <c r="E43" i="93"/>
  <c r="H45" i="80"/>
  <c r="D46" i="80"/>
  <c r="E46" i="80"/>
  <c r="F46" i="82"/>
  <c r="H46" i="82" s="1"/>
  <c r="B46" i="82"/>
  <c r="G42" i="93"/>
  <c r="I42" i="93" s="1"/>
  <c r="G45" i="80"/>
  <c r="H48" i="53"/>
  <c r="I48" i="53" s="1"/>
  <c r="B45" i="86"/>
  <c r="F45" i="86"/>
  <c r="G45" i="86" s="1"/>
  <c r="G43" i="94"/>
  <c r="I43" i="94" s="1"/>
  <c r="D44" i="94"/>
  <c r="E44" i="94" s="1"/>
  <c r="H53" i="23"/>
  <c r="E54" i="23"/>
  <c r="D54" i="23"/>
  <c r="G53" i="23"/>
  <c r="F51" i="42"/>
  <c r="B51" i="42"/>
  <c r="I69" i="35"/>
  <c r="G51" i="22"/>
  <c r="I51" i="22" s="1"/>
  <c r="F47" i="65"/>
  <c r="H47" i="65" s="1"/>
  <c r="B47" i="65"/>
  <c r="H44" i="91"/>
  <c r="I44" i="91" s="1"/>
  <c r="D45" i="91"/>
  <c r="E45" i="91"/>
  <c r="H44" i="84"/>
  <c r="I44" i="84" s="1"/>
  <c r="D45" i="84"/>
  <c r="E45" i="84" s="1"/>
  <c r="H47" i="66"/>
  <c r="E48" i="66"/>
  <c r="D48" i="66"/>
  <c r="G51" i="41"/>
  <c r="I51" i="41" s="1"/>
  <c r="H45" i="78"/>
  <c r="I45" i="78" s="1"/>
  <c r="D49" i="53"/>
  <c r="E49" i="53" s="1"/>
  <c r="B50" i="58"/>
  <c r="F50" i="58"/>
  <c r="H50" i="58" s="1"/>
  <c r="F46" i="75"/>
  <c r="H46" i="75" s="1"/>
  <c r="B46" i="75"/>
  <c r="B50" i="55"/>
  <c r="F50" i="55"/>
  <c r="H50" i="55" s="1"/>
  <c r="G45" i="90"/>
  <c r="I45" i="90" s="1"/>
  <c r="D46" i="90"/>
  <c r="E46" i="90"/>
  <c r="G53" i="27"/>
  <c r="I53" i="27" s="1"/>
  <c r="G47" i="66"/>
  <c r="G48" i="54"/>
  <c r="I48" i="54" s="1"/>
  <c r="H43" i="92"/>
  <c r="I43" i="92" s="1"/>
  <c r="B51" i="39"/>
  <c r="F51" i="39"/>
  <c r="G51" i="39" s="1"/>
  <c r="G45" i="76"/>
  <c r="E46" i="76"/>
  <c r="D46" i="76"/>
  <c r="D54" i="27"/>
  <c r="E54" i="27" s="1"/>
  <c r="F49" i="72"/>
  <c r="B49" i="72"/>
  <c r="G50" i="44"/>
  <c r="I50" i="44" s="1"/>
  <c r="D51" i="44"/>
  <c r="E51" i="44" s="1"/>
  <c r="B43" i="95"/>
  <c r="F43" i="95"/>
  <c r="H43" i="95" s="1"/>
  <c r="D48" i="61"/>
  <c r="E48" i="61" s="1"/>
  <c r="B45" i="85"/>
  <c r="F45" i="85"/>
  <c r="G42" i="96"/>
  <c r="I42" i="96" s="1"/>
  <c r="D43" i="96"/>
  <c r="E43" i="96" s="1"/>
  <c r="D52" i="22"/>
  <c r="E52" i="22" s="1"/>
  <c r="G44" i="81"/>
  <c r="I44" i="81" s="1"/>
  <c r="D45" i="81"/>
  <c r="E45" i="81" s="1"/>
  <c r="H45" i="76"/>
  <c r="H47" i="61"/>
  <c r="I47" i="61" s="1"/>
  <c r="I49" i="45"/>
  <c r="G52" i="18"/>
  <c r="I52" i="18" s="1"/>
  <c r="D44" i="89"/>
  <c r="E44" i="89" s="1"/>
  <c r="D46" i="79"/>
  <c r="E46" i="79"/>
  <c r="F45" i="88"/>
  <c r="H45" i="88" s="1"/>
  <c r="B45" i="88"/>
  <c r="D52" i="17"/>
  <c r="E52" i="17" s="1"/>
  <c r="B55" i="28"/>
  <c r="F55" i="28"/>
  <c r="H55" i="28" s="1"/>
  <c r="B44" i="83"/>
  <c r="F44" i="83"/>
  <c r="H44" i="83" s="1"/>
  <c r="F54" i="69"/>
  <c r="H54" i="69" s="1"/>
  <c r="B54" i="69"/>
  <c r="B48" i="56"/>
  <c r="F48" i="56"/>
  <c r="H48" i="56" s="1"/>
  <c r="B53" i="30"/>
  <c r="F53" i="30"/>
  <c r="H53" i="30" s="1"/>
  <c r="I44" i="33"/>
  <c r="H43" i="89"/>
  <c r="I43" i="89" s="1"/>
  <c r="D52" i="41"/>
  <c r="E52" i="41" s="1"/>
  <c r="B52" i="3"/>
  <c r="F52" i="3"/>
  <c r="H52" i="3" s="1"/>
  <c r="H45" i="79"/>
  <c r="I45" i="79" s="1"/>
  <c r="H52" i="32"/>
  <c r="I52" i="32" s="1"/>
  <c r="D53" i="32"/>
  <c r="E53" i="32" s="1"/>
  <c r="D54" i="70"/>
  <c r="E54" i="70" s="1"/>
  <c r="D52" i="21"/>
  <c r="E52" i="21" s="1"/>
  <c r="F53" i="71"/>
  <c r="H53" i="71" s="1"/>
  <c r="B53" i="71"/>
  <c r="I52" i="34"/>
  <c r="E49" i="57"/>
  <c r="D49" i="57"/>
  <c r="D48" i="63"/>
  <c r="E48" i="63" s="1"/>
  <c r="G53" i="29"/>
  <c r="I53" i="29" s="1"/>
  <c r="D54" i="29"/>
  <c r="E54" i="29" s="1"/>
  <c r="G51" i="17"/>
  <c r="I51" i="17" s="1"/>
  <c r="B48" i="64"/>
  <c r="F48" i="64"/>
  <c r="H48" i="64" s="1"/>
  <c r="E51" i="73"/>
  <c r="H50" i="73"/>
  <c r="D51" i="73"/>
  <c r="G50" i="73"/>
  <c r="F47" i="68"/>
  <c r="H47" i="68" s="1"/>
  <c r="B47" i="68"/>
  <c r="D52" i="43"/>
  <c r="E52" i="43" s="1"/>
  <c r="F50" i="45"/>
  <c r="G50" i="45" s="1"/>
  <c r="B50" i="45"/>
  <c r="G45" i="77"/>
  <c r="I45" i="77" s="1"/>
  <c r="E46" i="77"/>
  <c r="D46" i="77"/>
  <c r="D44" i="92"/>
  <c r="E44" i="92" s="1"/>
  <c r="G47" i="63"/>
  <c r="I47" i="63" s="1"/>
  <c r="D48" i="60"/>
  <c r="E48" i="60" s="1"/>
  <c r="H50" i="74"/>
  <c r="I50" i="74" s="1"/>
  <c r="D51" i="74"/>
  <c r="E51" i="74" s="1"/>
  <c r="E46" i="78"/>
  <c r="D46" i="78"/>
  <c r="D49" i="54"/>
  <c r="E49" i="54" s="1"/>
  <c r="F54" i="31"/>
  <c r="H54" i="31" s="1"/>
  <c r="B54" i="31"/>
  <c r="B52" i="19"/>
  <c r="F52" i="19"/>
  <c r="G52" i="19" s="1"/>
  <c r="G51" i="21"/>
  <c r="I51" i="21" s="1"/>
  <c r="G51" i="43"/>
  <c r="I51" i="43" s="1"/>
  <c r="B53" i="34"/>
  <c r="F53" i="34"/>
  <c r="H53" i="34" s="1"/>
  <c r="H48" i="57"/>
  <c r="I48" i="57" s="1"/>
  <c r="G47" i="60"/>
  <c r="I47" i="60" s="1"/>
  <c r="J124" i="79"/>
  <c r="J130" i="20"/>
  <c r="J122" i="96"/>
  <c r="J132" i="23"/>
  <c r="B45" i="33"/>
  <c r="J126" i="60"/>
  <c r="J127" i="46"/>
  <c r="J122" i="90"/>
  <c r="J126" i="64"/>
  <c r="J127" i="53"/>
  <c r="J123" i="85"/>
  <c r="J122" i="88"/>
  <c r="J132" i="30"/>
  <c r="J132" i="29"/>
  <c r="J130" i="34"/>
  <c r="J131" i="32"/>
  <c r="J126" i="61"/>
  <c r="J132" i="69"/>
  <c r="D48" i="59"/>
  <c r="E48" i="59" s="1"/>
  <c r="H70" i="35"/>
  <c r="E71" i="35"/>
  <c r="F71" i="35" s="1"/>
  <c r="G70" i="35"/>
  <c r="B71" i="35"/>
  <c r="E45" i="33"/>
  <c r="F45" i="33" s="1"/>
  <c r="J129" i="39"/>
  <c r="J126" i="63"/>
  <c r="J131" i="31"/>
  <c r="J125" i="66"/>
  <c r="J127" i="72"/>
  <c r="D53" i="18"/>
  <c r="E53" i="18" s="1"/>
  <c r="B44" i="26"/>
  <c r="F44" i="26"/>
  <c r="H44" i="26" s="1"/>
  <c r="F47" i="62"/>
  <c r="H47" i="62" s="1"/>
  <c r="B47" i="62"/>
  <c r="F43" i="13"/>
  <c r="G43" i="13" s="1"/>
  <c r="B43" i="13"/>
  <c r="B44" i="87"/>
  <c r="F44" i="87"/>
  <c r="H44" i="87" s="1"/>
  <c r="F51" i="20"/>
  <c r="H51" i="20" s="1"/>
  <c r="B51" i="20"/>
  <c r="J123" i="82"/>
  <c r="J122" i="87"/>
  <c r="D128" i="63"/>
  <c r="E128" i="63"/>
  <c r="G127" i="63"/>
  <c r="E131" i="39"/>
  <c r="G130" i="39"/>
  <c r="D131" i="39"/>
  <c r="G123" i="88"/>
  <c r="D124" i="88"/>
  <c r="E124" i="88"/>
  <c r="G132" i="32"/>
  <c r="D133" i="32"/>
  <c r="E133" i="32"/>
  <c r="D124" i="92"/>
  <c r="E124" i="92"/>
  <c r="G123" i="92"/>
  <c r="H131" i="22"/>
  <c r="I131" i="22"/>
  <c r="E128" i="65"/>
  <c r="G127" i="65"/>
  <c r="D128" i="65"/>
  <c r="F130" i="45"/>
  <c r="B130" i="45"/>
  <c r="G128" i="46"/>
  <c r="E129" i="46"/>
  <c r="D129" i="46"/>
  <c r="E128" i="61"/>
  <c r="G127" i="61"/>
  <c r="D128" i="61"/>
  <c r="I130" i="41"/>
  <c r="H130" i="41"/>
  <c r="F128" i="62"/>
  <c r="B128" i="62"/>
  <c r="H123" i="91"/>
  <c r="I123" i="91"/>
  <c r="D128" i="60"/>
  <c r="G127" i="60"/>
  <c r="E128" i="60"/>
  <c r="H130" i="73"/>
  <c r="I130" i="73"/>
  <c r="E127" i="68"/>
  <c r="G126" i="68"/>
  <c r="D127" i="68"/>
  <c r="E134" i="27"/>
  <c r="D134" i="27"/>
  <c r="G133" i="27"/>
  <c r="G123" i="90"/>
  <c r="E124" i="90"/>
  <c r="D124" i="90"/>
  <c r="F125" i="81"/>
  <c r="B125" i="81"/>
  <c r="J122" i="92"/>
  <c r="J124" i="78"/>
  <c r="J122" i="84"/>
  <c r="J129" i="43"/>
  <c r="D133" i="31"/>
  <c r="G132" i="31"/>
  <c r="E133" i="31"/>
  <c r="G131" i="19"/>
  <c r="D132" i="19"/>
  <c r="E132" i="19"/>
  <c r="E134" i="70"/>
  <c r="G133" i="70"/>
  <c r="D134" i="70"/>
  <c r="G131" i="34"/>
  <c r="E132" i="34"/>
  <c r="D132" i="34"/>
  <c r="J132" i="27"/>
  <c r="F124" i="91"/>
  <c r="B124" i="91"/>
  <c r="J126" i="65"/>
  <c r="E129" i="58"/>
  <c r="G128" i="58"/>
  <c r="D129" i="58"/>
  <c r="G123" i="86"/>
  <c r="D124" i="86"/>
  <c r="E124" i="86"/>
  <c r="J132" i="70"/>
  <c r="E134" i="29"/>
  <c r="D134" i="29"/>
  <c r="G133" i="29"/>
  <c r="D129" i="53"/>
  <c r="G128" i="53"/>
  <c r="E129" i="53"/>
  <c r="E125" i="85"/>
  <c r="D125" i="85"/>
  <c r="G124" i="85"/>
  <c r="J125" i="68"/>
  <c r="D128" i="64"/>
  <c r="E128" i="64"/>
  <c r="G127" i="64"/>
  <c r="I124" i="81"/>
  <c r="H124" i="81"/>
  <c r="D131" i="43"/>
  <c r="G130" i="43"/>
  <c r="E131" i="43"/>
  <c r="D134" i="69"/>
  <c r="E134" i="69"/>
  <c r="G133" i="69"/>
  <c r="D127" i="66"/>
  <c r="E127" i="66"/>
  <c r="G126" i="66"/>
  <c r="D132" i="20"/>
  <c r="E132" i="20"/>
  <c r="G131" i="20"/>
  <c r="E124" i="84"/>
  <c r="G123" i="84"/>
  <c r="D124" i="84"/>
  <c r="F131" i="73"/>
  <c r="B131" i="73"/>
  <c r="H123" i="89"/>
  <c r="I123" i="89"/>
  <c r="D126" i="79"/>
  <c r="G125" i="79"/>
  <c r="E126" i="79"/>
  <c r="J122" i="86"/>
  <c r="E129" i="72"/>
  <c r="D129" i="72"/>
  <c r="G128" i="72"/>
  <c r="J127" i="58"/>
  <c r="B132" i="22"/>
  <c r="F132" i="22"/>
  <c r="I129" i="45"/>
  <c r="H129" i="45"/>
  <c r="B131" i="41"/>
  <c r="F131" i="41"/>
  <c r="H127" i="62"/>
  <c r="I127" i="62"/>
  <c r="J128" i="74"/>
  <c r="F124" i="89"/>
  <c r="B124" i="89"/>
  <c r="J130" i="19"/>
  <c r="E130" i="74"/>
  <c r="G129" i="74"/>
  <c r="D130" i="74"/>
  <c r="E126" i="78"/>
  <c r="D126" i="78"/>
  <c r="G125" i="78"/>
  <c r="D134" i="30"/>
  <c r="E134" i="30"/>
  <c r="G133" i="30"/>
  <c r="J133" i="28"/>
  <c r="E129" i="59"/>
  <c r="D129" i="59"/>
  <c r="G128" i="59"/>
  <c r="J127" i="59"/>
  <c r="H129" i="56"/>
  <c r="I129" i="56"/>
  <c r="J132" i="71"/>
  <c r="B130" i="56"/>
  <c r="F130" i="56"/>
  <c r="J131" i="18"/>
  <c r="E133" i="18"/>
  <c r="G132" i="18"/>
  <c r="D133" i="18"/>
  <c r="D134" i="23"/>
  <c r="G133" i="23"/>
  <c r="E134" i="23"/>
  <c r="J130" i="3"/>
  <c r="D134" i="71"/>
  <c r="G133" i="71"/>
  <c r="E134" i="71"/>
  <c r="J128" i="57"/>
  <c r="J123" i="95"/>
  <c r="E130" i="57"/>
  <c r="D130" i="57"/>
  <c r="G129" i="57"/>
  <c r="D125" i="94"/>
  <c r="E125" i="94" s="1"/>
  <c r="G124" i="94"/>
  <c r="G123" i="96"/>
  <c r="D124" i="96"/>
  <c r="E124" i="96" s="1"/>
  <c r="J129" i="44"/>
  <c r="H122" i="13"/>
  <c r="I122" i="13"/>
  <c r="B126" i="77"/>
  <c r="F126" i="77"/>
  <c r="D127" i="67"/>
  <c r="G126" i="67"/>
  <c r="E127" i="67"/>
  <c r="B133" i="24"/>
  <c r="F133" i="24"/>
  <c r="I124" i="83"/>
  <c r="H124" i="83"/>
  <c r="F129" i="55"/>
  <c r="B129" i="55"/>
  <c r="I130" i="42"/>
  <c r="H130" i="42"/>
  <c r="I128" i="54"/>
  <c r="H128" i="54"/>
  <c r="F126" i="75"/>
  <c r="B126" i="75"/>
  <c r="J131" i="17"/>
  <c r="I152" i="35"/>
  <c r="H152" i="35"/>
  <c r="D125" i="95"/>
  <c r="E125" i="95" s="1"/>
  <c r="G124" i="95"/>
  <c r="B125" i="83"/>
  <c r="F125" i="83"/>
  <c r="F126" i="76"/>
  <c r="B126" i="76"/>
  <c r="F123" i="33"/>
  <c r="B123" i="33"/>
  <c r="F131" i="42"/>
  <c r="B131" i="42"/>
  <c r="F123" i="13"/>
  <c r="B123" i="13"/>
  <c r="H125" i="77"/>
  <c r="I125" i="77"/>
  <c r="D131" i="44"/>
  <c r="G130" i="44"/>
  <c r="E131" i="44"/>
  <c r="J151" i="35"/>
  <c r="I128" i="55"/>
  <c r="H128" i="55"/>
  <c r="D125" i="82"/>
  <c r="G124" i="82"/>
  <c r="E125" i="82"/>
  <c r="H122" i="33"/>
  <c r="I122" i="33"/>
  <c r="B125" i="80"/>
  <c r="F125" i="80"/>
  <c r="F132" i="21"/>
  <c r="B132" i="21"/>
  <c r="D135" i="28"/>
  <c r="G134" i="28"/>
  <c r="E135" i="28"/>
  <c r="G153" i="35"/>
  <c r="B154" i="35"/>
  <c r="E154" i="35"/>
  <c r="F154" i="35" s="1"/>
  <c r="G154" i="35" s="1"/>
  <c r="F124" i="93"/>
  <c r="B124" i="93"/>
  <c r="G132" i="17"/>
  <c r="D133" i="17"/>
  <c r="E133" i="17"/>
  <c r="I132" i="24"/>
  <c r="H132" i="24"/>
  <c r="H125" i="76"/>
  <c r="I125" i="76"/>
  <c r="I124" i="80"/>
  <c r="H124" i="80"/>
  <c r="D124" i="87"/>
  <c r="G123" i="87"/>
  <c r="E124" i="87"/>
  <c r="J125" i="67"/>
  <c r="H131" i="21"/>
  <c r="I131" i="21"/>
  <c r="G131" i="3"/>
  <c r="D132" i="3"/>
  <c r="E132" i="3"/>
  <c r="J123" i="94"/>
  <c r="B129" i="54"/>
  <c r="F129" i="54"/>
  <c r="I125" i="75"/>
  <c r="H125" i="75"/>
  <c r="I123" i="93"/>
  <c r="H123" i="93"/>
  <c r="D54" i="100" l="1"/>
  <c r="E54" i="100"/>
  <c r="B53" i="100"/>
  <c r="G53" i="100"/>
  <c r="H53" i="100"/>
  <c r="I53" i="100" s="1"/>
  <c r="J122" i="100"/>
  <c r="H123" i="100"/>
  <c r="I123" i="100"/>
  <c r="J123" i="100" s="1"/>
  <c r="E124" i="100"/>
  <c r="B124" i="100"/>
  <c r="F124" i="100"/>
  <c r="I51" i="97"/>
  <c r="D44" i="25"/>
  <c r="G43" i="25"/>
  <c r="H43" i="25"/>
  <c r="J122" i="25"/>
  <c r="H52" i="97"/>
  <c r="E53" i="97"/>
  <c r="F53" i="97" s="1"/>
  <c r="D54" i="97" s="1"/>
  <c r="B53" i="97"/>
  <c r="I47" i="99"/>
  <c r="G44" i="26"/>
  <c r="I44" i="26" s="1"/>
  <c r="G52" i="97"/>
  <c r="F43" i="98"/>
  <c r="G43" i="98" s="1"/>
  <c r="B43" i="98"/>
  <c r="F48" i="99"/>
  <c r="G48" i="99" s="1"/>
  <c r="B48" i="99"/>
  <c r="G123" i="25"/>
  <c r="D124" i="25"/>
  <c r="D124" i="99"/>
  <c r="G123" i="99"/>
  <c r="E124" i="99"/>
  <c r="J122" i="99"/>
  <c r="I47" i="66"/>
  <c r="G50" i="58"/>
  <c r="I50" i="58" s="1"/>
  <c r="J123" i="26"/>
  <c r="B124" i="98"/>
  <c r="F124" i="98"/>
  <c r="H123" i="98"/>
  <c r="I123" i="98"/>
  <c r="B124" i="97"/>
  <c r="F124" i="97"/>
  <c r="D125" i="26"/>
  <c r="G124" i="26"/>
  <c r="I123" i="97"/>
  <c r="H123" i="97"/>
  <c r="G46" i="82"/>
  <c r="I46" i="82" s="1"/>
  <c r="G46" i="75"/>
  <c r="I46" i="75" s="1"/>
  <c r="G54" i="69"/>
  <c r="I54" i="69" s="1"/>
  <c r="B48" i="67"/>
  <c r="F48" i="67"/>
  <c r="H48" i="67" s="1"/>
  <c r="G48" i="56"/>
  <c r="I48" i="56" s="1"/>
  <c r="G50" i="55"/>
  <c r="I50" i="55" s="1"/>
  <c r="F49" i="46"/>
  <c r="H49" i="46" s="1"/>
  <c r="B49" i="46"/>
  <c r="I48" i="46"/>
  <c r="H51" i="39"/>
  <c r="I51" i="39" s="1"/>
  <c r="G53" i="30"/>
  <c r="I53" i="30" s="1"/>
  <c r="F53" i="24"/>
  <c r="G53" i="24" s="1"/>
  <c r="B53" i="24"/>
  <c r="B46" i="80"/>
  <c r="F46" i="80"/>
  <c r="G46" i="80" s="1"/>
  <c r="I45" i="80"/>
  <c r="B44" i="94"/>
  <c r="F44" i="94"/>
  <c r="G44" i="94" s="1"/>
  <c r="H45" i="86"/>
  <c r="I45" i="86" s="1"/>
  <c r="D46" i="86"/>
  <c r="E46" i="86" s="1"/>
  <c r="D47" i="82"/>
  <c r="E47" i="82" s="1"/>
  <c r="G52" i="3"/>
  <c r="I52" i="3" s="1"/>
  <c r="F43" i="93"/>
  <c r="G43" i="93" s="1"/>
  <c r="B43" i="93"/>
  <c r="D52" i="42"/>
  <c r="E52" i="42" s="1"/>
  <c r="B48" i="66"/>
  <c r="F48" i="66"/>
  <c r="H48" i="66" s="1"/>
  <c r="F45" i="84"/>
  <c r="H45" i="84" s="1"/>
  <c r="B45" i="84"/>
  <c r="B45" i="91"/>
  <c r="F45" i="91"/>
  <c r="D48" i="65"/>
  <c r="E48" i="65"/>
  <c r="G51" i="42"/>
  <c r="I53" i="23"/>
  <c r="B49" i="53"/>
  <c r="F49" i="53"/>
  <c r="H49" i="53" s="1"/>
  <c r="G47" i="62"/>
  <c r="I47" i="62" s="1"/>
  <c r="G43" i="95"/>
  <c r="I43" i="95" s="1"/>
  <c r="F46" i="90"/>
  <c r="H46" i="90" s="1"/>
  <c r="B46" i="90"/>
  <c r="D51" i="55"/>
  <c r="E51" i="55" s="1"/>
  <c r="D51" i="58"/>
  <c r="E51" i="58" s="1"/>
  <c r="H51" i="42"/>
  <c r="B54" i="23"/>
  <c r="F54" i="23"/>
  <c r="H50" i="45"/>
  <c r="I50" i="45" s="1"/>
  <c r="G48" i="64"/>
  <c r="I48" i="64" s="1"/>
  <c r="D47" i="75"/>
  <c r="E47" i="75"/>
  <c r="G47" i="65"/>
  <c r="I47" i="65" s="1"/>
  <c r="H45" i="85"/>
  <c r="D46" i="85"/>
  <c r="E46" i="85" s="1"/>
  <c r="G54" i="31"/>
  <c r="I54" i="31" s="1"/>
  <c r="G45" i="88"/>
  <c r="I45" i="88" s="1"/>
  <c r="B51" i="44"/>
  <c r="F51" i="44"/>
  <c r="H51" i="44" s="1"/>
  <c r="D50" i="72"/>
  <c r="E50" i="72"/>
  <c r="G53" i="71"/>
  <c r="I53" i="71" s="1"/>
  <c r="I45" i="76"/>
  <c r="B52" i="22"/>
  <c r="F52" i="22"/>
  <c r="G52" i="22" s="1"/>
  <c r="F48" i="61"/>
  <c r="B48" i="61"/>
  <c r="D44" i="95"/>
  <c r="E44" i="95" s="1"/>
  <c r="H49" i="72"/>
  <c r="F54" i="27"/>
  <c r="B54" i="27"/>
  <c r="F46" i="76"/>
  <c r="G46" i="76" s="1"/>
  <c r="B46" i="76"/>
  <c r="B45" i="81"/>
  <c r="F45" i="81"/>
  <c r="G45" i="81" s="1"/>
  <c r="B43" i="96"/>
  <c r="F43" i="96"/>
  <c r="H43" i="96" s="1"/>
  <c r="H52" i="19"/>
  <c r="I52" i="19" s="1"/>
  <c r="G55" i="28"/>
  <c r="I55" i="28" s="1"/>
  <c r="G45" i="85"/>
  <c r="G49" i="72"/>
  <c r="D52" i="39"/>
  <c r="E52" i="39" s="1"/>
  <c r="I50" i="73"/>
  <c r="G51" i="20"/>
  <c r="I51" i="20" s="1"/>
  <c r="H43" i="13"/>
  <c r="I43" i="13" s="1"/>
  <c r="G53" i="34"/>
  <c r="I53" i="34" s="1"/>
  <c r="D54" i="34"/>
  <c r="E54" i="34" s="1"/>
  <c r="F49" i="54"/>
  <c r="G49" i="54" s="1"/>
  <c r="B49" i="54"/>
  <c r="G47" i="68"/>
  <c r="I47" i="68" s="1"/>
  <c r="D48" i="68"/>
  <c r="E48" i="68"/>
  <c r="B54" i="29"/>
  <c r="F54" i="29"/>
  <c r="G54" i="29" s="1"/>
  <c r="B54" i="70"/>
  <c r="F54" i="70"/>
  <c r="H54" i="70" s="1"/>
  <c r="D53" i="3"/>
  <c r="E53" i="3" s="1"/>
  <c r="D54" i="30"/>
  <c r="E54" i="30"/>
  <c r="D53" i="19"/>
  <c r="E53" i="19" s="1"/>
  <c r="D55" i="31"/>
  <c r="E55" i="31"/>
  <c r="F44" i="92"/>
  <c r="B44" i="92"/>
  <c r="F52" i="43"/>
  <c r="H52" i="43" s="1"/>
  <c r="B52" i="43"/>
  <c r="D54" i="71"/>
  <c r="E54" i="71" s="1"/>
  <c r="D55" i="69"/>
  <c r="E55" i="69" s="1"/>
  <c r="G44" i="83"/>
  <c r="I44" i="83" s="1"/>
  <c r="B52" i="17"/>
  <c r="C61" i="17"/>
  <c r="F52" i="17"/>
  <c r="B46" i="79"/>
  <c r="F46" i="79"/>
  <c r="G46" i="79" s="1"/>
  <c r="F46" i="78"/>
  <c r="H46" i="78" s="1"/>
  <c r="B46" i="78"/>
  <c r="B46" i="77"/>
  <c r="F46" i="77"/>
  <c r="G46" i="77" s="1"/>
  <c r="F51" i="73"/>
  <c r="H51" i="73" s="1"/>
  <c r="B51" i="73"/>
  <c r="B48" i="63"/>
  <c r="F48" i="63"/>
  <c r="G48" i="63" s="1"/>
  <c r="F52" i="21"/>
  <c r="G52" i="21" s="1"/>
  <c r="B52" i="21"/>
  <c r="F53" i="32"/>
  <c r="H53" i="32" s="1"/>
  <c r="B53" i="32"/>
  <c r="B52" i="41"/>
  <c r="F52" i="41"/>
  <c r="D56" i="28"/>
  <c r="E56" i="28" s="1"/>
  <c r="E46" i="88"/>
  <c r="D46" i="88"/>
  <c r="F51" i="74"/>
  <c r="H51" i="74" s="1"/>
  <c r="B51" i="74"/>
  <c r="F48" i="60"/>
  <c r="B48" i="60"/>
  <c r="D51" i="45"/>
  <c r="E51" i="45"/>
  <c r="E49" i="64"/>
  <c r="D49" i="64"/>
  <c r="B49" i="57"/>
  <c r="F49" i="57"/>
  <c r="G49" i="57" s="1"/>
  <c r="D49" i="56"/>
  <c r="E49" i="56" s="1"/>
  <c r="D45" i="83"/>
  <c r="E45" i="83" s="1"/>
  <c r="F44" i="89"/>
  <c r="G44" i="89" s="1"/>
  <c r="B44" i="89"/>
  <c r="J127" i="62"/>
  <c r="J123" i="89"/>
  <c r="J122" i="13"/>
  <c r="D46" i="33"/>
  <c r="E46" i="33" s="1"/>
  <c r="G45" i="33"/>
  <c r="H45" i="33"/>
  <c r="E45" i="87"/>
  <c r="D45" i="87"/>
  <c r="J132" i="24"/>
  <c r="J130" i="41"/>
  <c r="J131" i="22"/>
  <c r="E52" i="20"/>
  <c r="D52" i="20"/>
  <c r="D48" i="62"/>
  <c r="E48" i="62" s="1"/>
  <c r="D45" i="26"/>
  <c r="E45" i="26" s="1"/>
  <c r="F53" i="18"/>
  <c r="G53" i="18" s="1"/>
  <c r="B53" i="18"/>
  <c r="G71" i="35"/>
  <c r="H71" i="35"/>
  <c r="E72" i="35"/>
  <c r="F72" i="35" s="1"/>
  <c r="B72" i="35"/>
  <c r="G44" i="87"/>
  <c r="I44" i="87" s="1"/>
  <c r="D44" i="13"/>
  <c r="I70" i="35"/>
  <c r="F48" i="59"/>
  <c r="H48" i="59" s="1"/>
  <c r="B48" i="59"/>
  <c r="B134" i="30"/>
  <c r="F134" i="30"/>
  <c r="F130" i="74"/>
  <c r="B130" i="74"/>
  <c r="J129" i="45"/>
  <c r="I128" i="72"/>
  <c r="H128" i="72"/>
  <c r="H123" i="84"/>
  <c r="I123" i="84"/>
  <c r="F132" i="20"/>
  <c r="B132" i="20"/>
  <c r="H133" i="69"/>
  <c r="I133" i="69"/>
  <c r="H130" i="43"/>
  <c r="I130" i="43"/>
  <c r="H127" i="64"/>
  <c r="I127" i="64"/>
  <c r="I124" i="85"/>
  <c r="H124" i="85"/>
  <c r="H128" i="53"/>
  <c r="I128" i="53"/>
  <c r="I123" i="86"/>
  <c r="H123" i="86"/>
  <c r="B132" i="34"/>
  <c r="F132" i="34"/>
  <c r="I133" i="70"/>
  <c r="H133" i="70"/>
  <c r="I131" i="19"/>
  <c r="H131" i="19"/>
  <c r="I123" i="90"/>
  <c r="H123" i="90"/>
  <c r="B127" i="68"/>
  <c r="F127" i="68"/>
  <c r="J123" i="91"/>
  <c r="I132" i="32"/>
  <c r="H132" i="32"/>
  <c r="B131" i="39"/>
  <c r="F131" i="39"/>
  <c r="J130" i="42"/>
  <c r="H125" i="78"/>
  <c r="I125" i="78"/>
  <c r="H129" i="74"/>
  <c r="I129" i="74"/>
  <c r="D125" i="89"/>
  <c r="G124" i="89"/>
  <c r="E125" i="89"/>
  <c r="G131" i="41"/>
  <c r="D132" i="41"/>
  <c r="E132" i="41"/>
  <c r="E133" i="22"/>
  <c r="D133" i="22"/>
  <c r="G132" i="22"/>
  <c r="B129" i="72"/>
  <c r="F129" i="72"/>
  <c r="H125" i="79"/>
  <c r="I125" i="79"/>
  <c r="I126" i="66"/>
  <c r="H126" i="66"/>
  <c r="F131" i="43"/>
  <c r="B131" i="43"/>
  <c r="F125" i="85"/>
  <c r="B125" i="85"/>
  <c r="F129" i="53"/>
  <c r="B129" i="53"/>
  <c r="B129" i="58"/>
  <c r="F129" i="58"/>
  <c r="E126" i="81"/>
  <c r="G125" i="81"/>
  <c r="D126" i="81"/>
  <c r="I133" i="27"/>
  <c r="H133" i="27"/>
  <c r="I126" i="68"/>
  <c r="H126" i="68"/>
  <c r="B129" i="46"/>
  <c r="F129" i="46"/>
  <c r="E131" i="45"/>
  <c r="G130" i="45"/>
  <c r="D131" i="45"/>
  <c r="F124" i="92"/>
  <c r="B124" i="92"/>
  <c r="I130" i="39"/>
  <c r="H130" i="39"/>
  <c r="B128" i="63"/>
  <c r="F128" i="63"/>
  <c r="I133" i="30"/>
  <c r="H133" i="30"/>
  <c r="F126" i="78"/>
  <c r="B126" i="78"/>
  <c r="F126" i="79"/>
  <c r="B126" i="79"/>
  <c r="G131" i="73"/>
  <c r="D132" i="73"/>
  <c r="E132" i="73"/>
  <c r="H131" i="20"/>
  <c r="I131" i="20"/>
  <c r="B134" i="69"/>
  <c r="F134" i="69"/>
  <c r="B128" i="64"/>
  <c r="F128" i="64"/>
  <c r="I133" i="29"/>
  <c r="H133" i="29"/>
  <c r="I128" i="58"/>
  <c r="H128" i="58"/>
  <c r="E125" i="91"/>
  <c r="G124" i="91"/>
  <c r="D125" i="91"/>
  <c r="I131" i="34"/>
  <c r="H131" i="34"/>
  <c r="I132" i="31"/>
  <c r="H132" i="31"/>
  <c r="F124" i="90"/>
  <c r="B124" i="90"/>
  <c r="B134" i="27"/>
  <c r="F134" i="27"/>
  <c r="I127" i="60"/>
  <c r="H127" i="60"/>
  <c r="B128" i="61"/>
  <c r="F128" i="61"/>
  <c r="B128" i="65"/>
  <c r="F128" i="65"/>
  <c r="F124" i="88"/>
  <c r="B124" i="88"/>
  <c r="J128" i="54"/>
  <c r="B124" i="84"/>
  <c r="F124" i="84"/>
  <c r="F127" i="66"/>
  <c r="B127" i="66"/>
  <c r="J124" i="81"/>
  <c r="F134" i="29"/>
  <c r="B134" i="29"/>
  <c r="B124" i="86"/>
  <c r="F124" i="86"/>
  <c r="F134" i="70"/>
  <c r="B134" i="70"/>
  <c r="F132" i="19"/>
  <c r="B132" i="19"/>
  <c r="F133" i="31"/>
  <c r="B133" i="31"/>
  <c r="J130" i="73"/>
  <c r="B128" i="60"/>
  <c r="F128" i="60"/>
  <c r="E129" i="62"/>
  <c r="D129" i="62"/>
  <c r="G128" i="62"/>
  <c r="I127" i="61"/>
  <c r="H127" i="61"/>
  <c r="H128" i="46"/>
  <c r="I128" i="46"/>
  <c r="H127" i="65"/>
  <c r="I127" i="65"/>
  <c r="H123" i="92"/>
  <c r="I123" i="92"/>
  <c r="B133" i="32"/>
  <c r="F133" i="32"/>
  <c r="H123" i="88"/>
  <c r="I123" i="88"/>
  <c r="H127" i="63"/>
  <c r="I127" i="63"/>
  <c r="J125" i="76"/>
  <c r="J152" i="35"/>
  <c r="H133" i="23"/>
  <c r="I133" i="23"/>
  <c r="F133" i="18"/>
  <c r="B133" i="18"/>
  <c r="E131" i="56"/>
  <c r="G130" i="56"/>
  <c r="D131" i="56"/>
  <c r="J129" i="56"/>
  <c r="I128" i="59"/>
  <c r="H128" i="59"/>
  <c r="F134" i="23"/>
  <c r="B134" i="23"/>
  <c r="I132" i="18"/>
  <c r="H132" i="18"/>
  <c r="F129" i="59"/>
  <c r="B129" i="59"/>
  <c r="J123" i="93"/>
  <c r="J125" i="75"/>
  <c r="J124" i="80"/>
  <c r="J128" i="55"/>
  <c r="F130" i="57"/>
  <c r="B130" i="57"/>
  <c r="J131" i="21"/>
  <c r="H133" i="71"/>
  <c r="I133" i="71"/>
  <c r="H129" i="57"/>
  <c r="I129" i="57"/>
  <c r="B134" i="71"/>
  <c r="F134" i="71"/>
  <c r="F124" i="87"/>
  <c r="B124" i="87"/>
  <c r="E133" i="21"/>
  <c r="D133" i="21"/>
  <c r="G132" i="21"/>
  <c r="D126" i="80"/>
  <c r="E126" i="80"/>
  <c r="G125" i="80"/>
  <c r="B125" i="82"/>
  <c r="F125" i="82"/>
  <c r="H130" i="44"/>
  <c r="I130" i="44"/>
  <c r="G123" i="13"/>
  <c r="D124" i="13"/>
  <c r="E124" i="13" s="1"/>
  <c r="G131" i="42"/>
  <c r="D132" i="42"/>
  <c r="E132" i="42"/>
  <c r="G123" i="33"/>
  <c r="D124" i="33"/>
  <c r="E124" i="33" s="1"/>
  <c r="B125" i="95"/>
  <c r="F125" i="95"/>
  <c r="J124" i="83"/>
  <c r="F132" i="3"/>
  <c r="B132" i="3"/>
  <c r="B133" i="17"/>
  <c r="F133" i="17"/>
  <c r="I154" i="35"/>
  <c r="H154" i="35"/>
  <c r="I134" i="28"/>
  <c r="H134" i="28"/>
  <c r="B131" i="44"/>
  <c r="F131" i="44"/>
  <c r="J125" i="77"/>
  <c r="I124" i="94"/>
  <c r="H124" i="94"/>
  <c r="I131" i="3"/>
  <c r="H131" i="3"/>
  <c r="H132" i="17"/>
  <c r="I132" i="17"/>
  <c r="G124" i="93"/>
  <c r="D125" i="93"/>
  <c r="B135" i="28"/>
  <c r="F135" i="28"/>
  <c r="J122" i="33"/>
  <c r="E127" i="76"/>
  <c r="D127" i="76"/>
  <c r="G126" i="76"/>
  <c r="I124" i="95"/>
  <c r="H124" i="95"/>
  <c r="E127" i="75"/>
  <c r="D127" i="75"/>
  <c r="G126" i="75"/>
  <c r="D130" i="55"/>
  <c r="E130" i="55"/>
  <c r="G129" i="55"/>
  <c r="H126" i="67"/>
  <c r="I126" i="67"/>
  <c r="E127" i="77"/>
  <c r="D127" i="77"/>
  <c r="G126" i="77"/>
  <c r="B124" i="96"/>
  <c r="F124" i="96"/>
  <c r="G129" i="54"/>
  <c r="D130" i="54"/>
  <c r="E130" i="54"/>
  <c r="I123" i="87"/>
  <c r="H123" i="87"/>
  <c r="H153" i="35"/>
  <c r="I153" i="35"/>
  <c r="H124" i="82"/>
  <c r="I124" i="82"/>
  <c r="E126" i="83"/>
  <c r="D126" i="83"/>
  <c r="G125" i="83"/>
  <c r="D134" i="24"/>
  <c r="G133" i="24"/>
  <c r="E134" i="24"/>
  <c r="B127" i="67"/>
  <c r="F127" i="67"/>
  <c r="H123" i="96"/>
  <c r="I123" i="96"/>
  <c r="B125" i="94"/>
  <c r="F125" i="94"/>
  <c r="F54" i="100" l="1"/>
  <c r="D55" i="100" s="1"/>
  <c r="B54" i="100"/>
  <c r="G54" i="100"/>
  <c r="H54" i="100"/>
  <c r="G124" i="100"/>
  <c r="D125" i="100"/>
  <c r="E125" i="100"/>
  <c r="I43" i="25"/>
  <c r="B44" i="25"/>
  <c r="E44" i="25"/>
  <c r="F44" i="25" s="1"/>
  <c r="I52" i="97"/>
  <c r="I51" i="42"/>
  <c r="G53" i="97"/>
  <c r="H52" i="22"/>
  <c r="I52" i="22" s="1"/>
  <c r="D49" i="99"/>
  <c r="E49" i="99"/>
  <c r="D44" i="98"/>
  <c r="E44" i="98" s="1"/>
  <c r="E54" i="97"/>
  <c r="F54" i="97" s="1"/>
  <c r="B54" i="97"/>
  <c r="H48" i="99"/>
  <c r="I48" i="99" s="1"/>
  <c r="H43" i="98"/>
  <c r="I43" i="98" s="1"/>
  <c r="H53" i="97"/>
  <c r="E124" i="25"/>
  <c r="F124" i="25" s="1"/>
  <c r="B124" i="25"/>
  <c r="I123" i="25"/>
  <c r="H123" i="25"/>
  <c r="I123" i="99"/>
  <c r="H123" i="99"/>
  <c r="B124" i="99"/>
  <c r="F124" i="99"/>
  <c r="H46" i="80"/>
  <c r="I46" i="80" s="1"/>
  <c r="J123" i="98"/>
  <c r="I124" i="26"/>
  <c r="H124" i="26"/>
  <c r="B125" i="26"/>
  <c r="E125" i="26"/>
  <c r="F125" i="26" s="1"/>
  <c r="G124" i="97"/>
  <c r="D125" i="97"/>
  <c r="E125" i="97"/>
  <c r="G124" i="98"/>
  <c r="D125" i="98"/>
  <c r="E125" i="98"/>
  <c r="J123" i="97"/>
  <c r="H44" i="89"/>
  <c r="I44" i="89" s="1"/>
  <c r="G43" i="96"/>
  <c r="I43" i="96" s="1"/>
  <c r="H43" i="93"/>
  <c r="I43" i="93" s="1"/>
  <c r="G48" i="67"/>
  <c r="I48" i="67" s="1"/>
  <c r="E49" i="67"/>
  <c r="D49" i="67"/>
  <c r="G49" i="46"/>
  <c r="I49" i="46" s="1"/>
  <c r="D50" i="46"/>
  <c r="E50" i="46" s="1"/>
  <c r="H53" i="24"/>
  <c r="I53" i="24" s="1"/>
  <c r="D54" i="24"/>
  <c r="E54" i="24" s="1"/>
  <c r="H49" i="57"/>
  <c r="I49" i="57" s="1"/>
  <c r="G49" i="53"/>
  <c r="I49" i="53" s="1"/>
  <c r="F47" i="82"/>
  <c r="B47" i="82"/>
  <c r="H49" i="54"/>
  <c r="I49" i="54" s="1"/>
  <c r="H45" i="81"/>
  <c r="I45" i="81" s="1"/>
  <c r="D44" i="93"/>
  <c r="E44" i="93" s="1"/>
  <c r="H44" i="94"/>
  <c r="I44" i="94" s="1"/>
  <c r="D45" i="94"/>
  <c r="E45" i="94" s="1"/>
  <c r="D47" i="80"/>
  <c r="E47" i="80"/>
  <c r="B46" i="86"/>
  <c r="F46" i="86"/>
  <c r="B47" i="75"/>
  <c r="F47" i="75"/>
  <c r="G47" i="75" s="1"/>
  <c r="F51" i="58"/>
  <c r="B51" i="58"/>
  <c r="D50" i="53"/>
  <c r="E50" i="53"/>
  <c r="D46" i="84"/>
  <c r="E46" i="84"/>
  <c r="B51" i="55"/>
  <c r="F51" i="55"/>
  <c r="H51" i="55" s="1"/>
  <c r="D47" i="90"/>
  <c r="E47" i="90" s="1"/>
  <c r="D46" i="91"/>
  <c r="E46" i="91" s="1"/>
  <c r="G45" i="91"/>
  <c r="H54" i="23"/>
  <c r="G54" i="23"/>
  <c r="D55" i="23"/>
  <c r="E55" i="23" s="1"/>
  <c r="G46" i="90"/>
  <c r="I46" i="90" s="1"/>
  <c r="B48" i="65"/>
  <c r="F48" i="65"/>
  <c r="H48" i="65" s="1"/>
  <c r="G45" i="84"/>
  <c r="I45" i="84" s="1"/>
  <c r="H45" i="91"/>
  <c r="G48" i="66"/>
  <c r="I48" i="66" s="1"/>
  <c r="D49" i="66"/>
  <c r="E49" i="66" s="1"/>
  <c r="F52" i="42"/>
  <c r="G52" i="42" s="1"/>
  <c r="B52" i="42"/>
  <c r="D49" i="61"/>
  <c r="E49" i="61" s="1"/>
  <c r="G46" i="78"/>
  <c r="I46" i="78" s="1"/>
  <c r="I45" i="85"/>
  <c r="G48" i="61"/>
  <c r="B50" i="72"/>
  <c r="F50" i="72"/>
  <c r="H50" i="72" s="1"/>
  <c r="G48" i="59"/>
  <c r="I48" i="59" s="1"/>
  <c r="F52" i="39"/>
  <c r="B52" i="39"/>
  <c r="D44" i="96"/>
  <c r="E44" i="96" s="1"/>
  <c r="H54" i="27"/>
  <c r="G54" i="27"/>
  <c r="D55" i="27"/>
  <c r="E55" i="27" s="1"/>
  <c r="I49" i="72"/>
  <c r="H48" i="61"/>
  <c r="B46" i="85"/>
  <c r="F46" i="85"/>
  <c r="G46" i="85" s="1"/>
  <c r="H46" i="76"/>
  <c r="I46" i="76" s="1"/>
  <c r="E47" i="76"/>
  <c r="D47" i="76"/>
  <c r="E46" i="81"/>
  <c r="D46" i="81"/>
  <c r="B44" i="95"/>
  <c r="F44" i="95"/>
  <c r="G44" i="95" s="1"/>
  <c r="D53" i="22"/>
  <c r="E53" i="22" s="1"/>
  <c r="G51" i="44"/>
  <c r="I51" i="44" s="1"/>
  <c r="D52" i="44"/>
  <c r="E52" i="44" s="1"/>
  <c r="B45" i="83"/>
  <c r="F45" i="83"/>
  <c r="G45" i="83" s="1"/>
  <c r="F49" i="64"/>
  <c r="G49" i="64" s="1"/>
  <c r="B49" i="64"/>
  <c r="F51" i="45"/>
  <c r="H51" i="45" s="1"/>
  <c r="B51" i="45"/>
  <c r="E49" i="60"/>
  <c r="D49" i="60"/>
  <c r="B46" i="88"/>
  <c r="F46" i="88"/>
  <c r="G46" i="88" s="1"/>
  <c r="D53" i="41"/>
  <c r="E53" i="41" s="1"/>
  <c r="G51" i="73"/>
  <c r="I51" i="73" s="1"/>
  <c r="H46" i="77"/>
  <c r="I46" i="77" s="1"/>
  <c r="D45" i="92"/>
  <c r="E45" i="92" s="1"/>
  <c r="B54" i="34"/>
  <c r="F54" i="34"/>
  <c r="H54" i="34" s="1"/>
  <c r="F49" i="56"/>
  <c r="H49" i="56" s="1"/>
  <c r="B49" i="56"/>
  <c r="E50" i="57"/>
  <c r="D50" i="57"/>
  <c r="H48" i="60"/>
  <c r="G51" i="74"/>
  <c r="I51" i="74" s="1"/>
  <c r="D52" i="74"/>
  <c r="E52" i="74" s="1"/>
  <c r="G53" i="32"/>
  <c r="I53" i="32" s="1"/>
  <c r="D54" i="32"/>
  <c r="E54" i="32" s="1"/>
  <c r="D53" i="21"/>
  <c r="E53" i="21" s="1"/>
  <c r="H48" i="63"/>
  <c r="I48" i="63" s="1"/>
  <c r="D47" i="78"/>
  <c r="E47" i="78" s="1"/>
  <c r="H46" i="79"/>
  <c r="I46" i="79" s="1"/>
  <c r="G52" i="17"/>
  <c r="D53" i="17"/>
  <c r="E53" i="17" s="1"/>
  <c r="D53" i="43"/>
  <c r="E53" i="43" s="1"/>
  <c r="H44" i="92"/>
  <c r="B53" i="19"/>
  <c r="F53" i="19"/>
  <c r="H53" i="19" s="1"/>
  <c r="F53" i="3"/>
  <c r="H53" i="3" s="1"/>
  <c r="B53" i="3"/>
  <c r="I45" i="33"/>
  <c r="D45" i="89"/>
  <c r="E45" i="89" s="1"/>
  <c r="G52" i="41"/>
  <c r="H52" i="21"/>
  <c r="I52" i="21" s="1"/>
  <c r="H52" i="17"/>
  <c r="B54" i="71"/>
  <c r="F54" i="71"/>
  <c r="H54" i="71" s="1"/>
  <c r="G52" i="43"/>
  <c r="I52" i="43" s="1"/>
  <c r="G44" i="92"/>
  <c r="H54" i="29"/>
  <c r="I54" i="29" s="1"/>
  <c r="D55" i="29"/>
  <c r="E55" i="29" s="1"/>
  <c r="B48" i="68"/>
  <c r="F48" i="68"/>
  <c r="H48" i="68" s="1"/>
  <c r="D50" i="54"/>
  <c r="E50" i="54" s="1"/>
  <c r="G48" i="60"/>
  <c r="F56" i="28"/>
  <c r="B56" i="28"/>
  <c r="H52" i="41"/>
  <c r="E49" i="63"/>
  <c r="D49" i="63"/>
  <c r="D52" i="73"/>
  <c r="E52" i="73" s="1"/>
  <c r="D47" i="77"/>
  <c r="E47" i="77"/>
  <c r="D47" i="79"/>
  <c r="E47" i="79"/>
  <c r="B55" i="69"/>
  <c r="F55" i="69"/>
  <c r="H55" i="69" s="1"/>
  <c r="B55" i="31"/>
  <c r="F55" i="31"/>
  <c r="G55" i="31" s="1"/>
  <c r="F54" i="30"/>
  <c r="G54" i="30" s="1"/>
  <c r="B54" i="30"/>
  <c r="G54" i="70"/>
  <c r="I54" i="70" s="1"/>
  <c r="D55" i="70"/>
  <c r="E55" i="70" s="1"/>
  <c r="J125" i="78"/>
  <c r="J128" i="53"/>
  <c r="J127" i="64"/>
  <c r="J133" i="69"/>
  <c r="J133" i="30"/>
  <c r="J126" i="66"/>
  <c r="J130" i="39"/>
  <c r="J129" i="74"/>
  <c r="J123" i="88"/>
  <c r="J123" i="92"/>
  <c r="J130" i="43"/>
  <c r="J125" i="79"/>
  <c r="J128" i="59"/>
  <c r="J128" i="46"/>
  <c r="J132" i="31"/>
  <c r="J128" i="58"/>
  <c r="J127" i="63"/>
  <c r="J127" i="65"/>
  <c r="G72" i="35"/>
  <c r="H72" i="35"/>
  <c r="F52" i="20"/>
  <c r="H52" i="20" s="1"/>
  <c r="B52" i="20"/>
  <c r="B45" i="87"/>
  <c r="F45" i="87"/>
  <c r="J123" i="84"/>
  <c r="B44" i="13"/>
  <c r="I71" i="35"/>
  <c r="D54" i="18"/>
  <c r="E54" i="18" s="1"/>
  <c r="B45" i="26"/>
  <c r="F45" i="26"/>
  <c r="G45" i="26" s="1"/>
  <c r="B48" i="62"/>
  <c r="F48" i="62"/>
  <c r="H48" i="62" s="1"/>
  <c r="B46" i="33"/>
  <c r="F46" i="33"/>
  <c r="G46" i="33" s="1"/>
  <c r="E44" i="13"/>
  <c r="F44" i="13" s="1"/>
  <c r="H44" i="13" s="1"/>
  <c r="J132" i="32"/>
  <c r="D49" i="59"/>
  <c r="E49" i="59" s="1"/>
  <c r="H53" i="18"/>
  <c r="I53" i="18" s="1"/>
  <c r="B129" i="62"/>
  <c r="F129" i="62"/>
  <c r="D133" i="19"/>
  <c r="E133" i="19"/>
  <c r="G132" i="19"/>
  <c r="J127" i="60"/>
  <c r="E125" i="90"/>
  <c r="G124" i="90"/>
  <c r="D125" i="90"/>
  <c r="J131" i="34"/>
  <c r="G128" i="64"/>
  <c r="E129" i="64"/>
  <c r="D129" i="64"/>
  <c r="J131" i="20"/>
  <c r="H131" i="73"/>
  <c r="I131" i="73"/>
  <c r="E127" i="78"/>
  <c r="D127" i="78"/>
  <c r="G126" i="78"/>
  <c r="G124" i="92"/>
  <c r="E125" i="92"/>
  <c r="D125" i="92"/>
  <c r="E130" i="46"/>
  <c r="D130" i="46"/>
  <c r="G129" i="46"/>
  <c r="D130" i="53"/>
  <c r="E130" i="53"/>
  <c r="G129" i="53"/>
  <c r="E132" i="43"/>
  <c r="G131" i="43"/>
  <c r="D132" i="43"/>
  <c r="F133" i="22"/>
  <c r="B133" i="22"/>
  <c r="I131" i="41"/>
  <c r="H131" i="41"/>
  <c r="G130" i="74"/>
  <c r="D131" i="74"/>
  <c r="E131" i="74"/>
  <c r="J134" i="28"/>
  <c r="G133" i="32"/>
  <c r="D134" i="32"/>
  <c r="E134" i="32"/>
  <c r="D128" i="66"/>
  <c r="G127" i="66"/>
  <c r="E128" i="66"/>
  <c r="D129" i="61"/>
  <c r="E129" i="61"/>
  <c r="G128" i="61"/>
  <c r="D135" i="27"/>
  <c r="E135" i="27"/>
  <c r="G134" i="27"/>
  <c r="B125" i="91"/>
  <c r="F125" i="91"/>
  <c r="F131" i="45"/>
  <c r="B131" i="45"/>
  <c r="J133" i="27"/>
  <c r="D130" i="58"/>
  <c r="G129" i="58"/>
  <c r="E130" i="58"/>
  <c r="G129" i="72"/>
  <c r="D130" i="72"/>
  <c r="E130" i="72"/>
  <c r="E132" i="39"/>
  <c r="D132" i="39"/>
  <c r="G131" i="39"/>
  <c r="J123" i="90"/>
  <c r="J133" i="70"/>
  <c r="J123" i="86"/>
  <c r="J124" i="85"/>
  <c r="E133" i="20"/>
  <c r="G132" i="20"/>
  <c r="D133" i="20"/>
  <c r="J128" i="72"/>
  <c r="G134" i="30"/>
  <c r="D135" i="30"/>
  <c r="E135" i="30"/>
  <c r="J132" i="18"/>
  <c r="J127" i="61"/>
  <c r="G128" i="60"/>
  <c r="E129" i="60"/>
  <c r="D129" i="60"/>
  <c r="E134" i="31"/>
  <c r="D134" i="31"/>
  <c r="G133" i="31"/>
  <c r="E135" i="70"/>
  <c r="D135" i="70"/>
  <c r="G134" i="70"/>
  <c r="E135" i="29"/>
  <c r="D135" i="29"/>
  <c r="G134" i="29"/>
  <c r="E125" i="84"/>
  <c r="D125" i="84"/>
  <c r="G124" i="84"/>
  <c r="E125" i="88"/>
  <c r="D125" i="88"/>
  <c r="G124" i="88"/>
  <c r="H124" i="91"/>
  <c r="I124" i="91"/>
  <c r="E135" i="69"/>
  <c r="G134" i="69"/>
  <c r="D135" i="69"/>
  <c r="G126" i="79"/>
  <c r="D127" i="79"/>
  <c r="E127" i="79"/>
  <c r="I130" i="45"/>
  <c r="H130" i="45"/>
  <c r="B126" i="81"/>
  <c r="F126" i="81"/>
  <c r="G125" i="85"/>
  <c r="E126" i="85"/>
  <c r="D126" i="85"/>
  <c r="I124" i="89"/>
  <c r="H124" i="89"/>
  <c r="E128" i="68"/>
  <c r="G127" i="68"/>
  <c r="D128" i="68"/>
  <c r="E133" i="34"/>
  <c r="G132" i="34"/>
  <c r="D133" i="34"/>
  <c r="I128" i="62"/>
  <c r="H128" i="62"/>
  <c r="D125" i="86"/>
  <c r="G124" i="86"/>
  <c r="E125" i="86"/>
  <c r="D129" i="65"/>
  <c r="G128" i="65"/>
  <c r="E129" i="65"/>
  <c r="J133" i="29"/>
  <c r="B132" i="73"/>
  <c r="F132" i="73"/>
  <c r="G128" i="63"/>
  <c r="E129" i="63"/>
  <c r="D129" i="63"/>
  <c r="J126" i="68"/>
  <c r="H125" i="81"/>
  <c r="I125" i="81"/>
  <c r="I132" i="22"/>
  <c r="H132" i="22"/>
  <c r="F132" i="41"/>
  <c r="B132" i="41"/>
  <c r="F125" i="89"/>
  <c r="B125" i="89"/>
  <c r="J131" i="19"/>
  <c r="J124" i="82"/>
  <c r="J154" i="35"/>
  <c r="H130" i="56"/>
  <c r="I130" i="56"/>
  <c r="G133" i="18"/>
  <c r="D134" i="18"/>
  <c r="E134" i="18"/>
  <c r="J133" i="23"/>
  <c r="G129" i="59"/>
  <c r="D130" i="59"/>
  <c r="E130" i="59"/>
  <c r="E135" i="23"/>
  <c r="D135" i="23"/>
  <c r="G134" i="23"/>
  <c r="B131" i="56"/>
  <c r="F131" i="56"/>
  <c r="E135" i="71"/>
  <c r="D135" i="71"/>
  <c r="G134" i="71"/>
  <c r="J129" i="57"/>
  <c r="J133" i="71"/>
  <c r="G130" i="57"/>
  <c r="D131" i="57"/>
  <c r="E131" i="57"/>
  <c r="J132" i="17"/>
  <c r="H125" i="83"/>
  <c r="I125" i="83"/>
  <c r="B130" i="54"/>
  <c r="F130" i="54"/>
  <c r="F130" i="55"/>
  <c r="B130" i="55"/>
  <c r="H126" i="76"/>
  <c r="I126" i="76"/>
  <c r="B125" i="93"/>
  <c r="G131" i="44"/>
  <c r="D132" i="44"/>
  <c r="E132" i="44"/>
  <c r="B132" i="42"/>
  <c r="F132" i="42"/>
  <c r="H123" i="13"/>
  <c r="I123" i="13"/>
  <c r="D126" i="82"/>
  <c r="G125" i="82"/>
  <c r="E126" i="82"/>
  <c r="I125" i="80"/>
  <c r="H125" i="80"/>
  <c r="B133" i="21"/>
  <c r="F133" i="21"/>
  <c r="J123" i="96"/>
  <c r="H133" i="24"/>
  <c r="I133" i="24"/>
  <c r="B126" i="83"/>
  <c r="F126" i="83"/>
  <c r="J153" i="35"/>
  <c r="J155" i="35" s="1"/>
  <c r="J123" i="87"/>
  <c r="I129" i="54"/>
  <c r="H129" i="54"/>
  <c r="G124" i="96"/>
  <c r="D125" i="96"/>
  <c r="J126" i="67"/>
  <c r="H126" i="75"/>
  <c r="I126" i="75"/>
  <c r="J124" i="95"/>
  <c r="B127" i="76"/>
  <c r="F127" i="76"/>
  <c r="H124" i="93"/>
  <c r="I124" i="93"/>
  <c r="J131" i="3"/>
  <c r="G133" i="17"/>
  <c r="D134" i="17"/>
  <c r="E134" i="17"/>
  <c r="B124" i="33"/>
  <c r="F124" i="33"/>
  <c r="H131" i="42"/>
  <c r="I131" i="42"/>
  <c r="J130" i="44"/>
  <c r="G124" i="87"/>
  <c r="D125" i="87"/>
  <c r="E125" i="87"/>
  <c r="G127" i="67"/>
  <c r="D128" i="67"/>
  <c r="E128" i="67"/>
  <c r="B134" i="24"/>
  <c r="F134" i="24"/>
  <c r="I126" i="77"/>
  <c r="H126" i="77"/>
  <c r="H129" i="55"/>
  <c r="I129" i="55"/>
  <c r="F127" i="75"/>
  <c r="B127" i="75"/>
  <c r="G132" i="3"/>
  <c r="D133" i="3"/>
  <c r="E133" i="3"/>
  <c r="D126" i="95"/>
  <c r="E126" i="95" s="1"/>
  <c r="G125" i="95"/>
  <c r="I123" i="33"/>
  <c r="H123" i="33"/>
  <c r="F126" i="80"/>
  <c r="B126" i="80"/>
  <c r="G125" i="94"/>
  <c r="D126" i="94"/>
  <c r="E126" i="94" s="1"/>
  <c r="F127" i="77"/>
  <c r="B127" i="77"/>
  <c r="G135" i="28"/>
  <c r="D136" i="28"/>
  <c r="E136" i="28"/>
  <c r="E125" i="93"/>
  <c r="F125" i="93" s="1"/>
  <c r="J124" i="94"/>
  <c r="F124" i="13"/>
  <c r="B124" i="13"/>
  <c r="H132" i="21"/>
  <c r="I132" i="21"/>
  <c r="I54" i="100" l="1"/>
  <c r="E55" i="100"/>
  <c r="F55" i="100" s="1"/>
  <c r="B55" i="100"/>
  <c r="F125" i="100"/>
  <c r="B125" i="100"/>
  <c r="H124" i="100"/>
  <c r="I124" i="100"/>
  <c r="J124" i="100" s="1"/>
  <c r="I53" i="97"/>
  <c r="G44" i="25"/>
  <c r="D45" i="25"/>
  <c r="H44" i="25"/>
  <c r="J123" i="25"/>
  <c r="D55" i="97"/>
  <c r="G54" i="97"/>
  <c r="H54" i="97"/>
  <c r="B44" i="98"/>
  <c r="F44" i="98"/>
  <c r="G44" i="98" s="1"/>
  <c r="F49" i="99"/>
  <c r="B49" i="99"/>
  <c r="G124" i="25"/>
  <c r="D125" i="25"/>
  <c r="B125" i="25" s="1"/>
  <c r="D125" i="99"/>
  <c r="G124" i="99"/>
  <c r="E125" i="99"/>
  <c r="J123" i="99"/>
  <c r="H124" i="98"/>
  <c r="I124" i="98"/>
  <c r="F125" i="97"/>
  <c r="B125" i="97"/>
  <c r="D126" i="26"/>
  <c r="B126" i="26" s="1"/>
  <c r="G125" i="26"/>
  <c r="B125" i="98"/>
  <c r="F125" i="98"/>
  <c r="I124" i="97"/>
  <c r="H124" i="97"/>
  <c r="J124" i="26"/>
  <c r="B49" i="67"/>
  <c r="F49" i="67"/>
  <c r="G49" i="67" s="1"/>
  <c r="G48" i="65"/>
  <c r="I48" i="65" s="1"/>
  <c r="B50" i="46"/>
  <c r="F50" i="46"/>
  <c r="H50" i="46" s="1"/>
  <c r="B54" i="24"/>
  <c r="F54" i="24"/>
  <c r="H54" i="24" s="1"/>
  <c r="B45" i="94"/>
  <c r="F45" i="94"/>
  <c r="G45" i="94" s="1"/>
  <c r="H47" i="82"/>
  <c r="D48" i="82"/>
  <c r="E48" i="82" s="1"/>
  <c r="G53" i="3"/>
  <c r="I53" i="3" s="1"/>
  <c r="G50" i="72"/>
  <c r="I50" i="72" s="1"/>
  <c r="F47" i="80"/>
  <c r="G47" i="80" s="1"/>
  <c r="B47" i="80"/>
  <c r="H47" i="75"/>
  <c r="I47" i="75" s="1"/>
  <c r="H46" i="86"/>
  <c r="D47" i="86"/>
  <c r="E47" i="86" s="1"/>
  <c r="G46" i="86"/>
  <c r="F44" i="93"/>
  <c r="B44" i="93"/>
  <c r="G47" i="82"/>
  <c r="B46" i="91"/>
  <c r="F46" i="91"/>
  <c r="H46" i="91" s="1"/>
  <c r="G49" i="56"/>
  <c r="I49" i="56" s="1"/>
  <c r="G51" i="55"/>
  <c r="I51" i="55" s="1"/>
  <c r="D52" i="55"/>
  <c r="E52" i="55" s="1"/>
  <c r="F49" i="66"/>
  <c r="B49" i="66"/>
  <c r="G51" i="58"/>
  <c r="H51" i="58"/>
  <c r="D52" i="58"/>
  <c r="E52" i="58"/>
  <c r="I52" i="17"/>
  <c r="H52" i="42"/>
  <c r="I52" i="42" s="1"/>
  <c r="D53" i="42"/>
  <c r="E53" i="42" s="1"/>
  <c r="F55" i="23"/>
  <c r="B55" i="23"/>
  <c r="B47" i="90"/>
  <c r="F47" i="90"/>
  <c r="G47" i="90" s="1"/>
  <c r="F50" i="53"/>
  <c r="B50" i="53"/>
  <c r="D48" i="75"/>
  <c r="E48" i="75" s="1"/>
  <c r="F46" i="84"/>
  <c r="G46" i="84" s="1"/>
  <c r="B46" i="84"/>
  <c r="H46" i="33"/>
  <c r="I46" i="33" s="1"/>
  <c r="G54" i="71"/>
  <c r="I54" i="71" s="1"/>
  <c r="I54" i="27"/>
  <c r="D49" i="65"/>
  <c r="E49" i="65"/>
  <c r="I54" i="23"/>
  <c r="I45" i="91"/>
  <c r="B53" i="22"/>
  <c r="F53" i="22"/>
  <c r="H53" i="22" s="1"/>
  <c r="H46" i="88"/>
  <c r="I46" i="88" s="1"/>
  <c r="G51" i="45"/>
  <c r="I51" i="45" s="1"/>
  <c r="H45" i="83"/>
  <c r="I45" i="83" s="1"/>
  <c r="B46" i="81"/>
  <c r="F46" i="81"/>
  <c r="H46" i="81" s="1"/>
  <c r="H46" i="85"/>
  <c r="I46" i="85" s="1"/>
  <c r="D47" i="85"/>
  <c r="E47" i="85" s="1"/>
  <c r="D53" i="39"/>
  <c r="E53" i="39" s="1"/>
  <c r="B49" i="61"/>
  <c r="F49" i="61"/>
  <c r="H54" i="30"/>
  <c r="I54" i="30" s="1"/>
  <c r="B52" i="44"/>
  <c r="F52" i="44"/>
  <c r="G52" i="44" s="1"/>
  <c r="H44" i="95"/>
  <c r="I44" i="95" s="1"/>
  <c r="D45" i="95"/>
  <c r="E45" i="95" s="1"/>
  <c r="B55" i="27"/>
  <c r="F55" i="27"/>
  <c r="G52" i="39"/>
  <c r="F47" i="76"/>
  <c r="H47" i="76" s="1"/>
  <c r="B47" i="76"/>
  <c r="F44" i="96"/>
  <c r="G44" i="96" s="1"/>
  <c r="B44" i="96"/>
  <c r="H52" i="39"/>
  <c r="D51" i="72"/>
  <c r="E51" i="72" s="1"/>
  <c r="I48" i="61"/>
  <c r="I52" i="41"/>
  <c r="B47" i="79"/>
  <c r="F47" i="79"/>
  <c r="F52" i="73"/>
  <c r="G52" i="73" s="1"/>
  <c r="B52" i="73"/>
  <c r="D57" i="28"/>
  <c r="E57" i="28"/>
  <c r="G53" i="19"/>
  <c r="I53" i="19" s="1"/>
  <c r="D54" i="19"/>
  <c r="E54" i="19" s="1"/>
  <c r="F50" i="57"/>
  <c r="H50" i="57" s="1"/>
  <c r="B50" i="57"/>
  <c r="B49" i="60"/>
  <c r="F49" i="60"/>
  <c r="H49" i="60" s="1"/>
  <c r="D50" i="64"/>
  <c r="E50" i="64" s="1"/>
  <c r="H55" i="31"/>
  <c r="I55" i="31" s="1"/>
  <c r="D56" i="31"/>
  <c r="E56" i="31" s="1"/>
  <c r="G55" i="69"/>
  <c r="I55" i="69" s="1"/>
  <c r="F49" i="63"/>
  <c r="B49" i="63"/>
  <c r="H56" i="28"/>
  <c r="F50" i="54"/>
  <c r="B50" i="54"/>
  <c r="F55" i="29"/>
  <c r="G55" i="29" s="1"/>
  <c r="B55" i="29"/>
  <c r="I44" i="92"/>
  <c r="D55" i="71"/>
  <c r="E55" i="71" s="1"/>
  <c r="B45" i="89"/>
  <c r="F45" i="89"/>
  <c r="D54" i="3"/>
  <c r="E54" i="3" s="1"/>
  <c r="B53" i="43"/>
  <c r="F53" i="43"/>
  <c r="H53" i="43" s="1"/>
  <c r="F54" i="32"/>
  <c r="B54" i="32"/>
  <c r="I48" i="60"/>
  <c r="D50" i="56"/>
  <c r="E50" i="56" s="1"/>
  <c r="D47" i="88"/>
  <c r="E47" i="88"/>
  <c r="D52" i="45"/>
  <c r="E52" i="45" s="1"/>
  <c r="H49" i="64"/>
  <c r="I49" i="64" s="1"/>
  <c r="B55" i="70"/>
  <c r="F55" i="70"/>
  <c r="H55" i="70" s="1"/>
  <c r="F47" i="77"/>
  <c r="H47" i="77" s="1"/>
  <c r="B47" i="77"/>
  <c r="G56" i="28"/>
  <c r="B53" i="41"/>
  <c r="F53" i="41"/>
  <c r="G53" i="41" s="1"/>
  <c r="D46" i="83"/>
  <c r="E46" i="83"/>
  <c r="D55" i="30"/>
  <c r="E55" i="30" s="1"/>
  <c r="D56" i="69"/>
  <c r="E56" i="69" s="1"/>
  <c r="G48" i="68"/>
  <c r="I48" i="68" s="1"/>
  <c r="E49" i="68"/>
  <c r="D49" i="68"/>
  <c r="F53" i="17"/>
  <c r="B53" i="17"/>
  <c r="C62" i="17"/>
  <c r="F47" i="78"/>
  <c r="H47" i="78" s="1"/>
  <c r="B47" i="78"/>
  <c r="B53" i="21"/>
  <c r="F53" i="21"/>
  <c r="H53" i="21" s="1"/>
  <c r="B52" i="74"/>
  <c r="F52" i="74"/>
  <c r="H52" i="74" s="1"/>
  <c r="D55" i="34"/>
  <c r="E55" i="34" s="1"/>
  <c r="G54" i="34"/>
  <c r="I54" i="34" s="1"/>
  <c r="B45" i="92"/>
  <c r="F45" i="92"/>
  <c r="H45" i="92" s="1"/>
  <c r="J132" i="22"/>
  <c r="J131" i="41"/>
  <c r="J130" i="45"/>
  <c r="J126" i="77"/>
  <c r="E46" i="87"/>
  <c r="D46" i="87"/>
  <c r="D53" i="20"/>
  <c r="E53" i="20" s="1"/>
  <c r="D49" i="62"/>
  <c r="E49" i="62" s="1"/>
  <c r="D46" i="26"/>
  <c r="E46" i="26" s="1"/>
  <c r="B54" i="18"/>
  <c r="F54" i="18"/>
  <c r="H54" i="18" s="1"/>
  <c r="D45" i="13"/>
  <c r="E45" i="13" s="1"/>
  <c r="B49" i="59"/>
  <c r="F49" i="59"/>
  <c r="H49" i="59" s="1"/>
  <c r="G48" i="62"/>
  <c r="I48" i="62" s="1"/>
  <c r="H45" i="26"/>
  <c r="I45" i="26" s="1"/>
  <c r="G45" i="87"/>
  <c r="D47" i="33"/>
  <c r="E47" i="33" s="1"/>
  <c r="G44" i="13"/>
  <c r="I44" i="13" s="1"/>
  <c r="H45" i="87"/>
  <c r="G52" i="20"/>
  <c r="I52" i="20" s="1"/>
  <c r="I72" i="35"/>
  <c r="I73" i="35" s="1"/>
  <c r="J132" i="21"/>
  <c r="J125" i="81"/>
  <c r="J128" i="62"/>
  <c r="B128" i="68"/>
  <c r="F128" i="68"/>
  <c r="J124" i="89"/>
  <c r="G126" i="81"/>
  <c r="E127" i="81"/>
  <c r="D127" i="81"/>
  <c r="H134" i="69"/>
  <c r="I134" i="69"/>
  <c r="I124" i="88"/>
  <c r="H124" i="88"/>
  <c r="B125" i="84"/>
  <c r="F125" i="84"/>
  <c r="H133" i="31"/>
  <c r="I133" i="31"/>
  <c r="B133" i="20"/>
  <c r="F133" i="20"/>
  <c r="B132" i="39"/>
  <c r="F132" i="39"/>
  <c r="H129" i="72"/>
  <c r="I129" i="72"/>
  <c r="I128" i="61"/>
  <c r="H128" i="61"/>
  <c r="I127" i="66"/>
  <c r="H127" i="66"/>
  <c r="H133" i="32"/>
  <c r="I133" i="32"/>
  <c r="I130" i="74"/>
  <c r="H130" i="74"/>
  <c r="D134" i="22"/>
  <c r="E134" i="22"/>
  <c r="G133" i="22"/>
  <c r="H129" i="53"/>
  <c r="I129" i="53"/>
  <c r="B130" i="46"/>
  <c r="F130" i="46"/>
  <c r="I124" i="92"/>
  <c r="H124" i="92"/>
  <c r="J131" i="73"/>
  <c r="I124" i="90"/>
  <c r="H124" i="90"/>
  <c r="E133" i="41"/>
  <c r="G132" i="41"/>
  <c r="D133" i="41"/>
  <c r="I128" i="63"/>
  <c r="H128" i="63"/>
  <c r="H124" i="86"/>
  <c r="I124" i="86"/>
  <c r="B133" i="34"/>
  <c r="F133" i="34"/>
  <c r="I127" i="68"/>
  <c r="H127" i="68"/>
  <c r="F126" i="85"/>
  <c r="B126" i="85"/>
  <c r="F127" i="79"/>
  <c r="B127" i="79"/>
  <c r="B125" i="88"/>
  <c r="F125" i="88"/>
  <c r="I134" i="70"/>
  <c r="H134" i="70"/>
  <c r="B134" i="31"/>
  <c r="F134" i="31"/>
  <c r="I128" i="60"/>
  <c r="H128" i="60"/>
  <c r="F135" i="30"/>
  <c r="B135" i="30"/>
  <c r="H132" i="20"/>
  <c r="I132" i="20"/>
  <c r="I134" i="27"/>
  <c r="H134" i="27"/>
  <c r="F128" i="66"/>
  <c r="B128" i="66"/>
  <c r="B132" i="43"/>
  <c r="F132" i="43"/>
  <c r="I126" i="78"/>
  <c r="H126" i="78"/>
  <c r="H128" i="64"/>
  <c r="I128" i="64"/>
  <c r="B133" i="19"/>
  <c r="F133" i="19"/>
  <c r="E133" i="73"/>
  <c r="G132" i="73"/>
  <c r="D133" i="73"/>
  <c r="H128" i="65"/>
  <c r="I128" i="65"/>
  <c r="F125" i="86"/>
  <c r="B125" i="86"/>
  <c r="H132" i="34"/>
  <c r="I132" i="34"/>
  <c r="H126" i="79"/>
  <c r="I126" i="79"/>
  <c r="J124" i="91"/>
  <c r="H134" i="29"/>
  <c r="I134" i="29"/>
  <c r="F135" i="70"/>
  <c r="B135" i="70"/>
  <c r="H134" i="30"/>
  <c r="I134" i="30"/>
  <c r="H129" i="58"/>
  <c r="I129" i="58"/>
  <c r="D132" i="45"/>
  <c r="G131" i="45"/>
  <c r="E132" i="45"/>
  <c r="B129" i="61"/>
  <c r="F129" i="61"/>
  <c r="I131" i="43"/>
  <c r="H131" i="43"/>
  <c r="F130" i="53"/>
  <c r="B130" i="53"/>
  <c r="F125" i="92"/>
  <c r="B125" i="92"/>
  <c r="F127" i="78"/>
  <c r="B127" i="78"/>
  <c r="G129" i="62"/>
  <c r="E130" i="62"/>
  <c r="D130" i="62"/>
  <c r="D126" i="89"/>
  <c r="E126" i="89"/>
  <c r="G125" i="89"/>
  <c r="B129" i="63"/>
  <c r="F129" i="63"/>
  <c r="B129" i="65"/>
  <c r="F129" i="65"/>
  <c r="H125" i="85"/>
  <c r="I125" i="85"/>
  <c r="F135" i="69"/>
  <c r="B135" i="69"/>
  <c r="I124" i="84"/>
  <c r="H124" i="84"/>
  <c r="F135" i="29"/>
  <c r="B135" i="29"/>
  <c r="F129" i="60"/>
  <c r="B129" i="60"/>
  <c r="H131" i="39"/>
  <c r="I131" i="39"/>
  <c r="B130" i="72"/>
  <c r="F130" i="72"/>
  <c r="F130" i="58"/>
  <c r="B130" i="58"/>
  <c r="D126" i="91"/>
  <c r="G125" i="91"/>
  <c r="E126" i="91"/>
  <c r="B135" i="27"/>
  <c r="F135" i="27"/>
  <c r="F134" i="32"/>
  <c r="B134" i="32"/>
  <c r="B131" i="74"/>
  <c r="F131" i="74"/>
  <c r="I129" i="46"/>
  <c r="H129" i="46"/>
  <c r="F129" i="64"/>
  <c r="B129" i="64"/>
  <c r="F125" i="90"/>
  <c r="B125" i="90"/>
  <c r="H132" i="19"/>
  <c r="I132" i="19"/>
  <c r="J129" i="55"/>
  <c r="E132" i="56"/>
  <c r="G131" i="56"/>
  <c r="D132" i="56"/>
  <c r="B134" i="18"/>
  <c r="F134" i="18"/>
  <c r="F130" i="59"/>
  <c r="B130" i="59"/>
  <c r="I133" i="18"/>
  <c r="H133" i="18"/>
  <c r="J126" i="75"/>
  <c r="I134" i="23"/>
  <c r="H134" i="23"/>
  <c r="H129" i="59"/>
  <c r="I129" i="59"/>
  <c r="J130" i="56"/>
  <c r="F135" i="23"/>
  <c r="B135" i="23"/>
  <c r="H130" i="57"/>
  <c r="I130" i="57"/>
  <c r="J125" i="80"/>
  <c r="H134" i="71"/>
  <c r="I134" i="71"/>
  <c r="F135" i="71"/>
  <c r="B135" i="71"/>
  <c r="J124" i="93"/>
  <c r="J133" i="24"/>
  <c r="J123" i="13"/>
  <c r="F131" i="57"/>
  <c r="B131" i="57"/>
  <c r="D126" i="93"/>
  <c r="E126" i="93" s="1"/>
  <c r="G125" i="93"/>
  <c r="H135" i="28"/>
  <c r="I135" i="28"/>
  <c r="F126" i="94"/>
  <c r="B126" i="94"/>
  <c r="E128" i="75"/>
  <c r="G127" i="75"/>
  <c r="D128" i="75"/>
  <c r="H133" i="17"/>
  <c r="I133" i="17"/>
  <c r="B125" i="96"/>
  <c r="E133" i="42"/>
  <c r="G132" i="42"/>
  <c r="D133" i="42"/>
  <c r="B132" i="44"/>
  <c r="F132" i="44"/>
  <c r="D131" i="55"/>
  <c r="G130" i="55"/>
  <c r="E131" i="55"/>
  <c r="G124" i="13"/>
  <c r="D125" i="13"/>
  <c r="E125" i="13" s="1"/>
  <c r="E128" i="77"/>
  <c r="D128" i="77"/>
  <c r="G127" i="77"/>
  <c r="I125" i="94"/>
  <c r="H125" i="94"/>
  <c r="F133" i="3"/>
  <c r="B133" i="3"/>
  <c r="B128" i="67"/>
  <c r="F128" i="67"/>
  <c r="G124" i="33"/>
  <c r="D125" i="33"/>
  <c r="E125" i="33" s="1"/>
  <c r="E128" i="76"/>
  <c r="D128" i="76"/>
  <c r="G127" i="76"/>
  <c r="H124" i="96"/>
  <c r="I124" i="96"/>
  <c r="E134" i="21"/>
  <c r="G133" i="21"/>
  <c r="D134" i="21"/>
  <c r="H131" i="44"/>
  <c r="I131" i="44"/>
  <c r="J126" i="76"/>
  <c r="E131" i="54"/>
  <c r="D131" i="54"/>
  <c r="G130" i="54"/>
  <c r="J125" i="83"/>
  <c r="G126" i="80"/>
  <c r="E127" i="80"/>
  <c r="D127" i="80"/>
  <c r="H125" i="95"/>
  <c r="I125" i="95"/>
  <c r="I132" i="3"/>
  <c r="H132" i="3"/>
  <c r="G134" i="24"/>
  <c r="E135" i="24"/>
  <c r="D135" i="24"/>
  <c r="H127" i="67"/>
  <c r="I127" i="67"/>
  <c r="F125" i="87"/>
  <c r="B125" i="87"/>
  <c r="E127" i="83"/>
  <c r="G126" i="83"/>
  <c r="D127" i="83"/>
  <c r="H125" i="82"/>
  <c r="I125" i="82"/>
  <c r="B136" i="28"/>
  <c r="F136" i="28"/>
  <c r="J123" i="33"/>
  <c r="F126" i="95"/>
  <c r="B126" i="95"/>
  <c r="H124" i="87"/>
  <c r="I124" i="87"/>
  <c r="J131" i="42"/>
  <c r="F134" i="17"/>
  <c r="B134" i="17"/>
  <c r="E125" i="96"/>
  <c r="F125" i="96" s="1"/>
  <c r="J129" i="54"/>
  <c r="F126" i="82"/>
  <c r="B126" i="82"/>
  <c r="D56" i="100" l="1"/>
  <c r="G55" i="100"/>
  <c r="H55" i="100"/>
  <c r="D126" i="100"/>
  <c r="B126" i="100" s="1"/>
  <c r="G125" i="100"/>
  <c r="E126" i="100"/>
  <c r="F126" i="100" s="1"/>
  <c r="I44" i="25"/>
  <c r="I54" i="97"/>
  <c r="B45" i="25"/>
  <c r="E45" i="25"/>
  <c r="F45" i="25" s="1"/>
  <c r="E125" i="25"/>
  <c r="F125" i="25" s="1"/>
  <c r="H44" i="98"/>
  <c r="I44" i="98" s="1"/>
  <c r="D50" i="99"/>
  <c r="E50" i="99" s="1"/>
  <c r="H49" i="99"/>
  <c r="G49" i="99"/>
  <c r="D45" i="98"/>
  <c r="E45" i="98" s="1"/>
  <c r="E55" i="97"/>
  <c r="F55" i="97" s="1"/>
  <c r="B55" i="97"/>
  <c r="I124" i="25"/>
  <c r="H124" i="25"/>
  <c r="H124" i="99"/>
  <c r="I124" i="99"/>
  <c r="B125" i="99"/>
  <c r="F125" i="99"/>
  <c r="G46" i="91"/>
  <c r="I46" i="91" s="1"/>
  <c r="H45" i="94"/>
  <c r="I45" i="94" s="1"/>
  <c r="E126" i="26"/>
  <c r="F126" i="26" s="1"/>
  <c r="G54" i="24"/>
  <c r="I54" i="24" s="1"/>
  <c r="J124" i="98"/>
  <c r="G125" i="97"/>
  <c r="D126" i="97"/>
  <c r="E126" i="97"/>
  <c r="J124" i="97"/>
  <c r="H125" i="26"/>
  <c r="I125" i="26"/>
  <c r="D126" i="98"/>
  <c r="G125" i="98"/>
  <c r="E126" i="98"/>
  <c r="H46" i="84"/>
  <c r="I46" i="84" s="1"/>
  <c r="I46" i="86"/>
  <c r="G55" i="70"/>
  <c r="I55" i="70" s="1"/>
  <c r="H49" i="67"/>
  <c r="I49" i="67" s="1"/>
  <c r="D50" i="67"/>
  <c r="E50" i="67" s="1"/>
  <c r="G50" i="46"/>
  <c r="I50" i="46" s="1"/>
  <c r="D51" i="46"/>
  <c r="E51" i="46" s="1"/>
  <c r="D55" i="24"/>
  <c r="E55" i="24" s="1"/>
  <c r="I47" i="82"/>
  <c r="G47" i="76"/>
  <c r="I47" i="76" s="1"/>
  <c r="D45" i="93"/>
  <c r="E45" i="93" s="1"/>
  <c r="B47" i="86"/>
  <c r="F47" i="86"/>
  <c r="G44" i="93"/>
  <c r="D48" i="80"/>
  <c r="E48" i="80" s="1"/>
  <c r="F48" i="82"/>
  <c r="B48" i="82"/>
  <c r="E46" i="94"/>
  <c r="D46" i="94"/>
  <c r="I51" i="58"/>
  <c r="H44" i="93"/>
  <c r="H47" i="80"/>
  <c r="I47" i="80" s="1"/>
  <c r="F48" i="75"/>
  <c r="G48" i="75" s="1"/>
  <c r="B48" i="75"/>
  <c r="G50" i="53"/>
  <c r="D51" i="53"/>
  <c r="E51" i="53" s="1"/>
  <c r="H49" i="66"/>
  <c r="D50" i="66"/>
  <c r="E50" i="66"/>
  <c r="G53" i="43"/>
  <c r="I53" i="43" s="1"/>
  <c r="G49" i="60"/>
  <c r="I49" i="60" s="1"/>
  <c r="H55" i="23"/>
  <c r="G55" i="23"/>
  <c r="D56" i="23"/>
  <c r="E56" i="23" s="1"/>
  <c r="I52" i="39"/>
  <c r="F49" i="65"/>
  <c r="G49" i="65" s="1"/>
  <c r="B49" i="65"/>
  <c r="H50" i="53"/>
  <c r="H47" i="90"/>
  <c r="I47" i="90" s="1"/>
  <c r="D48" i="90"/>
  <c r="E48" i="90" s="1"/>
  <c r="G49" i="66"/>
  <c r="B52" i="55"/>
  <c r="F52" i="55"/>
  <c r="H52" i="55" s="1"/>
  <c r="E47" i="91"/>
  <c r="D47" i="91"/>
  <c r="G50" i="57"/>
  <c r="I50" i="57" s="1"/>
  <c r="G53" i="22"/>
  <c r="I53" i="22" s="1"/>
  <c r="D47" i="84"/>
  <c r="E47" i="84" s="1"/>
  <c r="B53" i="42"/>
  <c r="F53" i="42"/>
  <c r="H53" i="42" s="1"/>
  <c r="B52" i="58"/>
  <c r="F52" i="58"/>
  <c r="B45" i="95"/>
  <c r="F45" i="95"/>
  <c r="G45" i="95" s="1"/>
  <c r="H52" i="44"/>
  <c r="I52" i="44" s="1"/>
  <c r="D53" i="44"/>
  <c r="E53" i="44" s="1"/>
  <c r="G47" i="77"/>
  <c r="I47" i="77" s="1"/>
  <c r="B51" i="72"/>
  <c r="F51" i="72"/>
  <c r="H51" i="72" s="1"/>
  <c r="D48" i="76"/>
  <c r="E48" i="76" s="1"/>
  <c r="G46" i="81"/>
  <c r="I46" i="81" s="1"/>
  <c r="D47" i="81"/>
  <c r="E47" i="81" s="1"/>
  <c r="D54" i="22"/>
  <c r="E54" i="22" s="1"/>
  <c r="H55" i="27"/>
  <c r="D56" i="27"/>
  <c r="E56" i="27" s="1"/>
  <c r="G55" i="27"/>
  <c r="G49" i="61"/>
  <c r="D50" i="61"/>
  <c r="E50" i="61" s="1"/>
  <c r="I45" i="87"/>
  <c r="G45" i="92"/>
  <c r="I45" i="92" s="1"/>
  <c r="H53" i="41"/>
  <c r="I53" i="41" s="1"/>
  <c r="H44" i="96"/>
  <c r="I44" i="96" s="1"/>
  <c r="D45" i="96"/>
  <c r="E45" i="96"/>
  <c r="H49" i="61"/>
  <c r="B53" i="39"/>
  <c r="F53" i="39"/>
  <c r="H53" i="39" s="1"/>
  <c r="B47" i="85"/>
  <c r="F47" i="85"/>
  <c r="G47" i="85" s="1"/>
  <c r="F55" i="34"/>
  <c r="G55" i="34" s="1"/>
  <c r="B55" i="34"/>
  <c r="D53" i="74"/>
  <c r="E53" i="74" s="1"/>
  <c r="D48" i="78"/>
  <c r="E48" i="78"/>
  <c r="D54" i="17"/>
  <c r="E54" i="17" s="1"/>
  <c r="B52" i="45"/>
  <c r="F52" i="45"/>
  <c r="H52" i="45" s="1"/>
  <c r="F50" i="56"/>
  <c r="H50" i="56" s="1"/>
  <c r="B50" i="56"/>
  <c r="G45" i="89"/>
  <c r="D46" i="89"/>
  <c r="E46" i="89" s="1"/>
  <c r="B55" i="71"/>
  <c r="F55" i="71"/>
  <c r="H55" i="71" s="1"/>
  <c r="D48" i="79"/>
  <c r="E48" i="79"/>
  <c r="G47" i="78"/>
  <c r="I47" i="78" s="1"/>
  <c r="G53" i="17"/>
  <c r="H53" i="17"/>
  <c r="B56" i="69"/>
  <c r="F56" i="69"/>
  <c r="H56" i="69" s="1"/>
  <c r="G54" i="32"/>
  <c r="D55" i="32"/>
  <c r="E55" i="32" s="1"/>
  <c r="D56" i="29"/>
  <c r="E56" i="29" s="1"/>
  <c r="D51" i="54"/>
  <c r="E51" i="54"/>
  <c r="I56" i="28"/>
  <c r="D50" i="63"/>
  <c r="E50" i="63" s="1"/>
  <c r="F56" i="31"/>
  <c r="G56" i="31" s="1"/>
  <c r="B56" i="31"/>
  <c r="B50" i="64"/>
  <c r="F50" i="64"/>
  <c r="G50" i="64" s="1"/>
  <c r="B54" i="19"/>
  <c r="F54" i="19"/>
  <c r="H54" i="19" s="1"/>
  <c r="G52" i="74"/>
  <c r="I52" i="74" s="1"/>
  <c r="B49" i="68"/>
  <c r="F49" i="68"/>
  <c r="H49" i="68" s="1"/>
  <c r="F46" i="83"/>
  <c r="H46" i="83" s="1"/>
  <c r="B46" i="83"/>
  <c r="D54" i="41"/>
  <c r="E54" i="41" s="1"/>
  <c r="D56" i="70"/>
  <c r="E56" i="70" s="1"/>
  <c r="F47" i="88"/>
  <c r="H47" i="88" s="1"/>
  <c r="B47" i="88"/>
  <c r="D54" i="43"/>
  <c r="E54" i="43" s="1"/>
  <c r="H45" i="89"/>
  <c r="G50" i="54"/>
  <c r="G49" i="63"/>
  <c r="D51" i="57"/>
  <c r="E51" i="57"/>
  <c r="H52" i="73"/>
  <c r="I52" i="73" s="1"/>
  <c r="D53" i="73"/>
  <c r="E53" i="73" s="1"/>
  <c r="G47" i="79"/>
  <c r="E46" i="92"/>
  <c r="D46" i="92"/>
  <c r="G53" i="21"/>
  <c r="I53" i="21" s="1"/>
  <c r="D54" i="21"/>
  <c r="E54" i="21"/>
  <c r="B55" i="30"/>
  <c r="F55" i="30"/>
  <c r="G55" i="30" s="1"/>
  <c r="D48" i="77"/>
  <c r="E48" i="77"/>
  <c r="H54" i="32"/>
  <c r="B54" i="3"/>
  <c r="F54" i="3"/>
  <c r="G54" i="3" s="1"/>
  <c r="H55" i="29"/>
  <c r="I55" i="29" s="1"/>
  <c r="H50" i="54"/>
  <c r="H49" i="63"/>
  <c r="D50" i="60"/>
  <c r="E50" i="60"/>
  <c r="F57" i="28"/>
  <c r="G57" i="28" s="1"/>
  <c r="B57" i="28"/>
  <c r="H47" i="79"/>
  <c r="J130" i="57"/>
  <c r="J132" i="19"/>
  <c r="J124" i="84"/>
  <c r="J132" i="20"/>
  <c r="J124" i="86"/>
  <c r="J129" i="58"/>
  <c r="J134" i="30"/>
  <c r="J134" i="29"/>
  <c r="J128" i="64"/>
  <c r="J129" i="53"/>
  <c r="J134" i="69"/>
  <c r="J131" i="43"/>
  <c r="J128" i="61"/>
  <c r="J124" i="88"/>
  <c r="J129" i="46"/>
  <c r="J124" i="87"/>
  <c r="J124" i="96"/>
  <c r="B47" i="33"/>
  <c r="F47" i="33"/>
  <c r="D50" i="59"/>
  <c r="E50" i="59" s="1"/>
  <c r="D55" i="18"/>
  <c r="E55" i="18" s="1"/>
  <c r="F46" i="26"/>
  <c r="G46" i="26" s="1"/>
  <c r="B46" i="26"/>
  <c r="B53" i="20"/>
  <c r="F53" i="20"/>
  <c r="H53" i="20" s="1"/>
  <c r="G49" i="59"/>
  <c r="I49" i="59" s="1"/>
  <c r="G54" i="18"/>
  <c r="I54" i="18" s="1"/>
  <c r="B49" i="62"/>
  <c r="F49" i="62"/>
  <c r="H49" i="62" s="1"/>
  <c r="J124" i="90"/>
  <c r="J130" i="74"/>
  <c r="J127" i="66"/>
  <c r="B45" i="13"/>
  <c r="F45" i="13"/>
  <c r="H45" i="13" s="1"/>
  <c r="F46" i="87"/>
  <c r="G46" i="87" s="1"/>
  <c r="B46" i="87"/>
  <c r="D131" i="58"/>
  <c r="E131" i="58"/>
  <c r="G130" i="58"/>
  <c r="E136" i="29"/>
  <c r="D136" i="29"/>
  <c r="G135" i="29"/>
  <c r="G135" i="69"/>
  <c r="E136" i="69"/>
  <c r="D136" i="69"/>
  <c r="I129" i="62"/>
  <c r="H129" i="62"/>
  <c r="D126" i="92"/>
  <c r="G125" i="92"/>
  <c r="E126" i="92"/>
  <c r="I131" i="45"/>
  <c r="H131" i="45"/>
  <c r="G125" i="86"/>
  <c r="E126" i="86"/>
  <c r="D126" i="86"/>
  <c r="H132" i="73"/>
  <c r="I132" i="73"/>
  <c r="E133" i="43"/>
  <c r="D133" i="43"/>
  <c r="G132" i="43"/>
  <c r="G134" i="31"/>
  <c r="D135" i="31"/>
  <c r="E135" i="31"/>
  <c r="D126" i="88"/>
  <c r="G125" i="88"/>
  <c r="E126" i="88"/>
  <c r="D134" i="34"/>
  <c r="G133" i="34"/>
  <c r="E134" i="34"/>
  <c r="B134" i="22"/>
  <c r="F134" i="22"/>
  <c r="E126" i="90"/>
  <c r="D126" i="90"/>
  <c r="G125" i="90"/>
  <c r="D135" i="32"/>
  <c r="E135" i="32"/>
  <c r="G134" i="32"/>
  <c r="I125" i="91"/>
  <c r="H125" i="91"/>
  <c r="E131" i="72"/>
  <c r="G130" i="72"/>
  <c r="D131" i="72"/>
  <c r="J125" i="85"/>
  <c r="D130" i="63"/>
  <c r="G129" i="63"/>
  <c r="E130" i="63"/>
  <c r="F126" i="89"/>
  <c r="B126" i="89"/>
  <c r="G129" i="61"/>
  <c r="D130" i="61"/>
  <c r="E130" i="61"/>
  <c r="B132" i="45"/>
  <c r="F132" i="45"/>
  <c r="J132" i="34"/>
  <c r="J128" i="65"/>
  <c r="J134" i="27"/>
  <c r="E136" i="30"/>
  <c r="G135" i="30"/>
  <c r="D136" i="30"/>
  <c r="E127" i="85"/>
  <c r="D127" i="85"/>
  <c r="G126" i="85"/>
  <c r="J128" i="63"/>
  <c r="J124" i="92"/>
  <c r="J129" i="72"/>
  <c r="D134" i="20"/>
  <c r="E134" i="20"/>
  <c r="G133" i="20"/>
  <c r="D126" i="84"/>
  <c r="E126" i="84"/>
  <c r="G125" i="84"/>
  <c r="H126" i="81"/>
  <c r="I126" i="81"/>
  <c r="G131" i="74"/>
  <c r="D132" i="74"/>
  <c r="E132" i="74"/>
  <c r="E136" i="27"/>
  <c r="G135" i="27"/>
  <c r="D136" i="27"/>
  <c r="B126" i="91"/>
  <c r="F126" i="91"/>
  <c r="G129" i="60"/>
  <c r="D130" i="60"/>
  <c r="E130" i="60"/>
  <c r="B130" i="62"/>
  <c r="F130" i="62"/>
  <c r="E128" i="78"/>
  <c r="G127" i="78"/>
  <c r="D128" i="78"/>
  <c r="G130" i="53"/>
  <c r="D131" i="53"/>
  <c r="E131" i="53"/>
  <c r="G133" i="19"/>
  <c r="E134" i="19"/>
  <c r="D134" i="19"/>
  <c r="B133" i="41"/>
  <c r="F133" i="41"/>
  <c r="G130" i="46"/>
  <c r="E131" i="46"/>
  <c r="D131" i="46"/>
  <c r="H133" i="22"/>
  <c r="I133" i="22"/>
  <c r="J134" i="23"/>
  <c r="E130" i="64"/>
  <c r="G129" i="64"/>
  <c r="D130" i="64"/>
  <c r="J131" i="39"/>
  <c r="G129" i="65"/>
  <c r="D130" i="65"/>
  <c r="E130" i="65"/>
  <c r="I125" i="89"/>
  <c r="H125" i="89"/>
  <c r="D136" i="70"/>
  <c r="E136" i="70"/>
  <c r="G135" i="70"/>
  <c r="J126" i="79"/>
  <c r="F133" i="73"/>
  <c r="B133" i="73"/>
  <c r="J126" i="78"/>
  <c r="G128" i="66"/>
  <c r="D129" i="66"/>
  <c r="E129" i="66"/>
  <c r="J128" i="60"/>
  <c r="J134" i="70"/>
  <c r="D128" i="79"/>
  <c r="G127" i="79"/>
  <c r="E128" i="79"/>
  <c r="J127" i="68"/>
  <c r="I132" i="41"/>
  <c r="H132" i="41"/>
  <c r="J133" i="32"/>
  <c r="E133" i="39"/>
  <c r="G132" i="39"/>
  <c r="D133" i="39"/>
  <c r="J133" i="31"/>
  <c r="F127" i="81"/>
  <c r="B127" i="81"/>
  <c r="E129" i="68"/>
  <c r="G128" i="68"/>
  <c r="D129" i="68"/>
  <c r="J131" i="44"/>
  <c r="J134" i="71"/>
  <c r="G130" i="59"/>
  <c r="D131" i="59"/>
  <c r="E131" i="59"/>
  <c r="H131" i="56"/>
  <c r="I131" i="56"/>
  <c r="D136" i="23"/>
  <c r="G135" i="23"/>
  <c r="E136" i="23"/>
  <c r="J129" i="59"/>
  <c r="J133" i="18"/>
  <c r="E135" i="18"/>
  <c r="G134" i="18"/>
  <c r="D135" i="18"/>
  <c r="F132" i="56"/>
  <c r="B132" i="56"/>
  <c r="J125" i="94"/>
  <c r="E132" i="57"/>
  <c r="G131" i="57"/>
  <c r="D132" i="57"/>
  <c r="J127" i="67"/>
  <c r="J132" i="3"/>
  <c r="D136" i="71"/>
  <c r="G135" i="71"/>
  <c r="E136" i="71"/>
  <c r="J125" i="82"/>
  <c r="J125" i="95"/>
  <c r="J135" i="28"/>
  <c r="G125" i="96"/>
  <c r="D126" i="96"/>
  <c r="E126" i="96" s="1"/>
  <c r="E135" i="17"/>
  <c r="D135" i="17"/>
  <c r="G134" i="17"/>
  <c r="F127" i="80"/>
  <c r="B127" i="80"/>
  <c r="H133" i="21"/>
  <c r="I133" i="21"/>
  <c r="H127" i="77"/>
  <c r="I127" i="77"/>
  <c r="F133" i="42"/>
  <c r="B133" i="42"/>
  <c r="F128" i="75"/>
  <c r="B128" i="75"/>
  <c r="G126" i="94"/>
  <c r="D127" i="94"/>
  <c r="E127" i="94" s="1"/>
  <c r="F126" i="93"/>
  <c r="B126" i="93"/>
  <c r="D127" i="82"/>
  <c r="G126" i="82"/>
  <c r="E127" i="82"/>
  <c r="I126" i="83"/>
  <c r="H126" i="83"/>
  <c r="G126" i="95"/>
  <c r="D127" i="95"/>
  <c r="E127" i="95" s="1"/>
  <c r="B135" i="24"/>
  <c r="F135" i="24"/>
  <c r="I130" i="54"/>
  <c r="H130" i="54"/>
  <c r="G128" i="67"/>
  <c r="D129" i="67"/>
  <c r="E129" i="67"/>
  <c r="B128" i="77"/>
  <c r="F128" i="77"/>
  <c r="F125" i="13"/>
  <c r="B125" i="13"/>
  <c r="I130" i="55"/>
  <c r="H130" i="55"/>
  <c r="G132" i="44"/>
  <c r="D133" i="44"/>
  <c r="E133" i="44"/>
  <c r="I132" i="42"/>
  <c r="H132" i="42"/>
  <c r="H127" i="75"/>
  <c r="I127" i="75"/>
  <c r="D137" i="28"/>
  <c r="G136" i="28"/>
  <c r="E137" i="28"/>
  <c r="F127" i="83"/>
  <c r="B127" i="83"/>
  <c r="G125" i="87"/>
  <c r="D126" i="87"/>
  <c r="E126" i="87"/>
  <c r="H126" i="80"/>
  <c r="I126" i="80"/>
  <c r="F131" i="54"/>
  <c r="B131" i="54"/>
  <c r="H127" i="76"/>
  <c r="I127" i="76"/>
  <c r="B125" i="33"/>
  <c r="F125" i="33"/>
  <c r="F131" i="55"/>
  <c r="B131" i="55"/>
  <c r="J133" i="17"/>
  <c r="H125" i="93"/>
  <c r="I125" i="93"/>
  <c r="I134" i="24"/>
  <c r="H134" i="24"/>
  <c r="F134" i="21"/>
  <c r="B134" i="21"/>
  <c r="B128" i="76"/>
  <c r="F128" i="76"/>
  <c r="H124" i="33"/>
  <c r="I124" i="33"/>
  <c r="D134" i="3"/>
  <c r="G133" i="3"/>
  <c r="E134" i="3"/>
  <c r="H124" i="13"/>
  <c r="I124" i="13"/>
  <c r="I55" i="100" l="1"/>
  <c r="E56" i="100"/>
  <c r="F56" i="100"/>
  <c r="B56" i="100"/>
  <c r="H56" i="100"/>
  <c r="G126" i="100"/>
  <c r="D127" i="100"/>
  <c r="B127" i="100" s="1"/>
  <c r="E127" i="100"/>
  <c r="F127" i="100" s="1"/>
  <c r="H125" i="100"/>
  <c r="I125" i="100"/>
  <c r="J125" i="100" s="1"/>
  <c r="D46" i="25"/>
  <c r="H45" i="25"/>
  <c r="G45" i="25"/>
  <c r="D126" i="25"/>
  <c r="G125" i="25"/>
  <c r="J124" i="99"/>
  <c r="I49" i="99"/>
  <c r="D56" i="97"/>
  <c r="G55" i="97"/>
  <c r="H55" i="97"/>
  <c r="B45" i="98"/>
  <c r="F45" i="98"/>
  <c r="G45" i="98" s="1"/>
  <c r="F50" i="99"/>
  <c r="B50" i="99"/>
  <c r="J124" i="25"/>
  <c r="I49" i="61"/>
  <c r="D126" i="99"/>
  <c r="E126" i="99"/>
  <c r="G125" i="99"/>
  <c r="I49" i="66"/>
  <c r="J125" i="26"/>
  <c r="G126" i="26"/>
  <c r="D127" i="26"/>
  <c r="G49" i="68"/>
  <c r="I49" i="68" s="1"/>
  <c r="G50" i="56"/>
  <c r="I50" i="56" s="1"/>
  <c r="I50" i="54"/>
  <c r="I54" i="32"/>
  <c r="I55" i="23"/>
  <c r="H125" i="98"/>
  <c r="I125" i="98"/>
  <c r="F126" i="98"/>
  <c r="B126" i="98"/>
  <c r="B126" i="97"/>
  <c r="F126" i="97"/>
  <c r="H125" i="97"/>
  <c r="I125" i="97"/>
  <c r="H45" i="95"/>
  <c r="I45" i="95" s="1"/>
  <c r="I45" i="89"/>
  <c r="F50" i="67"/>
  <c r="G50" i="67" s="1"/>
  <c r="B50" i="67"/>
  <c r="F51" i="46"/>
  <c r="G51" i="46" s="1"/>
  <c r="B51" i="46"/>
  <c r="F55" i="24"/>
  <c r="H55" i="24" s="1"/>
  <c r="B55" i="24"/>
  <c r="H50" i="64"/>
  <c r="I50" i="64" s="1"/>
  <c r="F46" i="94"/>
  <c r="H46" i="94" s="1"/>
  <c r="B46" i="94"/>
  <c r="H48" i="82"/>
  <c r="D49" i="82"/>
  <c r="E49" i="82" s="1"/>
  <c r="F45" i="93"/>
  <c r="H45" i="93" s="1"/>
  <c r="B45" i="93"/>
  <c r="G53" i="42"/>
  <c r="I53" i="42" s="1"/>
  <c r="H48" i="75"/>
  <c r="I48" i="75" s="1"/>
  <c r="I44" i="93"/>
  <c r="G49" i="62"/>
  <c r="I49" i="62" s="1"/>
  <c r="I55" i="27"/>
  <c r="I50" i="53"/>
  <c r="G48" i="82"/>
  <c r="B48" i="80"/>
  <c r="F48" i="80"/>
  <c r="G47" i="86"/>
  <c r="H47" i="86"/>
  <c r="D48" i="86"/>
  <c r="E48" i="86"/>
  <c r="G52" i="55"/>
  <c r="I52" i="55" s="1"/>
  <c r="D53" i="55"/>
  <c r="E53" i="55" s="1"/>
  <c r="F47" i="91"/>
  <c r="G47" i="91" s="1"/>
  <c r="B47" i="91"/>
  <c r="H49" i="65"/>
  <c r="I49" i="65" s="1"/>
  <c r="D50" i="65"/>
  <c r="E50" i="65" s="1"/>
  <c r="I47" i="79"/>
  <c r="F47" i="84"/>
  <c r="B47" i="84"/>
  <c r="B51" i="53"/>
  <c r="F51" i="53"/>
  <c r="H51" i="53" s="1"/>
  <c r="G52" i="58"/>
  <c r="D53" i="58"/>
  <c r="E53" i="58" s="1"/>
  <c r="H52" i="58"/>
  <c r="D54" i="42"/>
  <c r="E54" i="42" s="1"/>
  <c r="F48" i="90"/>
  <c r="H48" i="90" s="1"/>
  <c r="B48" i="90"/>
  <c r="B56" i="23"/>
  <c r="F56" i="23"/>
  <c r="B50" i="66"/>
  <c r="F50" i="66"/>
  <c r="H50" i="66" s="1"/>
  <c r="D49" i="75"/>
  <c r="E49" i="75" s="1"/>
  <c r="B54" i="22"/>
  <c r="F54" i="22"/>
  <c r="G54" i="22" s="1"/>
  <c r="I53" i="17"/>
  <c r="G53" i="39"/>
  <c r="I53" i="39" s="1"/>
  <c r="D54" i="39"/>
  <c r="E54" i="39" s="1"/>
  <c r="F45" i="96"/>
  <c r="B45" i="96"/>
  <c r="B56" i="27"/>
  <c r="F56" i="27"/>
  <c r="F47" i="81"/>
  <c r="H47" i="81" s="1"/>
  <c r="B47" i="81"/>
  <c r="G51" i="72"/>
  <c r="I51" i="72" s="1"/>
  <c r="D52" i="72"/>
  <c r="E52" i="72" s="1"/>
  <c r="F53" i="44"/>
  <c r="G53" i="44" s="1"/>
  <c r="B53" i="44"/>
  <c r="F50" i="61"/>
  <c r="H50" i="61" s="1"/>
  <c r="B50" i="61"/>
  <c r="G54" i="19"/>
  <c r="I54" i="19" s="1"/>
  <c r="G55" i="71"/>
  <c r="I55" i="71" s="1"/>
  <c r="H47" i="85"/>
  <c r="I47" i="85" s="1"/>
  <c r="D48" i="85"/>
  <c r="E48" i="85" s="1"/>
  <c r="D46" i="95"/>
  <c r="E46" i="95" s="1"/>
  <c r="B48" i="76"/>
  <c r="F48" i="76"/>
  <c r="H48" i="76" s="1"/>
  <c r="I49" i="63"/>
  <c r="G53" i="20"/>
  <c r="I53" i="20" s="1"/>
  <c r="H46" i="26"/>
  <c r="I46" i="26" s="1"/>
  <c r="B46" i="92"/>
  <c r="F46" i="92"/>
  <c r="H46" i="92" s="1"/>
  <c r="G47" i="88"/>
  <c r="I47" i="88" s="1"/>
  <c r="F54" i="41"/>
  <c r="B54" i="41"/>
  <c r="G46" i="83"/>
  <c r="I46" i="83" s="1"/>
  <c r="D47" i="83"/>
  <c r="E47" i="83" s="1"/>
  <c r="D51" i="64"/>
  <c r="E51" i="64" s="1"/>
  <c r="F56" i="29"/>
  <c r="H56" i="29" s="1"/>
  <c r="B56" i="29"/>
  <c r="D51" i="56"/>
  <c r="E51" i="56" s="1"/>
  <c r="D55" i="19"/>
  <c r="E55" i="19" s="1"/>
  <c r="H56" i="31"/>
  <c r="I56" i="31" s="1"/>
  <c r="D57" i="31"/>
  <c r="E57" i="31" s="1"/>
  <c r="F55" i="32"/>
  <c r="G55" i="32" s="1"/>
  <c r="B55" i="32"/>
  <c r="D56" i="71"/>
  <c r="E56" i="71" s="1"/>
  <c r="B46" i="89"/>
  <c r="F46" i="89"/>
  <c r="H46" i="89" s="1"/>
  <c r="F48" i="78"/>
  <c r="B48" i="78"/>
  <c r="D56" i="30"/>
  <c r="E56" i="30" s="1"/>
  <c r="H57" i="28"/>
  <c r="I57" i="28" s="1"/>
  <c r="D58" i="28"/>
  <c r="E58" i="28" s="1"/>
  <c r="H54" i="3"/>
  <c r="I54" i="3" s="1"/>
  <c r="D55" i="3"/>
  <c r="E55" i="3" s="1"/>
  <c r="F48" i="77"/>
  <c r="G48" i="77" s="1"/>
  <c r="B48" i="77"/>
  <c r="B53" i="73"/>
  <c r="F53" i="73"/>
  <c r="H53" i="73" s="1"/>
  <c r="F51" i="57"/>
  <c r="G51" i="57" s="1"/>
  <c r="B51" i="57"/>
  <c r="F51" i="54"/>
  <c r="G51" i="54" s="1"/>
  <c r="B51" i="54"/>
  <c r="D57" i="69"/>
  <c r="E57" i="69" s="1"/>
  <c r="F48" i="79"/>
  <c r="B48" i="79"/>
  <c r="G52" i="45"/>
  <c r="I52" i="45" s="1"/>
  <c r="D53" i="45"/>
  <c r="E53" i="45" s="1"/>
  <c r="C63" i="17"/>
  <c r="F54" i="17"/>
  <c r="G54" i="17" s="1"/>
  <c r="B54" i="17"/>
  <c r="B53" i="74"/>
  <c r="F53" i="74"/>
  <c r="G53" i="74" s="1"/>
  <c r="H55" i="34"/>
  <c r="I55" i="34" s="1"/>
  <c r="D56" i="34"/>
  <c r="E56" i="34" s="1"/>
  <c r="B50" i="60"/>
  <c r="F50" i="60"/>
  <c r="H50" i="60" s="1"/>
  <c r="F54" i="21"/>
  <c r="G54" i="21" s="1"/>
  <c r="B54" i="21"/>
  <c r="B56" i="70"/>
  <c r="F56" i="70"/>
  <c r="H55" i="30"/>
  <c r="I55" i="30" s="1"/>
  <c r="B54" i="43"/>
  <c r="F54" i="43"/>
  <c r="D48" i="88"/>
  <c r="E48" i="88" s="1"/>
  <c r="D50" i="68"/>
  <c r="E50" i="68" s="1"/>
  <c r="B50" i="63"/>
  <c r="F50" i="63"/>
  <c r="H50" i="63" s="1"/>
  <c r="G56" i="69"/>
  <c r="I56" i="69" s="1"/>
  <c r="J130" i="55"/>
  <c r="J125" i="89"/>
  <c r="J132" i="41"/>
  <c r="J131" i="56"/>
  <c r="J126" i="81"/>
  <c r="J132" i="73"/>
  <c r="H46" i="87"/>
  <c r="I46" i="87" s="1"/>
  <c r="D46" i="13"/>
  <c r="E46" i="13" s="1"/>
  <c r="D48" i="33"/>
  <c r="J133" i="21"/>
  <c r="G45" i="13"/>
  <c r="I45" i="13" s="1"/>
  <c r="D54" i="20"/>
  <c r="E54" i="20"/>
  <c r="D47" i="26"/>
  <c r="E47" i="26" s="1"/>
  <c r="D47" i="87"/>
  <c r="E47" i="87" s="1"/>
  <c r="B50" i="59"/>
  <c r="F50" i="59"/>
  <c r="G50" i="59" s="1"/>
  <c r="H47" i="33"/>
  <c r="J127" i="77"/>
  <c r="D50" i="62"/>
  <c r="E50" i="62" s="1"/>
  <c r="B55" i="18"/>
  <c r="F55" i="18"/>
  <c r="H55" i="18" s="1"/>
  <c r="G47" i="33"/>
  <c r="J127" i="76"/>
  <c r="F129" i="68"/>
  <c r="B129" i="68"/>
  <c r="G127" i="81"/>
  <c r="E128" i="81"/>
  <c r="D128" i="81"/>
  <c r="I128" i="66"/>
  <c r="H128" i="66"/>
  <c r="I129" i="65"/>
  <c r="H129" i="65"/>
  <c r="F131" i="46"/>
  <c r="B131" i="46"/>
  <c r="H127" i="78"/>
  <c r="I127" i="78"/>
  <c r="H133" i="20"/>
  <c r="I133" i="20"/>
  <c r="F130" i="63"/>
  <c r="B130" i="63"/>
  <c r="H133" i="34"/>
  <c r="I133" i="34"/>
  <c r="B126" i="88"/>
  <c r="F126" i="88"/>
  <c r="H132" i="43"/>
  <c r="I132" i="43"/>
  <c r="F126" i="92"/>
  <c r="B126" i="92"/>
  <c r="H128" i="68"/>
  <c r="I128" i="68"/>
  <c r="I135" i="70"/>
  <c r="H135" i="70"/>
  <c r="B134" i="19"/>
  <c r="F134" i="19"/>
  <c r="B131" i="53"/>
  <c r="F131" i="53"/>
  <c r="F130" i="60"/>
  <c r="B130" i="60"/>
  <c r="B136" i="27"/>
  <c r="F136" i="27"/>
  <c r="B132" i="74"/>
  <c r="F132" i="74"/>
  <c r="H125" i="84"/>
  <c r="I125" i="84"/>
  <c r="F136" i="30"/>
  <c r="B136" i="30"/>
  <c r="G126" i="89"/>
  <c r="D127" i="89"/>
  <c r="E127" i="89"/>
  <c r="B135" i="32"/>
  <c r="F135" i="32"/>
  <c r="G134" i="22"/>
  <c r="E135" i="22"/>
  <c r="D135" i="22"/>
  <c r="F134" i="34"/>
  <c r="B134" i="34"/>
  <c r="B133" i="43"/>
  <c r="F133" i="43"/>
  <c r="F126" i="86"/>
  <c r="B126" i="86"/>
  <c r="J131" i="45"/>
  <c r="I135" i="69"/>
  <c r="H135" i="69"/>
  <c r="H130" i="58"/>
  <c r="I130" i="58"/>
  <c r="F133" i="39"/>
  <c r="B133" i="39"/>
  <c r="I127" i="79"/>
  <c r="H127" i="79"/>
  <c r="F130" i="64"/>
  <c r="B130" i="64"/>
  <c r="J133" i="22"/>
  <c r="I130" i="46"/>
  <c r="H130" i="46"/>
  <c r="H130" i="53"/>
  <c r="I130" i="53"/>
  <c r="G130" i="62"/>
  <c r="E131" i="62"/>
  <c r="D131" i="62"/>
  <c r="H129" i="60"/>
  <c r="I129" i="60"/>
  <c r="H135" i="27"/>
  <c r="I135" i="27"/>
  <c r="H131" i="74"/>
  <c r="I131" i="74"/>
  <c r="B134" i="20"/>
  <c r="F134" i="20"/>
  <c r="H126" i="85"/>
  <c r="I126" i="85"/>
  <c r="H135" i="30"/>
  <c r="I135" i="30"/>
  <c r="F130" i="61"/>
  <c r="B130" i="61"/>
  <c r="F131" i="72"/>
  <c r="B131" i="72"/>
  <c r="J125" i="91"/>
  <c r="H125" i="90"/>
  <c r="I125" i="90"/>
  <c r="B135" i="31"/>
  <c r="F135" i="31"/>
  <c r="J129" i="62"/>
  <c r="H135" i="29"/>
  <c r="I135" i="29"/>
  <c r="H132" i="39"/>
  <c r="I132" i="39"/>
  <c r="B128" i="79"/>
  <c r="F128" i="79"/>
  <c r="B129" i="66"/>
  <c r="F129" i="66"/>
  <c r="E134" i="73"/>
  <c r="D134" i="73"/>
  <c r="G133" i="73"/>
  <c r="F136" i="70"/>
  <c r="B136" i="70"/>
  <c r="B130" i="65"/>
  <c r="F130" i="65"/>
  <c r="H129" i="64"/>
  <c r="I129" i="64"/>
  <c r="D134" i="41"/>
  <c r="G133" i="41"/>
  <c r="E134" i="41"/>
  <c r="I133" i="19"/>
  <c r="H133" i="19"/>
  <c r="B128" i="78"/>
  <c r="F128" i="78"/>
  <c r="G126" i="91"/>
  <c r="E127" i="91"/>
  <c r="D127" i="91"/>
  <c r="B126" i="84"/>
  <c r="F126" i="84"/>
  <c r="B127" i="85"/>
  <c r="F127" i="85"/>
  <c r="E133" i="45"/>
  <c r="D133" i="45"/>
  <c r="G132" i="45"/>
  <c r="H129" i="61"/>
  <c r="I129" i="61"/>
  <c r="H129" i="63"/>
  <c r="I129" i="63"/>
  <c r="I130" i="72"/>
  <c r="H130" i="72"/>
  <c r="I134" i="32"/>
  <c r="H134" i="32"/>
  <c r="B126" i="90"/>
  <c r="F126" i="90"/>
  <c r="I125" i="88"/>
  <c r="H125" i="88"/>
  <c r="I134" i="31"/>
  <c r="H134" i="31"/>
  <c r="H125" i="86"/>
  <c r="I125" i="86"/>
  <c r="H125" i="92"/>
  <c r="I125" i="92"/>
  <c r="B136" i="69"/>
  <c r="F136" i="69"/>
  <c r="F136" i="29"/>
  <c r="B136" i="29"/>
  <c r="F131" i="58"/>
  <c r="B131" i="58"/>
  <c r="J127" i="75"/>
  <c r="D133" i="56"/>
  <c r="G132" i="56"/>
  <c r="E133" i="56"/>
  <c r="H134" i="18"/>
  <c r="I134" i="18"/>
  <c r="I135" i="23"/>
  <c r="H135" i="23"/>
  <c r="F131" i="59"/>
  <c r="B131" i="59"/>
  <c r="B135" i="18"/>
  <c r="F135" i="18"/>
  <c r="B136" i="23"/>
  <c r="F136" i="23"/>
  <c r="H130" i="59"/>
  <c r="I130" i="59"/>
  <c r="B132" i="57"/>
  <c r="F132" i="57"/>
  <c r="H131" i="57"/>
  <c r="I131" i="57"/>
  <c r="J126" i="83"/>
  <c r="H135" i="71"/>
  <c r="I135" i="71"/>
  <c r="J124" i="13"/>
  <c r="J125" i="93"/>
  <c r="J126" i="80"/>
  <c r="B136" i="71"/>
  <c r="F136" i="71"/>
  <c r="J134" i="24"/>
  <c r="D128" i="83"/>
  <c r="G127" i="83"/>
  <c r="E128" i="83"/>
  <c r="H132" i="44"/>
  <c r="I132" i="44"/>
  <c r="D126" i="13"/>
  <c r="E126" i="13" s="1"/>
  <c r="G125" i="13"/>
  <c r="F129" i="67"/>
  <c r="B129" i="67"/>
  <c r="H126" i="95"/>
  <c r="I126" i="95"/>
  <c r="G128" i="75"/>
  <c r="E129" i="75"/>
  <c r="D129" i="75"/>
  <c r="I133" i="3"/>
  <c r="H133" i="3"/>
  <c r="J124" i="33"/>
  <c r="I136" i="28"/>
  <c r="H136" i="28"/>
  <c r="I128" i="67"/>
  <c r="H128" i="67"/>
  <c r="I126" i="82"/>
  <c r="H126" i="82"/>
  <c r="B127" i="94"/>
  <c r="F127" i="94"/>
  <c r="D134" i="42"/>
  <c r="G133" i="42"/>
  <c r="E134" i="42"/>
  <c r="F134" i="3"/>
  <c r="B134" i="3"/>
  <c r="G131" i="55"/>
  <c r="E132" i="55"/>
  <c r="D132" i="55"/>
  <c r="G125" i="33"/>
  <c r="D126" i="33"/>
  <c r="E126" i="33" s="1"/>
  <c r="E132" i="54"/>
  <c r="D132" i="54"/>
  <c r="G131" i="54"/>
  <c r="B126" i="87"/>
  <c r="F126" i="87"/>
  <c r="B137" i="28"/>
  <c r="F137" i="28"/>
  <c r="F127" i="82"/>
  <c r="B127" i="82"/>
  <c r="G126" i="93"/>
  <c r="D127" i="93"/>
  <c r="E127" i="93" s="1"/>
  <c r="I126" i="94"/>
  <c r="H126" i="94"/>
  <c r="G127" i="80"/>
  <c r="E128" i="80"/>
  <c r="D128" i="80"/>
  <c r="I134" i="17"/>
  <c r="H134" i="17"/>
  <c r="B126" i="96"/>
  <c r="F126" i="96"/>
  <c r="G128" i="76"/>
  <c r="E129" i="76"/>
  <c r="D129" i="76"/>
  <c r="G134" i="21"/>
  <c r="D135" i="21"/>
  <c r="E135" i="21"/>
  <c r="H125" i="87"/>
  <c r="I125" i="87"/>
  <c r="J132" i="42"/>
  <c r="B133" i="44"/>
  <c r="F133" i="44"/>
  <c r="G128" i="77"/>
  <c r="D129" i="77"/>
  <c r="E129" i="77"/>
  <c r="J130" i="54"/>
  <c r="E136" i="24"/>
  <c r="G135" i="24"/>
  <c r="D136" i="24"/>
  <c r="F127" i="95"/>
  <c r="B127" i="95"/>
  <c r="B135" i="17"/>
  <c r="F135" i="17"/>
  <c r="H125" i="96"/>
  <c r="I125" i="96"/>
  <c r="G56" i="100" l="1"/>
  <c r="I56" i="100" s="1"/>
  <c r="D57" i="100"/>
  <c r="D128" i="100"/>
  <c r="B128" i="100" s="1"/>
  <c r="G127" i="100"/>
  <c r="E128" i="100"/>
  <c r="F128" i="100" s="1"/>
  <c r="H126" i="100"/>
  <c r="I126" i="100"/>
  <c r="J126" i="100" s="1"/>
  <c r="I45" i="25"/>
  <c r="B46" i="25"/>
  <c r="E46" i="25"/>
  <c r="F46" i="25" s="1"/>
  <c r="I55" i="97"/>
  <c r="H45" i="98"/>
  <c r="I45" i="98" s="1"/>
  <c r="H125" i="25"/>
  <c r="I125" i="25"/>
  <c r="E126" i="25"/>
  <c r="F126" i="25" s="1"/>
  <c r="B126" i="25"/>
  <c r="D51" i="99"/>
  <c r="E51" i="99"/>
  <c r="H50" i="99"/>
  <c r="G50" i="99"/>
  <c r="D46" i="98"/>
  <c r="E46" i="98" s="1"/>
  <c r="E56" i="97"/>
  <c r="F56" i="97" s="1"/>
  <c r="D57" i="97" s="1"/>
  <c r="B56" i="97"/>
  <c r="I125" i="99"/>
  <c r="H125" i="99"/>
  <c r="B126" i="99"/>
  <c r="F126" i="99"/>
  <c r="I47" i="86"/>
  <c r="B127" i="26"/>
  <c r="E127" i="26"/>
  <c r="F127" i="26" s="1"/>
  <c r="J125" i="98"/>
  <c r="I126" i="26"/>
  <c r="H126" i="26"/>
  <c r="J125" i="97"/>
  <c r="H51" i="46"/>
  <c r="I51" i="46" s="1"/>
  <c r="D127" i="98"/>
  <c r="G126" i="98"/>
  <c r="E127" i="98"/>
  <c r="G126" i="97"/>
  <c r="D127" i="97"/>
  <c r="E127" i="97"/>
  <c r="G45" i="93"/>
  <c r="I45" i="93" s="1"/>
  <c r="H50" i="67"/>
  <c r="I50" i="67" s="1"/>
  <c r="D51" i="67"/>
  <c r="E51" i="67" s="1"/>
  <c r="D52" i="46"/>
  <c r="E52" i="46" s="1"/>
  <c r="G55" i="24"/>
  <c r="I55" i="24" s="1"/>
  <c r="D56" i="24"/>
  <c r="E56" i="24" s="1"/>
  <c r="I48" i="82"/>
  <c r="B48" i="86"/>
  <c r="F48" i="86"/>
  <c r="G48" i="80"/>
  <c r="D49" i="80"/>
  <c r="E49" i="80"/>
  <c r="D46" i="93"/>
  <c r="E46" i="93" s="1"/>
  <c r="F49" i="82"/>
  <c r="B49" i="82"/>
  <c r="G46" i="94"/>
  <c r="I46" i="94" s="1"/>
  <c r="D47" i="94"/>
  <c r="E47" i="94" s="1"/>
  <c r="H48" i="80"/>
  <c r="G56" i="29"/>
  <c r="I56" i="29" s="1"/>
  <c r="G48" i="76"/>
  <c r="I48" i="76" s="1"/>
  <c r="G56" i="23"/>
  <c r="H56" i="23"/>
  <c r="D57" i="23"/>
  <c r="E57" i="23" s="1"/>
  <c r="B54" i="42"/>
  <c r="F54" i="42"/>
  <c r="H54" i="42" s="1"/>
  <c r="F53" i="58"/>
  <c r="B53" i="58"/>
  <c r="B50" i="65"/>
  <c r="F50" i="65"/>
  <c r="G47" i="84"/>
  <c r="D48" i="84"/>
  <c r="E48" i="84" s="1"/>
  <c r="F53" i="55"/>
  <c r="H53" i="55" s="1"/>
  <c r="B53" i="55"/>
  <c r="G47" i="81"/>
  <c r="I47" i="81" s="1"/>
  <c r="G50" i="66"/>
  <c r="I50" i="66" s="1"/>
  <c r="D51" i="66"/>
  <c r="E51" i="66"/>
  <c r="G48" i="90"/>
  <c r="I48" i="90" s="1"/>
  <c r="D49" i="90"/>
  <c r="E49" i="90"/>
  <c r="F49" i="75"/>
  <c r="H49" i="75" s="1"/>
  <c r="B49" i="75"/>
  <c r="I52" i="58"/>
  <c r="G51" i="53"/>
  <c r="I51" i="53" s="1"/>
  <c r="D52" i="53"/>
  <c r="E52" i="53" s="1"/>
  <c r="H47" i="84"/>
  <c r="H47" i="91"/>
  <c r="I47" i="91" s="1"/>
  <c r="D48" i="91"/>
  <c r="E48" i="91" s="1"/>
  <c r="F48" i="85"/>
  <c r="G48" i="85" s="1"/>
  <c r="B48" i="85"/>
  <c r="G56" i="27"/>
  <c r="D57" i="27"/>
  <c r="E57" i="27" s="1"/>
  <c r="F52" i="72"/>
  <c r="G52" i="72" s="1"/>
  <c r="B52" i="72"/>
  <c r="H45" i="96"/>
  <c r="E46" i="96"/>
  <c r="D46" i="96"/>
  <c r="G50" i="63"/>
  <c r="I50" i="63" s="1"/>
  <c r="G50" i="60"/>
  <c r="I50" i="60" s="1"/>
  <c r="D49" i="76"/>
  <c r="E49" i="76" s="1"/>
  <c r="F46" i="95"/>
  <c r="H46" i="95" s="1"/>
  <c r="B46" i="95"/>
  <c r="H56" i="27"/>
  <c r="H54" i="22"/>
  <c r="I54" i="22" s="1"/>
  <c r="D55" i="22"/>
  <c r="E55" i="22" s="1"/>
  <c r="H54" i="17"/>
  <c r="I54" i="17" s="1"/>
  <c r="H51" i="57"/>
  <c r="I51" i="57" s="1"/>
  <c r="G50" i="61"/>
  <c r="I50" i="61" s="1"/>
  <c r="D51" i="61"/>
  <c r="E51" i="61" s="1"/>
  <c r="H53" i="44"/>
  <c r="I53" i="44" s="1"/>
  <c r="D54" i="44"/>
  <c r="E54" i="44" s="1"/>
  <c r="D48" i="81"/>
  <c r="E48" i="81" s="1"/>
  <c r="G45" i="96"/>
  <c r="B54" i="39"/>
  <c r="F54" i="39"/>
  <c r="H54" i="39" s="1"/>
  <c r="D55" i="43"/>
  <c r="E55" i="43" s="1"/>
  <c r="D57" i="70"/>
  <c r="E57" i="70" s="1"/>
  <c r="D49" i="79"/>
  <c r="E49" i="79" s="1"/>
  <c r="F56" i="30"/>
  <c r="B56" i="30"/>
  <c r="E49" i="78"/>
  <c r="D49" i="78"/>
  <c r="F57" i="31"/>
  <c r="B57" i="31"/>
  <c r="E55" i="41"/>
  <c r="D55" i="41"/>
  <c r="G55" i="18"/>
  <c r="I55" i="18" s="1"/>
  <c r="H53" i="74"/>
  <c r="I53" i="74" s="1"/>
  <c r="H48" i="79"/>
  <c r="B57" i="69"/>
  <c r="F57" i="69"/>
  <c r="D52" i="54"/>
  <c r="E52" i="54" s="1"/>
  <c r="G53" i="73"/>
  <c r="I53" i="73" s="1"/>
  <c r="D54" i="73"/>
  <c r="E54" i="73" s="1"/>
  <c r="E49" i="77"/>
  <c r="D49" i="77"/>
  <c r="B58" i="28"/>
  <c r="F58" i="28"/>
  <c r="G48" i="78"/>
  <c r="E47" i="89"/>
  <c r="D47" i="89"/>
  <c r="F51" i="64"/>
  <c r="H51" i="64" s="1"/>
  <c r="B51" i="64"/>
  <c r="G54" i="41"/>
  <c r="B56" i="71"/>
  <c r="F56" i="71"/>
  <c r="H56" i="71" s="1"/>
  <c r="H50" i="59"/>
  <c r="I50" i="59" s="1"/>
  <c r="D51" i="63"/>
  <c r="E51" i="63" s="1"/>
  <c r="F50" i="68"/>
  <c r="H50" i="68" s="1"/>
  <c r="B50" i="68"/>
  <c r="F48" i="88"/>
  <c r="G48" i="88" s="1"/>
  <c r="B48" i="88"/>
  <c r="G54" i="43"/>
  <c r="G56" i="70"/>
  <c r="D51" i="60"/>
  <c r="E51" i="60" s="1"/>
  <c r="F56" i="34"/>
  <c r="G56" i="34" s="1"/>
  <c r="B56" i="34"/>
  <c r="H51" i="54"/>
  <c r="I51" i="54" s="1"/>
  <c r="H48" i="77"/>
  <c r="I48" i="77" s="1"/>
  <c r="H48" i="78"/>
  <c r="H55" i="32"/>
  <c r="I55" i="32" s="1"/>
  <c r="D56" i="32"/>
  <c r="E56" i="32" s="1"/>
  <c r="F55" i="19"/>
  <c r="G55" i="19" s="1"/>
  <c r="B55" i="19"/>
  <c r="H54" i="41"/>
  <c r="H54" i="21"/>
  <c r="I54" i="21" s="1"/>
  <c r="E55" i="21"/>
  <c r="D55" i="21"/>
  <c r="H54" i="43"/>
  <c r="H56" i="70"/>
  <c r="E54" i="74"/>
  <c r="D54" i="74"/>
  <c r="D55" i="17"/>
  <c r="E55" i="17" s="1"/>
  <c r="B53" i="45"/>
  <c r="F53" i="45"/>
  <c r="H53" i="45" s="1"/>
  <c r="G48" i="79"/>
  <c r="D52" i="57"/>
  <c r="E52" i="57" s="1"/>
  <c r="F55" i="3"/>
  <c r="H55" i="3" s="1"/>
  <c r="B55" i="3"/>
  <c r="G46" i="89"/>
  <c r="I46" i="89" s="1"/>
  <c r="F51" i="56"/>
  <c r="G51" i="56" s="1"/>
  <c r="B51" i="56"/>
  <c r="D57" i="29"/>
  <c r="E57" i="29" s="1"/>
  <c r="B47" i="83"/>
  <c r="F47" i="83"/>
  <c r="G46" i="92"/>
  <c r="I46" i="92" s="1"/>
  <c r="D47" i="92"/>
  <c r="E47" i="92"/>
  <c r="J134" i="31"/>
  <c r="J130" i="72"/>
  <c r="J135" i="69"/>
  <c r="J130" i="53"/>
  <c r="J127" i="79"/>
  <c r="J127" i="78"/>
  <c r="J129" i="64"/>
  <c r="J125" i="90"/>
  <c r="J125" i="84"/>
  <c r="J125" i="88"/>
  <c r="J134" i="32"/>
  <c r="J133" i="19"/>
  <c r="J128" i="68"/>
  <c r="J132" i="43"/>
  <c r="J133" i="34"/>
  <c r="J133" i="20"/>
  <c r="D56" i="18"/>
  <c r="E56" i="18" s="1"/>
  <c r="D51" i="59"/>
  <c r="E51" i="59" s="1"/>
  <c r="B47" i="26"/>
  <c r="F47" i="26"/>
  <c r="G47" i="26" s="1"/>
  <c r="B54" i="20"/>
  <c r="F54" i="20"/>
  <c r="H54" i="20" s="1"/>
  <c r="B48" i="33"/>
  <c r="J130" i="59"/>
  <c r="J134" i="18"/>
  <c r="J132" i="39"/>
  <c r="J126" i="85"/>
  <c r="J131" i="74"/>
  <c r="J129" i="60"/>
  <c r="J130" i="58"/>
  <c r="J128" i="66"/>
  <c r="B50" i="62"/>
  <c r="F50" i="62"/>
  <c r="H50" i="62" s="1"/>
  <c r="I47" i="33"/>
  <c r="F46" i="13"/>
  <c r="G46" i="13" s="1"/>
  <c r="B46" i="13"/>
  <c r="B47" i="87"/>
  <c r="F47" i="87"/>
  <c r="G47" i="87" s="1"/>
  <c r="E48" i="33"/>
  <c r="F48" i="33" s="1"/>
  <c r="G131" i="58"/>
  <c r="D132" i="58"/>
  <c r="E132" i="58"/>
  <c r="B133" i="45"/>
  <c r="F133" i="45"/>
  <c r="G126" i="84"/>
  <c r="E127" i="84"/>
  <c r="D127" i="84"/>
  <c r="I126" i="91"/>
  <c r="H126" i="91"/>
  <c r="E132" i="72"/>
  <c r="D132" i="72"/>
  <c r="G131" i="72"/>
  <c r="G130" i="64"/>
  <c r="E131" i="64"/>
  <c r="D131" i="64"/>
  <c r="E134" i="39"/>
  <c r="G133" i="39"/>
  <c r="D134" i="39"/>
  <c r="E134" i="43"/>
  <c r="G133" i="43"/>
  <c r="D134" i="43"/>
  <c r="F135" i="22"/>
  <c r="B135" i="22"/>
  <c r="E133" i="74"/>
  <c r="D133" i="74"/>
  <c r="G132" i="74"/>
  <c r="D135" i="19"/>
  <c r="E135" i="19"/>
  <c r="G134" i="19"/>
  <c r="I127" i="81"/>
  <c r="H127" i="81"/>
  <c r="J128" i="67"/>
  <c r="J125" i="92"/>
  <c r="D127" i="90"/>
  <c r="E127" i="90"/>
  <c r="G126" i="90"/>
  <c r="J129" i="61"/>
  <c r="D129" i="78"/>
  <c r="E129" i="78"/>
  <c r="G128" i="78"/>
  <c r="D137" i="70"/>
  <c r="E137" i="70"/>
  <c r="G136" i="70"/>
  <c r="E130" i="66"/>
  <c r="D130" i="66"/>
  <c r="G129" i="66"/>
  <c r="H130" i="62"/>
  <c r="I130" i="62"/>
  <c r="J130" i="46"/>
  <c r="D137" i="30"/>
  <c r="G136" i="30"/>
  <c r="E137" i="30"/>
  <c r="E131" i="60"/>
  <c r="G130" i="60"/>
  <c r="D131" i="60"/>
  <c r="G131" i="46"/>
  <c r="D132" i="46"/>
  <c r="E132" i="46"/>
  <c r="G136" i="29"/>
  <c r="E137" i="29"/>
  <c r="D137" i="29"/>
  <c r="E128" i="85"/>
  <c r="G127" i="85"/>
  <c r="D128" i="85"/>
  <c r="B127" i="91"/>
  <c r="F127" i="91"/>
  <c r="H133" i="41"/>
  <c r="I133" i="41"/>
  <c r="D131" i="65"/>
  <c r="E131" i="65"/>
  <c r="G130" i="65"/>
  <c r="I133" i="73"/>
  <c r="H133" i="73"/>
  <c r="G135" i="31"/>
  <c r="E136" i="31"/>
  <c r="D136" i="31"/>
  <c r="G130" i="61"/>
  <c r="E131" i="61"/>
  <c r="D131" i="61"/>
  <c r="I134" i="22"/>
  <c r="H134" i="22"/>
  <c r="F127" i="89"/>
  <c r="B127" i="89"/>
  <c r="E137" i="27"/>
  <c r="G136" i="27"/>
  <c r="D137" i="27"/>
  <c r="G131" i="53"/>
  <c r="D132" i="53"/>
  <c r="E132" i="53"/>
  <c r="D127" i="88"/>
  <c r="G126" i="88"/>
  <c r="E127" i="88"/>
  <c r="F128" i="81"/>
  <c r="B128" i="81"/>
  <c r="G129" i="68"/>
  <c r="D130" i="68"/>
  <c r="E130" i="68"/>
  <c r="G136" i="69"/>
  <c r="D137" i="69"/>
  <c r="E137" i="69"/>
  <c r="J125" i="86"/>
  <c r="J129" i="63"/>
  <c r="I132" i="45"/>
  <c r="H132" i="45"/>
  <c r="B134" i="41"/>
  <c r="F134" i="41"/>
  <c r="F134" i="73"/>
  <c r="B134" i="73"/>
  <c r="E129" i="79"/>
  <c r="G128" i="79"/>
  <c r="D129" i="79"/>
  <c r="J135" i="29"/>
  <c r="J135" i="30"/>
  <c r="D135" i="20"/>
  <c r="E135" i="20"/>
  <c r="G134" i="20"/>
  <c r="J135" i="27"/>
  <c r="F131" i="62"/>
  <c r="B131" i="62"/>
  <c r="D127" i="86"/>
  <c r="G126" i="86"/>
  <c r="E127" i="86"/>
  <c r="G134" i="34"/>
  <c r="D135" i="34"/>
  <c r="E135" i="34"/>
  <c r="D136" i="32"/>
  <c r="E136" i="32"/>
  <c r="G135" i="32"/>
  <c r="H126" i="89"/>
  <c r="I126" i="89"/>
  <c r="J135" i="70"/>
  <c r="G126" i="92"/>
  <c r="E127" i="92"/>
  <c r="D127" i="92"/>
  <c r="E131" i="63"/>
  <c r="G130" i="63"/>
  <c r="D131" i="63"/>
  <c r="J129" i="65"/>
  <c r="J135" i="71"/>
  <c r="J131" i="57"/>
  <c r="E136" i="18"/>
  <c r="G135" i="18"/>
  <c r="D136" i="18"/>
  <c r="G131" i="59"/>
  <c r="E132" i="59"/>
  <c r="D132" i="59"/>
  <c r="J135" i="23"/>
  <c r="I132" i="56"/>
  <c r="H132" i="56"/>
  <c r="D137" i="23"/>
  <c r="E137" i="23"/>
  <c r="G136" i="23"/>
  <c r="F133" i="56"/>
  <c r="B133" i="56"/>
  <c r="J125" i="96"/>
  <c r="J125" i="87"/>
  <c r="J126" i="95"/>
  <c r="G132" i="57"/>
  <c r="D133" i="57"/>
  <c r="E133" i="57"/>
  <c r="J136" i="28"/>
  <c r="J133" i="3"/>
  <c r="G136" i="71"/>
  <c r="D137" i="71"/>
  <c r="E137" i="71"/>
  <c r="J134" i="17"/>
  <c r="J126" i="94"/>
  <c r="G135" i="17"/>
  <c r="D136" i="17"/>
  <c r="E136" i="17"/>
  <c r="I135" i="24"/>
  <c r="H135" i="24"/>
  <c r="I128" i="77"/>
  <c r="H128" i="77"/>
  <c r="I134" i="21"/>
  <c r="H134" i="21"/>
  <c r="D127" i="96"/>
  <c r="E127" i="96" s="1"/>
  <c r="G126" i="96"/>
  <c r="I131" i="54"/>
  <c r="H131" i="54"/>
  <c r="B126" i="33"/>
  <c r="F126" i="33"/>
  <c r="I131" i="55"/>
  <c r="H131" i="55"/>
  <c r="H128" i="75"/>
  <c r="I128" i="75"/>
  <c r="D130" i="67"/>
  <c r="G129" i="67"/>
  <c r="E130" i="67"/>
  <c r="J132" i="44"/>
  <c r="D134" i="44"/>
  <c r="G133" i="44"/>
  <c r="E134" i="44"/>
  <c r="H128" i="76"/>
  <c r="I128" i="76"/>
  <c r="H127" i="80"/>
  <c r="I127" i="80"/>
  <c r="D138" i="28"/>
  <c r="G137" i="28"/>
  <c r="E138" i="28"/>
  <c r="B132" i="54"/>
  <c r="F132" i="54"/>
  <c r="H125" i="33"/>
  <c r="I125" i="33"/>
  <c r="D135" i="3"/>
  <c r="G134" i="3"/>
  <c r="E135" i="3"/>
  <c r="H133" i="42"/>
  <c r="I133" i="42"/>
  <c r="G127" i="94"/>
  <c r="D128" i="94"/>
  <c r="E128" i="94" s="1"/>
  <c r="I125" i="13"/>
  <c r="H125" i="13"/>
  <c r="G127" i="95"/>
  <c r="D128" i="95"/>
  <c r="E128" i="95" s="1"/>
  <c r="F127" i="93"/>
  <c r="B127" i="93"/>
  <c r="G127" i="82"/>
  <c r="D128" i="82"/>
  <c r="E128" i="82"/>
  <c r="F132" i="55"/>
  <c r="B132" i="55"/>
  <c r="B134" i="42"/>
  <c r="F134" i="42"/>
  <c r="J126" i="82"/>
  <c r="B129" i="75"/>
  <c r="F129" i="75"/>
  <c r="I127" i="83"/>
  <c r="H127" i="83"/>
  <c r="B136" i="24"/>
  <c r="F136" i="24"/>
  <c r="F129" i="77"/>
  <c r="B129" i="77"/>
  <c r="B135" i="21"/>
  <c r="F135" i="21"/>
  <c r="F129" i="76"/>
  <c r="B129" i="76"/>
  <c r="B128" i="80"/>
  <c r="F128" i="80"/>
  <c r="H126" i="93"/>
  <c r="I126" i="93"/>
  <c r="D127" i="87"/>
  <c r="G126" i="87"/>
  <c r="E127" i="87"/>
  <c r="B126" i="13"/>
  <c r="F126" i="13"/>
  <c r="F128" i="83"/>
  <c r="B128" i="83"/>
  <c r="E57" i="100" l="1"/>
  <c r="F57" i="100" s="1"/>
  <c r="B57" i="100"/>
  <c r="G128" i="100"/>
  <c r="D129" i="100"/>
  <c r="E129" i="100"/>
  <c r="I127" i="100"/>
  <c r="H127" i="100"/>
  <c r="D47" i="25"/>
  <c r="G46" i="25"/>
  <c r="H46" i="25"/>
  <c r="J125" i="25"/>
  <c r="G126" i="25"/>
  <c r="D127" i="25"/>
  <c r="I48" i="78"/>
  <c r="H46" i="13"/>
  <c r="I46" i="13" s="1"/>
  <c r="G56" i="71"/>
  <c r="I56" i="71" s="1"/>
  <c r="E57" i="97"/>
  <c r="F57" i="97" s="1"/>
  <c r="B57" i="97"/>
  <c r="H56" i="97"/>
  <c r="I50" i="99"/>
  <c r="G56" i="97"/>
  <c r="B46" i="98"/>
  <c r="F46" i="98"/>
  <c r="H46" i="98" s="1"/>
  <c r="B51" i="99"/>
  <c r="F51" i="99"/>
  <c r="H51" i="99" s="1"/>
  <c r="J125" i="99"/>
  <c r="D127" i="99"/>
  <c r="G126" i="99"/>
  <c r="E127" i="99"/>
  <c r="J126" i="26"/>
  <c r="G127" i="26"/>
  <c r="D128" i="26"/>
  <c r="B128" i="26" s="1"/>
  <c r="I56" i="27"/>
  <c r="I126" i="97"/>
  <c r="H126" i="97"/>
  <c r="H126" i="98"/>
  <c r="I126" i="98"/>
  <c r="F127" i="97"/>
  <c r="B127" i="97"/>
  <c r="F127" i="98"/>
  <c r="B127" i="98"/>
  <c r="H48" i="85"/>
  <c r="I48" i="85" s="1"/>
  <c r="I45" i="96"/>
  <c r="I47" i="84"/>
  <c r="I48" i="80"/>
  <c r="B51" i="67"/>
  <c r="F51" i="67"/>
  <c r="H51" i="67" s="1"/>
  <c r="F52" i="46"/>
  <c r="G52" i="46" s="1"/>
  <c r="B52" i="46"/>
  <c r="G54" i="39"/>
  <c r="I54" i="39" s="1"/>
  <c r="F56" i="24"/>
  <c r="G56" i="24" s="1"/>
  <c r="B56" i="24"/>
  <c r="G50" i="62"/>
  <c r="I50" i="62" s="1"/>
  <c r="F47" i="94"/>
  <c r="H47" i="94" s="1"/>
  <c r="B47" i="94"/>
  <c r="H49" i="82"/>
  <c r="D50" i="82"/>
  <c r="E50" i="82"/>
  <c r="B49" i="80"/>
  <c r="F49" i="80"/>
  <c r="H48" i="88"/>
  <c r="I48" i="88" s="1"/>
  <c r="F46" i="93"/>
  <c r="G46" i="93" s="1"/>
  <c r="B46" i="93"/>
  <c r="G48" i="86"/>
  <c r="H48" i="86"/>
  <c r="D49" i="86"/>
  <c r="E49" i="86"/>
  <c r="I56" i="23"/>
  <c r="G49" i="82"/>
  <c r="F52" i="53"/>
  <c r="G52" i="53" s="1"/>
  <c r="B52" i="53"/>
  <c r="B51" i="66"/>
  <c r="F51" i="66"/>
  <c r="B48" i="84"/>
  <c r="F48" i="84"/>
  <c r="H48" i="84" s="1"/>
  <c r="D51" i="65"/>
  <c r="E51" i="65" s="1"/>
  <c r="B57" i="23"/>
  <c r="F57" i="23"/>
  <c r="H47" i="26"/>
  <c r="I47" i="26" s="1"/>
  <c r="I54" i="43"/>
  <c r="B49" i="90"/>
  <c r="F49" i="90"/>
  <c r="H49" i="90" s="1"/>
  <c r="G54" i="42"/>
  <c r="I54" i="42" s="1"/>
  <c r="D55" i="42"/>
  <c r="E55" i="42" s="1"/>
  <c r="G54" i="20"/>
  <c r="I54" i="20" s="1"/>
  <c r="D50" i="75"/>
  <c r="E50" i="75" s="1"/>
  <c r="D54" i="55"/>
  <c r="E54" i="55" s="1"/>
  <c r="G50" i="65"/>
  <c r="B48" i="91"/>
  <c r="F48" i="91"/>
  <c r="G48" i="91" s="1"/>
  <c r="G49" i="75"/>
  <c r="I49" i="75" s="1"/>
  <c r="G53" i="55"/>
  <c r="I53" i="55" s="1"/>
  <c r="H50" i="65"/>
  <c r="H53" i="58"/>
  <c r="D54" i="58"/>
  <c r="E54" i="58" s="1"/>
  <c r="G53" i="58"/>
  <c r="B55" i="22"/>
  <c r="F55" i="22"/>
  <c r="H55" i="22" s="1"/>
  <c r="B49" i="76"/>
  <c r="F49" i="76"/>
  <c r="H49" i="76" s="1"/>
  <c r="H55" i="19"/>
  <c r="I55" i="19" s="1"/>
  <c r="B54" i="44"/>
  <c r="F54" i="44"/>
  <c r="G54" i="44" s="1"/>
  <c r="B46" i="96"/>
  <c r="F46" i="96"/>
  <c r="H46" i="96" s="1"/>
  <c r="B57" i="27"/>
  <c r="F57" i="27"/>
  <c r="D47" i="95"/>
  <c r="E47" i="95"/>
  <c r="H47" i="87"/>
  <c r="I47" i="87" s="1"/>
  <c r="D55" i="39"/>
  <c r="E55" i="39" s="1"/>
  <c r="F48" i="81"/>
  <c r="G48" i="81" s="1"/>
  <c r="B48" i="81"/>
  <c r="F51" i="61"/>
  <c r="G51" i="61" s="1"/>
  <c r="B51" i="61"/>
  <c r="G46" i="95"/>
  <c r="I46" i="95" s="1"/>
  <c r="H52" i="72"/>
  <c r="I52" i="72" s="1"/>
  <c r="D53" i="72"/>
  <c r="E53" i="72" s="1"/>
  <c r="D49" i="85"/>
  <c r="E49" i="85"/>
  <c r="G58" i="28"/>
  <c r="D59" i="28"/>
  <c r="E59" i="28"/>
  <c r="D58" i="69"/>
  <c r="E58" i="69" s="1"/>
  <c r="D58" i="31"/>
  <c r="E58" i="31" s="1"/>
  <c r="B47" i="92"/>
  <c r="F47" i="92"/>
  <c r="G47" i="92" s="1"/>
  <c r="F55" i="17"/>
  <c r="C64" i="17"/>
  <c r="B55" i="17"/>
  <c r="B51" i="60"/>
  <c r="F51" i="60"/>
  <c r="G51" i="60" s="1"/>
  <c r="B51" i="63"/>
  <c r="F51" i="63"/>
  <c r="H51" i="63" s="1"/>
  <c r="D57" i="71"/>
  <c r="E57" i="71" s="1"/>
  <c r="H57" i="31"/>
  <c r="F49" i="78"/>
  <c r="B49" i="78"/>
  <c r="D57" i="30"/>
  <c r="E57" i="30" s="1"/>
  <c r="F57" i="70"/>
  <c r="G57" i="70" s="1"/>
  <c r="B57" i="70"/>
  <c r="G47" i="83"/>
  <c r="D48" i="83"/>
  <c r="E48" i="83" s="1"/>
  <c r="D52" i="64"/>
  <c r="E52" i="64"/>
  <c r="B52" i="54"/>
  <c r="F52" i="54"/>
  <c r="H52" i="54" s="1"/>
  <c r="F49" i="79"/>
  <c r="B49" i="79"/>
  <c r="H51" i="56"/>
  <c r="I51" i="56" s="1"/>
  <c r="D52" i="56"/>
  <c r="E52" i="56" s="1"/>
  <c r="D56" i="3"/>
  <c r="E56" i="3" s="1"/>
  <c r="B55" i="21"/>
  <c r="F55" i="21"/>
  <c r="H55" i="21" s="1"/>
  <c r="F56" i="32"/>
  <c r="H56" i="32" s="1"/>
  <c r="B56" i="32"/>
  <c r="D57" i="34"/>
  <c r="E57" i="34" s="1"/>
  <c r="I56" i="70"/>
  <c r="G51" i="64"/>
  <c r="I51" i="64" s="1"/>
  <c r="B49" i="77"/>
  <c r="F49" i="77"/>
  <c r="G49" i="77" s="1"/>
  <c r="B54" i="73"/>
  <c r="F54" i="73"/>
  <c r="H57" i="69"/>
  <c r="I48" i="79"/>
  <c r="H56" i="30"/>
  <c r="F47" i="89"/>
  <c r="H47" i="89" s="1"/>
  <c r="B47" i="89"/>
  <c r="F55" i="43"/>
  <c r="G55" i="43" s="1"/>
  <c r="B55" i="43"/>
  <c r="H47" i="83"/>
  <c r="B57" i="29"/>
  <c r="F57" i="29"/>
  <c r="H57" i="29" s="1"/>
  <c r="G55" i="3"/>
  <c r="I55" i="3" s="1"/>
  <c r="B52" i="57"/>
  <c r="F52" i="57"/>
  <c r="G52" i="57" s="1"/>
  <c r="G53" i="45"/>
  <c r="I53" i="45" s="1"/>
  <c r="D54" i="45"/>
  <c r="E54" i="45" s="1"/>
  <c r="F54" i="74"/>
  <c r="G54" i="74" s="1"/>
  <c r="B54" i="74"/>
  <c r="I54" i="41"/>
  <c r="D56" i="19"/>
  <c r="E56" i="19" s="1"/>
  <c r="H56" i="34"/>
  <c r="I56" i="34" s="1"/>
  <c r="D49" i="88"/>
  <c r="E49" i="88" s="1"/>
  <c r="G50" i="68"/>
  <c r="I50" i="68" s="1"/>
  <c r="D51" i="68"/>
  <c r="E51" i="68" s="1"/>
  <c r="H58" i="28"/>
  <c r="G57" i="69"/>
  <c r="B55" i="41"/>
  <c r="F55" i="41"/>
  <c r="G57" i="31"/>
  <c r="G56" i="30"/>
  <c r="J131" i="55"/>
  <c r="J132" i="45"/>
  <c r="J126" i="89"/>
  <c r="J131" i="54"/>
  <c r="D49" i="33"/>
  <c r="E49" i="33" s="1"/>
  <c r="G48" i="33"/>
  <c r="H48" i="33"/>
  <c r="B51" i="59"/>
  <c r="F51" i="59"/>
  <c r="H51" i="59" s="1"/>
  <c r="J125" i="33"/>
  <c r="E55" i="20"/>
  <c r="D55" i="20"/>
  <c r="D48" i="26"/>
  <c r="E48" i="26" s="1"/>
  <c r="D48" i="87"/>
  <c r="E48" i="87"/>
  <c r="F56" i="18"/>
  <c r="G56" i="18" s="1"/>
  <c r="B56" i="18"/>
  <c r="D47" i="13"/>
  <c r="E47" i="13" s="1"/>
  <c r="D51" i="62"/>
  <c r="E51" i="62" s="1"/>
  <c r="I134" i="34"/>
  <c r="H134" i="34"/>
  <c r="F129" i="79"/>
  <c r="B129" i="79"/>
  <c r="E135" i="73"/>
  <c r="D135" i="73"/>
  <c r="G134" i="73"/>
  <c r="F137" i="69"/>
  <c r="B137" i="69"/>
  <c r="H129" i="68"/>
  <c r="I129" i="68"/>
  <c r="H126" i="88"/>
  <c r="I126" i="88"/>
  <c r="I131" i="53"/>
  <c r="H131" i="53"/>
  <c r="B131" i="61"/>
  <c r="F131" i="61"/>
  <c r="I130" i="65"/>
  <c r="H130" i="65"/>
  <c r="H127" i="85"/>
  <c r="I127" i="85"/>
  <c r="I136" i="29"/>
  <c r="H136" i="29"/>
  <c r="F131" i="60"/>
  <c r="B131" i="60"/>
  <c r="I136" i="30"/>
  <c r="H136" i="30"/>
  <c r="I136" i="70"/>
  <c r="H136" i="70"/>
  <c r="B135" i="19"/>
  <c r="F135" i="19"/>
  <c r="B131" i="64"/>
  <c r="F131" i="64"/>
  <c r="F132" i="72"/>
  <c r="B132" i="72"/>
  <c r="F127" i="84"/>
  <c r="B127" i="84"/>
  <c r="J128" i="77"/>
  <c r="F127" i="92"/>
  <c r="B127" i="92"/>
  <c r="B136" i="32"/>
  <c r="F136" i="32"/>
  <c r="D132" i="62"/>
  <c r="E132" i="62"/>
  <c r="G131" i="62"/>
  <c r="B135" i="20"/>
  <c r="F135" i="20"/>
  <c r="H128" i="79"/>
  <c r="I128" i="79"/>
  <c r="G134" i="41"/>
  <c r="E135" i="41"/>
  <c r="D135" i="41"/>
  <c r="I136" i="69"/>
  <c r="H136" i="69"/>
  <c r="F127" i="88"/>
  <c r="B127" i="88"/>
  <c r="F137" i="27"/>
  <c r="B137" i="27"/>
  <c r="E128" i="89"/>
  <c r="G127" i="89"/>
  <c r="D128" i="89"/>
  <c r="H135" i="31"/>
  <c r="I135" i="31"/>
  <c r="G127" i="91"/>
  <c r="E128" i="91"/>
  <c r="D128" i="91"/>
  <c r="H130" i="60"/>
  <c r="I130" i="60"/>
  <c r="B137" i="30"/>
  <c r="F137" i="30"/>
  <c r="I129" i="66"/>
  <c r="H129" i="66"/>
  <c r="B129" i="78"/>
  <c r="F129" i="78"/>
  <c r="F127" i="90"/>
  <c r="B127" i="90"/>
  <c r="J127" i="81"/>
  <c r="I132" i="74"/>
  <c r="H132" i="74"/>
  <c r="E136" i="22"/>
  <c r="G135" i="22"/>
  <c r="D136" i="22"/>
  <c r="F134" i="39"/>
  <c r="B134" i="39"/>
  <c r="J132" i="56"/>
  <c r="B131" i="63"/>
  <c r="F131" i="63"/>
  <c r="H126" i="86"/>
  <c r="I126" i="86"/>
  <c r="E129" i="81"/>
  <c r="D129" i="81"/>
  <c r="G128" i="81"/>
  <c r="H136" i="27"/>
  <c r="I136" i="27"/>
  <c r="I130" i="61"/>
  <c r="H130" i="61"/>
  <c r="B131" i="65"/>
  <c r="F131" i="65"/>
  <c r="F137" i="29"/>
  <c r="B137" i="29"/>
  <c r="F132" i="46"/>
  <c r="B132" i="46"/>
  <c r="B130" i="66"/>
  <c r="F130" i="66"/>
  <c r="F137" i="70"/>
  <c r="B137" i="70"/>
  <c r="H134" i="19"/>
  <c r="I134" i="19"/>
  <c r="F133" i="74"/>
  <c r="B133" i="74"/>
  <c r="F134" i="43"/>
  <c r="B134" i="43"/>
  <c r="H133" i="39"/>
  <c r="I133" i="39"/>
  <c r="H130" i="64"/>
  <c r="I130" i="64"/>
  <c r="I126" i="84"/>
  <c r="H126" i="84"/>
  <c r="B132" i="58"/>
  <c r="F132" i="58"/>
  <c r="J135" i="24"/>
  <c r="H130" i="63"/>
  <c r="I130" i="63"/>
  <c r="I126" i="92"/>
  <c r="H126" i="92"/>
  <c r="I135" i="32"/>
  <c r="H135" i="32"/>
  <c r="B135" i="34"/>
  <c r="F135" i="34"/>
  <c r="B127" i="86"/>
  <c r="F127" i="86"/>
  <c r="H134" i="20"/>
  <c r="I134" i="20"/>
  <c r="B130" i="68"/>
  <c r="F130" i="68"/>
  <c r="B132" i="53"/>
  <c r="F132" i="53"/>
  <c r="J134" i="22"/>
  <c r="F136" i="31"/>
  <c r="B136" i="31"/>
  <c r="J133" i="73"/>
  <c r="J133" i="41"/>
  <c r="B128" i="85"/>
  <c r="F128" i="85"/>
  <c r="I131" i="46"/>
  <c r="H131" i="46"/>
  <c r="J130" i="62"/>
  <c r="I128" i="78"/>
  <c r="H128" i="78"/>
  <c r="H126" i="90"/>
  <c r="I126" i="90"/>
  <c r="I133" i="43"/>
  <c r="H133" i="43"/>
  <c r="I131" i="72"/>
  <c r="H131" i="72"/>
  <c r="J126" i="91"/>
  <c r="E134" i="45"/>
  <c r="D134" i="45"/>
  <c r="G133" i="45"/>
  <c r="H131" i="58"/>
  <c r="I131" i="58"/>
  <c r="J133" i="42"/>
  <c r="J127" i="80"/>
  <c r="J128" i="75"/>
  <c r="H136" i="23"/>
  <c r="I136" i="23"/>
  <c r="H131" i="59"/>
  <c r="I131" i="59"/>
  <c r="E134" i="56"/>
  <c r="D134" i="56"/>
  <c r="G133" i="56"/>
  <c r="F136" i="18"/>
  <c r="B136" i="18"/>
  <c r="F137" i="23"/>
  <c r="B137" i="23"/>
  <c r="B132" i="59"/>
  <c r="F132" i="59"/>
  <c r="H135" i="18"/>
  <c r="I135" i="18"/>
  <c r="B137" i="71"/>
  <c r="F137" i="71"/>
  <c r="I136" i="71"/>
  <c r="H136" i="71"/>
  <c r="J126" i="93"/>
  <c r="B133" i="57"/>
  <c r="F133" i="57"/>
  <c r="J125" i="13"/>
  <c r="I132" i="57"/>
  <c r="H132" i="57"/>
  <c r="G128" i="83"/>
  <c r="E129" i="83"/>
  <c r="D129" i="83"/>
  <c r="H126" i="87"/>
  <c r="I126" i="87"/>
  <c r="D130" i="75"/>
  <c r="E130" i="75"/>
  <c r="G129" i="75"/>
  <c r="E135" i="42"/>
  <c r="D135" i="42"/>
  <c r="G134" i="42"/>
  <c r="H137" i="28"/>
  <c r="I137" i="28"/>
  <c r="I133" i="44"/>
  <c r="H133" i="44"/>
  <c r="B130" i="67"/>
  <c r="F130" i="67"/>
  <c r="I126" i="96"/>
  <c r="H126" i="96"/>
  <c r="B127" i="87"/>
  <c r="F127" i="87"/>
  <c r="G128" i="80"/>
  <c r="E129" i="80"/>
  <c r="D129" i="80"/>
  <c r="G129" i="76"/>
  <c r="D130" i="76"/>
  <c r="E130" i="76"/>
  <c r="G129" i="77"/>
  <c r="D130" i="77"/>
  <c r="E130" i="77"/>
  <c r="G127" i="93"/>
  <c r="D128" i="93"/>
  <c r="E128" i="93" s="1"/>
  <c r="F128" i="94"/>
  <c r="B128" i="94"/>
  <c r="B138" i="28"/>
  <c r="F138" i="28"/>
  <c r="F134" i="44"/>
  <c r="B134" i="44"/>
  <c r="E136" i="21"/>
  <c r="G135" i="21"/>
  <c r="D136" i="21"/>
  <c r="D137" i="24"/>
  <c r="E137" i="24"/>
  <c r="G136" i="24"/>
  <c r="J127" i="83"/>
  <c r="D133" i="55"/>
  <c r="G132" i="55"/>
  <c r="E133" i="55"/>
  <c r="B128" i="82"/>
  <c r="F128" i="82"/>
  <c r="F128" i="95"/>
  <c r="B128" i="95"/>
  <c r="I127" i="94"/>
  <c r="H127" i="94"/>
  <c r="H134" i="3"/>
  <c r="I134" i="3"/>
  <c r="J128" i="76"/>
  <c r="G126" i="33"/>
  <c r="D127" i="33"/>
  <c r="E127" i="33" s="1"/>
  <c r="B127" i="96"/>
  <c r="F127" i="96"/>
  <c r="J134" i="21"/>
  <c r="F136" i="17"/>
  <c r="G126" i="13"/>
  <c r="D127" i="13"/>
  <c r="E127" i="13" s="1"/>
  <c r="I127" i="82"/>
  <c r="H127" i="82"/>
  <c r="I127" i="95"/>
  <c r="H127" i="95"/>
  <c r="F135" i="3"/>
  <c r="B135" i="3"/>
  <c r="D133" i="54"/>
  <c r="E133" i="54"/>
  <c r="G132" i="54"/>
  <c r="H129" i="67"/>
  <c r="I129" i="67"/>
  <c r="H135" i="17"/>
  <c r="I135" i="17"/>
  <c r="H57" i="100" l="1"/>
  <c r="D58" i="100"/>
  <c r="E58" i="100"/>
  <c r="F58" i="100" s="1"/>
  <c r="D59" i="100" s="1"/>
  <c r="G57" i="100"/>
  <c r="I57" i="100" s="1"/>
  <c r="I46" i="25"/>
  <c r="J127" i="100"/>
  <c r="F129" i="100"/>
  <c r="B129" i="100"/>
  <c r="H128" i="100"/>
  <c r="I128" i="100"/>
  <c r="J128" i="100" s="1"/>
  <c r="B47" i="25"/>
  <c r="E47" i="25"/>
  <c r="F47" i="25" s="1"/>
  <c r="G51" i="99"/>
  <c r="I51" i="99" s="1"/>
  <c r="G46" i="98"/>
  <c r="I46" i="98" s="1"/>
  <c r="E127" i="25"/>
  <c r="F127" i="25" s="1"/>
  <c r="B127" i="25"/>
  <c r="I47" i="83"/>
  <c r="H126" i="25"/>
  <c r="I126" i="25"/>
  <c r="D58" i="97"/>
  <c r="B58" i="97" s="1"/>
  <c r="G57" i="97"/>
  <c r="E58" i="97"/>
  <c r="D52" i="99"/>
  <c r="E52" i="99"/>
  <c r="D47" i="98"/>
  <c r="E47" i="98"/>
  <c r="I56" i="97"/>
  <c r="H57" i="97"/>
  <c r="H126" i="99"/>
  <c r="I126" i="99"/>
  <c r="B127" i="99"/>
  <c r="F127" i="99"/>
  <c r="I50" i="65"/>
  <c r="I56" i="30"/>
  <c r="I58" i="28"/>
  <c r="E128" i="26"/>
  <c r="F128" i="26" s="1"/>
  <c r="G128" i="26" s="1"/>
  <c r="I128" i="26" s="1"/>
  <c r="H127" i="26"/>
  <c r="I127" i="26"/>
  <c r="J126" i="98"/>
  <c r="H56" i="24"/>
  <c r="I56" i="24" s="1"/>
  <c r="G55" i="21"/>
  <c r="I55" i="21" s="1"/>
  <c r="G127" i="98"/>
  <c r="D128" i="98"/>
  <c r="E128" i="98"/>
  <c r="G127" i="97"/>
  <c r="D128" i="97"/>
  <c r="E128" i="97"/>
  <c r="J126" i="97"/>
  <c r="G49" i="76"/>
  <c r="I49" i="76" s="1"/>
  <c r="G51" i="67"/>
  <c r="I51" i="67" s="1"/>
  <c r="D52" i="67"/>
  <c r="E52" i="67" s="1"/>
  <c r="H52" i="46"/>
  <c r="I52" i="46" s="1"/>
  <c r="D53" i="46"/>
  <c r="E53" i="46" s="1"/>
  <c r="G57" i="29"/>
  <c r="I57" i="29" s="1"/>
  <c r="D57" i="24"/>
  <c r="E57" i="24" s="1"/>
  <c r="G51" i="59"/>
  <c r="I51" i="59" s="1"/>
  <c r="H47" i="92"/>
  <c r="I47" i="92" s="1"/>
  <c r="G48" i="84"/>
  <c r="I48" i="84" s="1"/>
  <c r="I48" i="86"/>
  <c r="H46" i="93"/>
  <c r="I46" i="93" s="1"/>
  <c r="D47" i="93"/>
  <c r="E47" i="93" s="1"/>
  <c r="H49" i="80"/>
  <c r="D50" i="80"/>
  <c r="E50" i="80"/>
  <c r="B50" i="82"/>
  <c r="F50" i="82"/>
  <c r="H50" i="82" s="1"/>
  <c r="H52" i="57"/>
  <c r="I52" i="57" s="1"/>
  <c r="I49" i="82"/>
  <c r="D48" i="94"/>
  <c r="E48" i="94" s="1"/>
  <c r="I48" i="33"/>
  <c r="F49" i="86"/>
  <c r="B49" i="86"/>
  <c r="G49" i="80"/>
  <c r="G47" i="94"/>
  <c r="I47" i="94" s="1"/>
  <c r="F54" i="58"/>
  <c r="B54" i="58"/>
  <c r="B50" i="75"/>
  <c r="F50" i="75"/>
  <c r="G50" i="75" s="1"/>
  <c r="D49" i="91"/>
  <c r="E49" i="91"/>
  <c r="H48" i="91"/>
  <c r="I48" i="91" s="1"/>
  <c r="G51" i="66"/>
  <c r="D52" i="66"/>
  <c r="E52" i="66" s="1"/>
  <c r="H51" i="61"/>
  <c r="I51" i="61" s="1"/>
  <c r="F51" i="65"/>
  <c r="G51" i="65" s="1"/>
  <c r="B51" i="65"/>
  <c r="D49" i="84"/>
  <c r="E49" i="84"/>
  <c r="D53" i="53"/>
  <c r="E53" i="53" s="1"/>
  <c r="I53" i="58"/>
  <c r="B54" i="55"/>
  <c r="F54" i="55"/>
  <c r="B55" i="42"/>
  <c r="F55" i="42"/>
  <c r="G49" i="90"/>
  <c r="I49" i="90" s="1"/>
  <c r="E50" i="90"/>
  <c r="D50" i="90"/>
  <c r="H57" i="23"/>
  <c r="G57" i="23"/>
  <c r="D58" i="23"/>
  <c r="H51" i="66"/>
  <c r="H52" i="53"/>
  <c r="I52" i="53" s="1"/>
  <c r="F55" i="39"/>
  <c r="H55" i="39" s="1"/>
  <c r="B55" i="39"/>
  <c r="D55" i="44"/>
  <c r="E55" i="44" s="1"/>
  <c r="F53" i="72"/>
  <c r="G53" i="72" s="1"/>
  <c r="B53" i="72"/>
  <c r="H49" i="77"/>
  <c r="I49" i="77" s="1"/>
  <c r="D52" i="61"/>
  <c r="E52" i="61" s="1"/>
  <c r="H48" i="81"/>
  <c r="I48" i="81" s="1"/>
  <c r="D49" i="81"/>
  <c r="E49" i="81" s="1"/>
  <c r="F47" i="95"/>
  <c r="B47" i="95"/>
  <c r="G57" i="27"/>
  <c r="H57" i="27"/>
  <c r="D58" i="27"/>
  <c r="E58" i="27" s="1"/>
  <c r="G46" i="96"/>
  <c r="I46" i="96" s="1"/>
  <c r="E47" i="96"/>
  <c r="D47" i="96"/>
  <c r="H54" i="44"/>
  <c r="I54" i="44" s="1"/>
  <c r="D50" i="76"/>
  <c r="E50" i="76"/>
  <c r="B49" i="85"/>
  <c r="F49" i="85"/>
  <c r="G49" i="85" s="1"/>
  <c r="G55" i="22"/>
  <c r="I55" i="22" s="1"/>
  <c r="D56" i="22"/>
  <c r="E56" i="22" s="1"/>
  <c r="D56" i="41"/>
  <c r="E56" i="41" s="1"/>
  <c r="D50" i="79"/>
  <c r="E50" i="79" s="1"/>
  <c r="H56" i="18"/>
  <c r="I56" i="18" s="1"/>
  <c r="B49" i="88"/>
  <c r="F49" i="88"/>
  <c r="H49" i="88" s="1"/>
  <c r="B56" i="19"/>
  <c r="F56" i="19"/>
  <c r="H56" i="19" s="1"/>
  <c r="G56" i="32"/>
  <c r="I56" i="32" s="1"/>
  <c r="G49" i="79"/>
  <c r="F52" i="64"/>
  <c r="B52" i="64"/>
  <c r="B57" i="30"/>
  <c r="F57" i="30"/>
  <c r="H57" i="30" s="1"/>
  <c r="G49" i="78"/>
  <c r="D50" i="78"/>
  <c r="E50" i="78" s="1"/>
  <c r="G51" i="63"/>
  <c r="I51" i="63" s="1"/>
  <c r="D52" i="63"/>
  <c r="E52" i="63" s="1"/>
  <c r="F58" i="69"/>
  <c r="G58" i="69" s="1"/>
  <c r="B58" i="69"/>
  <c r="F54" i="45"/>
  <c r="G54" i="45" s="1"/>
  <c r="B54" i="45"/>
  <c r="D56" i="43"/>
  <c r="E56" i="43" s="1"/>
  <c r="H54" i="73"/>
  <c r="G54" i="73"/>
  <c r="D55" i="73"/>
  <c r="E55" i="73" s="1"/>
  <c r="D56" i="17"/>
  <c r="E56" i="17" s="1"/>
  <c r="H55" i="41"/>
  <c r="F51" i="68"/>
  <c r="B51" i="68"/>
  <c r="H54" i="74"/>
  <c r="I54" i="74" s="1"/>
  <c r="D55" i="74"/>
  <c r="E55" i="74" s="1"/>
  <c r="D58" i="29"/>
  <c r="E58" i="29" s="1"/>
  <c r="B56" i="3"/>
  <c r="F56" i="3"/>
  <c r="H56" i="3" s="1"/>
  <c r="B52" i="56"/>
  <c r="F52" i="56"/>
  <c r="H52" i="56" s="1"/>
  <c r="H49" i="79"/>
  <c r="G52" i="54"/>
  <c r="I52" i="54" s="1"/>
  <c r="D53" i="54"/>
  <c r="E53" i="54" s="1"/>
  <c r="I57" i="31"/>
  <c r="B57" i="71"/>
  <c r="F57" i="71"/>
  <c r="H57" i="71" s="1"/>
  <c r="H55" i="17"/>
  <c r="B58" i="31"/>
  <c r="F58" i="31"/>
  <c r="H58" i="31" s="1"/>
  <c r="D57" i="32"/>
  <c r="E57" i="32" s="1"/>
  <c r="B48" i="83"/>
  <c r="F48" i="83"/>
  <c r="G48" i="83" s="1"/>
  <c r="B59" i="28"/>
  <c r="F59" i="28"/>
  <c r="G59" i="28" s="1"/>
  <c r="G55" i="41"/>
  <c r="D53" i="57"/>
  <c r="E53" i="57" s="1"/>
  <c r="H55" i="43"/>
  <c r="I55" i="43" s="1"/>
  <c r="G47" i="89"/>
  <c r="I47" i="89" s="1"/>
  <c r="D48" i="89"/>
  <c r="E48" i="89" s="1"/>
  <c r="I57" i="69"/>
  <c r="D50" i="77"/>
  <c r="E50" i="77" s="1"/>
  <c r="B57" i="34"/>
  <c r="F57" i="34"/>
  <c r="G57" i="34" s="1"/>
  <c r="D56" i="21"/>
  <c r="E56" i="21"/>
  <c r="H57" i="70"/>
  <c r="I57" i="70" s="1"/>
  <c r="D58" i="70"/>
  <c r="E58" i="70" s="1"/>
  <c r="H49" i="78"/>
  <c r="H51" i="60"/>
  <c r="I51" i="60" s="1"/>
  <c r="D52" i="60"/>
  <c r="E52" i="60" s="1"/>
  <c r="G55" i="17"/>
  <c r="D48" i="92"/>
  <c r="E48" i="92"/>
  <c r="J133" i="43"/>
  <c r="J128" i="78"/>
  <c r="J126" i="92"/>
  <c r="J135" i="31"/>
  <c r="J133" i="39"/>
  <c r="J136" i="27"/>
  <c r="J136" i="69"/>
  <c r="J130" i="64"/>
  <c r="B48" i="87"/>
  <c r="F48" i="87"/>
  <c r="G48" i="87" s="1"/>
  <c r="B55" i="20"/>
  <c r="F55" i="20"/>
  <c r="H55" i="20" s="1"/>
  <c r="D52" i="59"/>
  <c r="E52" i="59" s="1"/>
  <c r="J134" i="19"/>
  <c r="J130" i="60"/>
  <c r="J136" i="70"/>
  <c r="F51" i="62"/>
  <c r="H51" i="62" s="1"/>
  <c r="B51" i="62"/>
  <c r="B47" i="13"/>
  <c r="F47" i="13"/>
  <c r="H47" i="13" s="1"/>
  <c r="J131" i="72"/>
  <c r="J135" i="32"/>
  <c r="J132" i="74"/>
  <c r="J136" i="30"/>
  <c r="J136" i="29"/>
  <c r="J130" i="65"/>
  <c r="J131" i="53"/>
  <c r="D57" i="18"/>
  <c r="E57" i="18" s="1"/>
  <c r="F48" i="26"/>
  <c r="H48" i="26" s="1"/>
  <c r="B48" i="26"/>
  <c r="B49" i="33"/>
  <c r="F49" i="33"/>
  <c r="G128" i="85"/>
  <c r="E129" i="85"/>
  <c r="D129" i="85"/>
  <c r="D133" i="58"/>
  <c r="E133" i="58"/>
  <c r="G132" i="58"/>
  <c r="E131" i="66"/>
  <c r="D131" i="66"/>
  <c r="G130" i="66"/>
  <c r="H128" i="81"/>
  <c r="I128" i="81"/>
  <c r="I127" i="91"/>
  <c r="H127" i="91"/>
  <c r="H127" i="89"/>
  <c r="I127" i="89"/>
  <c r="B135" i="41"/>
  <c r="F135" i="41"/>
  <c r="G127" i="84"/>
  <c r="E128" i="84"/>
  <c r="D128" i="84"/>
  <c r="D132" i="60"/>
  <c r="G131" i="60"/>
  <c r="E132" i="60"/>
  <c r="E138" i="69"/>
  <c r="G137" i="69"/>
  <c r="D138" i="69"/>
  <c r="J136" i="71"/>
  <c r="J135" i="18"/>
  <c r="J136" i="23"/>
  <c r="H133" i="45"/>
  <c r="I133" i="45"/>
  <c r="J126" i="90"/>
  <c r="G136" i="31"/>
  <c r="E137" i="31"/>
  <c r="D137" i="31"/>
  <c r="D131" i="68"/>
  <c r="E131" i="68"/>
  <c r="G130" i="68"/>
  <c r="E128" i="86"/>
  <c r="G127" i="86"/>
  <c r="D128" i="86"/>
  <c r="J130" i="63"/>
  <c r="G134" i="43"/>
  <c r="D135" i="43"/>
  <c r="E135" i="43"/>
  <c r="D138" i="29"/>
  <c r="E138" i="29"/>
  <c r="G137" i="29"/>
  <c r="J130" i="61"/>
  <c r="F129" i="81"/>
  <c r="B129" i="81"/>
  <c r="E132" i="63"/>
  <c r="G131" i="63"/>
  <c r="D132" i="63"/>
  <c r="D135" i="39"/>
  <c r="G134" i="39"/>
  <c r="E135" i="39"/>
  <c r="G127" i="90"/>
  <c r="E128" i="90"/>
  <c r="D128" i="90"/>
  <c r="J129" i="66"/>
  <c r="E128" i="88"/>
  <c r="D128" i="88"/>
  <c r="G127" i="88"/>
  <c r="G135" i="20"/>
  <c r="E136" i="20"/>
  <c r="D136" i="20"/>
  <c r="B132" i="62"/>
  <c r="F132" i="62"/>
  <c r="D128" i="92"/>
  <c r="G127" i="92"/>
  <c r="E128" i="92"/>
  <c r="E136" i="19"/>
  <c r="D136" i="19"/>
  <c r="G135" i="19"/>
  <c r="J129" i="68"/>
  <c r="H134" i="73"/>
  <c r="I134" i="73"/>
  <c r="D130" i="79"/>
  <c r="E130" i="79"/>
  <c r="G129" i="79"/>
  <c r="B134" i="45"/>
  <c r="F134" i="45"/>
  <c r="D132" i="65"/>
  <c r="G131" i="65"/>
  <c r="E132" i="65"/>
  <c r="B136" i="22"/>
  <c r="F136" i="22"/>
  <c r="D130" i="78"/>
  <c r="E130" i="78"/>
  <c r="G129" i="78"/>
  <c r="E138" i="30"/>
  <c r="G137" i="30"/>
  <c r="D138" i="30"/>
  <c r="B128" i="91"/>
  <c r="F128" i="91"/>
  <c r="H134" i="41"/>
  <c r="I134" i="41"/>
  <c r="G136" i="32"/>
  <c r="D137" i="32"/>
  <c r="E137" i="32"/>
  <c r="E133" i="72"/>
  <c r="D133" i="72"/>
  <c r="G132" i="72"/>
  <c r="B135" i="73"/>
  <c r="F135" i="73"/>
  <c r="J127" i="95"/>
  <c r="J133" i="44"/>
  <c r="J131" i="58"/>
  <c r="J131" i="46"/>
  <c r="E133" i="53"/>
  <c r="D133" i="53"/>
  <c r="G132" i="53"/>
  <c r="J134" i="20"/>
  <c r="D136" i="34"/>
  <c r="G135" i="34"/>
  <c r="E136" i="34"/>
  <c r="J126" i="84"/>
  <c r="G133" i="74"/>
  <c r="E134" i="74"/>
  <c r="D134" i="74"/>
  <c r="E138" i="70"/>
  <c r="D138" i="70"/>
  <c r="G137" i="70"/>
  <c r="G132" i="46"/>
  <c r="D133" i="46"/>
  <c r="E133" i="46"/>
  <c r="J126" i="86"/>
  <c r="I135" i="22"/>
  <c r="H135" i="22"/>
  <c r="F128" i="89"/>
  <c r="B128" i="89"/>
  <c r="E138" i="27"/>
  <c r="G137" i="27"/>
  <c r="D138" i="27"/>
  <c r="J128" i="79"/>
  <c r="I131" i="62"/>
  <c r="H131" i="62"/>
  <c r="D132" i="64"/>
  <c r="E132" i="64"/>
  <c r="G131" i="64"/>
  <c r="J127" i="85"/>
  <c r="E132" i="61"/>
  <c r="G131" i="61"/>
  <c r="D132" i="61"/>
  <c r="J126" i="88"/>
  <c r="J134" i="34"/>
  <c r="J135" i="17"/>
  <c r="E133" i="59"/>
  <c r="G132" i="59"/>
  <c r="D133" i="59"/>
  <c r="J131" i="59"/>
  <c r="E137" i="18"/>
  <c r="D137" i="18"/>
  <c r="G136" i="18"/>
  <c r="H133" i="56"/>
  <c r="I133" i="56"/>
  <c r="J132" i="57"/>
  <c r="E138" i="23"/>
  <c r="D138" i="23"/>
  <c r="G137" i="23"/>
  <c r="F134" i="56"/>
  <c r="B134" i="56"/>
  <c r="D134" i="57"/>
  <c r="G133" i="57"/>
  <c r="E134" i="57"/>
  <c r="E138" i="71"/>
  <c r="G137" i="71"/>
  <c r="D138" i="71"/>
  <c r="J126" i="87"/>
  <c r="J129" i="67"/>
  <c r="B133" i="54"/>
  <c r="F133" i="54"/>
  <c r="D136" i="3"/>
  <c r="G135" i="3"/>
  <c r="E136" i="3"/>
  <c r="J127" i="94"/>
  <c r="G128" i="82"/>
  <c r="D129" i="82"/>
  <c r="E129" i="82"/>
  <c r="H132" i="55"/>
  <c r="I132" i="55"/>
  <c r="I136" i="24"/>
  <c r="H136" i="24"/>
  <c r="H135" i="21"/>
  <c r="I135" i="21"/>
  <c r="G134" i="44"/>
  <c r="D135" i="44"/>
  <c r="E135" i="44"/>
  <c r="F130" i="76"/>
  <c r="B130" i="76"/>
  <c r="H128" i="80"/>
  <c r="I128" i="80"/>
  <c r="J126" i="96"/>
  <c r="D131" i="67"/>
  <c r="G130" i="67"/>
  <c r="E131" i="67"/>
  <c r="I129" i="75"/>
  <c r="H129" i="75"/>
  <c r="F129" i="83"/>
  <c r="B129" i="83"/>
  <c r="F127" i="13"/>
  <c r="B127" i="13"/>
  <c r="D128" i="96"/>
  <c r="G127" i="96"/>
  <c r="F127" i="33"/>
  <c r="B127" i="33"/>
  <c r="J134" i="3"/>
  <c r="G128" i="95"/>
  <c r="D129" i="95"/>
  <c r="E129" i="95" s="1"/>
  <c r="F133" i="55"/>
  <c r="B133" i="55"/>
  <c r="F130" i="77"/>
  <c r="B130" i="77"/>
  <c r="H129" i="76"/>
  <c r="I129" i="76"/>
  <c r="D128" i="87"/>
  <c r="G127" i="87"/>
  <c r="E128" i="87"/>
  <c r="J137" i="28"/>
  <c r="H132" i="54"/>
  <c r="I132" i="54"/>
  <c r="H126" i="13"/>
  <c r="I126" i="13"/>
  <c r="H126" i="33"/>
  <c r="I126" i="33"/>
  <c r="B137" i="24"/>
  <c r="F137" i="24"/>
  <c r="G128" i="94"/>
  <c r="D129" i="94"/>
  <c r="B128" i="93"/>
  <c r="F128" i="93"/>
  <c r="I129" i="77"/>
  <c r="H129" i="77"/>
  <c r="B129" i="80"/>
  <c r="F129" i="80"/>
  <c r="H134" i="42"/>
  <c r="I134" i="42"/>
  <c r="B130" i="75"/>
  <c r="F130" i="75"/>
  <c r="I128" i="83"/>
  <c r="H128" i="83"/>
  <c r="J127" i="82"/>
  <c r="D137" i="17"/>
  <c r="G136" i="17"/>
  <c r="E137" i="17"/>
  <c r="B136" i="21"/>
  <c r="F136" i="21"/>
  <c r="G138" i="28"/>
  <c r="D139" i="28"/>
  <c r="E139" i="28"/>
  <c r="H127" i="93"/>
  <c r="I127" i="93"/>
  <c r="F135" i="42"/>
  <c r="B135" i="42"/>
  <c r="E59" i="100" l="1"/>
  <c r="F59" i="100" s="1"/>
  <c r="B59" i="100"/>
  <c r="B58" i="100"/>
  <c r="H58" i="100"/>
  <c r="G58" i="100"/>
  <c r="D130" i="100"/>
  <c r="G129" i="100"/>
  <c r="E130" i="100"/>
  <c r="G47" i="25"/>
  <c r="H47" i="25"/>
  <c r="D48" i="25"/>
  <c r="I49" i="79"/>
  <c r="I57" i="97"/>
  <c r="J126" i="25"/>
  <c r="F58" i="97"/>
  <c r="D59" i="97" s="1"/>
  <c r="E59" i="97" s="1"/>
  <c r="F59" i="97" s="1"/>
  <c r="D128" i="25"/>
  <c r="G127" i="25"/>
  <c r="J126" i="99"/>
  <c r="F52" i="99"/>
  <c r="G52" i="99" s="1"/>
  <c r="B52" i="99"/>
  <c r="F47" i="98"/>
  <c r="B47" i="98"/>
  <c r="G127" i="99"/>
  <c r="E128" i="99"/>
  <c r="D128" i="99"/>
  <c r="H128" i="26"/>
  <c r="J128" i="26" s="1"/>
  <c r="D129" i="26"/>
  <c r="B129" i="26" s="1"/>
  <c r="J127" i="26"/>
  <c r="B128" i="98"/>
  <c r="F128" i="98"/>
  <c r="H127" i="97"/>
  <c r="I127" i="97"/>
  <c r="B128" i="97"/>
  <c r="F128" i="97"/>
  <c r="H127" i="98"/>
  <c r="I127" i="98"/>
  <c r="B52" i="67"/>
  <c r="F52" i="67"/>
  <c r="H52" i="67" s="1"/>
  <c r="I51" i="66"/>
  <c r="H51" i="65"/>
  <c r="I51" i="65" s="1"/>
  <c r="B53" i="46"/>
  <c r="F53" i="46"/>
  <c r="G53" i="46" s="1"/>
  <c r="G58" i="31"/>
  <c r="I58" i="31" s="1"/>
  <c r="H59" i="28"/>
  <c r="I59" i="28" s="1"/>
  <c r="F57" i="24"/>
  <c r="H57" i="24" s="1"/>
  <c r="B57" i="24"/>
  <c r="G57" i="30"/>
  <c r="I57" i="30" s="1"/>
  <c r="G49" i="86"/>
  <c r="H49" i="86"/>
  <c r="E50" i="86"/>
  <c r="D50" i="86"/>
  <c r="B50" i="80"/>
  <c r="F50" i="80"/>
  <c r="G50" i="80" s="1"/>
  <c r="B47" i="93"/>
  <c r="F47" i="93"/>
  <c r="H47" i="93" s="1"/>
  <c r="G56" i="3"/>
  <c r="I56" i="3" s="1"/>
  <c r="I57" i="27"/>
  <c r="B48" i="94"/>
  <c r="F48" i="94"/>
  <c r="H48" i="94" s="1"/>
  <c r="G50" i="82"/>
  <c r="I50" i="82" s="1"/>
  <c r="D51" i="82"/>
  <c r="E51" i="82" s="1"/>
  <c r="I49" i="80"/>
  <c r="B50" i="90"/>
  <c r="F50" i="90"/>
  <c r="G50" i="90" s="1"/>
  <c r="D56" i="42"/>
  <c r="E56" i="42" s="1"/>
  <c r="G54" i="55"/>
  <c r="D55" i="55"/>
  <c r="E55" i="55" s="1"/>
  <c r="F53" i="53"/>
  <c r="H53" i="53" s="1"/>
  <c r="B53" i="53"/>
  <c r="E58" i="23"/>
  <c r="F58" i="23" s="1"/>
  <c r="B58" i="23"/>
  <c r="G55" i="42"/>
  <c r="D51" i="75"/>
  <c r="E51" i="75" s="1"/>
  <c r="H54" i="58"/>
  <c r="D55" i="58"/>
  <c r="E55" i="58" s="1"/>
  <c r="G54" i="58"/>
  <c r="H49" i="85"/>
  <c r="I49" i="85" s="1"/>
  <c r="I57" i="23"/>
  <c r="B49" i="84"/>
  <c r="F49" i="84"/>
  <c r="D52" i="65"/>
  <c r="E52" i="65" s="1"/>
  <c r="B52" i="66"/>
  <c r="F52" i="66"/>
  <c r="G52" i="66" s="1"/>
  <c r="H50" i="75"/>
  <c r="I50" i="75" s="1"/>
  <c r="H54" i="45"/>
  <c r="I54" i="45" s="1"/>
  <c r="H55" i="42"/>
  <c r="H54" i="55"/>
  <c r="B49" i="91"/>
  <c r="F49" i="91"/>
  <c r="B50" i="76"/>
  <c r="F50" i="76"/>
  <c r="H50" i="76" s="1"/>
  <c r="I49" i="78"/>
  <c r="H47" i="95"/>
  <c r="D48" i="95"/>
  <c r="E48" i="95" s="1"/>
  <c r="B49" i="81"/>
  <c r="F49" i="81"/>
  <c r="H49" i="81" s="1"/>
  <c r="F52" i="61"/>
  <c r="H52" i="61" s="1"/>
  <c r="B52" i="61"/>
  <c r="D54" i="72"/>
  <c r="E54" i="72" s="1"/>
  <c r="D56" i="39"/>
  <c r="E56" i="39"/>
  <c r="F56" i="22"/>
  <c r="G56" i="22" s="1"/>
  <c r="B56" i="22"/>
  <c r="F47" i="96"/>
  <c r="B47" i="96"/>
  <c r="G49" i="88"/>
  <c r="I49" i="88" s="1"/>
  <c r="E50" i="85"/>
  <c r="D50" i="85"/>
  <c r="B58" i="27"/>
  <c r="F58" i="27"/>
  <c r="G47" i="95"/>
  <c r="H53" i="72"/>
  <c r="I53" i="72" s="1"/>
  <c r="F55" i="44"/>
  <c r="H55" i="44" s="1"/>
  <c r="B55" i="44"/>
  <c r="G55" i="39"/>
  <c r="I55" i="39" s="1"/>
  <c r="I55" i="17"/>
  <c r="B48" i="92"/>
  <c r="F48" i="92"/>
  <c r="H48" i="92" s="1"/>
  <c r="F48" i="89"/>
  <c r="G48" i="89" s="1"/>
  <c r="B48" i="89"/>
  <c r="F55" i="74"/>
  <c r="G55" i="74" s="1"/>
  <c r="B55" i="74"/>
  <c r="D52" i="68"/>
  <c r="E52" i="68" s="1"/>
  <c r="B56" i="43"/>
  <c r="F56" i="43"/>
  <c r="G56" i="43" s="1"/>
  <c r="D53" i="64"/>
  <c r="E53" i="64" s="1"/>
  <c r="B52" i="60"/>
  <c r="F52" i="60"/>
  <c r="G52" i="60" s="1"/>
  <c r="D58" i="34"/>
  <c r="E58" i="34" s="1"/>
  <c r="B57" i="32"/>
  <c r="F57" i="32"/>
  <c r="G57" i="32" s="1"/>
  <c r="D58" i="71"/>
  <c r="E58" i="71" s="1"/>
  <c r="G51" i="68"/>
  <c r="C65" i="17"/>
  <c r="F56" i="17"/>
  <c r="B56" i="17"/>
  <c r="I54" i="73"/>
  <c r="G52" i="64"/>
  <c r="B56" i="41"/>
  <c r="F56" i="41"/>
  <c r="G56" i="41" s="1"/>
  <c r="B53" i="57"/>
  <c r="F53" i="57"/>
  <c r="H53" i="57" s="1"/>
  <c r="B58" i="70"/>
  <c r="F58" i="70"/>
  <c r="H58" i="70" s="1"/>
  <c r="F56" i="21"/>
  <c r="G56" i="21" s="1"/>
  <c r="B56" i="21"/>
  <c r="H48" i="83"/>
  <c r="I48" i="83" s="1"/>
  <c r="D49" i="83"/>
  <c r="E49" i="83"/>
  <c r="D59" i="31"/>
  <c r="E59" i="31" s="1"/>
  <c r="D53" i="56"/>
  <c r="E53" i="56"/>
  <c r="F58" i="29"/>
  <c r="B58" i="29"/>
  <c r="B50" i="78"/>
  <c r="F50" i="78"/>
  <c r="H50" i="78" s="1"/>
  <c r="G56" i="19"/>
  <c r="I56" i="19" s="1"/>
  <c r="D57" i="19"/>
  <c r="E57" i="19" s="1"/>
  <c r="D50" i="88"/>
  <c r="E50" i="88" s="1"/>
  <c r="F50" i="79"/>
  <c r="G50" i="79" s="1"/>
  <c r="B50" i="79"/>
  <c r="B50" i="77"/>
  <c r="F50" i="77"/>
  <c r="G50" i="77" s="1"/>
  <c r="F55" i="73"/>
  <c r="B55" i="73"/>
  <c r="D59" i="69"/>
  <c r="E59" i="69" s="1"/>
  <c r="H57" i="34"/>
  <c r="I57" i="34" s="1"/>
  <c r="D60" i="28"/>
  <c r="E60" i="28" s="1"/>
  <c r="G57" i="71"/>
  <c r="I57" i="71" s="1"/>
  <c r="B53" i="54"/>
  <c r="F53" i="54"/>
  <c r="G52" i="56"/>
  <c r="I52" i="56" s="1"/>
  <c r="D57" i="3"/>
  <c r="E57" i="3" s="1"/>
  <c r="H51" i="68"/>
  <c r="I55" i="41"/>
  <c r="D55" i="45"/>
  <c r="E55" i="45" s="1"/>
  <c r="H58" i="69"/>
  <c r="I58" i="69" s="1"/>
  <c r="F52" i="63"/>
  <c r="G52" i="63" s="1"/>
  <c r="B52" i="63"/>
  <c r="D58" i="30"/>
  <c r="E58" i="30" s="1"/>
  <c r="H52" i="64"/>
  <c r="J133" i="45"/>
  <c r="J127" i="89"/>
  <c r="J127" i="93"/>
  <c r="J127" i="91"/>
  <c r="J128" i="81"/>
  <c r="D48" i="13"/>
  <c r="E48" i="13" s="1"/>
  <c r="D50" i="33"/>
  <c r="F57" i="18"/>
  <c r="G57" i="18" s="1"/>
  <c r="B57" i="18"/>
  <c r="D52" i="62"/>
  <c r="E52" i="62" s="1"/>
  <c r="D56" i="20"/>
  <c r="E56" i="20" s="1"/>
  <c r="D49" i="87"/>
  <c r="E49" i="87" s="1"/>
  <c r="H49" i="33"/>
  <c r="D49" i="26"/>
  <c r="E49" i="26" s="1"/>
  <c r="G51" i="62"/>
  <c r="I51" i="62" s="1"/>
  <c r="B52" i="59"/>
  <c r="F52" i="59"/>
  <c r="H52" i="59" s="1"/>
  <c r="J134" i="41"/>
  <c r="J134" i="73"/>
  <c r="G49" i="33"/>
  <c r="G48" i="26"/>
  <c r="I48" i="26" s="1"/>
  <c r="G47" i="13"/>
  <c r="I47" i="13" s="1"/>
  <c r="G55" i="20"/>
  <c r="I55" i="20" s="1"/>
  <c r="H48" i="87"/>
  <c r="I48" i="87" s="1"/>
  <c r="B132" i="64"/>
  <c r="F132" i="64"/>
  <c r="B138" i="27"/>
  <c r="F138" i="27"/>
  <c r="D129" i="89"/>
  <c r="E129" i="89"/>
  <c r="G128" i="89"/>
  <c r="F138" i="70"/>
  <c r="B138" i="70"/>
  <c r="H133" i="74"/>
  <c r="I133" i="74"/>
  <c r="F136" i="34"/>
  <c r="B136" i="34"/>
  <c r="F133" i="72"/>
  <c r="B133" i="72"/>
  <c r="I136" i="32"/>
  <c r="H136" i="32"/>
  <c r="H129" i="78"/>
  <c r="I129" i="78"/>
  <c r="E135" i="45"/>
  <c r="G134" i="45"/>
  <c r="D135" i="45"/>
  <c r="B130" i="79"/>
  <c r="F130" i="79"/>
  <c r="H135" i="19"/>
  <c r="I135" i="19"/>
  <c r="I127" i="92"/>
  <c r="H127" i="92"/>
  <c r="B136" i="20"/>
  <c r="F136" i="20"/>
  <c r="F128" i="88"/>
  <c r="B128" i="88"/>
  <c r="F135" i="39"/>
  <c r="B135" i="39"/>
  <c r="I134" i="43"/>
  <c r="H134" i="43"/>
  <c r="B137" i="31"/>
  <c r="F137" i="31"/>
  <c r="F128" i="84"/>
  <c r="B128" i="84"/>
  <c r="F131" i="66"/>
  <c r="B131" i="66"/>
  <c r="F133" i="58"/>
  <c r="B133" i="58"/>
  <c r="I137" i="27"/>
  <c r="H137" i="27"/>
  <c r="F133" i="46"/>
  <c r="B133" i="46"/>
  <c r="E136" i="73"/>
  <c r="G135" i="73"/>
  <c r="D136" i="73"/>
  <c r="B138" i="30"/>
  <c r="F138" i="30"/>
  <c r="B136" i="19"/>
  <c r="F136" i="19"/>
  <c r="F128" i="92"/>
  <c r="B128" i="92"/>
  <c r="H127" i="90"/>
  <c r="I127" i="90"/>
  <c r="B132" i="63"/>
  <c r="F132" i="63"/>
  <c r="E130" i="81"/>
  <c r="G129" i="81"/>
  <c r="D130" i="81"/>
  <c r="F138" i="29"/>
  <c r="B138" i="29"/>
  <c r="H130" i="68"/>
  <c r="I130" i="68"/>
  <c r="B129" i="85"/>
  <c r="F129" i="85"/>
  <c r="B132" i="61"/>
  <c r="F132" i="61"/>
  <c r="I131" i="64"/>
  <c r="H131" i="64"/>
  <c r="J131" i="62"/>
  <c r="J135" i="22"/>
  <c r="I132" i="46"/>
  <c r="H132" i="46"/>
  <c r="B134" i="74"/>
  <c r="F134" i="74"/>
  <c r="H132" i="53"/>
  <c r="I132" i="53"/>
  <c r="H137" i="30"/>
  <c r="I137" i="30"/>
  <c r="F130" i="78"/>
  <c r="B130" i="78"/>
  <c r="H131" i="65"/>
  <c r="I131" i="65"/>
  <c r="H129" i="79"/>
  <c r="I129" i="79"/>
  <c r="E133" i="62"/>
  <c r="D133" i="62"/>
  <c r="G132" i="62"/>
  <c r="H135" i="20"/>
  <c r="I135" i="20"/>
  <c r="H131" i="63"/>
  <c r="I131" i="63"/>
  <c r="B128" i="86"/>
  <c r="F128" i="86"/>
  <c r="I136" i="31"/>
  <c r="H136" i="31"/>
  <c r="F138" i="69"/>
  <c r="B138" i="69"/>
  <c r="I131" i="60"/>
  <c r="H131" i="60"/>
  <c r="I127" i="84"/>
  <c r="H127" i="84"/>
  <c r="H132" i="58"/>
  <c r="I132" i="58"/>
  <c r="J133" i="56"/>
  <c r="H131" i="61"/>
  <c r="I131" i="61"/>
  <c r="H137" i="70"/>
  <c r="I137" i="70"/>
  <c r="H135" i="34"/>
  <c r="I135" i="34"/>
  <c r="B133" i="53"/>
  <c r="F133" i="53"/>
  <c r="H132" i="72"/>
  <c r="I132" i="72"/>
  <c r="B137" i="32"/>
  <c r="F137" i="32"/>
  <c r="D129" i="91"/>
  <c r="G128" i="91"/>
  <c r="E129" i="91"/>
  <c r="D137" i="22"/>
  <c r="G136" i="22"/>
  <c r="E137" i="22"/>
  <c r="B132" i="65"/>
  <c r="F132" i="65"/>
  <c r="I127" i="88"/>
  <c r="H127" i="88"/>
  <c r="B128" i="90"/>
  <c r="F128" i="90"/>
  <c r="I134" i="39"/>
  <c r="H134" i="39"/>
  <c r="H137" i="29"/>
  <c r="I137" i="29"/>
  <c r="B135" i="43"/>
  <c r="F135" i="43"/>
  <c r="I127" i="86"/>
  <c r="H127" i="86"/>
  <c r="F131" i="68"/>
  <c r="B131" i="68"/>
  <c r="I137" i="69"/>
  <c r="H137" i="69"/>
  <c r="F132" i="60"/>
  <c r="B132" i="60"/>
  <c r="G135" i="41"/>
  <c r="E136" i="41"/>
  <c r="D136" i="41"/>
  <c r="H130" i="66"/>
  <c r="I130" i="66"/>
  <c r="H128" i="85"/>
  <c r="I128" i="85"/>
  <c r="J129" i="76"/>
  <c r="J128" i="80"/>
  <c r="F138" i="23"/>
  <c r="B138" i="23"/>
  <c r="J135" i="21"/>
  <c r="J132" i="55"/>
  <c r="E135" i="56"/>
  <c r="G134" i="56"/>
  <c r="D135" i="56"/>
  <c r="H136" i="18"/>
  <c r="I136" i="18"/>
  <c r="F133" i="59"/>
  <c r="B133" i="59"/>
  <c r="I137" i="23"/>
  <c r="H137" i="23"/>
  <c r="B137" i="18"/>
  <c r="F137" i="18"/>
  <c r="I132" i="59"/>
  <c r="H132" i="59"/>
  <c r="J129" i="77"/>
  <c r="F138" i="71"/>
  <c r="B138" i="71"/>
  <c r="I133" i="57"/>
  <c r="H133" i="57"/>
  <c r="J134" i="42"/>
  <c r="J136" i="24"/>
  <c r="I137" i="71"/>
  <c r="H137" i="71"/>
  <c r="B134" i="57"/>
  <c r="F134" i="57"/>
  <c r="H138" i="28"/>
  <c r="I138" i="28"/>
  <c r="G130" i="75"/>
  <c r="D131" i="75"/>
  <c r="E131" i="75"/>
  <c r="B129" i="94"/>
  <c r="J126" i="33"/>
  <c r="J126" i="13"/>
  <c r="F128" i="87"/>
  <c r="B128" i="87"/>
  <c r="E131" i="77"/>
  <c r="G130" i="77"/>
  <c r="D131" i="77"/>
  <c r="B128" i="96"/>
  <c r="B131" i="67"/>
  <c r="F131" i="67"/>
  <c r="D131" i="76"/>
  <c r="E131" i="76"/>
  <c r="G130" i="76"/>
  <c r="F129" i="82"/>
  <c r="B129" i="82"/>
  <c r="E134" i="54"/>
  <c r="D134" i="54"/>
  <c r="G133" i="54"/>
  <c r="G136" i="21"/>
  <c r="D137" i="21"/>
  <c r="E137" i="21"/>
  <c r="J128" i="83"/>
  <c r="E130" i="80"/>
  <c r="D130" i="80"/>
  <c r="G129" i="80"/>
  <c r="G128" i="93"/>
  <c r="D129" i="93"/>
  <c r="E129" i="93" s="1"/>
  <c r="H128" i="94"/>
  <c r="I128" i="94"/>
  <c r="F129" i="95"/>
  <c r="B129" i="95"/>
  <c r="J129" i="75"/>
  <c r="H128" i="82"/>
  <c r="I128" i="82"/>
  <c r="H136" i="17"/>
  <c r="I136" i="17"/>
  <c r="H128" i="95"/>
  <c r="I128" i="95"/>
  <c r="E128" i="96"/>
  <c r="F128" i="96" s="1"/>
  <c r="G127" i="13"/>
  <c r="D128" i="13"/>
  <c r="E128" i="13" s="1"/>
  <c r="G129" i="83"/>
  <c r="D130" i="83"/>
  <c r="E130" i="83"/>
  <c r="F135" i="44"/>
  <c r="B135" i="44"/>
  <c r="I135" i="3"/>
  <c r="H135" i="3"/>
  <c r="E136" i="42"/>
  <c r="D136" i="42"/>
  <c r="G135" i="42"/>
  <c r="F139" i="28"/>
  <c r="B139" i="28"/>
  <c r="B137" i="17"/>
  <c r="F137" i="17"/>
  <c r="E129" i="94"/>
  <c r="F129" i="94" s="1"/>
  <c r="D138" i="24"/>
  <c r="G137" i="24"/>
  <c r="E138" i="24"/>
  <c r="J132" i="54"/>
  <c r="H127" i="87"/>
  <c r="I127" i="87"/>
  <c r="D134" i="55"/>
  <c r="E134" i="55"/>
  <c r="G133" i="55"/>
  <c r="G127" i="33"/>
  <c r="D128" i="33"/>
  <c r="E128" i="33" s="1"/>
  <c r="H127" i="96"/>
  <c r="I127" i="96"/>
  <c r="H130" i="67"/>
  <c r="I130" i="67"/>
  <c r="H134" i="44"/>
  <c r="I134" i="44"/>
  <c r="B136" i="3"/>
  <c r="F136" i="3"/>
  <c r="I58" i="100" l="1"/>
  <c r="G59" i="100"/>
  <c r="D60" i="100"/>
  <c r="H59" i="100"/>
  <c r="H129" i="100"/>
  <c r="I129" i="100"/>
  <c r="J129" i="100" s="1"/>
  <c r="F130" i="100"/>
  <c r="B130" i="100"/>
  <c r="I47" i="25"/>
  <c r="E48" i="25"/>
  <c r="F48" i="25" s="1"/>
  <c r="B48" i="25"/>
  <c r="H58" i="97"/>
  <c r="G58" i="97"/>
  <c r="B59" i="97"/>
  <c r="D60" i="97"/>
  <c r="E60" i="97" s="1"/>
  <c r="F60" i="97" s="1"/>
  <c r="G59" i="97"/>
  <c r="H52" i="99"/>
  <c r="I52" i="99" s="1"/>
  <c r="H127" i="25"/>
  <c r="I127" i="25"/>
  <c r="B128" i="25"/>
  <c r="E128" i="25"/>
  <c r="F128" i="25" s="1"/>
  <c r="D48" i="98"/>
  <c r="E48" i="98"/>
  <c r="H47" i="98"/>
  <c r="G48" i="94"/>
  <c r="I48" i="94" s="1"/>
  <c r="G47" i="98"/>
  <c r="H59" i="97"/>
  <c r="D53" i="99"/>
  <c r="E53" i="99" s="1"/>
  <c r="B128" i="99"/>
  <c r="F128" i="99"/>
  <c r="H127" i="99"/>
  <c r="I127" i="99"/>
  <c r="E129" i="26"/>
  <c r="F129" i="26" s="1"/>
  <c r="G52" i="67"/>
  <c r="I52" i="67" s="1"/>
  <c r="J127" i="98"/>
  <c r="J127" i="97"/>
  <c r="I55" i="42"/>
  <c r="G128" i="97"/>
  <c r="D129" i="97"/>
  <c r="E129" i="97"/>
  <c r="G128" i="98"/>
  <c r="D129" i="98"/>
  <c r="E129" i="98"/>
  <c r="I49" i="86"/>
  <c r="D53" i="67"/>
  <c r="E53" i="67" s="1"/>
  <c r="G52" i="59"/>
  <c r="I52" i="59" s="1"/>
  <c r="I54" i="55"/>
  <c r="H53" i="46"/>
  <c r="I53" i="46" s="1"/>
  <c r="D54" i="46"/>
  <c r="E54" i="46" s="1"/>
  <c r="G57" i="24"/>
  <c r="I57" i="24" s="1"/>
  <c r="D58" i="24"/>
  <c r="E58" i="24" s="1"/>
  <c r="D48" i="93"/>
  <c r="E48" i="93" s="1"/>
  <c r="G49" i="81"/>
  <c r="I49" i="81" s="1"/>
  <c r="E49" i="94"/>
  <c r="D49" i="94"/>
  <c r="G47" i="93"/>
  <c r="I47" i="93" s="1"/>
  <c r="H50" i="80"/>
  <c r="I50" i="80" s="1"/>
  <c r="D51" i="80"/>
  <c r="E51" i="80" s="1"/>
  <c r="B50" i="86"/>
  <c r="F50" i="86"/>
  <c r="B51" i="82"/>
  <c r="F51" i="82"/>
  <c r="H51" i="82" s="1"/>
  <c r="H50" i="77"/>
  <c r="I50" i="77" s="1"/>
  <c r="G49" i="84"/>
  <c r="D50" i="84"/>
  <c r="E50" i="84" s="1"/>
  <c r="B51" i="75"/>
  <c r="F51" i="75"/>
  <c r="G51" i="75" s="1"/>
  <c r="G50" i="78"/>
  <c r="I50" i="78" s="1"/>
  <c r="F52" i="65"/>
  <c r="H52" i="65" s="1"/>
  <c r="B52" i="65"/>
  <c r="F55" i="58"/>
  <c r="G55" i="58" s="1"/>
  <c r="B55" i="58"/>
  <c r="G58" i="23"/>
  <c r="H58" i="23"/>
  <c r="D59" i="23"/>
  <c r="F55" i="55"/>
  <c r="G55" i="55" s="1"/>
  <c r="B55" i="55"/>
  <c r="H57" i="18"/>
  <c r="I57" i="18" s="1"/>
  <c r="H56" i="41"/>
  <c r="I56" i="41" s="1"/>
  <c r="G49" i="91"/>
  <c r="H49" i="91"/>
  <c r="D50" i="91"/>
  <c r="E50" i="91" s="1"/>
  <c r="I54" i="58"/>
  <c r="H50" i="90"/>
  <c r="I50" i="90" s="1"/>
  <c r="D51" i="90"/>
  <c r="E51" i="90" s="1"/>
  <c r="H52" i="63"/>
  <c r="I52" i="63" s="1"/>
  <c r="H52" i="66"/>
  <c r="I52" i="66" s="1"/>
  <c r="D53" i="66"/>
  <c r="E53" i="66" s="1"/>
  <c r="H49" i="84"/>
  <c r="G53" i="53"/>
  <c r="I53" i="53" s="1"/>
  <c r="D54" i="53"/>
  <c r="E54" i="53" s="1"/>
  <c r="B56" i="42"/>
  <c r="F56" i="42"/>
  <c r="G56" i="42" s="1"/>
  <c r="H47" i="96"/>
  <c r="E48" i="96"/>
  <c r="D48" i="96"/>
  <c r="F48" i="95"/>
  <c r="H48" i="95" s="1"/>
  <c r="B48" i="95"/>
  <c r="H56" i="21"/>
  <c r="I56" i="21" s="1"/>
  <c r="H57" i="32"/>
  <c r="I57" i="32" s="1"/>
  <c r="B50" i="85"/>
  <c r="F50" i="85"/>
  <c r="G50" i="76"/>
  <c r="I50" i="76" s="1"/>
  <c r="D51" i="76"/>
  <c r="E51" i="76" s="1"/>
  <c r="G58" i="27"/>
  <c r="D59" i="27"/>
  <c r="E59" i="27" s="1"/>
  <c r="H58" i="27"/>
  <c r="G47" i="96"/>
  <c r="D50" i="81"/>
  <c r="E50" i="81" s="1"/>
  <c r="I47" i="95"/>
  <c r="B54" i="72"/>
  <c r="F54" i="72"/>
  <c r="G54" i="72" s="1"/>
  <c r="G58" i="70"/>
  <c r="I58" i="70" s="1"/>
  <c r="G53" i="57"/>
  <c r="I53" i="57" s="1"/>
  <c r="G55" i="44"/>
  <c r="I55" i="44" s="1"/>
  <c r="D56" i="44"/>
  <c r="E56" i="44" s="1"/>
  <c r="H56" i="22"/>
  <c r="I56" i="22" s="1"/>
  <c r="D57" i="22"/>
  <c r="E57" i="22" s="1"/>
  <c r="B56" i="39"/>
  <c r="F56" i="39"/>
  <c r="G56" i="39" s="1"/>
  <c r="G52" i="61"/>
  <c r="I52" i="61" s="1"/>
  <c r="D53" i="61"/>
  <c r="E53" i="61" s="1"/>
  <c r="B57" i="3"/>
  <c r="F57" i="3"/>
  <c r="G57" i="3" s="1"/>
  <c r="G53" i="54"/>
  <c r="D54" i="54"/>
  <c r="E54" i="54" s="1"/>
  <c r="B50" i="88"/>
  <c r="F50" i="88"/>
  <c r="G50" i="88" s="1"/>
  <c r="D59" i="29"/>
  <c r="E59" i="29" s="1"/>
  <c r="G55" i="73"/>
  <c r="D56" i="73"/>
  <c r="E56" i="73" s="1"/>
  <c r="H50" i="79"/>
  <c r="I50" i="79" s="1"/>
  <c r="G58" i="29"/>
  <c r="D57" i="17"/>
  <c r="E57" i="17" s="1"/>
  <c r="F58" i="34"/>
  <c r="G58" i="34" s="1"/>
  <c r="B58" i="34"/>
  <c r="B53" i="64"/>
  <c r="F53" i="64"/>
  <c r="H53" i="64" s="1"/>
  <c r="B52" i="68"/>
  <c r="F52" i="68"/>
  <c r="H52" i="68" s="1"/>
  <c r="D49" i="92"/>
  <c r="E49" i="92"/>
  <c r="B55" i="45"/>
  <c r="F55" i="45"/>
  <c r="G55" i="45" s="1"/>
  <c r="F59" i="31"/>
  <c r="D60" i="31" s="1"/>
  <c r="B59" i="31"/>
  <c r="F58" i="30"/>
  <c r="G58" i="30" s="1"/>
  <c r="B58" i="30"/>
  <c r="D53" i="63"/>
  <c r="E53" i="63" s="1"/>
  <c r="B59" i="69"/>
  <c r="F59" i="69"/>
  <c r="G59" i="69" s="1"/>
  <c r="D51" i="77"/>
  <c r="E51" i="77" s="1"/>
  <c r="F57" i="19"/>
  <c r="H57" i="19" s="1"/>
  <c r="B57" i="19"/>
  <c r="D51" i="78"/>
  <c r="E51" i="78" s="1"/>
  <c r="H58" i="29"/>
  <c r="F53" i="56"/>
  <c r="H53" i="56" s="1"/>
  <c r="B53" i="56"/>
  <c r="D57" i="21"/>
  <c r="E57" i="21" s="1"/>
  <c r="H56" i="17"/>
  <c r="D58" i="32"/>
  <c r="E58" i="32" s="1"/>
  <c r="D56" i="74"/>
  <c r="E56" i="74" s="1"/>
  <c r="E49" i="89"/>
  <c r="D49" i="89"/>
  <c r="F60" i="28"/>
  <c r="D61" i="28" s="1"/>
  <c r="B60" i="28"/>
  <c r="D51" i="79"/>
  <c r="E51" i="79" s="1"/>
  <c r="F49" i="83"/>
  <c r="H49" i="83" s="1"/>
  <c r="B49" i="83"/>
  <c r="I52" i="64"/>
  <c r="I51" i="68"/>
  <c r="H53" i="54"/>
  <c r="D59" i="70"/>
  <c r="E59" i="70" s="1"/>
  <c r="D54" i="57"/>
  <c r="E54" i="57" s="1"/>
  <c r="D57" i="41"/>
  <c r="E57" i="41" s="1"/>
  <c r="G56" i="17"/>
  <c r="F58" i="71"/>
  <c r="D59" i="71" s="1"/>
  <c r="B58" i="71"/>
  <c r="H52" i="60"/>
  <c r="I52" i="60" s="1"/>
  <c r="D53" i="60"/>
  <c r="E53" i="60"/>
  <c r="H56" i="43"/>
  <c r="I56" i="43" s="1"/>
  <c r="D57" i="43"/>
  <c r="E57" i="43" s="1"/>
  <c r="H55" i="74"/>
  <c r="I55" i="74" s="1"/>
  <c r="H48" i="89"/>
  <c r="I48" i="89" s="1"/>
  <c r="G48" i="92"/>
  <c r="I48" i="92" s="1"/>
  <c r="H55" i="73"/>
  <c r="J128" i="85"/>
  <c r="J127" i="84"/>
  <c r="J137" i="69"/>
  <c r="B50" i="33"/>
  <c r="J137" i="29"/>
  <c r="J134" i="43"/>
  <c r="J127" i="92"/>
  <c r="J129" i="78"/>
  <c r="J133" i="74"/>
  <c r="D53" i="59"/>
  <c r="E53" i="59" s="1"/>
  <c r="J130" i="66"/>
  <c r="J129" i="79"/>
  <c r="J132" i="53"/>
  <c r="J135" i="19"/>
  <c r="B49" i="26"/>
  <c r="F49" i="26"/>
  <c r="H49" i="26" s="1"/>
  <c r="B52" i="62"/>
  <c r="F52" i="62"/>
  <c r="H52" i="62" s="1"/>
  <c r="F48" i="13"/>
  <c r="H48" i="13" s="1"/>
  <c r="B48" i="13"/>
  <c r="J132" i="59"/>
  <c r="J137" i="23"/>
  <c r="J134" i="39"/>
  <c r="J127" i="88"/>
  <c r="J131" i="60"/>
  <c r="J136" i="31"/>
  <c r="I49" i="33"/>
  <c r="B49" i="87"/>
  <c r="F49" i="87"/>
  <c r="G49" i="87" s="1"/>
  <c r="B56" i="20"/>
  <c r="F56" i="20"/>
  <c r="H56" i="20" s="1"/>
  <c r="D58" i="18"/>
  <c r="E58" i="18" s="1"/>
  <c r="E50" i="33"/>
  <c r="F50" i="33" s="1"/>
  <c r="B136" i="41"/>
  <c r="F136" i="41"/>
  <c r="D133" i="60"/>
  <c r="E133" i="60"/>
  <c r="G132" i="60"/>
  <c r="G131" i="68"/>
  <c r="D132" i="68"/>
  <c r="E132" i="68"/>
  <c r="H136" i="22"/>
  <c r="I136" i="22"/>
  <c r="B129" i="91"/>
  <c r="F129" i="91"/>
  <c r="B133" i="62"/>
  <c r="F133" i="62"/>
  <c r="J131" i="65"/>
  <c r="J137" i="30"/>
  <c r="G134" i="74"/>
  <c r="E135" i="74"/>
  <c r="D135" i="74"/>
  <c r="D133" i="61"/>
  <c r="G132" i="61"/>
  <c r="E133" i="61"/>
  <c r="J130" i="68"/>
  <c r="B130" i="81"/>
  <c r="F130" i="81"/>
  <c r="G128" i="92"/>
  <c r="D129" i="92"/>
  <c r="E129" i="92"/>
  <c r="G130" i="79"/>
  <c r="E131" i="79"/>
  <c r="D131" i="79"/>
  <c r="J136" i="32"/>
  <c r="G136" i="34"/>
  <c r="E137" i="34"/>
  <c r="D137" i="34"/>
  <c r="D139" i="70"/>
  <c r="E139" i="70"/>
  <c r="G138" i="70"/>
  <c r="E139" i="27"/>
  <c r="G138" i="27"/>
  <c r="D139" i="27"/>
  <c r="G128" i="90"/>
  <c r="D129" i="90"/>
  <c r="E129" i="90"/>
  <c r="E133" i="65"/>
  <c r="G132" i="65"/>
  <c r="D133" i="65"/>
  <c r="F137" i="22"/>
  <c r="B137" i="22"/>
  <c r="D138" i="32"/>
  <c r="G137" i="32"/>
  <c r="E138" i="32"/>
  <c r="D134" i="53"/>
  <c r="E134" i="53"/>
  <c r="G133" i="53"/>
  <c r="J137" i="70"/>
  <c r="G128" i="86"/>
  <c r="E129" i="86"/>
  <c r="D129" i="86"/>
  <c r="J135" i="20"/>
  <c r="I129" i="81"/>
  <c r="H129" i="81"/>
  <c r="J127" i="90"/>
  <c r="E137" i="19"/>
  <c r="G136" i="19"/>
  <c r="D137" i="19"/>
  <c r="F136" i="73"/>
  <c r="B136" i="73"/>
  <c r="D134" i="46"/>
  <c r="E134" i="46"/>
  <c r="G133" i="46"/>
  <c r="E134" i="58"/>
  <c r="G133" i="58"/>
  <c r="D134" i="58"/>
  <c r="E129" i="84"/>
  <c r="D129" i="84"/>
  <c r="G128" i="84"/>
  <c r="E129" i="88"/>
  <c r="D129" i="88"/>
  <c r="G128" i="88"/>
  <c r="I128" i="89"/>
  <c r="H128" i="89"/>
  <c r="I135" i="41"/>
  <c r="H135" i="41"/>
  <c r="J127" i="86"/>
  <c r="G138" i="69"/>
  <c r="D139" i="69"/>
  <c r="E139" i="69"/>
  <c r="G129" i="85"/>
  <c r="D130" i="85"/>
  <c r="E130" i="85"/>
  <c r="I135" i="73"/>
  <c r="H135" i="73"/>
  <c r="E138" i="31"/>
  <c r="G137" i="31"/>
  <c r="D138" i="31"/>
  <c r="G136" i="20"/>
  <c r="D137" i="20"/>
  <c r="E137" i="20"/>
  <c r="F135" i="45"/>
  <c r="B135" i="45"/>
  <c r="D134" i="72"/>
  <c r="G133" i="72"/>
  <c r="E134" i="72"/>
  <c r="E133" i="64"/>
  <c r="D133" i="64"/>
  <c r="G132" i="64"/>
  <c r="E136" i="43"/>
  <c r="D136" i="43"/>
  <c r="G135" i="43"/>
  <c r="I128" i="91"/>
  <c r="H128" i="91"/>
  <c r="J132" i="72"/>
  <c r="J135" i="34"/>
  <c r="J131" i="61"/>
  <c r="J132" i="58"/>
  <c r="J131" i="63"/>
  <c r="I132" i="62"/>
  <c r="H132" i="62"/>
  <c r="D131" i="78"/>
  <c r="E131" i="78"/>
  <c r="G130" i="78"/>
  <c r="J132" i="46"/>
  <c r="J131" i="64"/>
  <c r="D139" i="29"/>
  <c r="G138" i="29"/>
  <c r="E139" i="29"/>
  <c r="G132" i="63"/>
  <c r="E133" i="63"/>
  <c r="D133" i="63"/>
  <c r="G138" i="30"/>
  <c r="E139" i="30"/>
  <c r="D139" i="30"/>
  <c r="J137" i="27"/>
  <c r="D132" i="66"/>
  <c r="E132" i="66"/>
  <c r="G131" i="66"/>
  <c r="G135" i="39"/>
  <c r="E136" i="39"/>
  <c r="D136" i="39"/>
  <c r="H134" i="45"/>
  <c r="I134" i="45"/>
  <c r="B129" i="89"/>
  <c r="F129" i="89"/>
  <c r="J133" i="57"/>
  <c r="J136" i="18"/>
  <c r="H134" i="56"/>
  <c r="I134" i="56"/>
  <c r="J128" i="95"/>
  <c r="E138" i="18"/>
  <c r="D138" i="18"/>
  <c r="G137" i="18"/>
  <c r="G133" i="59"/>
  <c r="E134" i="59"/>
  <c r="D134" i="59"/>
  <c r="F135" i="56"/>
  <c r="B135" i="56"/>
  <c r="G138" i="23"/>
  <c r="D139" i="23"/>
  <c r="E139" i="23"/>
  <c r="J127" i="87"/>
  <c r="E135" i="57"/>
  <c r="D135" i="57"/>
  <c r="G134" i="57"/>
  <c r="E139" i="71"/>
  <c r="G138" i="71"/>
  <c r="D139" i="71"/>
  <c r="J134" i="44"/>
  <c r="J137" i="71"/>
  <c r="G128" i="96"/>
  <c r="D129" i="96"/>
  <c r="E129" i="96" s="1"/>
  <c r="D130" i="94"/>
  <c r="E130" i="94" s="1"/>
  <c r="G129" i="94"/>
  <c r="J127" i="96"/>
  <c r="H127" i="33"/>
  <c r="I127" i="33"/>
  <c r="I137" i="24"/>
  <c r="H137" i="24"/>
  <c r="I129" i="83"/>
  <c r="H129" i="83"/>
  <c r="J136" i="17"/>
  <c r="J128" i="82"/>
  <c r="I128" i="93"/>
  <c r="H128" i="93"/>
  <c r="F134" i="54"/>
  <c r="B134" i="54"/>
  <c r="F131" i="76"/>
  <c r="B131" i="76"/>
  <c r="I130" i="77"/>
  <c r="H130" i="77"/>
  <c r="B131" i="75"/>
  <c r="F131" i="75"/>
  <c r="G136" i="3"/>
  <c r="D137" i="3"/>
  <c r="E137" i="3"/>
  <c r="J130" i="67"/>
  <c r="I133" i="55"/>
  <c r="H133" i="55"/>
  <c r="B138" i="24"/>
  <c r="F138" i="24"/>
  <c r="G139" i="28"/>
  <c r="D140" i="28"/>
  <c r="E140" i="28"/>
  <c r="B128" i="13"/>
  <c r="F128" i="13"/>
  <c r="J128" i="94"/>
  <c r="G129" i="82"/>
  <c r="D130" i="82"/>
  <c r="E130" i="82"/>
  <c r="I130" i="75"/>
  <c r="H130" i="75"/>
  <c r="E138" i="17"/>
  <c r="G137" i="17"/>
  <c r="D138" i="17"/>
  <c r="H135" i="42"/>
  <c r="I135" i="42"/>
  <c r="I127" i="13"/>
  <c r="H127" i="13"/>
  <c r="I129" i="80"/>
  <c r="H129" i="80"/>
  <c r="F137" i="21"/>
  <c r="B137" i="21"/>
  <c r="I130" i="76"/>
  <c r="H130" i="76"/>
  <c r="F128" i="33"/>
  <c r="B128" i="33"/>
  <c r="B134" i="55"/>
  <c r="F134" i="55"/>
  <c r="B136" i="42"/>
  <c r="F136" i="42"/>
  <c r="J135" i="3"/>
  <c r="G135" i="44"/>
  <c r="D136" i="44"/>
  <c r="E136" i="44"/>
  <c r="F130" i="83"/>
  <c r="B130" i="83"/>
  <c r="D130" i="95"/>
  <c r="E130" i="95" s="1"/>
  <c r="G129" i="95"/>
  <c r="F129" i="93"/>
  <c r="B129" i="93"/>
  <c r="B130" i="80"/>
  <c r="F130" i="80"/>
  <c r="H136" i="21"/>
  <c r="I136" i="21"/>
  <c r="H133" i="54"/>
  <c r="I133" i="54"/>
  <c r="D132" i="67"/>
  <c r="G131" i="67"/>
  <c r="E132" i="67"/>
  <c r="B131" i="77"/>
  <c r="F131" i="77"/>
  <c r="D129" i="87"/>
  <c r="G128" i="87"/>
  <c r="E129" i="87"/>
  <c r="J138" i="28"/>
  <c r="I59" i="100" l="1"/>
  <c r="E60" i="100"/>
  <c r="B60" i="100"/>
  <c r="F60" i="100"/>
  <c r="H60" i="100" s="1"/>
  <c r="G130" i="100"/>
  <c r="D131" i="100"/>
  <c r="E131" i="100"/>
  <c r="H48" i="25"/>
  <c r="G48" i="25"/>
  <c r="D49" i="25"/>
  <c r="I59" i="97"/>
  <c r="I58" i="97"/>
  <c r="J127" i="99"/>
  <c r="J127" i="25"/>
  <c r="B60" i="97"/>
  <c r="I49" i="91"/>
  <c r="G128" i="25"/>
  <c r="D129" i="25"/>
  <c r="G48" i="13"/>
  <c r="I48" i="13" s="1"/>
  <c r="I47" i="98"/>
  <c r="D61" i="97"/>
  <c r="G60" i="97"/>
  <c r="H60" i="97"/>
  <c r="I49" i="84"/>
  <c r="F53" i="99"/>
  <c r="D54" i="99" s="1"/>
  <c r="B53" i="99"/>
  <c r="B48" i="98"/>
  <c r="F48" i="98"/>
  <c r="H48" i="98" s="1"/>
  <c r="I53" i="54"/>
  <c r="G128" i="99"/>
  <c r="E129" i="99"/>
  <c r="D129" i="99"/>
  <c r="G129" i="26"/>
  <c r="D130" i="26"/>
  <c r="G53" i="56"/>
  <c r="I53" i="56" s="1"/>
  <c r="H58" i="71"/>
  <c r="H128" i="98"/>
  <c r="I128" i="98"/>
  <c r="F129" i="97"/>
  <c r="B129" i="97"/>
  <c r="B129" i="98"/>
  <c r="F129" i="98"/>
  <c r="I128" i="97"/>
  <c r="H128" i="97"/>
  <c r="G52" i="68"/>
  <c r="I52" i="68" s="1"/>
  <c r="F53" i="67"/>
  <c r="G53" i="67" s="1"/>
  <c r="B53" i="67"/>
  <c r="H55" i="58"/>
  <c r="I55" i="58" s="1"/>
  <c r="F54" i="46"/>
  <c r="H54" i="46" s="1"/>
  <c r="B54" i="46"/>
  <c r="I58" i="29"/>
  <c r="I58" i="27"/>
  <c r="F58" i="24"/>
  <c r="G58" i="24" s="1"/>
  <c r="B58" i="24"/>
  <c r="H59" i="31"/>
  <c r="G53" i="64"/>
  <c r="I53" i="64" s="1"/>
  <c r="G51" i="82"/>
  <c r="I51" i="82" s="1"/>
  <c r="D52" i="82"/>
  <c r="E52" i="82" s="1"/>
  <c r="B49" i="94"/>
  <c r="F49" i="94"/>
  <c r="H49" i="94" s="1"/>
  <c r="F51" i="80"/>
  <c r="G51" i="80" s="1"/>
  <c r="B51" i="80"/>
  <c r="B48" i="93"/>
  <c r="F48" i="93"/>
  <c r="H48" i="93" s="1"/>
  <c r="I47" i="96"/>
  <c r="E51" i="86"/>
  <c r="G50" i="86"/>
  <c r="D51" i="86"/>
  <c r="H50" i="86"/>
  <c r="G58" i="71"/>
  <c r="H58" i="30"/>
  <c r="I58" i="30" s="1"/>
  <c r="H56" i="39"/>
  <c r="I56" i="39" s="1"/>
  <c r="F50" i="91"/>
  <c r="B50" i="91"/>
  <c r="I58" i="23"/>
  <c r="G52" i="65"/>
  <c r="I52" i="65" s="1"/>
  <c r="D53" i="65"/>
  <c r="E53" i="65" s="1"/>
  <c r="D52" i="75"/>
  <c r="E52" i="75" s="1"/>
  <c r="D57" i="42"/>
  <c r="E57" i="42" s="1"/>
  <c r="B54" i="53"/>
  <c r="F54" i="53"/>
  <c r="H54" i="53" s="1"/>
  <c r="B53" i="66"/>
  <c r="F53" i="66"/>
  <c r="B51" i="90"/>
  <c r="F51" i="90"/>
  <c r="G51" i="90" s="1"/>
  <c r="H55" i="55"/>
  <c r="I55" i="55" s="1"/>
  <c r="D56" i="55"/>
  <c r="E56" i="55" s="1"/>
  <c r="G48" i="95"/>
  <c r="I48" i="95" s="1"/>
  <c r="F50" i="84"/>
  <c r="B50" i="84"/>
  <c r="H56" i="42"/>
  <c r="I56" i="42" s="1"/>
  <c r="E59" i="23"/>
  <c r="F59" i="23" s="1"/>
  <c r="B59" i="23"/>
  <c r="D56" i="58"/>
  <c r="E56" i="58" s="1"/>
  <c r="H51" i="75"/>
  <c r="I51" i="75" s="1"/>
  <c r="G50" i="85"/>
  <c r="D51" i="85"/>
  <c r="E51" i="85" s="1"/>
  <c r="B48" i="96"/>
  <c r="F48" i="96"/>
  <c r="H48" i="96" s="1"/>
  <c r="G49" i="83"/>
  <c r="I49" i="83" s="1"/>
  <c r="B56" i="44"/>
  <c r="F56" i="44"/>
  <c r="H56" i="44" s="1"/>
  <c r="D55" i="72"/>
  <c r="E55" i="72" s="1"/>
  <c r="B51" i="76"/>
  <c r="F51" i="76"/>
  <c r="G51" i="76" s="1"/>
  <c r="F53" i="61"/>
  <c r="B53" i="61"/>
  <c r="B57" i="22"/>
  <c r="F57" i="22"/>
  <c r="H54" i="72"/>
  <c r="I54" i="72" s="1"/>
  <c r="B59" i="27"/>
  <c r="F59" i="27"/>
  <c r="H59" i="27" s="1"/>
  <c r="H50" i="85"/>
  <c r="D49" i="95"/>
  <c r="E49" i="95" s="1"/>
  <c r="H60" i="28"/>
  <c r="D57" i="39"/>
  <c r="E57" i="39" s="1"/>
  <c r="F50" i="81"/>
  <c r="G50" i="81" s="1"/>
  <c r="B50" i="81"/>
  <c r="I55" i="73"/>
  <c r="B57" i="41"/>
  <c r="F57" i="41"/>
  <c r="H57" i="41" s="1"/>
  <c r="F57" i="21"/>
  <c r="G57" i="21" s="1"/>
  <c r="B57" i="21"/>
  <c r="B53" i="63"/>
  <c r="F53" i="63"/>
  <c r="G52" i="62"/>
  <c r="I52" i="62" s="1"/>
  <c r="E59" i="71"/>
  <c r="F59" i="71" s="1"/>
  <c r="B59" i="71"/>
  <c r="F54" i="57"/>
  <c r="H54" i="57" s="1"/>
  <c r="B54" i="57"/>
  <c r="F59" i="70"/>
  <c r="D60" i="70" s="1"/>
  <c r="B59" i="70"/>
  <c r="E50" i="83"/>
  <c r="D50" i="83"/>
  <c r="B58" i="32"/>
  <c r="F58" i="32"/>
  <c r="B51" i="78"/>
  <c r="F51" i="78"/>
  <c r="D59" i="30"/>
  <c r="E59" i="30" s="1"/>
  <c r="H58" i="34"/>
  <c r="I58" i="34" s="1"/>
  <c r="D59" i="34"/>
  <c r="E59" i="34" s="1"/>
  <c r="D58" i="3"/>
  <c r="E58" i="3" s="1"/>
  <c r="B56" i="73"/>
  <c r="F56" i="73"/>
  <c r="G56" i="73" s="1"/>
  <c r="B57" i="43"/>
  <c r="F57" i="43"/>
  <c r="G57" i="43" s="1"/>
  <c r="F53" i="60"/>
  <c r="B53" i="60"/>
  <c r="E61" i="28"/>
  <c r="F61" i="28" s="1"/>
  <c r="B61" i="28"/>
  <c r="D58" i="19"/>
  <c r="E58" i="19" s="1"/>
  <c r="H59" i="69"/>
  <c r="I59" i="69" s="1"/>
  <c r="D60" i="69"/>
  <c r="E60" i="69" s="1"/>
  <c r="F60" i="69" s="1"/>
  <c r="E60" i="31"/>
  <c r="F60" i="31" s="1"/>
  <c r="G60" i="31" s="1"/>
  <c r="B60" i="31"/>
  <c r="D56" i="45"/>
  <c r="E56" i="45" s="1"/>
  <c r="B49" i="92"/>
  <c r="F49" i="92"/>
  <c r="F57" i="17"/>
  <c r="H57" i="17" s="1"/>
  <c r="C66" i="17"/>
  <c r="B57" i="17"/>
  <c r="H50" i="88"/>
  <c r="I50" i="88" s="1"/>
  <c r="D51" i="88"/>
  <c r="E51" i="88" s="1"/>
  <c r="F49" i="89"/>
  <c r="G49" i="89" s="1"/>
  <c r="B49" i="89"/>
  <c r="B54" i="54"/>
  <c r="F54" i="54"/>
  <c r="F51" i="79"/>
  <c r="B51" i="79"/>
  <c r="G60" i="28"/>
  <c r="F56" i="74"/>
  <c r="B56" i="74"/>
  <c r="I56" i="17"/>
  <c r="D54" i="56"/>
  <c r="E54" i="56" s="1"/>
  <c r="G57" i="19"/>
  <c r="I57" i="19" s="1"/>
  <c r="B51" i="77"/>
  <c r="F51" i="77"/>
  <c r="H51" i="77" s="1"/>
  <c r="G59" i="31"/>
  <c r="H55" i="45"/>
  <c r="I55" i="45" s="1"/>
  <c r="E53" i="68"/>
  <c r="D53" i="68"/>
  <c r="D54" i="64"/>
  <c r="E54" i="64"/>
  <c r="B59" i="29"/>
  <c r="F59" i="29"/>
  <c r="D60" i="29" s="1"/>
  <c r="H57" i="3"/>
  <c r="I57" i="3" s="1"/>
  <c r="J135" i="73"/>
  <c r="J129" i="80"/>
  <c r="J128" i="93"/>
  <c r="J129" i="83"/>
  <c r="J134" i="45"/>
  <c r="J134" i="56"/>
  <c r="D51" i="33"/>
  <c r="E51" i="33" s="1"/>
  <c r="G50" i="33"/>
  <c r="H50" i="33"/>
  <c r="J136" i="22"/>
  <c r="B58" i="18"/>
  <c r="F58" i="18"/>
  <c r="G56" i="20"/>
  <c r="I56" i="20" s="1"/>
  <c r="D49" i="13"/>
  <c r="E49" i="13" s="1"/>
  <c r="D53" i="62"/>
  <c r="E53" i="62" s="1"/>
  <c r="D50" i="87"/>
  <c r="E50" i="87" s="1"/>
  <c r="D50" i="26"/>
  <c r="E50" i="26" s="1"/>
  <c r="F53" i="59"/>
  <c r="G53" i="59" s="1"/>
  <c r="B53" i="59"/>
  <c r="D57" i="20"/>
  <c r="E57" i="20" s="1"/>
  <c r="J128" i="91"/>
  <c r="J135" i="41"/>
  <c r="H49" i="87"/>
  <c r="I49" i="87" s="1"/>
  <c r="G49" i="26"/>
  <c r="I49" i="26" s="1"/>
  <c r="J130" i="76"/>
  <c r="D130" i="89"/>
  <c r="G129" i="89"/>
  <c r="E130" i="89"/>
  <c r="F136" i="39"/>
  <c r="B136" i="39"/>
  <c r="H132" i="63"/>
  <c r="I132" i="63"/>
  <c r="F131" i="78"/>
  <c r="B131" i="78"/>
  <c r="D136" i="45"/>
  <c r="G135" i="45"/>
  <c r="E136" i="45"/>
  <c r="F138" i="31"/>
  <c r="B138" i="31"/>
  <c r="H128" i="88"/>
  <c r="I128" i="88"/>
  <c r="B129" i="84"/>
  <c r="F129" i="84"/>
  <c r="D138" i="22"/>
  <c r="E138" i="22"/>
  <c r="G137" i="22"/>
  <c r="I138" i="27"/>
  <c r="H138" i="27"/>
  <c r="F139" i="70"/>
  <c r="B139" i="70"/>
  <c r="B133" i="61"/>
  <c r="F133" i="61"/>
  <c r="E130" i="91"/>
  <c r="G129" i="91"/>
  <c r="D130" i="91"/>
  <c r="B132" i="66"/>
  <c r="F132" i="66"/>
  <c r="H138" i="30"/>
  <c r="I138" i="30"/>
  <c r="I132" i="64"/>
  <c r="H132" i="64"/>
  <c r="H133" i="72"/>
  <c r="I133" i="72"/>
  <c r="H137" i="31"/>
  <c r="I137" i="31"/>
  <c r="B139" i="69"/>
  <c r="F139" i="69"/>
  <c r="F129" i="88"/>
  <c r="B129" i="88"/>
  <c r="H133" i="46"/>
  <c r="I133" i="46"/>
  <c r="E137" i="73"/>
  <c r="D137" i="73"/>
  <c r="G136" i="73"/>
  <c r="B129" i="86"/>
  <c r="F129" i="86"/>
  <c r="H133" i="53"/>
  <c r="I133" i="53"/>
  <c r="I137" i="32"/>
  <c r="H137" i="32"/>
  <c r="B133" i="65"/>
  <c r="F133" i="65"/>
  <c r="B129" i="90"/>
  <c r="F129" i="90"/>
  <c r="F137" i="34"/>
  <c r="B137" i="34"/>
  <c r="B131" i="79"/>
  <c r="F131" i="79"/>
  <c r="B129" i="92"/>
  <c r="F129" i="92"/>
  <c r="B135" i="74"/>
  <c r="F135" i="74"/>
  <c r="F132" i="68"/>
  <c r="B132" i="68"/>
  <c r="B133" i="60"/>
  <c r="F133" i="60"/>
  <c r="I135" i="39"/>
  <c r="H135" i="39"/>
  <c r="F133" i="63"/>
  <c r="B133" i="63"/>
  <c r="H138" i="29"/>
  <c r="I138" i="29"/>
  <c r="I130" i="78"/>
  <c r="H130" i="78"/>
  <c r="J132" i="62"/>
  <c r="H135" i="43"/>
  <c r="I135" i="43"/>
  <c r="B133" i="64"/>
  <c r="F133" i="64"/>
  <c r="B134" i="72"/>
  <c r="F134" i="72"/>
  <c r="F137" i="20"/>
  <c r="B137" i="20"/>
  <c r="B130" i="85"/>
  <c r="F130" i="85"/>
  <c r="I138" i="69"/>
  <c r="H138" i="69"/>
  <c r="F134" i="58"/>
  <c r="B134" i="58"/>
  <c r="F137" i="19"/>
  <c r="B137" i="19"/>
  <c r="B138" i="32"/>
  <c r="F138" i="32"/>
  <c r="I132" i="65"/>
  <c r="H132" i="65"/>
  <c r="I128" i="90"/>
  <c r="H128" i="90"/>
  <c r="H138" i="70"/>
  <c r="I138" i="70"/>
  <c r="H128" i="92"/>
  <c r="I128" i="92"/>
  <c r="G133" i="62"/>
  <c r="E134" i="62"/>
  <c r="D134" i="62"/>
  <c r="I131" i="68"/>
  <c r="H131" i="68"/>
  <c r="E137" i="41"/>
  <c r="G136" i="41"/>
  <c r="D137" i="41"/>
  <c r="H131" i="66"/>
  <c r="I131" i="66"/>
  <c r="B139" i="30"/>
  <c r="F139" i="30"/>
  <c r="B139" i="29"/>
  <c r="F139" i="29"/>
  <c r="B136" i="43"/>
  <c r="F136" i="43"/>
  <c r="H136" i="20"/>
  <c r="I136" i="20"/>
  <c r="I129" i="85"/>
  <c r="H129" i="85"/>
  <c r="J128" i="89"/>
  <c r="I128" i="84"/>
  <c r="H128" i="84"/>
  <c r="I133" i="58"/>
  <c r="H133" i="58"/>
  <c r="F134" i="46"/>
  <c r="B134" i="46"/>
  <c r="I136" i="19"/>
  <c r="H136" i="19"/>
  <c r="J129" i="81"/>
  <c r="H128" i="86"/>
  <c r="I128" i="86"/>
  <c r="F134" i="53"/>
  <c r="B134" i="53"/>
  <c r="B139" i="27"/>
  <c r="F139" i="27"/>
  <c r="I136" i="34"/>
  <c r="H136" i="34"/>
  <c r="H130" i="79"/>
  <c r="I130" i="79"/>
  <c r="E131" i="81"/>
  <c r="G130" i="81"/>
  <c r="D131" i="81"/>
  <c r="H132" i="61"/>
  <c r="I132" i="61"/>
  <c r="H134" i="74"/>
  <c r="I134" i="74"/>
  <c r="H132" i="60"/>
  <c r="I132" i="60"/>
  <c r="J133" i="55"/>
  <c r="H138" i="23"/>
  <c r="I138" i="23"/>
  <c r="H133" i="59"/>
  <c r="I133" i="59"/>
  <c r="G135" i="56"/>
  <c r="D136" i="56"/>
  <c r="E136" i="56"/>
  <c r="H137" i="18"/>
  <c r="I137" i="18"/>
  <c r="F134" i="59"/>
  <c r="B134" i="59"/>
  <c r="B138" i="18"/>
  <c r="F138" i="18"/>
  <c r="F139" i="23"/>
  <c r="B139" i="23"/>
  <c r="J127" i="33"/>
  <c r="F139" i="71"/>
  <c r="B139" i="71"/>
  <c r="I138" i="71"/>
  <c r="H138" i="71"/>
  <c r="I134" i="57"/>
  <c r="H134" i="57"/>
  <c r="J130" i="77"/>
  <c r="J137" i="24"/>
  <c r="F135" i="57"/>
  <c r="B135" i="57"/>
  <c r="I128" i="87"/>
  <c r="H128" i="87"/>
  <c r="F132" i="67"/>
  <c r="B132" i="67"/>
  <c r="G129" i="93"/>
  <c r="D130" i="93"/>
  <c r="E130" i="93" s="1"/>
  <c r="B136" i="44"/>
  <c r="F136" i="44"/>
  <c r="D135" i="55"/>
  <c r="E135" i="55"/>
  <c r="G134" i="55"/>
  <c r="J127" i="13"/>
  <c r="H137" i="17"/>
  <c r="I137" i="17"/>
  <c r="H139" i="28"/>
  <c r="I139" i="28"/>
  <c r="B137" i="3"/>
  <c r="F137" i="3"/>
  <c r="E132" i="76"/>
  <c r="G131" i="76"/>
  <c r="D132" i="76"/>
  <c r="G134" i="54"/>
  <c r="E135" i="54"/>
  <c r="D135" i="54"/>
  <c r="B130" i="94"/>
  <c r="F130" i="94"/>
  <c r="H131" i="67"/>
  <c r="I131" i="67"/>
  <c r="B129" i="87"/>
  <c r="F129" i="87"/>
  <c r="J136" i="21"/>
  <c r="G130" i="80"/>
  <c r="D131" i="80"/>
  <c r="E131" i="80"/>
  <c r="I129" i="95"/>
  <c r="H129" i="95"/>
  <c r="H135" i="44"/>
  <c r="I135" i="44"/>
  <c r="J135" i="42"/>
  <c r="J130" i="75"/>
  <c r="F130" i="82"/>
  <c r="B130" i="82"/>
  <c r="D139" i="24"/>
  <c r="E139" i="24"/>
  <c r="G138" i="24"/>
  <c r="H136" i="3"/>
  <c r="I136" i="3"/>
  <c r="E132" i="75"/>
  <c r="D132" i="75"/>
  <c r="G131" i="75"/>
  <c r="F129" i="96"/>
  <c r="B129" i="96"/>
  <c r="D132" i="77"/>
  <c r="E132" i="77"/>
  <c r="G131" i="77"/>
  <c r="J133" i="54"/>
  <c r="G130" i="83"/>
  <c r="D131" i="83"/>
  <c r="E131" i="83"/>
  <c r="G137" i="21"/>
  <c r="E138" i="21"/>
  <c r="D138" i="21"/>
  <c r="H129" i="82"/>
  <c r="I129" i="82"/>
  <c r="H129" i="94"/>
  <c r="I129" i="94"/>
  <c r="I128" i="96"/>
  <c r="H128" i="96"/>
  <c r="B130" i="95"/>
  <c r="F130" i="95"/>
  <c r="G136" i="42"/>
  <c r="D137" i="42"/>
  <c r="E137" i="42"/>
  <c r="D129" i="33"/>
  <c r="E129" i="33" s="1"/>
  <c r="G128" i="33"/>
  <c r="F138" i="17"/>
  <c r="B138" i="17"/>
  <c r="D129" i="13"/>
  <c r="E129" i="13" s="1"/>
  <c r="G128" i="13"/>
  <c r="B140" i="28"/>
  <c r="F140" i="28"/>
  <c r="G60" i="100" l="1"/>
  <c r="I60" i="100" s="1"/>
  <c r="D61" i="100"/>
  <c r="F131" i="100"/>
  <c r="B131" i="100"/>
  <c r="H130" i="100"/>
  <c r="I130" i="100"/>
  <c r="E49" i="25"/>
  <c r="F49" i="25" s="1"/>
  <c r="B49" i="25"/>
  <c r="I48" i="25"/>
  <c r="G48" i="98"/>
  <c r="I48" i="98" s="1"/>
  <c r="G54" i="46"/>
  <c r="I54" i="46" s="1"/>
  <c r="E129" i="25"/>
  <c r="F129" i="25" s="1"/>
  <c r="B129" i="25"/>
  <c r="H128" i="25"/>
  <c r="I128" i="25"/>
  <c r="G53" i="99"/>
  <c r="I60" i="97"/>
  <c r="H53" i="99"/>
  <c r="D49" i="98"/>
  <c r="E49" i="98"/>
  <c r="E54" i="99"/>
  <c r="F54" i="99" s="1"/>
  <c r="D55" i="99" s="1"/>
  <c r="B54" i="99"/>
  <c r="E61" i="97"/>
  <c r="F61" i="97" s="1"/>
  <c r="B61" i="97"/>
  <c r="I59" i="31"/>
  <c r="F129" i="99"/>
  <c r="B129" i="99"/>
  <c r="H128" i="99"/>
  <c r="I128" i="99"/>
  <c r="G49" i="94"/>
  <c r="I49" i="94" s="1"/>
  <c r="E130" i="26"/>
  <c r="F130" i="26" s="1"/>
  <c r="B130" i="26"/>
  <c r="H129" i="26"/>
  <c r="I129" i="26"/>
  <c r="I58" i="71"/>
  <c r="J128" i="98"/>
  <c r="I60" i="28"/>
  <c r="I50" i="85"/>
  <c r="H57" i="21"/>
  <c r="I57" i="21" s="1"/>
  <c r="J128" i="97"/>
  <c r="G129" i="97"/>
  <c r="D130" i="97"/>
  <c r="E130" i="97"/>
  <c r="D130" i="98"/>
  <c r="G129" i="98"/>
  <c r="E130" i="98"/>
  <c r="H51" i="80"/>
  <c r="I51" i="80" s="1"/>
  <c r="H51" i="76"/>
  <c r="I51" i="76" s="1"/>
  <c r="H53" i="67"/>
  <c r="I53" i="67" s="1"/>
  <c r="D54" i="67"/>
  <c r="E54" i="67"/>
  <c r="D55" i="46"/>
  <c r="E55" i="46" s="1"/>
  <c r="H58" i="24"/>
  <c r="I58" i="24" s="1"/>
  <c r="D59" i="24"/>
  <c r="F52" i="82"/>
  <c r="B52" i="82"/>
  <c r="D49" i="93"/>
  <c r="E49" i="93"/>
  <c r="I50" i="86"/>
  <c r="D50" i="94"/>
  <c r="E50" i="94"/>
  <c r="B51" i="86"/>
  <c r="F51" i="86"/>
  <c r="G48" i="93"/>
  <c r="I48" i="93" s="1"/>
  <c r="D52" i="80"/>
  <c r="E52" i="80"/>
  <c r="G59" i="23"/>
  <c r="D60" i="23"/>
  <c r="B60" i="23" s="1"/>
  <c r="H59" i="23"/>
  <c r="G57" i="17"/>
  <c r="I57" i="17" s="1"/>
  <c r="F56" i="58"/>
  <c r="B56" i="58"/>
  <c r="B56" i="55"/>
  <c r="F56" i="55"/>
  <c r="H56" i="55" s="1"/>
  <c r="G53" i="66"/>
  <c r="D54" i="66"/>
  <c r="E54" i="66" s="1"/>
  <c r="B52" i="75"/>
  <c r="F52" i="75"/>
  <c r="G52" i="75" s="1"/>
  <c r="H50" i="84"/>
  <c r="D51" i="84"/>
  <c r="E51" i="84" s="1"/>
  <c r="D52" i="90"/>
  <c r="E52" i="90"/>
  <c r="F53" i="65"/>
  <c r="B53" i="65"/>
  <c r="B57" i="42"/>
  <c r="F57" i="42"/>
  <c r="G50" i="91"/>
  <c r="D51" i="91"/>
  <c r="E51" i="91" s="1"/>
  <c r="H50" i="91"/>
  <c r="G50" i="84"/>
  <c r="H51" i="90"/>
  <c r="I51" i="90" s="1"/>
  <c r="H53" i="66"/>
  <c r="G54" i="53"/>
  <c r="I54" i="53" s="1"/>
  <c r="D55" i="53"/>
  <c r="E55" i="53" s="1"/>
  <c r="D58" i="22"/>
  <c r="D54" i="61"/>
  <c r="E54" i="61" s="1"/>
  <c r="H59" i="29"/>
  <c r="F49" i="95"/>
  <c r="B49" i="95"/>
  <c r="H57" i="22"/>
  <c r="G53" i="61"/>
  <c r="F55" i="72"/>
  <c r="G55" i="72" s="1"/>
  <c r="B55" i="72"/>
  <c r="D57" i="44"/>
  <c r="E57" i="44" s="1"/>
  <c r="F57" i="39"/>
  <c r="G57" i="39" s="1"/>
  <c r="B57" i="39"/>
  <c r="G57" i="22"/>
  <c r="E49" i="96"/>
  <c r="D49" i="96"/>
  <c r="F51" i="85"/>
  <c r="B51" i="85"/>
  <c r="H53" i="59"/>
  <c r="I53" i="59" s="1"/>
  <c r="H50" i="81"/>
  <c r="I50" i="81" s="1"/>
  <c r="D51" i="81"/>
  <c r="E51" i="81" s="1"/>
  <c r="D60" i="27"/>
  <c r="E60" i="27" s="1"/>
  <c r="G59" i="27"/>
  <c r="I59" i="27" s="1"/>
  <c r="H53" i="61"/>
  <c r="D52" i="76"/>
  <c r="E52" i="76" s="1"/>
  <c r="G56" i="44"/>
  <c r="I56" i="44" s="1"/>
  <c r="G48" i="96"/>
  <c r="I48" i="96" s="1"/>
  <c r="D62" i="28"/>
  <c r="H61" i="28"/>
  <c r="G61" i="28"/>
  <c r="H59" i="71"/>
  <c r="D60" i="71"/>
  <c r="E60" i="71" s="1"/>
  <c r="F60" i="71" s="1"/>
  <c r="G59" i="71"/>
  <c r="D55" i="54"/>
  <c r="E55" i="54" s="1"/>
  <c r="D50" i="92"/>
  <c r="E50" i="92" s="1"/>
  <c r="D54" i="60"/>
  <c r="E54" i="60" s="1"/>
  <c r="G51" i="78"/>
  <c r="D52" i="78"/>
  <c r="E52" i="78" s="1"/>
  <c r="G58" i="32"/>
  <c r="D59" i="32"/>
  <c r="E59" i="32" s="1"/>
  <c r="F59" i="32" s="1"/>
  <c r="D60" i="32" s="1"/>
  <c r="D52" i="77"/>
  <c r="E52" i="77" s="1"/>
  <c r="F54" i="56"/>
  <c r="G54" i="56" s="1"/>
  <c r="B54" i="56"/>
  <c r="H56" i="74"/>
  <c r="D57" i="74"/>
  <c r="E57" i="74" s="1"/>
  <c r="H51" i="79"/>
  <c r="D52" i="79"/>
  <c r="E52" i="79" s="1"/>
  <c r="D58" i="17"/>
  <c r="E58" i="17" s="1"/>
  <c r="F58" i="17" s="1"/>
  <c r="D59" i="17" s="1"/>
  <c r="B60" i="69"/>
  <c r="G60" i="69"/>
  <c r="H60" i="69"/>
  <c r="H53" i="60"/>
  <c r="E57" i="73"/>
  <c r="D57" i="73"/>
  <c r="B58" i="3"/>
  <c r="F58" i="3"/>
  <c r="D59" i="3" s="1"/>
  <c r="H51" i="78"/>
  <c r="E60" i="70"/>
  <c r="F60" i="70" s="1"/>
  <c r="B60" i="70"/>
  <c r="H53" i="63"/>
  <c r="E54" i="63"/>
  <c r="D54" i="63"/>
  <c r="D58" i="41"/>
  <c r="E58" i="41" s="1"/>
  <c r="D61" i="69"/>
  <c r="E61" i="69" s="1"/>
  <c r="G59" i="29"/>
  <c r="F54" i="64"/>
  <c r="G54" i="64" s="1"/>
  <c r="B54" i="64"/>
  <c r="H54" i="54"/>
  <c r="H49" i="89"/>
  <c r="I49" i="89" s="1"/>
  <c r="D50" i="89"/>
  <c r="E50" i="89" s="1"/>
  <c r="F51" i="88"/>
  <c r="H51" i="88" s="1"/>
  <c r="B51" i="88"/>
  <c r="H49" i="92"/>
  <c r="G53" i="60"/>
  <c r="H57" i="43"/>
  <c r="I57" i="43" s="1"/>
  <c r="D58" i="43"/>
  <c r="E58" i="43" s="1"/>
  <c r="H56" i="73"/>
  <c r="I56" i="73" s="1"/>
  <c r="B50" i="83"/>
  <c r="F50" i="83"/>
  <c r="G59" i="70"/>
  <c r="G54" i="57"/>
  <c r="I54" i="57" s="1"/>
  <c r="D55" i="57"/>
  <c r="E55" i="57"/>
  <c r="G53" i="63"/>
  <c r="H60" i="31"/>
  <c r="I60" i="31" s="1"/>
  <c r="D61" i="31"/>
  <c r="E60" i="29"/>
  <c r="F60" i="29" s="1"/>
  <c r="B60" i="29"/>
  <c r="F53" i="68"/>
  <c r="B53" i="68"/>
  <c r="G51" i="77"/>
  <c r="I51" i="77" s="1"/>
  <c r="G56" i="74"/>
  <c r="G51" i="79"/>
  <c r="G54" i="54"/>
  <c r="G49" i="92"/>
  <c r="F56" i="45"/>
  <c r="G56" i="45" s="1"/>
  <c r="B56" i="45"/>
  <c r="B58" i="19"/>
  <c r="F58" i="19"/>
  <c r="H58" i="19" s="1"/>
  <c r="B59" i="34"/>
  <c r="F59" i="34"/>
  <c r="B59" i="30"/>
  <c r="F59" i="30"/>
  <c r="D60" i="30" s="1"/>
  <c r="H58" i="32"/>
  <c r="H59" i="70"/>
  <c r="D58" i="21"/>
  <c r="E58" i="21" s="1"/>
  <c r="G57" i="41"/>
  <c r="I57" i="41" s="1"/>
  <c r="J136" i="20"/>
  <c r="J138" i="70"/>
  <c r="J136" i="19"/>
  <c r="J132" i="64"/>
  <c r="J131" i="68"/>
  <c r="J130" i="78"/>
  <c r="J129" i="82"/>
  <c r="J134" i="74"/>
  <c r="J138" i="29"/>
  <c r="J133" i="53"/>
  <c r="J133" i="58"/>
  <c r="J137" i="32"/>
  <c r="J131" i="66"/>
  <c r="J132" i="63"/>
  <c r="J129" i="85"/>
  <c r="B57" i="20"/>
  <c r="F57" i="20"/>
  <c r="G57" i="20" s="1"/>
  <c r="B53" i="62"/>
  <c r="F53" i="62"/>
  <c r="H53" i="62" s="1"/>
  <c r="D59" i="18"/>
  <c r="E59" i="18" s="1"/>
  <c r="J128" i="96"/>
  <c r="J129" i="95"/>
  <c r="J134" i="57"/>
  <c r="D54" i="59"/>
  <c r="E54" i="59" s="1"/>
  <c r="B50" i="26"/>
  <c r="F50" i="26"/>
  <c r="G50" i="26" s="1"/>
  <c r="J137" i="17"/>
  <c r="F50" i="87"/>
  <c r="G50" i="87" s="1"/>
  <c r="B50" i="87"/>
  <c r="H58" i="18"/>
  <c r="F51" i="33"/>
  <c r="H51" i="33" s="1"/>
  <c r="B51" i="33"/>
  <c r="J138" i="23"/>
  <c r="J128" i="86"/>
  <c r="J128" i="92"/>
  <c r="J135" i="43"/>
  <c r="J133" i="46"/>
  <c r="J133" i="72"/>
  <c r="J138" i="30"/>
  <c r="B49" i="13"/>
  <c r="F49" i="13"/>
  <c r="G49" i="13" s="1"/>
  <c r="G58" i="18"/>
  <c r="I50" i="33"/>
  <c r="J132" i="60"/>
  <c r="J132" i="61"/>
  <c r="J136" i="34"/>
  <c r="G134" i="53"/>
  <c r="D135" i="53"/>
  <c r="E135" i="53"/>
  <c r="I133" i="62"/>
  <c r="H133" i="62"/>
  <c r="J132" i="65"/>
  <c r="G137" i="19"/>
  <c r="E138" i="19"/>
  <c r="D138" i="19"/>
  <c r="J138" i="69"/>
  <c r="E138" i="20"/>
  <c r="D138" i="20"/>
  <c r="G137" i="20"/>
  <c r="E134" i="60"/>
  <c r="G133" i="60"/>
  <c r="D134" i="60"/>
  <c r="D136" i="74"/>
  <c r="G135" i="74"/>
  <c r="E136" i="74"/>
  <c r="E132" i="79"/>
  <c r="D132" i="79"/>
  <c r="G131" i="79"/>
  <c r="G129" i="90"/>
  <c r="D130" i="90"/>
  <c r="E130" i="90"/>
  <c r="D130" i="86"/>
  <c r="G129" i="86"/>
  <c r="E130" i="86"/>
  <c r="G129" i="88"/>
  <c r="D130" i="88"/>
  <c r="E130" i="88"/>
  <c r="E134" i="61"/>
  <c r="D134" i="61"/>
  <c r="G133" i="61"/>
  <c r="F138" i="22"/>
  <c r="B138" i="22"/>
  <c r="H135" i="45"/>
  <c r="I135" i="45"/>
  <c r="J131" i="67"/>
  <c r="J137" i="18"/>
  <c r="J130" i="79"/>
  <c r="G139" i="27"/>
  <c r="D140" i="27"/>
  <c r="E140" i="27"/>
  <c r="D137" i="43"/>
  <c r="E137" i="43"/>
  <c r="G136" i="43"/>
  <c r="D140" i="30"/>
  <c r="E140" i="30" s="1"/>
  <c r="G139" i="30"/>
  <c r="F137" i="41"/>
  <c r="B137" i="41"/>
  <c r="G138" i="32"/>
  <c r="E139" i="32"/>
  <c r="D139" i="32"/>
  <c r="D131" i="85"/>
  <c r="E131" i="85"/>
  <c r="G130" i="85"/>
  <c r="E135" i="72"/>
  <c r="D135" i="72"/>
  <c r="G134" i="72"/>
  <c r="G133" i="63"/>
  <c r="E134" i="63"/>
  <c r="D134" i="63"/>
  <c r="G139" i="69"/>
  <c r="D140" i="69"/>
  <c r="E140" i="69"/>
  <c r="B130" i="91"/>
  <c r="F130" i="91"/>
  <c r="J138" i="27"/>
  <c r="D130" i="84"/>
  <c r="G129" i="84"/>
  <c r="E130" i="84"/>
  <c r="B136" i="45"/>
  <c r="F136" i="45"/>
  <c r="H129" i="89"/>
  <c r="I129" i="89"/>
  <c r="F131" i="81"/>
  <c r="B131" i="81"/>
  <c r="I136" i="41"/>
  <c r="H136" i="41"/>
  <c r="F134" i="62"/>
  <c r="B134" i="62"/>
  <c r="J128" i="90"/>
  <c r="E135" i="58"/>
  <c r="G134" i="58"/>
  <c r="D135" i="58"/>
  <c r="E130" i="92"/>
  <c r="G129" i="92"/>
  <c r="D130" i="92"/>
  <c r="G133" i="65"/>
  <c r="E134" i="65"/>
  <c r="D134" i="65"/>
  <c r="I136" i="73"/>
  <c r="H136" i="73"/>
  <c r="H129" i="91"/>
  <c r="I129" i="91"/>
  <c r="H137" i="22"/>
  <c r="I137" i="22"/>
  <c r="E139" i="31"/>
  <c r="D139" i="31"/>
  <c r="G138" i="31"/>
  <c r="B130" i="89"/>
  <c r="F130" i="89"/>
  <c r="I130" i="81"/>
  <c r="H130" i="81"/>
  <c r="D135" i="46"/>
  <c r="G134" i="46"/>
  <c r="E135" i="46"/>
  <c r="J128" i="84"/>
  <c r="G139" i="29"/>
  <c r="D140" i="29"/>
  <c r="E140" i="29"/>
  <c r="D134" i="64"/>
  <c r="G133" i="64"/>
  <c r="E134" i="64"/>
  <c r="J135" i="39"/>
  <c r="D133" i="68"/>
  <c r="E133" i="68"/>
  <c r="G132" i="68"/>
  <c r="E138" i="34"/>
  <c r="D138" i="34"/>
  <c r="G137" i="34"/>
  <c r="F137" i="73"/>
  <c r="B137" i="73"/>
  <c r="J137" i="31"/>
  <c r="G132" i="66"/>
  <c r="D133" i="66"/>
  <c r="E133" i="66"/>
  <c r="G139" i="70"/>
  <c r="D140" i="70"/>
  <c r="E140" i="70"/>
  <c r="J128" i="88"/>
  <c r="D132" i="78"/>
  <c r="E132" i="78"/>
  <c r="G131" i="78"/>
  <c r="E137" i="39"/>
  <c r="G136" i="39"/>
  <c r="D137" i="39"/>
  <c r="J135" i="44"/>
  <c r="E140" i="23"/>
  <c r="G139" i="23"/>
  <c r="D140" i="23"/>
  <c r="F136" i="56"/>
  <c r="B136" i="56"/>
  <c r="J133" i="59"/>
  <c r="I135" i="56"/>
  <c r="H135" i="56"/>
  <c r="J138" i="71"/>
  <c r="D135" i="59"/>
  <c r="G134" i="59"/>
  <c r="E135" i="59"/>
  <c r="J136" i="3"/>
  <c r="E139" i="18"/>
  <c r="D139" i="18"/>
  <c r="G138" i="18"/>
  <c r="J129" i="94"/>
  <c r="G135" i="57"/>
  <c r="D136" i="57"/>
  <c r="E136" i="57"/>
  <c r="J139" i="28"/>
  <c r="E140" i="71"/>
  <c r="D140" i="71"/>
  <c r="G139" i="71"/>
  <c r="H136" i="42"/>
  <c r="I136" i="42"/>
  <c r="F138" i="21"/>
  <c r="B138" i="21"/>
  <c r="F131" i="83"/>
  <c r="B131" i="83"/>
  <c r="D138" i="3"/>
  <c r="G137" i="3"/>
  <c r="E138" i="3"/>
  <c r="F135" i="55"/>
  <c r="B135" i="55"/>
  <c r="B130" i="93"/>
  <c r="F130" i="93"/>
  <c r="J128" i="87"/>
  <c r="H128" i="13"/>
  <c r="I128" i="13"/>
  <c r="I128" i="33"/>
  <c r="H128" i="33"/>
  <c r="G130" i="95"/>
  <c r="D131" i="95"/>
  <c r="E131" i="95" s="1"/>
  <c r="H130" i="83"/>
  <c r="I130" i="83"/>
  <c r="F132" i="77"/>
  <c r="B132" i="77"/>
  <c r="I131" i="75"/>
  <c r="H131" i="75"/>
  <c r="I138" i="24"/>
  <c r="H138" i="24"/>
  <c r="G130" i="82"/>
  <c r="D131" i="82"/>
  <c r="E131" i="82"/>
  <c r="B131" i="80"/>
  <c r="F131" i="80"/>
  <c r="H134" i="54"/>
  <c r="I134" i="54"/>
  <c r="D137" i="44"/>
  <c r="G136" i="44"/>
  <c r="E137" i="44"/>
  <c r="H129" i="93"/>
  <c r="I129" i="93"/>
  <c r="H137" i="21"/>
  <c r="I137" i="21"/>
  <c r="B132" i="75"/>
  <c r="F132" i="75"/>
  <c r="I130" i="80"/>
  <c r="H130" i="80"/>
  <c r="D130" i="87"/>
  <c r="G129" i="87"/>
  <c r="E130" i="87"/>
  <c r="D131" i="94"/>
  <c r="G130" i="94"/>
  <c r="F132" i="76"/>
  <c r="B132" i="76"/>
  <c r="I134" i="55"/>
  <c r="H134" i="55"/>
  <c r="D141" i="28"/>
  <c r="G140" i="28"/>
  <c r="E141" i="28"/>
  <c r="B129" i="13"/>
  <c r="F129" i="13"/>
  <c r="E139" i="17"/>
  <c r="D139" i="17"/>
  <c r="G138" i="17"/>
  <c r="B129" i="33"/>
  <c r="F129" i="33"/>
  <c r="F137" i="42"/>
  <c r="B137" i="42"/>
  <c r="H131" i="77"/>
  <c r="I131" i="77"/>
  <c r="D130" i="96"/>
  <c r="E130" i="96" s="1"/>
  <c r="G129" i="96"/>
  <c r="B139" i="24"/>
  <c r="F139" i="24"/>
  <c r="F135" i="54"/>
  <c r="B135" i="54"/>
  <c r="H131" i="76"/>
  <c r="I131" i="76"/>
  <c r="D133" i="67"/>
  <c r="G132" i="67"/>
  <c r="E133" i="67"/>
  <c r="E61" i="100" l="1"/>
  <c r="F61" i="100" s="1"/>
  <c r="H61" i="100" s="1"/>
  <c r="B61" i="100"/>
  <c r="I51" i="78"/>
  <c r="J130" i="100"/>
  <c r="J155" i="100" s="1"/>
  <c r="D132" i="100"/>
  <c r="B132" i="100" s="1"/>
  <c r="G131" i="100"/>
  <c r="E132" i="100"/>
  <c r="F132" i="100" s="1"/>
  <c r="H49" i="25"/>
  <c r="G49" i="25"/>
  <c r="D50" i="25"/>
  <c r="D130" i="25"/>
  <c r="G129" i="25"/>
  <c r="I53" i="99"/>
  <c r="J128" i="25"/>
  <c r="I53" i="66"/>
  <c r="D62" i="97"/>
  <c r="E62" i="97" s="1"/>
  <c r="F62" i="97" s="1"/>
  <c r="D63" i="97" s="1"/>
  <c r="G61" i="97"/>
  <c r="H61" i="97"/>
  <c r="E55" i="99"/>
  <c r="F55" i="99" s="1"/>
  <c r="D56" i="99" s="1"/>
  <c r="B55" i="99"/>
  <c r="H54" i="99"/>
  <c r="G54" i="99"/>
  <c r="B49" i="98"/>
  <c r="F49" i="98"/>
  <c r="G49" i="98" s="1"/>
  <c r="I59" i="29"/>
  <c r="I50" i="91"/>
  <c r="J128" i="99"/>
  <c r="E130" i="99"/>
  <c r="D130" i="99"/>
  <c r="G129" i="99"/>
  <c r="J129" i="26"/>
  <c r="D131" i="26"/>
  <c r="G130" i="26"/>
  <c r="H54" i="56"/>
  <c r="I54" i="56" s="1"/>
  <c r="I56" i="74"/>
  <c r="I50" i="84"/>
  <c r="I59" i="23"/>
  <c r="G58" i="19"/>
  <c r="I58" i="19" s="1"/>
  <c r="B130" i="97"/>
  <c r="F130" i="97"/>
  <c r="H129" i="98"/>
  <c r="I129" i="98"/>
  <c r="H129" i="97"/>
  <c r="I129" i="97"/>
  <c r="F130" i="98"/>
  <c r="B130" i="98"/>
  <c r="I59" i="70"/>
  <c r="I60" i="69"/>
  <c r="B54" i="67"/>
  <c r="F54" i="67"/>
  <c r="H54" i="67" s="1"/>
  <c r="F55" i="46"/>
  <c r="G55" i="46" s="1"/>
  <c r="B55" i="46"/>
  <c r="E59" i="24"/>
  <c r="F59" i="24" s="1"/>
  <c r="G59" i="24" s="1"/>
  <c r="B59" i="24"/>
  <c r="I57" i="22"/>
  <c r="D53" i="82"/>
  <c r="E53" i="82" s="1"/>
  <c r="B52" i="80"/>
  <c r="F52" i="80"/>
  <c r="H52" i="82"/>
  <c r="B50" i="94"/>
  <c r="F50" i="94"/>
  <c r="H50" i="94" s="1"/>
  <c r="B49" i="93"/>
  <c r="F49" i="93"/>
  <c r="G49" i="93" s="1"/>
  <c r="G52" i="82"/>
  <c r="H51" i="86"/>
  <c r="G51" i="86"/>
  <c r="D52" i="86"/>
  <c r="E52" i="86" s="1"/>
  <c r="B51" i="91"/>
  <c r="F51" i="91"/>
  <c r="H51" i="91" s="1"/>
  <c r="D58" i="42"/>
  <c r="E58" i="42" s="1"/>
  <c r="F54" i="66"/>
  <c r="G54" i="66" s="1"/>
  <c r="B54" i="66"/>
  <c r="E60" i="23"/>
  <c r="F60" i="23" s="1"/>
  <c r="B55" i="53"/>
  <c r="F55" i="53"/>
  <c r="G55" i="53" s="1"/>
  <c r="G53" i="65"/>
  <c r="D54" i="65"/>
  <c r="E54" i="65" s="1"/>
  <c r="B51" i="84"/>
  <c r="F51" i="84"/>
  <c r="G51" i="84" s="1"/>
  <c r="D53" i="75"/>
  <c r="E53" i="75"/>
  <c r="H57" i="42"/>
  <c r="H56" i="58"/>
  <c r="D57" i="58"/>
  <c r="E57" i="58" s="1"/>
  <c r="G56" i="58"/>
  <c r="H50" i="87"/>
  <c r="I50" i="87" s="1"/>
  <c r="G53" i="62"/>
  <c r="I53" i="62" s="1"/>
  <c r="H54" i="64"/>
  <c r="I54" i="64" s="1"/>
  <c r="G57" i="42"/>
  <c r="H53" i="65"/>
  <c r="B52" i="90"/>
  <c r="F52" i="90"/>
  <c r="H52" i="90" s="1"/>
  <c r="H52" i="75"/>
  <c r="I52" i="75" s="1"/>
  <c r="G56" i="55"/>
  <c r="I56" i="55" s="1"/>
  <c r="D57" i="55"/>
  <c r="E57" i="55" s="1"/>
  <c r="F52" i="76"/>
  <c r="G52" i="76" s="1"/>
  <c r="B52" i="76"/>
  <c r="D50" i="95"/>
  <c r="E50" i="95" s="1"/>
  <c r="I51" i="79"/>
  <c r="B60" i="27"/>
  <c r="F60" i="27"/>
  <c r="H51" i="85"/>
  <c r="D52" i="85"/>
  <c r="E52" i="85" s="1"/>
  <c r="H57" i="39"/>
  <c r="I57" i="39" s="1"/>
  <c r="B57" i="44"/>
  <c r="F57" i="44"/>
  <c r="G57" i="44" s="1"/>
  <c r="D56" i="72"/>
  <c r="E56" i="72" s="1"/>
  <c r="G49" i="95"/>
  <c r="F54" i="61"/>
  <c r="H54" i="61" s="1"/>
  <c r="B54" i="61"/>
  <c r="B51" i="81"/>
  <c r="F51" i="81"/>
  <c r="G51" i="81" s="1"/>
  <c r="B49" i="96"/>
  <c r="F49" i="96"/>
  <c r="G49" i="96" s="1"/>
  <c r="H49" i="95"/>
  <c r="B58" i="22"/>
  <c r="D58" i="39"/>
  <c r="E58" i="39" s="1"/>
  <c r="G59" i="30"/>
  <c r="G51" i="85"/>
  <c r="H55" i="72"/>
  <c r="I55" i="72" s="1"/>
  <c r="I53" i="61"/>
  <c r="E58" i="22"/>
  <c r="F58" i="22" s="1"/>
  <c r="D61" i="71"/>
  <c r="E61" i="71" s="1"/>
  <c r="F61" i="71" s="1"/>
  <c r="D62" i="71" s="1"/>
  <c r="G60" i="70"/>
  <c r="D61" i="70"/>
  <c r="H60" i="70"/>
  <c r="E60" i="32"/>
  <c r="F60" i="32" s="1"/>
  <c r="H60" i="32" s="1"/>
  <c r="B60" i="32"/>
  <c r="H60" i="29"/>
  <c r="D61" i="29"/>
  <c r="G60" i="29"/>
  <c r="D60" i="34"/>
  <c r="B55" i="57"/>
  <c r="F55" i="57"/>
  <c r="H55" i="57" s="1"/>
  <c r="D51" i="83"/>
  <c r="E51" i="83" s="1"/>
  <c r="E59" i="17"/>
  <c r="F59" i="17" s="1"/>
  <c r="B59" i="17"/>
  <c r="E60" i="30"/>
  <c r="F60" i="30" s="1"/>
  <c r="B60" i="30"/>
  <c r="D59" i="19"/>
  <c r="E59" i="19" s="1"/>
  <c r="H56" i="45"/>
  <c r="I56" i="45" s="1"/>
  <c r="D57" i="45"/>
  <c r="E57" i="45" s="1"/>
  <c r="B61" i="31"/>
  <c r="I49" i="92"/>
  <c r="B54" i="63"/>
  <c r="F54" i="63"/>
  <c r="G54" i="63" s="1"/>
  <c r="I53" i="60"/>
  <c r="C67" i="17"/>
  <c r="C68" i="17" s="1"/>
  <c r="B58" i="17"/>
  <c r="H58" i="17"/>
  <c r="G58" i="17"/>
  <c r="B52" i="79"/>
  <c r="F52" i="79"/>
  <c r="G52" i="79" s="1"/>
  <c r="D55" i="56"/>
  <c r="E55" i="56" s="1"/>
  <c r="B54" i="60"/>
  <c r="F54" i="60"/>
  <c r="G54" i="60" s="1"/>
  <c r="F55" i="54"/>
  <c r="G55" i="54" s="1"/>
  <c r="B55" i="54"/>
  <c r="I59" i="71"/>
  <c r="H53" i="68"/>
  <c r="D54" i="68"/>
  <c r="E54" i="68"/>
  <c r="F58" i="43"/>
  <c r="B58" i="43"/>
  <c r="B58" i="41"/>
  <c r="F58" i="41"/>
  <c r="G58" i="41" s="1"/>
  <c r="H57" i="20"/>
  <c r="I57" i="20" s="1"/>
  <c r="I58" i="32"/>
  <c r="H59" i="34"/>
  <c r="E61" i="31"/>
  <c r="F61" i="31" s="1"/>
  <c r="H61" i="31" s="1"/>
  <c r="H50" i="83"/>
  <c r="G51" i="88"/>
  <c r="I51" i="88" s="1"/>
  <c r="D52" i="88"/>
  <c r="E52" i="88" s="1"/>
  <c r="I54" i="54"/>
  <c r="B61" i="69"/>
  <c r="F61" i="69"/>
  <c r="G61" i="69" s="1"/>
  <c r="H58" i="3"/>
  <c r="F57" i="73"/>
  <c r="B57" i="73"/>
  <c r="F52" i="78"/>
  <c r="H52" i="78" s="1"/>
  <c r="B52" i="78"/>
  <c r="I61" i="28"/>
  <c r="B50" i="89"/>
  <c r="F50" i="89"/>
  <c r="G50" i="89" s="1"/>
  <c r="E59" i="3"/>
  <c r="F59" i="3" s="1"/>
  <c r="B59" i="3"/>
  <c r="B58" i="21"/>
  <c r="F58" i="21"/>
  <c r="G58" i="21" s="1"/>
  <c r="H59" i="30"/>
  <c r="G59" i="34"/>
  <c r="G53" i="68"/>
  <c r="G50" i="83"/>
  <c r="D55" i="64"/>
  <c r="E55" i="64" s="1"/>
  <c r="I53" i="63"/>
  <c r="G58" i="3"/>
  <c r="F57" i="74"/>
  <c r="G57" i="74" s="1"/>
  <c r="B57" i="74"/>
  <c r="F52" i="77"/>
  <c r="G52" i="77" s="1"/>
  <c r="B52" i="77"/>
  <c r="B59" i="32"/>
  <c r="G59" i="32"/>
  <c r="H59" i="32"/>
  <c r="B50" i="92"/>
  <c r="F50" i="92"/>
  <c r="B60" i="71"/>
  <c r="G60" i="71"/>
  <c r="H60" i="71"/>
  <c r="E62" i="28"/>
  <c r="F62" i="28" s="1"/>
  <c r="D63" i="28" s="1"/>
  <c r="B62" i="28"/>
  <c r="J136" i="41"/>
  <c r="J137" i="21"/>
  <c r="J131" i="75"/>
  <c r="J136" i="73"/>
  <c r="J131" i="77"/>
  <c r="D50" i="13"/>
  <c r="G51" i="33"/>
  <c r="I51" i="33" s="1"/>
  <c r="I58" i="18"/>
  <c r="D51" i="87"/>
  <c r="E51" i="87"/>
  <c r="H50" i="26"/>
  <c r="I50" i="26" s="1"/>
  <c r="D58" i="20"/>
  <c r="E58" i="20" s="1"/>
  <c r="F54" i="59"/>
  <c r="H54" i="59" s="1"/>
  <c r="B54" i="59"/>
  <c r="J130" i="81"/>
  <c r="J155" i="81" s="1"/>
  <c r="H49" i="13"/>
  <c r="I49" i="13" s="1"/>
  <c r="D54" i="62"/>
  <c r="E54" i="62" s="1"/>
  <c r="D52" i="33"/>
  <c r="E52" i="33" s="1"/>
  <c r="D51" i="26"/>
  <c r="E51" i="26" s="1"/>
  <c r="B59" i="18"/>
  <c r="F59" i="18"/>
  <c r="H59" i="18" s="1"/>
  <c r="F139" i="31"/>
  <c r="B139" i="31"/>
  <c r="J129" i="91"/>
  <c r="B134" i="65"/>
  <c r="F134" i="65"/>
  <c r="H129" i="92"/>
  <c r="I129" i="92"/>
  <c r="J129" i="89"/>
  <c r="D131" i="91"/>
  <c r="G130" i="91"/>
  <c r="E131" i="91"/>
  <c r="I139" i="69"/>
  <c r="H139" i="69"/>
  <c r="H134" i="72"/>
  <c r="I134" i="72"/>
  <c r="H138" i="32"/>
  <c r="I138" i="32"/>
  <c r="I139" i="30"/>
  <c r="H139" i="30"/>
  <c r="B137" i="43"/>
  <c r="F137" i="43"/>
  <c r="B134" i="61"/>
  <c r="F134" i="61"/>
  <c r="I129" i="88"/>
  <c r="H129" i="88"/>
  <c r="B132" i="79"/>
  <c r="F132" i="79"/>
  <c r="B136" i="74"/>
  <c r="F136" i="74"/>
  <c r="H137" i="20"/>
  <c r="I137" i="20"/>
  <c r="F138" i="19"/>
  <c r="B138" i="19"/>
  <c r="I134" i="53"/>
  <c r="H134" i="53"/>
  <c r="I131" i="78"/>
  <c r="H131" i="78"/>
  <c r="B133" i="66"/>
  <c r="F133" i="66"/>
  <c r="G137" i="73"/>
  <c r="E138" i="73"/>
  <c r="D138" i="73"/>
  <c r="I132" i="68"/>
  <c r="H132" i="68"/>
  <c r="F140" i="29"/>
  <c r="B140" i="29"/>
  <c r="H134" i="46"/>
  <c r="I134" i="46"/>
  <c r="G130" i="89"/>
  <c r="E131" i="89"/>
  <c r="D131" i="89"/>
  <c r="I129" i="84"/>
  <c r="H129" i="84"/>
  <c r="B134" i="63"/>
  <c r="F134" i="63"/>
  <c r="F135" i="72"/>
  <c r="B135" i="72"/>
  <c r="B131" i="85"/>
  <c r="F131" i="85"/>
  <c r="B140" i="30"/>
  <c r="F140" i="30"/>
  <c r="F130" i="90"/>
  <c r="B130" i="90"/>
  <c r="B134" i="60"/>
  <c r="F134" i="60"/>
  <c r="B138" i="20"/>
  <c r="F138" i="20"/>
  <c r="J133" i="62"/>
  <c r="J135" i="56"/>
  <c r="F137" i="39"/>
  <c r="B137" i="39"/>
  <c r="B140" i="70"/>
  <c r="F140" i="70"/>
  <c r="H132" i="66"/>
  <c r="I132" i="66"/>
  <c r="H137" i="34"/>
  <c r="I137" i="34"/>
  <c r="H133" i="64"/>
  <c r="I133" i="64"/>
  <c r="I139" i="29"/>
  <c r="H139" i="29"/>
  <c r="B135" i="46"/>
  <c r="F135" i="46"/>
  <c r="J137" i="22"/>
  <c r="I133" i="65"/>
  <c r="H133" i="65"/>
  <c r="F135" i="58"/>
  <c r="B135" i="58"/>
  <c r="E137" i="45"/>
  <c r="G136" i="45"/>
  <c r="D137" i="45"/>
  <c r="F130" i="84"/>
  <c r="B130" i="84"/>
  <c r="F139" i="32"/>
  <c r="B139" i="32"/>
  <c r="D138" i="41"/>
  <c r="G137" i="41"/>
  <c r="E138" i="41"/>
  <c r="I136" i="43"/>
  <c r="H136" i="43"/>
  <c r="F140" i="27"/>
  <c r="B140" i="27"/>
  <c r="D139" i="22"/>
  <c r="E139" i="22"/>
  <c r="G138" i="22"/>
  <c r="I129" i="86"/>
  <c r="H129" i="86"/>
  <c r="H129" i="90"/>
  <c r="I129" i="90"/>
  <c r="I133" i="60"/>
  <c r="H133" i="60"/>
  <c r="H137" i="19"/>
  <c r="I137" i="19"/>
  <c r="J128" i="13"/>
  <c r="H136" i="39"/>
  <c r="I136" i="39"/>
  <c r="F132" i="78"/>
  <c r="B132" i="78"/>
  <c r="H139" i="70"/>
  <c r="I139" i="70"/>
  <c r="F138" i="34"/>
  <c r="B138" i="34"/>
  <c r="F133" i="68"/>
  <c r="B133" i="68"/>
  <c r="F134" i="64"/>
  <c r="B134" i="64"/>
  <c r="H138" i="31"/>
  <c r="I138" i="31"/>
  <c r="F130" i="92"/>
  <c r="B130" i="92"/>
  <c r="H134" i="58"/>
  <c r="I134" i="58"/>
  <c r="D135" i="62"/>
  <c r="G134" i="62"/>
  <c r="E135" i="62"/>
  <c r="D132" i="81"/>
  <c r="E132" i="81"/>
  <c r="G131" i="81"/>
  <c r="F140" i="69"/>
  <c r="B140" i="69"/>
  <c r="I133" i="63"/>
  <c r="H133" i="63"/>
  <c r="H130" i="85"/>
  <c r="I130" i="85"/>
  <c r="I139" i="27"/>
  <c r="H139" i="27"/>
  <c r="J135" i="45"/>
  <c r="H133" i="61"/>
  <c r="I133" i="61"/>
  <c r="F130" i="88"/>
  <c r="B130" i="88"/>
  <c r="B130" i="86"/>
  <c r="F130" i="86"/>
  <c r="I131" i="79"/>
  <c r="H131" i="79"/>
  <c r="H135" i="74"/>
  <c r="I135" i="74"/>
  <c r="B135" i="53"/>
  <c r="F135" i="53"/>
  <c r="J136" i="42"/>
  <c r="H134" i="59"/>
  <c r="I134" i="59"/>
  <c r="H138" i="18"/>
  <c r="I138" i="18"/>
  <c r="F135" i="59"/>
  <c r="B135" i="59"/>
  <c r="D137" i="56"/>
  <c r="E137" i="56"/>
  <c r="G136" i="56"/>
  <c r="J131" i="76"/>
  <c r="B139" i="18"/>
  <c r="F139" i="18"/>
  <c r="F140" i="23"/>
  <c r="B140" i="23"/>
  <c r="H139" i="23"/>
  <c r="I139" i="23"/>
  <c r="I139" i="71"/>
  <c r="H139" i="71"/>
  <c r="F140" i="71"/>
  <c r="B140" i="71"/>
  <c r="B136" i="57"/>
  <c r="F136" i="57"/>
  <c r="H135" i="57"/>
  <c r="I135" i="57"/>
  <c r="H129" i="96"/>
  <c r="I129" i="96"/>
  <c r="B131" i="94"/>
  <c r="B137" i="44"/>
  <c r="F137" i="44"/>
  <c r="I137" i="3"/>
  <c r="H137" i="3"/>
  <c r="G131" i="83"/>
  <c r="D132" i="83"/>
  <c r="E132" i="83"/>
  <c r="H132" i="67"/>
  <c r="I132" i="67"/>
  <c r="J130" i="80"/>
  <c r="J155" i="80" s="1"/>
  <c r="J138" i="24"/>
  <c r="E133" i="77"/>
  <c r="D133" i="77"/>
  <c r="G132" i="77"/>
  <c r="F131" i="95"/>
  <c r="B131" i="95"/>
  <c r="J128" i="33"/>
  <c r="F138" i="3"/>
  <c r="B138" i="3"/>
  <c r="F133" i="67"/>
  <c r="B133" i="67"/>
  <c r="E140" i="24"/>
  <c r="G139" i="24"/>
  <c r="D140" i="24"/>
  <c r="F130" i="96"/>
  <c r="B130" i="96"/>
  <c r="G137" i="42"/>
  <c r="D138" i="42"/>
  <c r="E138" i="42"/>
  <c r="I138" i="17"/>
  <c r="H138" i="17"/>
  <c r="I140" i="28"/>
  <c r="H140" i="28"/>
  <c r="J134" i="55"/>
  <c r="I130" i="94"/>
  <c r="H130" i="94"/>
  <c r="I129" i="87"/>
  <c r="H129" i="87"/>
  <c r="J129" i="93"/>
  <c r="J134" i="54"/>
  <c r="G131" i="80"/>
  <c r="D132" i="80"/>
  <c r="E132" i="80"/>
  <c r="B131" i="82"/>
  <c r="F131" i="82"/>
  <c r="J130" i="83"/>
  <c r="J155" i="83" s="1"/>
  <c r="H130" i="95"/>
  <c r="I130" i="95"/>
  <c r="D131" i="93"/>
  <c r="E131" i="93" s="1"/>
  <c r="G130" i="93"/>
  <c r="E136" i="54"/>
  <c r="D136" i="54"/>
  <c r="G135" i="54"/>
  <c r="G129" i="33"/>
  <c r="D130" i="33"/>
  <c r="E130" i="33" s="1"/>
  <c r="F139" i="17"/>
  <c r="B139" i="17"/>
  <c r="G129" i="13"/>
  <c r="D130" i="13"/>
  <c r="E130" i="13" s="1"/>
  <c r="B141" i="28"/>
  <c r="F141" i="28"/>
  <c r="G132" i="76"/>
  <c r="D133" i="76"/>
  <c r="E133" i="76"/>
  <c r="E131" i="94"/>
  <c r="F131" i="94" s="1"/>
  <c r="F130" i="87"/>
  <c r="B130" i="87"/>
  <c r="G132" i="75"/>
  <c r="D133" i="75"/>
  <c r="E133" i="75"/>
  <c r="H136" i="44"/>
  <c r="I136" i="44"/>
  <c r="H130" i="82"/>
  <c r="I130" i="82"/>
  <c r="E136" i="55"/>
  <c r="D136" i="55"/>
  <c r="G135" i="55"/>
  <c r="D139" i="21"/>
  <c r="E139" i="21"/>
  <c r="G138" i="21"/>
  <c r="G61" i="100" l="1"/>
  <c r="I61" i="100" s="1"/>
  <c r="D62" i="100"/>
  <c r="G132" i="100"/>
  <c r="D133" i="100"/>
  <c r="E133" i="100"/>
  <c r="I131" i="100"/>
  <c r="H131" i="100"/>
  <c r="E50" i="25"/>
  <c r="F50" i="25" s="1"/>
  <c r="B50" i="25"/>
  <c r="I49" i="25"/>
  <c r="I129" i="25"/>
  <c r="H129" i="25"/>
  <c r="E130" i="25"/>
  <c r="F130" i="25" s="1"/>
  <c r="B130" i="25"/>
  <c r="H49" i="98"/>
  <c r="I49" i="98" s="1"/>
  <c r="I54" i="99"/>
  <c r="I61" i="97"/>
  <c r="G55" i="99"/>
  <c r="E56" i="99"/>
  <c r="F56" i="99" s="1"/>
  <c r="B56" i="99"/>
  <c r="E63" i="97"/>
  <c r="F63" i="97" s="1"/>
  <c r="D64" i="97" s="1"/>
  <c r="B63" i="97"/>
  <c r="D50" i="98"/>
  <c r="E50" i="98"/>
  <c r="H55" i="99"/>
  <c r="B62" i="97"/>
  <c r="G62" i="97"/>
  <c r="H62" i="97"/>
  <c r="J129" i="98"/>
  <c r="I129" i="99"/>
  <c r="H129" i="99"/>
  <c r="F130" i="99"/>
  <c r="B130" i="99"/>
  <c r="H49" i="93"/>
  <c r="I49" i="93" s="1"/>
  <c r="I130" i="26"/>
  <c r="H130" i="26"/>
  <c r="E131" i="26"/>
  <c r="F131" i="26" s="1"/>
  <c r="B131" i="26"/>
  <c r="H61" i="69"/>
  <c r="I61" i="69" s="1"/>
  <c r="H55" i="53"/>
  <c r="I55" i="53" s="1"/>
  <c r="I53" i="65"/>
  <c r="D131" i="98"/>
  <c r="G130" i="98"/>
  <c r="E131" i="98"/>
  <c r="J129" i="97"/>
  <c r="G130" i="97"/>
  <c r="D131" i="97"/>
  <c r="E131" i="97"/>
  <c r="H51" i="84"/>
  <c r="I51" i="84" s="1"/>
  <c r="I51" i="86"/>
  <c r="G54" i="67"/>
  <c r="I54" i="67" s="1"/>
  <c r="D55" i="67"/>
  <c r="E55" i="67" s="1"/>
  <c r="H55" i="46"/>
  <c r="I55" i="46" s="1"/>
  <c r="D56" i="46"/>
  <c r="E56" i="46" s="1"/>
  <c r="H57" i="44"/>
  <c r="I57" i="44" s="1"/>
  <c r="I59" i="30"/>
  <c r="H59" i="24"/>
  <c r="I59" i="24" s="1"/>
  <c r="D60" i="24"/>
  <c r="I56" i="58"/>
  <c r="B52" i="86"/>
  <c r="F52" i="86"/>
  <c r="I52" i="82"/>
  <c r="I57" i="42"/>
  <c r="D53" i="80"/>
  <c r="E53" i="80" s="1"/>
  <c r="B53" i="82"/>
  <c r="F53" i="82"/>
  <c r="G53" i="82" s="1"/>
  <c r="I60" i="29"/>
  <c r="D50" i="93"/>
  <c r="E50" i="93" s="1"/>
  <c r="G50" i="94"/>
  <c r="I50" i="94" s="1"/>
  <c r="D51" i="94"/>
  <c r="E51" i="94" s="1"/>
  <c r="H52" i="80"/>
  <c r="G52" i="80"/>
  <c r="F57" i="58"/>
  <c r="G57" i="58" s="1"/>
  <c r="B57" i="58"/>
  <c r="D61" i="23"/>
  <c r="H60" i="23"/>
  <c r="G60" i="23"/>
  <c r="H57" i="74"/>
  <c r="I57" i="74" s="1"/>
  <c r="H50" i="89"/>
  <c r="I50" i="89" s="1"/>
  <c r="G55" i="57"/>
  <c r="I55" i="57" s="1"/>
  <c r="I51" i="85"/>
  <c r="B57" i="55"/>
  <c r="F57" i="55"/>
  <c r="G57" i="55" s="1"/>
  <c r="G52" i="90"/>
  <c r="I52" i="90" s="1"/>
  <c r="D53" i="90"/>
  <c r="E53" i="90"/>
  <c r="D52" i="84"/>
  <c r="E52" i="84" s="1"/>
  <c r="F58" i="42"/>
  <c r="G58" i="42" s="1"/>
  <c r="B58" i="42"/>
  <c r="H58" i="21"/>
  <c r="I58" i="21" s="1"/>
  <c r="G54" i="61"/>
  <c r="I54" i="61" s="1"/>
  <c r="B53" i="75"/>
  <c r="F53" i="75"/>
  <c r="D56" i="53"/>
  <c r="E56" i="53" s="1"/>
  <c r="G51" i="91"/>
  <c r="I51" i="91" s="1"/>
  <c r="D52" i="91"/>
  <c r="E52" i="91" s="1"/>
  <c r="F54" i="65"/>
  <c r="G54" i="65" s="1"/>
  <c r="B54" i="65"/>
  <c r="H54" i="66"/>
  <c r="I54" i="66" s="1"/>
  <c r="D55" i="66"/>
  <c r="E55" i="66" s="1"/>
  <c r="H58" i="22"/>
  <c r="D59" i="22"/>
  <c r="G58" i="22"/>
  <c r="I49" i="95"/>
  <c r="B58" i="39"/>
  <c r="F58" i="39"/>
  <c r="H58" i="39" s="1"/>
  <c r="H51" i="81"/>
  <c r="I51" i="81" s="1"/>
  <c r="D52" i="81"/>
  <c r="E52" i="81" s="1"/>
  <c r="D58" i="44"/>
  <c r="E58" i="44" s="1"/>
  <c r="G60" i="27"/>
  <c r="D61" i="27"/>
  <c r="E61" i="27" s="1"/>
  <c r="H60" i="27"/>
  <c r="H49" i="96"/>
  <c r="I49" i="96" s="1"/>
  <c r="E50" i="96"/>
  <c r="D50" i="96"/>
  <c r="F56" i="72"/>
  <c r="H56" i="72" s="1"/>
  <c r="B56" i="72"/>
  <c r="B50" i="95"/>
  <c r="F50" i="95"/>
  <c r="G50" i="95" s="1"/>
  <c r="D55" i="61"/>
  <c r="E55" i="61" s="1"/>
  <c r="B52" i="85"/>
  <c r="F52" i="85"/>
  <c r="H52" i="85" s="1"/>
  <c r="H52" i="76"/>
  <c r="I52" i="76" s="1"/>
  <c r="D53" i="76"/>
  <c r="E53" i="76" s="1"/>
  <c r="I58" i="17"/>
  <c r="D60" i="3"/>
  <c r="G59" i="3"/>
  <c r="H59" i="3"/>
  <c r="D60" i="17"/>
  <c r="G59" i="17"/>
  <c r="H59" i="17"/>
  <c r="H60" i="30"/>
  <c r="D61" i="30"/>
  <c r="G60" i="30"/>
  <c r="H50" i="92"/>
  <c r="D51" i="92"/>
  <c r="E51" i="92" s="1"/>
  <c r="D58" i="73"/>
  <c r="E58" i="73" s="1"/>
  <c r="H57" i="73"/>
  <c r="G57" i="73"/>
  <c r="B60" i="34"/>
  <c r="G62" i="28"/>
  <c r="G50" i="92"/>
  <c r="H52" i="77"/>
  <c r="I52" i="77" s="1"/>
  <c r="D53" i="77"/>
  <c r="E53" i="77" s="1"/>
  <c r="D58" i="74"/>
  <c r="E58" i="74" s="1"/>
  <c r="D59" i="21"/>
  <c r="E59" i="21" s="1"/>
  <c r="I58" i="3"/>
  <c r="D62" i="69"/>
  <c r="E62" i="69" s="1"/>
  <c r="F62" i="69" s="1"/>
  <c r="I50" i="83"/>
  <c r="D56" i="54"/>
  <c r="E56" i="54" s="1"/>
  <c r="F55" i="56"/>
  <c r="G55" i="56" s="1"/>
  <c r="B55" i="56"/>
  <c r="H54" i="63"/>
  <c r="I54" i="63" s="1"/>
  <c r="E60" i="34"/>
  <c r="F60" i="34" s="1"/>
  <c r="E62" i="71"/>
  <c r="F62" i="71" s="1"/>
  <c r="B62" i="71"/>
  <c r="E63" i="28"/>
  <c r="F63" i="28" s="1"/>
  <c r="B63" i="28"/>
  <c r="H58" i="43"/>
  <c r="D59" i="43"/>
  <c r="D62" i="31"/>
  <c r="B61" i="29"/>
  <c r="G54" i="59"/>
  <c r="I54" i="59" s="1"/>
  <c r="H62" i="28"/>
  <c r="I60" i="71"/>
  <c r="B55" i="64"/>
  <c r="F55" i="64"/>
  <c r="G55" i="64" s="1"/>
  <c r="D51" i="89"/>
  <c r="E51" i="89" s="1"/>
  <c r="G52" i="78"/>
  <c r="I52" i="78" s="1"/>
  <c r="D53" i="78"/>
  <c r="E53" i="78" s="1"/>
  <c r="G58" i="43"/>
  <c r="B54" i="68"/>
  <c r="F54" i="68"/>
  <c r="G54" i="68" s="1"/>
  <c r="H55" i="54"/>
  <c r="I55" i="54" s="1"/>
  <c r="B59" i="19"/>
  <c r="F59" i="19"/>
  <c r="H59" i="19" s="1"/>
  <c r="D56" i="57"/>
  <c r="E56" i="57" s="1"/>
  <c r="I60" i="70"/>
  <c r="B61" i="71"/>
  <c r="H61" i="71"/>
  <c r="G61" i="71"/>
  <c r="B52" i="88"/>
  <c r="F52" i="88"/>
  <c r="G52" i="88" s="1"/>
  <c r="I59" i="32"/>
  <c r="I59" i="34"/>
  <c r="H58" i="41"/>
  <c r="I58" i="41" s="1"/>
  <c r="D59" i="41"/>
  <c r="E59" i="41" s="1"/>
  <c r="I53" i="68"/>
  <c r="H54" i="60"/>
  <c r="I54" i="60" s="1"/>
  <c r="D55" i="60"/>
  <c r="E55" i="60" s="1"/>
  <c r="H52" i="79"/>
  <c r="I52" i="79" s="1"/>
  <c r="D53" i="79"/>
  <c r="E53" i="79" s="1"/>
  <c r="D55" i="63"/>
  <c r="E55" i="63" s="1"/>
  <c r="G61" i="31"/>
  <c r="I61" i="31" s="1"/>
  <c r="B57" i="45"/>
  <c r="F57" i="45"/>
  <c r="G57" i="45" s="1"/>
  <c r="B51" i="83"/>
  <c r="F51" i="83"/>
  <c r="E61" i="29"/>
  <c r="F61" i="29" s="1"/>
  <c r="D62" i="29" s="1"/>
  <c r="G60" i="32"/>
  <c r="I60" i="32" s="1"/>
  <c r="D61" i="32"/>
  <c r="E61" i="70"/>
  <c r="F61" i="70" s="1"/>
  <c r="B61" i="70"/>
  <c r="J140" i="28"/>
  <c r="J137" i="20"/>
  <c r="J134" i="59"/>
  <c r="J137" i="34"/>
  <c r="J129" i="84"/>
  <c r="J134" i="72"/>
  <c r="J129" i="92"/>
  <c r="J131" i="78"/>
  <c r="J134" i="46"/>
  <c r="J136" i="43"/>
  <c r="J133" i="64"/>
  <c r="J129" i="88"/>
  <c r="J137" i="19"/>
  <c r="J132" i="66"/>
  <c r="J139" i="69"/>
  <c r="J138" i="18"/>
  <c r="J129" i="90"/>
  <c r="B51" i="26"/>
  <c r="F51" i="26"/>
  <c r="G51" i="26" s="1"/>
  <c r="B58" i="20"/>
  <c r="F58" i="20"/>
  <c r="G58" i="20" s="1"/>
  <c r="B50" i="13"/>
  <c r="J130" i="82"/>
  <c r="J155" i="82" s="1"/>
  <c r="D60" i="18"/>
  <c r="E60" i="18" s="1"/>
  <c r="B51" i="87"/>
  <c r="F51" i="87"/>
  <c r="G51" i="87" s="1"/>
  <c r="J135" i="74"/>
  <c r="J133" i="61"/>
  <c r="J139" i="27"/>
  <c r="J133" i="63"/>
  <c r="G59" i="18"/>
  <c r="I59" i="18" s="1"/>
  <c r="B52" i="33"/>
  <c r="F52" i="33"/>
  <c r="H52" i="33" s="1"/>
  <c r="F54" i="62"/>
  <c r="G54" i="62" s="1"/>
  <c r="B54" i="62"/>
  <c r="D55" i="59"/>
  <c r="E55" i="59" s="1"/>
  <c r="E50" i="13"/>
  <c r="F50" i="13" s="1"/>
  <c r="G135" i="53"/>
  <c r="E136" i="53"/>
  <c r="D136" i="53"/>
  <c r="G140" i="69"/>
  <c r="E141" i="69"/>
  <c r="D141" i="69"/>
  <c r="E134" i="68"/>
  <c r="D134" i="68"/>
  <c r="G133" i="68"/>
  <c r="F139" i="22"/>
  <c r="B139" i="22"/>
  <c r="F137" i="45"/>
  <c r="B137" i="45"/>
  <c r="E136" i="58"/>
  <c r="D136" i="58"/>
  <c r="G135" i="58"/>
  <c r="E136" i="46"/>
  <c r="D136" i="46"/>
  <c r="G135" i="46"/>
  <c r="D136" i="72"/>
  <c r="E136" i="72"/>
  <c r="G135" i="72"/>
  <c r="H137" i="73"/>
  <c r="I137" i="73"/>
  <c r="D139" i="19"/>
  <c r="E139" i="19"/>
  <c r="G138" i="19"/>
  <c r="J139" i="23"/>
  <c r="J131" i="79"/>
  <c r="D131" i="88"/>
  <c r="E131" i="88"/>
  <c r="G130" i="88"/>
  <c r="I131" i="81"/>
  <c r="H131" i="81"/>
  <c r="I134" i="62"/>
  <c r="H134" i="62"/>
  <c r="J133" i="60"/>
  <c r="J129" i="86"/>
  <c r="D140" i="32"/>
  <c r="E140" i="32" s="1"/>
  <c r="G139" i="32"/>
  <c r="H136" i="45"/>
  <c r="I136" i="45"/>
  <c r="E138" i="39"/>
  <c r="G137" i="39"/>
  <c r="D138" i="39"/>
  <c r="E139" i="20"/>
  <c r="G138" i="20"/>
  <c r="D139" i="20"/>
  <c r="G131" i="85"/>
  <c r="D132" i="85"/>
  <c r="E132" i="85"/>
  <c r="E135" i="63"/>
  <c r="D135" i="63"/>
  <c r="G134" i="63"/>
  <c r="B131" i="89"/>
  <c r="F131" i="89"/>
  <c r="J132" i="68"/>
  <c r="E134" i="66"/>
  <c r="D134" i="66"/>
  <c r="G133" i="66"/>
  <c r="E133" i="79"/>
  <c r="G132" i="79"/>
  <c r="D133" i="79"/>
  <c r="G134" i="61"/>
  <c r="D135" i="61"/>
  <c r="E135" i="61"/>
  <c r="D131" i="86"/>
  <c r="G130" i="86"/>
  <c r="E131" i="86"/>
  <c r="B135" i="62"/>
  <c r="F135" i="62"/>
  <c r="D131" i="92"/>
  <c r="G130" i="92"/>
  <c r="E131" i="92"/>
  <c r="E135" i="64"/>
  <c r="D135" i="64"/>
  <c r="G134" i="64"/>
  <c r="E139" i="34"/>
  <c r="D139" i="34"/>
  <c r="G138" i="34"/>
  <c r="G132" i="78"/>
  <c r="E133" i="78"/>
  <c r="D133" i="78"/>
  <c r="H138" i="22"/>
  <c r="I138" i="22"/>
  <c r="G140" i="27"/>
  <c r="D141" i="27"/>
  <c r="E141" i="27" s="1"/>
  <c r="I137" i="41"/>
  <c r="H137" i="41"/>
  <c r="J133" i="65"/>
  <c r="G140" i="70"/>
  <c r="E141" i="70"/>
  <c r="D141" i="70"/>
  <c r="E131" i="90"/>
  <c r="D131" i="90"/>
  <c r="G130" i="90"/>
  <c r="F138" i="73"/>
  <c r="B138" i="73"/>
  <c r="J134" i="53"/>
  <c r="J139" i="30"/>
  <c r="H130" i="91"/>
  <c r="I130" i="91"/>
  <c r="J130" i="85"/>
  <c r="J155" i="85" s="1"/>
  <c r="F132" i="81"/>
  <c r="B132" i="81"/>
  <c r="J134" i="58"/>
  <c r="J138" i="31"/>
  <c r="J139" i="70"/>
  <c r="J136" i="39"/>
  <c r="F138" i="41"/>
  <c r="B138" i="41"/>
  <c r="D131" i="84"/>
  <c r="E131" i="84"/>
  <c r="G130" i="84"/>
  <c r="J139" i="29"/>
  <c r="D135" i="60"/>
  <c r="E135" i="60"/>
  <c r="G134" i="60"/>
  <c r="D141" i="30"/>
  <c r="E141" i="30" s="1"/>
  <c r="G140" i="30"/>
  <c r="H130" i="89"/>
  <c r="I130" i="89"/>
  <c r="D141" i="29"/>
  <c r="E141" i="29" s="1"/>
  <c r="G140" i="29"/>
  <c r="G136" i="74"/>
  <c r="E137" i="74"/>
  <c r="D137" i="74"/>
  <c r="G137" i="43"/>
  <c r="E138" i="43"/>
  <c r="D138" i="43"/>
  <c r="J138" i="32"/>
  <c r="F131" i="91"/>
  <c r="B131" i="91"/>
  <c r="G134" i="65"/>
  <c r="D135" i="65"/>
  <c r="E135" i="65"/>
  <c r="E140" i="31"/>
  <c r="G139" i="31"/>
  <c r="D140" i="31"/>
  <c r="H136" i="56"/>
  <c r="I136" i="56"/>
  <c r="D141" i="23"/>
  <c r="E141" i="23" s="1"/>
  <c r="G140" i="23"/>
  <c r="G139" i="18"/>
  <c r="D140" i="18"/>
  <c r="E140" i="18" s="1"/>
  <c r="J137" i="3"/>
  <c r="F137" i="56"/>
  <c r="B137" i="56"/>
  <c r="E136" i="59"/>
  <c r="D136" i="59"/>
  <c r="G135" i="59"/>
  <c r="J136" i="44"/>
  <c r="J138" i="17"/>
  <c r="E141" i="71"/>
  <c r="G140" i="71"/>
  <c r="D141" i="71"/>
  <c r="J135" i="57"/>
  <c r="J139" i="71"/>
  <c r="J129" i="87"/>
  <c r="D137" i="57"/>
  <c r="G136" i="57"/>
  <c r="E137" i="57"/>
  <c r="G131" i="94"/>
  <c r="D132" i="94"/>
  <c r="I135" i="55"/>
  <c r="H135" i="55"/>
  <c r="H132" i="75"/>
  <c r="I132" i="75"/>
  <c r="B133" i="76"/>
  <c r="F133" i="76"/>
  <c r="F131" i="93"/>
  <c r="B131" i="93"/>
  <c r="B132" i="80"/>
  <c r="F132" i="80"/>
  <c r="J130" i="94"/>
  <c r="J155" i="94" s="1"/>
  <c r="G130" i="96"/>
  <c r="D131" i="96"/>
  <c r="E131" i="96" s="1"/>
  <c r="G138" i="3"/>
  <c r="D139" i="3"/>
  <c r="E139" i="3"/>
  <c r="G131" i="95"/>
  <c r="D132" i="95"/>
  <c r="E132" i="95" s="1"/>
  <c r="H132" i="77"/>
  <c r="I132" i="77"/>
  <c r="B132" i="83"/>
  <c r="F132" i="83"/>
  <c r="J129" i="96"/>
  <c r="B130" i="13"/>
  <c r="F130" i="13"/>
  <c r="B136" i="55"/>
  <c r="F136" i="55"/>
  <c r="H138" i="21"/>
  <c r="I138" i="21"/>
  <c r="D131" i="87"/>
  <c r="G130" i="87"/>
  <c r="E131" i="87"/>
  <c r="I132" i="76"/>
  <c r="H132" i="76"/>
  <c r="D142" i="28"/>
  <c r="G141" i="28"/>
  <c r="E142" i="28"/>
  <c r="I129" i="13"/>
  <c r="H129" i="13"/>
  <c r="F130" i="33"/>
  <c r="B130" i="33"/>
  <c r="J130" i="95"/>
  <c r="J155" i="95" s="1"/>
  <c r="G131" i="82"/>
  <c r="D132" i="82"/>
  <c r="E132" i="82"/>
  <c r="I131" i="80"/>
  <c r="H131" i="80"/>
  <c r="F138" i="42"/>
  <c r="B138" i="42"/>
  <c r="F140" i="24"/>
  <c r="B140" i="24"/>
  <c r="F133" i="77"/>
  <c r="B133" i="77"/>
  <c r="H131" i="83"/>
  <c r="I131" i="83"/>
  <c r="F133" i="75"/>
  <c r="B133" i="75"/>
  <c r="I129" i="33"/>
  <c r="H129" i="33"/>
  <c r="I135" i="54"/>
  <c r="H135" i="54"/>
  <c r="H130" i="93"/>
  <c r="I130" i="93"/>
  <c r="H137" i="42"/>
  <c r="I137" i="42"/>
  <c r="I139" i="24"/>
  <c r="H139" i="24"/>
  <c r="D138" i="44"/>
  <c r="G137" i="44"/>
  <c r="E138" i="44"/>
  <c r="F139" i="21"/>
  <c r="B139" i="21"/>
  <c r="G139" i="17"/>
  <c r="D140" i="17"/>
  <c r="E140" i="17" s="1"/>
  <c r="F136" i="54"/>
  <c r="B136" i="54"/>
  <c r="G133" i="67"/>
  <c r="D134" i="67"/>
  <c r="E134" i="67"/>
  <c r="J132" i="67"/>
  <c r="E62" i="100" l="1"/>
  <c r="F62" i="100" s="1"/>
  <c r="H62" i="100" s="1"/>
  <c r="B62" i="100"/>
  <c r="F133" i="100"/>
  <c r="B133" i="100"/>
  <c r="H132" i="100"/>
  <c r="I132" i="100"/>
  <c r="H50" i="25"/>
  <c r="D51" i="25"/>
  <c r="B51" i="25" s="1"/>
  <c r="G50" i="25"/>
  <c r="G63" i="97"/>
  <c r="D131" i="25"/>
  <c r="G130" i="25"/>
  <c r="J129" i="25"/>
  <c r="I55" i="99"/>
  <c r="I62" i="97"/>
  <c r="D57" i="99"/>
  <c r="G56" i="99"/>
  <c r="H56" i="99"/>
  <c r="E64" i="97"/>
  <c r="F64" i="97" s="1"/>
  <c r="B64" i="97"/>
  <c r="B50" i="98"/>
  <c r="F50" i="98"/>
  <c r="G50" i="98" s="1"/>
  <c r="H63" i="97"/>
  <c r="D131" i="99"/>
  <c r="G130" i="99"/>
  <c r="E131" i="99"/>
  <c r="J129" i="99"/>
  <c r="G131" i="26"/>
  <c r="D132" i="26"/>
  <c r="J130" i="26"/>
  <c r="I58" i="43"/>
  <c r="B131" i="97"/>
  <c r="F131" i="97"/>
  <c r="H130" i="98"/>
  <c r="I130" i="98"/>
  <c r="H130" i="97"/>
  <c r="I130" i="97"/>
  <c r="B131" i="98"/>
  <c r="F131" i="98"/>
  <c r="B55" i="67"/>
  <c r="F55" i="67"/>
  <c r="H55" i="67" s="1"/>
  <c r="F56" i="46"/>
  <c r="G56" i="46" s="1"/>
  <c r="B56" i="46"/>
  <c r="E60" i="24"/>
  <c r="F60" i="24" s="1"/>
  <c r="G60" i="24" s="1"/>
  <c r="B60" i="24"/>
  <c r="G52" i="33"/>
  <c r="I52" i="33" s="1"/>
  <c r="G58" i="39"/>
  <c r="I58" i="39" s="1"/>
  <c r="B53" i="80"/>
  <c r="F53" i="80"/>
  <c r="G53" i="80" s="1"/>
  <c r="I60" i="23"/>
  <c r="I52" i="80"/>
  <c r="H53" i="82"/>
  <c r="I53" i="82" s="1"/>
  <c r="D54" i="82"/>
  <c r="E54" i="82" s="1"/>
  <c r="B51" i="94"/>
  <c r="F51" i="94"/>
  <c r="H51" i="94" s="1"/>
  <c r="B50" i="93"/>
  <c r="F50" i="93"/>
  <c r="G50" i="93" s="1"/>
  <c r="G52" i="86"/>
  <c r="D53" i="86"/>
  <c r="E53" i="86" s="1"/>
  <c r="H52" i="86"/>
  <c r="B52" i="84"/>
  <c r="F52" i="84"/>
  <c r="H52" i="84" s="1"/>
  <c r="G56" i="72"/>
  <c r="I56" i="72" s="1"/>
  <c r="B56" i="53"/>
  <c r="F56" i="53"/>
  <c r="H57" i="55"/>
  <c r="I57" i="55" s="1"/>
  <c r="D58" i="55"/>
  <c r="E58" i="55" s="1"/>
  <c r="E61" i="23"/>
  <c r="F61" i="23" s="1"/>
  <c r="H61" i="23" s="1"/>
  <c r="B61" i="23"/>
  <c r="H57" i="58"/>
  <c r="I57" i="58" s="1"/>
  <c r="D58" i="58"/>
  <c r="E58" i="58" s="1"/>
  <c r="D55" i="65"/>
  <c r="E55" i="65" s="1"/>
  <c r="H54" i="65"/>
  <c r="I54" i="65" s="1"/>
  <c r="H58" i="42"/>
  <c r="I58" i="42" s="1"/>
  <c r="D59" i="42"/>
  <c r="E59" i="42" s="1"/>
  <c r="F59" i="42" s="1"/>
  <c r="B53" i="90"/>
  <c r="F53" i="90"/>
  <c r="G53" i="75"/>
  <c r="D54" i="75"/>
  <c r="E54" i="75" s="1"/>
  <c r="I58" i="22"/>
  <c r="B55" i="66"/>
  <c r="F55" i="66"/>
  <c r="G55" i="66" s="1"/>
  <c r="F52" i="91"/>
  <c r="B52" i="91"/>
  <c r="H53" i="75"/>
  <c r="H62" i="71"/>
  <c r="G62" i="71"/>
  <c r="H54" i="68"/>
  <c r="I54" i="68" s="1"/>
  <c r="F50" i="96"/>
  <c r="G50" i="96" s="1"/>
  <c r="B50" i="96"/>
  <c r="F58" i="44"/>
  <c r="H58" i="44" s="1"/>
  <c r="B58" i="44"/>
  <c r="H58" i="20"/>
  <c r="I58" i="20" s="1"/>
  <c r="H55" i="64"/>
  <c r="I55" i="64" s="1"/>
  <c r="H61" i="29"/>
  <c r="F53" i="76"/>
  <c r="H53" i="76" s="1"/>
  <c r="B53" i="76"/>
  <c r="G52" i="85"/>
  <c r="I52" i="85" s="1"/>
  <c r="D53" i="85"/>
  <c r="E53" i="85" s="1"/>
  <c r="F55" i="61"/>
  <c r="G55" i="61" s="1"/>
  <c r="B55" i="61"/>
  <c r="I60" i="27"/>
  <c r="B52" i="81"/>
  <c r="F52" i="81"/>
  <c r="H52" i="81" s="1"/>
  <c r="E59" i="22"/>
  <c r="F59" i="22" s="1"/>
  <c r="H59" i="22" s="1"/>
  <c r="B59" i="22"/>
  <c r="H50" i="95"/>
  <c r="I50" i="95" s="1"/>
  <c r="D51" i="95"/>
  <c r="E51" i="95" s="1"/>
  <c r="D57" i="72"/>
  <c r="E57" i="72" s="1"/>
  <c r="F61" i="27"/>
  <c r="G61" i="27" s="1"/>
  <c r="B61" i="27"/>
  <c r="D59" i="39"/>
  <c r="I50" i="92"/>
  <c r="I60" i="30"/>
  <c r="I59" i="17"/>
  <c r="I59" i="3"/>
  <c r="I62" i="28"/>
  <c r="G60" i="34"/>
  <c r="D61" i="34"/>
  <c r="E61" i="34" s="1"/>
  <c r="H60" i="34"/>
  <c r="H61" i="70"/>
  <c r="D62" i="70"/>
  <c r="G61" i="70"/>
  <c r="D52" i="83"/>
  <c r="E52" i="83" s="1"/>
  <c r="B62" i="31"/>
  <c r="B59" i="21"/>
  <c r="F59" i="21"/>
  <c r="G59" i="21" s="1"/>
  <c r="B61" i="30"/>
  <c r="E61" i="32"/>
  <c r="F61" i="32" s="1"/>
  <c r="B61" i="32"/>
  <c r="H57" i="45"/>
  <c r="I57" i="45" s="1"/>
  <c r="D58" i="45"/>
  <c r="E58" i="45" s="1"/>
  <c r="F55" i="63"/>
  <c r="G55" i="63" s="1"/>
  <c r="B55" i="63"/>
  <c r="B53" i="78"/>
  <c r="F53" i="78"/>
  <c r="G53" i="78" s="1"/>
  <c r="G61" i="29"/>
  <c r="B59" i="43"/>
  <c r="G63" i="28"/>
  <c r="D64" i="28"/>
  <c r="F58" i="74"/>
  <c r="G58" i="74" s="1"/>
  <c r="B58" i="74"/>
  <c r="I57" i="73"/>
  <c r="G51" i="83"/>
  <c r="B55" i="60"/>
  <c r="F55" i="60"/>
  <c r="G55" i="60" s="1"/>
  <c r="B59" i="41"/>
  <c r="F59" i="41"/>
  <c r="H59" i="41" s="1"/>
  <c r="H52" i="88"/>
  <c r="I52" i="88" s="1"/>
  <c r="D53" i="88"/>
  <c r="E53" i="88" s="1"/>
  <c r="B56" i="57"/>
  <c r="F56" i="57"/>
  <c r="G56" i="57" s="1"/>
  <c r="D60" i="19"/>
  <c r="E60" i="19" s="1"/>
  <c r="D56" i="64"/>
  <c r="E56" i="64" s="1"/>
  <c r="E59" i="43"/>
  <c r="F59" i="43" s="1"/>
  <c r="E56" i="56"/>
  <c r="D56" i="56"/>
  <c r="D63" i="69"/>
  <c r="E63" i="69" s="1"/>
  <c r="F58" i="73"/>
  <c r="D59" i="73" s="1"/>
  <c r="E59" i="73" s="1"/>
  <c r="B58" i="73"/>
  <c r="F51" i="92"/>
  <c r="G51" i="92" s="1"/>
  <c r="B51" i="92"/>
  <c r="E60" i="17"/>
  <c r="F60" i="17" s="1"/>
  <c r="C69" i="17"/>
  <c r="B60" i="17"/>
  <c r="F56" i="54"/>
  <c r="B56" i="54"/>
  <c r="E62" i="29"/>
  <c r="F62" i="29" s="1"/>
  <c r="D63" i="29" s="1"/>
  <c r="B62" i="29"/>
  <c r="H51" i="83"/>
  <c r="B53" i="79"/>
  <c r="F53" i="79"/>
  <c r="H53" i="79" s="1"/>
  <c r="I61" i="71"/>
  <c r="G59" i="19"/>
  <c r="I59" i="19" s="1"/>
  <c r="D55" i="68"/>
  <c r="E55" i="68"/>
  <c r="B51" i="89"/>
  <c r="F51" i="89"/>
  <c r="E62" i="31"/>
  <c r="F62" i="31" s="1"/>
  <c r="G62" i="31" s="1"/>
  <c r="H63" i="28"/>
  <c r="D63" i="71"/>
  <c r="E63" i="71" s="1"/>
  <c r="H55" i="56"/>
  <c r="I55" i="56" s="1"/>
  <c r="B62" i="69"/>
  <c r="G62" i="69"/>
  <c r="H62" i="69"/>
  <c r="B53" i="77"/>
  <c r="F53" i="77"/>
  <c r="H53" i="77" s="1"/>
  <c r="E61" i="30"/>
  <c r="F61" i="30" s="1"/>
  <c r="E60" i="3"/>
  <c r="F60" i="3" s="1"/>
  <c r="B60" i="3"/>
  <c r="J130" i="91"/>
  <c r="J155" i="91" s="1"/>
  <c r="J136" i="45"/>
  <c r="J137" i="73"/>
  <c r="D51" i="13"/>
  <c r="H50" i="13"/>
  <c r="G50" i="13"/>
  <c r="D52" i="26"/>
  <c r="H54" i="62"/>
  <c r="I54" i="62" s="1"/>
  <c r="F55" i="59"/>
  <c r="H55" i="59" s="1"/>
  <c r="B55" i="59"/>
  <c r="B60" i="18"/>
  <c r="F60" i="18"/>
  <c r="G60" i="18" s="1"/>
  <c r="D59" i="20"/>
  <c r="H51" i="26"/>
  <c r="I51" i="26" s="1"/>
  <c r="D55" i="62"/>
  <c r="E55" i="62" s="1"/>
  <c r="D52" i="87"/>
  <c r="E52" i="87" s="1"/>
  <c r="J137" i="41"/>
  <c r="J138" i="22"/>
  <c r="D53" i="33"/>
  <c r="E53" i="33" s="1"/>
  <c r="H51" i="87"/>
  <c r="I51" i="87" s="1"/>
  <c r="G131" i="91"/>
  <c r="E132" i="91"/>
  <c r="D132" i="91"/>
  <c r="I137" i="43"/>
  <c r="H137" i="43"/>
  <c r="I140" i="29"/>
  <c r="H140" i="29"/>
  <c r="H134" i="60"/>
  <c r="I134" i="60"/>
  <c r="H130" i="84"/>
  <c r="I130" i="84"/>
  <c r="D139" i="41"/>
  <c r="E139" i="41"/>
  <c r="G138" i="41"/>
  <c r="F141" i="27"/>
  <c r="B141" i="27"/>
  <c r="F133" i="78"/>
  <c r="B133" i="78"/>
  <c r="B139" i="34"/>
  <c r="F139" i="34"/>
  <c r="E136" i="62"/>
  <c r="D136" i="62"/>
  <c r="G135" i="62"/>
  <c r="B131" i="86"/>
  <c r="F131" i="86"/>
  <c r="B133" i="79"/>
  <c r="F133" i="79"/>
  <c r="B134" i="66"/>
  <c r="F134" i="66"/>
  <c r="I138" i="20"/>
  <c r="H138" i="20"/>
  <c r="F140" i="32"/>
  <c r="B140" i="32"/>
  <c r="H130" i="88"/>
  <c r="I130" i="88"/>
  <c r="F136" i="72"/>
  <c r="B136" i="72"/>
  <c r="I135" i="58"/>
  <c r="H135" i="58"/>
  <c r="G137" i="45"/>
  <c r="D138" i="45"/>
  <c r="E138" i="45"/>
  <c r="F134" i="68"/>
  <c r="B134" i="68"/>
  <c r="I140" i="69"/>
  <c r="H140" i="69"/>
  <c r="J135" i="55"/>
  <c r="J136" i="56"/>
  <c r="F140" i="31"/>
  <c r="B140" i="31"/>
  <c r="F135" i="65"/>
  <c r="B135" i="65"/>
  <c r="B137" i="74"/>
  <c r="F137" i="74"/>
  <c r="I140" i="30"/>
  <c r="H140" i="30"/>
  <c r="D139" i="73"/>
  <c r="E139" i="73"/>
  <c r="G138" i="73"/>
  <c r="F141" i="70"/>
  <c r="B141" i="70"/>
  <c r="I140" i="27"/>
  <c r="H140" i="27"/>
  <c r="H132" i="79"/>
  <c r="I132" i="79"/>
  <c r="H134" i="63"/>
  <c r="I134" i="63"/>
  <c r="B132" i="85"/>
  <c r="F132" i="85"/>
  <c r="J134" i="62"/>
  <c r="I138" i="19"/>
  <c r="H138" i="19"/>
  <c r="I135" i="46"/>
  <c r="H135" i="46"/>
  <c r="F136" i="58"/>
  <c r="B136" i="58"/>
  <c r="B136" i="53"/>
  <c r="F136" i="53"/>
  <c r="H139" i="31"/>
  <c r="I139" i="31"/>
  <c r="I134" i="65"/>
  <c r="H134" i="65"/>
  <c r="B138" i="43"/>
  <c r="F138" i="43"/>
  <c r="B141" i="29"/>
  <c r="F141" i="29"/>
  <c r="F135" i="60"/>
  <c r="B135" i="60"/>
  <c r="B131" i="84"/>
  <c r="F131" i="84"/>
  <c r="D133" i="81"/>
  <c r="E133" i="81"/>
  <c r="G132" i="81"/>
  <c r="I130" i="90"/>
  <c r="H130" i="90"/>
  <c r="I132" i="78"/>
  <c r="H132" i="78"/>
  <c r="I134" i="64"/>
  <c r="H134" i="64"/>
  <c r="I130" i="92"/>
  <c r="H130" i="92"/>
  <c r="F135" i="61"/>
  <c r="B135" i="61"/>
  <c r="F135" i="63"/>
  <c r="B135" i="63"/>
  <c r="H131" i="85"/>
  <c r="I131" i="85"/>
  <c r="B138" i="39"/>
  <c r="F138" i="39"/>
  <c r="F131" i="88"/>
  <c r="B131" i="88"/>
  <c r="I135" i="72"/>
  <c r="H135" i="72"/>
  <c r="F136" i="46"/>
  <c r="B136" i="46"/>
  <c r="D140" i="22"/>
  <c r="E140" i="22" s="1"/>
  <c r="G139" i="22"/>
  <c r="F141" i="69"/>
  <c r="B141" i="69"/>
  <c r="I136" i="74"/>
  <c r="H136" i="74"/>
  <c r="J130" i="89"/>
  <c r="J155" i="89" s="1"/>
  <c r="B141" i="30"/>
  <c r="F141" i="30"/>
  <c r="B131" i="90"/>
  <c r="F131" i="90"/>
  <c r="H140" i="70"/>
  <c r="I140" i="70"/>
  <c r="I138" i="34"/>
  <c r="H138" i="34"/>
  <c r="F135" i="64"/>
  <c r="B135" i="64"/>
  <c r="B131" i="92"/>
  <c r="F131" i="92"/>
  <c r="I130" i="86"/>
  <c r="H130" i="86"/>
  <c r="H134" i="61"/>
  <c r="I134" i="61"/>
  <c r="I133" i="66"/>
  <c r="H133" i="66"/>
  <c r="G131" i="89"/>
  <c r="D132" i="89"/>
  <c r="E132" i="89"/>
  <c r="B139" i="20"/>
  <c r="F139" i="20"/>
  <c r="H137" i="39"/>
  <c r="I137" i="39"/>
  <c r="H139" i="32"/>
  <c r="I139" i="32"/>
  <c r="B139" i="19"/>
  <c r="F139" i="19"/>
  <c r="H133" i="68"/>
  <c r="I133" i="68"/>
  <c r="I135" i="53"/>
  <c r="H135" i="53"/>
  <c r="J137" i="42"/>
  <c r="G137" i="56"/>
  <c r="E138" i="56"/>
  <c r="D138" i="56"/>
  <c r="J132" i="77"/>
  <c r="H140" i="23"/>
  <c r="I140" i="23"/>
  <c r="I135" i="59"/>
  <c r="H135" i="59"/>
  <c r="F140" i="18"/>
  <c r="B140" i="18"/>
  <c r="B141" i="23"/>
  <c r="F141" i="23"/>
  <c r="J129" i="13"/>
  <c r="F136" i="59"/>
  <c r="B136" i="59"/>
  <c r="I139" i="18"/>
  <c r="H139" i="18"/>
  <c r="B141" i="71"/>
  <c r="F141" i="71"/>
  <c r="J139" i="24"/>
  <c r="J135" i="54"/>
  <c r="J132" i="76"/>
  <c r="I140" i="71"/>
  <c r="H140" i="71"/>
  <c r="I136" i="57"/>
  <c r="H136" i="57"/>
  <c r="B137" i="57"/>
  <c r="F137" i="57"/>
  <c r="F140" i="17"/>
  <c r="B140" i="17"/>
  <c r="E140" i="21"/>
  <c r="G139" i="21"/>
  <c r="D140" i="21"/>
  <c r="I137" i="44"/>
  <c r="H137" i="44"/>
  <c r="G133" i="75"/>
  <c r="E134" i="75"/>
  <c r="D134" i="75"/>
  <c r="E139" i="42"/>
  <c r="D139" i="42"/>
  <c r="G138" i="42"/>
  <c r="F131" i="87"/>
  <c r="B131" i="87"/>
  <c r="B132" i="95"/>
  <c r="F132" i="95"/>
  <c r="I130" i="96"/>
  <c r="H130" i="96"/>
  <c r="F134" i="67"/>
  <c r="B134" i="67"/>
  <c r="F138" i="44"/>
  <c r="B138" i="44"/>
  <c r="E137" i="55"/>
  <c r="G136" i="55"/>
  <c r="D137" i="55"/>
  <c r="D133" i="83"/>
  <c r="G132" i="83"/>
  <c r="E133" i="83"/>
  <c r="H131" i="95"/>
  <c r="I131" i="95"/>
  <c r="B139" i="3"/>
  <c r="F139" i="3"/>
  <c r="G132" i="80"/>
  <c r="D133" i="80"/>
  <c r="E133" i="80"/>
  <c r="G131" i="93"/>
  <c r="D132" i="93"/>
  <c r="B132" i="94"/>
  <c r="H133" i="67"/>
  <c r="I133" i="67"/>
  <c r="I139" i="17"/>
  <c r="H139" i="17"/>
  <c r="J129" i="33"/>
  <c r="G133" i="77"/>
  <c r="E134" i="77"/>
  <c r="D134" i="77"/>
  <c r="D141" i="24"/>
  <c r="E141" i="24" s="1"/>
  <c r="G140" i="24"/>
  <c r="F132" i="82"/>
  <c r="B132" i="82"/>
  <c r="G130" i="33"/>
  <c r="D131" i="33"/>
  <c r="E131" i="33" s="1"/>
  <c r="H141" i="28"/>
  <c r="I141" i="28"/>
  <c r="I138" i="3"/>
  <c r="H138" i="3"/>
  <c r="G133" i="76"/>
  <c r="E134" i="76"/>
  <c r="D134" i="76"/>
  <c r="J132" i="75"/>
  <c r="H131" i="94"/>
  <c r="I131" i="94"/>
  <c r="D137" i="54"/>
  <c r="G136" i="54"/>
  <c r="E137" i="54"/>
  <c r="J130" i="93"/>
  <c r="J155" i="93" s="1"/>
  <c r="H131" i="82"/>
  <c r="I131" i="82"/>
  <c r="B142" i="28"/>
  <c r="F142" i="28"/>
  <c r="I130" i="87"/>
  <c r="H130" i="87"/>
  <c r="J138" i="21"/>
  <c r="G130" i="13"/>
  <c r="D131" i="13"/>
  <c r="E131" i="13" s="1"/>
  <c r="F131" i="96"/>
  <c r="B131" i="96"/>
  <c r="E132" i="94"/>
  <c r="F132" i="94" s="1"/>
  <c r="G62" i="100" l="1"/>
  <c r="I62" i="100" s="1"/>
  <c r="D63" i="100"/>
  <c r="D134" i="100"/>
  <c r="G133" i="100"/>
  <c r="E134" i="100"/>
  <c r="E51" i="25"/>
  <c r="F51" i="25" s="1"/>
  <c r="H51" i="25" s="1"/>
  <c r="I50" i="25"/>
  <c r="I63" i="97"/>
  <c r="H50" i="98"/>
  <c r="I50" i="98" s="1"/>
  <c r="H130" i="25"/>
  <c r="I130" i="25"/>
  <c r="E131" i="25"/>
  <c r="F131" i="25" s="1"/>
  <c r="B131" i="25"/>
  <c r="I56" i="99"/>
  <c r="D65" i="97"/>
  <c r="G64" i="97"/>
  <c r="H64" i="97"/>
  <c r="D51" i="98"/>
  <c r="E57" i="99"/>
  <c r="F57" i="99" s="1"/>
  <c r="D58" i="99" s="1"/>
  <c r="B57" i="99"/>
  <c r="I62" i="71"/>
  <c r="H130" i="99"/>
  <c r="I130" i="99"/>
  <c r="J130" i="99" s="1"/>
  <c r="J155" i="99" s="1"/>
  <c r="B131" i="99"/>
  <c r="F131" i="99"/>
  <c r="H50" i="93"/>
  <c r="I50" i="93" s="1"/>
  <c r="H51" i="92"/>
  <c r="I51" i="92" s="1"/>
  <c r="J130" i="98"/>
  <c r="J155" i="98" s="1"/>
  <c r="E132" i="26"/>
  <c r="F132" i="26" s="1"/>
  <c r="B132" i="26"/>
  <c r="I131" i="26"/>
  <c r="H131" i="26"/>
  <c r="F59" i="73"/>
  <c r="H59" i="73" s="1"/>
  <c r="B59" i="73"/>
  <c r="H53" i="80"/>
  <c r="I53" i="80" s="1"/>
  <c r="I53" i="75"/>
  <c r="I61" i="29"/>
  <c r="I63" i="28"/>
  <c r="J130" i="97"/>
  <c r="J155" i="97" s="1"/>
  <c r="D132" i="98"/>
  <c r="G131" i="98"/>
  <c r="E132" i="98"/>
  <c r="D132" i="97"/>
  <c r="G131" i="97"/>
  <c r="E132" i="97"/>
  <c r="J134" i="61"/>
  <c r="I51" i="83"/>
  <c r="G55" i="67"/>
  <c r="I55" i="67" s="1"/>
  <c r="D56" i="67"/>
  <c r="E56" i="67" s="1"/>
  <c r="H56" i="46"/>
  <c r="I56" i="46" s="1"/>
  <c r="D57" i="46"/>
  <c r="E57" i="46" s="1"/>
  <c r="H60" i="24"/>
  <c r="I60" i="24" s="1"/>
  <c r="D61" i="24"/>
  <c r="B54" i="82"/>
  <c r="F54" i="82"/>
  <c r="G54" i="82" s="1"/>
  <c r="G53" i="79"/>
  <c r="I53" i="79" s="1"/>
  <c r="I52" i="86"/>
  <c r="E51" i="93"/>
  <c r="D51" i="93"/>
  <c r="G51" i="94"/>
  <c r="I51" i="94" s="1"/>
  <c r="D52" i="94"/>
  <c r="E52" i="94" s="1"/>
  <c r="D54" i="80"/>
  <c r="E54" i="80" s="1"/>
  <c r="H55" i="61"/>
  <c r="I55" i="61" s="1"/>
  <c r="B53" i="86"/>
  <c r="F53" i="86"/>
  <c r="G53" i="86" s="1"/>
  <c r="D60" i="42"/>
  <c r="E60" i="42" s="1"/>
  <c r="F60" i="42" s="1"/>
  <c r="H56" i="53"/>
  <c r="D57" i="53"/>
  <c r="E57" i="53" s="1"/>
  <c r="G52" i="91"/>
  <c r="D53" i="91"/>
  <c r="E53" i="91" s="1"/>
  <c r="D56" i="66"/>
  <c r="E56" i="66" s="1"/>
  <c r="F54" i="75"/>
  <c r="G54" i="75" s="1"/>
  <c r="B54" i="75"/>
  <c r="B59" i="42"/>
  <c r="G59" i="42"/>
  <c r="H59" i="42"/>
  <c r="D54" i="90"/>
  <c r="E54" i="90" s="1"/>
  <c r="D53" i="84"/>
  <c r="E53" i="84" s="1"/>
  <c r="I62" i="69"/>
  <c r="H52" i="91"/>
  <c r="G53" i="90"/>
  <c r="G61" i="23"/>
  <c r="I61" i="23" s="1"/>
  <c r="D62" i="23"/>
  <c r="B58" i="55"/>
  <c r="F58" i="55"/>
  <c r="D59" i="55" s="1"/>
  <c r="H55" i="66"/>
  <c r="I55" i="66" s="1"/>
  <c r="H53" i="90"/>
  <c r="F55" i="65"/>
  <c r="G55" i="65" s="1"/>
  <c r="B55" i="65"/>
  <c r="B58" i="58"/>
  <c r="F58" i="58"/>
  <c r="G58" i="58" s="1"/>
  <c r="G56" i="53"/>
  <c r="G52" i="84"/>
  <c r="I52" i="84" s="1"/>
  <c r="B59" i="39"/>
  <c r="G59" i="22"/>
  <c r="I59" i="22" s="1"/>
  <c r="D59" i="44"/>
  <c r="E59" i="44" s="1"/>
  <c r="H62" i="31"/>
  <c r="I62" i="31" s="1"/>
  <c r="F57" i="72"/>
  <c r="H57" i="72" s="1"/>
  <c r="B57" i="72"/>
  <c r="G52" i="81"/>
  <c r="I52" i="81" s="1"/>
  <c r="D53" i="81"/>
  <c r="E53" i="81"/>
  <c r="F51" i="95"/>
  <c r="H51" i="95" s="1"/>
  <c r="B51" i="95"/>
  <c r="D60" i="22"/>
  <c r="E60" i="22" s="1"/>
  <c r="F60" i="22" s="1"/>
  <c r="D54" i="76"/>
  <c r="E54" i="76" s="1"/>
  <c r="G58" i="73"/>
  <c r="E59" i="39"/>
  <c r="F59" i="39" s="1"/>
  <c r="D60" i="39" s="1"/>
  <c r="H61" i="27"/>
  <c r="I61" i="27" s="1"/>
  <c r="D62" i="27"/>
  <c r="D56" i="61"/>
  <c r="E56" i="61"/>
  <c r="F53" i="85"/>
  <c r="G53" i="85" s="1"/>
  <c r="B53" i="85"/>
  <c r="G53" i="76"/>
  <c r="I53" i="76" s="1"/>
  <c r="G58" i="44"/>
  <c r="I58" i="44" s="1"/>
  <c r="H50" i="96"/>
  <c r="I50" i="96" s="1"/>
  <c r="D51" i="96"/>
  <c r="E51" i="96" s="1"/>
  <c r="I60" i="34"/>
  <c r="G59" i="43"/>
  <c r="D60" i="43"/>
  <c r="E60" i="43" s="1"/>
  <c r="F60" i="43" s="1"/>
  <c r="H59" i="43"/>
  <c r="H60" i="3"/>
  <c r="D61" i="3"/>
  <c r="E61" i="3" s="1"/>
  <c r="F61" i="3" s="1"/>
  <c r="G60" i="3"/>
  <c r="D61" i="17"/>
  <c r="G60" i="17"/>
  <c r="H60" i="17"/>
  <c r="G61" i="32"/>
  <c r="D62" i="32"/>
  <c r="H61" i="32"/>
  <c r="H56" i="54"/>
  <c r="D57" i="54"/>
  <c r="E57" i="54" s="1"/>
  <c r="H60" i="18"/>
  <c r="I60" i="18" s="1"/>
  <c r="D62" i="30"/>
  <c r="E62" i="30" s="1"/>
  <c r="F55" i="68"/>
  <c r="B55" i="68"/>
  <c r="E63" i="29"/>
  <c r="F63" i="29" s="1"/>
  <c r="B63" i="29"/>
  <c r="B63" i="69"/>
  <c r="F63" i="69"/>
  <c r="G63" i="69" s="1"/>
  <c r="D57" i="57"/>
  <c r="E57" i="57" s="1"/>
  <c r="B53" i="88"/>
  <c r="F53" i="88"/>
  <c r="D56" i="63"/>
  <c r="E56" i="63"/>
  <c r="F52" i="83"/>
  <c r="H52" i="83" s="1"/>
  <c r="B52" i="83"/>
  <c r="D52" i="89"/>
  <c r="E52" i="89" s="1"/>
  <c r="H58" i="74"/>
  <c r="I58" i="74" s="1"/>
  <c r="D59" i="74"/>
  <c r="E59" i="74" s="1"/>
  <c r="F59" i="74" s="1"/>
  <c r="B62" i="70"/>
  <c r="D63" i="31"/>
  <c r="E63" i="31" s="1"/>
  <c r="H51" i="89"/>
  <c r="D54" i="79"/>
  <c r="E54" i="79" s="1"/>
  <c r="G62" i="29"/>
  <c r="G56" i="54"/>
  <c r="B56" i="56"/>
  <c r="F56" i="56"/>
  <c r="B56" i="64"/>
  <c r="F56" i="64"/>
  <c r="B60" i="19"/>
  <c r="F60" i="19"/>
  <c r="H60" i="19" s="1"/>
  <c r="H55" i="60"/>
  <c r="I55" i="60" s="1"/>
  <c r="D56" i="60"/>
  <c r="E56" i="60" s="1"/>
  <c r="H55" i="63"/>
  <c r="I55" i="63" s="1"/>
  <c r="H61" i="30"/>
  <c r="H59" i="21"/>
  <c r="I59" i="21" s="1"/>
  <c r="D60" i="21"/>
  <c r="I61" i="70"/>
  <c r="F61" i="34"/>
  <c r="H61" i="34" s="1"/>
  <c r="B61" i="34"/>
  <c r="B64" i="28"/>
  <c r="D54" i="78"/>
  <c r="E54" i="78"/>
  <c r="G53" i="77"/>
  <c r="I53" i="77" s="1"/>
  <c r="D54" i="77"/>
  <c r="E54" i="77" s="1"/>
  <c r="B63" i="71"/>
  <c r="F63" i="71"/>
  <c r="G63" i="71" s="1"/>
  <c r="G51" i="89"/>
  <c r="H62" i="29"/>
  <c r="D52" i="92"/>
  <c r="E52" i="92" s="1"/>
  <c r="H58" i="73"/>
  <c r="H56" i="57"/>
  <c r="I56" i="57" s="1"/>
  <c r="G59" i="41"/>
  <c r="I59" i="41" s="1"/>
  <c r="D60" i="41"/>
  <c r="E60" i="41" s="1"/>
  <c r="E64" i="28"/>
  <c r="F64" i="28" s="1"/>
  <c r="D65" i="28" s="1"/>
  <c r="H53" i="78"/>
  <c r="I53" i="78" s="1"/>
  <c r="F58" i="45"/>
  <c r="H58" i="45" s="1"/>
  <c r="B58" i="45"/>
  <c r="G61" i="30"/>
  <c r="E62" i="70"/>
  <c r="F62" i="70" s="1"/>
  <c r="J139" i="18"/>
  <c r="J135" i="53"/>
  <c r="J134" i="63"/>
  <c r="J138" i="19"/>
  <c r="J140" i="30"/>
  <c r="J130" i="88"/>
  <c r="J155" i="88" s="1"/>
  <c r="J130" i="84"/>
  <c r="J155" i="84" s="1"/>
  <c r="J140" i="70"/>
  <c r="J136" i="74"/>
  <c r="J134" i="65"/>
  <c r="J135" i="46"/>
  <c r="J132" i="79"/>
  <c r="J134" i="60"/>
  <c r="J140" i="69"/>
  <c r="J135" i="59"/>
  <c r="B59" i="20"/>
  <c r="B52" i="26"/>
  <c r="B52" i="87"/>
  <c r="F52" i="87"/>
  <c r="G52" i="87" s="1"/>
  <c r="E59" i="20"/>
  <c r="F59" i="20" s="1"/>
  <c r="G55" i="59"/>
  <c r="I55" i="59" s="1"/>
  <c r="I50" i="13"/>
  <c r="F53" i="33"/>
  <c r="G53" i="33" s="1"/>
  <c r="B53" i="33"/>
  <c r="D61" i="18"/>
  <c r="E61" i="18" s="1"/>
  <c r="B51" i="13"/>
  <c r="F55" i="62"/>
  <c r="G55" i="62" s="1"/>
  <c r="B55" i="62"/>
  <c r="E56" i="59"/>
  <c r="D56" i="59"/>
  <c r="E52" i="26"/>
  <c r="F52" i="26" s="1"/>
  <c r="E51" i="13"/>
  <c r="F51" i="13" s="1"/>
  <c r="F132" i="89"/>
  <c r="B132" i="89"/>
  <c r="G131" i="92"/>
  <c r="E132" i="92"/>
  <c r="D132" i="92"/>
  <c r="G131" i="90"/>
  <c r="D132" i="90"/>
  <c r="E132" i="90"/>
  <c r="D142" i="69"/>
  <c r="E142" i="69"/>
  <c r="G141" i="69"/>
  <c r="B133" i="81"/>
  <c r="F133" i="81"/>
  <c r="E136" i="60"/>
  <c r="D136" i="60"/>
  <c r="G135" i="60"/>
  <c r="D137" i="58"/>
  <c r="G136" i="58"/>
  <c r="E137" i="58"/>
  <c r="H138" i="73"/>
  <c r="I138" i="73"/>
  <c r="G135" i="65"/>
  <c r="E136" i="65"/>
  <c r="D136" i="65"/>
  <c r="E135" i="68"/>
  <c r="G134" i="68"/>
  <c r="D135" i="68"/>
  <c r="G133" i="79"/>
  <c r="D134" i="79"/>
  <c r="E134" i="79"/>
  <c r="I135" i="62"/>
  <c r="H135" i="62"/>
  <c r="D142" i="27"/>
  <c r="E142" i="27" s="1"/>
  <c r="G141" i="27"/>
  <c r="F132" i="91"/>
  <c r="B132" i="91"/>
  <c r="J133" i="68"/>
  <c r="J139" i="32"/>
  <c r="G139" i="20"/>
  <c r="E140" i="20"/>
  <c r="D140" i="20"/>
  <c r="H131" i="89"/>
  <c r="I131" i="89"/>
  <c r="J138" i="34"/>
  <c r="H139" i="22"/>
  <c r="I139" i="22"/>
  <c r="G136" i="46"/>
  <c r="D137" i="46"/>
  <c r="E137" i="46"/>
  <c r="G131" i="88"/>
  <c r="E132" i="88"/>
  <c r="D132" i="88"/>
  <c r="D136" i="61"/>
  <c r="E136" i="61"/>
  <c r="G135" i="61"/>
  <c r="J134" i="64"/>
  <c r="J130" i="90"/>
  <c r="J155" i="90" s="1"/>
  <c r="E132" i="84"/>
  <c r="G131" i="84"/>
  <c r="D132" i="84"/>
  <c r="G141" i="29"/>
  <c r="D142" i="29"/>
  <c r="E142" i="29" s="1"/>
  <c r="D137" i="53"/>
  <c r="E137" i="53"/>
  <c r="G136" i="53"/>
  <c r="J140" i="27"/>
  <c r="E138" i="74"/>
  <c r="G137" i="74"/>
  <c r="D138" i="74"/>
  <c r="J135" i="58"/>
  <c r="J138" i="20"/>
  <c r="B136" i="62"/>
  <c r="F136" i="62"/>
  <c r="I138" i="41"/>
  <c r="H138" i="41"/>
  <c r="J140" i="29"/>
  <c r="D142" i="30"/>
  <c r="E142" i="30" s="1"/>
  <c r="G141" i="30"/>
  <c r="B140" i="22"/>
  <c r="F140" i="22"/>
  <c r="E139" i="39"/>
  <c r="G138" i="39"/>
  <c r="D139" i="39"/>
  <c r="I132" i="81"/>
  <c r="H132" i="81"/>
  <c r="E133" i="85"/>
  <c r="D133" i="85"/>
  <c r="G132" i="85"/>
  <c r="B139" i="73"/>
  <c r="F139" i="73"/>
  <c r="E141" i="31"/>
  <c r="G140" i="31"/>
  <c r="D141" i="31"/>
  <c r="B138" i="45"/>
  <c r="F138" i="45"/>
  <c r="E135" i="66"/>
  <c r="D135" i="66"/>
  <c r="G134" i="66"/>
  <c r="G131" i="86"/>
  <c r="E132" i="86"/>
  <c r="D132" i="86"/>
  <c r="E134" i="78"/>
  <c r="D134" i="78"/>
  <c r="G133" i="78"/>
  <c r="I131" i="91"/>
  <c r="H131" i="91"/>
  <c r="D140" i="19"/>
  <c r="E140" i="19" s="1"/>
  <c r="G139" i="19"/>
  <c r="J137" i="39"/>
  <c r="J133" i="66"/>
  <c r="J130" i="86"/>
  <c r="J155" i="86" s="1"/>
  <c r="D136" i="64"/>
  <c r="E136" i="64"/>
  <c r="G135" i="64"/>
  <c r="J135" i="72"/>
  <c r="D136" i="63"/>
  <c r="G135" i="63"/>
  <c r="E136" i="63"/>
  <c r="J130" i="92"/>
  <c r="J155" i="92" s="1"/>
  <c r="J132" i="78"/>
  <c r="D139" i="43"/>
  <c r="E139" i="43"/>
  <c r="G138" i="43"/>
  <c r="J139" i="31"/>
  <c r="D142" i="70"/>
  <c r="E142" i="70"/>
  <c r="G141" i="70"/>
  <c r="H137" i="45"/>
  <c r="I137" i="45"/>
  <c r="D137" i="72"/>
  <c r="G136" i="72"/>
  <c r="E137" i="72"/>
  <c r="G140" i="32"/>
  <c r="D141" i="32"/>
  <c r="E141" i="32" s="1"/>
  <c r="D140" i="34"/>
  <c r="E140" i="34" s="1"/>
  <c r="G139" i="34"/>
  <c r="B139" i="41"/>
  <c r="F139" i="41"/>
  <c r="J137" i="43"/>
  <c r="G140" i="18"/>
  <c r="D141" i="18"/>
  <c r="E141" i="18" s="1"/>
  <c r="D137" i="59"/>
  <c r="G136" i="59"/>
  <c r="E137" i="59"/>
  <c r="D142" i="23"/>
  <c r="E142" i="23" s="1"/>
  <c r="G141" i="23"/>
  <c r="H137" i="56"/>
  <c r="I137" i="56"/>
  <c r="J130" i="87"/>
  <c r="J155" i="87" s="1"/>
  <c r="J140" i="23"/>
  <c r="F138" i="56"/>
  <c r="B138" i="56"/>
  <c r="J140" i="71"/>
  <c r="D138" i="57"/>
  <c r="E138" i="57"/>
  <c r="G137" i="57"/>
  <c r="J136" i="57"/>
  <c r="D142" i="71"/>
  <c r="E142" i="71"/>
  <c r="G141" i="71"/>
  <c r="D133" i="94"/>
  <c r="E133" i="94" s="1"/>
  <c r="G132" i="94"/>
  <c r="B137" i="54"/>
  <c r="F137" i="54"/>
  <c r="H133" i="76"/>
  <c r="I133" i="76"/>
  <c r="B141" i="24"/>
  <c r="F141" i="24"/>
  <c r="I133" i="77"/>
  <c r="H133" i="77"/>
  <c r="B132" i="93"/>
  <c r="H132" i="80"/>
  <c r="I132" i="80"/>
  <c r="B133" i="83"/>
  <c r="F133" i="83"/>
  <c r="G131" i="87"/>
  <c r="D132" i="87"/>
  <c r="E132" i="87"/>
  <c r="F139" i="42"/>
  <c r="B139" i="42"/>
  <c r="G131" i="96"/>
  <c r="D132" i="96"/>
  <c r="B131" i="13"/>
  <c r="F131" i="13"/>
  <c r="J138" i="3"/>
  <c r="J141" i="28"/>
  <c r="I130" i="33"/>
  <c r="H130" i="33"/>
  <c r="D133" i="82"/>
  <c r="G132" i="82"/>
  <c r="E133" i="82"/>
  <c r="H131" i="93"/>
  <c r="I131" i="93"/>
  <c r="D140" i="3"/>
  <c r="G139" i="3"/>
  <c r="E140" i="3"/>
  <c r="B137" i="55"/>
  <c r="F137" i="55"/>
  <c r="B134" i="75"/>
  <c r="F134" i="75"/>
  <c r="F134" i="76"/>
  <c r="B134" i="76"/>
  <c r="I140" i="24"/>
  <c r="H140" i="24"/>
  <c r="F134" i="77"/>
  <c r="B134" i="77"/>
  <c r="J139" i="17"/>
  <c r="I136" i="55"/>
  <c r="H136" i="55"/>
  <c r="D139" i="44"/>
  <c r="G138" i="44"/>
  <c r="E139" i="44"/>
  <c r="D135" i="67"/>
  <c r="G134" i="67"/>
  <c r="E135" i="67"/>
  <c r="D133" i="95"/>
  <c r="G132" i="95"/>
  <c r="J137" i="44"/>
  <c r="F140" i="21"/>
  <c r="B140" i="21"/>
  <c r="G140" i="17"/>
  <c r="D141" i="17"/>
  <c r="E141" i="17" s="1"/>
  <c r="I130" i="13"/>
  <c r="H130" i="13"/>
  <c r="G142" i="28"/>
  <c r="D143" i="28"/>
  <c r="E143" i="28" s="1"/>
  <c r="H136" i="54"/>
  <c r="I136" i="54"/>
  <c r="B131" i="33"/>
  <c r="F131" i="33"/>
  <c r="J133" i="67"/>
  <c r="E132" i="93"/>
  <c r="F132" i="93" s="1"/>
  <c r="B133" i="80"/>
  <c r="F133" i="80"/>
  <c r="I132" i="83"/>
  <c r="H132" i="83"/>
  <c r="J130" i="96"/>
  <c r="J155" i="96" s="1"/>
  <c r="I138" i="42"/>
  <c r="H138" i="42"/>
  <c r="I133" i="75"/>
  <c r="H133" i="75"/>
  <c r="H139" i="21"/>
  <c r="I139" i="21"/>
  <c r="E63" i="100" l="1"/>
  <c r="F63" i="100" s="1"/>
  <c r="G63" i="100" s="1"/>
  <c r="B63" i="100"/>
  <c r="H133" i="100"/>
  <c r="I133" i="100"/>
  <c r="B134" i="100"/>
  <c r="F134" i="100"/>
  <c r="G51" i="25"/>
  <c r="I51" i="25" s="1"/>
  <c r="D52" i="25"/>
  <c r="D60" i="73"/>
  <c r="E60" i="73" s="1"/>
  <c r="G59" i="73"/>
  <c r="I59" i="73" s="1"/>
  <c r="J130" i="25"/>
  <c r="D132" i="25"/>
  <c r="B132" i="25" s="1"/>
  <c r="G131" i="25"/>
  <c r="I64" i="97"/>
  <c r="B51" i="98"/>
  <c r="E58" i="99"/>
  <c r="F58" i="99" s="1"/>
  <c r="D59" i="99" s="1"/>
  <c r="B58" i="99"/>
  <c r="H57" i="99"/>
  <c r="G57" i="99"/>
  <c r="E51" i="98"/>
  <c r="F51" i="98" s="1"/>
  <c r="E65" i="97"/>
  <c r="F65" i="97" s="1"/>
  <c r="B65" i="97"/>
  <c r="I58" i="73"/>
  <c r="D132" i="99"/>
  <c r="G131" i="99"/>
  <c r="E132" i="99"/>
  <c r="J131" i="26"/>
  <c r="G132" i="26"/>
  <c r="D133" i="26"/>
  <c r="I52" i="91"/>
  <c r="I56" i="53"/>
  <c r="B132" i="97"/>
  <c r="F132" i="97"/>
  <c r="H131" i="98"/>
  <c r="I131" i="98"/>
  <c r="I131" i="97"/>
  <c r="H131" i="97"/>
  <c r="B132" i="98"/>
  <c r="F132" i="98"/>
  <c r="F56" i="67"/>
  <c r="G56" i="67" s="1"/>
  <c r="B56" i="67"/>
  <c r="G58" i="55"/>
  <c r="H58" i="55"/>
  <c r="B57" i="46"/>
  <c r="F57" i="46"/>
  <c r="H57" i="46" s="1"/>
  <c r="E61" i="24"/>
  <c r="F61" i="24" s="1"/>
  <c r="G61" i="24" s="1"/>
  <c r="B61" i="24"/>
  <c r="D54" i="86"/>
  <c r="E54" i="86" s="1"/>
  <c r="H53" i="86"/>
  <c r="I53" i="86" s="1"/>
  <c r="B51" i="93"/>
  <c r="F51" i="93"/>
  <c r="G51" i="93" s="1"/>
  <c r="D55" i="82"/>
  <c r="E55" i="82" s="1"/>
  <c r="B52" i="94"/>
  <c r="F52" i="94"/>
  <c r="H52" i="94" s="1"/>
  <c r="F54" i="80"/>
  <c r="B54" i="80"/>
  <c r="H63" i="69"/>
  <c r="I63" i="69" s="1"/>
  <c r="H54" i="82"/>
  <c r="I54" i="82" s="1"/>
  <c r="D61" i="42"/>
  <c r="E61" i="42" s="1"/>
  <c r="F61" i="42" s="1"/>
  <c r="B57" i="53"/>
  <c r="F57" i="53"/>
  <c r="G57" i="53" s="1"/>
  <c r="B62" i="23"/>
  <c r="B54" i="90"/>
  <c r="F54" i="90"/>
  <c r="H54" i="90" s="1"/>
  <c r="D55" i="75"/>
  <c r="E55" i="75" s="1"/>
  <c r="G51" i="95"/>
  <c r="I51" i="95" s="1"/>
  <c r="H58" i="58"/>
  <c r="I58" i="58" s="1"/>
  <c r="D59" i="58"/>
  <c r="E59" i="58" s="1"/>
  <c r="H55" i="65"/>
  <c r="I55" i="65" s="1"/>
  <c r="D56" i="65"/>
  <c r="E56" i="65" s="1"/>
  <c r="E59" i="55"/>
  <c r="F59" i="55" s="1"/>
  <c r="D60" i="55" s="1"/>
  <c r="B59" i="55"/>
  <c r="E62" i="23"/>
  <c r="F62" i="23" s="1"/>
  <c r="D63" i="23" s="1"/>
  <c r="H54" i="75"/>
  <c r="I54" i="75" s="1"/>
  <c r="F53" i="84"/>
  <c r="G53" i="84" s="1"/>
  <c r="B53" i="84"/>
  <c r="F53" i="91"/>
  <c r="B53" i="91"/>
  <c r="I51" i="89"/>
  <c r="I59" i="43"/>
  <c r="I53" i="90"/>
  <c r="I59" i="42"/>
  <c r="F56" i="66"/>
  <c r="H56" i="66" s="1"/>
  <c r="B56" i="66"/>
  <c r="B60" i="42"/>
  <c r="G60" i="42"/>
  <c r="H60" i="42"/>
  <c r="D61" i="22"/>
  <c r="E61" i="22" s="1"/>
  <c r="F61" i="22" s="1"/>
  <c r="H63" i="71"/>
  <c r="I63" i="71" s="1"/>
  <c r="H53" i="85"/>
  <c r="I53" i="85" s="1"/>
  <c r="D54" i="85"/>
  <c r="E54" i="85" s="1"/>
  <c r="E60" i="39"/>
  <c r="F60" i="39" s="1"/>
  <c r="G60" i="39" s="1"/>
  <c r="B60" i="39"/>
  <c r="B54" i="76"/>
  <c r="F54" i="76"/>
  <c r="G54" i="76" s="1"/>
  <c r="G57" i="72"/>
  <c r="I57" i="72" s="1"/>
  <c r="D58" i="72"/>
  <c r="E58" i="72" s="1"/>
  <c r="H59" i="39"/>
  <c r="G59" i="39"/>
  <c r="B53" i="81"/>
  <c r="F53" i="81"/>
  <c r="G53" i="81" s="1"/>
  <c r="F51" i="96"/>
  <c r="B51" i="96"/>
  <c r="B56" i="61"/>
  <c r="F56" i="61"/>
  <c r="H56" i="61" s="1"/>
  <c r="B62" i="27"/>
  <c r="E62" i="27"/>
  <c r="F62" i="27" s="1"/>
  <c r="B60" i="22"/>
  <c r="G60" i="22"/>
  <c r="H60" i="22"/>
  <c r="D52" i="95"/>
  <c r="E52" i="95" s="1"/>
  <c r="B59" i="44"/>
  <c r="F59" i="44"/>
  <c r="G59" i="44" s="1"/>
  <c r="I60" i="3"/>
  <c r="I62" i="29"/>
  <c r="I56" i="54"/>
  <c r="D64" i="29"/>
  <c r="G63" i="29"/>
  <c r="H63" i="29"/>
  <c r="D61" i="43"/>
  <c r="E61" i="43" s="1"/>
  <c r="D63" i="70"/>
  <c r="E63" i="70" s="1"/>
  <c r="H62" i="70"/>
  <c r="G62" i="70"/>
  <c r="D60" i="74"/>
  <c r="E60" i="74" s="1"/>
  <c r="F60" i="74" s="1"/>
  <c r="B60" i="21"/>
  <c r="D57" i="56"/>
  <c r="E57" i="56" s="1"/>
  <c r="F56" i="63"/>
  <c r="G56" i="63" s="1"/>
  <c r="B56" i="63"/>
  <c r="D62" i="3"/>
  <c r="E62" i="3" s="1"/>
  <c r="F62" i="3" s="1"/>
  <c r="H64" i="28"/>
  <c r="D62" i="34"/>
  <c r="G61" i="34"/>
  <c r="I61" i="34" s="1"/>
  <c r="E60" i="21"/>
  <c r="F60" i="21" s="1"/>
  <c r="F56" i="60"/>
  <c r="G56" i="60" s="1"/>
  <c r="B56" i="60"/>
  <c r="B57" i="54"/>
  <c r="F57" i="54"/>
  <c r="G57" i="54" s="1"/>
  <c r="B61" i="3"/>
  <c r="H61" i="3"/>
  <c r="G61" i="3"/>
  <c r="F54" i="78"/>
  <c r="H54" i="78" s="1"/>
  <c r="B54" i="78"/>
  <c r="D61" i="19"/>
  <c r="E61" i="19" s="1"/>
  <c r="F61" i="19" s="1"/>
  <c r="G56" i="64"/>
  <c r="D57" i="64"/>
  <c r="E57" i="64" s="1"/>
  <c r="D53" i="83"/>
  <c r="E53" i="83" s="1"/>
  <c r="H53" i="88"/>
  <c r="D54" i="88"/>
  <c r="E54" i="88" s="1"/>
  <c r="D56" i="68"/>
  <c r="E56" i="68" s="1"/>
  <c r="C70" i="17"/>
  <c r="B61" i="17"/>
  <c r="G58" i="45"/>
  <c r="I58" i="45" s="1"/>
  <c r="D59" i="45"/>
  <c r="E59" i="45" s="1"/>
  <c r="B52" i="92"/>
  <c r="F52" i="92"/>
  <c r="F54" i="77"/>
  <c r="H54" i="77" s="1"/>
  <c r="B54" i="77"/>
  <c r="G64" i="28"/>
  <c r="H56" i="56"/>
  <c r="B52" i="89"/>
  <c r="F52" i="89"/>
  <c r="H52" i="89" s="1"/>
  <c r="G52" i="83"/>
  <c r="I52" i="83" s="1"/>
  <c r="G53" i="88"/>
  <c r="D64" i="69"/>
  <c r="G55" i="68"/>
  <c r="F62" i="30"/>
  <c r="B62" i="30"/>
  <c r="I61" i="32"/>
  <c r="I60" i="17"/>
  <c r="B60" i="43"/>
  <c r="G60" i="43"/>
  <c r="H60" i="43"/>
  <c r="E65" i="28"/>
  <c r="F65" i="28" s="1"/>
  <c r="B65" i="28"/>
  <c r="B60" i="41"/>
  <c r="F60" i="41"/>
  <c r="G60" i="41" s="1"/>
  <c r="D64" i="71"/>
  <c r="I61" i="30"/>
  <c r="G60" i="19"/>
  <c r="I60" i="19" s="1"/>
  <c r="H56" i="64"/>
  <c r="G56" i="56"/>
  <c r="F54" i="79"/>
  <c r="G54" i="79" s="1"/>
  <c r="B54" i="79"/>
  <c r="B63" i="31"/>
  <c r="F63" i="31"/>
  <c r="D64" i="31" s="1"/>
  <c r="B59" i="74"/>
  <c r="H59" i="74"/>
  <c r="G59" i="74"/>
  <c r="F57" i="57"/>
  <c r="G57" i="57" s="1"/>
  <c r="B57" i="57"/>
  <c r="H55" i="68"/>
  <c r="E62" i="32"/>
  <c r="F62" i="32" s="1"/>
  <c r="B62" i="32"/>
  <c r="E61" i="17"/>
  <c r="F61" i="17" s="1"/>
  <c r="G61" i="17" s="1"/>
  <c r="J138" i="73"/>
  <c r="J130" i="33"/>
  <c r="J139" i="22"/>
  <c r="J135" i="62"/>
  <c r="D52" i="13"/>
  <c r="E52" i="13" s="1"/>
  <c r="G51" i="13"/>
  <c r="H51" i="13"/>
  <c r="D60" i="20"/>
  <c r="E60" i="20" s="1"/>
  <c r="H59" i="20"/>
  <c r="G59" i="20"/>
  <c r="D53" i="26"/>
  <c r="E53" i="26" s="1"/>
  <c r="H52" i="26"/>
  <c r="G52" i="26"/>
  <c r="J138" i="41"/>
  <c r="F56" i="59"/>
  <c r="G56" i="59" s="1"/>
  <c r="B56" i="59"/>
  <c r="F61" i="18"/>
  <c r="G61" i="18" s="1"/>
  <c r="B61" i="18"/>
  <c r="D56" i="62"/>
  <c r="E56" i="62" s="1"/>
  <c r="D54" i="33"/>
  <c r="E54" i="33" s="1"/>
  <c r="D53" i="87"/>
  <c r="E53" i="87" s="1"/>
  <c r="H55" i="62"/>
  <c r="I55" i="62" s="1"/>
  <c r="H53" i="33"/>
  <c r="I53" i="33" s="1"/>
  <c r="H52" i="87"/>
  <c r="I52" i="87" s="1"/>
  <c r="F142" i="29"/>
  <c r="B142" i="29"/>
  <c r="H131" i="84"/>
  <c r="I131" i="84"/>
  <c r="H135" i="61"/>
  <c r="I135" i="61"/>
  <c r="I136" i="46"/>
  <c r="H136" i="46"/>
  <c r="I139" i="20"/>
  <c r="H139" i="20"/>
  <c r="G132" i="91"/>
  <c r="E133" i="91"/>
  <c r="D133" i="91"/>
  <c r="I133" i="79"/>
  <c r="H133" i="79"/>
  <c r="B136" i="65"/>
  <c r="F136" i="65"/>
  <c r="I135" i="60"/>
  <c r="H135" i="60"/>
  <c r="F140" i="34"/>
  <c r="B140" i="34"/>
  <c r="B136" i="64"/>
  <c r="F136" i="64"/>
  <c r="I139" i="19"/>
  <c r="H139" i="19"/>
  <c r="B135" i="66"/>
  <c r="F135" i="66"/>
  <c r="B141" i="32"/>
  <c r="F141" i="32"/>
  <c r="H136" i="72"/>
  <c r="I136" i="72"/>
  <c r="I141" i="70"/>
  <c r="H141" i="70"/>
  <c r="I138" i="43"/>
  <c r="H138" i="43"/>
  <c r="I133" i="78"/>
  <c r="H133" i="78"/>
  <c r="I140" i="31"/>
  <c r="H140" i="31"/>
  <c r="H132" i="85"/>
  <c r="I132" i="85"/>
  <c r="D141" i="22"/>
  <c r="E141" i="22" s="1"/>
  <c r="G140" i="22"/>
  <c r="B142" i="30"/>
  <c r="F142" i="30"/>
  <c r="E137" i="62"/>
  <c r="G136" i="62"/>
  <c r="D137" i="62"/>
  <c r="F138" i="74"/>
  <c r="B138" i="74"/>
  <c r="I136" i="53"/>
  <c r="H136" i="53"/>
  <c r="I141" i="29"/>
  <c r="H141" i="29"/>
  <c r="H131" i="88"/>
  <c r="I131" i="88"/>
  <c r="I141" i="27"/>
  <c r="H141" i="27"/>
  <c r="F135" i="68"/>
  <c r="B135" i="68"/>
  <c r="F136" i="60"/>
  <c r="B136" i="60"/>
  <c r="I141" i="69"/>
  <c r="H141" i="69"/>
  <c r="F132" i="90"/>
  <c r="B132" i="90"/>
  <c r="I131" i="92"/>
  <c r="H131" i="92"/>
  <c r="D140" i="41"/>
  <c r="E140" i="41" s="1"/>
  <c r="G139" i="41"/>
  <c r="B136" i="63"/>
  <c r="F136" i="63"/>
  <c r="F132" i="86"/>
  <c r="B132" i="86"/>
  <c r="F141" i="31"/>
  <c r="B141" i="31"/>
  <c r="B137" i="72"/>
  <c r="F137" i="72"/>
  <c r="H135" i="64"/>
  <c r="I135" i="64"/>
  <c r="F140" i="19"/>
  <c r="B140" i="19"/>
  <c r="B134" i="78"/>
  <c r="F134" i="78"/>
  <c r="H131" i="86"/>
  <c r="I131" i="86"/>
  <c r="D139" i="45"/>
  <c r="E139" i="45"/>
  <c r="G138" i="45"/>
  <c r="F133" i="85"/>
  <c r="B133" i="85"/>
  <c r="F139" i="39"/>
  <c r="B139" i="39"/>
  <c r="H137" i="74"/>
  <c r="I137" i="74"/>
  <c r="B136" i="61"/>
  <c r="F136" i="61"/>
  <c r="F140" i="20"/>
  <c r="B140" i="20"/>
  <c r="I134" i="68"/>
  <c r="H134" i="68"/>
  <c r="H135" i="65"/>
  <c r="I135" i="65"/>
  <c r="H136" i="58"/>
  <c r="I136" i="58"/>
  <c r="H131" i="90"/>
  <c r="I131" i="90"/>
  <c r="J133" i="76"/>
  <c r="H139" i="34"/>
  <c r="I139" i="34"/>
  <c r="H140" i="32"/>
  <c r="I140" i="32"/>
  <c r="J137" i="45"/>
  <c r="F142" i="70"/>
  <c r="B142" i="70"/>
  <c r="B139" i="43"/>
  <c r="F139" i="43"/>
  <c r="I135" i="63"/>
  <c r="H135" i="63"/>
  <c r="H134" i="66"/>
  <c r="I134" i="66"/>
  <c r="E140" i="73"/>
  <c r="D140" i="73"/>
  <c r="G139" i="73"/>
  <c r="I138" i="39"/>
  <c r="H138" i="39"/>
  <c r="I141" i="30"/>
  <c r="H141" i="30"/>
  <c r="F137" i="53"/>
  <c r="B137" i="53"/>
  <c r="B132" i="84"/>
  <c r="F132" i="84"/>
  <c r="F132" i="88"/>
  <c r="B132" i="88"/>
  <c r="F137" i="46"/>
  <c r="B137" i="46"/>
  <c r="F142" i="27"/>
  <c r="B142" i="27"/>
  <c r="B134" i="79"/>
  <c r="F134" i="79"/>
  <c r="F137" i="58"/>
  <c r="B137" i="58"/>
  <c r="D134" i="81"/>
  <c r="E134" i="81"/>
  <c r="G133" i="81"/>
  <c r="B142" i="69"/>
  <c r="F142" i="69"/>
  <c r="B132" i="92"/>
  <c r="F132" i="92"/>
  <c r="D133" i="89"/>
  <c r="G132" i="89"/>
  <c r="E133" i="89"/>
  <c r="J139" i="21"/>
  <c r="J133" i="77"/>
  <c r="E139" i="56"/>
  <c r="G138" i="56"/>
  <c r="D139" i="56"/>
  <c r="J137" i="56"/>
  <c r="H141" i="23"/>
  <c r="I141" i="23"/>
  <c r="H136" i="59"/>
  <c r="I136" i="59"/>
  <c r="B141" i="18"/>
  <c r="F141" i="18"/>
  <c r="F137" i="59"/>
  <c r="B137" i="59"/>
  <c r="F142" i="23"/>
  <c r="B142" i="23"/>
  <c r="I140" i="18"/>
  <c r="H140" i="18"/>
  <c r="J136" i="54"/>
  <c r="H141" i="71"/>
  <c r="I141" i="71"/>
  <c r="H137" i="57"/>
  <c r="I137" i="57"/>
  <c r="J140" i="24"/>
  <c r="B142" i="71"/>
  <c r="F142" i="71"/>
  <c r="J138" i="42"/>
  <c r="J130" i="13"/>
  <c r="J155" i="13" s="1"/>
  <c r="J136" i="55"/>
  <c r="F138" i="57"/>
  <c r="B138" i="57"/>
  <c r="D133" i="93"/>
  <c r="E133" i="93" s="1"/>
  <c r="G132" i="93"/>
  <c r="F141" i="17"/>
  <c r="B141" i="17"/>
  <c r="D141" i="21"/>
  <c r="G140" i="21"/>
  <c r="E141" i="21"/>
  <c r="B133" i="95"/>
  <c r="G134" i="76"/>
  <c r="E135" i="76"/>
  <c r="D135" i="76"/>
  <c r="E134" i="80"/>
  <c r="G133" i="80"/>
  <c r="D134" i="80"/>
  <c r="G131" i="33"/>
  <c r="D132" i="33"/>
  <c r="E132" i="33" s="1"/>
  <c r="F143" i="28"/>
  <c r="B143" i="28"/>
  <c r="H140" i="17"/>
  <c r="I140" i="17"/>
  <c r="H138" i="44"/>
  <c r="I138" i="44"/>
  <c r="E138" i="55"/>
  <c r="D138" i="55"/>
  <c r="G137" i="55"/>
  <c r="H139" i="3"/>
  <c r="I139" i="3"/>
  <c r="B132" i="96"/>
  <c r="E134" i="83"/>
  <c r="G133" i="83"/>
  <c r="D134" i="83"/>
  <c r="I132" i="94"/>
  <c r="H132" i="94"/>
  <c r="I142" i="28"/>
  <c r="H142" i="28"/>
  <c r="I132" i="95"/>
  <c r="H132" i="95"/>
  <c r="I134" i="67"/>
  <c r="H134" i="67"/>
  <c r="F139" i="44"/>
  <c r="B139" i="44"/>
  <c r="G134" i="77"/>
  <c r="E135" i="77"/>
  <c r="D135" i="77"/>
  <c r="B140" i="3"/>
  <c r="F140" i="3"/>
  <c r="H132" i="82"/>
  <c r="I132" i="82"/>
  <c r="D132" i="13"/>
  <c r="E132" i="13" s="1"/>
  <c r="G131" i="13"/>
  <c r="I131" i="96"/>
  <c r="H131" i="96"/>
  <c r="G139" i="42"/>
  <c r="D140" i="42"/>
  <c r="E140" i="42" s="1"/>
  <c r="B132" i="87"/>
  <c r="F132" i="87"/>
  <c r="G141" i="24"/>
  <c r="D142" i="24"/>
  <c r="E142" i="24" s="1"/>
  <c r="D138" i="54"/>
  <c r="G137" i="54"/>
  <c r="E138" i="54"/>
  <c r="J133" i="75"/>
  <c r="E133" i="95"/>
  <c r="F133" i="95" s="1"/>
  <c r="B135" i="67"/>
  <c r="F135" i="67"/>
  <c r="G134" i="75"/>
  <c r="D135" i="75"/>
  <c r="E135" i="75"/>
  <c r="B133" i="82"/>
  <c r="F133" i="82"/>
  <c r="E132" i="96"/>
  <c r="F132" i="96" s="1"/>
  <c r="I131" i="87"/>
  <c r="H131" i="87"/>
  <c r="B133" i="94"/>
  <c r="F133" i="94"/>
  <c r="H63" i="100" l="1"/>
  <c r="I63" i="100" s="1"/>
  <c r="D64" i="100"/>
  <c r="G134" i="100"/>
  <c r="D135" i="100"/>
  <c r="B60" i="73"/>
  <c r="F60" i="73"/>
  <c r="H60" i="73" s="1"/>
  <c r="E52" i="25"/>
  <c r="F52" i="25" s="1"/>
  <c r="H52" i="25" s="1"/>
  <c r="B52" i="25"/>
  <c r="E132" i="25"/>
  <c r="F132" i="25" s="1"/>
  <c r="D66" i="97"/>
  <c r="B66" i="97" s="1"/>
  <c r="G65" i="97"/>
  <c r="I131" i="25"/>
  <c r="H131" i="25"/>
  <c r="I57" i="99"/>
  <c r="I58" i="55"/>
  <c r="G58" i="99"/>
  <c r="D52" i="98"/>
  <c r="E52" i="98" s="1"/>
  <c r="G51" i="98"/>
  <c r="H51" i="98"/>
  <c r="E59" i="99"/>
  <c r="F59" i="99" s="1"/>
  <c r="D60" i="99" s="1"/>
  <c r="B59" i="99"/>
  <c r="H65" i="97"/>
  <c r="H58" i="99"/>
  <c r="H131" i="99"/>
  <c r="I131" i="99"/>
  <c r="B132" i="99"/>
  <c r="F132" i="99"/>
  <c r="B133" i="26"/>
  <c r="E133" i="26"/>
  <c r="F133" i="26" s="1"/>
  <c r="H132" i="26"/>
  <c r="I132" i="26"/>
  <c r="G57" i="46"/>
  <c r="I57" i="46" s="1"/>
  <c r="I55" i="68"/>
  <c r="G56" i="61"/>
  <c r="I56" i="61" s="1"/>
  <c r="I60" i="22"/>
  <c r="D133" i="98"/>
  <c r="G132" i="98"/>
  <c r="E133" i="98"/>
  <c r="D133" i="97"/>
  <c r="E133" i="97" s="1"/>
  <c r="G132" i="97"/>
  <c r="G54" i="90"/>
  <c r="I54" i="90" s="1"/>
  <c r="H56" i="67"/>
  <c r="I56" i="67" s="1"/>
  <c r="D57" i="67"/>
  <c r="E57" i="67" s="1"/>
  <c r="H59" i="55"/>
  <c r="D58" i="46"/>
  <c r="E58" i="46" s="1"/>
  <c r="F58" i="46" s="1"/>
  <c r="D59" i="46" s="1"/>
  <c r="I60" i="42"/>
  <c r="I59" i="39"/>
  <c r="D62" i="24"/>
  <c r="E62" i="24" s="1"/>
  <c r="F62" i="24" s="1"/>
  <c r="H61" i="24"/>
  <c r="I61" i="24" s="1"/>
  <c r="F55" i="82"/>
  <c r="G55" i="82" s="1"/>
  <c r="B55" i="82"/>
  <c r="H62" i="23"/>
  <c r="G54" i="80"/>
  <c r="D55" i="80"/>
  <c r="E55" i="80" s="1"/>
  <c r="G52" i="94"/>
  <c r="I52" i="94" s="1"/>
  <c r="D53" i="94"/>
  <c r="E53" i="94" s="1"/>
  <c r="H63" i="31"/>
  <c r="H54" i="80"/>
  <c r="H51" i="93"/>
  <c r="I51" i="93" s="1"/>
  <c r="D52" i="93"/>
  <c r="E52" i="93" s="1"/>
  <c r="F54" i="86"/>
  <c r="B54" i="86"/>
  <c r="D62" i="42"/>
  <c r="G56" i="66"/>
  <c r="I56" i="66" s="1"/>
  <c r="D57" i="66"/>
  <c r="E57" i="66" s="1"/>
  <c r="G59" i="55"/>
  <c r="G62" i="23"/>
  <c r="H57" i="53"/>
  <c r="I57" i="53" s="1"/>
  <c r="D58" i="53"/>
  <c r="D54" i="91"/>
  <c r="E54" i="91" s="1"/>
  <c r="F56" i="65"/>
  <c r="G56" i="65" s="1"/>
  <c r="B56" i="65"/>
  <c r="E63" i="23"/>
  <c r="F63" i="23" s="1"/>
  <c r="B63" i="23"/>
  <c r="E60" i="55"/>
  <c r="F60" i="55" s="1"/>
  <c r="B60" i="55"/>
  <c r="D55" i="90"/>
  <c r="E55" i="90" s="1"/>
  <c r="B61" i="42"/>
  <c r="H61" i="42"/>
  <c r="G61" i="42"/>
  <c r="F59" i="58"/>
  <c r="B59" i="58"/>
  <c r="H53" i="84"/>
  <c r="I53" i="84" s="1"/>
  <c r="D54" i="84"/>
  <c r="E54" i="84"/>
  <c r="F55" i="75"/>
  <c r="B55" i="75"/>
  <c r="H53" i="91"/>
  <c r="G53" i="91"/>
  <c r="H51" i="96"/>
  <c r="D52" i="96"/>
  <c r="E52" i="96" s="1"/>
  <c r="G63" i="31"/>
  <c r="G54" i="78"/>
  <c r="I54" i="78" s="1"/>
  <c r="H56" i="63"/>
  <c r="I56" i="63" s="1"/>
  <c r="F58" i="72"/>
  <c r="G58" i="72" s="1"/>
  <c r="B58" i="72"/>
  <c r="H54" i="76"/>
  <c r="I54" i="76" s="1"/>
  <c r="D55" i="76"/>
  <c r="E55" i="76" s="1"/>
  <c r="B54" i="85"/>
  <c r="F54" i="85"/>
  <c r="G54" i="85" s="1"/>
  <c r="H59" i="44"/>
  <c r="I59" i="44" s="1"/>
  <c r="D60" i="44"/>
  <c r="F52" i="95"/>
  <c r="B52" i="95"/>
  <c r="D57" i="61"/>
  <c r="E57" i="61" s="1"/>
  <c r="G51" i="96"/>
  <c r="I51" i="96" s="1"/>
  <c r="H53" i="81"/>
  <c r="I53" i="81" s="1"/>
  <c r="D54" i="81"/>
  <c r="E54" i="81" s="1"/>
  <c r="D61" i="39"/>
  <c r="D62" i="22"/>
  <c r="H61" i="18"/>
  <c r="I61" i="18" s="1"/>
  <c r="I63" i="29"/>
  <c r="D63" i="27"/>
  <c r="H62" i="27"/>
  <c r="G62" i="27"/>
  <c r="H60" i="39"/>
  <c r="I60" i="39" s="1"/>
  <c r="B61" i="22"/>
  <c r="H61" i="22"/>
  <c r="G61" i="22"/>
  <c r="I56" i="64"/>
  <c r="I59" i="74"/>
  <c r="I60" i="43"/>
  <c r="I53" i="88"/>
  <c r="D62" i="19"/>
  <c r="E62" i="19" s="1"/>
  <c r="D63" i="32"/>
  <c r="G62" i="32"/>
  <c r="H62" i="32"/>
  <c r="H60" i="21"/>
  <c r="D61" i="21"/>
  <c r="G60" i="21"/>
  <c r="D53" i="92"/>
  <c r="E53" i="92"/>
  <c r="H61" i="17"/>
  <c r="I61" i="17" s="1"/>
  <c r="E62" i="34"/>
  <c r="F62" i="34" s="1"/>
  <c r="B62" i="34"/>
  <c r="D58" i="57"/>
  <c r="E58" i="57" s="1"/>
  <c r="D61" i="41"/>
  <c r="E61" i="41" s="1"/>
  <c r="F61" i="41" s="1"/>
  <c r="G62" i="30"/>
  <c r="D63" i="30"/>
  <c r="I56" i="56"/>
  <c r="I61" i="3"/>
  <c r="H56" i="60"/>
  <c r="I56" i="60" s="1"/>
  <c r="B62" i="3"/>
  <c r="H62" i="3"/>
  <c r="G62" i="3"/>
  <c r="B60" i="74"/>
  <c r="G60" i="74"/>
  <c r="H60" i="74"/>
  <c r="F63" i="70"/>
  <c r="H63" i="70" s="1"/>
  <c r="B63" i="70"/>
  <c r="G65" i="28"/>
  <c r="D66" i="28"/>
  <c r="B56" i="68"/>
  <c r="F56" i="68"/>
  <c r="G56" i="68" s="1"/>
  <c r="D63" i="3"/>
  <c r="E63" i="3" s="1"/>
  <c r="F63" i="3" s="1"/>
  <c r="D64" i="3" s="1"/>
  <c r="B57" i="56"/>
  <c r="F57" i="56"/>
  <c r="D61" i="74"/>
  <c r="E61" i="74" s="1"/>
  <c r="F61" i="74" s="1"/>
  <c r="G60" i="73"/>
  <c r="I60" i="73" s="1"/>
  <c r="B64" i="71"/>
  <c r="H60" i="41"/>
  <c r="I60" i="41" s="1"/>
  <c r="H65" i="28"/>
  <c r="G54" i="77"/>
  <c r="I54" i="77" s="1"/>
  <c r="D55" i="77"/>
  <c r="E55" i="77" s="1"/>
  <c r="H52" i="92"/>
  <c r="B53" i="83"/>
  <c r="F53" i="83"/>
  <c r="G53" i="83" s="1"/>
  <c r="I64" i="28"/>
  <c r="E64" i="29"/>
  <c r="F64" i="29" s="1"/>
  <c r="B64" i="29"/>
  <c r="D62" i="17"/>
  <c r="E62" i="17" s="1"/>
  <c r="F62" i="17" s="1"/>
  <c r="B64" i="69"/>
  <c r="B59" i="45"/>
  <c r="F59" i="45"/>
  <c r="G59" i="45" s="1"/>
  <c r="F57" i="64"/>
  <c r="G57" i="64" s="1"/>
  <c r="B57" i="64"/>
  <c r="D58" i="54"/>
  <c r="E58" i="54" s="1"/>
  <c r="D57" i="60"/>
  <c r="E57" i="60" s="1"/>
  <c r="I51" i="13"/>
  <c r="H57" i="57"/>
  <c r="I57" i="57" s="1"/>
  <c r="E64" i="31"/>
  <c r="F64" i="31" s="1"/>
  <c r="B64" i="31"/>
  <c r="H54" i="79"/>
  <c r="I54" i="79" s="1"/>
  <c r="D55" i="79"/>
  <c r="E55" i="79" s="1"/>
  <c r="E64" i="71"/>
  <c r="F64" i="71" s="1"/>
  <c r="H62" i="30"/>
  <c r="E64" i="69"/>
  <c r="F64" i="69" s="1"/>
  <c r="G52" i="89"/>
  <c r="I52" i="89" s="1"/>
  <c r="E53" i="89"/>
  <c r="D53" i="89"/>
  <c r="G52" i="92"/>
  <c r="F54" i="88"/>
  <c r="G54" i="88" s="1"/>
  <c r="B54" i="88"/>
  <c r="B61" i="19"/>
  <c r="G61" i="19"/>
  <c r="H61" i="19"/>
  <c r="D55" i="78"/>
  <c r="E55" i="78" s="1"/>
  <c r="H57" i="54"/>
  <c r="I57" i="54" s="1"/>
  <c r="D57" i="63"/>
  <c r="E57" i="63" s="1"/>
  <c r="I62" i="70"/>
  <c r="F61" i="43"/>
  <c r="H61" i="43" s="1"/>
  <c r="B61" i="43"/>
  <c r="J141" i="30"/>
  <c r="J134" i="67"/>
  <c r="J142" i="28"/>
  <c r="J135" i="63"/>
  <c r="J139" i="34"/>
  <c r="J141" i="69"/>
  <c r="J136" i="53"/>
  <c r="J133" i="78"/>
  <c r="J141" i="70"/>
  <c r="J139" i="19"/>
  <c r="D61" i="73"/>
  <c r="B54" i="33"/>
  <c r="F54" i="33"/>
  <c r="G54" i="33" s="1"/>
  <c r="B60" i="20"/>
  <c r="F60" i="20"/>
  <c r="G60" i="20" s="1"/>
  <c r="J134" i="66"/>
  <c r="J136" i="58"/>
  <c r="J136" i="72"/>
  <c r="F56" i="62"/>
  <c r="G56" i="62" s="1"/>
  <c r="B56" i="62"/>
  <c r="D62" i="18"/>
  <c r="D57" i="59"/>
  <c r="E57" i="59" s="1"/>
  <c r="I52" i="26"/>
  <c r="J135" i="64"/>
  <c r="J135" i="61"/>
  <c r="H56" i="59"/>
  <c r="I56" i="59" s="1"/>
  <c r="I59" i="20"/>
  <c r="B52" i="13"/>
  <c r="F52" i="13"/>
  <c r="G52" i="13" s="1"/>
  <c r="B53" i="87"/>
  <c r="F53" i="87"/>
  <c r="F53" i="26"/>
  <c r="G53" i="26" s="1"/>
  <c r="B53" i="26"/>
  <c r="E138" i="72"/>
  <c r="G137" i="72"/>
  <c r="D138" i="72"/>
  <c r="H139" i="41"/>
  <c r="I139" i="41"/>
  <c r="H140" i="22"/>
  <c r="I140" i="22"/>
  <c r="J140" i="18"/>
  <c r="G132" i="92"/>
  <c r="D133" i="92"/>
  <c r="E133" i="92"/>
  <c r="I133" i="81"/>
  <c r="H133" i="81"/>
  <c r="E138" i="58"/>
  <c r="D138" i="58"/>
  <c r="G137" i="58"/>
  <c r="G142" i="27"/>
  <c r="D143" i="27"/>
  <c r="B143" i="27" s="1"/>
  <c r="G132" i="88"/>
  <c r="E133" i="88"/>
  <c r="D133" i="88"/>
  <c r="D138" i="53"/>
  <c r="G137" i="53"/>
  <c r="E138" i="53"/>
  <c r="J138" i="39"/>
  <c r="D140" i="43"/>
  <c r="E140" i="43" s="1"/>
  <c r="G139" i="43"/>
  <c r="E137" i="61"/>
  <c r="D137" i="61"/>
  <c r="G136" i="61"/>
  <c r="I138" i="45"/>
  <c r="H138" i="45"/>
  <c r="D141" i="19"/>
  <c r="E141" i="19" s="1"/>
  <c r="G140" i="19"/>
  <c r="G132" i="86"/>
  <c r="E133" i="86"/>
  <c r="D133" i="86"/>
  <c r="F140" i="41"/>
  <c r="B140" i="41"/>
  <c r="G135" i="66"/>
  <c r="D136" i="66"/>
  <c r="E136" i="66"/>
  <c r="E137" i="64"/>
  <c r="G136" i="64"/>
  <c r="D137" i="64"/>
  <c r="I132" i="91"/>
  <c r="H132" i="91"/>
  <c r="J136" i="46"/>
  <c r="F133" i="89"/>
  <c r="B133" i="89"/>
  <c r="G140" i="20"/>
  <c r="D141" i="20"/>
  <c r="E141" i="20" s="1"/>
  <c r="G134" i="79"/>
  <c r="E135" i="79"/>
  <c r="D135" i="79"/>
  <c r="D133" i="84"/>
  <c r="G132" i="84"/>
  <c r="E133" i="84"/>
  <c r="H139" i="73"/>
  <c r="I139" i="73"/>
  <c r="J140" i="32"/>
  <c r="J134" i="68"/>
  <c r="G139" i="39"/>
  <c r="D140" i="39"/>
  <c r="E140" i="39" s="1"/>
  <c r="E135" i="78"/>
  <c r="G134" i="78"/>
  <c r="D135" i="78"/>
  <c r="G136" i="63"/>
  <c r="E137" i="63"/>
  <c r="D137" i="63"/>
  <c r="G132" i="90"/>
  <c r="D133" i="90"/>
  <c r="E133" i="90"/>
  <c r="G136" i="60"/>
  <c r="D137" i="60"/>
  <c r="E137" i="60"/>
  <c r="J141" i="27"/>
  <c r="J141" i="29"/>
  <c r="G138" i="74"/>
  <c r="D139" i="74"/>
  <c r="E139" i="74"/>
  <c r="D143" i="30"/>
  <c r="G142" i="30"/>
  <c r="F141" i="22"/>
  <c r="B141" i="22"/>
  <c r="J140" i="31"/>
  <c r="J138" i="43"/>
  <c r="J135" i="60"/>
  <c r="J133" i="79"/>
  <c r="D143" i="70"/>
  <c r="G142" i="70"/>
  <c r="E143" i="70"/>
  <c r="D134" i="85"/>
  <c r="E134" i="85"/>
  <c r="G133" i="85"/>
  <c r="D136" i="68"/>
  <c r="G135" i="68"/>
  <c r="E136" i="68"/>
  <c r="H136" i="62"/>
  <c r="I136" i="62"/>
  <c r="D141" i="34"/>
  <c r="E141" i="34" s="1"/>
  <c r="G140" i="34"/>
  <c r="H132" i="89"/>
  <c r="I132" i="89"/>
  <c r="D143" i="69"/>
  <c r="E143" i="69"/>
  <c r="G142" i="69"/>
  <c r="B134" i="81"/>
  <c r="F134" i="81"/>
  <c r="E138" i="46"/>
  <c r="G137" i="46"/>
  <c r="D138" i="46"/>
  <c r="F140" i="73"/>
  <c r="B140" i="73"/>
  <c r="J135" i="65"/>
  <c r="J137" i="74"/>
  <c r="F139" i="45"/>
  <c r="B139" i="45"/>
  <c r="G141" i="31"/>
  <c r="D142" i="31"/>
  <c r="E142" i="31" s="1"/>
  <c r="B137" i="62"/>
  <c r="F137" i="62"/>
  <c r="D142" i="32"/>
  <c r="E142" i="32" s="1"/>
  <c r="G141" i="32"/>
  <c r="D137" i="65"/>
  <c r="G136" i="65"/>
  <c r="E137" i="65"/>
  <c r="B133" i="91"/>
  <c r="F133" i="91"/>
  <c r="J139" i="20"/>
  <c r="D143" i="29"/>
  <c r="E143" i="29" s="1"/>
  <c r="G142" i="29"/>
  <c r="G142" i="23"/>
  <c r="D143" i="23"/>
  <c r="E143" i="23" s="1"/>
  <c r="J141" i="71"/>
  <c r="D138" i="59"/>
  <c r="E138" i="59"/>
  <c r="G137" i="59"/>
  <c r="G141" i="18"/>
  <c r="D142" i="18"/>
  <c r="E142" i="18" s="1"/>
  <c r="J141" i="23"/>
  <c r="F139" i="56"/>
  <c r="B139" i="56"/>
  <c r="J136" i="59"/>
  <c r="H138" i="56"/>
  <c r="I138" i="56"/>
  <c r="J140" i="17"/>
  <c r="J137" i="57"/>
  <c r="E139" i="57"/>
  <c r="G138" i="57"/>
  <c r="D139" i="57"/>
  <c r="G142" i="71"/>
  <c r="D143" i="71"/>
  <c r="E143" i="71"/>
  <c r="G133" i="95"/>
  <c r="D134" i="95"/>
  <c r="G132" i="96"/>
  <c r="D133" i="96"/>
  <c r="B142" i="24"/>
  <c r="F142" i="24"/>
  <c r="F140" i="42"/>
  <c r="B140" i="42"/>
  <c r="I134" i="77"/>
  <c r="H134" i="77"/>
  <c r="J138" i="44"/>
  <c r="F134" i="80"/>
  <c r="B134" i="80"/>
  <c r="F135" i="75"/>
  <c r="B135" i="75"/>
  <c r="G133" i="94"/>
  <c r="D134" i="94"/>
  <c r="E134" i="94" s="1"/>
  <c r="D136" i="67"/>
  <c r="G135" i="67"/>
  <c r="E136" i="67"/>
  <c r="H137" i="54"/>
  <c r="I137" i="54"/>
  <c r="H141" i="24"/>
  <c r="I141" i="24"/>
  <c r="I139" i="42"/>
  <c r="H139" i="42"/>
  <c r="B132" i="13"/>
  <c r="F132" i="13"/>
  <c r="B134" i="83"/>
  <c r="F134" i="83"/>
  <c r="F132" i="33"/>
  <c r="B132" i="33"/>
  <c r="I133" i="80"/>
  <c r="H133" i="80"/>
  <c r="I134" i="76"/>
  <c r="H134" i="76"/>
  <c r="G141" i="17"/>
  <c r="D142" i="17"/>
  <c r="E142" i="17" s="1"/>
  <c r="H132" i="93"/>
  <c r="I132" i="93"/>
  <c r="G133" i="82"/>
  <c r="D134" i="82"/>
  <c r="E134" i="82"/>
  <c r="F138" i="54"/>
  <c r="B138" i="54"/>
  <c r="D133" i="87"/>
  <c r="G132" i="87"/>
  <c r="E133" i="87"/>
  <c r="D141" i="3"/>
  <c r="E141" i="3" s="1"/>
  <c r="G140" i="3"/>
  <c r="B135" i="77"/>
  <c r="F135" i="77"/>
  <c r="H133" i="83"/>
  <c r="I133" i="83"/>
  <c r="J139" i="3"/>
  <c r="H137" i="55"/>
  <c r="I137" i="55"/>
  <c r="G143" i="28"/>
  <c r="D144" i="28"/>
  <c r="E144" i="28" s="1"/>
  <c r="H140" i="21"/>
  <c r="I140" i="21"/>
  <c r="H134" i="75"/>
  <c r="I134" i="75"/>
  <c r="I131" i="13"/>
  <c r="H131" i="13"/>
  <c r="G139" i="44"/>
  <c r="D140" i="44"/>
  <c r="E140" i="44"/>
  <c r="B138" i="55"/>
  <c r="F138" i="55"/>
  <c r="H131" i="33"/>
  <c r="I131" i="33"/>
  <c r="B135" i="76"/>
  <c r="F135" i="76"/>
  <c r="F141" i="21"/>
  <c r="B141" i="21"/>
  <c r="B133" i="93"/>
  <c r="F133" i="93"/>
  <c r="E64" i="100" l="1"/>
  <c r="F64" i="100" s="1"/>
  <c r="H64" i="100" s="1"/>
  <c r="B64" i="100"/>
  <c r="E135" i="100"/>
  <c r="F135" i="100"/>
  <c r="B135" i="100"/>
  <c r="I134" i="100"/>
  <c r="H134" i="100"/>
  <c r="G52" i="25"/>
  <c r="I52" i="25" s="1"/>
  <c r="D53" i="25"/>
  <c r="E66" i="97"/>
  <c r="F66" i="97" s="1"/>
  <c r="G66" i="97" s="1"/>
  <c r="I65" i="97"/>
  <c r="D133" i="25"/>
  <c r="G132" i="25"/>
  <c r="I51" i="98"/>
  <c r="J131" i="25"/>
  <c r="J132" i="26"/>
  <c r="I58" i="99"/>
  <c r="E60" i="99"/>
  <c r="F60" i="99" s="1"/>
  <c r="D61" i="99" s="1"/>
  <c r="B60" i="99"/>
  <c r="H59" i="99"/>
  <c r="G59" i="99"/>
  <c r="F52" i="98"/>
  <c r="H52" i="98" s="1"/>
  <c r="B52" i="98"/>
  <c r="E133" i="99"/>
  <c r="D133" i="99"/>
  <c r="G132" i="99"/>
  <c r="D134" i="26"/>
  <c r="G133" i="26"/>
  <c r="G61" i="43"/>
  <c r="I61" i="43" s="1"/>
  <c r="I65" i="28"/>
  <c r="I59" i="55"/>
  <c r="I63" i="31"/>
  <c r="B133" i="97"/>
  <c r="F133" i="97"/>
  <c r="H132" i="98"/>
  <c r="I132" i="98"/>
  <c r="I132" i="97"/>
  <c r="H132" i="97"/>
  <c r="F133" i="98"/>
  <c r="B133" i="98"/>
  <c r="I54" i="80"/>
  <c r="B57" i="67"/>
  <c r="F57" i="67"/>
  <c r="H57" i="67" s="1"/>
  <c r="H56" i="65"/>
  <c r="I56" i="65" s="1"/>
  <c r="E59" i="46"/>
  <c r="F59" i="46" s="1"/>
  <c r="G59" i="46" s="1"/>
  <c r="B59" i="46"/>
  <c r="B58" i="46"/>
  <c r="H58" i="46"/>
  <c r="G58" i="46"/>
  <c r="D63" i="24"/>
  <c r="E63" i="24" s="1"/>
  <c r="F63" i="24" s="1"/>
  <c r="B62" i="24"/>
  <c r="H62" i="24"/>
  <c r="G62" i="24"/>
  <c r="I62" i="23"/>
  <c r="F52" i="93"/>
  <c r="G52" i="93" s="1"/>
  <c r="B52" i="93"/>
  <c r="B53" i="94"/>
  <c r="F53" i="94"/>
  <c r="G53" i="94" s="1"/>
  <c r="F55" i="80"/>
  <c r="G55" i="80" s="1"/>
  <c r="B55" i="80"/>
  <c r="I61" i="22"/>
  <c r="H55" i="82"/>
  <c r="I55" i="82" s="1"/>
  <c r="D56" i="82"/>
  <c r="E56" i="82" s="1"/>
  <c r="G54" i="86"/>
  <c r="D55" i="86"/>
  <c r="H54" i="86"/>
  <c r="E55" i="86"/>
  <c r="F54" i="91"/>
  <c r="G54" i="91" s="1"/>
  <c r="B54" i="91"/>
  <c r="I53" i="91"/>
  <c r="D56" i="75"/>
  <c r="E56" i="75" s="1"/>
  <c r="F55" i="90"/>
  <c r="G55" i="90" s="1"/>
  <c r="B55" i="90"/>
  <c r="H60" i="55"/>
  <c r="D61" i="55"/>
  <c r="B62" i="42"/>
  <c r="D60" i="58"/>
  <c r="E60" i="58" s="1"/>
  <c r="F60" i="58" s="1"/>
  <c r="G59" i="58"/>
  <c r="H59" i="58"/>
  <c r="H63" i="23"/>
  <c r="D64" i="23"/>
  <c r="H55" i="75"/>
  <c r="E58" i="53"/>
  <c r="F58" i="53" s="1"/>
  <c r="B58" i="53"/>
  <c r="F57" i="66"/>
  <c r="G57" i="66" s="1"/>
  <c r="B57" i="66"/>
  <c r="E62" i="42"/>
  <c r="F62" i="42" s="1"/>
  <c r="D63" i="42" s="1"/>
  <c r="G55" i="75"/>
  <c r="B54" i="84"/>
  <c r="F54" i="84"/>
  <c r="I61" i="42"/>
  <c r="G60" i="55"/>
  <c r="G63" i="23"/>
  <c r="D57" i="65"/>
  <c r="E57" i="65" s="1"/>
  <c r="D63" i="34"/>
  <c r="H62" i="34"/>
  <c r="D53" i="95"/>
  <c r="E53" i="95" s="1"/>
  <c r="I62" i="27"/>
  <c r="B61" i="39"/>
  <c r="H52" i="95"/>
  <c r="B60" i="44"/>
  <c r="D55" i="85"/>
  <c r="E55" i="85"/>
  <c r="H54" i="88"/>
  <c r="I54" i="88" s="1"/>
  <c r="E63" i="27"/>
  <c r="F63" i="27" s="1"/>
  <c r="B63" i="27"/>
  <c r="E61" i="39"/>
  <c r="F61" i="39" s="1"/>
  <c r="H61" i="39" s="1"/>
  <c r="G52" i="95"/>
  <c r="E60" i="44"/>
  <c r="F60" i="44" s="1"/>
  <c r="B62" i="22"/>
  <c r="D59" i="72"/>
  <c r="E62" i="22"/>
  <c r="F62" i="22" s="1"/>
  <c r="F54" i="81"/>
  <c r="B54" i="81"/>
  <c r="B57" i="61"/>
  <c r="F57" i="61"/>
  <c r="G57" i="61" s="1"/>
  <c r="H54" i="85"/>
  <c r="I54" i="85" s="1"/>
  <c r="F55" i="76"/>
  <c r="G55" i="76" s="1"/>
  <c r="B55" i="76"/>
  <c r="H58" i="72"/>
  <c r="I58" i="72" s="1"/>
  <c r="B52" i="96"/>
  <c r="F52" i="96"/>
  <c r="H52" i="96" s="1"/>
  <c r="I62" i="3"/>
  <c r="I61" i="19"/>
  <c r="I60" i="74"/>
  <c r="I62" i="32"/>
  <c r="G64" i="69"/>
  <c r="D65" i="69"/>
  <c r="E65" i="69" s="1"/>
  <c r="H64" i="69"/>
  <c r="D65" i="71"/>
  <c r="G64" i="71"/>
  <c r="H64" i="71"/>
  <c r="D65" i="29"/>
  <c r="E65" i="29" s="1"/>
  <c r="F65" i="29" s="1"/>
  <c r="D66" i="29" s="1"/>
  <c r="F53" i="92"/>
  <c r="G53" i="92" s="1"/>
  <c r="B53" i="92"/>
  <c r="B57" i="63"/>
  <c r="F57" i="63"/>
  <c r="H57" i="63" s="1"/>
  <c r="B53" i="89"/>
  <c r="F53" i="89"/>
  <c r="H53" i="89" s="1"/>
  <c r="G64" i="29"/>
  <c r="B63" i="3"/>
  <c r="G63" i="3"/>
  <c r="H63" i="3"/>
  <c r="D64" i="70"/>
  <c r="E64" i="70" s="1"/>
  <c r="F64" i="70" s="1"/>
  <c r="D65" i="70" s="1"/>
  <c r="B58" i="57"/>
  <c r="F58" i="57"/>
  <c r="H58" i="57" s="1"/>
  <c r="F62" i="19"/>
  <c r="G62" i="19" s="1"/>
  <c r="B62" i="19"/>
  <c r="D58" i="56"/>
  <c r="E58" i="56" s="1"/>
  <c r="D55" i="88"/>
  <c r="E55" i="88" s="1"/>
  <c r="I62" i="30"/>
  <c r="H64" i="31"/>
  <c r="G64" i="31"/>
  <c r="D65" i="31"/>
  <c r="F58" i="54"/>
  <c r="H58" i="54" s="1"/>
  <c r="B58" i="54"/>
  <c r="D58" i="64"/>
  <c r="E58" i="64" s="1"/>
  <c r="D63" i="17"/>
  <c r="E63" i="17" s="1"/>
  <c r="F63" i="17" s="1"/>
  <c r="D64" i="17" s="1"/>
  <c r="H64" i="29"/>
  <c r="D54" i="83"/>
  <c r="E54" i="83"/>
  <c r="I52" i="92"/>
  <c r="D62" i="74"/>
  <c r="H57" i="56"/>
  <c r="E66" i="28"/>
  <c r="F66" i="28" s="1"/>
  <c r="D67" i="28" s="1"/>
  <c r="B66" i="28"/>
  <c r="D62" i="41"/>
  <c r="E62" i="41" s="1"/>
  <c r="G62" i="34"/>
  <c r="E61" i="21"/>
  <c r="F61" i="21" s="1"/>
  <c r="B61" i="21"/>
  <c r="E63" i="32"/>
  <c r="F63" i="32" s="1"/>
  <c r="G63" i="32" s="1"/>
  <c r="B63" i="32"/>
  <c r="B57" i="60"/>
  <c r="F57" i="60"/>
  <c r="G57" i="60" s="1"/>
  <c r="D60" i="45"/>
  <c r="E64" i="3"/>
  <c r="F64" i="3" s="1"/>
  <c r="B64" i="3"/>
  <c r="E63" i="30"/>
  <c r="F63" i="30" s="1"/>
  <c r="B63" i="30"/>
  <c r="H52" i="13"/>
  <c r="I52" i="13" s="1"/>
  <c r="H56" i="62"/>
  <c r="I56" i="62" s="1"/>
  <c r="D62" i="43"/>
  <c r="E62" i="43" s="1"/>
  <c r="F55" i="78"/>
  <c r="G55" i="78" s="1"/>
  <c r="B55" i="78"/>
  <c r="B55" i="79"/>
  <c r="F55" i="79"/>
  <c r="G55" i="79" s="1"/>
  <c r="H57" i="64"/>
  <c r="I57" i="64" s="1"/>
  <c r="H59" i="45"/>
  <c r="I59" i="45" s="1"/>
  <c r="B62" i="17"/>
  <c r="C71" i="17"/>
  <c r="H62" i="17"/>
  <c r="G62" i="17"/>
  <c r="H53" i="83"/>
  <c r="I53" i="83" s="1"/>
  <c r="F55" i="77"/>
  <c r="H55" i="77" s="1"/>
  <c r="B55" i="77"/>
  <c r="B61" i="74"/>
  <c r="H61" i="74"/>
  <c r="G61" i="74"/>
  <c r="G57" i="56"/>
  <c r="H56" i="68"/>
  <c r="I56" i="68" s="1"/>
  <c r="D57" i="68"/>
  <c r="E57" i="68" s="1"/>
  <c r="G63" i="70"/>
  <c r="I63" i="70" s="1"/>
  <c r="B61" i="41"/>
  <c r="H61" i="41"/>
  <c r="G61" i="41"/>
  <c r="I60" i="21"/>
  <c r="J141" i="24"/>
  <c r="E143" i="27"/>
  <c r="F143" i="27" s="1"/>
  <c r="J140" i="22"/>
  <c r="J140" i="21"/>
  <c r="J138" i="56"/>
  <c r="J139" i="73"/>
  <c r="E54" i="87"/>
  <c r="D54" i="87"/>
  <c r="B62" i="18"/>
  <c r="D61" i="20"/>
  <c r="H54" i="33"/>
  <c r="I54" i="33" s="1"/>
  <c r="B57" i="59"/>
  <c r="F57" i="59"/>
  <c r="H57" i="59" s="1"/>
  <c r="D54" i="26"/>
  <c r="E54" i="26" s="1"/>
  <c r="G53" i="87"/>
  <c r="D53" i="13"/>
  <c r="E53" i="13" s="1"/>
  <c r="E62" i="18"/>
  <c r="F62" i="18" s="1"/>
  <c r="H60" i="20"/>
  <c r="I60" i="20" s="1"/>
  <c r="B61" i="73"/>
  <c r="J134" i="76"/>
  <c r="H53" i="26"/>
  <c r="I53" i="26" s="1"/>
  <c r="H53" i="87"/>
  <c r="D57" i="62"/>
  <c r="E57" i="62" s="1"/>
  <c r="E61" i="73"/>
  <c r="F61" i="73" s="1"/>
  <c r="D55" i="33"/>
  <c r="E55" i="33" s="1"/>
  <c r="F137" i="60"/>
  <c r="B137" i="60"/>
  <c r="I132" i="90"/>
  <c r="H132" i="90"/>
  <c r="H139" i="39"/>
  <c r="I139" i="39"/>
  <c r="F137" i="64"/>
  <c r="B137" i="64"/>
  <c r="I141" i="32"/>
  <c r="H141" i="32"/>
  <c r="D140" i="45"/>
  <c r="E140" i="45" s="1"/>
  <c r="G139" i="45"/>
  <c r="G140" i="73"/>
  <c r="E141" i="73"/>
  <c r="D141" i="73"/>
  <c r="D135" i="81"/>
  <c r="E135" i="81"/>
  <c r="G134" i="81"/>
  <c r="B143" i="69"/>
  <c r="F143" i="69"/>
  <c r="F143" i="70"/>
  <c r="B143" i="70"/>
  <c r="E143" i="30"/>
  <c r="F143" i="30" s="1"/>
  <c r="B143" i="30"/>
  <c r="I136" i="60"/>
  <c r="H136" i="60"/>
  <c r="B137" i="63"/>
  <c r="F137" i="63"/>
  <c r="H134" i="78"/>
  <c r="I134" i="78"/>
  <c r="B135" i="79"/>
  <c r="F135" i="79"/>
  <c r="F141" i="20"/>
  <c r="B141" i="20"/>
  <c r="I136" i="64"/>
  <c r="H136" i="64"/>
  <c r="H135" i="66"/>
  <c r="I135" i="66"/>
  <c r="F141" i="19"/>
  <c r="B141" i="19"/>
  <c r="F137" i="61"/>
  <c r="B137" i="61"/>
  <c r="F140" i="43"/>
  <c r="B140" i="43"/>
  <c r="B138" i="53"/>
  <c r="F138" i="53"/>
  <c r="F138" i="58"/>
  <c r="B138" i="58"/>
  <c r="B138" i="72"/>
  <c r="F138" i="72"/>
  <c r="F143" i="29"/>
  <c r="B143" i="29"/>
  <c r="H142" i="70"/>
  <c r="I142" i="70"/>
  <c r="F135" i="78"/>
  <c r="B135" i="78"/>
  <c r="B136" i="66"/>
  <c r="F136" i="66"/>
  <c r="I132" i="88"/>
  <c r="H132" i="88"/>
  <c r="H136" i="65"/>
  <c r="I136" i="65"/>
  <c r="F142" i="32"/>
  <c r="B142" i="32"/>
  <c r="B142" i="31"/>
  <c r="F142" i="31"/>
  <c r="B138" i="46"/>
  <c r="F138" i="46"/>
  <c r="F141" i="34"/>
  <c r="B141" i="34"/>
  <c r="H135" i="68"/>
  <c r="I135" i="68"/>
  <c r="B134" i="85"/>
  <c r="F134" i="85"/>
  <c r="H140" i="20"/>
  <c r="I140" i="20"/>
  <c r="H132" i="86"/>
  <c r="I132" i="86"/>
  <c r="B133" i="88"/>
  <c r="F133" i="88"/>
  <c r="B133" i="92"/>
  <c r="F133" i="92"/>
  <c r="I137" i="72"/>
  <c r="H137" i="72"/>
  <c r="I140" i="34"/>
  <c r="H140" i="34"/>
  <c r="H133" i="85"/>
  <c r="I133" i="85"/>
  <c r="H142" i="30"/>
  <c r="I142" i="30"/>
  <c r="H138" i="74"/>
  <c r="I138" i="74"/>
  <c r="F133" i="84"/>
  <c r="B133" i="84"/>
  <c r="E134" i="89"/>
  <c r="D134" i="89"/>
  <c r="G133" i="89"/>
  <c r="B133" i="86"/>
  <c r="F133" i="86"/>
  <c r="H136" i="61"/>
  <c r="I136" i="61"/>
  <c r="I137" i="53"/>
  <c r="H137" i="53"/>
  <c r="I137" i="58"/>
  <c r="H137" i="58"/>
  <c r="I142" i="29"/>
  <c r="H142" i="29"/>
  <c r="E134" i="91"/>
  <c r="G133" i="91"/>
  <c r="D134" i="91"/>
  <c r="F137" i="65"/>
  <c r="B137" i="65"/>
  <c r="D138" i="62"/>
  <c r="G137" i="62"/>
  <c r="E138" i="62"/>
  <c r="H141" i="31"/>
  <c r="I141" i="31"/>
  <c r="H137" i="46"/>
  <c r="I137" i="46"/>
  <c r="I142" i="69"/>
  <c r="H142" i="69"/>
  <c r="J136" i="62"/>
  <c r="F136" i="68"/>
  <c r="B136" i="68"/>
  <c r="D142" i="22"/>
  <c r="E142" i="22" s="1"/>
  <c r="G141" i="22"/>
  <c r="B139" i="74"/>
  <c r="F139" i="74"/>
  <c r="F133" i="90"/>
  <c r="B133" i="90"/>
  <c r="I136" i="63"/>
  <c r="H136" i="63"/>
  <c r="B140" i="39"/>
  <c r="F140" i="39"/>
  <c r="I132" i="84"/>
  <c r="H132" i="84"/>
  <c r="H134" i="79"/>
  <c r="I134" i="79"/>
  <c r="G140" i="41"/>
  <c r="D141" i="41"/>
  <c r="E141" i="41" s="1"/>
  <c r="I140" i="19"/>
  <c r="H140" i="19"/>
  <c r="J138" i="45"/>
  <c r="H139" i="43"/>
  <c r="I139" i="43"/>
  <c r="I142" i="27"/>
  <c r="H142" i="27"/>
  <c r="I132" i="92"/>
  <c r="H132" i="92"/>
  <c r="J139" i="41"/>
  <c r="I141" i="18"/>
  <c r="H141" i="18"/>
  <c r="F138" i="59"/>
  <c r="B138" i="59"/>
  <c r="J137" i="55"/>
  <c r="H137" i="59"/>
  <c r="I137" i="59"/>
  <c r="B143" i="23"/>
  <c r="F143" i="23"/>
  <c r="D140" i="56"/>
  <c r="E140" i="56" s="1"/>
  <c r="G139" i="56"/>
  <c r="F142" i="18"/>
  <c r="B142" i="18"/>
  <c r="I142" i="23"/>
  <c r="H142" i="23"/>
  <c r="J137" i="54"/>
  <c r="I142" i="71"/>
  <c r="H142" i="71"/>
  <c r="F139" i="57"/>
  <c r="B139" i="57"/>
  <c r="I138" i="57"/>
  <c r="H138" i="57"/>
  <c r="J134" i="77"/>
  <c r="F143" i="71"/>
  <c r="B143" i="71"/>
  <c r="E136" i="76"/>
  <c r="D136" i="76"/>
  <c r="G135" i="76"/>
  <c r="E139" i="55"/>
  <c r="D139" i="55"/>
  <c r="G138" i="55"/>
  <c r="J134" i="75"/>
  <c r="B144" i="28"/>
  <c r="F144" i="28"/>
  <c r="G138" i="54"/>
  <c r="E139" i="54"/>
  <c r="D139" i="54"/>
  <c r="F142" i="17"/>
  <c r="B142" i="17"/>
  <c r="D135" i="80"/>
  <c r="E135" i="80"/>
  <c r="G134" i="80"/>
  <c r="B133" i="96"/>
  <c r="F140" i="44"/>
  <c r="B140" i="44"/>
  <c r="I143" i="28"/>
  <c r="H143" i="28"/>
  <c r="D136" i="77"/>
  <c r="G135" i="77"/>
  <c r="E136" i="77"/>
  <c r="I132" i="87"/>
  <c r="H132" i="87"/>
  <c r="F134" i="82"/>
  <c r="B134" i="82"/>
  <c r="H141" i="17"/>
  <c r="I141" i="17"/>
  <c r="G132" i="33"/>
  <c r="D133" i="33"/>
  <c r="E133" i="33" s="1"/>
  <c r="E136" i="75"/>
  <c r="G135" i="75"/>
  <c r="D136" i="75"/>
  <c r="H132" i="96"/>
  <c r="I132" i="96"/>
  <c r="B134" i="95"/>
  <c r="J131" i="33"/>
  <c r="H139" i="44"/>
  <c r="I139" i="44"/>
  <c r="H140" i="3"/>
  <c r="I140" i="3"/>
  <c r="B133" i="87"/>
  <c r="F133" i="87"/>
  <c r="H133" i="82"/>
  <c r="I133" i="82"/>
  <c r="J139" i="42"/>
  <c r="I135" i="67"/>
  <c r="H135" i="67"/>
  <c r="F134" i="94"/>
  <c r="B134" i="94"/>
  <c r="G140" i="42"/>
  <c r="D141" i="42"/>
  <c r="E141" i="42" s="1"/>
  <c r="H133" i="95"/>
  <c r="I133" i="95"/>
  <c r="G133" i="93"/>
  <c r="D134" i="93"/>
  <c r="G141" i="21"/>
  <c r="D142" i="21"/>
  <c r="E142" i="21" s="1"/>
  <c r="B141" i="3"/>
  <c r="F141" i="3"/>
  <c r="E135" i="83"/>
  <c r="D135" i="83"/>
  <c r="G134" i="83"/>
  <c r="D133" i="13"/>
  <c r="E133" i="13" s="1"/>
  <c r="G132" i="13"/>
  <c r="F136" i="67"/>
  <c r="B136" i="67"/>
  <c r="H133" i="94"/>
  <c r="I133" i="94"/>
  <c r="G142" i="24"/>
  <c r="D143" i="24"/>
  <c r="E133" i="96"/>
  <c r="F133" i="96" s="1"/>
  <c r="E134" i="95"/>
  <c r="F134" i="95" s="1"/>
  <c r="G64" i="100" l="1"/>
  <c r="I64" i="100" s="1"/>
  <c r="D65" i="100"/>
  <c r="D136" i="100"/>
  <c r="G135" i="100"/>
  <c r="E136" i="100"/>
  <c r="E53" i="25"/>
  <c r="F53" i="25" s="1"/>
  <c r="G53" i="25" s="1"/>
  <c r="B53" i="25"/>
  <c r="H66" i="97"/>
  <c r="I66" i="97" s="1"/>
  <c r="D67" i="97"/>
  <c r="E67" i="97" s="1"/>
  <c r="F67" i="97" s="1"/>
  <c r="D68" i="97" s="1"/>
  <c r="B68" i="97" s="1"/>
  <c r="H132" i="25"/>
  <c r="I132" i="25"/>
  <c r="J132" i="25" s="1"/>
  <c r="E133" i="25"/>
  <c r="F133" i="25" s="1"/>
  <c r="B133" i="25"/>
  <c r="G60" i="99"/>
  <c r="I59" i="99"/>
  <c r="D53" i="98"/>
  <c r="E53" i="98"/>
  <c r="E61" i="99"/>
  <c r="F61" i="99" s="1"/>
  <c r="B61" i="99"/>
  <c r="G52" i="98"/>
  <c r="I52" i="98" s="1"/>
  <c r="H60" i="99"/>
  <c r="H132" i="99"/>
  <c r="I132" i="99"/>
  <c r="F133" i="99"/>
  <c r="B133" i="99"/>
  <c r="H53" i="94"/>
  <c r="I53" i="94" s="1"/>
  <c r="I133" i="26"/>
  <c r="H133" i="26"/>
  <c r="B134" i="26"/>
  <c r="E134" i="26"/>
  <c r="F134" i="26" s="1"/>
  <c r="I63" i="23"/>
  <c r="I62" i="34"/>
  <c r="H52" i="93"/>
  <c r="I52" i="93" s="1"/>
  <c r="I58" i="46"/>
  <c r="I62" i="24"/>
  <c r="G133" i="98"/>
  <c r="D134" i="98"/>
  <c r="E134" i="98"/>
  <c r="D134" i="97"/>
  <c r="E134" i="97" s="1"/>
  <c r="G133" i="97"/>
  <c r="G143" i="27"/>
  <c r="H143" i="27" s="1"/>
  <c r="D144" i="27"/>
  <c r="B144" i="27" s="1"/>
  <c r="I54" i="86"/>
  <c r="G57" i="67"/>
  <c r="I57" i="67" s="1"/>
  <c r="D58" i="67"/>
  <c r="H57" i="60"/>
  <c r="I57" i="60" s="1"/>
  <c r="D60" i="46"/>
  <c r="E60" i="46" s="1"/>
  <c r="F60" i="46" s="1"/>
  <c r="H59" i="46"/>
  <c r="I59" i="46" s="1"/>
  <c r="D64" i="24"/>
  <c r="B64" i="24" s="1"/>
  <c r="B63" i="24"/>
  <c r="G63" i="24"/>
  <c r="H63" i="24"/>
  <c r="H57" i="66"/>
  <c r="I57" i="66" s="1"/>
  <c r="F56" i="82"/>
  <c r="G56" i="82" s="1"/>
  <c r="B56" i="82"/>
  <c r="B55" i="86"/>
  <c r="F55" i="86"/>
  <c r="D56" i="80"/>
  <c r="E56" i="80" s="1"/>
  <c r="D54" i="94"/>
  <c r="E54" i="94"/>
  <c r="G57" i="59"/>
  <c r="I57" i="59" s="1"/>
  <c r="H55" i="79"/>
  <c r="I55" i="79" s="1"/>
  <c r="H55" i="80"/>
  <c r="I55" i="80" s="1"/>
  <c r="D53" i="93"/>
  <c r="E53" i="93" s="1"/>
  <c r="G58" i="53"/>
  <c r="D59" i="53"/>
  <c r="E59" i="53" s="1"/>
  <c r="H58" i="53"/>
  <c r="D61" i="58"/>
  <c r="B61" i="58" s="1"/>
  <c r="H62" i="42"/>
  <c r="E61" i="55"/>
  <c r="F61" i="55" s="1"/>
  <c r="B61" i="55"/>
  <c r="H55" i="90"/>
  <c r="I55" i="90" s="1"/>
  <c r="D56" i="90"/>
  <c r="E56" i="90"/>
  <c r="G55" i="77"/>
  <c r="I55" i="77" s="1"/>
  <c r="G58" i="57"/>
  <c r="I58" i="57" s="1"/>
  <c r="I55" i="75"/>
  <c r="I59" i="58"/>
  <c r="G62" i="42"/>
  <c r="I60" i="55"/>
  <c r="G54" i="84"/>
  <c r="D55" i="84"/>
  <c r="E55" i="84"/>
  <c r="B60" i="58"/>
  <c r="H60" i="58"/>
  <c r="G60" i="58"/>
  <c r="I64" i="29"/>
  <c r="F57" i="65"/>
  <c r="D58" i="65" s="1"/>
  <c r="B57" i="65"/>
  <c r="H54" i="84"/>
  <c r="E63" i="42"/>
  <c r="F63" i="42" s="1"/>
  <c r="G63" i="42" s="1"/>
  <c r="B63" i="42"/>
  <c r="D58" i="66"/>
  <c r="E58" i="66" s="1"/>
  <c r="E64" i="23"/>
  <c r="F64" i="23" s="1"/>
  <c r="B64" i="23"/>
  <c r="B56" i="75"/>
  <c r="F56" i="75"/>
  <c r="G56" i="75" s="1"/>
  <c r="H54" i="91"/>
  <c r="I54" i="91" s="1"/>
  <c r="D55" i="91"/>
  <c r="E55" i="91" s="1"/>
  <c r="D61" i="44"/>
  <c r="E61" i="44" s="1"/>
  <c r="H60" i="44"/>
  <c r="G60" i="44"/>
  <c r="G53" i="89"/>
  <c r="I53" i="89" s="1"/>
  <c r="H55" i="76"/>
  <c r="I55" i="76" s="1"/>
  <c r="D56" i="76"/>
  <c r="E56" i="76" s="1"/>
  <c r="D63" i="22"/>
  <c r="E63" i="22" s="1"/>
  <c r="F63" i="22" s="1"/>
  <c r="G62" i="22"/>
  <c r="F55" i="85"/>
  <c r="H55" i="85" s="1"/>
  <c r="B55" i="85"/>
  <c r="G61" i="39"/>
  <c r="I61" i="39" s="1"/>
  <c r="D62" i="39"/>
  <c r="E62" i="39" s="1"/>
  <c r="H54" i="81"/>
  <c r="D55" i="81"/>
  <c r="E55" i="81" s="1"/>
  <c r="G57" i="63"/>
  <c r="I57" i="63" s="1"/>
  <c r="G54" i="81"/>
  <c r="H62" i="22"/>
  <c r="I52" i="95"/>
  <c r="B59" i="72"/>
  <c r="B53" i="95"/>
  <c r="F53" i="95"/>
  <c r="H53" i="95" s="1"/>
  <c r="I63" i="3"/>
  <c r="I64" i="71"/>
  <c r="G52" i="96"/>
  <c r="I52" i="96" s="1"/>
  <c r="D53" i="96"/>
  <c r="E53" i="96" s="1"/>
  <c r="H57" i="61"/>
  <c r="I57" i="61" s="1"/>
  <c r="D58" i="61"/>
  <c r="E58" i="61" s="1"/>
  <c r="E59" i="72"/>
  <c r="F59" i="72" s="1"/>
  <c r="H63" i="27"/>
  <c r="D64" i="27"/>
  <c r="G63" i="27"/>
  <c r="E63" i="34"/>
  <c r="F63" i="34" s="1"/>
  <c r="B63" i="34"/>
  <c r="I53" i="87"/>
  <c r="I61" i="41"/>
  <c r="I61" i="74"/>
  <c r="I62" i="17"/>
  <c r="I64" i="31"/>
  <c r="I64" i="69"/>
  <c r="D64" i="30"/>
  <c r="E64" i="30" s="1"/>
  <c r="H63" i="30"/>
  <c r="G63" i="30"/>
  <c r="D62" i="21"/>
  <c r="H61" i="21"/>
  <c r="G61" i="21"/>
  <c r="E64" i="17"/>
  <c r="F64" i="17" s="1"/>
  <c r="B64" i="17"/>
  <c r="B60" i="45"/>
  <c r="E67" i="28"/>
  <c r="F67" i="28" s="1"/>
  <c r="B67" i="28"/>
  <c r="E65" i="31"/>
  <c r="F65" i="31" s="1"/>
  <c r="B65" i="31"/>
  <c r="D56" i="77"/>
  <c r="E56" i="77" s="1"/>
  <c r="D56" i="79"/>
  <c r="E56" i="79" s="1"/>
  <c r="B55" i="88"/>
  <c r="F55" i="88"/>
  <c r="H55" i="88" s="1"/>
  <c r="F58" i="56"/>
  <c r="B58" i="56"/>
  <c r="D59" i="57"/>
  <c r="E59" i="57" s="1"/>
  <c r="F59" i="57" s="1"/>
  <c r="D54" i="89"/>
  <c r="E54" i="89" s="1"/>
  <c r="B62" i="74"/>
  <c r="D58" i="60"/>
  <c r="E58" i="60" s="1"/>
  <c r="G66" i="28"/>
  <c r="I57" i="56"/>
  <c r="C72" i="17"/>
  <c r="B63" i="17"/>
  <c r="G63" i="17"/>
  <c r="H63" i="17"/>
  <c r="E65" i="70"/>
  <c r="F65" i="70" s="1"/>
  <c r="B65" i="70"/>
  <c r="D58" i="63"/>
  <c r="E58" i="63" s="1"/>
  <c r="D54" i="92"/>
  <c r="E54" i="92" s="1"/>
  <c r="E66" i="29"/>
  <c r="F66" i="29" s="1"/>
  <c r="B66" i="29"/>
  <c r="B65" i="71"/>
  <c r="F65" i="69"/>
  <c r="D66" i="69" s="1"/>
  <c r="B65" i="69"/>
  <c r="H55" i="78"/>
  <c r="I55" i="78" s="1"/>
  <c r="D56" i="78"/>
  <c r="E56" i="78" s="1"/>
  <c r="H64" i="3"/>
  <c r="D65" i="3"/>
  <c r="E65" i="3" s="1"/>
  <c r="F65" i="3" s="1"/>
  <c r="D66" i="3" s="1"/>
  <c r="B57" i="68"/>
  <c r="F57" i="68"/>
  <c r="G57" i="68" s="1"/>
  <c r="B62" i="43"/>
  <c r="F62" i="43"/>
  <c r="G62" i="43" s="1"/>
  <c r="G64" i="3"/>
  <c r="E60" i="45"/>
  <c r="F60" i="45" s="1"/>
  <c r="H63" i="32"/>
  <c r="I63" i="32" s="1"/>
  <c r="D64" i="32"/>
  <c r="F62" i="41"/>
  <c r="G62" i="41" s="1"/>
  <c r="B62" i="41"/>
  <c r="H66" i="28"/>
  <c r="E62" i="74"/>
  <c r="F62" i="74" s="1"/>
  <c r="F54" i="83"/>
  <c r="H54" i="83" s="1"/>
  <c r="B54" i="83"/>
  <c r="F58" i="64"/>
  <c r="D59" i="64" s="1"/>
  <c r="B58" i="64"/>
  <c r="G58" i="54"/>
  <c r="I58" i="54" s="1"/>
  <c r="D59" i="54"/>
  <c r="E59" i="54" s="1"/>
  <c r="H62" i="19"/>
  <c r="I62" i="19" s="1"/>
  <c r="D63" i="19"/>
  <c r="E63" i="19" s="1"/>
  <c r="B64" i="70"/>
  <c r="H64" i="70"/>
  <c r="G64" i="70"/>
  <c r="H53" i="92"/>
  <c r="I53" i="92" s="1"/>
  <c r="B65" i="29"/>
  <c r="G65" i="29"/>
  <c r="H65" i="29"/>
  <c r="E65" i="71"/>
  <c r="F65" i="71" s="1"/>
  <c r="J139" i="39"/>
  <c r="J140" i="34"/>
  <c r="J136" i="64"/>
  <c r="J137" i="59"/>
  <c r="J141" i="31"/>
  <c r="D62" i="73"/>
  <c r="G61" i="73"/>
  <c r="H61" i="73"/>
  <c r="D63" i="18"/>
  <c r="E63" i="18" s="1"/>
  <c r="G62" i="18"/>
  <c r="H62" i="18"/>
  <c r="D58" i="59"/>
  <c r="E58" i="59" s="1"/>
  <c r="J142" i="29"/>
  <c r="J137" i="58"/>
  <c r="J138" i="74"/>
  <c r="J140" i="20"/>
  <c r="J135" i="68"/>
  <c r="J135" i="66"/>
  <c r="J134" i="78"/>
  <c r="F55" i="33"/>
  <c r="H55" i="33" s="1"/>
  <c r="B55" i="33"/>
  <c r="B54" i="26"/>
  <c r="F54" i="26"/>
  <c r="G54" i="26" s="1"/>
  <c r="B61" i="20"/>
  <c r="B54" i="87"/>
  <c r="F54" i="87"/>
  <c r="H54" i="87" s="1"/>
  <c r="J136" i="65"/>
  <c r="B57" i="62"/>
  <c r="F57" i="62"/>
  <c r="H57" i="62" s="1"/>
  <c r="F53" i="13"/>
  <c r="G53" i="13" s="1"/>
  <c r="B53" i="13"/>
  <c r="E61" i="20"/>
  <c r="F61" i="20" s="1"/>
  <c r="D144" i="30"/>
  <c r="B144" i="30" s="1"/>
  <c r="G143" i="30"/>
  <c r="F134" i="91"/>
  <c r="B134" i="91"/>
  <c r="G133" i="88"/>
  <c r="D134" i="88"/>
  <c r="E134" i="88"/>
  <c r="G138" i="53"/>
  <c r="D139" i="53"/>
  <c r="E139" i="53"/>
  <c r="J138" i="57"/>
  <c r="H140" i="41"/>
  <c r="I140" i="41"/>
  <c r="G139" i="74"/>
  <c r="E140" i="74"/>
  <c r="D140" i="74"/>
  <c r="F138" i="62"/>
  <c r="B138" i="62"/>
  <c r="H133" i="91"/>
  <c r="I133" i="91"/>
  <c r="E134" i="86"/>
  <c r="G133" i="86"/>
  <c r="D134" i="86"/>
  <c r="J137" i="72"/>
  <c r="D143" i="32"/>
  <c r="E143" i="32" s="1"/>
  <c r="G142" i="32"/>
  <c r="E136" i="78"/>
  <c r="G135" i="78"/>
  <c r="D136" i="78"/>
  <c r="D144" i="29"/>
  <c r="E144" i="29" s="1"/>
  <c r="G143" i="29"/>
  <c r="G138" i="58"/>
  <c r="E139" i="58"/>
  <c r="D139" i="58"/>
  <c r="E138" i="61"/>
  <c r="G137" i="61"/>
  <c r="D138" i="61"/>
  <c r="D142" i="20"/>
  <c r="E142" i="20" s="1"/>
  <c r="G141" i="20"/>
  <c r="J136" i="60"/>
  <c r="H134" i="81"/>
  <c r="I134" i="81"/>
  <c r="F140" i="45"/>
  <c r="B140" i="45"/>
  <c r="D138" i="64"/>
  <c r="E138" i="64"/>
  <c r="G137" i="64"/>
  <c r="B142" i="22"/>
  <c r="F142" i="22"/>
  <c r="H137" i="62"/>
  <c r="I137" i="62"/>
  <c r="B141" i="73"/>
  <c r="F141" i="73"/>
  <c r="J142" i="27"/>
  <c r="J136" i="63"/>
  <c r="J142" i="69"/>
  <c r="J137" i="53"/>
  <c r="J142" i="30"/>
  <c r="D134" i="92"/>
  <c r="G133" i="92"/>
  <c r="E134" i="92"/>
  <c r="D135" i="85"/>
  <c r="G134" i="85"/>
  <c r="E135" i="85"/>
  <c r="G142" i="31"/>
  <c r="D143" i="31"/>
  <c r="E143" i="31" s="1"/>
  <c r="E137" i="66"/>
  <c r="G136" i="66"/>
  <c r="D137" i="66"/>
  <c r="J142" i="70"/>
  <c r="E139" i="72"/>
  <c r="G138" i="72"/>
  <c r="D139" i="72"/>
  <c r="D136" i="79"/>
  <c r="G135" i="79"/>
  <c r="E136" i="79"/>
  <c r="E138" i="63"/>
  <c r="D138" i="63"/>
  <c r="G137" i="63"/>
  <c r="D144" i="70"/>
  <c r="G143" i="70"/>
  <c r="E144" i="70"/>
  <c r="I140" i="73"/>
  <c r="H140" i="73"/>
  <c r="B141" i="41"/>
  <c r="F141" i="41"/>
  <c r="G133" i="90"/>
  <c r="D134" i="90"/>
  <c r="E134" i="90"/>
  <c r="F134" i="89"/>
  <c r="B134" i="89"/>
  <c r="G138" i="46"/>
  <c r="E139" i="46"/>
  <c r="D139" i="46"/>
  <c r="J142" i="71"/>
  <c r="J139" i="43"/>
  <c r="J140" i="19"/>
  <c r="J134" i="79"/>
  <c r="D141" i="39"/>
  <c r="E141" i="39" s="1"/>
  <c r="G140" i="39"/>
  <c r="I141" i="22"/>
  <c r="H141" i="22"/>
  <c r="D137" i="68"/>
  <c r="E137" i="68"/>
  <c r="G136" i="68"/>
  <c r="J137" i="46"/>
  <c r="G137" i="65"/>
  <c r="D138" i="65"/>
  <c r="E138" i="65"/>
  <c r="J136" i="61"/>
  <c r="I133" i="89"/>
  <c r="H133" i="89"/>
  <c r="E134" i="84"/>
  <c r="D134" i="84"/>
  <c r="G133" i="84"/>
  <c r="D142" i="34"/>
  <c r="E142" i="34" s="1"/>
  <c r="G141" i="34"/>
  <c r="G140" i="43"/>
  <c r="D141" i="43"/>
  <c r="E141" i="43" s="1"/>
  <c r="D142" i="19"/>
  <c r="E142" i="19" s="1"/>
  <c r="G141" i="19"/>
  <c r="D144" i="69"/>
  <c r="E144" i="69"/>
  <c r="G143" i="69"/>
  <c r="F135" i="81"/>
  <c r="B135" i="81"/>
  <c r="I139" i="45"/>
  <c r="H139" i="45"/>
  <c r="J141" i="32"/>
  <c r="E138" i="60"/>
  <c r="D138" i="60"/>
  <c r="G137" i="60"/>
  <c r="J139" i="44"/>
  <c r="F140" i="56"/>
  <c r="B140" i="56"/>
  <c r="J142" i="23"/>
  <c r="G142" i="18"/>
  <c r="D143" i="18"/>
  <c r="G138" i="59"/>
  <c r="E139" i="59"/>
  <c r="D139" i="59"/>
  <c r="D144" i="23"/>
  <c r="E144" i="23" s="1"/>
  <c r="G143" i="23"/>
  <c r="I139" i="56"/>
  <c r="H139" i="56"/>
  <c r="J141" i="18"/>
  <c r="E144" i="71"/>
  <c r="G143" i="71"/>
  <c r="D144" i="71"/>
  <c r="G139" i="57"/>
  <c r="D140" i="57"/>
  <c r="E140" i="57" s="1"/>
  <c r="G134" i="95"/>
  <c r="D135" i="95"/>
  <c r="E135" i="95" s="1"/>
  <c r="D134" i="96"/>
  <c r="G133" i="96"/>
  <c r="B143" i="24"/>
  <c r="I134" i="83"/>
  <c r="H134" i="83"/>
  <c r="E143" i="24"/>
  <c r="F143" i="24" s="1"/>
  <c r="B135" i="83"/>
  <c r="F135" i="83"/>
  <c r="I141" i="21"/>
  <c r="H141" i="21"/>
  <c r="I133" i="93"/>
  <c r="H133" i="93"/>
  <c r="H132" i="33"/>
  <c r="I132" i="33"/>
  <c r="G134" i="82"/>
  <c r="D135" i="82"/>
  <c r="E135" i="82"/>
  <c r="J143" i="28"/>
  <c r="I134" i="80"/>
  <c r="H134" i="80"/>
  <c r="D145" i="28"/>
  <c r="E145" i="28" s="1"/>
  <c r="G144" i="28"/>
  <c r="H135" i="76"/>
  <c r="I135" i="76"/>
  <c r="F133" i="13"/>
  <c r="B133" i="13"/>
  <c r="I142" i="24"/>
  <c r="H142" i="24"/>
  <c r="D137" i="67"/>
  <c r="G136" i="67"/>
  <c r="E137" i="67"/>
  <c r="B141" i="42"/>
  <c r="F141" i="42"/>
  <c r="D135" i="94"/>
  <c r="E135" i="94" s="1"/>
  <c r="G134" i="94"/>
  <c r="J140" i="3"/>
  <c r="J141" i="17"/>
  <c r="I135" i="77"/>
  <c r="H135" i="77"/>
  <c r="G140" i="44"/>
  <c r="D141" i="44"/>
  <c r="E141" i="44" s="1"/>
  <c r="H138" i="54"/>
  <c r="I138" i="54"/>
  <c r="I138" i="55"/>
  <c r="H138" i="55"/>
  <c r="F136" i="76"/>
  <c r="B136" i="76"/>
  <c r="I132" i="13"/>
  <c r="H132" i="13"/>
  <c r="B134" i="93"/>
  <c r="H140" i="42"/>
  <c r="I140" i="42"/>
  <c r="F136" i="75"/>
  <c r="B136" i="75"/>
  <c r="F136" i="77"/>
  <c r="B136" i="77"/>
  <c r="F135" i="80"/>
  <c r="B135" i="80"/>
  <c r="F139" i="55"/>
  <c r="B139" i="55"/>
  <c r="G141" i="3"/>
  <c r="D142" i="3"/>
  <c r="E142" i="3" s="1"/>
  <c r="B142" i="21"/>
  <c r="F142" i="21"/>
  <c r="E134" i="93"/>
  <c r="F134" i="93" s="1"/>
  <c r="J135" i="67"/>
  <c r="D134" i="87"/>
  <c r="G133" i="87"/>
  <c r="E134" i="87"/>
  <c r="I135" i="75"/>
  <c r="H135" i="75"/>
  <c r="F133" i="33"/>
  <c r="B133" i="33"/>
  <c r="D143" i="17"/>
  <c r="G142" i="17"/>
  <c r="B139" i="54"/>
  <c r="F139" i="54"/>
  <c r="E65" i="100" l="1"/>
  <c r="F65" i="100" s="1"/>
  <c r="G65" i="100" s="1"/>
  <c r="B65" i="100"/>
  <c r="I135" i="100"/>
  <c r="H135" i="100"/>
  <c r="B136" i="100"/>
  <c r="F136" i="100"/>
  <c r="D54" i="25"/>
  <c r="H53" i="25"/>
  <c r="I53" i="25" s="1"/>
  <c r="H67" i="97"/>
  <c r="G67" i="97"/>
  <c r="B67" i="97"/>
  <c r="E68" i="97"/>
  <c r="F68" i="97" s="1"/>
  <c r="D69" i="97" s="1"/>
  <c r="E69" i="97" s="1"/>
  <c r="F69" i="97" s="1"/>
  <c r="D134" i="25"/>
  <c r="G133" i="25"/>
  <c r="I60" i="99"/>
  <c r="I66" i="28"/>
  <c r="D62" i="99"/>
  <c r="G61" i="99"/>
  <c r="H61" i="99"/>
  <c r="B53" i="98"/>
  <c r="F53" i="98"/>
  <c r="H53" i="98" s="1"/>
  <c r="G133" i="99"/>
  <c r="E134" i="99"/>
  <c r="D134" i="99"/>
  <c r="E144" i="27"/>
  <c r="F144" i="27" s="1"/>
  <c r="D135" i="26"/>
  <c r="B135" i="26" s="1"/>
  <c r="G134" i="26"/>
  <c r="J133" i="26"/>
  <c r="I63" i="24"/>
  <c r="I62" i="22"/>
  <c r="I143" i="27"/>
  <c r="J143" i="27" s="1"/>
  <c r="F134" i="97"/>
  <c r="B134" i="97"/>
  <c r="B134" i="98"/>
  <c r="F134" i="98"/>
  <c r="H133" i="97"/>
  <c r="I133" i="97"/>
  <c r="H133" i="98"/>
  <c r="I133" i="98"/>
  <c r="E58" i="67"/>
  <c r="F58" i="67" s="1"/>
  <c r="H58" i="67" s="1"/>
  <c r="B58" i="67"/>
  <c r="H57" i="65"/>
  <c r="G57" i="65"/>
  <c r="E61" i="58"/>
  <c r="F61" i="58" s="1"/>
  <c r="I58" i="53"/>
  <c r="D61" i="46"/>
  <c r="E61" i="46" s="1"/>
  <c r="F61" i="46" s="1"/>
  <c r="B60" i="46"/>
  <c r="H60" i="46"/>
  <c r="G60" i="46"/>
  <c r="E64" i="24"/>
  <c r="F64" i="24" s="1"/>
  <c r="I54" i="81"/>
  <c r="I60" i="44"/>
  <c r="B53" i="93"/>
  <c r="F53" i="93"/>
  <c r="H53" i="93" s="1"/>
  <c r="H58" i="64"/>
  <c r="F54" i="94"/>
  <c r="B54" i="94"/>
  <c r="G55" i="86"/>
  <c r="D56" i="86"/>
  <c r="E56" i="86" s="1"/>
  <c r="H55" i="86"/>
  <c r="H56" i="82"/>
  <c r="I56" i="82" s="1"/>
  <c r="D57" i="82"/>
  <c r="E57" i="82" s="1"/>
  <c r="B56" i="80"/>
  <c r="F56" i="80"/>
  <c r="H64" i="23"/>
  <c r="D65" i="23"/>
  <c r="G64" i="23"/>
  <c r="D62" i="55"/>
  <c r="G61" i="55"/>
  <c r="H61" i="55"/>
  <c r="G55" i="88"/>
  <c r="I55" i="88" s="1"/>
  <c r="B55" i="91"/>
  <c r="F55" i="91"/>
  <c r="D57" i="75"/>
  <c r="E57" i="75" s="1"/>
  <c r="B58" i="66"/>
  <c r="F58" i="66"/>
  <c r="H58" i="66" s="1"/>
  <c r="H63" i="42"/>
  <c r="I63" i="42" s="1"/>
  <c r="D64" i="42"/>
  <c r="B55" i="84"/>
  <c r="F55" i="84"/>
  <c r="H55" i="84" s="1"/>
  <c r="I62" i="42"/>
  <c r="H54" i="26"/>
  <c r="I54" i="26" s="1"/>
  <c r="G58" i="64"/>
  <c r="I63" i="27"/>
  <c r="I60" i="58"/>
  <c r="B56" i="90"/>
  <c r="F56" i="90"/>
  <c r="G56" i="90" s="1"/>
  <c r="F59" i="53"/>
  <c r="D60" i="53" s="1"/>
  <c r="B59" i="53"/>
  <c r="I64" i="3"/>
  <c r="H56" i="75"/>
  <c r="I56" i="75" s="1"/>
  <c r="I54" i="84"/>
  <c r="E58" i="65"/>
  <c r="F58" i="65" s="1"/>
  <c r="B58" i="65"/>
  <c r="G65" i="31"/>
  <c r="H65" i="31"/>
  <c r="D64" i="22"/>
  <c r="H59" i="72"/>
  <c r="D60" i="72"/>
  <c r="E60" i="72" s="1"/>
  <c r="F60" i="72" s="1"/>
  <c r="F55" i="81"/>
  <c r="G55" i="81" s="1"/>
  <c r="B55" i="81"/>
  <c r="I63" i="17"/>
  <c r="F62" i="39"/>
  <c r="G62" i="39" s="1"/>
  <c r="B62" i="39"/>
  <c r="G65" i="69"/>
  <c r="E64" i="27"/>
  <c r="F64" i="27" s="1"/>
  <c r="B64" i="27"/>
  <c r="G53" i="95"/>
  <c r="I53" i="95" s="1"/>
  <c r="D54" i="95"/>
  <c r="E54" i="95" s="1"/>
  <c r="G59" i="72"/>
  <c r="D56" i="85"/>
  <c r="E56" i="85" s="1"/>
  <c r="B63" i="22"/>
  <c r="G63" i="22"/>
  <c r="H63" i="22"/>
  <c r="H63" i="34"/>
  <c r="D64" i="34"/>
  <c r="G63" i="34"/>
  <c r="F58" i="61"/>
  <c r="H58" i="61" s="1"/>
  <c r="B58" i="61"/>
  <c r="F53" i="96"/>
  <c r="B53" i="96"/>
  <c r="G55" i="85"/>
  <c r="I55" i="85" s="1"/>
  <c r="B56" i="76"/>
  <c r="F56" i="76"/>
  <c r="G56" i="76" s="1"/>
  <c r="B61" i="44"/>
  <c r="F61" i="44"/>
  <c r="G61" i="44" s="1"/>
  <c r="I61" i="73"/>
  <c r="I61" i="21"/>
  <c r="D66" i="71"/>
  <c r="G65" i="71"/>
  <c r="H65" i="71"/>
  <c r="D66" i="70"/>
  <c r="H65" i="70"/>
  <c r="G65" i="70"/>
  <c r="E66" i="3"/>
  <c r="F66" i="3" s="1"/>
  <c r="H66" i="3" s="1"/>
  <c r="B66" i="3"/>
  <c r="G60" i="45"/>
  <c r="D61" i="45"/>
  <c r="E61" i="45" s="1"/>
  <c r="H60" i="45"/>
  <c r="B64" i="32"/>
  <c r="H66" i="29"/>
  <c r="D67" i="29"/>
  <c r="D63" i="74"/>
  <c r="E63" i="74" s="1"/>
  <c r="D60" i="57"/>
  <c r="G58" i="56"/>
  <c r="D59" i="56"/>
  <c r="F56" i="77"/>
  <c r="H56" i="77" s="1"/>
  <c r="B56" i="77"/>
  <c r="H67" i="28"/>
  <c r="D68" i="28"/>
  <c r="E68" i="28" s="1"/>
  <c r="D65" i="17"/>
  <c r="E65" i="17" s="1"/>
  <c r="B62" i="21"/>
  <c r="H53" i="13"/>
  <c r="I53" i="13" s="1"/>
  <c r="G55" i="33"/>
  <c r="I55" i="33" s="1"/>
  <c r="I65" i="29"/>
  <c r="E59" i="64"/>
  <c r="F59" i="64" s="1"/>
  <c r="B59" i="64"/>
  <c r="F58" i="63"/>
  <c r="G58" i="63" s="1"/>
  <c r="B58" i="63"/>
  <c r="B59" i="57"/>
  <c r="H59" i="57"/>
  <c r="G59" i="57"/>
  <c r="G67" i="28"/>
  <c r="H64" i="17"/>
  <c r="I63" i="30"/>
  <c r="D55" i="83"/>
  <c r="E55" i="83" s="1"/>
  <c r="B63" i="19"/>
  <c r="F63" i="19"/>
  <c r="G63" i="19" s="1"/>
  <c r="G54" i="83"/>
  <c r="I54" i="83" s="1"/>
  <c r="H62" i="41"/>
  <c r="I62" i="41" s="1"/>
  <c r="D63" i="41"/>
  <c r="H62" i="43"/>
  <c r="I62" i="43" s="1"/>
  <c r="D63" i="43"/>
  <c r="E63" i="43" s="1"/>
  <c r="H57" i="68"/>
  <c r="I57" i="68" s="1"/>
  <c r="D58" i="68"/>
  <c r="E58" i="68" s="1"/>
  <c r="B65" i="3"/>
  <c r="G65" i="3"/>
  <c r="H65" i="3"/>
  <c r="E66" i="69"/>
  <c r="F66" i="69" s="1"/>
  <c r="H66" i="69" s="1"/>
  <c r="B66" i="69"/>
  <c r="H62" i="74"/>
  <c r="H58" i="56"/>
  <c r="F56" i="79"/>
  <c r="H56" i="79" s="1"/>
  <c r="B56" i="79"/>
  <c r="F56" i="78"/>
  <c r="H56" i="78" s="1"/>
  <c r="B56" i="78"/>
  <c r="I64" i="70"/>
  <c r="F59" i="54"/>
  <c r="H59" i="54" s="1"/>
  <c r="B59" i="54"/>
  <c r="E64" i="32"/>
  <c r="F64" i="32" s="1"/>
  <c r="D65" i="32" s="1"/>
  <c r="H65" i="69"/>
  <c r="G66" i="29"/>
  <c r="B54" i="92"/>
  <c r="F54" i="92"/>
  <c r="G54" i="92" s="1"/>
  <c r="B58" i="60"/>
  <c r="F58" i="60"/>
  <c r="D59" i="60" s="1"/>
  <c r="G62" i="74"/>
  <c r="B54" i="89"/>
  <c r="F54" i="89"/>
  <c r="D56" i="88"/>
  <c r="E56" i="88" s="1"/>
  <c r="D66" i="31"/>
  <c r="E66" i="31" s="1"/>
  <c r="G64" i="17"/>
  <c r="E62" i="21"/>
  <c r="F62" i="21" s="1"/>
  <c r="F64" i="30"/>
  <c r="H64" i="30" s="1"/>
  <c r="B64" i="30"/>
  <c r="G144" i="27"/>
  <c r="D145" i="27"/>
  <c r="J137" i="62"/>
  <c r="D62" i="20"/>
  <c r="E62" i="20" s="1"/>
  <c r="H61" i="20"/>
  <c r="G61" i="20"/>
  <c r="D54" i="13"/>
  <c r="E54" i="13" s="1"/>
  <c r="G57" i="62"/>
  <c r="I57" i="62" s="1"/>
  <c r="D55" i="87"/>
  <c r="E55" i="87"/>
  <c r="F63" i="18"/>
  <c r="H63" i="18" s="1"/>
  <c r="B63" i="18"/>
  <c r="J139" i="56"/>
  <c r="J140" i="73"/>
  <c r="D58" i="62"/>
  <c r="E58" i="62" s="1"/>
  <c r="B58" i="59"/>
  <c r="F58" i="59"/>
  <c r="G58" i="59" s="1"/>
  <c r="B62" i="73"/>
  <c r="J141" i="21"/>
  <c r="E144" i="30"/>
  <c r="F144" i="30" s="1"/>
  <c r="G144" i="30" s="1"/>
  <c r="G54" i="87"/>
  <c r="I54" i="87" s="1"/>
  <c r="D55" i="26"/>
  <c r="E55" i="26" s="1"/>
  <c r="D56" i="33"/>
  <c r="E56" i="33" s="1"/>
  <c r="I62" i="18"/>
  <c r="E62" i="73"/>
  <c r="F62" i="73" s="1"/>
  <c r="I137" i="63"/>
  <c r="H137" i="63"/>
  <c r="I133" i="92"/>
  <c r="H133" i="92"/>
  <c r="B134" i="86"/>
  <c r="F134" i="86"/>
  <c r="I137" i="60"/>
  <c r="H137" i="60"/>
  <c r="H143" i="69"/>
  <c r="I143" i="69"/>
  <c r="I141" i="19"/>
  <c r="H141" i="19"/>
  <c r="I140" i="43"/>
  <c r="H140" i="43"/>
  <c r="I141" i="34"/>
  <c r="H141" i="34"/>
  <c r="I136" i="68"/>
  <c r="H136" i="68"/>
  <c r="J141" i="22"/>
  <c r="B139" i="46"/>
  <c r="F139" i="46"/>
  <c r="E135" i="89"/>
  <c r="G134" i="89"/>
  <c r="D135" i="89"/>
  <c r="D142" i="41"/>
  <c r="E142" i="41" s="1"/>
  <c r="G141" i="41"/>
  <c r="F138" i="63"/>
  <c r="B138" i="63"/>
  <c r="F136" i="79"/>
  <c r="B136" i="79"/>
  <c r="F143" i="31"/>
  <c r="B143" i="31"/>
  <c r="I134" i="85"/>
  <c r="H134" i="85"/>
  <c r="F134" i="92"/>
  <c r="B134" i="92"/>
  <c r="I137" i="64"/>
  <c r="H137" i="64"/>
  <c r="G140" i="45"/>
  <c r="D141" i="45"/>
  <c r="E141" i="45" s="1"/>
  <c r="H141" i="20"/>
  <c r="I141" i="20"/>
  <c r="I137" i="61"/>
  <c r="H137" i="61"/>
  <c r="H138" i="58"/>
  <c r="I138" i="58"/>
  <c r="B136" i="78"/>
  <c r="F136" i="78"/>
  <c r="B143" i="32"/>
  <c r="F143" i="32"/>
  <c r="H133" i="86"/>
  <c r="I133" i="86"/>
  <c r="I139" i="74"/>
  <c r="H139" i="74"/>
  <c r="B134" i="88"/>
  <c r="F134" i="88"/>
  <c r="D136" i="81"/>
  <c r="E136" i="81"/>
  <c r="G135" i="81"/>
  <c r="F141" i="39"/>
  <c r="B141" i="39"/>
  <c r="H135" i="79"/>
  <c r="I135" i="79"/>
  <c r="F144" i="29"/>
  <c r="B144" i="29"/>
  <c r="I142" i="32"/>
  <c r="H142" i="32"/>
  <c r="J132" i="33"/>
  <c r="F138" i="60"/>
  <c r="B138" i="60"/>
  <c r="J139" i="45"/>
  <c r="B142" i="19"/>
  <c r="F142" i="19"/>
  <c r="B142" i="34"/>
  <c r="F142" i="34"/>
  <c r="F138" i="65"/>
  <c r="B138" i="65"/>
  <c r="H143" i="70"/>
  <c r="I143" i="70"/>
  <c r="B139" i="72"/>
  <c r="F139" i="72"/>
  <c r="F137" i="66"/>
  <c r="B137" i="66"/>
  <c r="I142" i="31"/>
  <c r="H142" i="31"/>
  <c r="B135" i="85"/>
  <c r="F135" i="85"/>
  <c r="B142" i="20"/>
  <c r="F142" i="20"/>
  <c r="H135" i="78"/>
  <c r="I135" i="78"/>
  <c r="G138" i="62"/>
  <c r="D139" i="62"/>
  <c r="E139" i="62"/>
  <c r="J140" i="41"/>
  <c r="F139" i="53"/>
  <c r="B139" i="53"/>
  <c r="I133" i="88"/>
  <c r="H133" i="88"/>
  <c r="I143" i="30"/>
  <c r="H143" i="30"/>
  <c r="B134" i="84"/>
  <c r="F134" i="84"/>
  <c r="I133" i="90"/>
  <c r="H133" i="90"/>
  <c r="F138" i="61"/>
  <c r="B138" i="61"/>
  <c r="G134" i="91"/>
  <c r="E135" i="91"/>
  <c r="D135" i="91"/>
  <c r="J140" i="42"/>
  <c r="F144" i="69"/>
  <c r="B144" i="69"/>
  <c r="B141" i="43"/>
  <c r="F141" i="43"/>
  <c r="H133" i="84"/>
  <c r="I133" i="84"/>
  <c r="I137" i="65"/>
  <c r="H137" i="65"/>
  <c r="F137" i="68"/>
  <c r="B137" i="68"/>
  <c r="H140" i="39"/>
  <c r="I140" i="39"/>
  <c r="I138" i="46"/>
  <c r="H138" i="46"/>
  <c r="F134" i="90"/>
  <c r="B134" i="90"/>
  <c r="B144" i="70"/>
  <c r="F144" i="70"/>
  <c r="I138" i="72"/>
  <c r="H138" i="72"/>
  <c r="I136" i="66"/>
  <c r="H136" i="66"/>
  <c r="D142" i="73"/>
  <c r="E142" i="73"/>
  <c r="G141" i="73"/>
  <c r="G142" i="22"/>
  <c r="D143" i="22"/>
  <c r="B138" i="64"/>
  <c r="F138" i="64"/>
  <c r="F139" i="58"/>
  <c r="B139" i="58"/>
  <c r="I143" i="29"/>
  <c r="H143" i="29"/>
  <c r="F140" i="74"/>
  <c r="B140" i="74"/>
  <c r="I138" i="53"/>
  <c r="H138" i="53"/>
  <c r="B144" i="23"/>
  <c r="F144" i="23"/>
  <c r="I138" i="59"/>
  <c r="H138" i="59"/>
  <c r="I143" i="23"/>
  <c r="H143" i="23"/>
  <c r="F139" i="59"/>
  <c r="B139" i="59"/>
  <c r="E143" i="18"/>
  <c r="F143" i="18" s="1"/>
  <c r="B143" i="18"/>
  <c r="D141" i="56"/>
  <c r="E141" i="56" s="1"/>
  <c r="G140" i="56"/>
  <c r="I142" i="18"/>
  <c r="H142" i="18"/>
  <c r="F140" i="57"/>
  <c r="B140" i="57"/>
  <c r="J135" i="77"/>
  <c r="J142" i="24"/>
  <c r="J135" i="76"/>
  <c r="H139" i="57"/>
  <c r="I139" i="57"/>
  <c r="F144" i="71"/>
  <c r="B144" i="71"/>
  <c r="J138" i="54"/>
  <c r="H143" i="71"/>
  <c r="I143" i="71"/>
  <c r="D144" i="24"/>
  <c r="G143" i="24"/>
  <c r="G134" i="93"/>
  <c r="D135" i="93"/>
  <c r="E135" i="93" s="1"/>
  <c r="F134" i="87"/>
  <c r="B134" i="87"/>
  <c r="B142" i="3"/>
  <c r="F142" i="3"/>
  <c r="D140" i="55"/>
  <c r="E140" i="55" s="1"/>
  <c r="G139" i="55"/>
  <c r="D134" i="13"/>
  <c r="E134" i="13" s="1"/>
  <c r="G133" i="13"/>
  <c r="G135" i="83"/>
  <c r="D136" i="83"/>
  <c r="E136" i="83"/>
  <c r="B134" i="96"/>
  <c r="B143" i="17"/>
  <c r="G133" i="33"/>
  <c r="D134" i="33"/>
  <c r="J135" i="75"/>
  <c r="I141" i="3"/>
  <c r="H141" i="3"/>
  <c r="E137" i="77"/>
  <c r="D137" i="77"/>
  <c r="G136" i="77"/>
  <c r="E137" i="75"/>
  <c r="G136" i="75"/>
  <c r="D137" i="75"/>
  <c r="J138" i="55"/>
  <c r="B141" i="44"/>
  <c r="F141" i="44"/>
  <c r="H134" i="94"/>
  <c r="I134" i="94"/>
  <c r="I144" i="28"/>
  <c r="H144" i="28"/>
  <c r="E140" i="54"/>
  <c r="G139" i="54"/>
  <c r="D140" i="54"/>
  <c r="I142" i="17"/>
  <c r="H142" i="17"/>
  <c r="D136" i="80"/>
  <c r="G135" i="80"/>
  <c r="E136" i="80"/>
  <c r="H140" i="44"/>
  <c r="I140" i="44"/>
  <c r="I136" i="67"/>
  <c r="H136" i="67"/>
  <c r="F145" i="28"/>
  <c r="B145" i="28"/>
  <c r="F135" i="82"/>
  <c r="B135" i="82"/>
  <c r="H133" i="96"/>
  <c r="I133" i="96"/>
  <c r="F135" i="95"/>
  <c r="B135" i="95"/>
  <c r="E143" i="17"/>
  <c r="F143" i="17" s="1"/>
  <c r="H133" i="87"/>
  <c r="I133" i="87"/>
  <c r="D143" i="21"/>
  <c r="E143" i="21" s="1"/>
  <c r="G142" i="21"/>
  <c r="D137" i="76"/>
  <c r="G136" i="76"/>
  <c r="E137" i="76"/>
  <c r="F135" i="94"/>
  <c r="B135" i="94"/>
  <c r="G141" i="42"/>
  <c r="D142" i="42"/>
  <c r="E142" i="42" s="1"/>
  <c r="B137" i="67"/>
  <c r="F137" i="67"/>
  <c r="I134" i="82"/>
  <c r="H134" i="82"/>
  <c r="E134" i="96"/>
  <c r="F134" i="96" s="1"/>
  <c r="I134" i="95"/>
  <c r="H134" i="95"/>
  <c r="H65" i="100" l="1"/>
  <c r="I65" i="100" s="1"/>
  <c r="D66" i="100"/>
  <c r="G136" i="100"/>
  <c r="D137" i="100"/>
  <c r="E137" i="100"/>
  <c r="I67" i="97"/>
  <c r="B54" i="25"/>
  <c r="E54" i="25"/>
  <c r="F54" i="25" s="1"/>
  <c r="H68" i="97"/>
  <c r="B69" i="97"/>
  <c r="G68" i="97"/>
  <c r="G53" i="98"/>
  <c r="I53" i="98" s="1"/>
  <c r="H133" i="25"/>
  <c r="I133" i="25"/>
  <c r="B134" i="25"/>
  <c r="E134" i="25"/>
  <c r="F134" i="25" s="1"/>
  <c r="I58" i="64"/>
  <c r="E135" i="26"/>
  <c r="F135" i="26" s="1"/>
  <c r="D136" i="26" s="1"/>
  <c r="B136" i="26" s="1"/>
  <c r="I61" i="99"/>
  <c r="D70" i="97"/>
  <c r="G69" i="97"/>
  <c r="H69" i="97"/>
  <c r="D54" i="98"/>
  <c r="E62" i="99"/>
  <c r="F62" i="99" s="1"/>
  <c r="D63" i="99" s="1"/>
  <c r="B62" i="99"/>
  <c r="B134" i="99"/>
  <c r="F134" i="99"/>
  <c r="I133" i="99"/>
  <c r="H133" i="99"/>
  <c r="I134" i="26"/>
  <c r="H134" i="26"/>
  <c r="I60" i="46"/>
  <c r="I59" i="72"/>
  <c r="I57" i="65"/>
  <c r="I65" i="31"/>
  <c r="D135" i="98"/>
  <c r="G134" i="98"/>
  <c r="E135" i="98"/>
  <c r="D135" i="97"/>
  <c r="E135" i="97" s="1"/>
  <c r="G134" i="97"/>
  <c r="G53" i="93"/>
  <c r="I53" i="93" s="1"/>
  <c r="H56" i="76"/>
  <c r="I56" i="76" s="1"/>
  <c r="I65" i="69"/>
  <c r="G58" i="67"/>
  <c r="I58" i="67" s="1"/>
  <c r="D59" i="67"/>
  <c r="E59" i="67" s="1"/>
  <c r="D62" i="58"/>
  <c r="E62" i="58" s="1"/>
  <c r="F62" i="58" s="1"/>
  <c r="H61" i="58"/>
  <c r="G61" i="58"/>
  <c r="G61" i="46"/>
  <c r="D62" i="46"/>
  <c r="B62" i="46" s="1"/>
  <c r="B61" i="46"/>
  <c r="H61" i="46"/>
  <c r="D65" i="24"/>
  <c r="H64" i="24"/>
  <c r="G64" i="24"/>
  <c r="G56" i="80"/>
  <c r="D57" i="80"/>
  <c r="E57" i="80" s="1"/>
  <c r="F56" i="86"/>
  <c r="B56" i="86"/>
  <c r="H54" i="94"/>
  <c r="D55" i="94"/>
  <c r="E55" i="94" s="1"/>
  <c r="G64" i="30"/>
  <c r="I64" i="30" s="1"/>
  <c r="G59" i="54"/>
  <c r="I59" i="54" s="1"/>
  <c r="I61" i="55"/>
  <c r="H56" i="80"/>
  <c r="I55" i="86"/>
  <c r="G54" i="94"/>
  <c r="I66" i="29"/>
  <c r="I63" i="34"/>
  <c r="B57" i="82"/>
  <c r="F57" i="82"/>
  <c r="G57" i="82" s="1"/>
  <c r="D54" i="93"/>
  <c r="E54" i="93" s="1"/>
  <c r="D59" i="65"/>
  <c r="E59" i="65" s="1"/>
  <c r="F59" i="65" s="1"/>
  <c r="G58" i="65"/>
  <c r="H58" i="65"/>
  <c r="E62" i="55"/>
  <c r="F62" i="55" s="1"/>
  <c r="B62" i="55"/>
  <c r="H63" i="19"/>
  <c r="I63" i="19" s="1"/>
  <c r="E60" i="53"/>
  <c r="F60" i="53" s="1"/>
  <c r="B60" i="53"/>
  <c r="G55" i="84"/>
  <c r="I55" i="84" s="1"/>
  <c r="D56" i="84"/>
  <c r="E56" i="84" s="1"/>
  <c r="B57" i="75"/>
  <c r="F57" i="75"/>
  <c r="G66" i="3"/>
  <c r="I66" i="3" s="1"/>
  <c r="H59" i="53"/>
  <c r="G58" i="66"/>
  <c r="I58" i="66" s="1"/>
  <c r="D59" i="66"/>
  <c r="D56" i="91"/>
  <c r="E56" i="91" s="1"/>
  <c r="G55" i="91"/>
  <c r="H55" i="91"/>
  <c r="E65" i="23"/>
  <c r="F65" i="23" s="1"/>
  <c r="B65" i="23"/>
  <c r="G59" i="53"/>
  <c r="H56" i="90"/>
  <c r="I56" i="90" s="1"/>
  <c r="D57" i="90"/>
  <c r="E57" i="90" s="1"/>
  <c r="E64" i="42"/>
  <c r="F64" i="42" s="1"/>
  <c r="B64" i="42"/>
  <c r="I64" i="23"/>
  <c r="H60" i="72"/>
  <c r="D61" i="72"/>
  <c r="E61" i="72" s="1"/>
  <c r="F61" i="72" s="1"/>
  <c r="G64" i="27"/>
  <c r="D65" i="27"/>
  <c r="H64" i="27"/>
  <c r="B64" i="22"/>
  <c r="D62" i="44"/>
  <c r="E62" i="44" s="1"/>
  <c r="F62" i="44" s="1"/>
  <c r="G53" i="96"/>
  <c r="D54" i="96"/>
  <c r="E54" i="96" s="1"/>
  <c r="D59" i="61"/>
  <c r="E59" i="61" s="1"/>
  <c r="F59" i="61" s="1"/>
  <c r="E64" i="34"/>
  <c r="F64" i="34" s="1"/>
  <c r="B64" i="34"/>
  <c r="B54" i="95"/>
  <c r="F54" i="95"/>
  <c r="G54" i="95" s="1"/>
  <c r="E64" i="22"/>
  <c r="F64" i="22" s="1"/>
  <c r="D65" i="22" s="1"/>
  <c r="D63" i="39"/>
  <c r="B60" i="72"/>
  <c r="G60" i="72"/>
  <c r="H55" i="81"/>
  <c r="I55" i="81" s="1"/>
  <c r="D56" i="81"/>
  <c r="E56" i="81" s="1"/>
  <c r="I58" i="56"/>
  <c r="H61" i="44"/>
  <c r="I61" i="44" s="1"/>
  <c r="D57" i="76"/>
  <c r="E57" i="76" s="1"/>
  <c r="H53" i="96"/>
  <c r="G58" i="61"/>
  <c r="I58" i="61" s="1"/>
  <c r="I63" i="22"/>
  <c r="F56" i="85"/>
  <c r="B56" i="85"/>
  <c r="H62" i="39"/>
  <c r="I62" i="39" s="1"/>
  <c r="I62" i="74"/>
  <c r="I59" i="57"/>
  <c r="H59" i="64"/>
  <c r="D60" i="64"/>
  <c r="G59" i="64"/>
  <c r="D63" i="21"/>
  <c r="H62" i="21"/>
  <c r="G62" i="21"/>
  <c r="D55" i="89"/>
  <c r="E55" i="89" s="1"/>
  <c r="E67" i="29"/>
  <c r="F67" i="29" s="1"/>
  <c r="B67" i="29"/>
  <c r="G58" i="60"/>
  <c r="G56" i="79"/>
  <c r="I56" i="79" s="1"/>
  <c r="D57" i="79"/>
  <c r="E57" i="79" s="1"/>
  <c r="B58" i="68"/>
  <c r="F58" i="68"/>
  <c r="G58" i="68" s="1"/>
  <c r="B55" i="83"/>
  <c r="F55" i="83"/>
  <c r="F65" i="17"/>
  <c r="B65" i="17"/>
  <c r="E59" i="56"/>
  <c r="F59" i="56" s="1"/>
  <c r="B59" i="56"/>
  <c r="I60" i="45"/>
  <c r="I65" i="70"/>
  <c r="I65" i="71"/>
  <c r="F56" i="88"/>
  <c r="H56" i="88" s="1"/>
  <c r="B56" i="88"/>
  <c r="D57" i="78"/>
  <c r="E57" i="78" s="1"/>
  <c r="D67" i="69"/>
  <c r="E67" i="69" s="1"/>
  <c r="B60" i="57"/>
  <c r="D145" i="30"/>
  <c r="B145" i="30" s="1"/>
  <c r="D65" i="30"/>
  <c r="E65" i="30" s="1"/>
  <c r="F66" i="31"/>
  <c r="B66" i="31"/>
  <c r="G54" i="89"/>
  <c r="I65" i="3"/>
  <c r="F63" i="74"/>
  <c r="B63" i="74"/>
  <c r="H64" i="32"/>
  <c r="D67" i="3"/>
  <c r="E66" i="70"/>
  <c r="F66" i="70" s="1"/>
  <c r="B66" i="70"/>
  <c r="B66" i="71"/>
  <c r="E59" i="60"/>
  <c r="F59" i="60" s="1"/>
  <c r="G59" i="60" s="1"/>
  <c r="B59" i="60"/>
  <c r="B63" i="43"/>
  <c r="F63" i="43"/>
  <c r="H58" i="63"/>
  <c r="I58" i="63" s="1"/>
  <c r="D59" i="63"/>
  <c r="E59" i="63" s="1"/>
  <c r="I67" i="28"/>
  <c r="H54" i="89"/>
  <c r="H58" i="60"/>
  <c r="H54" i="92"/>
  <c r="I54" i="92" s="1"/>
  <c r="D55" i="92"/>
  <c r="E55" i="92" s="1"/>
  <c r="E65" i="32"/>
  <c r="F65" i="32" s="1"/>
  <c r="D66" i="32" s="1"/>
  <c r="B65" i="32"/>
  <c r="D60" i="54"/>
  <c r="E60" i="54" s="1"/>
  <c r="G56" i="78"/>
  <c r="I56" i="78" s="1"/>
  <c r="G66" i="69"/>
  <c r="I66" i="69" s="1"/>
  <c r="E63" i="41"/>
  <c r="F63" i="41" s="1"/>
  <c r="B63" i="41"/>
  <c r="D64" i="19"/>
  <c r="I64" i="17"/>
  <c r="B68" i="28"/>
  <c r="F68" i="28"/>
  <c r="G56" i="77"/>
  <c r="I56" i="77" s="1"/>
  <c r="D57" i="77"/>
  <c r="E57" i="77" s="1"/>
  <c r="E60" i="57"/>
  <c r="F60" i="57" s="1"/>
  <c r="G64" i="32"/>
  <c r="B61" i="45"/>
  <c r="F61" i="45"/>
  <c r="H61" i="45" s="1"/>
  <c r="E66" i="71"/>
  <c r="F66" i="71" s="1"/>
  <c r="E145" i="27"/>
  <c r="F145" i="27" s="1"/>
  <c r="B145" i="27"/>
  <c r="H144" i="27"/>
  <c r="I144" i="27"/>
  <c r="J135" i="78"/>
  <c r="J143" i="70"/>
  <c r="J138" i="58"/>
  <c r="J141" i="20"/>
  <c r="J143" i="69"/>
  <c r="D63" i="73"/>
  <c r="G62" i="73"/>
  <c r="H62" i="73"/>
  <c r="J143" i="23"/>
  <c r="J138" i="53"/>
  <c r="J143" i="29"/>
  <c r="J136" i="68"/>
  <c r="J140" i="43"/>
  <c r="B56" i="33"/>
  <c r="F56" i="33"/>
  <c r="D64" i="18"/>
  <c r="J137" i="65"/>
  <c r="H58" i="59"/>
  <c r="I58" i="59" s="1"/>
  <c r="I61" i="20"/>
  <c r="J135" i="79"/>
  <c r="B58" i="62"/>
  <c r="F58" i="62"/>
  <c r="G58" i="62" s="1"/>
  <c r="G63" i="18"/>
  <c r="I63" i="18" s="1"/>
  <c r="F55" i="87"/>
  <c r="G55" i="87" s="1"/>
  <c r="B55" i="87"/>
  <c r="B54" i="13"/>
  <c r="F54" i="13"/>
  <c r="H54" i="13" s="1"/>
  <c r="F55" i="26"/>
  <c r="B55" i="26"/>
  <c r="D59" i="59"/>
  <c r="E59" i="59" s="1"/>
  <c r="F62" i="20"/>
  <c r="B62" i="20"/>
  <c r="I142" i="22"/>
  <c r="H142" i="22"/>
  <c r="D145" i="70"/>
  <c r="G144" i="70"/>
  <c r="E145" i="70"/>
  <c r="J143" i="71"/>
  <c r="E139" i="64"/>
  <c r="G138" i="64"/>
  <c r="D139" i="64"/>
  <c r="I141" i="73"/>
  <c r="H141" i="73"/>
  <c r="J136" i="66"/>
  <c r="J138" i="46"/>
  <c r="E138" i="68"/>
  <c r="D138" i="68"/>
  <c r="G137" i="68"/>
  <c r="E145" i="69"/>
  <c r="G144" i="69"/>
  <c r="D145" i="69"/>
  <c r="I134" i="91"/>
  <c r="H134" i="91"/>
  <c r="J143" i="30"/>
  <c r="G139" i="53"/>
  <c r="D140" i="53"/>
  <c r="E140" i="53" s="1"/>
  <c r="H138" i="62"/>
  <c r="I138" i="62"/>
  <c r="J142" i="31"/>
  <c r="D139" i="65"/>
  <c r="G138" i="65"/>
  <c r="E139" i="65"/>
  <c r="G142" i="19"/>
  <c r="D143" i="19"/>
  <c r="E143" i="19" s="1"/>
  <c r="D139" i="60"/>
  <c r="E139" i="60"/>
  <c r="G138" i="60"/>
  <c r="J142" i="32"/>
  <c r="H144" i="30"/>
  <c r="I144" i="30"/>
  <c r="J139" i="74"/>
  <c r="I141" i="41"/>
  <c r="H141" i="41"/>
  <c r="I134" i="89"/>
  <c r="H134" i="89"/>
  <c r="J141" i="34"/>
  <c r="J141" i="19"/>
  <c r="J137" i="60"/>
  <c r="D140" i="58"/>
  <c r="E140" i="58"/>
  <c r="G139" i="58"/>
  <c r="B139" i="62"/>
  <c r="F139" i="62"/>
  <c r="H135" i="81"/>
  <c r="I135" i="81"/>
  <c r="G134" i="92"/>
  <c r="D135" i="92"/>
  <c r="E135" i="92"/>
  <c r="G143" i="31"/>
  <c r="D144" i="31"/>
  <c r="E144" i="31" s="1"/>
  <c r="D139" i="63"/>
  <c r="G138" i="63"/>
  <c r="E139" i="63"/>
  <c r="J140" i="39"/>
  <c r="D142" i="43"/>
  <c r="E142" i="43" s="1"/>
  <c r="G141" i="43"/>
  <c r="D135" i="84"/>
  <c r="G134" i="84"/>
  <c r="E135" i="84"/>
  <c r="E136" i="85"/>
  <c r="D136" i="85"/>
  <c r="G135" i="85"/>
  <c r="G142" i="34"/>
  <c r="D143" i="34"/>
  <c r="E143" i="34" s="1"/>
  <c r="F136" i="81"/>
  <c r="B136" i="81"/>
  <c r="G134" i="88"/>
  <c r="E135" i="88"/>
  <c r="D135" i="88"/>
  <c r="G136" i="78"/>
  <c r="D137" i="78"/>
  <c r="E137" i="78"/>
  <c r="F141" i="45"/>
  <c r="B141" i="45"/>
  <c r="J137" i="64"/>
  <c r="D137" i="79"/>
  <c r="G136" i="79"/>
  <c r="E137" i="79"/>
  <c r="E135" i="86"/>
  <c r="G134" i="86"/>
  <c r="D135" i="86"/>
  <c r="D141" i="74"/>
  <c r="E141" i="74"/>
  <c r="G140" i="74"/>
  <c r="G142" i="20"/>
  <c r="D143" i="20"/>
  <c r="B143" i="20" s="1"/>
  <c r="G139" i="72"/>
  <c r="E140" i="72"/>
  <c r="D140" i="72"/>
  <c r="D144" i="32"/>
  <c r="G143" i="32"/>
  <c r="B135" i="89"/>
  <c r="F135" i="89"/>
  <c r="J141" i="3"/>
  <c r="E143" i="22"/>
  <c r="F143" i="22" s="1"/>
  <c r="B143" i="22"/>
  <c r="F142" i="73"/>
  <c r="B142" i="73"/>
  <c r="J138" i="72"/>
  <c r="D135" i="90"/>
  <c r="G134" i="90"/>
  <c r="E135" i="90"/>
  <c r="F135" i="91"/>
  <c r="B135" i="91"/>
  <c r="D139" i="61"/>
  <c r="E139" i="61"/>
  <c r="G138" i="61"/>
  <c r="E138" i="66"/>
  <c r="G137" i="66"/>
  <c r="D138" i="66"/>
  <c r="G144" i="29"/>
  <c r="D145" i="29"/>
  <c r="G141" i="39"/>
  <c r="D142" i="39"/>
  <c r="E142" i="39" s="1"/>
  <c r="J137" i="61"/>
  <c r="H140" i="45"/>
  <c r="I140" i="45"/>
  <c r="B142" i="41"/>
  <c r="F142" i="41"/>
  <c r="G139" i="46"/>
  <c r="D140" i="46"/>
  <c r="E140" i="46" s="1"/>
  <c r="J137" i="63"/>
  <c r="J142" i="18"/>
  <c r="H140" i="56"/>
  <c r="I140" i="56"/>
  <c r="J138" i="59"/>
  <c r="F141" i="56"/>
  <c r="B141" i="56"/>
  <c r="G139" i="59"/>
  <c r="D140" i="59"/>
  <c r="E140" i="59" s="1"/>
  <c r="D145" i="23"/>
  <c r="G144" i="23"/>
  <c r="G143" i="18"/>
  <c r="D144" i="18"/>
  <c r="J136" i="67"/>
  <c r="J144" i="28"/>
  <c r="D145" i="71"/>
  <c r="E145" i="71"/>
  <c r="G144" i="71"/>
  <c r="J139" i="57"/>
  <c r="J142" i="17"/>
  <c r="G140" i="57"/>
  <c r="D141" i="57"/>
  <c r="E141" i="57" s="1"/>
  <c r="G134" i="96"/>
  <c r="D135" i="96"/>
  <c r="E135" i="96" s="1"/>
  <c r="G143" i="17"/>
  <c r="D144" i="17"/>
  <c r="D138" i="67"/>
  <c r="G137" i="67"/>
  <c r="E138" i="67"/>
  <c r="G135" i="94"/>
  <c r="D136" i="94"/>
  <c r="E136" i="94" s="1"/>
  <c r="H136" i="76"/>
  <c r="I136" i="76"/>
  <c r="H142" i="21"/>
  <c r="I142" i="21"/>
  <c r="D146" i="28"/>
  <c r="G145" i="28"/>
  <c r="F140" i="54"/>
  <c r="B140" i="54"/>
  <c r="F137" i="75"/>
  <c r="B137" i="75"/>
  <c r="B137" i="77"/>
  <c r="F137" i="77"/>
  <c r="B134" i="33"/>
  <c r="G134" i="87"/>
  <c r="D135" i="87"/>
  <c r="E135" i="87"/>
  <c r="B144" i="24"/>
  <c r="F142" i="42"/>
  <c r="B142" i="42"/>
  <c r="F137" i="76"/>
  <c r="B137" i="76"/>
  <c r="F143" i="21"/>
  <c r="B143" i="21"/>
  <c r="G135" i="95"/>
  <c r="D136" i="95"/>
  <c r="H139" i="54"/>
  <c r="I139" i="54"/>
  <c r="G141" i="44"/>
  <c r="D142" i="44"/>
  <c r="E142" i="44" s="1"/>
  <c r="I136" i="75"/>
  <c r="H136" i="75"/>
  <c r="H133" i="33"/>
  <c r="I133" i="33"/>
  <c r="B136" i="83"/>
  <c r="F136" i="83"/>
  <c r="F134" i="13"/>
  <c r="B134" i="13"/>
  <c r="F135" i="93"/>
  <c r="B135" i="93"/>
  <c r="H141" i="42"/>
  <c r="I141" i="42"/>
  <c r="H135" i="80"/>
  <c r="I135" i="80"/>
  <c r="H135" i="83"/>
  <c r="I135" i="83"/>
  <c r="I139" i="55"/>
  <c r="H139" i="55"/>
  <c r="I134" i="93"/>
  <c r="H134" i="93"/>
  <c r="E144" i="24"/>
  <c r="F144" i="24" s="1"/>
  <c r="D136" i="82"/>
  <c r="G135" i="82"/>
  <c r="E136" i="82"/>
  <c r="J140" i="44"/>
  <c r="F136" i="80"/>
  <c r="B136" i="80"/>
  <c r="I136" i="77"/>
  <c r="H136" i="77"/>
  <c r="E134" i="33"/>
  <c r="F134" i="33" s="1"/>
  <c r="H133" i="13"/>
  <c r="I133" i="13"/>
  <c r="F140" i="55"/>
  <c r="B140" i="55"/>
  <c r="D143" i="3"/>
  <c r="E143" i="3" s="1"/>
  <c r="G142" i="3"/>
  <c r="I143" i="24"/>
  <c r="H143" i="24"/>
  <c r="E66" i="100" l="1"/>
  <c r="F66" i="100" s="1"/>
  <c r="H66" i="100" s="1"/>
  <c r="B66" i="100"/>
  <c r="F137" i="100"/>
  <c r="B137" i="100"/>
  <c r="H136" i="100"/>
  <c r="I136" i="100"/>
  <c r="I68" i="97"/>
  <c r="H54" i="25"/>
  <c r="G54" i="25"/>
  <c r="D55" i="25"/>
  <c r="J133" i="25"/>
  <c r="D135" i="25"/>
  <c r="G134" i="25"/>
  <c r="G135" i="26"/>
  <c r="E136" i="26"/>
  <c r="F136" i="26" s="1"/>
  <c r="D137" i="26" s="1"/>
  <c r="I69" i="97"/>
  <c r="B54" i="98"/>
  <c r="E63" i="99"/>
  <c r="F63" i="99" s="1"/>
  <c r="G63" i="99" s="1"/>
  <c r="B63" i="99"/>
  <c r="H62" i="99"/>
  <c r="G62" i="99"/>
  <c r="E54" i="98"/>
  <c r="F54" i="98" s="1"/>
  <c r="E70" i="97"/>
  <c r="F70" i="97" s="1"/>
  <c r="G70" i="97" s="1"/>
  <c r="B70" i="97"/>
  <c r="D135" i="99"/>
  <c r="G134" i="99"/>
  <c r="E135" i="99"/>
  <c r="I55" i="91"/>
  <c r="J134" i="26"/>
  <c r="I64" i="27"/>
  <c r="I56" i="80"/>
  <c r="D63" i="58"/>
  <c r="B63" i="58" s="1"/>
  <c r="I61" i="58"/>
  <c r="I61" i="46"/>
  <c r="F135" i="97"/>
  <c r="B135" i="97"/>
  <c r="H134" i="98"/>
  <c r="I134" i="98"/>
  <c r="H134" i="97"/>
  <c r="I134" i="97"/>
  <c r="B135" i="98"/>
  <c r="F135" i="98"/>
  <c r="E145" i="30"/>
  <c r="F145" i="30" s="1"/>
  <c r="G145" i="30" s="1"/>
  <c r="I54" i="89"/>
  <c r="B59" i="67"/>
  <c r="F59" i="67"/>
  <c r="H59" i="67" s="1"/>
  <c r="B62" i="58"/>
  <c r="G62" i="58"/>
  <c r="H62" i="58"/>
  <c r="E62" i="46"/>
  <c r="F62" i="46" s="1"/>
  <c r="I64" i="24"/>
  <c r="E65" i="24"/>
  <c r="F65" i="24" s="1"/>
  <c r="B65" i="24"/>
  <c r="D65" i="42"/>
  <c r="E65" i="42" s="1"/>
  <c r="F65" i="42" s="1"/>
  <c r="H65" i="42" s="1"/>
  <c r="G64" i="42"/>
  <c r="I54" i="94"/>
  <c r="F57" i="80"/>
  <c r="B57" i="80"/>
  <c r="D58" i="82"/>
  <c r="E58" i="82" s="1"/>
  <c r="F58" i="82" s="1"/>
  <c r="I59" i="64"/>
  <c r="I58" i="65"/>
  <c r="F54" i="93"/>
  <c r="H54" i="93" s="1"/>
  <c r="B54" i="93"/>
  <c r="H57" i="82"/>
  <c r="I57" i="82" s="1"/>
  <c r="B55" i="94"/>
  <c r="F55" i="94"/>
  <c r="G55" i="94" s="1"/>
  <c r="G56" i="86"/>
  <c r="D57" i="86"/>
  <c r="E57" i="86" s="1"/>
  <c r="H56" i="86"/>
  <c r="H62" i="55"/>
  <c r="D63" i="55"/>
  <c r="G62" i="55"/>
  <c r="G65" i="23"/>
  <c r="D66" i="23"/>
  <c r="E66" i="23" s="1"/>
  <c r="F66" i="23" s="1"/>
  <c r="D67" i="23" s="1"/>
  <c r="H65" i="23"/>
  <c r="D60" i="65"/>
  <c r="B60" i="65" s="1"/>
  <c r="E59" i="66"/>
  <c r="F59" i="66" s="1"/>
  <c r="B59" i="66"/>
  <c r="D58" i="75"/>
  <c r="E58" i="75" s="1"/>
  <c r="F58" i="75" s="1"/>
  <c r="D59" i="75" s="1"/>
  <c r="F56" i="84"/>
  <c r="B56" i="84"/>
  <c r="D61" i="53"/>
  <c r="E61" i="53" s="1"/>
  <c r="F61" i="53" s="1"/>
  <c r="B57" i="90"/>
  <c r="F57" i="90"/>
  <c r="H57" i="90" s="1"/>
  <c r="H57" i="75"/>
  <c r="H60" i="53"/>
  <c r="H64" i="42"/>
  <c r="B56" i="91"/>
  <c r="F56" i="91"/>
  <c r="I59" i="53"/>
  <c r="G57" i="75"/>
  <c r="G60" i="53"/>
  <c r="B59" i="65"/>
  <c r="H59" i="65"/>
  <c r="G59" i="65"/>
  <c r="D63" i="44"/>
  <c r="E63" i="44" s="1"/>
  <c r="G56" i="85"/>
  <c r="D57" i="85"/>
  <c r="E57" i="85" s="1"/>
  <c r="B63" i="39"/>
  <c r="G64" i="34"/>
  <c r="D65" i="34"/>
  <c r="H64" i="34"/>
  <c r="D60" i="61"/>
  <c r="E60" i="61" s="1"/>
  <c r="E65" i="27"/>
  <c r="F65" i="27" s="1"/>
  <c r="B65" i="27"/>
  <c r="H56" i="85"/>
  <c r="I53" i="96"/>
  <c r="I60" i="72"/>
  <c r="H54" i="95"/>
  <c r="I54" i="95" s="1"/>
  <c r="D55" i="95"/>
  <c r="E55" i="95" s="1"/>
  <c r="B59" i="61"/>
  <c r="H59" i="61"/>
  <c r="G59" i="61"/>
  <c r="G64" i="22"/>
  <c r="F57" i="76"/>
  <c r="H57" i="76" s="1"/>
  <c r="B57" i="76"/>
  <c r="E65" i="22"/>
  <c r="F65" i="22" s="1"/>
  <c r="B65" i="22"/>
  <c r="H64" i="22"/>
  <c r="D62" i="72"/>
  <c r="F56" i="81"/>
  <c r="G56" i="81" s="1"/>
  <c r="B56" i="81"/>
  <c r="E63" i="39"/>
  <c r="F63" i="39" s="1"/>
  <c r="B54" i="96"/>
  <c r="F54" i="96"/>
  <c r="H54" i="96" s="1"/>
  <c r="B62" i="44"/>
  <c r="G62" i="44"/>
  <c r="H62" i="44"/>
  <c r="B61" i="72"/>
  <c r="G61" i="72"/>
  <c r="H61" i="72"/>
  <c r="I58" i="60"/>
  <c r="G60" i="57"/>
  <c r="D61" i="57"/>
  <c r="H60" i="57"/>
  <c r="H59" i="56"/>
  <c r="D60" i="56"/>
  <c r="E60" i="56" s="1"/>
  <c r="F60" i="56" s="1"/>
  <c r="D61" i="56" s="1"/>
  <c r="G59" i="56"/>
  <c r="H66" i="71"/>
  <c r="D67" i="71"/>
  <c r="E67" i="71" s="1"/>
  <c r="F67" i="71" s="1"/>
  <c r="G66" i="71"/>
  <c r="D67" i="70"/>
  <c r="H66" i="70"/>
  <c r="G66" i="70"/>
  <c r="H63" i="41"/>
  <c r="D64" i="41"/>
  <c r="E64" i="41" s="1"/>
  <c r="G63" i="41"/>
  <c r="D68" i="29"/>
  <c r="H67" i="29"/>
  <c r="G67" i="29"/>
  <c r="E66" i="32"/>
  <c r="F66" i="32" s="1"/>
  <c r="B66" i="32"/>
  <c r="F59" i="63"/>
  <c r="B59" i="63"/>
  <c r="B67" i="3"/>
  <c r="H63" i="74"/>
  <c r="D64" i="74"/>
  <c r="F57" i="78"/>
  <c r="H57" i="78" s="1"/>
  <c r="B57" i="78"/>
  <c r="D56" i="83"/>
  <c r="E56" i="83" s="1"/>
  <c r="F57" i="79"/>
  <c r="G57" i="79" s="1"/>
  <c r="B57" i="79"/>
  <c r="H55" i="87"/>
  <c r="I55" i="87" s="1"/>
  <c r="I64" i="32"/>
  <c r="D67" i="31"/>
  <c r="E67" i="31" s="1"/>
  <c r="H66" i="31"/>
  <c r="D59" i="68"/>
  <c r="E59" i="68" s="1"/>
  <c r="I62" i="21"/>
  <c r="E60" i="64"/>
  <c r="F60" i="64" s="1"/>
  <c r="B60" i="64"/>
  <c r="B64" i="19"/>
  <c r="B55" i="92"/>
  <c r="F55" i="92"/>
  <c r="G55" i="92" s="1"/>
  <c r="D64" i="43"/>
  <c r="E64" i="43" s="1"/>
  <c r="D60" i="60"/>
  <c r="E60" i="60" s="1"/>
  <c r="I62" i="73"/>
  <c r="G61" i="45"/>
  <c r="I61" i="45" s="1"/>
  <c r="D62" i="45"/>
  <c r="G68" i="28"/>
  <c r="D69" i="28"/>
  <c r="H68" i="28"/>
  <c r="B60" i="54"/>
  <c r="F60" i="54"/>
  <c r="D61" i="54" s="1"/>
  <c r="G65" i="32"/>
  <c r="H63" i="43"/>
  <c r="H59" i="60"/>
  <c r="I59" i="60" s="1"/>
  <c r="G63" i="74"/>
  <c r="G66" i="31"/>
  <c r="F67" i="69"/>
  <c r="D68" i="69" s="1"/>
  <c r="B67" i="69"/>
  <c r="H65" i="17"/>
  <c r="D66" i="17"/>
  <c r="G55" i="83"/>
  <c r="F55" i="89"/>
  <c r="B55" i="89"/>
  <c r="E63" i="21"/>
  <c r="F63" i="21" s="1"/>
  <c r="B63" i="21"/>
  <c r="B57" i="77"/>
  <c r="F57" i="77"/>
  <c r="H57" i="77" s="1"/>
  <c r="E64" i="19"/>
  <c r="F64" i="19" s="1"/>
  <c r="H65" i="32"/>
  <c r="G63" i="43"/>
  <c r="E67" i="3"/>
  <c r="F67" i="3" s="1"/>
  <c r="D68" i="3" s="1"/>
  <c r="F65" i="30"/>
  <c r="D66" i="30" s="1"/>
  <c r="B65" i="30"/>
  <c r="G56" i="88"/>
  <c r="I56" i="88" s="1"/>
  <c r="D57" i="88"/>
  <c r="E57" i="88" s="1"/>
  <c r="G65" i="17"/>
  <c r="H55" i="83"/>
  <c r="H58" i="68"/>
  <c r="I58" i="68" s="1"/>
  <c r="E143" i="20"/>
  <c r="F143" i="20" s="1"/>
  <c r="D146" i="27"/>
  <c r="G145" i="27"/>
  <c r="J144" i="27"/>
  <c r="J138" i="62"/>
  <c r="J133" i="33"/>
  <c r="D63" i="20"/>
  <c r="E63" i="20" s="1"/>
  <c r="D57" i="33"/>
  <c r="E57" i="33" s="1"/>
  <c r="B63" i="73"/>
  <c r="J144" i="30"/>
  <c r="D59" i="62"/>
  <c r="E63" i="73"/>
  <c r="F63" i="73" s="1"/>
  <c r="D56" i="26"/>
  <c r="E56" i="26" s="1"/>
  <c r="B64" i="18"/>
  <c r="J140" i="45"/>
  <c r="G62" i="20"/>
  <c r="G55" i="26"/>
  <c r="D55" i="13"/>
  <c r="H56" i="33"/>
  <c r="H62" i="20"/>
  <c r="F59" i="59"/>
  <c r="B59" i="59"/>
  <c r="H55" i="26"/>
  <c r="G54" i="13"/>
  <c r="I54" i="13" s="1"/>
  <c r="D56" i="87"/>
  <c r="E56" i="87" s="1"/>
  <c r="H58" i="62"/>
  <c r="I58" i="62" s="1"/>
  <c r="E64" i="18"/>
  <c r="F64" i="18" s="1"/>
  <c r="G56" i="33"/>
  <c r="B140" i="46"/>
  <c r="F140" i="46"/>
  <c r="B140" i="72"/>
  <c r="F140" i="72"/>
  <c r="B144" i="31"/>
  <c r="F144" i="31"/>
  <c r="I138" i="64"/>
  <c r="H138" i="64"/>
  <c r="H139" i="46"/>
  <c r="I139" i="46"/>
  <c r="H144" i="29"/>
  <c r="I144" i="29"/>
  <c r="I138" i="61"/>
  <c r="H138" i="61"/>
  <c r="G135" i="91"/>
  <c r="D136" i="91"/>
  <c r="E136" i="91"/>
  <c r="D144" i="22"/>
  <c r="G143" i="22"/>
  <c r="I142" i="20"/>
  <c r="H142" i="20"/>
  <c r="F135" i="86"/>
  <c r="B135" i="86"/>
  <c r="H136" i="79"/>
  <c r="I136" i="79"/>
  <c r="D142" i="45"/>
  <c r="E142" i="45" s="1"/>
  <c r="G141" i="45"/>
  <c r="F135" i="88"/>
  <c r="B135" i="88"/>
  <c r="G136" i="81"/>
  <c r="D137" i="81"/>
  <c r="E137" i="81"/>
  <c r="H135" i="85"/>
  <c r="I135" i="85"/>
  <c r="H134" i="84"/>
  <c r="I134" i="84"/>
  <c r="H138" i="63"/>
  <c r="I138" i="63"/>
  <c r="I143" i="31"/>
  <c r="H143" i="31"/>
  <c r="H139" i="58"/>
  <c r="I139" i="58"/>
  <c r="F139" i="60"/>
  <c r="B139" i="60"/>
  <c r="F145" i="69"/>
  <c r="B145" i="69"/>
  <c r="F138" i="68"/>
  <c r="B138" i="68"/>
  <c r="B145" i="70"/>
  <c r="F145" i="70"/>
  <c r="B145" i="29"/>
  <c r="E145" i="29"/>
  <c r="F145" i="29" s="1"/>
  <c r="B142" i="43"/>
  <c r="F142" i="43"/>
  <c r="I142" i="19"/>
  <c r="H142" i="19"/>
  <c r="H144" i="70"/>
  <c r="I144" i="70"/>
  <c r="J139" i="55"/>
  <c r="B142" i="39"/>
  <c r="F142" i="39"/>
  <c r="B138" i="66"/>
  <c r="F138" i="66"/>
  <c r="I143" i="32"/>
  <c r="H143" i="32"/>
  <c r="I139" i="72"/>
  <c r="H139" i="72"/>
  <c r="I140" i="74"/>
  <c r="H140" i="74"/>
  <c r="I134" i="86"/>
  <c r="H134" i="86"/>
  <c r="F137" i="79"/>
  <c r="B137" i="79"/>
  <c r="B143" i="34"/>
  <c r="F143" i="34"/>
  <c r="F136" i="85"/>
  <c r="B136" i="85"/>
  <c r="B135" i="84"/>
  <c r="F135" i="84"/>
  <c r="B139" i="63"/>
  <c r="F139" i="63"/>
  <c r="J141" i="41"/>
  <c r="B143" i="19"/>
  <c r="F143" i="19"/>
  <c r="I138" i="65"/>
  <c r="H138" i="65"/>
  <c r="I144" i="69"/>
  <c r="H144" i="69"/>
  <c r="J141" i="73"/>
  <c r="B135" i="90"/>
  <c r="F135" i="90"/>
  <c r="D136" i="89"/>
  <c r="E136" i="89"/>
  <c r="G135" i="89"/>
  <c r="F141" i="74"/>
  <c r="B141" i="74"/>
  <c r="H136" i="78"/>
  <c r="I136" i="78"/>
  <c r="H134" i="92"/>
  <c r="I134" i="92"/>
  <c r="I139" i="53"/>
  <c r="H139" i="53"/>
  <c r="I137" i="68"/>
  <c r="H137" i="68"/>
  <c r="D143" i="41"/>
  <c r="B143" i="41" s="1"/>
  <c r="G142" i="41"/>
  <c r="I141" i="39"/>
  <c r="H141" i="39"/>
  <c r="I137" i="66"/>
  <c r="H137" i="66"/>
  <c r="B139" i="61"/>
  <c r="F139" i="61"/>
  <c r="H134" i="90"/>
  <c r="I134" i="90"/>
  <c r="G142" i="73"/>
  <c r="D143" i="73"/>
  <c r="E143" i="73"/>
  <c r="E144" i="32"/>
  <c r="F144" i="32" s="1"/>
  <c r="B144" i="32"/>
  <c r="F137" i="78"/>
  <c r="B137" i="78"/>
  <c r="I134" i="88"/>
  <c r="H134" i="88"/>
  <c r="I142" i="34"/>
  <c r="H142" i="34"/>
  <c r="H141" i="43"/>
  <c r="I141" i="43"/>
  <c r="B135" i="92"/>
  <c r="F135" i="92"/>
  <c r="D140" i="62"/>
  <c r="E140" i="62" s="1"/>
  <c r="G139" i="62"/>
  <c r="F140" i="58"/>
  <c r="B140" i="58"/>
  <c r="I138" i="60"/>
  <c r="H138" i="60"/>
  <c r="B139" i="65"/>
  <c r="F139" i="65"/>
  <c r="B140" i="53"/>
  <c r="F140" i="53"/>
  <c r="B139" i="64"/>
  <c r="F139" i="64"/>
  <c r="J142" i="22"/>
  <c r="E144" i="18"/>
  <c r="F144" i="18" s="1"/>
  <c r="B144" i="18"/>
  <c r="E145" i="23"/>
  <c r="F145" i="23" s="1"/>
  <c r="B145" i="23"/>
  <c r="H139" i="59"/>
  <c r="I139" i="59"/>
  <c r="J140" i="56"/>
  <c r="I143" i="18"/>
  <c r="H143" i="18"/>
  <c r="B140" i="59"/>
  <c r="F140" i="59"/>
  <c r="D142" i="56"/>
  <c r="E142" i="56" s="1"/>
  <c r="G141" i="56"/>
  <c r="J142" i="21"/>
  <c r="I144" i="23"/>
  <c r="H144" i="23"/>
  <c r="J139" i="54"/>
  <c r="I140" i="57"/>
  <c r="H140" i="57"/>
  <c r="F145" i="71"/>
  <c r="B145" i="71"/>
  <c r="F141" i="57"/>
  <c r="B141" i="57"/>
  <c r="J143" i="24"/>
  <c r="I144" i="71"/>
  <c r="H144" i="71"/>
  <c r="G144" i="24"/>
  <c r="D145" i="24"/>
  <c r="E145" i="24" s="1"/>
  <c r="G134" i="33"/>
  <c r="D135" i="33"/>
  <c r="E135" i="33" s="1"/>
  <c r="D137" i="80"/>
  <c r="E137" i="80"/>
  <c r="G136" i="80"/>
  <c r="F136" i="82"/>
  <c r="B136" i="82"/>
  <c r="B142" i="44"/>
  <c r="F142" i="44"/>
  <c r="B136" i="95"/>
  <c r="D141" i="54"/>
  <c r="E141" i="54" s="1"/>
  <c r="G140" i="54"/>
  <c r="B146" i="28"/>
  <c r="H137" i="67"/>
  <c r="I137" i="67"/>
  <c r="B144" i="17"/>
  <c r="H142" i="3"/>
  <c r="I142" i="3"/>
  <c r="J136" i="77"/>
  <c r="J136" i="75"/>
  <c r="I141" i="44"/>
  <c r="H141" i="44"/>
  <c r="I135" i="95"/>
  <c r="H135" i="95"/>
  <c r="D144" i="21"/>
  <c r="E144" i="21" s="1"/>
  <c r="G143" i="21"/>
  <c r="E138" i="76"/>
  <c r="G137" i="76"/>
  <c r="D138" i="76"/>
  <c r="G142" i="42"/>
  <c r="D143" i="42"/>
  <c r="E143" i="42" s="1"/>
  <c r="F135" i="87"/>
  <c r="B135" i="87"/>
  <c r="B136" i="94"/>
  <c r="F136" i="94"/>
  <c r="F138" i="67"/>
  <c r="B138" i="67"/>
  <c r="I143" i="17"/>
  <c r="H143" i="17"/>
  <c r="G140" i="55"/>
  <c r="D141" i="55"/>
  <c r="E141" i="55" s="1"/>
  <c r="F143" i="3"/>
  <c r="B143" i="3"/>
  <c r="J141" i="42"/>
  <c r="D137" i="83"/>
  <c r="G136" i="83"/>
  <c r="E137" i="83"/>
  <c r="H134" i="87"/>
  <c r="I134" i="87"/>
  <c r="G137" i="75"/>
  <c r="D138" i="75"/>
  <c r="E138" i="75"/>
  <c r="E146" i="28"/>
  <c r="F146" i="28" s="1"/>
  <c r="J136" i="76"/>
  <c r="I135" i="94"/>
  <c r="H135" i="94"/>
  <c r="E144" i="17"/>
  <c r="F144" i="17" s="1"/>
  <c r="F135" i="96"/>
  <c r="B135" i="96"/>
  <c r="I135" i="82"/>
  <c r="H135" i="82"/>
  <c r="G135" i="93"/>
  <c r="D136" i="93"/>
  <c r="E136" i="93" s="1"/>
  <c r="G134" i="13"/>
  <c r="D135" i="13"/>
  <c r="E135" i="13" s="1"/>
  <c r="E136" i="95"/>
  <c r="F136" i="95" s="1"/>
  <c r="D138" i="77"/>
  <c r="G137" i="77"/>
  <c r="E138" i="77"/>
  <c r="I145" i="28"/>
  <c r="H145" i="28"/>
  <c r="H134" i="96"/>
  <c r="I134" i="96"/>
  <c r="G66" i="100" l="1"/>
  <c r="I66" i="100" s="1"/>
  <c r="D67" i="100"/>
  <c r="D138" i="100"/>
  <c r="G137" i="100"/>
  <c r="B55" i="25"/>
  <c r="E55" i="25"/>
  <c r="F55" i="25" s="1"/>
  <c r="G55" i="25" s="1"/>
  <c r="I54" i="25"/>
  <c r="D146" i="30"/>
  <c r="B146" i="30" s="1"/>
  <c r="G136" i="26"/>
  <c r="H136" i="26" s="1"/>
  <c r="I134" i="25"/>
  <c r="H134" i="25"/>
  <c r="E135" i="25"/>
  <c r="F135" i="25" s="1"/>
  <c r="B135" i="25"/>
  <c r="H135" i="26"/>
  <c r="I135" i="26"/>
  <c r="D55" i="98"/>
  <c r="E55" i="98"/>
  <c r="G54" i="98"/>
  <c r="H54" i="98"/>
  <c r="D71" i="97"/>
  <c r="E71" i="97" s="1"/>
  <c r="F71" i="97" s="1"/>
  <c r="D72" i="97" s="1"/>
  <c r="D64" i="99"/>
  <c r="E64" i="99" s="1"/>
  <c r="F64" i="99" s="1"/>
  <c r="D65" i="99" s="1"/>
  <c r="G57" i="90"/>
  <c r="I57" i="90" s="1"/>
  <c r="I62" i="99"/>
  <c r="H70" i="97"/>
  <c r="I70" i="97" s="1"/>
  <c r="H63" i="99"/>
  <c r="I63" i="99" s="1"/>
  <c r="I134" i="99"/>
  <c r="H134" i="99"/>
  <c r="B135" i="99"/>
  <c r="F135" i="99"/>
  <c r="E63" i="58"/>
  <c r="F63" i="58" s="1"/>
  <c r="I65" i="23"/>
  <c r="G59" i="67"/>
  <c r="I59" i="67" s="1"/>
  <c r="I62" i="58"/>
  <c r="I64" i="42"/>
  <c r="D136" i="98"/>
  <c r="G135" i="98"/>
  <c r="E136" i="98"/>
  <c r="D136" i="97"/>
  <c r="E136" i="97" s="1"/>
  <c r="G135" i="97"/>
  <c r="D60" i="67"/>
  <c r="E60" i="67" s="1"/>
  <c r="F60" i="67" s="1"/>
  <c r="I60" i="57"/>
  <c r="D63" i="46"/>
  <c r="E63" i="46" s="1"/>
  <c r="F63" i="46" s="1"/>
  <c r="G62" i="46"/>
  <c r="H62" i="46"/>
  <c r="B65" i="42"/>
  <c r="H65" i="24"/>
  <c r="D66" i="24"/>
  <c r="G65" i="24"/>
  <c r="D66" i="27"/>
  <c r="B66" i="27" s="1"/>
  <c r="H55" i="94"/>
  <c r="I55" i="94" s="1"/>
  <c r="D55" i="93"/>
  <c r="E55" i="93" s="1"/>
  <c r="D59" i="82"/>
  <c r="E59" i="82" s="1"/>
  <c r="F59" i="82" s="1"/>
  <c r="G57" i="80"/>
  <c r="D58" i="80"/>
  <c r="G67" i="69"/>
  <c r="I61" i="72"/>
  <c r="I56" i="86"/>
  <c r="G54" i="93"/>
  <c r="I54" i="93" s="1"/>
  <c r="B58" i="82"/>
  <c r="G58" i="82"/>
  <c r="H58" i="82"/>
  <c r="H57" i="80"/>
  <c r="E60" i="65"/>
  <c r="F60" i="65" s="1"/>
  <c r="D61" i="65" s="1"/>
  <c r="E61" i="65" s="1"/>
  <c r="F57" i="86"/>
  <c r="H57" i="86" s="1"/>
  <c r="B57" i="86"/>
  <c r="D56" i="94"/>
  <c r="E56" i="94" s="1"/>
  <c r="D60" i="66"/>
  <c r="E60" i="66" s="1"/>
  <c r="F60" i="66" s="1"/>
  <c r="G59" i="66"/>
  <c r="H59" i="66"/>
  <c r="D57" i="84"/>
  <c r="E57" i="84" s="1"/>
  <c r="I64" i="22"/>
  <c r="I59" i="65"/>
  <c r="G65" i="42"/>
  <c r="I65" i="42" s="1"/>
  <c r="D66" i="42"/>
  <c r="B61" i="53"/>
  <c r="G61" i="53"/>
  <c r="H61" i="53"/>
  <c r="G56" i="84"/>
  <c r="E59" i="75"/>
  <c r="F59" i="75" s="1"/>
  <c r="B59" i="75"/>
  <c r="E67" i="23"/>
  <c r="F67" i="23" s="1"/>
  <c r="B67" i="23"/>
  <c r="B63" i="55"/>
  <c r="D62" i="53"/>
  <c r="G57" i="76"/>
  <c r="I57" i="76" s="1"/>
  <c r="I59" i="61"/>
  <c r="I60" i="53"/>
  <c r="D58" i="90"/>
  <c r="E58" i="90" s="1"/>
  <c r="H56" i="84"/>
  <c r="B58" i="75"/>
  <c r="H58" i="75"/>
  <c r="G58" i="75"/>
  <c r="B66" i="23"/>
  <c r="H66" i="23"/>
  <c r="G66" i="23"/>
  <c r="E63" i="55"/>
  <c r="F63" i="55" s="1"/>
  <c r="I65" i="32"/>
  <c r="H56" i="91"/>
  <c r="G56" i="91"/>
  <c r="D57" i="91"/>
  <c r="E57" i="91" s="1"/>
  <c r="I57" i="75"/>
  <c r="I62" i="55"/>
  <c r="D64" i="39"/>
  <c r="E64" i="39" s="1"/>
  <c r="G63" i="39"/>
  <c r="H63" i="39"/>
  <c r="B65" i="34"/>
  <c r="D66" i="22"/>
  <c r="F60" i="61"/>
  <c r="B60" i="61"/>
  <c r="B62" i="72"/>
  <c r="G65" i="30"/>
  <c r="H60" i="54"/>
  <c r="D57" i="81"/>
  <c r="E57" i="81" s="1"/>
  <c r="H65" i="22"/>
  <c r="B55" i="95"/>
  <c r="F55" i="95"/>
  <c r="H55" i="95" s="1"/>
  <c r="I56" i="85"/>
  <c r="H65" i="27"/>
  <c r="I64" i="34"/>
  <c r="H65" i="30"/>
  <c r="I62" i="44"/>
  <c r="G54" i="96"/>
  <c r="I54" i="96" s="1"/>
  <c r="E55" i="96"/>
  <c r="D55" i="96"/>
  <c r="H56" i="81"/>
  <c r="I56" i="81" s="1"/>
  <c r="E62" i="72"/>
  <c r="F62" i="72" s="1"/>
  <c r="G65" i="22"/>
  <c r="D58" i="76"/>
  <c r="E58" i="76" s="1"/>
  <c r="G65" i="27"/>
  <c r="E65" i="34"/>
  <c r="F65" i="34" s="1"/>
  <c r="B57" i="85"/>
  <c r="F57" i="85"/>
  <c r="H57" i="85" s="1"/>
  <c r="B63" i="44"/>
  <c r="F63" i="44"/>
  <c r="I66" i="70"/>
  <c r="I65" i="17"/>
  <c r="I55" i="83"/>
  <c r="D65" i="19"/>
  <c r="G64" i="19"/>
  <c r="H64" i="19"/>
  <c r="D61" i="64"/>
  <c r="E61" i="64" s="1"/>
  <c r="H60" i="64"/>
  <c r="G60" i="64"/>
  <c r="D64" i="21"/>
  <c r="E64" i="21" s="1"/>
  <c r="H63" i="21"/>
  <c r="G63" i="21"/>
  <c r="D68" i="71"/>
  <c r="E68" i="71" s="1"/>
  <c r="F68" i="71" s="1"/>
  <c r="E68" i="3"/>
  <c r="F68" i="3" s="1"/>
  <c r="B68" i="3"/>
  <c r="F56" i="83"/>
  <c r="H56" i="83" s="1"/>
  <c r="B56" i="83"/>
  <c r="G67" i="3"/>
  <c r="D67" i="32"/>
  <c r="E67" i="32" s="1"/>
  <c r="G55" i="89"/>
  <c r="D56" i="89"/>
  <c r="E56" i="89" s="1"/>
  <c r="I63" i="43"/>
  <c r="E62" i="45"/>
  <c r="F62" i="45" s="1"/>
  <c r="B62" i="45"/>
  <c r="H67" i="3"/>
  <c r="E67" i="70"/>
  <c r="F67" i="70" s="1"/>
  <c r="G67" i="70" s="1"/>
  <c r="B67" i="70"/>
  <c r="I59" i="56"/>
  <c r="E68" i="69"/>
  <c r="F68" i="69" s="1"/>
  <c r="B68" i="69"/>
  <c r="I68" i="28"/>
  <c r="H55" i="92"/>
  <c r="I55" i="92" s="1"/>
  <c r="D56" i="92"/>
  <c r="E56" i="92" s="1"/>
  <c r="F59" i="68"/>
  <c r="D60" i="68" s="1"/>
  <c r="B59" i="68"/>
  <c r="I66" i="31"/>
  <c r="D58" i="79"/>
  <c r="E58" i="79" s="1"/>
  <c r="E64" i="74"/>
  <c r="F64" i="74" s="1"/>
  <c r="H64" i="74" s="1"/>
  <c r="B64" i="74"/>
  <c r="E68" i="29"/>
  <c r="F68" i="29" s="1"/>
  <c r="B68" i="29"/>
  <c r="E61" i="56"/>
  <c r="F61" i="56" s="1"/>
  <c r="B61" i="56"/>
  <c r="E61" i="57"/>
  <c r="F61" i="57" s="1"/>
  <c r="H61" i="57" s="1"/>
  <c r="B61" i="57"/>
  <c r="B66" i="17"/>
  <c r="D58" i="78"/>
  <c r="E58" i="78" s="1"/>
  <c r="H59" i="63"/>
  <c r="D60" i="63"/>
  <c r="F57" i="88"/>
  <c r="B57" i="88"/>
  <c r="D58" i="77"/>
  <c r="E58" i="77" s="1"/>
  <c r="E61" i="54"/>
  <c r="F61" i="54" s="1"/>
  <c r="B61" i="54"/>
  <c r="B60" i="60"/>
  <c r="F60" i="60"/>
  <c r="H60" i="60" s="1"/>
  <c r="G57" i="78"/>
  <c r="I57" i="78" s="1"/>
  <c r="G59" i="63"/>
  <c r="G66" i="32"/>
  <c r="I67" i="29"/>
  <c r="F64" i="41"/>
  <c r="B64" i="41"/>
  <c r="I66" i="71"/>
  <c r="E66" i="30"/>
  <c r="F66" i="30" s="1"/>
  <c r="B66" i="30"/>
  <c r="G57" i="77"/>
  <c r="I57" i="77" s="1"/>
  <c r="H55" i="89"/>
  <c r="E66" i="17"/>
  <c r="F66" i="17" s="1"/>
  <c r="H66" i="17" s="1"/>
  <c r="H67" i="69"/>
  <c r="G60" i="54"/>
  <c r="E69" i="28"/>
  <c r="F69" i="28" s="1"/>
  <c r="B69" i="28"/>
  <c r="F64" i="43"/>
  <c r="B64" i="43"/>
  <c r="F67" i="31"/>
  <c r="H67" i="31" s="1"/>
  <c r="B67" i="31"/>
  <c r="H57" i="79"/>
  <c r="I57" i="79" s="1"/>
  <c r="I63" i="74"/>
  <c r="H66" i="32"/>
  <c r="I63" i="41"/>
  <c r="B67" i="71"/>
  <c r="G67" i="71"/>
  <c r="H67" i="71"/>
  <c r="B60" i="56"/>
  <c r="G60" i="56"/>
  <c r="H60" i="56"/>
  <c r="E143" i="41"/>
  <c r="F143" i="41" s="1"/>
  <c r="I145" i="27"/>
  <c r="H145" i="27"/>
  <c r="E146" i="27"/>
  <c r="F146" i="27" s="1"/>
  <c r="B146" i="27"/>
  <c r="J144" i="29"/>
  <c r="D64" i="73"/>
  <c r="E64" i="73" s="1"/>
  <c r="H63" i="73"/>
  <c r="G63" i="73"/>
  <c r="D65" i="18"/>
  <c r="G64" i="18"/>
  <c r="H64" i="18"/>
  <c r="B55" i="13"/>
  <c r="J137" i="68"/>
  <c r="J144" i="69"/>
  <c r="J142" i="19"/>
  <c r="J143" i="31"/>
  <c r="J142" i="20"/>
  <c r="D60" i="59"/>
  <c r="E60" i="59" s="1"/>
  <c r="I62" i="20"/>
  <c r="E55" i="13"/>
  <c r="F55" i="13" s="1"/>
  <c r="B56" i="26"/>
  <c r="F56" i="26"/>
  <c r="G56" i="26" s="1"/>
  <c r="B59" i="62"/>
  <c r="J142" i="34"/>
  <c r="J136" i="78"/>
  <c r="J144" i="70"/>
  <c r="J139" i="58"/>
  <c r="J138" i="63"/>
  <c r="I55" i="26"/>
  <c r="H59" i="59"/>
  <c r="I56" i="33"/>
  <c r="B57" i="33"/>
  <c r="F57" i="33"/>
  <c r="H57" i="33" s="1"/>
  <c r="J141" i="43"/>
  <c r="J139" i="46"/>
  <c r="B56" i="87"/>
  <c r="F56" i="87"/>
  <c r="H56" i="87" s="1"/>
  <c r="G59" i="59"/>
  <c r="E59" i="62"/>
  <c r="F59" i="62" s="1"/>
  <c r="B63" i="20"/>
  <c r="F63" i="20"/>
  <c r="H63" i="20" s="1"/>
  <c r="G144" i="32"/>
  <c r="D145" i="32"/>
  <c r="B145" i="32" s="1"/>
  <c r="B140" i="62"/>
  <c r="F140" i="62"/>
  <c r="D141" i="58"/>
  <c r="E141" i="58"/>
  <c r="G140" i="58"/>
  <c r="G135" i="92"/>
  <c r="E136" i="92"/>
  <c r="D136" i="92"/>
  <c r="D144" i="20"/>
  <c r="E144" i="20" s="1"/>
  <c r="G143" i="20"/>
  <c r="J137" i="66"/>
  <c r="H142" i="41"/>
  <c r="I142" i="41"/>
  <c r="I135" i="89"/>
  <c r="H135" i="89"/>
  <c r="J139" i="72"/>
  <c r="G142" i="43"/>
  <c r="D143" i="43"/>
  <c r="B143" i="43" s="1"/>
  <c r="D146" i="70"/>
  <c r="E146" i="70"/>
  <c r="G145" i="70"/>
  <c r="H136" i="81"/>
  <c r="I136" i="81"/>
  <c r="H143" i="22"/>
  <c r="I143" i="22"/>
  <c r="I135" i="91"/>
  <c r="H135" i="91"/>
  <c r="E141" i="72"/>
  <c r="D141" i="72"/>
  <c r="G140" i="72"/>
  <c r="D140" i="64"/>
  <c r="E140" i="64" s="1"/>
  <c r="G139" i="64"/>
  <c r="G139" i="65"/>
  <c r="D140" i="65"/>
  <c r="E140" i="65" s="1"/>
  <c r="D138" i="78"/>
  <c r="G137" i="78"/>
  <c r="E138" i="78"/>
  <c r="D142" i="74"/>
  <c r="G141" i="74"/>
  <c r="E142" i="74"/>
  <c r="D136" i="84"/>
  <c r="E136" i="84"/>
  <c r="G135" i="84"/>
  <c r="E139" i="66"/>
  <c r="G138" i="66"/>
  <c r="D139" i="66"/>
  <c r="B137" i="81"/>
  <c r="F137" i="81"/>
  <c r="I141" i="45"/>
  <c r="H141" i="45"/>
  <c r="H145" i="30"/>
  <c r="I145" i="30"/>
  <c r="J144" i="71"/>
  <c r="J140" i="57"/>
  <c r="D141" i="53"/>
  <c r="E141" i="53" s="1"/>
  <c r="G140" i="53"/>
  <c r="I139" i="62"/>
  <c r="H139" i="62"/>
  <c r="B143" i="73"/>
  <c r="F143" i="73"/>
  <c r="G139" i="61"/>
  <c r="D140" i="61"/>
  <c r="E140" i="61" s="1"/>
  <c r="J139" i="53"/>
  <c r="J138" i="65"/>
  <c r="E140" i="63"/>
  <c r="G139" i="63"/>
  <c r="D140" i="63"/>
  <c r="D143" i="39"/>
  <c r="E143" i="39" s="1"/>
  <c r="G142" i="39"/>
  <c r="D146" i="69"/>
  <c r="G145" i="69"/>
  <c r="E146" i="69"/>
  <c r="B142" i="45"/>
  <c r="F142" i="45"/>
  <c r="E136" i="86"/>
  <c r="D136" i="86"/>
  <c r="G135" i="86"/>
  <c r="E144" i="22"/>
  <c r="F144" i="22" s="1"/>
  <c r="B144" i="22"/>
  <c r="J138" i="64"/>
  <c r="G140" i="46"/>
  <c r="D141" i="46"/>
  <c r="E141" i="46" s="1"/>
  <c r="B137" i="26"/>
  <c r="E137" i="26"/>
  <c r="F137" i="26" s="1"/>
  <c r="D136" i="90"/>
  <c r="E136" i="90"/>
  <c r="G135" i="90"/>
  <c r="D144" i="34"/>
  <c r="B144" i="34" s="1"/>
  <c r="G143" i="34"/>
  <c r="D139" i="68"/>
  <c r="G138" i="68"/>
  <c r="E139" i="68"/>
  <c r="G139" i="60"/>
  <c r="D140" i="60"/>
  <c r="E140" i="60" s="1"/>
  <c r="F136" i="91"/>
  <c r="B136" i="91"/>
  <c r="J143" i="17"/>
  <c r="J138" i="60"/>
  <c r="I142" i="73"/>
  <c r="H142" i="73"/>
  <c r="J141" i="39"/>
  <c r="B136" i="89"/>
  <c r="F136" i="89"/>
  <c r="G143" i="19"/>
  <c r="D144" i="19"/>
  <c r="B144" i="19" s="1"/>
  <c r="D137" i="85"/>
  <c r="G136" i="85"/>
  <c r="E137" i="85"/>
  <c r="E138" i="79"/>
  <c r="D138" i="79"/>
  <c r="G137" i="79"/>
  <c r="J140" i="74"/>
  <c r="J143" i="32"/>
  <c r="D146" i="29"/>
  <c r="G145" i="29"/>
  <c r="G135" i="88"/>
  <c r="D136" i="88"/>
  <c r="E136" i="88"/>
  <c r="J136" i="79"/>
  <c r="J138" i="61"/>
  <c r="D145" i="31"/>
  <c r="B145" i="31" s="1"/>
  <c r="G144" i="31"/>
  <c r="E146" i="30"/>
  <c r="F146" i="30" s="1"/>
  <c r="J144" i="23"/>
  <c r="G140" i="59"/>
  <c r="D141" i="59"/>
  <c r="E141" i="59" s="1"/>
  <c r="J143" i="18"/>
  <c r="J139" i="59"/>
  <c r="D145" i="18"/>
  <c r="G144" i="18"/>
  <c r="J137" i="67"/>
  <c r="I141" i="56"/>
  <c r="H141" i="56"/>
  <c r="B142" i="56"/>
  <c r="F142" i="56"/>
  <c r="D146" i="23"/>
  <c r="G145" i="23"/>
  <c r="G145" i="71"/>
  <c r="D146" i="71"/>
  <c r="E146" i="71"/>
  <c r="J141" i="44"/>
  <c r="D142" i="57"/>
  <c r="E142" i="57" s="1"/>
  <c r="G141" i="57"/>
  <c r="D145" i="17"/>
  <c r="E145" i="17" s="1"/>
  <c r="G144" i="17"/>
  <c r="G146" i="28"/>
  <c r="D147" i="28"/>
  <c r="D137" i="95"/>
  <c r="E137" i="95" s="1"/>
  <c r="G136" i="95"/>
  <c r="J145" i="28"/>
  <c r="H137" i="77"/>
  <c r="I137" i="77"/>
  <c r="H134" i="13"/>
  <c r="I134" i="13"/>
  <c r="H135" i="93"/>
  <c r="I135" i="93"/>
  <c r="F138" i="75"/>
  <c r="B138" i="75"/>
  <c r="D139" i="67"/>
  <c r="G138" i="67"/>
  <c r="E139" i="67"/>
  <c r="D136" i="87"/>
  <c r="G135" i="87"/>
  <c r="E136" i="87"/>
  <c r="F138" i="76"/>
  <c r="B138" i="76"/>
  <c r="F144" i="21"/>
  <c r="B144" i="21"/>
  <c r="F138" i="77"/>
  <c r="B138" i="77"/>
  <c r="I137" i="75"/>
  <c r="H137" i="75"/>
  <c r="F141" i="55"/>
  <c r="B141" i="55"/>
  <c r="G136" i="94"/>
  <c r="D137" i="94"/>
  <c r="E137" i="94" s="1"/>
  <c r="H137" i="76"/>
  <c r="I137" i="76"/>
  <c r="F137" i="80"/>
  <c r="B137" i="80"/>
  <c r="B135" i="33"/>
  <c r="F135" i="33"/>
  <c r="I136" i="83"/>
  <c r="H136" i="83"/>
  <c r="H140" i="55"/>
  <c r="I140" i="55"/>
  <c r="F143" i="42"/>
  <c r="B143" i="42"/>
  <c r="J142" i="3"/>
  <c r="I140" i="54"/>
  <c r="H140" i="54"/>
  <c r="D143" i="44"/>
  <c r="E143" i="44" s="1"/>
  <c r="G142" i="44"/>
  <c r="D137" i="82"/>
  <c r="G136" i="82"/>
  <c r="E137" i="82"/>
  <c r="H134" i="33"/>
  <c r="I134" i="33"/>
  <c r="B145" i="24"/>
  <c r="F145" i="24"/>
  <c r="F135" i="13"/>
  <c r="B135" i="13"/>
  <c r="B136" i="93"/>
  <c r="F136" i="93"/>
  <c r="G135" i="96"/>
  <c r="D136" i="96"/>
  <c r="E136" i="96" s="1"/>
  <c r="B137" i="83"/>
  <c r="F137" i="83"/>
  <c r="D144" i="3"/>
  <c r="E144" i="3" s="1"/>
  <c r="G143" i="3"/>
  <c r="H142" i="42"/>
  <c r="I142" i="42"/>
  <c r="I143" i="21"/>
  <c r="H143" i="21"/>
  <c r="B141" i="54"/>
  <c r="F141" i="54"/>
  <c r="I136" i="80"/>
  <c r="H136" i="80"/>
  <c r="I144" i="24"/>
  <c r="H144" i="24"/>
  <c r="E67" i="100" l="1"/>
  <c r="F67" i="100" s="1"/>
  <c r="H67" i="100" s="1"/>
  <c r="B67" i="100"/>
  <c r="I137" i="100"/>
  <c r="H137" i="100"/>
  <c r="E138" i="100"/>
  <c r="B138" i="100"/>
  <c r="F138" i="100"/>
  <c r="H55" i="25"/>
  <c r="I55" i="25" s="1"/>
  <c r="D56" i="25"/>
  <c r="I66" i="32"/>
  <c r="I136" i="26"/>
  <c r="J136" i="26" s="1"/>
  <c r="J135" i="26"/>
  <c r="D136" i="25"/>
  <c r="G135" i="25"/>
  <c r="J134" i="25"/>
  <c r="I54" i="98"/>
  <c r="H60" i="65"/>
  <c r="G57" i="33"/>
  <c r="I57" i="33" s="1"/>
  <c r="E65" i="99"/>
  <c r="F65" i="99" s="1"/>
  <c r="D66" i="99" s="1"/>
  <c r="B65" i="99"/>
  <c r="E72" i="97"/>
  <c r="E73" i="97" s="1"/>
  <c r="B72" i="97"/>
  <c r="B64" i="99"/>
  <c r="G64" i="99"/>
  <c r="H64" i="99"/>
  <c r="B71" i="97"/>
  <c r="G71" i="97"/>
  <c r="H71" i="97"/>
  <c r="F55" i="98"/>
  <c r="H55" i="98" s="1"/>
  <c r="B55" i="98"/>
  <c r="I59" i="66"/>
  <c r="E136" i="99"/>
  <c r="D136" i="99"/>
  <c r="G135" i="99"/>
  <c r="G63" i="58"/>
  <c r="H63" i="58"/>
  <c r="D64" i="58"/>
  <c r="I65" i="30"/>
  <c r="G55" i="95"/>
  <c r="I55" i="95" s="1"/>
  <c r="I55" i="89"/>
  <c r="I67" i="69"/>
  <c r="B61" i="65"/>
  <c r="G60" i="65"/>
  <c r="F61" i="65"/>
  <c r="D62" i="65" s="1"/>
  <c r="I63" i="39"/>
  <c r="B136" i="97"/>
  <c r="F136" i="97"/>
  <c r="H135" i="98"/>
  <c r="I135" i="98"/>
  <c r="I135" i="97"/>
  <c r="H135" i="97"/>
  <c r="B136" i="98"/>
  <c r="F136" i="98"/>
  <c r="I56" i="84"/>
  <c r="I58" i="82"/>
  <c r="G64" i="74"/>
  <c r="I64" i="74" s="1"/>
  <c r="D61" i="67"/>
  <c r="E61" i="67" s="1"/>
  <c r="F61" i="67" s="1"/>
  <c r="D62" i="67" s="1"/>
  <c r="B60" i="67"/>
  <c r="G60" i="67"/>
  <c r="H60" i="67"/>
  <c r="I62" i="46"/>
  <c r="D64" i="46"/>
  <c r="E64" i="46" s="1"/>
  <c r="F64" i="46" s="1"/>
  <c r="D65" i="46" s="1"/>
  <c r="B63" i="46"/>
  <c r="G63" i="46"/>
  <c r="H63" i="46"/>
  <c r="E66" i="24"/>
  <c r="F66" i="24" s="1"/>
  <c r="G66" i="24" s="1"/>
  <c r="B66" i="24"/>
  <c r="I65" i="24"/>
  <c r="I56" i="91"/>
  <c r="D60" i="82"/>
  <c r="D58" i="86"/>
  <c r="G57" i="86"/>
  <c r="I57" i="86" s="1"/>
  <c r="I60" i="54"/>
  <c r="B56" i="94"/>
  <c r="F56" i="94"/>
  <c r="H56" i="94" s="1"/>
  <c r="B59" i="82"/>
  <c r="H59" i="82"/>
  <c r="G59" i="82"/>
  <c r="E66" i="27"/>
  <c r="F66" i="27" s="1"/>
  <c r="I64" i="19"/>
  <c r="I57" i="80"/>
  <c r="E58" i="80"/>
  <c r="F58" i="80" s="1"/>
  <c r="B58" i="80"/>
  <c r="F55" i="93"/>
  <c r="B55" i="93"/>
  <c r="H63" i="55"/>
  <c r="D64" i="55"/>
  <c r="G63" i="55"/>
  <c r="D60" i="75"/>
  <c r="G59" i="75"/>
  <c r="H59" i="75"/>
  <c r="G67" i="23"/>
  <c r="H67" i="23"/>
  <c r="D68" i="23"/>
  <c r="B68" i="23" s="1"/>
  <c r="D61" i="66"/>
  <c r="E61" i="66" s="1"/>
  <c r="F61" i="66" s="1"/>
  <c r="G57" i="85"/>
  <c r="I57" i="85" s="1"/>
  <c r="I58" i="75"/>
  <c r="F58" i="90"/>
  <c r="B58" i="90"/>
  <c r="E66" i="42"/>
  <c r="F66" i="42" s="1"/>
  <c r="H66" i="42" s="1"/>
  <c r="B66" i="42"/>
  <c r="B62" i="53"/>
  <c r="I66" i="23"/>
  <c r="I61" i="53"/>
  <c r="H59" i="68"/>
  <c r="F57" i="91"/>
  <c r="G57" i="91" s="1"/>
  <c r="B57" i="91"/>
  <c r="E62" i="53"/>
  <c r="F62" i="53" s="1"/>
  <c r="B57" i="84"/>
  <c r="F57" i="84"/>
  <c r="H57" i="84" s="1"/>
  <c r="B60" i="66"/>
  <c r="H60" i="66"/>
  <c r="G60" i="66"/>
  <c r="H68" i="69"/>
  <c r="G68" i="69"/>
  <c r="D66" i="34"/>
  <c r="G65" i="34"/>
  <c r="H65" i="34"/>
  <c r="D63" i="72"/>
  <c r="E63" i="72" s="1"/>
  <c r="F63" i="72" s="1"/>
  <c r="H62" i="72"/>
  <c r="G62" i="72"/>
  <c r="B57" i="81"/>
  <c r="F57" i="81"/>
  <c r="G57" i="81" s="1"/>
  <c r="B66" i="22"/>
  <c r="G67" i="31"/>
  <c r="I67" i="31" s="1"/>
  <c r="G59" i="68"/>
  <c r="I65" i="27"/>
  <c r="D56" i="95"/>
  <c r="E56" i="95" s="1"/>
  <c r="H60" i="61"/>
  <c r="D61" i="61"/>
  <c r="D58" i="85"/>
  <c r="E58" i="85" s="1"/>
  <c r="F55" i="96"/>
  <c r="B55" i="96"/>
  <c r="G56" i="87"/>
  <c r="I56" i="87" s="1"/>
  <c r="D64" i="44"/>
  <c r="E64" i="44" s="1"/>
  <c r="H63" i="44"/>
  <c r="G63" i="44"/>
  <c r="B58" i="76"/>
  <c r="F58" i="76"/>
  <c r="G58" i="76" s="1"/>
  <c r="I65" i="22"/>
  <c r="G60" i="61"/>
  <c r="E66" i="22"/>
  <c r="F66" i="22" s="1"/>
  <c r="B64" i="39"/>
  <c r="F64" i="39"/>
  <c r="G64" i="39" s="1"/>
  <c r="I67" i="71"/>
  <c r="I63" i="21"/>
  <c r="I60" i="64"/>
  <c r="I59" i="63"/>
  <c r="I60" i="56"/>
  <c r="I67" i="3"/>
  <c r="D70" i="28"/>
  <c r="G69" i="28"/>
  <c r="H69" i="28"/>
  <c r="G66" i="30"/>
  <c r="D67" i="30"/>
  <c r="H66" i="30"/>
  <c r="D69" i="29"/>
  <c r="G68" i="29"/>
  <c r="H68" i="29"/>
  <c r="D144" i="41"/>
  <c r="E144" i="41" s="1"/>
  <c r="F144" i="41" s="1"/>
  <c r="G143" i="41"/>
  <c r="I143" i="41" s="1"/>
  <c r="H62" i="45"/>
  <c r="D63" i="45"/>
  <c r="G62" i="45"/>
  <c r="G68" i="3"/>
  <c r="D69" i="3"/>
  <c r="B69" i="3" s="1"/>
  <c r="H68" i="3"/>
  <c r="D65" i="41"/>
  <c r="E65" i="41" s="1"/>
  <c r="H61" i="54"/>
  <c r="D62" i="54"/>
  <c r="F58" i="79"/>
  <c r="H58" i="79" s="1"/>
  <c r="B58" i="79"/>
  <c r="D58" i="88"/>
  <c r="E58" i="88" s="1"/>
  <c r="D69" i="71"/>
  <c r="E69" i="71" s="1"/>
  <c r="F69" i="71" s="1"/>
  <c r="G64" i="43"/>
  <c r="D65" i="43"/>
  <c r="G64" i="41"/>
  <c r="H57" i="88"/>
  <c r="B60" i="63"/>
  <c r="B58" i="78"/>
  <c r="F58" i="78"/>
  <c r="G58" i="78" s="1"/>
  <c r="D65" i="74"/>
  <c r="E65" i="74" s="1"/>
  <c r="F65" i="74" s="1"/>
  <c r="D68" i="70"/>
  <c r="E68" i="70" s="1"/>
  <c r="B67" i="32"/>
  <c r="F67" i="32"/>
  <c r="H67" i="32" s="1"/>
  <c r="G56" i="83"/>
  <c r="I56" i="83" s="1"/>
  <c r="D57" i="83"/>
  <c r="E57" i="83" s="1"/>
  <c r="B68" i="71"/>
  <c r="G68" i="71"/>
  <c r="H68" i="71"/>
  <c r="B64" i="21"/>
  <c r="F64" i="21"/>
  <c r="B61" i="64"/>
  <c r="F61" i="64"/>
  <c r="G61" i="64" s="1"/>
  <c r="D62" i="57"/>
  <c r="E62" i="57" s="1"/>
  <c r="G61" i="56"/>
  <c r="D62" i="56"/>
  <c r="G61" i="65"/>
  <c r="F56" i="92"/>
  <c r="H56" i="92" s="1"/>
  <c r="B56" i="92"/>
  <c r="G60" i="60"/>
  <c r="I60" i="60" s="1"/>
  <c r="D61" i="60"/>
  <c r="E61" i="60" s="1"/>
  <c r="F61" i="60" s="1"/>
  <c r="D62" i="60" s="1"/>
  <c r="G61" i="57"/>
  <c r="I61" i="57" s="1"/>
  <c r="D69" i="69"/>
  <c r="I59" i="59"/>
  <c r="D68" i="31"/>
  <c r="E68" i="31" s="1"/>
  <c r="H64" i="43"/>
  <c r="D67" i="17"/>
  <c r="E67" i="17" s="1"/>
  <c r="H64" i="41"/>
  <c r="G61" i="54"/>
  <c r="F58" i="77"/>
  <c r="D59" i="77" s="1"/>
  <c r="B58" i="77"/>
  <c r="G57" i="88"/>
  <c r="E60" i="63"/>
  <c r="F60" i="63" s="1"/>
  <c r="G66" i="17"/>
  <c r="I66" i="17" s="1"/>
  <c r="H61" i="56"/>
  <c r="E60" i="68"/>
  <c r="F60" i="68" s="1"/>
  <c r="H60" i="68" s="1"/>
  <c r="B60" i="68"/>
  <c r="H67" i="70"/>
  <c r="I67" i="70" s="1"/>
  <c r="F56" i="89"/>
  <c r="H56" i="89" s="1"/>
  <c r="B56" i="89"/>
  <c r="E65" i="19"/>
  <c r="F65" i="19" s="1"/>
  <c r="H65" i="19" s="1"/>
  <c r="B65" i="19"/>
  <c r="E143" i="43"/>
  <c r="F143" i="43" s="1"/>
  <c r="G143" i="43" s="1"/>
  <c r="J145" i="27"/>
  <c r="D147" i="27"/>
  <c r="B147" i="27" s="1"/>
  <c r="G146" i="27"/>
  <c r="E145" i="31"/>
  <c r="F145" i="31" s="1"/>
  <c r="D60" i="62"/>
  <c r="H59" i="62"/>
  <c r="G59" i="62"/>
  <c r="D56" i="13"/>
  <c r="E56" i="13" s="1"/>
  <c r="G55" i="13"/>
  <c r="H55" i="13"/>
  <c r="J142" i="73"/>
  <c r="D64" i="20"/>
  <c r="E64" i="20" s="1"/>
  <c r="D57" i="87"/>
  <c r="E57" i="87" s="1"/>
  <c r="B65" i="18"/>
  <c r="I63" i="73"/>
  <c r="D57" i="26"/>
  <c r="J143" i="21"/>
  <c r="E144" i="19"/>
  <c r="F144" i="19" s="1"/>
  <c r="G144" i="19" s="1"/>
  <c r="J145" i="30"/>
  <c r="E145" i="32"/>
  <c r="F145" i="32" s="1"/>
  <c r="G145" i="32" s="1"/>
  <c r="G63" i="20"/>
  <c r="I63" i="20" s="1"/>
  <c r="D58" i="33"/>
  <c r="E65" i="18"/>
  <c r="F65" i="18" s="1"/>
  <c r="J143" i="22"/>
  <c r="H56" i="26"/>
  <c r="I56" i="26" s="1"/>
  <c r="F60" i="59"/>
  <c r="G60" i="59" s="1"/>
  <c r="B60" i="59"/>
  <c r="I64" i="18"/>
  <c r="F64" i="73"/>
  <c r="G64" i="73" s="1"/>
  <c r="B64" i="73"/>
  <c r="B136" i="92"/>
  <c r="F136" i="92"/>
  <c r="G146" i="30"/>
  <c r="D147" i="30"/>
  <c r="H135" i="88"/>
  <c r="I135" i="88"/>
  <c r="E137" i="91"/>
  <c r="G136" i="91"/>
  <c r="D137" i="91"/>
  <c r="F141" i="46"/>
  <c r="B141" i="46"/>
  <c r="D145" i="22"/>
  <c r="G144" i="22"/>
  <c r="B136" i="86"/>
  <c r="F136" i="86"/>
  <c r="B140" i="61"/>
  <c r="F140" i="61"/>
  <c r="H135" i="84"/>
  <c r="I135" i="84"/>
  <c r="H141" i="74"/>
  <c r="I141" i="74"/>
  <c r="B138" i="78"/>
  <c r="F138" i="78"/>
  <c r="H139" i="64"/>
  <c r="I139" i="64"/>
  <c r="F141" i="72"/>
  <c r="B141" i="72"/>
  <c r="I145" i="70"/>
  <c r="H145" i="70"/>
  <c r="I143" i="20"/>
  <c r="H143" i="20"/>
  <c r="F141" i="58"/>
  <c r="B141" i="58"/>
  <c r="F136" i="88"/>
  <c r="B136" i="88"/>
  <c r="I139" i="60"/>
  <c r="H139" i="60"/>
  <c r="H143" i="34"/>
  <c r="I143" i="34"/>
  <c r="H135" i="86"/>
  <c r="I135" i="86"/>
  <c r="I142" i="39"/>
  <c r="H142" i="39"/>
  <c r="I139" i="63"/>
  <c r="H139" i="63"/>
  <c r="I139" i="65"/>
  <c r="H139" i="65"/>
  <c r="J144" i="24"/>
  <c r="H145" i="29"/>
  <c r="I145" i="29"/>
  <c r="I137" i="79"/>
  <c r="H137" i="79"/>
  <c r="H136" i="85"/>
  <c r="I136" i="85"/>
  <c r="H143" i="19"/>
  <c r="I143" i="19"/>
  <c r="I138" i="68"/>
  <c r="H138" i="68"/>
  <c r="I135" i="90"/>
  <c r="H135" i="90"/>
  <c r="I140" i="46"/>
  <c r="H140" i="46"/>
  <c r="H145" i="69"/>
  <c r="I145" i="69"/>
  <c r="F143" i="39"/>
  <c r="B143" i="39"/>
  <c r="I139" i="61"/>
  <c r="H139" i="61"/>
  <c r="J139" i="62"/>
  <c r="F139" i="66"/>
  <c r="B139" i="66"/>
  <c r="B142" i="74"/>
  <c r="F142" i="74"/>
  <c r="B140" i="65"/>
  <c r="F140" i="65"/>
  <c r="B140" i="64"/>
  <c r="F140" i="64"/>
  <c r="I142" i="43"/>
  <c r="H142" i="43"/>
  <c r="J142" i="41"/>
  <c r="I135" i="92"/>
  <c r="H135" i="92"/>
  <c r="G140" i="62"/>
  <c r="D141" i="62"/>
  <c r="E141" i="62" s="1"/>
  <c r="I144" i="32"/>
  <c r="H144" i="32"/>
  <c r="F136" i="90"/>
  <c r="B136" i="90"/>
  <c r="B141" i="53"/>
  <c r="F141" i="53"/>
  <c r="E138" i="81"/>
  <c r="D138" i="81"/>
  <c r="G137" i="81"/>
  <c r="I137" i="78"/>
  <c r="H137" i="78"/>
  <c r="H140" i="72"/>
  <c r="I140" i="72"/>
  <c r="I144" i="31"/>
  <c r="H144" i="31"/>
  <c r="B146" i="29"/>
  <c r="E146" i="29"/>
  <c r="F146" i="29" s="1"/>
  <c r="B138" i="79"/>
  <c r="F138" i="79"/>
  <c r="B137" i="85"/>
  <c r="F137" i="85"/>
  <c r="E137" i="89"/>
  <c r="D137" i="89"/>
  <c r="G136" i="89"/>
  <c r="B140" i="60"/>
  <c r="F140" i="60"/>
  <c r="B139" i="68"/>
  <c r="F139" i="68"/>
  <c r="D138" i="26"/>
  <c r="E138" i="26" s="1"/>
  <c r="G137" i="26"/>
  <c r="D143" i="45"/>
  <c r="E143" i="45" s="1"/>
  <c r="G142" i="45"/>
  <c r="F146" i="69"/>
  <c r="B146" i="69"/>
  <c r="F140" i="63"/>
  <c r="B140" i="63"/>
  <c r="D144" i="73"/>
  <c r="E144" i="73"/>
  <c r="G143" i="73"/>
  <c r="H140" i="53"/>
  <c r="I140" i="53"/>
  <c r="J141" i="45"/>
  <c r="H138" i="66"/>
  <c r="I138" i="66"/>
  <c r="F136" i="84"/>
  <c r="B136" i="84"/>
  <c r="F146" i="70"/>
  <c r="B146" i="70"/>
  <c r="B144" i="20"/>
  <c r="F144" i="20"/>
  <c r="I140" i="58"/>
  <c r="H140" i="58"/>
  <c r="E144" i="34"/>
  <c r="F144" i="34" s="1"/>
  <c r="D143" i="56"/>
  <c r="E143" i="56" s="1"/>
  <c r="G142" i="56"/>
  <c r="E145" i="18"/>
  <c r="F145" i="18" s="1"/>
  <c r="B145" i="18"/>
  <c r="H140" i="59"/>
  <c r="I140" i="59"/>
  <c r="J137" i="76"/>
  <c r="H145" i="23"/>
  <c r="I145" i="23"/>
  <c r="J141" i="56"/>
  <c r="E146" i="23"/>
  <c r="F146" i="23" s="1"/>
  <c r="B146" i="23"/>
  <c r="H144" i="18"/>
  <c r="I144" i="18"/>
  <c r="F141" i="59"/>
  <c r="B141" i="59"/>
  <c r="B146" i="71"/>
  <c r="F146" i="71"/>
  <c r="J137" i="77"/>
  <c r="H141" i="57"/>
  <c r="I141" i="57"/>
  <c r="I145" i="71"/>
  <c r="H145" i="71"/>
  <c r="J140" i="54"/>
  <c r="F142" i="57"/>
  <c r="B142" i="57"/>
  <c r="H135" i="96"/>
  <c r="I135" i="96"/>
  <c r="H136" i="82"/>
  <c r="I136" i="82"/>
  <c r="G135" i="33"/>
  <c r="D136" i="33"/>
  <c r="E136" i="33" s="1"/>
  <c r="H136" i="94"/>
  <c r="I136" i="94"/>
  <c r="E139" i="77"/>
  <c r="G138" i="77"/>
  <c r="D139" i="77"/>
  <c r="E139" i="75"/>
  <c r="D139" i="75"/>
  <c r="G138" i="75"/>
  <c r="I136" i="95"/>
  <c r="H136" i="95"/>
  <c r="B147" i="28"/>
  <c r="F145" i="17"/>
  <c r="B145" i="17"/>
  <c r="J142" i="42"/>
  <c r="H143" i="3"/>
  <c r="I143" i="3"/>
  <c r="D138" i="83"/>
  <c r="E138" i="83"/>
  <c r="G137" i="83"/>
  <c r="G135" i="13"/>
  <c r="D136" i="13"/>
  <c r="E136" i="13" s="1"/>
  <c r="F137" i="82"/>
  <c r="B137" i="82"/>
  <c r="I142" i="44"/>
  <c r="H142" i="44"/>
  <c r="G143" i="42"/>
  <c r="D144" i="42"/>
  <c r="J140" i="55"/>
  <c r="D145" i="21"/>
  <c r="E145" i="21" s="1"/>
  <c r="G144" i="21"/>
  <c r="I135" i="87"/>
  <c r="H135" i="87"/>
  <c r="I138" i="67"/>
  <c r="H138" i="67"/>
  <c r="I146" i="28"/>
  <c r="H146" i="28"/>
  <c r="F144" i="3"/>
  <c r="B144" i="3"/>
  <c r="G136" i="93"/>
  <c r="D137" i="93"/>
  <c r="E137" i="93" s="1"/>
  <c r="B143" i="44"/>
  <c r="F143" i="44"/>
  <c r="F136" i="87"/>
  <c r="B136" i="87"/>
  <c r="B139" i="67"/>
  <c r="F139" i="67"/>
  <c r="B137" i="95"/>
  <c r="F137" i="95"/>
  <c r="H144" i="17"/>
  <c r="I144" i="17"/>
  <c r="D142" i="54"/>
  <c r="E142" i="54" s="1"/>
  <c r="G141" i="54"/>
  <c r="F136" i="96"/>
  <c r="B136" i="96"/>
  <c r="D146" i="24"/>
  <c r="E146" i="24" s="1"/>
  <c r="G145" i="24"/>
  <c r="J134" i="33"/>
  <c r="E138" i="80"/>
  <c r="D138" i="80"/>
  <c r="G137" i="80"/>
  <c r="B137" i="94"/>
  <c r="F137" i="94"/>
  <c r="G141" i="55"/>
  <c r="D142" i="55"/>
  <c r="E142" i="55" s="1"/>
  <c r="J137" i="75"/>
  <c r="D139" i="76"/>
  <c r="E139" i="76"/>
  <c r="G138" i="76"/>
  <c r="E147" i="28"/>
  <c r="F147" i="28" s="1"/>
  <c r="G67" i="100" l="1"/>
  <c r="I67" i="100" s="1"/>
  <c r="D68" i="100"/>
  <c r="G138" i="100"/>
  <c r="D139" i="100"/>
  <c r="E56" i="25"/>
  <c r="F56" i="25" s="1"/>
  <c r="B56" i="25"/>
  <c r="I60" i="65"/>
  <c r="I135" i="25"/>
  <c r="H135" i="25"/>
  <c r="E136" i="25"/>
  <c r="F136" i="25" s="1"/>
  <c r="B136" i="25"/>
  <c r="G55" i="98"/>
  <c r="I55" i="98" s="1"/>
  <c r="I71" i="97"/>
  <c r="G65" i="99"/>
  <c r="F72" i="97"/>
  <c r="E66" i="99"/>
  <c r="F66" i="99" s="1"/>
  <c r="D67" i="99" s="1"/>
  <c r="B66" i="99"/>
  <c r="D56" i="98"/>
  <c r="E56" i="98" s="1"/>
  <c r="I64" i="99"/>
  <c r="H65" i="99"/>
  <c r="I63" i="46"/>
  <c r="H135" i="99"/>
  <c r="I135" i="99"/>
  <c r="B136" i="99"/>
  <c r="F136" i="99"/>
  <c r="I63" i="58"/>
  <c r="E64" i="58"/>
  <c r="F64" i="58" s="1"/>
  <c r="B64" i="58"/>
  <c r="H66" i="24"/>
  <c r="I66" i="24" s="1"/>
  <c r="D145" i="19"/>
  <c r="B145" i="19" s="1"/>
  <c r="I59" i="68"/>
  <c r="E62" i="67"/>
  <c r="F62" i="67" s="1"/>
  <c r="B62" i="67"/>
  <c r="H61" i="65"/>
  <c r="I61" i="65" s="1"/>
  <c r="I64" i="41"/>
  <c r="H64" i="39"/>
  <c r="I64" i="39" s="1"/>
  <c r="D146" i="32"/>
  <c r="E146" i="32" s="1"/>
  <c r="F146" i="32" s="1"/>
  <c r="D137" i="98"/>
  <c r="G136" i="98"/>
  <c r="E137" i="98"/>
  <c r="D137" i="97"/>
  <c r="G136" i="97"/>
  <c r="E137" i="97"/>
  <c r="G56" i="94"/>
  <c r="I56" i="94" s="1"/>
  <c r="I59" i="82"/>
  <c r="I60" i="67"/>
  <c r="B61" i="67"/>
  <c r="G61" i="67"/>
  <c r="H61" i="67"/>
  <c r="E65" i="46"/>
  <c r="F65" i="46" s="1"/>
  <c r="H65" i="46" s="1"/>
  <c r="B65" i="46"/>
  <c r="B64" i="46"/>
  <c r="G64" i="46"/>
  <c r="H64" i="46"/>
  <c r="I69" i="28"/>
  <c r="D67" i="24"/>
  <c r="E67" i="24" s="1"/>
  <c r="F67" i="24" s="1"/>
  <c r="D68" i="24" s="1"/>
  <c r="I60" i="61"/>
  <c r="D56" i="93"/>
  <c r="E56" i="93" s="1"/>
  <c r="D59" i="80"/>
  <c r="E59" i="80" s="1"/>
  <c r="B60" i="82"/>
  <c r="I55" i="13"/>
  <c r="I62" i="45"/>
  <c r="G55" i="93"/>
  <c r="H58" i="80"/>
  <c r="D67" i="27"/>
  <c r="G66" i="27"/>
  <c r="H66" i="27"/>
  <c r="E60" i="82"/>
  <c r="F60" i="82" s="1"/>
  <c r="H61" i="64"/>
  <c r="I61" i="64" s="1"/>
  <c r="I68" i="29"/>
  <c r="H57" i="91"/>
  <c r="I57" i="91" s="1"/>
  <c r="I63" i="55"/>
  <c r="H55" i="93"/>
  <c r="H143" i="41"/>
  <c r="J143" i="41" s="1"/>
  <c r="G58" i="80"/>
  <c r="D57" i="94"/>
  <c r="E57" i="94" s="1"/>
  <c r="E58" i="86"/>
  <c r="F58" i="86" s="1"/>
  <c r="B58" i="86"/>
  <c r="D62" i="66"/>
  <c r="B62" i="66" s="1"/>
  <c r="D70" i="71"/>
  <c r="B70" i="71" s="1"/>
  <c r="I67" i="23"/>
  <c r="I59" i="75"/>
  <c r="D63" i="53"/>
  <c r="H62" i="53"/>
  <c r="G58" i="90"/>
  <c r="D59" i="90"/>
  <c r="B144" i="41"/>
  <c r="G56" i="89"/>
  <c r="I56" i="89" s="1"/>
  <c r="G57" i="84"/>
  <c r="I57" i="84" s="1"/>
  <c r="D58" i="84"/>
  <c r="E58" i="84" s="1"/>
  <c r="H58" i="90"/>
  <c r="H61" i="66"/>
  <c r="G61" i="66"/>
  <c r="B61" i="66"/>
  <c r="E64" i="55"/>
  <c r="F64" i="55" s="1"/>
  <c r="B64" i="55"/>
  <c r="B60" i="75"/>
  <c r="I60" i="66"/>
  <c r="D58" i="91"/>
  <c r="E58" i="91" s="1"/>
  <c r="G62" i="53"/>
  <c r="G66" i="42"/>
  <c r="I66" i="42" s="1"/>
  <c r="D67" i="42"/>
  <c r="E67" i="42" s="1"/>
  <c r="F67" i="42" s="1"/>
  <c r="E68" i="23"/>
  <c r="F68" i="23" s="1"/>
  <c r="E60" i="75"/>
  <c r="F60" i="75" s="1"/>
  <c r="H60" i="75" s="1"/>
  <c r="D67" i="22"/>
  <c r="E67" i="22" s="1"/>
  <c r="H66" i="22"/>
  <c r="G66" i="22"/>
  <c r="D64" i="72"/>
  <c r="E64" i="72" s="1"/>
  <c r="F64" i="72" s="1"/>
  <c r="H60" i="59"/>
  <c r="I60" i="59" s="1"/>
  <c r="I68" i="71"/>
  <c r="E69" i="3"/>
  <c r="F69" i="3" s="1"/>
  <c r="D70" i="3" s="1"/>
  <c r="B70" i="3" s="1"/>
  <c r="H58" i="76"/>
  <c r="I58" i="76" s="1"/>
  <c r="D59" i="76"/>
  <c r="E59" i="76" s="1"/>
  <c r="I63" i="44"/>
  <c r="D56" i="96"/>
  <c r="E56" i="96" s="1"/>
  <c r="E61" i="61"/>
  <c r="F61" i="61" s="1"/>
  <c r="H61" i="61" s="1"/>
  <c r="B61" i="61"/>
  <c r="B63" i="72"/>
  <c r="G63" i="72"/>
  <c r="H63" i="72"/>
  <c r="B66" i="34"/>
  <c r="I68" i="3"/>
  <c r="F64" i="44"/>
  <c r="H64" i="44" s="1"/>
  <c r="B64" i="44"/>
  <c r="G55" i="96"/>
  <c r="I65" i="34"/>
  <c r="D65" i="39"/>
  <c r="E65" i="39" s="1"/>
  <c r="H55" i="96"/>
  <c r="F58" i="85"/>
  <c r="H58" i="85" s="1"/>
  <c r="B58" i="85"/>
  <c r="F56" i="95"/>
  <c r="G56" i="95" s="1"/>
  <c r="B56" i="95"/>
  <c r="H57" i="81"/>
  <c r="I57" i="81" s="1"/>
  <c r="D58" i="81"/>
  <c r="I62" i="72"/>
  <c r="E66" i="34"/>
  <c r="F66" i="34" s="1"/>
  <c r="I68" i="69"/>
  <c r="I61" i="56"/>
  <c r="H60" i="63"/>
  <c r="D61" i="63"/>
  <c r="G60" i="63"/>
  <c r="B69" i="69"/>
  <c r="B62" i="65"/>
  <c r="E62" i="65"/>
  <c r="F62" i="65" s="1"/>
  <c r="B69" i="29"/>
  <c r="G65" i="19"/>
  <c r="I65" i="19" s="1"/>
  <c r="D66" i="19"/>
  <c r="G60" i="68"/>
  <c r="I60" i="68" s="1"/>
  <c r="D61" i="68"/>
  <c r="E61" i="68" s="1"/>
  <c r="F61" i="68" s="1"/>
  <c r="H58" i="77"/>
  <c r="I61" i="54"/>
  <c r="G67" i="32"/>
  <c r="I67" i="32" s="1"/>
  <c r="D68" i="32"/>
  <c r="B63" i="45"/>
  <c r="E69" i="29"/>
  <c r="F69" i="29" s="1"/>
  <c r="H64" i="73"/>
  <c r="I64" i="73" s="1"/>
  <c r="G58" i="77"/>
  <c r="I64" i="43"/>
  <c r="E62" i="60"/>
  <c r="F62" i="60" s="1"/>
  <c r="G62" i="60" s="1"/>
  <c r="B62" i="60"/>
  <c r="E62" i="56"/>
  <c r="F62" i="56" s="1"/>
  <c r="H62" i="56" s="1"/>
  <c r="B62" i="56"/>
  <c r="B57" i="83"/>
  <c r="F57" i="83"/>
  <c r="H57" i="83" s="1"/>
  <c r="B65" i="74"/>
  <c r="G65" i="74"/>
  <c r="H65" i="74"/>
  <c r="B58" i="88"/>
  <c r="F58" i="88"/>
  <c r="D59" i="88" s="1"/>
  <c r="D59" i="79"/>
  <c r="E63" i="45"/>
  <c r="F63" i="45" s="1"/>
  <c r="I66" i="30"/>
  <c r="E70" i="28"/>
  <c r="F70" i="28" s="1"/>
  <c r="B70" i="28"/>
  <c r="E59" i="77"/>
  <c r="F59" i="77" s="1"/>
  <c r="B59" i="77"/>
  <c r="G64" i="21"/>
  <c r="D65" i="21"/>
  <c r="B65" i="43"/>
  <c r="B67" i="30"/>
  <c r="F67" i="17"/>
  <c r="D68" i="17" s="1"/>
  <c r="B67" i="17"/>
  <c r="E69" i="69"/>
  <c r="F69" i="69" s="1"/>
  <c r="F62" i="57"/>
  <c r="G62" i="57" s="1"/>
  <c r="B62" i="57"/>
  <c r="D66" i="74"/>
  <c r="E66" i="74" s="1"/>
  <c r="F66" i="74" s="1"/>
  <c r="I57" i="88"/>
  <c r="D57" i="89"/>
  <c r="E57" i="89" s="1"/>
  <c r="B68" i="31"/>
  <c r="F68" i="31"/>
  <c r="B61" i="60"/>
  <c r="H61" i="60"/>
  <c r="G61" i="60"/>
  <c r="G56" i="92"/>
  <c r="I56" i="92" s="1"/>
  <c r="D57" i="92"/>
  <c r="E57" i="92" s="1"/>
  <c r="D62" i="64"/>
  <c r="H64" i="21"/>
  <c r="F68" i="70"/>
  <c r="G68" i="70" s="1"/>
  <c r="B68" i="70"/>
  <c r="H58" i="78"/>
  <c r="I58" i="78" s="1"/>
  <c r="D59" i="78"/>
  <c r="E65" i="43"/>
  <c r="F65" i="43" s="1"/>
  <c r="H65" i="43" s="1"/>
  <c r="B69" i="71"/>
  <c r="G69" i="71"/>
  <c r="H69" i="71"/>
  <c r="G58" i="79"/>
  <c r="I58" i="79" s="1"/>
  <c r="E62" i="54"/>
  <c r="F62" i="54" s="1"/>
  <c r="B62" i="54"/>
  <c r="B65" i="41"/>
  <c r="F65" i="41"/>
  <c r="E67" i="30"/>
  <c r="F67" i="30" s="1"/>
  <c r="D68" i="30" s="1"/>
  <c r="E147" i="27"/>
  <c r="F147" i="27" s="1"/>
  <c r="J145" i="69"/>
  <c r="I146" i="27"/>
  <c r="H146" i="27"/>
  <c r="J140" i="46"/>
  <c r="J137" i="79"/>
  <c r="J140" i="53"/>
  <c r="J143" i="34"/>
  <c r="J139" i="64"/>
  <c r="J141" i="74"/>
  <c r="J145" i="29"/>
  <c r="J144" i="18"/>
  <c r="J140" i="59"/>
  <c r="J138" i="66"/>
  <c r="J139" i="63"/>
  <c r="J139" i="60"/>
  <c r="J143" i="20"/>
  <c r="D66" i="18"/>
  <c r="E66" i="18" s="1"/>
  <c r="H65" i="18"/>
  <c r="G65" i="18"/>
  <c r="B58" i="33"/>
  <c r="E58" i="33"/>
  <c r="F58" i="33" s="1"/>
  <c r="I59" i="62"/>
  <c r="B57" i="87"/>
  <c r="F57" i="87"/>
  <c r="G57" i="87" s="1"/>
  <c r="D144" i="43"/>
  <c r="B144" i="43" s="1"/>
  <c r="B57" i="26"/>
  <c r="B60" i="62"/>
  <c r="D65" i="73"/>
  <c r="E65" i="73" s="1"/>
  <c r="D61" i="59"/>
  <c r="E61" i="59" s="1"/>
  <c r="E57" i="26"/>
  <c r="F57" i="26" s="1"/>
  <c r="B64" i="20"/>
  <c r="F64" i="20"/>
  <c r="H64" i="20" s="1"/>
  <c r="B56" i="13"/>
  <c r="F56" i="13"/>
  <c r="G56" i="13" s="1"/>
  <c r="E60" i="62"/>
  <c r="F60" i="62" s="1"/>
  <c r="D145" i="34"/>
  <c r="B145" i="34" s="1"/>
  <c r="G144" i="34"/>
  <c r="F144" i="73"/>
  <c r="B144" i="73"/>
  <c r="E147" i="69"/>
  <c r="D147" i="69"/>
  <c r="G146" i="69"/>
  <c r="I137" i="26"/>
  <c r="H137" i="26"/>
  <c r="B137" i="89"/>
  <c r="F137" i="89"/>
  <c r="D139" i="79"/>
  <c r="G138" i="79"/>
  <c r="E139" i="79"/>
  <c r="D137" i="90"/>
  <c r="E137" i="90"/>
  <c r="G136" i="90"/>
  <c r="B141" i="62"/>
  <c r="F141" i="62"/>
  <c r="I145" i="32"/>
  <c r="H145" i="32"/>
  <c r="I144" i="19"/>
  <c r="H144" i="19"/>
  <c r="G140" i="61"/>
  <c r="D141" i="61"/>
  <c r="E141" i="61" s="1"/>
  <c r="H144" i="22"/>
  <c r="I144" i="22"/>
  <c r="H136" i="91"/>
  <c r="I136" i="91"/>
  <c r="J142" i="44"/>
  <c r="I142" i="45"/>
  <c r="H142" i="45"/>
  <c r="G140" i="60"/>
  <c r="D141" i="60"/>
  <c r="E141" i="60" s="1"/>
  <c r="J144" i="31"/>
  <c r="J137" i="78"/>
  <c r="G141" i="53"/>
  <c r="D142" i="53"/>
  <c r="E142" i="53" s="1"/>
  <c r="I140" i="62"/>
  <c r="H140" i="62"/>
  <c r="G140" i="65"/>
  <c r="D141" i="65"/>
  <c r="E141" i="65" s="1"/>
  <c r="J139" i="61"/>
  <c r="J138" i="68"/>
  <c r="J139" i="65"/>
  <c r="J142" i="39"/>
  <c r="G141" i="58"/>
  <c r="D142" i="58"/>
  <c r="E142" i="58" s="1"/>
  <c r="J145" i="70"/>
  <c r="E145" i="22"/>
  <c r="F145" i="22" s="1"/>
  <c r="B145" i="22"/>
  <c r="G144" i="41"/>
  <c r="D145" i="41"/>
  <c r="I146" i="30"/>
  <c r="H146" i="30"/>
  <c r="J140" i="58"/>
  <c r="D147" i="70"/>
  <c r="G146" i="70"/>
  <c r="E147" i="70"/>
  <c r="H143" i="73"/>
  <c r="I143" i="73"/>
  <c r="G140" i="63"/>
  <c r="D141" i="63"/>
  <c r="E141" i="63" s="1"/>
  <c r="B143" i="45"/>
  <c r="F143" i="45"/>
  <c r="B138" i="26"/>
  <c r="F138" i="26"/>
  <c r="G137" i="85"/>
  <c r="E138" i="85"/>
  <c r="D138" i="85"/>
  <c r="G146" i="29"/>
  <c r="D147" i="29"/>
  <c r="J140" i="72"/>
  <c r="H137" i="81"/>
  <c r="I137" i="81"/>
  <c r="J144" i="32"/>
  <c r="J142" i="43"/>
  <c r="D140" i="66"/>
  <c r="E140" i="66"/>
  <c r="G139" i="66"/>
  <c r="J143" i="19"/>
  <c r="D146" i="31"/>
  <c r="G145" i="31"/>
  <c r="E139" i="78"/>
  <c r="D139" i="78"/>
  <c r="G138" i="78"/>
  <c r="G136" i="86"/>
  <c r="D137" i="86"/>
  <c r="E137" i="86"/>
  <c r="D137" i="92"/>
  <c r="E137" i="92"/>
  <c r="G136" i="92"/>
  <c r="E137" i="84"/>
  <c r="G136" i="84"/>
  <c r="D137" i="84"/>
  <c r="E147" i="30"/>
  <c r="F147" i="30" s="1"/>
  <c r="B147" i="30"/>
  <c r="D145" i="20"/>
  <c r="B145" i="20" s="1"/>
  <c r="G144" i="20"/>
  <c r="G139" i="68"/>
  <c r="D140" i="68"/>
  <c r="E140" i="68"/>
  <c r="I136" i="89"/>
  <c r="H136" i="89"/>
  <c r="F138" i="81"/>
  <c r="B138" i="81"/>
  <c r="D141" i="64"/>
  <c r="E141" i="64" s="1"/>
  <c r="G140" i="64"/>
  <c r="D143" i="74"/>
  <c r="E143" i="74"/>
  <c r="G142" i="74"/>
  <c r="G143" i="39"/>
  <c r="D144" i="39"/>
  <c r="B144" i="39" s="1"/>
  <c r="H143" i="43"/>
  <c r="I143" i="43"/>
  <c r="G136" i="88"/>
  <c r="E137" i="88"/>
  <c r="D137" i="88"/>
  <c r="G141" i="72"/>
  <c r="E142" i="72"/>
  <c r="D142" i="72"/>
  <c r="D142" i="46"/>
  <c r="E142" i="46" s="1"/>
  <c r="G141" i="46"/>
  <c r="B137" i="91"/>
  <c r="F137" i="91"/>
  <c r="G146" i="23"/>
  <c r="D147" i="23"/>
  <c r="J145" i="71"/>
  <c r="J145" i="23"/>
  <c r="J144" i="17"/>
  <c r="J141" i="57"/>
  <c r="D146" i="18"/>
  <c r="G145" i="18"/>
  <c r="H142" i="56"/>
  <c r="I142" i="56"/>
  <c r="D142" i="59"/>
  <c r="E142" i="59" s="1"/>
  <c r="G141" i="59"/>
  <c r="F143" i="56"/>
  <c r="B143" i="56"/>
  <c r="G146" i="71"/>
  <c r="D147" i="71"/>
  <c r="E147" i="71" s="1"/>
  <c r="J138" i="67"/>
  <c r="J146" i="28"/>
  <c r="D143" i="57"/>
  <c r="E143" i="57" s="1"/>
  <c r="G142" i="57"/>
  <c r="D148" i="28"/>
  <c r="G147" i="28"/>
  <c r="I138" i="76"/>
  <c r="H138" i="76"/>
  <c r="H145" i="24"/>
  <c r="I145" i="24"/>
  <c r="I141" i="54"/>
  <c r="H141" i="54"/>
  <c r="F137" i="93"/>
  <c r="B137" i="93"/>
  <c r="G144" i="3"/>
  <c r="D145" i="3"/>
  <c r="E145" i="3" s="1"/>
  <c r="B145" i="21"/>
  <c r="F145" i="21"/>
  <c r="B136" i="13"/>
  <c r="F136" i="13"/>
  <c r="J143" i="3"/>
  <c r="I138" i="77"/>
  <c r="H138" i="77"/>
  <c r="F142" i="55"/>
  <c r="B142" i="55"/>
  <c r="H137" i="80"/>
  <c r="I137" i="80"/>
  <c r="G136" i="96"/>
  <c r="D137" i="96"/>
  <c r="E137" i="96" s="1"/>
  <c r="D140" i="67"/>
  <c r="E140" i="67" s="1"/>
  <c r="G139" i="67"/>
  <c r="D144" i="44"/>
  <c r="E144" i="44" s="1"/>
  <c r="G143" i="44"/>
  <c r="I136" i="93"/>
  <c r="H136" i="93"/>
  <c r="B144" i="42"/>
  <c r="H135" i="13"/>
  <c r="I135" i="13"/>
  <c r="I137" i="83"/>
  <c r="H137" i="83"/>
  <c r="B146" i="24"/>
  <c r="F146" i="24"/>
  <c r="F142" i="54"/>
  <c r="B142" i="54"/>
  <c r="D138" i="95"/>
  <c r="E138" i="95" s="1"/>
  <c r="G137" i="95"/>
  <c r="D137" i="87"/>
  <c r="G136" i="87"/>
  <c r="E137" i="87"/>
  <c r="E144" i="42"/>
  <c r="F144" i="42" s="1"/>
  <c r="I138" i="75"/>
  <c r="H138" i="75"/>
  <c r="B136" i="33"/>
  <c r="F136" i="33"/>
  <c r="F139" i="76"/>
  <c r="B139" i="76"/>
  <c r="I141" i="55"/>
  <c r="H141" i="55"/>
  <c r="B138" i="80"/>
  <c r="F138" i="80"/>
  <c r="G137" i="94"/>
  <c r="D138" i="94"/>
  <c r="E138" i="94" s="1"/>
  <c r="I144" i="21"/>
  <c r="H144" i="21"/>
  <c r="H143" i="42"/>
  <c r="I143" i="42"/>
  <c r="D138" i="82"/>
  <c r="G137" i="82"/>
  <c r="E138" i="82"/>
  <c r="F138" i="83"/>
  <c r="B138" i="83"/>
  <c r="G145" i="17"/>
  <c r="D146" i="17"/>
  <c r="E146" i="17" s="1"/>
  <c r="B139" i="75"/>
  <c r="F139" i="75"/>
  <c r="F139" i="77"/>
  <c r="B139" i="77"/>
  <c r="I135" i="33"/>
  <c r="H135" i="33"/>
  <c r="E68" i="100" l="1"/>
  <c r="F68" i="100" s="1"/>
  <c r="B68" i="100"/>
  <c r="E139" i="100"/>
  <c r="F139" i="100"/>
  <c r="B139" i="100"/>
  <c r="H138" i="100"/>
  <c r="I138" i="100"/>
  <c r="I55" i="93"/>
  <c r="D57" i="25"/>
  <c r="H56" i="25"/>
  <c r="G56" i="25"/>
  <c r="G136" i="25"/>
  <c r="D137" i="25"/>
  <c r="J135" i="25"/>
  <c r="E145" i="19"/>
  <c r="F145" i="19" s="1"/>
  <c r="G145" i="19" s="1"/>
  <c r="I65" i="99"/>
  <c r="E145" i="34"/>
  <c r="F145" i="34" s="1"/>
  <c r="D146" i="34" s="1"/>
  <c r="E146" i="34" s="1"/>
  <c r="F56" i="98"/>
  <c r="G56" i="98" s="1"/>
  <c r="B56" i="98"/>
  <c r="E67" i="99"/>
  <c r="F67" i="99" s="1"/>
  <c r="D68" i="99" s="1"/>
  <c r="B67" i="99"/>
  <c r="H66" i="99"/>
  <c r="G66" i="99"/>
  <c r="G72" i="97"/>
  <c r="G73" i="97" s="1"/>
  <c r="H72" i="97"/>
  <c r="G136" i="99"/>
  <c r="E137" i="99"/>
  <c r="D137" i="99"/>
  <c r="B146" i="32"/>
  <c r="D65" i="58"/>
  <c r="H64" i="58"/>
  <c r="G64" i="58"/>
  <c r="G65" i="46"/>
  <c r="I65" i="46" s="1"/>
  <c r="D63" i="67"/>
  <c r="B63" i="67" s="1"/>
  <c r="G62" i="67"/>
  <c r="H62" i="67"/>
  <c r="I61" i="67"/>
  <c r="F137" i="97"/>
  <c r="B137" i="97"/>
  <c r="H136" i="98"/>
  <c r="I136" i="98"/>
  <c r="I136" i="97"/>
  <c r="H136" i="97"/>
  <c r="F137" i="98"/>
  <c r="B137" i="98"/>
  <c r="I64" i="46"/>
  <c r="D66" i="46"/>
  <c r="E66" i="46" s="1"/>
  <c r="F66" i="46" s="1"/>
  <c r="D67" i="46" s="1"/>
  <c r="E68" i="24"/>
  <c r="F68" i="24" s="1"/>
  <c r="D69" i="24" s="1"/>
  <c r="B68" i="24"/>
  <c r="B67" i="24"/>
  <c r="G67" i="24"/>
  <c r="H67" i="24"/>
  <c r="H67" i="17"/>
  <c r="H69" i="3"/>
  <c r="D59" i="86"/>
  <c r="E59" i="86" s="1"/>
  <c r="F59" i="86" s="1"/>
  <c r="G58" i="86"/>
  <c r="H58" i="86"/>
  <c r="G64" i="44"/>
  <c r="I64" i="44" s="1"/>
  <c r="I61" i="66"/>
  <c r="F57" i="94"/>
  <c r="D58" i="94" s="1"/>
  <c r="B57" i="94"/>
  <c r="E67" i="27"/>
  <c r="F67" i="27" s="1"/>
  <c r="B67" i="27"/>
  <c r="E70" i="3"/>
  <c r="F70" i="3" s="1"/>
  <c r="D71" i="3" s="1"/>
  <c r="E71" i="3" s="1"/>
  <c r="G69" i="3"/>
  <c r="H60" i="82"/>
  <c r="D61" i="82"/>
  <c r="I58" i="80"/>
  <c r="G60" i="82"/>
  <c r="F59" i="80"/>
  <c r="B59" i="80"/>
  <c r="I66" i="27"/>
  <c r="F56" i="93"/>
  <c r="G56" i="93" s="1"/>
  <c r="B56" i="93"/>
  <c r="G64" i="55"/>
  <c r="D65" i="55"/>
  <c r="H64" i="55"/>
  <c r="H67" i="42"/>
  <c r="D68" i="42"/>
  <c r="G68" i="23"/>
  <c r="D69" i="23"/>
  <c r="B69" i="23" s="1"/>
  <c r="H68" i="23"/>
  <c r="I58" i="90"/>
  <c r="B63" i="53"/>
  <c r="I66" i="22"/>
  <c r="I62" i="53"/>
  <c r="E70" i="71"/>
  <c r="F70" i="71" s="1"/>
  <c r="B67" i="42"/>
  <c r="G67" i="42"/>
  <c r="F58" i="91"/>
  <c r="B58" i="91"/>
  <c r="B58" i="84"/>
  <c r="F58" i="84"/>
  <c r="G58" i="84" s="1"/>
  <c r="E62" i="66"/>
  <c r="F62" i="66" s="1"/>
  <c r="I58" i="77"/>
  <c r="D61" i="75"/>
  <c r="E61" i="75" s="1"/>
  <c r="G60" i="75"/>
  <c r="I60" i="75" s="1"/>
  <c r="E59" i="90"/>
  <c r="F59" i="90" s="1"/>
  <c r="G59" i="90" s="1"/>
  <c r="B59" i="90"/>
  <c r="E63" i="53"/>
  <c r="F63" i="53" s="1"/>
  <c r="G63" i="45"/>
  <c r="H63" i="45"/>
  <c r="H66" i="34"/>
  <c r="G66" i="34"/>
  <c r="D67" i="34"/>
  <c r="B67" i="34" s="1"/>
  <c r="G67" i="30"/>
  <c r="I63" i="72"/>
  <c r="D65" i="72"/>
  <c r="E65" i="72" s="1"/>
  <c r="F65" i="72" s="1"/>
  <c r="H67" i="30"/>
  <c r="B58" i="81"/>
  <c r="D59" i="85"/>
  <c r="B65" i="39"/>
  <c r="F65" i="39"/>
  <c r="G65" i="39" s="1"/>
  <c r="D62" i="61"/>
  <c r="E62" i="61" s="1"/>
  <c r="F62" i="61" s="1"/>
  <c r="F67" i="22"/>
  <c r="B67" i="22"/>
  <c r="E58" i="81"/>
  <c r="F58" i="81" s="1"/>
  <c r="H56" i="95"/>
  <c r="I56" i="95" s="1"/>
  <c r="D57" i="95"/>
  <c r="E57" i="95" s="1"/>
  <c r="G58" i="85"/>
  <c r="I58" i="85" s="1"/>
  <c r="I55" i="96"/>
  <c r="D65" i="44"/>
  <c r="E65" i="44" s="1"/>
  <c r="G61" i="61"/>
  <c r="I61" i="61" s="1"/>
  <c r="F56" i="96"/>
  <c r="H56" i="96" s="1"/>
  <c r="B56" i="96"/>
  <c r="B59" i="76"/>
  <c r="F59" i="76"/>
  <c r="G59" i="76" s="1"/>
  <c r="H64" i="72"/>
  <c r="G64" i="72"/>
  <c r="B64" i="72"/>
  <c r="G69" i="69"/>
  <c r="D70" i="69"/>
  <c r="H69" i="69"/>
  <c r="G62" i="54"/>
  <c r="D63" i="54"/>
  <c r="H62" i="54"/>
  <c r="D71" i="28"/>
  <c r="G70" i="28"/>
  <c r="H70" i="28"/>
  <c r="G69" i="29"/>
  <c r="D70" i="29"/>
  <c r="E70" i="29" s="1"/>
  <c r="F70" i="29" s="1"/>
  <c r="H69" i="29"/>
  <c r="H62" i="65"/>
  <c r="D63" i="65"/>
  <c r="B63" i="65" s="1"/>
  <c r="G62" i="65"/>
  <c r="H59" i="77"/>
  <c r="D60" i="77"/>
  <c r="E60" i="77" s="1"/>
  <c r="F60" i="77" s="1"/>
  <c r="D61" i="77" s="1"/>
  <c r="G59" i="77"/>
  <c r="H65" i="41"/>
  <c r="D66" i="41"/>
  <c r="B62" i="64"/>
  <c r="B65" i="21"/>
  <c r="E59" i="88"/>
  <c r="F59" i="88" s="1"/>
  <c r="B59" i="88"/>
  <c r="E61" i="63"/>
  <c r="F61" i="63" s="1"/>
  <c r="B61" i="63"/>
  <c r="B59" i="78"/>
  <c r="E62" i="64"/>
  <c r="F62" i="64" s="1"/>
  <c r="G68" i="31"/>
  <c r="D69" i="31"/>
  <c r="B66" i="74"/>
  <c r="G66" i="74"/>
  <c r="H66" i="74"/>
  <c r="E144" i="43"/>
  <c r="F144" i="43" s="1"/>
  <c r="G144" i="43" s="1"/>
  <c r="E68" i="30"/>
  <c r="F68" i="30" s="1"/>
  <c r="D69" i="30" s="1"/>
  <c r="B68" i="30"/>
  <c r="D66" i="43"/>
  <c r="E59" i="78"/>
  <c r="F59" i="78" s="1"/>
  <c r="H68" i="70"/>
  <c r="I68" i="70" s="1"/>
  <c r="D69" i="70"/>
  <c r="I61" i="60"/>
  <c r="G67" i="17"/>
  <c r="G58" i="88"/>
  <c r="H62" i="60"/>
  <c r="I62" i="60" s="1"/>
  <c r="D63" i="60"/>
  <c r="E63" i="60" s="1"/>
  <c r="F63" i="60" s="1"/>
  <c r="D64" i="60" s="1"/>
  <c r="D64" i="45"/>
  <c r="E64" i="45" s="1"/>
  <c r="E68" i="32"/>
  <c r="F68" i="32" s="1"/>
  <c r="B68" i="32"/>
  <c r="B61" i="68"/>
  <c r="H61" i="68"/>
  <c r="G61" i="68"/>
  <c r="E66" i="19"/>
  <c r="F66" i="19" s="1"/>
  <c r="B66" i="19"/>
  <c r="D67" i="74"/>
  <c r="E67" i="74" s="1"/>
  <c r="H62" i="57"/>
  <c r="I62" i="57" s="1"/>
  <c r="D63" i="57"/>
  <c r="E63" i="57" s="1"/>
  <c r="F63" i="57" s="1"/>
  <c r="B59" i="79"/>
  <c r="D58" i="83"/>
  <c r="E58" i="83" s="1"/>
  <c r="F57" i="89"/>
  <c r="G57" i="89" s="1"/>
  <c r="B57" i="89"/>
  <c r="E68" i="17"/>
  <c r="F68" i="17" s="1"/>
  <c r="B68" i="17"/>
  <c r="E59" i="79"/>
  <c r="F59" i="79" s="1"/>
  <c r="H59" i="79" s="1"/>
  <c r="D63" i="56"/>
  <c r="E63" i="56" s="1"/>
  <c r="D62" i="68"/>
  <c r="E62" i="68" s="1"/>
  <c r="F62" i="68" s="1"/>
  <c r="G65" i="41"/>
  <c r="I69" i="71"/>
  <c r="I64" i="21"/>
  <c r="B57" i="92"/>
  <c r="F57" i="92"/>
  <c r="G57" i="92" s="1"/>
  <c r="H68" i="31"/>
  <c r="G65" i="43"/>
  <c r="I65" i="43" s="1"/>
  <c r="E65" i="21"/>
  <c r="F65" i="21" s="1"/>
  <c r="H65" i="21" s="1"/>
  <c r="H58" i="88"/>
  <c r="I65" i="74"/>
  <c r="G57" i="83"/>
  <c r="I57" i="83" s="1"/>
  <c r="G62" i="56"/>
  <c r="I62" i="56" s="1"/>
  <c r="I60" i="63"/>
  <c r="J144" i="22"/>
  <c r="J146" i="27"/>
  <c r="D148" i="27"/>
  <c r="G147" i="27"/>
  <c r="J143" i="73"/>
  <c r="D58" i="26"/>
  <c r="E58" i="26" s="1"/>
  <c r="G57" i="26"/>
  <c r="H57" i="26"/>
  <c r="D61" i="62"/>
  <c r="E61" i="62" s="1"/>
  <c r="G60" i="62"/>
  <c r="H60" i="62"/>
  <c r="D57" i="13"/>
  <c r="I65" i="18"/>
  <c r="D59" i="33"/>
  <c r="E59" i="33" s="1"/>
  <c r="J138" i="75"/>
  <c r="J142" i="45"/>
  <c r="J145" i="32"/>
  <c r="J137" i="26"/>
  <c r="D65" i="20"/>
  <c r="G58" i="33"/>
  <c r="F66" i="18"/>
  <c r="G66" i="18" s="1"/>
  <c r="B66" i="18"/>
  <c r="D58" i="87"/>
  <c r="E58" i="87" s="1"/>
  <c r="E144" i="39"/>
  <c r="F144" i="39" s="1"/>
  <c r="G144" i="39" s="1"/>
  <c r="E145" i="20"/>
  <c r="F145" i="20" s="1"/>
  <c r="G145" i="20" s="1"/>
  <c r="H56" i="13"/>
  <c r="I56" i="13" s="1"/>
  <c r="G64" i="20"/>
  <c r="I64" i="20" s="1"/>
  <c r="B61" i="59"/>
  <c r="F61" i="59"/>
  <c r="G61" i="59" s="1"/>
  <c r="B65" i="73"/>
  <c r="F65" i="73"/>
  <c r="G65" i="73" s="1"/>
  <c r="H57" i="87"/>
  <c r="I57" i="87" s="1"/>
  <c r="H58" i="33"/>
  <c r="G137" i="91"/>
  <c r="E138" i="91"/>
  <c r="D138" i="91"/>
  <c r="F142" i="46"/>
  <c r="B142" i="46"/>
  <c r="F137" i="88"/>
  <c r="B137" i="88"/>
  <c r="H142" i="74"/>
  <c r="I142" i="74"/>
  <c r="F141" i="64"/>
  <c r="B141" i="64"/>
  <c r="I139" i="68"/>
  <c r="H139" i="68"/>
  <c r="F137" i="84"/>
  <c r="B137" i="84"/>
  <c r="I136" i="86"/>
  <c r="H136" i="86"/>
  <c r="E146" i="31"/>
  <c r="F146" i="31" s="1"/>
  <c r="B146" i="31"/>
  <c r="B140" i="66"/>
  <c r="F140" i="66"/>
  <c r="B138" i="85"/>
  <c r="F138" i="85"/>
  <c r="H140" i="63"/>
  <c r="I140" i="63"/>
  <c r="D146" i="22"/>
  <c r="G145" i="22"/>
  <c r="F142" i="58"/>
  <c r="B142" i="58"/>
  <c r="D147" i="32"/>
  <c r="G146" i="32"/>
  <c r="H140" i="65"/>
  <c r="I140" i="65"/>
  <c r="B142" i="53"/>
  <c r="F142" i="53"/>
  <c r="F141" i="60"/>
  <c r="B141" i="60"/>
  <c r="H140" i="61"/>
  <c r="I140" i="61"/>
  <c r="F139" i="79"/>
  <c r="B139" i="79"/>
  <c r="B142" i="72"/>
  <c r="F142" i="72"/>
  <c r="H136" i="84"/>
  <c r="I136" i="84"/>
  <c r="G144" i="73"/>
  <c r="D145" i="73"/>
  <c r="E145" i="73" s="1"/>
  <c r="H144" i="20"/>
  <c r="I144" i="20"/>
  <c r="D148" i="30"/>
  <c r="G147" i="30"/>
  <c r="F139" i="78"/>
  <c r="B139" i="78"/>
  <c r="I139" i="66"/>
  <c r="H139" i="66"/>
  <c r="E147" i="29"/>
  <c r="F147" i="29" s="1"/>
  <c r="B147" i="29"/>
  <c r="H137" i="85"/>
  <c r="I137" i="85"/>
  <c r="F147" i="70"/>
  <c r="B147" i="70"/>
  <c r="E145" i="41"/>
  <c r="F145" i="41" s="1"/>
  <c r="B145" i="41"/>
  <c r="F141" i="65"/>
  <c r="B141" i="65"/>
  <c r="J140" i="62"/>
  <c r="H140" i="60"/>
  <c r="I140" i="60"/>
  <c r="B141" i="61"/>
  <c r="F141" i="61"/>
  <c r="J144" i="19"/>
  <c r="F147" i="69"/>
  <c r="B147" i="69"/>
  <c r="H144" i="34"/>
  <c r="I144" i="34"/>
  <c r="B137" i="92"/>
  <c r="F137" i="92"/>
  <c r="I138" i="78"/>
  <c r="H138" i="78"/>
  <c r="D144" i="45"/>
  <c r="B144" i="45" s="1"/>
  <c r="G143" i="45"/>
  <c r="I146" i="70"/>
  <c r="H146" i="70"/>
  <c r="J146" i="30"/>
  <c r="I141" i="58"/>
  <c r="H141" i="58"/>
  <c r="I141" i="53"/>
  <c r="H141" i="53"/>
  <c r="D142" i="62"/>
  <c r="E142" i="62" s="1"/>
  <c r="G141" i="62"/>
  <c r="B137" i="90"/>
  <c r="F137" i="90"/>
  <c r="E138" i="89"/>
  <c r="G137" i="89"/>
  <c r="D138" i="89"/>
  <c r="H146" i="69"/>
  <c r="I146" i="69"/>
  <c r="H141" i="46"/>
  <c r="I141" i="46"/>
  <c r="I136" i="88"/>
  <c r="H136" i="88"/>
  <c r="B143" i="74"/>
  <c r="F143" i="74"/>
  <c r="J144" i="21"/>
  <c r="I141" i="72"/>
  <c r="H141" i="72"/>
  <c r="J143" i="43"/>
  <c r="H143" i="39"/>
  <c r="I143" i="39"/>
  <c r="I140" i="64"/>
  <c r="H140" i="64"/>
  <c r="G138" i="81"/>
  <c r="E139" i="81"/>
  <c r="D139" i="81"/>
  <c r="B140" i="68"/>
  <c r="F140" i="68"/>
  <c r="H136" i="92"/>
  <c r="I136" i="92"/>
  <c r="F137" i="86"/>
  <c r="B137" i="86"/>
  <c r="I145" i="31"/>
  <c r="H145" i="31"/>
  <c r="I146" i="29"/>
  <c r="H146" i="29"/>
  <c r="G138" i="26"/>
  <c r="D139" i="26"/>
  <c r="B141" i="63"/>
  <c r="F141" i="63"/>
  <c r="I144" i="41"/>
  <c r="H144" i="41"/>
  <c r="H136" i="90"/>
  <c r="I136" i="90"/>
  <c r="I138" i="79"/>
  <c r="H138" i="79"/>
  <c r="G143" i="56"/>
  <c r="D144" i="56"/>
  <c r="I145" i="18"/>
  <c r="H145" i="18"/>
  <c r="H146" i="23"/>
  <c r="I146" i="23"/>
  <c r="H141" i="59"/>
  <c r="I141" i="59"/>
  <c r="E146" i="18"/>
  <c r="F146" i="18" s="1"/>
  <c r="B146" i="18"/>
  <c r="B142" i="59"/>
  <c r="F142" i="59"/>
  <c r="J142" i="56"/>
  <c r="E147" i="23"/>
  <c r="F147" i="23" s="1"/>
  <c r="B147" i="23"/>
  <c r="J141" i="54"/>
  <c r="B147" i="71"/>
  <c r="F147" i="71"/>
  <c r="J138" i="76"/>
  <c r="I142" i="57"/>
  <c r="H142" i="57"/>
  <c r="H146" i="71"/>
  <c r="I146" i="71"/>
  <c r="F143" i="57"/>
  <c r="B143" i="57"/>
  <c r="J135" i="33"/>
  <c r="J138" i="77"/>
  <c r="D145" i="42"/>
  <c r="E145" i="42" s="1"/>
  <c r="G144" i="42"/>
  <c r="G139" i="77"/>
  <c r="D140" i="77"/>
  <c r="E140" i="77" s="1"/>
  <c r="J143" i="42"/>
  <c r="E140" i="76"/>
  <c r="D140" i="76"/>
  <c r="G139" i="76"/>
  <c r="I136" i="96"/>
  <c r="H136" i="96"/>
  <c r="D143" i="55"/>
  <c r="E143" i="55" s="1"/>
  <c r="G142" i="55"/>
  <c r="D137" i="13"/>
  <c r="E137" i="13" s="1"/>
  <c r="G136" i="13"/>
  <c r="G137" i="93"/>
  <c r="D138" i="93"/>
  <c r="E138" i="93" s="1"/>
  <c r="B148" i="28"/>
  <c r="I137" i="94"/>
  <c r="H137" i="94"/>
  <c r="D137" i="33"/>
  <c r="E137" i="33" s="1"/>
  <c r="G136" i="33"/>
  <c r="H136" i="87"/>
  <c r="I136" i="87"/>
  <c r="B138" i="95"/>
  <c r="F138" i="95"/>
  <c r="H139" i="67"/>
  <c r="I139" i="67"/>
  <c r="F145" i="3"/>
  <c r="B145" i="3"/>
  <c r="F146" i="17"/>
  <c r="B146" i="17"/>
  <c r="H137" i="82"/>
  <c r="I137" i="82"/>
  <c r="J141" i="55"/>
  <c r="F137" i="87"/>
  <c r="B137" i="87"/>
  <c r="D147" i="24"/>
  <c r="E147" i="24" s="1"/>
  <c r="G146" i="24"/>
  <c r="H143" i="44"/>
  <c r="I143" i="44"/>
  <c r="B140" i="67"/>
  <c r="F140" i="67"/>
  <c r="D146" i="21"/>
  <c r="E146" i="21" s="1"/>
  <c r="G145" i="21"/>
  <c r="I144" i="3"/>
  <c r="H144" i="3"/>
  <c r="E148" i="28"/>
  <c r="F148" i="28" s="1"/>
  <c r="G139" i="75"/>
  <c r="D140" i="75"/>
  <c r="E140" i="75" s="1"/>
  <c r="H145" i="17"/>
  <c r="I145" i="17"/>
  <c r="E139" i="83"/>
  <c r="D139" i="83"/>
  <c r="G138" i="83"/>
  <c r="B138" i="82"/>
  <c r="F138" i="82"/>
  <c r="B138" i="94"/>
  <c r="F138" i="94"/>
  <c r="D139" i="80"/>
  <c r="G138" i="80"/>
  <c r="E139" i="80"/>
  <c r="H137" i="95"/>
  <c r="I137" i="95"/>
  <c r="D143" i="54"/>
  <c r="E143" i="54" s="1"/>
  <c r="G142" i="54"/>
  <c r="F144" i="44"/>
  <c r="B144" i="44"/>
  <c r="B137" i="96"/>
  <c r="F137" i="96"/>
  <c r="J145" i="24"/>
  <c r="H147" i="28"/>
  <c r="I147" i="28"/>
  <c r="D69" i="100" l="1"/>
  <c r="E69" i="100" s="1"/>
  <c r="H68" i="100"/>
  <c r="G68" i="100"/>
  <c r="I68" i="100"/>
  <c r="B69" i="100"/>
  <c r="D140" i="100"/>
  <c r="B140" i="100" s="1"/>
  <c r="G139" i="100"/>
  <c r="E140" i="100"/>
  <c r="F140" i="100" s="1"/>
  <c r="I56" i="25"/>
  <c r="E57" i="25"/>
  <c r="F57" i="25" s="1"/>
  <c r="D58" i="25" s="1"/>
  <c r="B58" i="25" s="1"/>
  <c r="B57" i="25"/>
  <c r="D146" i="19"/>
  <c r="E146" i="19" s="1"/>
  <c r="F146" i="19" s="1"/>
  <c r="D145" i="39"/>
  <c r="B145" i="39" s="1"/>
  <c r="E137" i="25"/>
  <c r="F137" i="25" s="1"/>
  <c r="B137" i="25"/>
  <c r="H136" i="25"/>
  <c r="I136" i="25"/>
  <c r="B146" i="34"/>
  <c r="F146" i="34"/>
  <c r="D147" i="34" s="1"/>
  <c r="E147" i="34" s="1"/>
  <c r="G145" i="34"/>
  <c r="I145" i="34" s="1"/>
  <c r="G67" i="99"/>
  <c r="H56" i="98"/>
  <c r="I56" i="98" s="1"/>
  <c r="I66" i="99"/>
  <c r="E68" i="99"/>
  <c r="F68" i="99" s="1"/>
  <c r="D69" i="99" s="1"/>
  <c r="B68" i="99"/>
  <c r="I72" i="97"/>
  <c r="I73" i="97" s="1"/>
  <c r="H73" i="97"/>
  <c r="H67" i="99"/>
  <c r="D57" i="98"/>
  <c r="E57" i="98" s="1"/>
  <c r="F137" i="99"/>
  <c r="B137" i="99"/>
  <c r="H136" i="99"/>
  <c r="I136" i="99"/>
  <c r="I69" i="3"/>
  <c r="E63" i="67"/>
  <c r="F63" i="67" s="1"/>
  <c r="D64" i="67" s="1"/>
  <c r="B64" i="67" s="1"/>
  <c r="I62" i="67"/>
  <c r="I64" i="58"/>
  <c r="E65" i="58"/>
  <c r="F65" i="58" s="1"/>
  <c r="B65" i="58"/>
  <c r="G70" i="3"/>
  <c r="H70" i="3"/>
  <c r="D145" i="43"/>
  <c r="B145" i="43" s="1"/>
  <c r="I67" i="17"/>
  <c r="I58" i="86"/>
  <c r="H68" i="24"/>
  <c r="I67" i="24"/>
  <c r="G68" i="24"/>
  <c r="D146" i="20"/>
  <c r="E146" i="20" s="1"/>
  <c r="F146" i="20" s="1"/>
  <c r="G137" i="98"/>
  <c r="D138" i="98"/>
  <c r="E138" i="98"/>
  <c r="G137" i="97"/>
  <c r="D138" i="97"/>
  <c r="E138" i="97"/>
  <c r="H57" i="94"/>
  <c r="G57" i="94"/>
  <c r="H59" i="76"/>
  <c r="I59" i="76" s="1"/>
  <c r="E67" i="46"/>
  <c r="F67" i="46" s="1"/>
  <c r="B67" i="46"/>
  <c r="B66" i="46"/>
  <c r="H66" i="46"/>
  <c r="G66" i="46"/>
  <c r="E69" i="24"/>
  <c r="F69" i="24" s="1"/>
  <c r="B69" i="24"/>
  <c r="I68" i="23"/>
  <c r="I63" i="45"/>
  <c r="I60" i="82"/>
  <c r="D63" i="61"/>
  <c r="B63" i="61" s="1"/>
  <c r="B61" i="82"/>
  <c r="H59" i="86"/>
  <c r="D60" i="86"/>
  <c r="B60" i="86" s="1"/>
  <c r="I66" i="74"/>
  <c r="G67" i="27"/>
  <c r="H67" i="27"/>
  <c r="D68" i="27"/>
  <c r="E58" i="94"/>
  <c r="F58" i="94" s="1"/>
  <c r="B58" i="94"/>
  <c r="D57" i="93"/>
  <c r="E57" i="93" s="1"/>
  <c r="G59" i="80"/>
  <c r="D60" i="80"/>
  <c r="E60" i="80" s="1"/>
  <c r="F60" i="80" s="1"/>
  <c r="I64" i="55"/>
  <c r="H56" i="93"/>
  <c r="I56" i="93" s="1"/>
  <c r="H59" i="80"/>
  <c r="E61" i="82"/>
  <c r="F61" i="82" s="1"/>
  <c r="D62" i="82" s="1"/>
  <c r="B59" i="86"/>
  <c r="G59" i="86"/>
  <c r="D67" i="19"/>
  <c r="E67" i="19" s="1"/>
  <c r="G66" i="19"/>
  <c r="D66" i="72"/>
  <c r="B66" i="72" s="1"/>
  <c r="G63" i="53"/>
  <c r="D64" i="53"/>
  <c r="E64" i="53" s="1"/>
  <c r="H63" i="53"/>
  <c r="E67" i="34"/>
  <c r="F67" i="34" s="1"/>
  <c r="H67" i="34" s="1"/>
  <c r="H59" i="90"/>
  <c r="I59" i="90" s="1"/>
  <c r="H58" i="84"/>
  <c r="I58" i="84" s="1"/>
  <c r="D59" i="84"/>
  <c r="I67" i="42"/>
  <c r="E69" i="23"/>
  <c r="F69" i="23" s="1"/>
  <c r="D70" i="23" s="1"/>
  <c r="E70" i="23" s="1"/>
  <c r="B61" i="75"/>
  <c r="F61" i="75"/>
  <c r="G61" i="75" s="1"/>
  <c r="H58" i="91"/>
  <c r="G58" i="91"/>
  <c r="D59" i="91"/>
  <c r="E59" i="91" s="1"/>
  <c r="I67" i="30"/>
  <c r="G70" i="71"/>
  <c r="H70" i="71"/>
  <c r="D71" i="71"/>
  <c r="E65" i="55"/>
  <c r="F65" i="55" s="1"/>
  <c r="B65" i="55"/>
  <c r="D60" i="90"/>
  <c r="E60" i="90" s="1"/>
  <c r="G62" i="66"/>
  <c r="D63" i="66"/>
  <c r="E63" i="66" s="1"/>
  <c r="H62" i="66"/>
  <c r="E68" i="42"/>
  <c r="F68" i="42" s="1"/>
  <c r="B68" i="42"/>
  <c r="D69" i="32"/>
  <c r="B69" i="32" s="1"/>
  <c r="H68" i="32"/>
  <c r="D71" i="29"/>
  <c r="B71" i="29" s="1"/>
  <c r="G58" i="81"/>
  <c r="D59" i="81"/>
  <c r="H58" i="81"/>
  <c r="B59" i="85"/>
  <c r="F65" i="44"/>
  <c r="H65" i="44" s="1"/>
  <c r="B65" i="44"/>
  <c r="F57" i="95"/>
  <c r="H57" i="95" s="1"/>
  <c r="B57" i="95"/>
  <c r="D68" i="22"/>
  <c r="E68" i="22" s="1"/>
  <c r="D66" i="39"/>
  <c r="E66" i="39" s="1"/>
  <c r="I69" i="29"/>
  <c r="I64" i="72"/>
  <c r="D57" i="96"/>
  <c r="E57" i="96" s="1"/>
  <c r="G67" i="22"/>
  <c r="B62" i="61"/>
  <c r="G62" i="61"/>
  <c r="H62" i="61"/>
  <c r="B65" i="72"/>
  <c r="G65" i="72"/>
  <c r="H65" i="72"/>
  <c r="I59" i="77"/>
  <c r="D60" i="76"/>
  <c r="E60" i="76" s="1"/>
  <c r="F60" i="76" s="1"/>
  <c r="D61" i="76" s="1"/>
  <c r="G56" i="96"/>
  <c r="I56" i="96" s="1"/>
  <c r="H67" i="22"/>
  <c r="H65" i="39"/>
  <c r="I65" i="39" s="1"/>
  <c r="E59" i="85"/>
  <c r="F59" i="85" s="1"/>
  <c r="I66" i="34"/>
  <c r="I70" i="28"/>
  <c r="I58" i="33"/>
  <c r="I69" i="69"/>
  <c r="I61" i="68"/>
  <c r="I65" i="41"/>
  <c r="G59" i="78"/>
  <c r="D60" i="78"/>
  <c r="E60" i="78" s="1"/>
  <c r="H59" i="78"/>
  <c r="D63" i="64"/>
  <c r="H62" i="64"/>
  <c r="G62" i="64"/>
  <c r="D64" i="57"/>
  <c r="D69" i="17"/>
  <c r="E69" i="17" s="1"/>
  <c r="H68" i="17"/>
  <c r="G68" i="17"/>
  <c r="D62" i="63"/>
  <c r="E62" i="63" s="1"/>
  <c r="F62" i="63" s="1"/>
  <c r="D63" i="63" s="1"/>
  <c r="G61" i="63"/>
  <c r="H61" i="63"/>
  <c r="G59" i="88"/>
  <c r="D60" i="88"/>
  <c r="H59" i="88"/>
  <c r="E61" i="77"/>
  <c r="F61" i="77" s="1"/>
  <c r="H61" i="77" s="1"/>
  <c r="B61" i="77"/>
  <c r="B58" i="83"/>
  <c r="F58" i="83"/>
  <c r="G58" i="83" s="1"/>
  <c r="B66" i="43"/>
  <c r="H65" i="73"/>
  <c r="I65" i="73" s="1"/>
  <c r="I68" i="31"/>
  <c r="H57" i="92"/>
  <c r="I57" i="92" s="1"/>
  <c r="D58" i="92"/>
  <c r="E58" i="92" s="1"/>
  <c r="D63" i="68"/>
  <c r="G68" i="30"/>
  <c r="E71" i="28"/>
  <c r="F71" i="28" s="1"/>
  <c r="B71" i="28"/>
  <c r="H61" i="59"/>
  <c r="I61" i="59" s="1"/>
  <c r="I60" i="62"/>
  <c r="I58" i="88"/>
  <c r="B62" i="68"/>
  <c r="H62" i="68"/>
  <c r="G62" i="68"/>
  <c r="F67" i="74"/>
  <c r="G67" i="74" s="1"/>
  <c r="B67" i="74"/>
  <c r="G68" i="32"/>
  <c r="B63" i="60"/>
  <c r="G63" i="60"/>
  <c r="H63" i="60"/>
  <c r="H68" i="30"/>
  <c r="E66" i="41"/>
  <c r="F66" i="41" s="1"/>
  <c r="B66" i="41"/>
  <c r="E63" i="65"/>
  <c r="F63" i="65" s="1"/>
  <c r="I62" i="54"/>
  <c r="E70" i="69"/>
  <c r="F70" i="69" s="1"/>
  <c r="B70" i="69"/>
  <c r="D58" i="89"/>
  <c r="E58" i="89" s="1"/>
  <c r="E69" i="70"/>
  <c r="F69" i="70" s="1"/>
  <c r="B69" i="70"/>
  <c r="E69" i="30"/>
  <c r="F69" i="30" s="1"/>
  <c r="H69" i="30" s="1"/>
  <c r="B69" i="30"/>
  <c r="F63" i="56"/>
  <c r="D64" i="56" s="1"/>
  <c r="B63" i="56"/>
  <c r="D60" i="79"/>
  <c r="E60" i="79" s="1"/>
  <c r="E64" i="60"/>
  <c r="F64" i="60" s="1"/>
  <c r="B64" i="60"/>
  <c r="D66" i="21"/>
  <c r="E66" i="21" s="1"/>
  <c r="B70" i="29"/>
  <c r="H70" i="29"/>
  <c r="G70" i="29"/>
  <c r="H57" i="89"/>
  <c r="I57" i="89" s="1"/>
  <c r="G59" i="79"/>
  <c r="I59" i="79" s="1"/>
  <c r="B63" i="57"/>
  <c r="G63" i="57"/>
  <c r="H63" i="57"/>
  <c r="H66" i="19"/>
  <c r="F64" i="45"/>
  <c r="H64" i="45" s="1"/>
  <c r="B64" i="45"/>
  <c r="E66" i="43"/>
  <c r="F66" i="43" s="1"/>
  <c r="H66" i="43" s="1"/>
  <c r="E69" i="31"/>
  <c r="F69" i="31" s="1"/>
  <c r="B69" i="31"/>
  <c r="G65" i="21"/>
  <c r="I65" i="21" s="1"/>
  <c r="B60" i="77"/>
  <c r="G60" i="77"/>
  <c r="H60" i="77"/>
  <c r="I62" i="65"/>
  <c r="E63" i="54"/>
  <c r="F63" i="54" s="1"/>
  <c r="H63" i="54" s="1"/>
  <c r="B63" i="54"/>
  <c r="J144" i="20"/>
  <c r="I147" i="27"/>
  <c r="H147" i="27"/>
  <c r="E148" i="27"/>
  <c r="F148" i="27" s="1"/>
  <c r="B148" i="27"/>
  <c r="J141" i="58"/>
  <c r="E144" i="45"/>
  <c r="F144" i="45" s="1"/>
  <c r="D145" i="45" s="1"/>
  <c r="J138" i="78"/>
  <c r="J141" i="46"/>
  <c r="J140" i="65"/>
  <c r="J140" i="60"/>
  <c r="F58" i="87"/>
  <c r="H58" i="87" s="1"/>
  <c r="B58" i="87"/>
  <c r="B57" i="13"/>
  <c r="B71" i="3"/>
  <c r="F71" i="3"/>
  <c r="G71" i="3" s="1"/>
  <c r="B61" i="62"/>
  <c r="F61" i="62"/>
  <c r="G61" i="62" s="1"/>
  <c r="J142" i="57"/>
  <c r="J144" i="34"/>
  <c r="J139" i="68"/>
  <c r="D66" i="73"/>
  <c r="D62" i="59"/>
  <c r="E62" i="59" s="1"/>
  <c r="B65" i="20"/>
  <c r="F58" i="26"/>
  <c r="H58" i="26" s="1"/>
  <c r="B58" i="26"/>
  <c r="D67" i="18"/>
  <c r="J146" i="71"/>
  <c r="J140" i="61"/>
  <c r="J140" i="63"/>
  <c r="H66" i="18"/>
  <c r="I66" i="18" s="1"/>
  <c r="E65" i="20"/>
  <c r="F65" i="20" s="1"/>
  <c r="H65" i="20" s="1"/>
  <c r="B59" i="33"/>
  <c r="F59" i="33"/>
  <c r="H59" i="33" s="1"/>
  <c r="E57" i="13"/>
  <c r="F57" i="13" s="1"/>
  <c r="I57" i="26"/>
  <c r="D147" i="31"/>
  <c r="G146" i="31"/>
  <c r="G145" i="41"/>
  <c r="D146" i="41"/>
  <c r="D142" i="63"/>
  <c r="E142" i="63" s="1"/>
  <c r="G141" i="63"/>
  <c r="D141" i="68"/>
  <c r="E141" i="68" s="1"/>
  <c r="G140" i="68"/>
  <c r="H138" i="81"/>
  <c r="I138" i="81"/>
  <c r="E138" i="90"/>
  <c r="G137" i="90"/>
  <c r="D138" i="90"/>
  <c r="G142" i="72"/>
  <c r="D143" i="72"/>
  <c r="E143" i="72" s="1"/>
  <c r="F142" i="62"/>
  <c r="B142" i="62"/>
  <c r="H147" i="30"/>
  <c r="I147" i="30"/>
  <c r="D143" i="53"/>
  <c r="G142" i="53"/>
  <c r="H146" i="32"/>
  <c r="I146" i="32"/>
  <c r="D141" i="66"/>
  <c r="E141" i="66" s="1"/>
  <c r="G140" i="66"/>
  <c r="G142" i="46"/>
  <c r="D143" i="46"/>
  <c r="B143" i="46" s="1"/>
  <c r="J146" i="29"/>
  <c r="D138" i="86"/>
  <c r="E138" i="86"/>
  <c r="G137" i="86"/>
  <c r="G143" i="74"/>
  <c r="D144" i="74"/>
  <c r="E144" i="74" s="1"/>
  <c r="B138" i="89"/>
  <c r="F138" i="89"/>
  <c r="I143" i="45"/>
  <c r="H143" i="45"/>
  <c r="E138" i="92"/>
  <c r="D138" i="92"/>
  <c r="G137" i="92"/>
  <c r="D148" i="69"/>
  <c r="E148" i="69" s="1"/>
  <c r="G147" i="69"/>
  <c r="D142" i="65"/>
  <c r="E142" i="65" s="1"/>
  <c r="G141" i="65"/>
  <c r="J139" i="66"/>
  <c r="E148" i="30"/>
  <c r="F148" i="30" s="1"/>
  <c r="B148" i="30"/>
  <c r="B145" i="73"/>
  <c r="F145" i="73"/>
  <c r="E147" i="32"/>
  <c r="F147" i="32" s="1"/>
  <c r="B147" i="32"/>
  <c r="G142" i="58"/>
  <c r="D143" i="58"/>
  <c r="E143" i="58" s="1"/>
  <c r="I144" i="43"/>
  <c r="H144" i="43"/>
  <c r="F138" i="91"/>
  <c r="B138" i="91"/>
  <c r="H145" i="34"/>
  <c r="J145" i="34" s="1"/>
  <c r="J145" i="18"/>
  <c r="B139" i="26"/>
  <c r="E139" i="26"/>
  <c r="F139" i="26" s="1"/>
  <c r="B139" i="81"/>
  <c r="F139" i="81"/>
  <c r="J140" i="64"/>
  <c r="I137" i="89"/>
  <c r="H137" i="89"/>
  <c r="H141" i="62"/>
  <c r="I141" i="62"/>
  <c r="J141" i="53"/>
  <c r="G147" i="70"/>
  <c r="D148" i="70"/>
  <c r="E148" i="70" s="1"/>
  <c r="D148" i="29"/>
  <c r="G147" i="29"/>
  <c r="I144" i="73"/>
  <c r="H144" i="73"/>
  <c r="I145" i="22"/>
  <c r="H145" i="22"/>
  <c r="D139" i="85"/>
  <c r="E139" i="85"/>
  <c r="G138" i="85"/>
  <c r="E138" i="84"/>
  <c r="G137" i="84"/>
  <c r="D138" i="84"/>
  <c r="D142" i="64"/>
  <c r="E142" i="64" s="1"/>
  <c r="G141" i="64"/>
  <c r="G137" i="88"/>
  <c r="D138" i="88"/>
  <c r="E138" i="88"/>
  <c r="J147" i="28"/>
  <c r="J138" i="79"/>
  <c r="J144" i="41"/>
  <c r="I138" i="26"/>
  <c r="H138" i="26"/>
  <c r="J145" i="31"/>
  <c r="J143" i="39"/>
  <c r="J141" i="72"/>
  <c r="J146" i="69"/>
  <c r="J146" i="70"/>
  <c r="I145" i="20"/>
  <c r="H145" i="20"/>
  <c r="G141" i="61"/>
  <c r="D142" i="61"/>
  <c r="E142" i="61" s="1"/>
  <c r="D140" i="78"/>
  <c r="E140" i="78"/>
  <c r="G139" i="78"/>
  <c r="I144" i="39"/>
  <c r="H144" i="39"/>
  <c r="D140" i="79"/>
  <c r="G139" i="79"/>
  <c r="E140" i="79"/>
  <c r="G141" i="60"/>
  <c r="D142" i="60"/>
  <c r="E142" i="60" s="1"/>
  <c r="I145" i="19"/>
  <c r="H145" i="19"/>
  <c r="E146" i="22"/>
  <c r="F146" i="22" s="1"/>
  <c r="B146" i="22"/>
  <c r="J142" i="74"/>
  <c r="I137" i="91"/>
  <c r="H137" i="91"/>
  <c r="G146" i="18"/>
  <c r="D147" i="18"/>
  <c r="G147" i="23"/>
  <c r="D148" i="23"/>
  <c r="B148" i="23" s="1"/>
  <c r="E144" i="56"/>
  <c r="F144" i="56" s="1"/>
  <c r="B144" i="56"/>
  <c r="J143" i="44"/>
  <c r="J141" i="59"/>
  <c r="H143" i="56"/>
  <c r="I143" i="56"/>
  <c r="G142" i="59"/>
  <c r="D143" i="59"/>
  <c r="E143" i="59" s="1"/>
  <c r="J146" i="23"/>
  <c r="J139" i="67"/>
  <c r="D148" i="71"/>
  <c r="E148" i="71" s="1"/>
  <c r="G147" i="71"/>
  <c r="D144" i="57"/>
  <c r="E144" i="57" s="1"/>
  <c r="G143" i="57"/>
  <c r="D149" i="28"/>
  <c r="E149" i="28" s="1"/>
  <c r="G148" i="28"/>
  <c r="B143" i="54"/>
  <c r="F143" i="54"/>
  <c r="B139" i="83"/>
  <c r="F139" i="83"/>
  <c r="F140" i="75"/>
  <c r="B140" i="75"/>
  <c r="B146" i="21"/>
  <c r="F146" i="21"/>
  <c r="G137" i="87"/>
  <c r="D138" i="87"/>
  <c r="E138" i="87"/>
  <c r="G145" i="3"/>
  <c r="D146" i="3"/>
  <c r="E146" i="3" s="1"/>
  <c r="I142" i="55"/>
  <c r="H142" i="55"/>
  <c r="F140" i="76"/>
  <c r="B140" i="76"/>
  <c r="H144" i="42"/>
  <c r="I144" i="42"/>
  <c r="G144" i="44"/>
  <c r="D145" i="44"/>
  <c r="I138" i="80"/>
  <c r="H138" i="80"/>
  <c r="G138" i="82"/>
  <c r="D139" i="82"/>
  <c r="E139" i="82"/>
  <c r="H139" i="75"/>
  <c r="I139" i="75"/>
  <c r="J144" i="3"/>
  <c r="H146" i="24"/>
  <c r="I146" i="24"/>
  <c r="G138" i="95"/>
  <c r="D139" i="95"/>
  <c r="E139" i="95" s="1"/>
  <c r="H136" i="33"/>
  <c r="I136" i="33"/>
  <c r="H136" i="13"/>
  <c r="I136" i="13"/>
  <c r="B140" i="77"/>
  <c r="F140" i="77"/>
  <c r="I142" i="54"/>
  <c r="H142" i="54"/>
  <c r="F139" i="80"/>
  <c r="B139" i="80"/>
  <c r="J145" i="17"/>
  <c r="I145" i="21"/>
  <c r="H145" i="21"/>
  <c r="D141" i="67"/>
  <c r="E141" i="67" s="1"/>
  <c r="G140" i="67"/>
  <c r="B147" i="24"/>
  <c r="F147" i="24"/>
  <c r="G146" i="17"/>
  <c r="D147" i="17"/>
  <c r="F137" i="33"/>
  <c r="B137" i="33"/>
  <c r="F138" i="93"/>
  <c r="B138" i="93"/>
  <c r="B143" i="55"/>
  <c r="F143" i="55"/>
  <c r="I139" i="77"/>
  <c r="H139" i="77"/>
  <c r="F145" i="42"/>
  <c r="B145" i="42"/>
  <c r="G146" i="34"/>
  <c r="G137" i="96"/>
  <c r="D138" i="96"/>
  <c r="E138" i="96" s="1"/>
  <c r="G138" i="94"/>
  <c r="D139" i="94"/>
  <c r="E139" i="94" s="1"/>
  <c r="H138" i="83"/>
  <c r="I138" i="83"/>
  <c r="H137" i="93"/>
  <c r="I137" i="93"/>
  <c r="B137" i="13"/>
  <c r="F137" i="13"/>
  <c r="H139" i="76"/>
  <c r="I139" i="76"/>
  <c r="H69" i="100" l="1"/>
  <c r="F69" i="100"/>
  <c r="E145" i="39"/>
  <c r="F145" i="39" s="1"/>
  <c r="G69" i="100"/>
  <c r="D70" i="100"/>
  <c r="D141" i="100"/>
  <c r="G140" i="100"/>
  <c r="H139" i="100"/>
  <c r="I139" i="100"/>
  <c r="B146" i="19"/>
  <c r="H57" i="25"/>
  <c r="E58" i="25"/>
  <c r="F58" i="25" s="1"/>
  <c r="D59" i="25" s="1"/>
  <c r="B59" i="25" s="1"/>
  <c r="G57" i="25"/>
  <c r="G137" i="25"/>
  <c r="D138" i="25"/>
  <c r="J136" i="25"/>
  <c r="I67" i="99"/>
  <c r="G63" i="67"/>
  <c r="G58" i="26"/>
  <c r="I58" i="26" s="1"/>
  <c r="I70" i="3"/>
  <c r="E69" i="99"/>
  <c r="F69" i="99" s="1"/>
  <c r="B69" i="99"/>
  <c r="F57" i="98"/>
  <c r="D58" i="98" s="1"/>
  <c r="B57" i="98"/>
  <c r="H68" i="99"/>
  <c r="G68" i="99"/>
  <c r="I68" i="24"/>
  <c r="D138" i="99"/>
  <c r="G137" i="99"/>
  <c r="E138" i="99"/>
  <c r="B146" i="20"/>
  <c r="E64" i="67"/>
  <c r="F64" i="67" s="1"/>
  <c r="H64" i="67" s="1"/>
  <c r="H63" i="67"/>
  <c r="E69" i="32"/>
  <c r="F69" i="32" s="1"/>
  <c r="G69" i="32" s="1"/>
  <c r="I66" i="19"/>
  <c r="G65" i="58"/>
  <c r="D66" i="58"/>
  <c r="H65" i="58"/>
  <c r="E145" i="43"/>
  <c r="F145" i="43" s="1"/>
  <c r="D146" i="43" s="1"/>
  <c r="I57" i="94"/>
  <c r="I59" i="86"/>
  <c r="I67" i="27"/>
  <c r="I137" i="97"/>
  <c r="H137" i="97"/>
  <c r="B138" i="98"/>
  <c r="F138" i="98"/>
  <c r="B138" i="97"/>
  <c r="F138" i="97"/>
  <c r="H137" i="98"/>
  <c r="I137" i="98"/>
  <c r="E66" i="72"/>
  <c r="F66" i="72" s="1"/>
  <c r="G66" i="72" s="1"/>
  <c r="G67" i="46"/>
  <c r="D68" i="46"/>
  <c r="H67" i="46"/>
  <c r="I66" i="46"/>
  <c r="G67" i="34"/>
  <c r="I67" i="34" s="1"/>
  <c r="H69" i="24"/>
  <c r="G69" i="24"/>
  <c r="D70" i="24"/>
  <c r="B70" i="23"/>
  <c r="F70" i="23"/>
  <c r="G70" i="23" s="1"/>
  <c r="G69" i="23"/>
  <c r="I67" i="22"/>
  <c r="F67" i="19"/>
  <c r="H67" i="19" s="1"/>
  <c r="D61" i="80"/>
  <c r="E61" i="80" s="1"/>
  <c r="G58" i="94"/>
  <c r="D59" i="94"/>
  <c r="B59" i="94" s="1"/>
  <c r="H58" i="94"/>
  <c r="I68" i="32"/>
  <c r="I58" i="91"/>
  <c r="I63" i="53"/>
  <c r="B57" i="93"/>
  <c r="F57" i="93"/>
  <c r="G57" i="93" s="1"/>
  <c r="B67" i="19"/>
  <c r="E71" i="29"/>
  <c r="F71" i="29" s="1"/>
  <c r="D72" i="29" s="1"/>
  <c r="B72" i="29" s="1"/>
  <c r="E60" i="86"/>
  <c r="F60" i="86" s="1"/>
  <c r="D61" i="86" s="1"/>
  <c r="E61" i="86" s="1"/>
  <c r="F61" i="86" s="1"/>
  <c r="D62" i="86" s="1"/>
  <c r="E62" i="86" s="1"/>
  <c r="H61" i="82"/>
  <c r="E63" i="61"/>
  <c r="F63" i="61" s="1"/>
  <c r="I61" i="63"/>
  <c r="G65" i="44"/>
  <c r="I65" i="44" s="1"/>
  <c r="E62" i="82"/>
  <c r="F62" i="82" s="1"/>
  <c r="D63" i="82" s="1"/>
  <c r="B62" i="82"/>
  <c r="I59" i="80"/>
  <c r="B60" i="80"/>
  <c r="H60" i="80"/>
  <c r="G60" i="80"/>
  <c r="B68" i="27"/>
  <c r="E68" i="27"/>
  <c r="F68" i="27" s="1"/>
  <c r="G61" i="82"/>
  <c r="H68" i="42"/>
  <c r="D69" i="42"/>
  <c r="G68" i="42"/>
  <c r="D66" i="55"/>
  <c r="H65" i="55"/>
  <c r="G65" i="55"/>
  <c r="I59" i="88"/>
  <c r="I58" i="81"/>
  <c r="I62" i="66"/>
  <c r="E71" i="71"/>
  <c r="F71" i="71" s="1"/>
  <c r="B71" i="71"/>
  <c r="D62" i="75"/>
  <c r="E62" i="75" s="1"/>
  <c r="F62" i="75" s="1"/>
  <c r="B59" i="84"/>
  <c r="D68" i="34"/>
  <c r="E68" i="34" s="1"/>
  <c r="G64" i="45"/>
  <c r="I64" i="45" s="1"/>
  <c r="G63" i="56"/>
  <c r="I63" i="60"/>
  <c r="G66" i="43"/>
  <c r="I66" i="43" s="1"/>
  <c r="I62" i="61"/>
  <c r="F60" i="90"/>
  <c r="B60" i="90"/>
  <c r="I70" i="71"/>
  <c r="E59" i="84"/>
  <c r="F59" i="84" s="1"/>
  <c r="F64" i="53"/>
  <c r="B64" i="53"/>
  <c r="I63" i="57"/>
  <c r="B63" i="66"/>
  <c r="F63" i="66"/>
  <c r="D64" i="66" s="1"/>
  <c r="E64" i="66" s="1"/>
  <c r="F64" i="66" s="1"/>
  <c r="D65" i="66" s="1"/>
  <c r="B59" i="91"/>
  <c r="F59" i="91"/>
  <c r="H61" i="75"/>
  <c r="I61" i="75" s="1"/>
  <c r="H69" i="23"/>
  <c r="E61" i="76"/>
  <c r="F61" i="76" s="1"/>
  <c r="B61" i="76"/>
  <c r="H67" i="74"/>
  <c r="I67" i="74" s="1"/>
  <c r="D60" i="85"/>
  <c r="F68" i="22"/>
  <c r="B68" i="22"/>
  <c r="I65" i="72"/>
  <c r="F57" i="96"/>
  <c r="G57" i="96" s="1"/>
  <c r="B57" i="96"/>
  <c r="H59" i="85"/>
  <c r="E59" i="81"/>
  <c r="F59" i="81" s="1"/>
  <c r="B59" i="81"/>
  <c r="G57" i="95"/>
  <c r="I57" i="95" s="1"/>
  <c r="D58" i="95"/>
  <c r="B60" i="76"/>
  <c r="H60" i="76"/>
  <c r="G60" i="76"/>
  <c r="F66" i="39"/>
  <c r="H66" i="39" s="1"/>
  <c r="B66" i="39"/>
  <c r="D66" i="44"/>
  <c r="E66" i="44" s="1"/>
  <c r="F66" i="44" s="1"/>
  <c r="D67" i="44" s="1"/>
  <c r="G59" i="85"/>
  <c r="I60" i="77"/>
  <c r="I70" i="29"/>
  <c r="D71" i="69"/>
  <c r="H70" i="69"/>
  <c r="G70" i="69"/>
  <c r="E63" i="63"/>
  <c r="F63" i="63" s="1"/>
  <c r="G63" i="63" s="1"/>
  <c r="B63" i="63"/>
  <c r="D65" i="60"/>
  <c r="G64" i="60"/>
  <c r="H64" i="60"/>
  <c r="G66" i="41"/>
  <c r="D67" i="41"/>
  <c r="E67" i="41" s="1"/>
  <c r="F67" i="41" s="1"/>
  <c r="D68" i="41" s="1"/>
  <c r="H66" i="41"/>
  <c r="D70" i="70"/>
  <c r="E70" i="70" s="1"/>
  <c r="G69" i="70"/>
  <c r="H69" i="70"/>
  <c r="G71" i="28"/>
  <c r="D72" i="28"/>
  <c r="H71" i="28"/>
  <c r="B63" i="68"/>
  <c r="B64" i="57"/>
  <c r="D64" i="54"/>
  <c r="H69" i="31"/>
  <c r="G69" i="31"/>
  <c r="D70" i="31"/>
  <c r="F58" i="92"/>
  <c r="H58" i="92" s="1"/>
  <c r="B58" i="92"/>
  <c r="D59" i="83"/>
  <c r="E59" i="83" s="1"/>
  <c r="G61" i="77"/>
  <c r="I61" i="77" s="1"/>
  <c r="D62" i="77"/>
  <c r="G63" i="54"/>
  <c r="I63" i="54" s="1"/>
  <c r="B60" i="79"/>
  <c r="F60" i="79"/>
  <c r="G60" i="79" s="1"/>
  <c r="E64" i="56"/>
  <c r="F64" i="56" s="1"/>
  <c r="B64" i="56"/>
  <c r="D70" i="30"/>
  <c r="B58" i="89"/>
  <c r="F58" i="89"/>
  <c r="G58" i="89" s="1"/>
  <c r="H58" i="83"/>
  <c r="I58" i="83" s="1"/>
  <c r="I62" i="64"/>
  <c r="F60" i="78"/>
  <c r="H60" i="78" s="1"/>
  <c r="B60" i="78"/>
  <c r="D64" i="65"/>
  <c r="B64" i="65" s="1"/>
  <c r="H63" i="65"/>
  <c r="G63" i="65"/>
  <c r="I62" i="68"/>
  <c r="E60" i="88"/>
  <c r="F60" i="88" s="1"/>
  <c r="D61" i="88" s="1"/>
  <c r="B60" i="88"/>
  <c r="I68" i="17"/>
  <c r="I59" i="78"/>
  <c r="D67" i="43"/>
  <c r="E67" i="43" s="1"/>
  <c r="F67" i="43" s="1"/>
  <c r="D68" i="43" s="1"/>
  <c r="D65" i="45"/>
  <c r="E65" i="45" s="1"/>
  <c r="B66" i="21"/>
  <c r="F66" i="21"/>
  <c r="G66" i="21" s="1"/>
  <c r="H63" i="56"/>
  <c r="G69" i="30"/>
  <c r="I69" i="30" s="1"/>
  <c r="I68" i="30"/>
  <c r="D68" i="74"/>
  <c r="E68" i="74" s="1"/>
  <c r="E63" i="68"/>
  <c r="F63" i="68" s="1"/>
  <c r="B62" i="63"/>
  <c r="G62" i="63"/>
  <c r="H62" i="63"/>
  <c r="F69" i="17"/>
  <c r="G69" i="17" s="1"/>
  <c r="B69" i="17"/>
  <c r="E64" i="57"/>
  <c r="F64" i="57" s="1"/>
  <c r="G64" i="57" s="1"/>
  <c r="E63" i="64"/>
  <c r="F63" i="64" s="1"/>
  <c r="H63" i="64" s="1"/>
  <c r="B63" i="64"/>
  <c r="G144" i="45"/>
  <c r="I144" i="45" s="1"/>
  <c r="G148" i="27"/>
  <c r="D149" i="27"/>
  <c r="E143" i="46"/>
  <c r="F143" i="46" s="1"/>
  <c r="J147" i="27"/>
  <c r="D58" i="13"/>
  <c r="E58" i="13" s="1"/>
  <c r="G57" i="13"/>
  <c r="H57" i="13"/>
  <c r="D71" i="23"/>
  <c r="E71" i="23" s="1"/>
  <c r="B66" i="73"/>
  <c r="D62" i="62"/>
  <c r="E62" i="62" s="1"/>
  <c r="D72" i="3"/>
  <c r="E72" i="3" s="1"/>
  <c r="E73" i="3" s="1"/>
  <c r="D59" i="87"/>
  <c r="E59" i="87" s="1"/>
  <c r="J146" i="32"/>
  <c r="J147" i="30"/>
  <c r="D60" i="33"/>
  <c r="E60" i="33" s="1"/>
  <c r="H70" i="23"/>
  <c r="E66" i="73"/>
  <c r="F66" i="73" s="1"/>
  <c r="H66" i="73" s="1"/>
  <c r="B67" i="18"/>
  <c r="D66" i="20"/>
  <c r="E66" i="20" s="1"/>
  <c r="J144" i="42"/>
  <c r="J141" i="62"/>
  <c r="G59" i="33"/>
  <c r="I59" i="33" s="1"/>
  <c r="E67" i="18"/>
  <c r="F67" i="18" s="1"/>
  <c r="G67" i="18" s="1"/>
  <c r="D59" i="26"/>
  <c r="E59" i="26" s="1"/>
  <c r="G65" i="20"/>
  <c r="I65" i="20" s="1"/>
  <c r="F62" i="59"/>
  <c r="B62" i="59"/>
  <c r="H61" i="62"/>
  <c r="I61" i="62" s="1"/>
  <c r="H71" i="3"/>
  <c r="I71" i="3" s="1"/>
  <c r="G58" i="87"/>
  <c r="I58" i="87" s="1"/>
  <c r="D147" i="22"/>
  <c r="G146" i="22"/>
  <c r="D147" i="20"/>
  <c r="G146" i="20"/>
  <c r="G147" i="32"/>
  <c r="D148" i="32"/>
  <c r="E148" i="32" s="1"/>
  <c r="G148" i="30"/>
  <c r="D149" i="30"/>
  <c r="B149" i="30" s="1"/>
  <c r="D147" i="19"/>
  <c r="G146" i="19"/>
  <c r="I141" i="60"/>
  <c r="H141" i="60"/>
  <c r="F139" i="85"/>
  <c r="B139" i="85"/>
  <c r="G138" i="91"/>
  <c r="E139" i="91"/>
  <c r="D139" i="91"/>
  <c r="F144" i="74"/>
  <c r="B144" i="74"/>
  <c r="E143" i="53"/>
  <c r="F143" i="53" s="1"/>
  <c r="B143" i="53"/>
  <c r="B143" i="72"/>
  <c r="F143" i="72"/>
  <c r="I141" i="64"/>
  <c r="H141" i="64"/>
  <c r="J144" i="73"/>
  <c r="D140" i="81"/>
  <c r="E140" i="81" s="1"/>
  <c r="G139" i="81"/>
  <c r="I142" i="58"/>
  <c r="H142" i="58"/>
  <c r="D146" i="73"/>
  <c r="E146" i="73" s="1"/>
  <c r="G145" i="73"/>
  <c r="B138" i="86"/>
  <c r="F138" i="86"/>
  <c r="H142" i="46"/>
  <c r="I142" i="46"/>
  <c r="B138" i="90"/>
  <c r="F138" i="90"/>
  <c r="H145" i="41"/>
  <c r="I145" i="41"/>
  <c r="J145" i="19"/>
  <c r="J144" i="39"/>
  <c r="J145" i="20"/>
  <c r="F138" i="88"/>
  <c r="B138" i="88"/>
  <c r="B142" i="64"/>
  <c r="F142" i="64"/>
  <c r="H138" i="85"/>
  <c r="I138" i="85"/>
  <c r="J145" i="22"/>
  <c r="G145" i="39"/>
  <c r="D146" i="39"/>
  <c r="H147" i="29"/>
  <c r="I147" i="29"/>
  <c r="J144" i="43"/>
  <c r="I147" i="69"/>
  <c r="H147" i="69"/>
  <c r="B138" i="92"/>
  <c r="F138" i="92"/>
  <c r="E139" i="89"/>
  <c r="D139" i="89"/>
  <c r="G138" i="89"/>
  <c r="I143" i="74"/>
  <c r="H143" i="74"/>
  <c r="I140" i="66"/>
  <c r="H140" i="66"/>
  <c r="D143" i="62"/>
  <c r="E143" i="62" s="1"/>
  <c r="G142" i="62"/>
  <c r="I137" i="90"/>
  <c r="H137" i="90"/>
  <c r="I140" i="68"/>
  <c r="H140" i="68"/>
  <c r="I146" i="31"/>
  <c r="H146" i="31"/>
  <c r="F140" i="79"/>
  <c r="B140" i="79"/>
  <c r="I141" i="61"/>
  <c r="H141" i="61"/>
  <c r="I137" i="84"/>
  <c r="H137" i="84"/>
  <c r="F148" i="70"/>
  <c r="B148" i="70"/>
  <c r="F143" i="58"/>
  <c r="B143" i="58"/>
  <c r="H141" i="65"/>
  <c r="I141" i="65"/>
  <c r="B145" i="45"/>
  <c r="E145" i="45"/>
  <c r="F145" i="45" s="1"/>
  <c r="E146" i="41"/>
  <c r="F146" i="41" s="1"/>
  <c r="B146" i="41"/>
  <c r="B140" i="78"/>
  <c r="F140" i="78"/>
  <c r="J138" i="26"/>
  <c r="I147" i="70"/>
  <c r="H147" i="70"/>
  <c r="B142" i="65"/>
  <c r="F142" i="65"/>
  <c r="I137" i="92"/>
  <c r="H137" i="92"/>
  <c r="J143" i="45"/>
  <c r="H142" i="72"/>
  <c r="I142" i="72"/>
  <c r="I141" i="63"/>
  <c r="H141" i="63"/>
  <c r="B142" i="60"/>
  <c r="F142" i="60"/>
  <c r="H139" i="79"/>
  <c r="I139" i="79"/>
  <c r="H139" i="78"/>
  <c r="I139" i="78"/>
  <c r="F142" i="61"/>
  <c r="B142" i="61"/>
  <c r="I137" i="88"/>
  <c r="H137" i="88"/>
  <c r="B138" i="84"/>
  <c r="F138" i="84"/>
  <c r="B148" i="29"/>
  <c r="E148" i="29"/>
  <c r="F148" i="29" s="1"/>
  <c r="D140" i="26"/>
  <c r="G139" i="26"/>
  <c r="B148" i="69"/>
  <c r="F148" i="69"/>
  <c r="H137" i="86"/>
  <c r="I137" i="86"/>
  <c r="B141" i="66"/>
  <c r="F141" i="66"/>
  <c r="H142" i="53"/>
  <c r="I142" i="53"/>
  <c r="F141" i="68"/>
  <c r="B141" i="68"/>
  <c r="F142" i="63"/>
  <c r="B142" i="63"/>
  <c r="E147" i="31"/>
  <c r="F147" i="31" s="1"/>
  <c r="B147" i="31"/>
  <c r="H142" i="59"/>
  <c r="I142" i="59"/>
  <c r="G144" i="56"/>
  <c r="D145" i="56"/>
  <c r="H147" i="23"/>
  <c r="I147" i="23"/>
  <c r="J142" i="54"/>
  <c r="J143" i="56"/>
  <c r="E147" i="18"/>
  <c r="F147" i="18" s="1"/>
  <c r="B147" i="18"/>
  <c r="B143" i="59"/>
  <c r="F143" i="59"/>
  <c r="E148" i="23"/>
  <c r="F148" i="23" s="1"/>
  <c r="H146" i="18"/>
  <c r="I146" i="18"/>
  <c r="J139" i="75"/>
  <c r="H143" i="57"/>
  <c r="I143" i="57"/>
  <c r="I147" i="71"/>
  <c r="H147" i="71"/>
  <c r="B144" i="57"/>
  <c r="F144" i="57"/>
  <c r="F148" i="71"/>
  <c r="B148" i="71"/>
  <c r="J139" i="76"/>
  <c r="B139" i="94"/>
  <c r="F139" i="94"/>
  <c r="I146" i="34"/>
  <c r="H146" i="34"/>
  <c r="G143" i="55"/>
  <c r="D144" i="55"/>
  <c r="B141" i="67"/>
  <c r="F141" i="67"/>
  <c r="G139" i="80"/>
  <c r="D140" i="80"/>
  <c r="E140" i="80" s="1"/>
  <c r="B145" i="44"/>
  <c r="I138" i="94"/>
  <c r="H138" i="94"/>
  <c r="G138" i="93"/>
  <c r="D139" i="93"/>
  <c r="B147" i="17"/>
  <c r="J136" i="33"/>
  <c r="J146" i="24"/>
  <c r="F139" i="82"/>
  <c r="B139" i="82"/>
  <c r="I144" i="44"/>
  <c r="H144" i="44"/>
  <c r="G140" i="76"/>
  <c r="D141" i="76"/>
  <c r="E141" i="76" s="1"/>
  <c r="F146" i="3"/>
  <c r="B146" i="3"/>
  <c r="B138" i="87"/>
  <c r="F138" i="87"/>
  <c r="H148" i="28"/>
  <c r="I148" i="28"/>
  <c r="G137" i="13"/>
  <c r="D138" i="13"/>
  <c r="B138" i="96"/>
  <c r="F138" i="96"/>
  <c r="F147" i="34"/>
  <c r="B147" i="34"/>
  <c r="D146" i="42"/>
  <c r="E146" i="42" s="1"/>
  <c r="G145" i="42"/>
  <c r="J139" i="77"/>
  <c r="G137" i="33"/>
  <c r="D138" i="33"/>
  <c r="H146" i="17"/>
  <c r="I146" i="17"/>
  <c r="D148" i="24"/>
  <c r="E148" i="24" s="1"/>
  <c r="G147" i="24"/>
  <c r="F139" i="95"/>
  <c r="B139" i="95"/>
  <c r="H138" i="82"/>
  <c r="I138" i="82"/>
  <c r="H145" i="3"/>
  <c r="I145" i="3"/>
  <c r="H137" i="87"/>
  <c r="I137" i="87"/>
  <c r="G140" i="75"/>
  <c r="D141" i="75"/>
  <c r="E141" i="75" s="1"/>
  <c r="B149" i="28"/>
  <c r="F149" i="28"/>
  <c r="I137" i="96"/>
  <c r="H137" i="96"/>
  <c r="E147" i="17"/>
  <c r="F147" i="17" s="1"/>
  <c r="H140" i="67"/>
  <c r="I140" i="67"/>
  <c r="J145" i="21"/>
  <c r="G140" i="77"/>
  <c r="D141" i="77"/>
  <c r="E141" i="77" s="1"/>
  <c r="H138" i="95"/>
  <c r="I138" i="95"/>
  <c r="E145" i="44"/>
  <c r="F145" i="44" s="1"/>
  <c r="J142" i="55"/>
  <c r="G146" i="21"/>
  <c r="D147" i="21"/>
  <c r="G139" i="83"/>
  <c r="D140" i="83"/>
  <c r="E140" i="83" s="1"/>
  <c r="D144" i="54"/>
  <c r="G143" i="54"/>
  <c r="I69" i="100" l="1"/>
  <c r="E70" i="100"/>
  <c r="B70" i="100"/>
  <c r="F70" i="100"/>
  <c r="G70" i="100" s="1"/>
  <c r="H58" i="25"/>
  <c r="G58" i="25"/>
  <c r="H140" i="100"/>
  <c r="I140" i="100"/>
  <c r="E141" i="100"/>
  <c r="B141" i="100"/>
  <c r="F141" i="100"/>
  <c r="I57" i="25"/>
  <c r="E138" i="25"/>
  <c r="F138" i="25" s="1"/>
  <c r="B138" i="25"/>
  <c r="H137" i="25"/>
  <c r="I137" i="25"/>
  <c r="H69" i="32"/>
  <c r="I69" i="32" s="1"/>
  <c r="I63" i="67"/>
  <c r="G57" i="98"/>
  <c r="H57" i="98"/>
  <c r="I63" i="56"/>
  <c r="D68" i="19"/>
  <c r="E68" i="19" s="1"/>
  <c r="D70" i="99"/>
  <c r="H69" i="99"/>
  <c r="G69" i="99"/>
  <c r="D70" i="32"/>
  <c r="E70" i="32" s="1"/>
  <c r="F70" i="32" s="1"/>
  <c r="D71" i="32" s="1"/>
  <c r="B71" i="32" s="1"/>
  <c r="I68" i="99"/>
  <c r="E58" i="98"/>
  <c r="F58" i="98" s="1"/>
  <c r="D59" i="98" s="1"/>
  <c r="B58" i="98"/>
  <c r="I62" i="63"/>
  <c r="I70" i="23"/>
  <c r="I69" i="24"/>
  <c r="H137" i="99"/>
  <c r="I137" i="99"/>
  <c r="B138" i="99"/>
  <c r="F138" i="99"/>
  <c r="I58" i="94"/>
  <c r="G64" i="67"/>
  <c r="I64" i="67" s="1"/>
  <c r="D65" i="67"/>
  <c r="I65" i="58"/>
  <c r="B64" i="66"/>
  <c r="E66" i="58"/>
  <c r="F66" i="58" s="1"/>
  <c r="B66" i="58"/>
  <c r="G145" i="43"/>
  <c r="I145" i="43" s="1"/>
  <c r="H57" i="93"/>
  <c r="I57" i="93" s="1"/>
  <c r="D67" i="72"/>
  <c r="E67" i="72" s="1"/>
  <c r="H66" i="72"/>
  <c r="I66" i="72" s="1"/>
  <c r="H64" i="66"/>
  <c r="G64" i="66"/>
  <c r="I67" i="46"/>
  <c r="H71" i="29"/>
  <c r="G71" i="29"/>
  <c r="E72" i="29"/>
  <c r="E73" i="29" s="1"/>
  <c r="I71" i="28"/>
  <c r="I69" i="23"/>
  <c r="G67" i="19"/>
  <c r="I67" i="19" s="1"/>
  <c r="D139" i="98"/>
  <c r="G138" i="98"/>
  <c r="E139" i="98"/>
  <c r="D139" i="97"/>
  <c r="E139" i="97" s="1"/>
  <c r="G138" i="97"/>
  <c r="H144" i="45"/>
  <c r="J144" i="45" s="1"/>
  <c r="H61" i="86"/>
  <c r="G61" i="86"/>
  <c r="G60" i="86"/>
  <c r="B61" i="86"/>
  <c r="I60" i="80"/>
  <c r="B68" i="46"/>
  <c r="E68" i="46"/>
  <c r="F68" i="46" s="1"/>
  <c r="E70" i="24"/>
  <c r="F70" i="24" s="1"/>
  <c r="H70" i="24" s="1"/>
  <c r="B70" i="24"/>
  <c r="I68" i="42"/>
  <c r="E63" i="82"/>
  <c r="F63" i="82" s="1"/>
  <c r="B63" i="82"/>
  <c r="G63" i="66"/>
  <c r="I65" i="55"/>
  <c r="G62" i="82"/>
  <c r="I61" i="82"/>
  <c r="D58" i="93"/>
  <c r="E58" i="93" s="1"/>
  <c r="F58" i="93" s="1"/>
  <c r="D59" i="93" s="1"/>
  <c r="B59" i="93" s="1"/>
  <c r="H60" i="86"/>
  <c r="G63" i="61"/>
  <c r="H63" i="61"/>
  <c r="D64" i="61"/>
  <c r="B64" i="61" s="1"/>
  <c r="H69" i="17"/>
  <c r="I69" i="17" s="1"/>
  <c r="H63" i="66"/>
  <c r="E59" i="25"/>
  <c r="F59" i="25" s="1"/>
  <c r="D60" i="25" s="1"/>
  <c r="E60" i="25" s="1"/>
  <c r="E59" i="94"/>
  <c r="F59" i="94" s="1"/>
  <c r="G68" i="27"/>
  <c r="H68" i="27"/>
  <c r="D69" i="27"/>
  <c r="H62" i="82"/>
  <c r="F61" i="80"/>
  <c r="H61" i="80" s="1"/>
  <c r="B61" i="80"/>
  <c r="H59" i="84"/>
  <c r="D60" i="84"/>
  <c r="G59" i="84"/>
  <c r="D60" i="91"/>
  <c r="E60" i="91" s="1"/>
  <c r="G59" i="91"/>
  <c r="H59" i="91"/>
  <c r="D63" i="75"/>
  <c r="E63" i="75" s="1"/>
  <c r="G71" i="71"/>
  <c r="D72" i="71"/>
  <c r="D61" i="90"/>
  <c r="E61" i="90" s="1"/>
  <c r="F61" i="90" s="1"/>
  <c r="G58" i="92"/>
  <c r="I58" i="92" s="1"/>
  <c r="H64" i="53"/>
  <c r="D65" i="53"/>
  <c r="G60" i="90"/>
  <c r="B62" i="75"/>
  <c r="H62" i="75"/>
  <c r="G62" i="75"/>
  <c r="E66" i="55"/>
  <c r="F66" i="55" s="1"/>
  <c r="H66" i="55" s="1"/>
  <c r="B66" i="55"/>
  <c r="G64" i="53"/>
  <c r="H60" i="90"/>
  <c r="E69" i="42"/>
  <c r="F69" i="42" s="1"/>
  <c r="B69" i="42"/>
  <c r="I60" i="76"/>
  <c r="B68" i="34"/>
  <c r="F68" i="34"/>
  <c r="H71" i="71"/>
  <c r="E67" i="44"/>
  <c r="F67" i="44" s="1"/>
  <c r="B67" i="44"/>
  <c r="D69" i="22"/>
  <c r="G61" i="76"/>
  <c r="D62" i="76"/>
  <c r="H57" i="96"/>
  <c r="I57" i="96" s="1"/>
  <c r="D58" i="96"/>
  <c r="E58" i="96" s="1"/>
  <c r="G68" i="22"/>
  <c r="H59" i="81"/>
  <c r="D60" i="81"/>
  <c r="B66" i="44"/>
  <c r="H66" i="44"/>
  <c r="G66" i="44"/>
  <c r="D67" i="39"/>
  <c r="E67" i="39" s="1"/>
  <c r="B58" i="95"/>
  <c r="G59" i="81"/>
  <c r="I59" i="85"/>
  <c r="H68" i="22"/>
  <c r="F62" i="86"/>
  <c r="D63" i="86" s="1"/>
  <c r="B62" i="86"/>
  <c r="B60" i="85"/>
  <c r="H63" i="63"/>
  <c r="I63" i="63" s="1"/>
  <c r="G66" i="39"/>
  <c r="I66" i="39" s="1"/>
  <c r="E58" i="95"/>
  <c r="F58" i="95" s="1"/>
  <c r="E60" i="85"/>
  <c r="F60" i="85" s="1"/>
  <c r="H60" i="85" s="1"/>
  <c r="H61" i="76"/>
  <c r="I69" i="70"/>
  <c r="I66" i="41"/>
  <c r="I64" i="60"/>
  <c r="D64" i="68"/>
  <c r="E64" i="68" s="1"/>
  <c r="G63" i="68"/>
  <c r="H63" i="68"/>
  <c r="E68" i="43"/>
  <c r="F68" i="43" s="1"/>
  <c r="H68" i="43" s="1"/>
  <c r="B68" i="43"/>
  <c r="B65" i="66"/>
  <c r="D65" i="56"/>
  <c r="E65" i="56" s="1"/>
  <c r="B70" i="31"/>
  <c r="D64" i="64"/>
  <c r="B67" i="43"/>
  <c r="G67" i="43"/>
  <c r="H67" i="43"/>
  <c r="G60" i="88"/>
  <c r="B72" i="28"/>
  <c r="I63" i="65"/>
  <c r="B70" i="30"/>
  <c r="H60" i="79"/>
  <c r="I60" i="79" s="1"/>
  <c r="D61" i="79"/>
  <c r="B67" i="41"/>
  <c r="G67" i="41"/>
  <c r="H67" i="41"/>
  <c r="E65" i="60"/>
  <c r="F65" i="60" s="1"/>
  <c r="D66" i="60" s="1"/>
  <c r="B65" i="60"/>
  <c r="I70" i="69"/>
  <c r="D65" i="57"/>
  <c r="E65" i="57" s="1"/>
  <c r="E61" i="88"/>
  <c r="F61" i="88" s="1"/>
  <c r="B61" i="88"/>
  <c r="D61" i="78"/>
  <c r="E62" i="77"/>
  <c r="F62" i="77" s="1"/>
  <c r="B62" i="77"/>
  <c r="B64" i="54"/>
  <c r="G60" i="78"/>
  <c r="I60" i="78" s="1"/>
  <c r="H64" i="56"/>
  <c r="E70" i="31"/>
  <c r="F70" i="31" s="1"/>
  <c r="E64" i="54"/>
  <c r="F64" i="54" s="1"/>
  <c r="E68" i="41"/>
  <c r="F68" i="41" s="1"/>
  <c r="B68" i="41"/>
  <c r="I57" i="13"/>
  <c r="G63" i="64"/>
  <c r="I63" i="64" s="1"/>
  <c r="D70" i="17"/>
  <c r="B68" i="74"/>
  <c r="F68" i="74"/>
  <c r="H66" i="21"/>
  <c r="I66" i="21" s="1"/>
  <c r="D67" i="21"/>
  <c r="F65" i="45"/>
  <c r="G65" i="45" s="1"/>
  <c r="B65" i="45"/>
  <c r="H60" i="88"/>
  <c r="E65" i="66"/>
  <c r="F65" i="66" s="1"/>
  <c r="H58" i="89"/>
  <c r="I58" i="89" s="1"/>
  <c r="D59" i="89"/>
  <c r="E59" i="89" s="1"/>
  <c r="E70" i="30"/>
  <c r="F70" i="30" s="1"/>
  <c r="G64" i="56"/>
  <c r="F59" i="83"/>
  <c r="D60" i="83" s="1"/>
  <c r="B59" i="83"/>
  <c r="D59" i="92"/>
  <c r="I69" i="31"/>
  <c r="H64" i="57"/>
  <c r="I64" i="57" s="1"/>
  <c r="E72" i="28"/>
  <c r="E73" i="28" s="1"/>
  <c r="E64" i="65"/>
  <c r="F64" i="65" s="1"/>
  <c r="B70" i="70"/>
  <c r="F70" i="70"/>
  <c r="G70" i="70" s="1"/>
  <c r="D64" i="63"/>
  <c r="E64" i="63" s="1"/>
  <c r="E71" i="69"/>
  <c r="F71" i="69" s="1"/>
  <c r="H71" i="69" s="1"/>
  <c r="B71" i="69"/>
  <c r="J147" i="69"/>
  <c r="J141" i="65"/>
  <c r="E149" i="27"/>
  <c r="F149" i="27" s="1"/>
  <c r="B149" i="27"/>
  <c r="I148" i="27"/>
  <c r="H148" i="27"/>
  <c r="J142" i="53"/>
  <c r="J141" i="60"/>
  <c r="J147" i="70"/>
  <c r="J140" i="68"/>
  <c r="J142" i="58"/>
  <c r="J143" i="74"/>
  <c r="D68" i="18"/>
  <c r="E68" i="18" s="1"/>
  <c r="F72" i="3"/>
  <c r="H72" i="3" s="1"/>
  <c r="B72" i="3"/>
  <c r="F71" i="23"/>
  <c r="G71" i="23" s="1"/>
  <c r="B71" i="23"/>
  <c r="D63" i="59"/>
  <c r="E63" i="59" s="1"/>
  <c r="J139" i="79"/>
  <c r="J147" i="29"/>
  <c r="H62" i="59"/>
  <c r="E146" i="43"/>
  <c r="F146" i="43" s="1"/>
  <c r="B146" i="43"/>
  <c r="F60" i="33"/>
  <c r="H60" i="33" s="1"/>
  <c r="B60" i="33"/>
  <c r="B59" i="87"/>
  <c r="F59" i="87"/>
  <c r="H59" i="87" s="1"/>
  <c r="F62" i="62"/>
  <c r="G62" i="62" s="1"/>
  <c r="B62" i="62"/>
  <c r="F58" i="13"/>
  <c r="G58" i="13" s="1"/>
  <c r="B58" i="13"/>
  <c r="D67" i="73"/>
  <c r="E67" i="73" s="1"/>
  <c r="G62" i="59"/>
  <c r="B59" i="26"/>
  <c r="F59" i="26"/>
  <c r="G59" i="26" s="1"/>
  <c r="F66" i="20"/>
  <c r="H66" i="20" s="1"/>
  <c r="B66" i="20"/>
  <c r="H67" i="18"/>
  <c r="I67" i="18" s="1"/>
  <c r="G66" i="73"/>
  <c r="I66" i="73" s="1"/>
  <c r="G147" i="31"/>
  <c r="D148" i="31"/>
  <c r="G143" i="46"/>
  <c r="D144" i="46"/>
  <c r="B144" i="46" s="1"/>
  <c r="F143" i="62"/>
  <c r="B143" i="62"/>
  <c r="G138" i="92"/>
  <c r="D139" i="92"/>
  <c r="E139" i="92"/>
  <c r="I145" i="39"/>
  <c r="H145" i="39"/>
  <c r="I146" i="19"/>
  <c r="H146" i="19"/>
  <c r="H148" i="30"/>
  <c r="I148" i="30"/>
  <c r="G141" i="68"/>
  <c r="D142" i="68"/>
  <c r="E142" i="68" s="1"/>
  <c r="H139" i="26"/>
  <c r="I139" i="26"/>
  <c r="G140" i="78"/>
  <c r="D141" i="78"/>
  <c r="E141" i="78" s="1"/>
  <c r="J146" i="31"/>
  <c r="H138" i="89"/>
  <c r="I138" i="89"/>
  <c r="E139" i="90"/>
  <c r="G138" i="90"/>
  <c r="D139" i="90"/>
  <c r="D139" i="86"/>
  <c r="E139" i="86"/>
  <c r="G138" i="86"/>
  <c r="B140" i="81"/>
  <c r="F140" i="81"/>
  <c r="J141" i="64"/>
  <c r="D144" i="53"/>
  <c r="B144" i="53" s="1"/>
  <c r="G143" i="53"/>
  <c r="E147" i="19"/>
  <c r="F147" i="19" s="1"/>
  <c r="B147" i="19"/>
  <c r="E147" i="20"/>
  <c r="F147" i="20" s="1"/>
  <c r="B147" i="20"/>
  <c r="G141" i="66"/>
  <c r="D142" i="66"/>
  <c r="E142" i="66" s="1"/>
  <c r="E140" i="26"/>
  <c r="F140" i="26" s="1"/>
  <c r="B140" i="26"/>
  <c r="D143" i="61"/>
  <c r="E143" i="61" s="1"/>
  <c r="G142" i="61"/>
  <c r="J141" i="63"/>
  <c r="G145" i="45"/>
  <c r="D146" i="45"/>
  <c r="J140" i="66"/>
  <c r="B139" i="89"/>
  <c r="F139" i="89"/>
  <c r="D144" i="72"/>
  <c r="E144" i="72" s="1"/>
  <c r="G143" i="72"/>
  <c r="E149" i="30"/>
  <c r="F149" i="30" s="1"/>
  <c r="I146" i="22"/>
  <c r="H146" i="22"/>
  <c r="D143" i="65"/>
  <c r="E143" i="65" s="1"/>
  <c r="G142" i="65"/>
  <c r="D147" i="41"/>
  <c r="B147" i="41" s="1"/>
  <c r="G146" i="41"/>
  <c r="G142" i="64"/>
  <c r="D143" i="64"/>
  <c r="E143" i="64" s="1"/>
  <c r="I139" i="81"/>
  <c r="H139" i="81"/>
  <c r="D145" i="74"/>
  <c r="E145" i="74" s="1"/>
  <c r="G144" i="74"/>
  <c r="I146" i="20"/>
  <c r="H146" i="20"/>
  <c r="E139" i="84"/>
  <c r="G138" i="84"/>
  <c r="D139" i="84"/>
  <c r="D149" i="70"/>
  <c r="E149" i="70" s="1"/>
  <c r="G148" i="70"/>
  <c r="J141" i="61"/>
  <c r="B146" i="73"/>
  <c r="F146" i="73"/>
  <c r="B139" i="91"/>
  <c r="F139" i="91"/>
  <c r="D140" i="85"/>
  <c r="E140" i="85"/>
  <c r="G139" i="85"/>
  <c r="F148" i="32"/>
  <c r="B148" i="32"/>
  <c r="J146" i="34"/>
  <c r="D143" i="63"/>
  <c r="G142" i="63"/>
  <c r="G148" i="69"/>
  <c r="D149" i="69"/>
  <c r="E149" i="69" s="1"/>
  <c r="G148" i="29"/>
  <c r="D149" i="29"/>
  <c r="J139" i="78"/>
  <c r="D143" i="60"/>
  <c r="G142" i="60"/>
  <c r="J142" i="72"/>
  <c r="G143" i="58"/>
  <c r="D144" i="58"/>
  <c r="E144" i="58" s="1"/>
  <c r="G140" i="79"/>
  <c r="D141" i="79"/>
  <c r="E141" i="79" s="1"/>
  <c r="H142" i="62"/>
  <c r="I142" i="62"/>
  <c r="B146" i="39"/>
  <c r="E146" i="39"/>
  <c r="F146" i="39" s="1"/>
  <c r="G138" i="88"/>
  <c r="E139" i="88"/>
  <c r="D139" i="88"/>
  <c r="J145" i="41"/>
  <c r="J142" i="46"/>
  <c r="H145" i="73"/>
  <c r="I145" i="73"/>
  <c r="I138" i="91"/>
  <c r="H138" i="91"/>
  <c r="H147" i="32"/>
  <c r="I147" i="32"/>
  <c r="E147" i="22"/>
  <c r="F147" i="22" s="1"/>
  <c r="B147" i="22"/>
  <c r="D148" i="18"/>
  <c r="G147" i="18"/>
  <c r="J146" i="18"/>
  <c r="J147" i="23"/>
  <c r="J142" i="59"/>
  <c r="G148" i="23"/>
  <c r="D149" i="23"/>
  <c r="B149" i="23" s="1"/>
  <c r="E145" i="56"/>
  <c r="F145" i="56" s="1"/>
  <c r="B145" i="56"/>
  <c r="J143" i="57"/>
  <c r="D144" i="59"/>
  <c r="E144" i="59" s="1"/>
  <c r="G143" i="59"/>
  <c r="I144" i="56"/>
  <c r="H144" i="56"/>
  <c r="J147" i="71"/>
  <c r="D145" i="57"/>
  <c r="B145" i="57" s="1"/>
  <c r="G144" i="57"/>
  <c r="G148" i="71"/>
  <c r="D149" i="71"/>
  <c r="E149" i="71" s="1"/>
  <c r="D146" i="44"/>
  <c r="E146" i="44" s="1"/>
  <c r="G145" i="44"/>
  <c r="G147" i="17"/>
  <c r="D148" i="17"/>
  <c r="E148" i="17" s="1"/>
  <c r="B144" i="54"/>
  <c r="B138" i="33"/>
  <c r="H145" i="42"/>
  <c r="I145" i="42"/>
  <c r="G138" i="96"/>
  <c r="D139" i="96"/>
  <c r="B138" i="13"/>
  <c r="G138" i="87"/>
  <c r="D139" i="87"/>
  <c r="E139" i="87"/>
  <c r="B139" i="93"/>
  <c r="H139" i="80"/>
  <c r="I139" i="80"/>
  <c r="B144" i="55"/>
  <c r="F140" i="83"/>
  <c r="B140" i="83"/>
  <c r="H146" i="21"/>
  <c r="I146" i="21"/>
  <c r="F141" i="75"/>
  <c r="B141" i="75"/>
  <c r="J146" i="17"/>
  <c r="H137" i="33"/>
  <c r="I137" i="33"/>
  <c r="F146" i="42"/>
  <c r="B146" i="42"/>
  <c r="E138" i="13"/>
  <c r="F138" i="13" s="1"/>
  <c r="J144" i="44"/>
  <c r="I138" i="93"/>
  <c r="H138" i="93"/>
  <c r="D142" i="67"/>
  <c r="E142" i="67" s="1"/>
  <c r="G141" i="67"/>
  <c r="E144" i="55"/>
  <c r="F144" i="55" s="1"/>
  <c r="G139" i="94"/>
  <c r="D140" i="94"/>
  <c r="E140" i="94" s="1"/>
  <c r="B147" i="21"/>
  <c r="E144" i="54"/>
  <c r="F144" i="54" s="1"/>
  <c r="I139" i="83"/>
  <c r="H139" i="83"/>
  <c r="E147" i="21"/>
  <c r="F147" i="21" s="1"/>
  <c r="F141" i="77"/>
  <c r="B141" i="77"/>
  <c r="G149" i="28"/>
  <c r="D150" i="28"/>
  <c r="J145" i="3"/>
  <c r="G139" i="95"/>
  <c r="D140" i="95"/>
  <c r="H147" i="24"/>
  <c r="I147" i="24"/>
  <c r="H137" i="13"/>
  <c r="I137" i="13"/>
  <c r="B141" i="76"/>
  <c r="F141" i="76"/>
  <c r="G139" i="82"/>
  <c r="D140" i="82"/>
  <c r="E140" i="82" s="1"/>
  <c r="I143" i="55"/>
  <c r="H143" i="55"/>
  <c r="H143" i="54"/>
  <c r="I143" i="54"/>
  <c r="H140" i="77"/>
  <c r="I140" i="77"/>
  <c r="J140" i="67"/>
  <c r="I140" i="75"/>
  <c r="H140" i="75"/>
  <c r="B148" i="24"/>
  <c r="F148" i="24"/>
  <c r="E138" i="33"/>
  <c r="F138" i="33" s="1"/>
  <c r="G147" i="34"/>
  <c r="D148" i="34"/>
  <c r="J148" i="28"/>
  <c r="D147" i="3"/>
  <c r="E147" i="3" s="1"/>
  <c r="G146" i="3"/>
  <c r="H140" i="76"/>
  <c r="I140" i="76"/>
  <c r="E139" i="93"/>
  <c r="F139" i="93" s="1"/>
  <c r="F140" i="80"/>
  <c r="B140" i="80"/>
  <c r="I58" i="25" l="1"/>
  <c r="H70" i="100"/>
  <c r="I70" i="100" s="1"/>
  <c r="D71" i="100"/>
  <c r="D142" i="100"/>
  <c r="G141" i="100"/>
  <c r="F60" i="25"/>
  <c r="H60" i="25" s="1"/>
  <c r="B60" i="25"/>
  <c r="J137" i="25"/>
  <c r="D139" i="25"/>
  <c r="G138" i="25"/>
  <c r="I57" i="98"/>
  <c r="I63" i="66"/>
  <c r="H145" i="43"/>
  <c r="J145" i="43" s="1"/>
  <c r="B68" i="19"/>
  <c r="F68" i="19"/>
  <c r="D69" i="19" s="1"/>
  <c r="B69" i="19" s="1"/>
  <c r="F72" i="29"/>
  <c r="H72" i="29" s="1"/>
  <c r="B67" i="72"/>
  <c r="G59" i="25"/>
  <c r="H70" i="32"/>
  <c r="E59" i="98"/>
  <c r="F59" i="98" s="1"/>
  <c r="D60" i="98" s="1"/>
  <c r="B59" i="98"/>
  <c r="G70" i="32"/>
  <c r="E71" i="32"/>
  <c r="F71" i="32" s="1"/>
  <c r="D72" i="32" s="1"/>
  <c r="E72" i="32" s="1"/>
  <c r="E73" i="32" s="1"/>
  <c r="I61" i="86"/>
  <c r="H58" i="98"/>
  <c r="I69" i="99"/>
  <c r="B70" i="32"/>
  <c r="G58" i="98"/>
  <c r="E70" i="99"/>
  <c r="F70" i="99" s="1"/>
  <c r="D71" i="99" s="1"/>
  <c r="B70" i="99"/>
  <c r="D139" i="99"/>
  <c r="G138" i="99"/>
  <c r="E139" i="99"/>
  <c r="I59" i="91"/>
  <c r="F67" i="72"/>
  <c r="D68" i="72" s="1"/>
  <c r="B68" i="72" s="1"/>
  <c r="E65" i="67"/>
  <c r="F65" i="67" s="1"/>
  <c r="B65" i="67"/>
  <c r="I64" i="66"/>
  <c r="G66" i="58"/>
  <c r="D67" i="58"/>
  <c r="H66" i="58"/>
  <c r="I71" i="29"/>
  <c r="I60" i="90"/>
  <c r="I60" i="86"/>
  <c r="I59" i="84"/>
  <c r="I61" i="76"/>
  <c r="I63" i="61"/>
  <c r="F139" i="97"/>
  <c r="B139" i="97"/>
  <c r="H138" i="98"/>
  <c r="I138" i="98"/>
  <c r="H138" i="97"/>
  <c r="I138" i="97"/>
  <c r="F139" i="98"/>
  <c r="B139" i="98"/>
  <c r="G59" i="87"/>
  <c r="I59" i="87" s="1"/>
  <c r="G62" i="86"/>
  <c r="I62" i="82"/>
  <c r="G61" i="80"/>
  <c r="I61" i="80" s="1"/>
  <c r="D69" i="46"/>
  <c r="H68" i="46"/>
  <c r="G68" i="46"/>
  <c r="I68" i="27"/>
  <c r="G70" i="24"/>
  <c r="I70" i="24" s="1"/>
  <c r="D71" i="24"/>
  <c r="D60" i="94"/>
  <c r="H59" i="94"/>
  <c r="B58" i="93"/>
  <c r="G58" i="93"/>
  <c r="H58" i="93"/>
  <c r="G63" i="82"/>
  <c r="D64" i="82"/>
  <c r="H63" i="82"/>
  <c r="E69" i="27"/>
  <c r="F69" i="27" s="1"/>
  <c r="B69" i="27"/>
  <c r="H70" i="70"/>
  <c r="I70" i="70" s="1"/>
  <c r="G60" i="85"/>
  <c r="I60" i="85" s="1"/>
  <c r="I64" i="53"/>
  <c r="D62" i="80"/>
  <c r="E62" i="80" s="1"/>
  <c r="H59" i="25"/>
  <c r="G59" i="94"/>
  <c r="H65" i="45"/>
  <c r="I65" i="45" s="1"/>
  <c r="E59" i="93"/>
  <c r="F59" i="93" s="1"/>
  <c r="G59" i="93" s="1"/>
  <c r="E64" i="61"/>
  <c r="F64" i="61" s="1"/>
  <c r="G69" i="42"/>
  <c r="D70" i="42"/>
  <c r="H69" i="42"/>
  <c r="G61" i="90"/>
  <c r="D62" i="90"/>
  <c r="D68" i="44"/>
  <c r="B68" i="44" s="1"/>
  <c r="G67" i="44"/>
  <c r="H67" i="44"/>
  <c r="E72" i="71"/>
  <c r="E73" i="71" s="1"/>
  <c r="B72" i="71"/>
  <c r="H59" i="83"/>
  <c r="I71" i="71"/>
  <c r="G59" i="83"/>
  <c r="I62" i="75"/>
  <c r="E65" i="53"/>
  <c r="F65" i="53" s="1"/>
  <c r="G65" i="53" s="1"/>
  <c r="B65" i="53"/>
  <c r="E60" i="84"/>
  <c r="F60" i="84" s="1"/>
  <c r="H60" i="84" s="1"/>
  <c r="B60" i="84"/>
  <c r="H68" i="34"/>
  <c r="D69" i="34"/>
  <c r="G68" i="34"/>
  <c r="G66" i="55"/>
  <c r="I66" i="55" s="1"/>
  <c r="D67" i="55"/>
  <c r="E67" i="55" s="1"/>
  <c r="B61" i="90"/>
  <c r="H61" i="90"/>
  <c r="F63" i="75"/>
  <c r="G63" i="75" s="1"/>
  <c r="B63" i="75"/>
  <c r="B60" i="91"/>
  <c r="F60" i="91"/>
  <c r="H64" i="54"/>
  <c r="G64" i="54"/>
  <c r="H58" i="95"/>
  <c r="D59" i="95"/>
  <c r="G58" i="95"/>
  <c r="B69" i="22"/>
  <c r="H59" i="26"/>
  <c r="I59" i="26" s="1"/>
  <c r="H58" i="13"/>
  <c r="I58" i="13" s="1"/>
  <c r="I68" i="22"/>
  <c r="E62" i="76"/>
  <c r="F62" i="76" s="1"/>
  <c r="B62" i="76"/>
  <c r="E63" i="86"/>
  <c r="F63" i="86" s="1"/>
  <c r="B63" i="86"/>
  <c r="I59" i="81"/>
  <c r="B60" i="81"/>
  <c r="B67" i="39"/>
  <c r="F67" i="39"/>
  <c r="G67" i="39" s="1"/>
  <c r="H62" i="62"/>
  <c r="I62" i="62" s="1"/>
  <c r="G72" i="3"/>
  <c r="G73" i="3" s="1"/>
  <c r="I63" i="68"/>
  <c r="D61" i="85"/>
  <c r="E61" i="85" s="1"/>
  <c r="F61" i="85" s="1"/>
  <c r="D62" i="85" s="1"/>
  <c r="H62" i="86"/>
  <c r="I66" i="44"/>
  <c r="E60" i="81"/>
  <c r="F60" i="81" s="1"/>
  <c r="B58" i="96"/>
  <c r="F58" i="96"/>
  <c r="H58" i="96" s="1"/>
  <c r="E69" i="22"/>
  <c r="F69" i="22" s="1"/>
  <c r="D70" i="22" s="1"/>
  <c r="I67" i="43"/>
  <c r="D71" i="31"/>
  <c r="B71" i="31" s="1"/>
  <c r="G70" i="31"/>
  <c r="H70" i="31"/>
  <c r="D62" i="88"/>
  <c r="G61" i="88"/>
  <c r="H61" i="88"/>
  <c r="H70" i="30"/>
  <c r="D71" i="30"/>
  <c r="E71" i="30" s="1"/>
  <c r="G70" i="30"/>
  <c r="G62" i="77"/>
  <c r="D63" i="77"/>
  <c r="H62" i="77"/>
  <c r="B67" i="21"/>
  <c r="D69" i="74"/>
  <c r="E69" i="74" s="1"/>
  <c r="B64" i="64"/>
  <c r="H65" i="66"/>
  <c r="D66" i="66"/>
  <c r="E66" i="66" s="1"/>
  <c r="B64" i="63"/>
  <c r="F64" i="63"/>
  <c r="G65" i="66"/>
  <c r="D71" i="70"/>
  <c r="E71" i="70" s="1"/>
  <c r="H64" i="65"/>
  <c r="D65" i="65"/>
  <c r="G64" i="65"/>
  <c r="B59" i="92"/>
  <c r="B59" i="89"/>
  <c r="F59" i="89"/>
  <c r="D66" i="45"/>
  <c r="E66" i="45" s="1"/>
  <c r="H68" i="74"/>
  <c r="B70" i="17"/>
  <c r="I64" i="56"/>
  <c r="B61" i="78"/>
  <c r="H65" i="60"/>
  <c r="B61" i="79"/>
  <c r="H68" i="41"/>
  <c r="D69" i="41"/>
  <c r="E66" i="60"/>
  <c r="F66" i="60" s="1"/>
  <c r="B66" i="60"/>
  <c r="G68" i="43"/>
  <c r="I68" i="43" s="1"/>
  <c r="D69" i="43"/>
  <c r="G71" i="69"/>
  <c r="I71" i="69" s="1"/>
  <c r="D72" i="69"/>
  <c r="G68" i="41"/>
  <c r="D65" i="54"/>
  <c r="E65" i="54" s="1"/>
  <c r="F65" i="54" s="1"/>
  <c r="B65" i="57"/>
  <c r="F65" i="57"/>
  <c r="G65" i="60"/>
  <c r="E59" i="92"/>
  <c r="F59" i="92" s="1"/>
  <c r="E60" i="83"/>
  <c r="F60" i="83" s="1"/>
  <c r="B60" i="83"/>
  <c r="E67" i="21"/>
  <c r="F67" i="21" s="1"/>
  <c r="G67" i="21" s="1"/>
  <c r="G68" i="74"/>
  <c r="E70" i="17"/>
  <c r="F70" i="17" s="1"/>
  <c r="E61" i="78"/>
  <c r="F61" i="78" s="1"/>
  <c r="I67" i="41"/>
  <c r="E61" i="79"/>
  <c r="F61" i="79" s="1"/>
  <c r="F72" i="28"/>
  <c r="I60" i="88"/>
  <c r="E64" i="64"/>
  <c r="F64" i="64" s="1"/>
  <c r="B65" i="56"/>
  <c r="F65" i="56"/>
  <c r="H65" i="56" s="1"/>
  <c r="B64" i="68"/>
  <c r="F64" i="68"/>
  <c r="J148" i="27"/>
  <c r="J142" i="62"/>
  <c r="E144" i="53"/>
  <c r="F144" i="53" s="1"/>
  <c r="D150" i="27"/>
  <c r="B150" i="27" s="1"/>
  <c r="G149" i="27"/>
  <c r="J144" i="56"/>
  <c r="J148" i="30"/>
  <c r="H73" i="3"/>
  <c r="J146" i="22"/>
  <c r="G66" i="20"/>
  <c r="I66" i="20" s="1"/>
  <c r="D60" i="26"/>
  <c r="E60" i="26" s="1"/>
  <c r="G60" i="33"/>
  <c r="I60" i="33" s="1"/>
  <c r="D147" i="43"/>
  <c r="G146" i="43"/>
  <c r="I62" i="59"/>
  <c r="D61" i="25"/>
  <c r="E61" i="25" s="1"/>
  <c r="D72" i="23"/>
  <c r="B63" i="59"/>
  <c r="F63" i="59"/>
  <c r="G63" i="59" s="1"/>
  <c r="J146" i="20"/>
  <c r="D59" i="13"/>
  <c r="D60" i="87"/>
  <c r="G60" i="25"/>
  <c r="I60" i="25" s="1"/>
  <c r="H71" i="23"/>
  <c r="I71" i="23" s="1"/>
  <c r="E147" i="41"/>
  <c r="F147" i="41" s="1"/>
  <c r="D67" i="20"/>
  <c r="E67" i="20" s="1"/>
  <c r="D61" i="33"/>
  <c r="J147" i="32"/>
  <c r="J145" i="73"/>
  <c r="F67" i="73"/>
  <c r="H67" i="73" s="1"/>
  <c r="B67" i="73"/>
  <c r="D63" i="62"/>
  <c r="E63" i="62" s="1"/>
  <c r="B68" i="18"/>
  <c r="F68" i="18"/>
  <c r="H68" i="18" s="1"/>
  <c r="D141" i="26"/>
  <c r="G140" i="26"/>
  <c r="D148" i="19"/>
  <c r="B148" i="19" s="1"/>
  <c r="G147" i="19"/>
  <c r="D148" i="22"/>
  <c r="G147" i="22"/>
  <c r="E143" i="60"/>
  <c r="F143" i="60" s="1"/>
  <c r="B143" i="60"/>
  <c r="B143" i="65"/>
  <c r="F143" i="65"/>
  <c r="G149" i="30"/>
  <c r="D150" i="30"/>
  <c r="B150" i="30" s="1"/>
  <c r="G139" i="89"/>
  <c r="D140" i="89"/>
  <c r="E140" i="89" s="1"/>
  <c r="H145" i="45"/>
  <c r="I145" i="45"/>
  <c r="B139" i="88"/>
  <c r="F139" i="88"/>
  <c r="B141" i="79"/>
  <c r="F141" i="79"/>
  <c r="D147" i="73"/>
  <c r="G146" i="73"/>
  <c r="I144" i="74"/>
  <c r="H144" i="74"/>
  <c r="H146" i="41"/>
  <c r="I146" i="41"/>
  <c r="H141" i="66"/>
  <c r="I141" i="66"/>
  <c r="G140" i="81"/>
  <c r="D141" i="81"/>
  <c r="E141" i="81" s="1"/>
  <c r="F139" i="86"/>
  <c r="B139" i="86"/>
  <c r="B141" i="78"/>
  <c r="F141" i="78"/>
  <c r="B142" i="68"/>
  <c r="F142" i="68"/>
  <c r="J145" i="39"/>
  <c r="I143" i="46"/>
  <c r="H143" i="46"/>
  <c r="D147" i="39"/>
  <c r="G146" i="39"/>
  <c r="H143" i="58"/>
  <c r="I143" i="58"/>
  <c r="E143" i="63"/>
  <c r="F143" i="63" s="1"/>
  <c r="B143" i="63"/>
  <c r="I138" i="84"/>
  <c r="H138" i="84"/>
  <c r="B142" i="66"/>
  <c r="F142" i="66"/>
  <c r="H138" i="92"/>
  <c r="I138" i="92"/>
  <c r="I140" i="79"/>
  <c r="H140" i="79"/>
  <c r="B149" i="29"/>
  <c r="E149" i="29"/>
  <c r="F149" i="29" s="1"/>
  <c r="H148" i="69"/>
  <c r="I148" i="69"/>
  <c r="F140" i="85"/>
  <c r="B140" i="85"/>
  <c r="F149" i="70"/>
  <c r="B149" i="70"/>
  <c r="F143" i="64"/>
  <c r="B143" i="64"/>
  <c r="I143" i="72"/>
  <c r="H143" i="72"/>
  <c r="I143" i="53"/>
  <c r="H143" i="53"/>
  <c r="F139" i="90"/>
  <c r="B139" i="90"/>
  <c r="I140" i="78"/>
  <c r="H140" i="78"/>
  <c r="G143" i="62"/>
  <c r="D144" i="62"/>
  <c r="B144" i="62" s="1"/>
  <c r="E148" i="31"/>
  <c r="F148" i="31" s="1"/>
  <c r="B148" i="31"/>
  <c r="F149" i="69"/>
  <c r="B149" i="69"/>
  <c r="I139" i="85"/>
  <c r="H139" i="85"/>
  <c r="H148" i="70"/>
  <c r="I148" i="70"/>
  <c r="B143" i="61"/>
  <c r="F143" i="61"/>
  <c r="D148" i="20"/>
  <c r="B148" i="20" s="1"/>
  <c r="G147" i="20"/>
  <c r="I138" i="88"/>
  <c r="H138" i="88"/>
  <c r="B144" i="58"/>
  <c r="F144" i="58"/>
  <c r="I142" i="60"/>
  <c r="H142" i="60"/>
  <c r="H148" i="29"/>
  <c r="I148" i="29"/>
  <c r="I142" i="63"/>
  <c r="H142" i="63"/>
  <c r="G148" i="32"/>
  <c r="D149" i="32"/>
  <c r="G139" i="91"/>
  <c r="D140" i="91"/>
  <c r="E140" i="91" s="1"/>
  <c r="B139" i="84"/>
  <c r="F139" i="84"/>
  <c r="F145" i="74"/>
  <c r="B145" i="74"/>
  <c r="I142" i="64"/>
  <c r="H142" i="64"/>
  <c r="I142" i="65"/>
  <c r="H142" i="65"/>
  <c r="B144" i="72"/>
  <c r="F144" i="72"/>
  <c r="B146" i="45"/>
  <c r="E146" i="45"/>
  <c r="F146" i="45" s="1"/>
  <c r="H142" i="61"/>
  <c r="I142" i="61"/>
  <c r="I138" i="86"/>
  <c r="H138" i="86"/>
  <c r="I138" i="90"/>
  <c r="H138" i="90"/>
  <c r="J139" i="26"/>
  <c r="I141" i="68"/>
  <c r="H141" i="68"/>
  <c r="J146" i="19"/>
  <c r="F139" i="92"/>
  <c r="B139" i="92"/>
  <c r="E144" i="46"/>
  <c r="F144" i="46" s="1"/>
  <c r="I147" i="31"/>
  <c r="H147" i="31"/>
  <c r="D146" i="56"/>
  <c r="G145" i="56"/>
  <c r="I143" i="59"/>
  <c r="H143" i="59"/>
  <c r="E149" i="23"/>
  <c r="F149" i="23" s="1"/>
  <c r="B144" i="59"/>
  <c r="F144" i="59"/>
  <c r="H148" i="23"/>
  <c r="I148" i="23"/>
  <c r="I147" i="18"/>
  <c r="H147" i="18"/>
  <c r="E148" i="18"/>
  <c r="F148" i="18" s="1"/>
  <c r="B148" i="18"/>
  <c r="J146" i="21"/>
  <c r="F149" i="71"/>
  <c r="B149" i="71"/>
  <c r="I148" i="71"/>
  <c r="H148" i="71"/>
  <c r="E145" i="57"/>
  <c r="F145" i="57" s="1"/>
  <c r="J143" i="54"/>
  <c r="J145" i="42"/>
  <c r="I144" i="57"/>
  <c r="H144" i="57"/>
  <c r="G139" i="93"/>
  <c r="D140" i="93"/>
  <c r="G144" i="54"/>
  <c r="D145" i="54"/>
  <c r="E145" i="54" s="1"/>
  <c r="D139" i="13"/>
  <c r="E139" i="13" s="1"/>
  <c r="G138" i="13"/>
  <c r="D139" i="33"/>
  <c r="G138" i="33"/>
  <c r="D145" i="55"/>
  <c r="G144" i="55"/>
  <c r="D141" i="80"/>
  <c r="E141" i="80" s="1"/>
  <c r="G140" i="80"/>
  <c r="B148" i="34"/>
  <c r="B150" i="28"/>
  <c r="B142" i="67"/>
  <c r="F142" i="67"/>
  <c r="B139" i="87"/>
  <c r="F139" i="87"/>
  <c r="B139" i="96"/>
  <c r="I147" i="17"/>
  <c r="H147" i="17"/>
  <c r="H147" i="34"/>
  <c r="I147" i="34"/>
  <c r="F140" i="82"/>
  <c r="B140" i="82"/>
  <c r="B140" i="95"/>
  <c r="I149" i="28"/>
  <c r="H149" i="28"/>
  <c r="G147" i="21"/>
  <c r="D148" i="21"/>
  <c r="E148" i="21" s="1"/>
  <c r="F140" i="94"/>
  <c r="B140" i="94"/>
  <c r="I138" i="87"/>
  <c r="H138" i="87"/>
  <c r="I138" i="96"/>
  <c r="H138" i="96"/>
  <c r="H146" i="3"/>
  <c r="I146" i="3"/>
  <c r="J143" i="55"/>
  <c r="H139" i="82"/>
  <c r="I139" i="82"/>
  <c r="H139" i="95"/>
  <c r="I139" i="95"/>
  <c r="G141" i="77"/>
  <c r="D142" i="77"/>
  <c r="E142" i="77" s="1"/>
  <c r="I139" i="94"/>
  <c r="H139" i="94"/>
  <c r="G146" i="42"/>
  <c r="D147" i="42"/>
  <c r="E147" i="42" s="1"/>
  <c r="F148" i="17"/>
  <c r="B148" i="17"/>
  <c r="I145" i="44"/>
  <c r="H145" i="44"/>
  <c r="J140" i="76"/>
  <c r="B147" i="3"/>
  <c r="F147" i="3"/>
  <c r="E148" i="34"/>
  <c r="F148" i="34" s="1"/>
  <c r="D149" i="24"/>
  <c r="E149" i="24" s="1"/>
  <c r="G148" i="24"/>
  <c r="J140" i="75"/>
  <c r="J140" i="77"/>
  <c r="G141" i="76"/>
  <c r="D142" i="76"/>
  <c r="E142" i="76" s="1"/>
  <c r="J147" i="24"/>
  <c r="E140" i="95"/>
  <c r="F140" i="95" s="1"/>
  <c r="E150" i="28"/>
  <c r="F150" i="28" s="1"/>
  <c r="H141" i="67"/>
  <c r="I141" i="67"/>
  <c r="J137" i="33"/>
  <c r="D142" i="75"/>
  <c r="E142" i="75" s="1"/>
  <c r="G141" i="75"/>
  <c r="G140" i="83"/>
  <c r="D141" i="83"/>
  <c r="E141" i="83" s="1"/>
  <c r="E139" i="96"/>
  <c r="F139" i="96" s="1"/>
  <c r="F146" i="44"/>
  <c r="B146" i="44"/>
  <c r="E71" i="100" l="1"/>
  <c r="F71" i="100" s="1"/>
  <c r="H71" i="100" s="1"/>
  <c r="B71" i="100"/>
  <c r="I141" i="100"/>
  <c r="H141" i="100"/>
  <c r="E142" i="100"/>
  <c r="B142" i="100"/>
  <c r="F142" i="100"/>
  <c r="G72" i="29"/>
  <c r="G73" i="29" s="1"/>
  <c r="I138" i="25"/>
  <c r="H138" i="25"/>
  <c r="B139" i="25"/>
  <c r="E139" i="25"/>
  <c r="F139" i="25" s="1"/>
  <c r="I70" i="32"/>
  <c r="H68" i="19"/>
  <c r="G68" i="19"/>
  <c r="E69" i="19"/>
  <c r="F69" i="19" s="1"/>
  <c r="H69" i="19" s="1"/>
  <c r="I59" i="25"/>
  <c r="G71" i="32"/>
  <c r="E68" i="72"/>
  <c r="F68" i="72" s="1"/>
  <c r="G68" i="72" s="1"/>
  <c r="G67" i="72"/>
  <c r="I58" i="98"/>
  <c r="H71" i="32"/>
  <c r="I71" i="32" s="1"/>
  <c r="E71" i="99"/>
  <c r="F71" i="99" s="1"/>
  <c r="D72" i="99" s="1"/>
  <c r="B71" i="99"/>
  <c r="E60" i="98"/>
  <c r="F60" i="98" s="1"/>
  <c r="D61" i="98" s="1"/>
  <c r="B60" i="98"/>
  <c r="H70" i="99"/>
  <c r="H59" i="98"/>
  <c r="I62" i="86"/>
  <c r="H67" i="72"/>
  <c r="I66" i="58"/>
  <c r="G70" i="99"/>
  <c r="G59" i="98"/>
  <c r="I138" i="99"/>
  <c r="H138" i="99"/>
  <c r="B139" i="99"/>
  <c r="F139" i="99"/>
  <c r="I63" i="82"/>
  <c r="G65" i="67"/>
  <c r="H65" i="67"/>
  <c r="D66" i="67"/>
  <c r="I67" i="44"/>
  <c r="E67" i="58"/>
  <c r="F67" i="58" s="1"/>
  <c r="G67" i="58" s="1"/>
  <c r="B67" i="58"/>
  <c r="I70" i="31"/>
  <c r="E68" i="44"/>
  <c r="F68" i="44" s="1"/>
  <c r="D69" i="44" s="1"/>
  <c r="H67" i="39"/>
  <c r="I67" i="39" s="1"/>
  <c r="D140" i="98"/>
  <c r="G139" i="98"/>
  <c r="E140" i="98"/>
  <c r="D140" i="97"/>
  <c r="E140" i="97" s="1"/>
  <c r="G139" i="97"/>
  <c r="I58" i="93"/>
  <c r="D60" i="93"/>
  <c r="E60" i="93" s="1"/>
  <c r="F60" i="93" s="1"/>
  <c r="H59" i="93"/>
  <c r="I59" i="93" s="1"/>
  <c r="I68" i="46"/>
  <c r="B69" i="46"/>
  <c r="E69" i="46"/>
  <c r="F69" i="46" s="1"/>
  <c r="E71" i="24"/>
  <c r="F71" i="24" s="1"/>
  <c r="H71" i="24" s="1"/>
  <c r="B71" i="24"/>
  <c r="H69" i="27"/>
  <c r="D70" i="27"/>
  <c r="G64" i="61"/>
  <c r="D65" i="61"/>
  <c r="H64" i="61"/>
  <c r="E64" i="82"/>
  <c r="F64" i="82" s="1"/>
  <c r="B64" i="82"/>
  <c r="I61" i="88"/>
  <c r="E71" i="31"/>
  <c r="F71" i="31" s="1"/>
  <c r="G71" i="31" s="1"/>
  <c r="I58" i="95"/>
  <c r="I68" i="34"/>
  <c r="G60" i="84"/>
  <c r="I60" i="84" s="1"/>
  <c r="I69" i="42"/>
  <c r="G69" i="27"/>
  <c r="I59" i="94"/>
  <c r="B62" i="80"/>
  <c r="F62" i="80"/>
  <c r="G62" i="80" s="1"/>
  <c r="E60" i="94"/>
  <c r="F60" i="94" s="1"/>
  <c r="B60" i="94"/>
  <c r="D61" i="91"/>
  <c r="E61" i="91" s="1"/>
  <c r="F61" i="91" s="1"/>
  <c r="I59" i="83"/>
  <c r="H60" i="91"/>
  <c r="D64" i="75"/>
  <c r="E64" i="75" s="1"/>
  <c r="F64" i="75" s="1"/>
  <c r="E69" i="34"/>
  <c r="F69" i="34" s="1"/>
  <c r="B69" i="34"/>
  <c r="H65" i="53"/>
  <c r="I65" i="53" s="1"/>
  <c r="D66" i="53"/>
  <c r="E66" i="53" s="1"/>
  <c r="F66" i="53" s="1"/>
  <c r="D67" i="53" s="1"/>
  <c r="B62" i="90"/>
  <c r="E70" i="42"/>
  <c r="F70" i="42" s="1"/>
  <c r="G70" i="42" s="1"/>
  <c r="B70" i="42"/>
  <c r="G60" i="91"/>
  <c r="H63" i="75"/>
  <c r="I63" i="75" s="1"/>
  <c r="I61" i="90"/>
  <c r="F67" i="55"/>
  <c r="H67" i="55" s="1"/>
  <c r="B67" i="55"/>
  <c r="D61" i="84"/>
  <c r="E61" i="84" s="1"/>
  <c r="F61" i="84" s="1"/>
  <c r="D62" i="84" s="1"/>
  <c r="F72" i="71"/>
  <c r="E62" i="90"/>
  <c r="F62" i="90" s="1"/>
  <c r="D64" i="86"/>
  <c r="E64" i="86" s="1"/>
  <c r="F64" i="86" s="1"/>
  <c r="H63" i="86"/>
  <c r="G63" i="86"/>
  <c r="H60" i="81"/>
  <c r="D61" i="81"/>
  <c r="D63" i="76"/>
  <c r="I72" i="3"/>
  <c r="I73" i="3" s="1"/>
  <c r="E70" i="22"/>
  <c r="F70" i="22" s="1"/>
  <c r="B70" i="22"/>
  <c r="E62" i="85"/>
  <c r="F62" i="85" s="1"/>
  <c r="H62" i="85" s="1"/>
  <c r="B62" i="85"/>
  <c r="I65" i="60"/>
  <c r="B61" i="85"/>
  <c r="G61" i="85"/>
  <c r="H61" i="85"/>
  <c r="D68" i="39"/>
  <c r="E68" i="39" s="1"/>
  <c r="G60" i="81"/>
  <c r="H62" i="76"/>
  <c r="G69" i="22"/>
  <c r="E59" i="95"/>
  <c r="F59" i="95" s="1"/>
  <c r="B59" i="95"/>
  <c r="G58" i="96"/>
  <c r="I58" i="96" s="1"/>
  <c r="D59" i="96"/>
  <c r="E59" i="96" s="1"/>
  <c r="F59" i="96" s="1"/>
  <c r="G62" i="76"/>
  <c r="H69" i="22"/>
  <c r="I64" i="54"/>
  <c r="I62" i="77"/>
  <c r="D67" i="60"/>
  <c r="G66" i="60"/>
  <c r="H66" i="60"/>
  <c r="H60" i="83"/>
  <c r="D61" i="83"/>
  <c r="G60" i="83"/>
  <c r="D65" i="64"/>
  <c r="G64" i="64"/>
  <c r="H64" i="64"/>
  <c r="D65" i="68"/>
  <c r="E65" i="68" s="1"/>
  <c r="F65" i="68" s="1"/>
  <c r="D66" i="68" s="1"/>
  <c r="D66" i="57"/>
  <c r="E66" i="57" s="1"/>
  <c r="D66" i="54"/>
  <c r="D62" i="79"/>
  <c r="E62" i="79" s="1"/>
  <c r="D62" i="78"/>
  <c r="E62" i="78" s="1"/>
  <c r="D71" i="17"/>
  <c r="E71" i="17" s="1"/>
  <c r="H59" i="92"/>
  <c r="D60" i="92"/>
  <c r="D65" i="63"/>
  <c r="E65" i="63" s="1"/>
  <c r="F65" i="63" s="1"/>
  <c r="D66" i="56"/>
  <c r="E66" i="56" s="1"/>
  <c r="F66" i="56" s="1"/>
  <c r="D68" i="21"/>
  <c r="E68" i="21" s="1"/>
  <c r="F68" i="21" s="1"/>
  <c r="D69" i="21" s="1"/>
  <c r="B69" i="41"/>
  <c r="F71" i="30"/>
  <c r="B71" i="30"/>
  <c r="F72" i="32"/>
  <c r="G72" i="32" s="1"/>
  <c r="G73" i="32" s="1"/>
  <c r="B72" i="32"/>
  <c r="E69" i="41"/>
  <c r="F69" i="41" s="1"/>
  <c r="G61" i="79"/>
  <c r="G70" i="17"/>
  <c r="G59" i="92"/>
  <c r="E65" i="65"/>
  <c r="F65" i="65" s="1"/>
  <c r="B65" i="65"/>
  <c r="G64" i="63"/>
  <c r="B66" i="66"/>
  <c r="F66" i="66"/>
  <c r="D67" i="66" s="1"/>
  <c r="B67" i="66" s="1"/>
  <c r="B69" i="74"/>
  <c r="F69" i="74"/>
  <c r="D70" i="74" s="1"/>
  <c r="I70" i="30"/>
  <c r="E62" i="88"/>
  <c r="F62" i="88" s="1"/>
  <c r="B62" i="88"/>
  <c r="E72" i="69"/>
  <c r="E73" i="69" s="1"/>
  <c r="B72" i="69"/>
  <c r="B66" i="45"/>
  <c r="F66" i="45"/>
  <c r="H59" i="89"/>
  <c r="D60" i="89"/>
  <c r="G64" i="68"/>
  <c r="H72" i="28"/>
  <c r="G72" i="28"/>
  <c r="G73" i="28" s="1"/>
  <c r="H65" i="57"/>
  <c r="B65" i="54"/>
  <c r="G65" i="54"/>
  <c r="H65" i="54"/>
  <c r="H61" i="79"/>
  <c r="H61" i="78"/>
  <c r="B71" i="70"/>
  <c r="F71" i="70"/>
  <c r="D72" i="70" s="1"/>
  <c r="E63" i="77"/>
  <c r="F63" i="77" s="1"/>
  <c r="B63" i="77"/>
  <c r="H64" i="68"/>
  <c r="G65" i="56"/>
  <c r="I65" i="56" s="1"/>
  <c r="G65" i="57"/>
  <c r="E69" i="43"/>
  <c r="F69" i="43" s="1"/>
  <c r="B69" i="43"/>
  <c r="I68" i="41"/>
  <c r="G61" i="78"/>
  <c r="H70" i="17"/>
  <c r="I68" i="74"/>
  <c r="G59" i="89"/>
  <c r="I64" i="65"/>
  <c r="H64" i="63"/>
  <c r="I65" i="66"/>
  <c r="H67" i="21"/>
  <c r="I67" i="21" s="1"/>
  <c r="D145" i="53"/>
  <c r="E145" i="53" s="1"/>
  <c r="F145" i="53" s="1"/>
  <c r="G144" i="53"/>
  <c r="I144" i="53" s="1"/>
  <c r="E144" i="62"/>
  <c r="F144" i="62" s="1"/>
  <c r="E150" i="27"/>
  <c r="F150" i="27" s="1"/>
  <c r="I149" i="27"/>
  <c r="H149" i="27"/>
  <c r="J148" i="69"/>
  <c r="J142" i="61"/>
  <c r="E150" i="30"/>
  <c r="F150" i="30" s="1"/>
  <c r="G150" i="30" s="1"/>
  <c r="B72" i="23"/>
  <c r="D64" i="59"/>
  <c r="E64" i="59" s="1"/>
  <c r="B61" i="25"/>
  <c r="F61" i="25"/>
  <c r="G61" i="25" s="1"/>
  <c r="H146" i="43"/>
  <c r="I146" i="43"/>
  <c r="D68" i="73"/>
  <c r="E68" i="73" s="1"/>
  <c r="D148" i="41"/>
  <c r="G147" i="41"/>
  <c r="B60" i="87"/>
  <c r="J144" i="74"/>
  <c r="D69" i="18"/>
  <c r="E69" i="18" s="1"/>
  <c r="G67" i="73"/>
  <c r="I67" i="73" s="1"/>
  <c r="B61" i="33"/>
  <c r="H63" i="59"/>
  <c r="I63" i="59" s="1"/>
  <c r="E147" i="43"/>
  <c r="F147" i="43" s="1"/>
  <c r="B147" i="43"/>
  <c r="B59" i="13"/>
  <c r="J142" i="65"/>
  <c r="J140" i="78"/>
  <c r="J143" i="53"/>
  <c r="J143" i="58"/>
  <c r="J146" i="41"/>
  <c r="G68" i="18"/>
  <c r="I68" i="18" s="1"/>
  <c r="B63" i="62"/>
  <c r="F63" i="62"/>
  <c r="G63" i="62" s="1"/>
  <c r="E61" i="33"/>
  <c r="F61" i="33" s="1"/>
  <c r="F67" i="20"/>
  <c r="G67" i="20" s="1"/>
  <c r="B67" i="20"/>
  <c r="E60" i="87"/>
  <c r="F60" i="87" s="1"/>
  <c r="E59" i="13"/>
  <c r="F59" i="13" s="1"/>
  <c r="H73" i="29"/>
  <c r="E72" i="23"/>
  <c r="E73" i="23" s="1"/>
  <c r="B60" i="26"/>
  <c r="F60" i="26"/>
  <c r="H60" i="26" s="1"/>
  <c r="D144" i="60"/>
  <c r="B144" i="60" s="1"/>
  <c r="G143" i="60"/>
  <c r="F140" i="91"/>
  <c r="B140" i="91"/>
  <c r="B147" i="39"/>
  <c r="I140" i="81"/>
  <c r="H140" i="81"/>
  <c r="I147" i="19"/>
  <c r="H147" i="19"/>
  <c r="J147" i="17"/>
  <c r="J147" i="18"/>
  <c r="J147" i="31"/>
  <c r="D145" i="72"/>
  <c r="E145" i="72" s="1"/>
  <c r="G144" i="72"/>
  <c r="D140" i="84"/>
  <c r="E140" i="84" s="1"/>
  <c r="G139" i="84"/>
  <c r="H139" i="91"/>
  <c r="I139" i="91"/>
  <c r="J142" i="63"/>
  <c r="J142" i="60"/>
  <c r="G143" i="61"/>
  <c r="D144" i="61"/>
  <c r="B144" i="61" s="1"/>
  <c r="G142" i="66"/>
  <c r="D143" i="66"/>
  <c r="D140" i="86"/>
  <c r="E140" i="86" s="1"/>
  <c r="G139" i="86"/>
  <c r="I146" i="73"/>
  <c r="H146" i="73"/>
  <c r="D140" i="88"/>
  <c r="G139" i="88"/>
  <c r="E140" i="88"/>
  <c r="E148" i="22"/>
  <c r="F148" i="22" s="1"/>
  <c r="B148" i="22"/>
  <c r="G145" i="74"/>
  <c r="D146" i="74"/>
  <c r="B146" i="74" s="1"/>
  <c r="D141" i="85"/>
  <c r="E141" i="85" s="1"/>
  <c r="G140" i="85"/>
  <c r="I147" i="22"/>
  <c r="H147" i="22"/>
  <c r="G144" i="46"/>
  <c r="D145" i="46"/>
  <c r="J142" i="64"/>
  <c r="B149" i="32"/>
  <c r="E149" i="32"/>
  <c r="F149" i="32" s="1"/>
  <c r="J148" i="29"/>
  <c r="G144" i="58"/>
  <c r="D145" i="58"/>
  <c r="B145" i="58" s="1"/>
  <c r="D149" i="31"/>
  <c r="G148" i="31"/>
  <c r="H143" i="62"/>
  <c r="I143" i="62"/>
  <c r="G139" i="90"/>
  <c r="E140" i="90"/>
  <c r="D140" i="90"/>
  <c r="J143" i="72"/>
  <c r="D150" i="70"/>
  <c r="E150" i="70" s="1"/>
  <c r="G149" i="70"/>
  <c r="J140" i="79"/>
  <c r="G143" i="63"/>
  <c r="D144" i="63"/>
  <c r="E144" i="63" s="1"/>
  <c r="E147" i="39"/>
  <c r="F147" i="39" s="1"/>
  <c r="J143" i="46"/>
  <c r="D142" i="78"/>
  <c r="E142" i="78" s="1"/>
  <c r="G141" i="78"/>
  <c r="E147" i="73"/>
  <c r="F147" i="73" s="1"/>
  <c r="B147" i="73"/>
  <c r="B140" i="89"/>
  <c r="F140" i="89"/>
  <c r="H149" i="30"/>
  <c r="I149" i="30"/>
  <c r="E148" i="20"/>
  <c r="F148" i="20" s="1"/>
  <c r="H140" i="26"/>
  <c r="I140" i="26"/>
  <c r="D140" i="92"/>
  <c r="E140" i="92" s="1"/>
  <c r="G139" i="92"/>
  <c r="D150" i="69"/>
  <c r="E150" i="69" s="1"/>
  <c r="G149" i="69"/>
  <c r="G143" i="64"/>
  <c r="D144" i="64"/>
  <c r="B144" i="64" s="1"/>
  <c r="D143" i="68"/>
  <c r="E143" i="68" s="1"/>
  <c r="G142" i="68"/>
  <c r="J141" i="68"/>
  <c r="D147" i="45"/>
  <c r="E147" i="45" s="1"/>
  <c r="G146" i="45"/>
  <c r="H148" i="32"/>
  <c r="I148" i="32"/>
  <c r="I147" i="20"/>
  <c r="H147" i="20"/>
  <c r="J148" i="70"/>
  <c r="G149" i="29"/>
  <c r="D150" i="29"/>
  <c r="H146" i="39"/>
  <c r="I146" i="39"/>
  <c r="F141" i="81"/>
  <c r="B141" i="81"/>
  <c r="J141" i="66"/>
  <c r="D142" i="79"/>
  <c r="E142" i="79" s="1"/>
  <c r="G141" i="79"/>
  <c r="J145" i="45"/>
  <c r="H139" i="89"/>
  <c r="I139" i="89"/>
  <c r="G143" i="65"/>
  <c r="D144" i="65"/>
  <c r="E144" i="65" s="1"/>
  <c r="E148" i="19"/>
  <c r="F148" i="19" s="1"/>
  <c r="E141" i="26"/>
  <c r="F141" i="26" s="1"/>
  <c r="B141" i="26"/>
  <c r="J143" i="59"/>
  <c r="J148" i="23"/>
  <c r="D150" i="23"/>
  <c r="B150" i="23" s="1"/>
  <c r="G149" i="23"/>
  <c r="G148" i="18"/>
  <c r="D149" i="18"/>
  <c r="B149" i="18" s="1"/>
  <c r="I145" i="56"/>
  <c r="H145" i="56"/>
  <c r="D145" i="59"/>
  <c r="G144" i="59"/>
  <c r="E146" i="56"/>
  <c r="F146" i="56" s="1"/>
  <c r="B146" i="56"/>
  <c r="D146" i="57"/>
  <c r="G145" i="57"/>
  <c r="G149" i="71"/>
  <c r="D150" i="71"/>
  <c r="B150" i="71" s="1"/>
  <c r="J145" i="44"/>
  <c r="J144" i="57"/>
  <c r="J148" i="71"/>
  <c r="D141" i="95"/>
  <c r="E141" i="95" s="1"/>
  <c r="G140" i="95"/>
  <c r="D149" i="34"/>
  <c r="E149" i="34" s="1"/>
  <c r="G148" i="34"/>
  <c r="D140" i="96"/>
  <c r="E140" i="96" s="1"/>
  <c r="G139" i="96"/>
  <c r="G150" i="28"/>
  <c r="D151" i="28"/>
  <c r="E151" i="28" s="1"/>
  <c r="G146" i="44"/>
  <c r="D147" i="44"/>
  <c r="E147" i="44" s="1"/>
  <c r="F141" i="83"/>
  <c r="B141" i="83"/>
  <c r="B142" i="75"/>
  <c r="F142" i="75"/>
  <c r="J141" i="67"/>
  <c r="D148" i="3"/>
  <c r="E148" i="3" s="1"/>
  <c r="G147" i="3"/>
  <c r="J146" i="3"/>
  <c r="G140" i="94"/>
  <c r="D141" i="94"/>
  <c r="E141" i="94" s="1"/>
  <c r="G142" i="67"/>
  <c r="D143" i="67"/>
  <c r="H144" i="55"/>
  <c r="I144" i="55"/>
  <c r="B139" i="33"/>
  <c r="B145" i="54"/>
  <c r="F145" i="54"/>
  <c r="I140" i="83"/>
  <c r="H140" i="83"/>
  <c r="I148" i="24"/>
  <c r="H148" i="24"/>
  <c r="F142" i="77"/>
  <c r="B142" i="77"/>
  <c r="G140" i="82"/>
  <c r="D141" i="82"/>
  <c r="E141" i="82" s="1"/>
  <c r="D140" i="87"/>
  <c r="E140" i="87" s="1"/>
  <c r="G139" i="87"/>
  <c r="I140" i="80"/>
  <c r="H140" i="80"/>
  <c r="B145" i="55"/>
  <c r="I138" i="13"/>
  <c r="H138" i="13"/>
  <c r="H144" i="54"/>
  <c r="I144" i="54"/>
  <c r="B140" i="93"/>
  <c r="B142" i="76"/>
  <c r="F142" i="76"/>
  <c r="F149" i="24"/>
  <c r="B149" i="24"/>
  <c r="B147" i="42"/>
  <c r="F147" i="42"/>
  <c r="H141" i="77"/>
  <c r="I141" i="77"/>
  <c r="F148" i="21"/>
  <c r="B148" i="21"/>
  <c r="J149" i="28"/>
  <c r="J147" i="34"/>
  <c r="E145" i="55"/>
  <c r="F145" i="55" s="1"/>
  <c r="I138" i="33"/>
  <c r="H138" i="33"/>
  <c r="I139" i="93"/>
  <c r="H139" i="93"/>
  <c r="H141" i="75"/>
  <c r="I141" i="75"/>
  <c r="H141" i="76"/>
  <c r="I141" i="76"/>
  <c r="D149" i="17"/>
  <c r="E149" i="17" s="1"/>
  <c r="G148" i="17"/>
  <c r="H146" i="42"/>
  <c r="I146" i="42"/>
  <c r="H147" i="21"/>
  <c r="I147" i="21"/>
  <c r="B141" i="80"/>
  <c r="F141" i="80"/>
  <c r="E139" i="33"/>
  <c r="F139" i="33" s="1"/>
  <c r="B139" i="13"/>
  <c r="F139" i="13"/>
  <c r="E140" i="93"/>
  <c r="F140" i="93" s="1"/>
  <c r="G71" i="100" l="1"/>
  <c r="I71" i="100" s="1"/>
  <c r="D72" i="100"/>
  <c r="G142" i="100"/>
  <c r="D143" i="100"/>
  <c r="I72" i="29"/>
  <c r="I73" i="29" s="1"/>
  <c r="D69" i="72"/>
  <c r="B69" i="72" s="1"/>
  <c r="H68" i="72"/>
  <c r="I68" i="72" s="1"/>
  <c r="G139" i="25"/>
  <c r="D140" i="25"/>
  <c r="J138" i="25"/>
  <c r="G69" i="19"/>
  <c r="I69" i="19" s="1"/>
  <c r="I68" i="19"/>
  <c r="D70" i="19"/>
  <c r="E70" i="19" s="1"/>
  <c r="D72" i="31"/>
  <c r="E72" i="31" s="1"/>
  <c r="E73" i="31" s="1"/>
  <c r="B60" i="93"/>
  <c r="I67" i="72"/>
  <c r="I70" i="99"/>
  <c r="H60" i="98"/>
  <c r="E72" i="99"/>
  <c r="E73" i="99" s="1"/>
  <c r="B72" i="99"/>
  <c r="E61" i="98"/>
  <c r="F61" i="98" s="1"/>
  <c r="D62" i="98" s="1"/>
  <c r="B61" i="98"/>
  <c r="G60" i="98"/>
  <c r="H71" i="99"/>
  <c r="I59" i="98"/>
  <c r="G71" i="99"/>
  <c r="D140" i="99"/>
  <c r="E140" i="99" s="1"/>
  <c r="G139" i="99"/>
  <c r="I65" i="67"/>
  <c r="E66" i="67"/>
  <c r="F66" i="67" s="1"/>
  <c r="H66" i="67" s="1"/>
  <c r="B66" i="67"/>
  <c r="H67" i="58"/>
  <c r="I67" i="58" s="1"/>
  <c r="G68" i="44"/>
  <c r="H68" i="44"/>
  <c r="D68" i="58"/>
  <c r="E68" i="58" s="1"/>
  <c r="F68" i="58" s="1"/>
  <c r="H71" i="31"/>
  <c r="I71" i="31" s="1"/>
  <c r="H144" i="53"/>
  <c r="J144" i="53" s="1"/>
  <c r="I64" i="63"/>
  <c r="F140" i="97"/>
  <c r="B140" i="97"/>
  <c r="H139" i="98"/>
  <c r="I139" i="98"/>
  <c r="I139" i="97"/>
  <c r="H139" i="97"/>
  <c r="B140" i="98"/>
  <c r="F140" i="98"/>
  <c r="I60" i="91"/>
  <c r="I64" i="68"/>
  <c r="I64" i="64"/>
  <c r="D70" i="46"/>
  <c r="G69" i="46"/>
  <c r="H69" i="46"/>
  <c r="G71" i="24"/>
  <c r="I71" i="24" s="1"/>
  <c r="D72" i="24"/>
  <c r="D61" i="94"/>
  <c r="G60" i="94"/>
  <c r="H60" i="94"/>
  <c r="D65" i="82"/>
  <c r="H64" i="82"/>
  <c r="G64" i="82"/>
  <c r="E67" i="53"/>
  <c r="F67" i="53" s="1"/>
  <c r="B67" i="53"/>
  <c r="E65" i="61"/>
  <c r="F65" i="61" s="1"/>
  <c r="B65" i="61"/>
  <c r="H62" i="80"/>
  <c r="I62" i="80" s="1"/>
  <c r="D63" i="80"/>
  <c r="E70" i="27"/>
  <c r="F70" i="27" s="1"/>
  <c r="B70" i="27"/>
  <c r="I64" i="61"/>
  <c r="I69" i="27"/>
  <c r="D63" i="90"/>
  <c r="E63" i="90" s="1"/>
  <c r="H62" i="90"/>
  <c r="G62" i="90"/>
  <c r="D65" i="75"/>
  <c r="E65" i="75" s="1"/>
  <c r="F65" i="75" s="1"/>
  <c r="D61" i="93"/>
  <c r="E61" i="93" s="1"/>
  <c r="F61" i="93" s="1"/>
  <c r="G60" i="93"/>
  <c r="H60" i="93"/>
  <c r="E62" i="84"/>
  <c r="F62" i="84" s="1"/>
  <c r="H62" i="84" s="1"/>
  <c r="B62" i="84"/>
  <c r="D62" i="91"/>
  <c r="B61" i="84"/>
  <c r="H61" i="84"/>
  <c r="G61" i="84"/>
  <c r="D68" i="55"/>
  <c r="E68" i="55" s="1"/>
  <c r="F68" i="55" s="1"/>
  <c r="H69" i="34"/>
  <c r="G69" i="34"/>
  <c r="D70" i="34"/>
  <c r="B64" i="75"/>
  <c r="G64" i="75"/>
  <c r="H64" i="75"/>
  <c r="H72" i="71"/>
  <c r="G72" i="71"/>
  <c r="G73" i="71" s="1"/>
  <c r="G67" i="55"/>
  <c r="I67" i="55" s="1"/>
  <c r="B66" i="53"/>
  <c r="G66" i="53"/>
  <c r="H66" i="53"/>
  <c r="H70" i="42"/>
  <c r="I70" i="42" s="1"/>
  <c r="D71" i="42"/>
  <c r="B61" i="91"/>
  <c r="H61" i="91"/>
  <c r="G61" i="91"/>
  <c r="G59" i="95"/>
  <c r="D60" i="95"/>
  <c r="H59" i="95"/>
  <c r="D71" i="22"/>
  <c r="E71" i="22" s="1"/>
  <c r="F71" i="22" s="1"/>
  <c r="D72" i="22" s="1"/>
  <c r="H70" i="22"/>
  <c r="G70" i="22"/>
  <c r="D65" i="86"/>
  <c r="B65" i="86" s="1"/>
  <c r="G71" i="70"/>
  <c r="I65" i="57"/>
  <c r="I69" i="22"/>
  <c r="B59" i="96"/>
  <c r="G59" i="96"/>
  <c r="H59" i="96"/>
  <c r="B68" i="39"/>
  <c r="F68" i="39"/>
  <c r="G68" i="39" s="1"/>
  <c r="G62" i="85"/>
  <c r="I62" i="85" s="1"/>
  <c r="D63" i="85"/>
  <c r="B63" i="76"/>
  <c r="I63" i="86"/>
  <c r="F72" i="69"/>
  <c r="H72" i="69" s="1"/>
  <c r="H73" i="69" s="1"/>
  <c r="I62" i="76"/>
  <c r="I61" i="85"/>
  <c r="E63" i="76"/>
  <c r="F63" i="76" s="1"/>
  <c r="D60" i="96"/>
  <c r="E60" i="96" s="1"/>
  <c r="F60" i="96" s="1"/>
  <c r="I60" i="83"/>
  <c r="I60" i="81"/>
  <c r="E61" i="81"/>
  <c r="F61" i="81" s="1"/>
  <c r="G61" i="81" s="1"/>
  <c r="B61" i="81"/>
  <c r="B64" i="86"/>
  <c r="H64" i="86"/>
  <c r="G64" i="86"/>
  <c r="I61" i="79"/>
  <c r="I65" i="54"/>
  <c r="I66" i="60"/>
  <c r="D66" i="63"/>
  <c r="E66" i="63" s="1"/>
  <c r="F66" i="63" s="1"/>
  <c r="E69" i="21"/>
  <c r="F69" i="21" s="1"/>
  <c r="B69" i="21"/>
  <c r="E66" i="68"/>
  <c r="F66" i="68" s="1"/>
  <c r="B66" i="68"/>
  <c r="D63" i="88"/>
  <c r="H62" i="88"/>
  <c r="G62" i="88"/>
  <c r="H69" i="43"/>
  <c r="D70" i="43"/>
  <c r="E70" i="43" s="1"/>
  <c r="H63" i="77"/>
  <c r="D64" i="77"/>
  <c r="D67" i="45"/>
  <c r="E67" i="45" s="1"/>
  <c r="G65" i="65"/>
  <c r="H65" i="65"/>
  <c r="D66" i="65"/>
  <c r="E66" i="65" s="1"/>
  <c r="D72" i="30"/>
  <c r="E72" i="30" s="1"/>
  <c r="E73" i="30" s="1"/>
  <c r="D70" i="41"/>
  <c r="B60" i="92"/>
  <c r="B145" i="53"/>
  <c r="G71" i="30"/>
  <c r="B66" i="56"/>
  <c r="G66" i="56"/>
  <c r="H66" i="56"/>
  <c r="E60" i="92"/>
  <c r="F60" i="92" s="1"/>
  <c r="H60" i="92" s="1"/>
  <c r="E69" i="44"/>
  <c r="F69" i="44" s="1"/>
  <c r="G69" i="44" s="1"/>
  <c r="B69" i="44"/>
  <c r="B66" i="57"/>
  <c r="F66" i="57"/>
  <c r="H66" i="57" s="1"/>
  <c r="G60" i="26"/>
  <c r="I60" i="26" s="1"/>
  <c r="I59" i="89"/>
  <c r="H66" i="45"/>
  <c r="H72" i="32"/>
  <c r="H71" i="30"/>
  <c r="H69" i="41"/>
  <c r="I59" i="92"/>
  <c r="F62" i="79"/>
  <c r="B62" i="79"/>
  <c r="B66" i="54"/>
  <c r="E61" i="83"/>
  <c r="F61" i="83" s="1"/>
  <c r="B61" i="83"/>
  <c r="E70" i="74"/>
  <c r="F70" i="74" s="1"/>
  <c r="B70" i="74"/>
  <c r="D67" i="56"/>
  <c r="E67" i="56" s="1"/>
  <c r="B65" i="64"/>
  <c r="D151" i="30"/>
  <c r="E151" i="30" s="1"/>
  <c r="F151" i="30" s="1"/>
  <c r="E72" i="70"/>
  <c r="E73" i="70" s="1"/>
  <c r="B72" i="70"/>
  <c r="E60" i="89"/>
  <c r="F60" i="89" s="1"/>
  <c r="B60" i="89"/>
  <c r="H69" i="74"/>
  <c r="H66" i="66"/>
  <c r="G69" i="41"/>
  <c r="E67" i="66"/>
  <c r="F67" i="66" s="1"/>
  <c r="H67" i="66" s="1"/>
  <c r="I70" i="17"/>
  <c r="G69" i="43"/>
  <c r="G63" i="77"/>
  <c r="H71" i="70"/>
  <c r="I61" i="78"/>
  <c r="I72" i="28"/>
  <c r="I73" i="28" s="1"/>
  <c r="H73" i="28"/>
  <c r="G66" i="45"/>
  <c r="G69" i="74"/>
  <c r="G66" i="66"/>
  <c r="B68" i="21"/>
  <c r="G68" i="21"/>
  <c r="H68" i="21"/>
  <c r="B65" i="63"/>
  <c r="G65" i="63"/>
  <c r="H65" i="63"/>
  <c r="F71" i="17"/>
  <c r="D72" i="17" s="1"/>
  <c r="B71" i="17"/>
  <c r="B62" i="78"/>
  <c r="F62" i="78"/>
  <c r="E66" i="54"/>
  <c r="F66" i="54" s="1"/>
  <c r="B65" i="68"/>
  <c r="G65" i="68"/>
  <c r="H65" i="68"/>
  <c r="E65" i="64"/>
  <c r="F65" i="64" s="1"/>
  <c r="E67" i="60"/>
  <c r="F67" i="60" s="1"/>
  <c r="H67" i="60" s="1"/>
  <c r="B67" i="60"/>
  <c r="J149" i="27"/>
  <c r="E144" i="61"/>
  <c r="F144" i="61" s="1"/>
  <c r="E144" i="60"/>
  <c r="F144" i="60" s="1"/>
  <c r="E145" i="58"/>
  <c r="F145" i="58" s="1"/>
  <c r="D151" i="27"/>
  <c r="G150" i="27"/>
  <c r="E146" i="74"/>
  <c r="F146" i="74" s="1"/>
  <c r="E150" i="71"/>
  <c r="F150" i="71" s="1"/>
  <c r="J141" i="76"/>
  <c r="J144" i="54"/>
  <c r="E144" i="64"/>
  <c r="F144" i="64" s="1"/>
  <c r="G144" i="64" s="1"/>
  <c r="J149" i="30"/>
  <c r="J147" i="19"/>
  <c r="D60" i="13"/>
  <c r="E60" i="13" s="1"/>
  <c r="H59" i="13"/>
  <c r="G59" i="13"/>
  <c r="D62" i="33"/>
  <c r="H61" i="33"/>
  <c r="G61" i="33"/>
  <c r="D61" i="87"/>
  <c r="G60" i="87"/>
  <c r="H60" i="87"/>
  <c r="D68" i="20"/>
  <c r="E68" i="20" s="1"/>
  <c r="D64" i="62"/>
  <c r="E64" i="62" s="1"/>
  <c r="B148" i="41"/>
  <c r="E148" i="41"/>
  <c r="F148" i="41" s="1"/>
  <c r="H61" i="25"/>
  <c r="I61" i="25" s="1"/>
  <c r="J146" i="39"/>
  <c r="F69" i="18"/>
  <c r="H69" i="18" s="1"/>
  <c r="B69" i="18"/>
  <c r="G147" i="43"/>
  <c r="D148" i="43"/>
  <c r="B68" i="73"/>
  <c r="F68" i="73"/>
  <c r="H68" i="73" s="1"/>
  <c r="D62" i="25"/>
  <c r="E62" i="25" s="1"/>
  <c r="F72" i="23"/>
  <c r="J147" i="20"/>
  <c r="J147" i="22"/>
  <c r="D61" i="26"/>
  <c r="E61" i="26" s="1"/>
  <c r="H67" i="20"/>
  <c r="I67" i="20" s="1"/>
  <c r="H63" i="62"/>
  <c r="I63" i="62" s="1"/>
  <c r="I147" i="41"/>
  <c r="H147" i="41"/>
  <c r="J146" i="43"/>
  <c r="B64" i="59"/>
  <c r="F64" i="59"/>
  <c r="G64" i="59" s="1"/>
  <c r="D146" i="53"/>
  <c r="G145" i="53"/>
  <c r="D149" i="22"/>
  <c r="G148" i="22"/>
  <c r="D148" i="39"/>
  <c r="B148" i="39" s="1"/>
  <c r="G147" i="39"/>
  <c r="B144" i="65"/>
  <c r="F144" i="65"/>
  <c r="E149" i="31"/>
  <c r="F149" i="31" s="1"/>
  <c r="B149" i="31"/>
  <c r="E143" i="66"/>
  <c r="F143" i="66" s="1"/>
  <c r="B143" i="66"/>
  <c r="F140" i="84"/>
  <c r="B140" i="84"/>
  <c r="D141" i="91"/>
  <c r="E141" i="91" s="1"/>
  <c r="G140" i="91"/>
  <c r="H143" i="65"/>
  <c r="I143" i="65"/>
  <c r="J140" i="26"/>
  <c r="J143" i="62"/>
  <c r="G149" i="32"/>
  <c r="D150" i="32"/>
  <c r="H144" i="46"/>
  <c r="I144" i="46"/>
  <c r="I140" i="85"/>
  <c r="H140" i="85"/>
  <c r="H145" i="74"/>
  <c r="I145" i="74"/>
  <c r="J146" i="73"/>
  <c r="H139" i="86"/>
  <c r="I139" i="86"/>
  <c r="H142" i="66"/>
  <c r="I142" i="66"/>
  <c r="I143" i="61"/>
  <c r="H143" i="61"/>
  <c r="H150" i="30"/>
  <c r="I150" i="30"/>
  <c r="F150" i="69"/>
  <c r="B150" i="69"/>
  <c r="G147" i="73"/>
  <c r="D148" i="73"/>
  <c r="E148" i="73" s="1"/>
  <c r="I143" i="63"/>
  <c r="H143" i="63"/>
  <c r="I139" i="90"/>
  <c r="H139" i="90"/>
  <c r="E145" i="46"/>
  <c r="F145" i="46" s="1"/>
  <c r="B145" i="46"/>
  <c r="J147" i="21"/>
  <c r="H141" i="79"/>
  <c r="I141" i="79"/>
  <c r="B150" i="29"/>
  <c r="E150" i="29"/>
  <c r="F150" i="29" s="1"/>
  <c r="H146" i="45"/>
  <c r="I146" i="45"/>
  <c r="I142" i="68"/>
  <c r="H142" i="68"/>
  <c r="I143" i="64"/>
  <c r="H143" i="64"/>
  <c r="I139" i="92"/>
  <c r="H139" i="92"/>
  <c r="D141" i="89"/>
  <c r="E141" i="89" s="1"/>
  <c r="G140" i="89"/>
  <c r="H141" i="78"/>
  <c r="I141" i="78"/>
  <c r="H149" i="70"/>
  <c r="I149" i="70"/>
  <c r="B140" i="90"/>
  <c r="F140" i="90"/>
  <c r="F141" i="85"/>
  <c r="B141" i="85"/>
  <c r="H139" i="88"/>
  <c r="I139" i="88"/>
  <c r="G144" i="62"/>
  <c r="D145" i="62"/>
  <c r="B145" i="62" s="1"/>
  <c r="I139" i="84"/>
  <c r="H139" i="84"/>
  <c r="I144" i="72"/>
  <c r="H144" i="72"/>
  <c r="H143" i="60"/>
  <c r="I143" i="60"/>
  <c r="D142" i="26"/>
  <c r="G141" i="26"/>
  <c r="G148" i="19"/>
  <c r="D149" i="19"/>
  <c r="B142" i="79"/>
  <c r="F142" i="79"/>
  <c r="G141" i="81"/>
  <c r="D142" i="81"/>
  <c r="E142" i="81" s="1"/>
  <c r="H149" i="29"/>
  <c r="I149" i="29"/>
  <c r="J148" i="32"/>
  <c r="B147" i="45"/>
  <c r="F147" i="45"/>
  <c r="F143" i="68"/>
  <c r="B143" i="68"/>
  <c r="I149" i="69"/>
  <c r="H149" i="69"/>
  <c r="B140" i="92"/>
  <c r="F140" i="92"/>
  <c r="D149" i="20"/>
  <c r="G148" i="20"/>
  <c r="B142" i="78"/>
  <c r="F142" i="78"/>
  <c r="F144" i="63"/>
  <c r="B144" i="63"/>
  <c r="F150" i="70"/>
  <c r="B150" i="70"/>
  <c r="H148" i="31"/>
  <c r="I148" i="31"/>
  <c r="H144" i="58"/>
  <c r="I144" i="58"/>
  <c r="F140" i="88"/>
  <c r="B140" i="88"/>
  <c r="F140" i="86"/>
  <c r="B140" i="86"/>
  <c r="B145" i="72"/>
  <c r="F145" i="72"/>
  <c r="G146" i="56"/>
  <c r="D147" i="56"/>
  <c r="J146" i="42"/>
  <c r="E145" i="59"/>
  <c r="F145" i="59" s="1"/>
  <c r="B145" i="59"/>
  <c r="E149" i="18"/>
  <c r="F149" i="18" s="1"/>
  <c r="I149" i="23"/>
  <c r="H149" i="23"/>
  <c r="I148" i="18"/>
  <c r="H148" i="18"/>
  <c r="H144" i="59"/>
  <c r="I144" i="59"/>
  <c r="J145" i="56"/>
  <c r="E150" i="23"/>
  <c r="F150" i="23" s="1"/>
  <c r="H145" i="57"/>
  <c r="I145" i="57"/>
  <c r="J148" i="24"/>
  <c r="E146" i="57"/>
  <c r="F146" i="57" s="1"/>
  <c r="B146" i="57"/>
  <c r="J141" i="77"/>
  <c r="H149" i="71"/>
  <c r="I149" i="71"/>
  <c r="D146" i="55"/>
  <c r="E146" i="55" s="1"/>
  <c r="G145" i="55"/>
  <c r="D140" i="33"/>
  <c r="E140" i="33" s="1"/>
  <c r="G139" i="33"/>
  <c r="G140" i="93"/>
  <c r="D141" i="93"/>
  <c r="E141" i="93" s="1"/>
  <c r="F149" i="17"/>
  <c r="B149" i="17"/>
  <c r="G148" i="21"/>
  <c r="D149" i="21"/>
  <c r="E149" i="21" s="1"/>
  <c r="G149" i="24"/>
  <c r="D150" i="24"/>
  <c r="G142" i="76"/>
  <c r="D143" i="76"/>
  <c r="E143" i="76" s="1"/>
  <c r="D143" i="77"/>
  <c r="E143" i="77" s="1"/>
  <c r="G142" i="77"/>
  <c r="B143" i="67"/>
  <c r="F147" i="44"/>
  <c r="B147" i="44"/>
  <c r="I150" i="28"/>
  <c r="H150" i="28"/>
  <c r="I140" i="95"/>
  <c r="H140" i="95"/>
  <c r="D142" i="80"/>
  <c r="E142" i="80" s="1"/>
  <c r="G141" i="80"/>
  <c r="I139" i="87"/>
  <c r="H139" i="87"/>
  <c r="G145" i="54"/>
  <c r="D146" i="54"/>
  <c r="E146" i="54" s="1"/>
  <c r="J144" i="55"/>
  <c r="I142" i="67"/>
  <c r="H142" i="67"/>
  <c r="B141" i="94"/>
  <c r="F141" i="94"/>
  <c r="H146" i="44"/>
  <c r="I146" i="44"/>
  <c r="I148" i="34"/>
  <c r="H148" i="34"/>
  <c r="D140" i="13"/>
  <c r="E140" i="13" s="1"/>
  <c r="G139" i="13"/>
  <c r="F140" i="87"/>
  <c r="B140" i="87"/>
  <c r="B141" i="82"/>
  <c r="F141" i="82"/>
  <c r="I140" i="94"/>
  <c r="H140" i="94"/>
  <c r="H147" i="3"/>
  <c r="I147" i="3"/>
  <c r="D142" i="83"/>
  <c r="E142" i="83" s="1"/>
  <c r="G141" i="83"/>
  <c r="H139" i="96"/>
  <c r="I139" i="96"/>
  <c r="B141" i="95"/>
  <c r="F141" i="95"/>
  <c r="I148" i="17"/>
  <c r="H148" i="17"/>
  <c r="J141" i="75"/>
  <c r="J138" i="33"/>
  <c r="D148" i="42"/>
  <c r="E148" i="42" s="1"/>
  <c r="G147" i="42"/>
  <c r="H140" i="82"/>
  <c r="I140" i="82"/>
  <c r="E143" i="67"/>
  <c r="F143" i="67" s="1"/>
  <c r="B148" i="3"/>
  <c r="F148" i="3"/>
  <c r="D143" i="75"/>
  <c r="E143" i="75" s="1"/>
  <c r="G142" i="75"/>
  <c r="B151" i="28"/>
  <c r="F151" i="28"/>
  <c r="B140" i="96"/>
  <c r="F140" i="96"/>
  <c r="F149" i="34"/>
  <c r="B149" i="34"/>
  <c r="E72" i="100" l="1"/>
  <c r="E73" i="100" s="1"/>
  <c r="B72" i="100"/>
  <c r="E143" i="100"/>
  <c r="B143" i="100"/>
  <c r="F143" i="100"/>
  <c r="I142" i="100"/>
  <c r="H142" i="100"/>
  <c r="E69" i="72"/>
  <c r="F69" i="72" s="1"/>
  <c r="G69" i="72" s="1"/>
  <c r="B72" i="31"/>
  <c r="F72" i="31"/>
  <c r="H72" i="31" s="1"/>
  <c r="H73" i="31" s="1"/>
  <c r="E140" i="25"/>
  <c r="F140" i="25" s="1"/>
  <c r="B140" i="25"/>
  <c r="I139" i="25"/>
  <c r="H139" i="25"/>
  <c r="F70" i="19"/>
  <c r="G70" i="19" s="1"/>
  <c r="B70" i="19"/>
  <c r="I68" i="44"/>
  <c r="I71" i="99"/>
  <c r="F72" i="99"/>
  <c r="H72" i="99" s="1"/>
  <c r="H73" i="99" s="1"/>
  <c r="I60" i="98"/>
  <c r="D68" i="66"/>
  <c r="E68" i="66" s="1"/>
  <c r="F68" i="66" s="1"/>
  <c r="I66" i="45"/>
  <c r="H61" i="98"/>
  <c r="H69" i="72"/>
  <c r="I69" i="72" s="1"/>
  <c r="G61" i="98"/>
  <c r="E62" i="98"/>
  <c r="F62" i="98" s="1"/>
  <c r="B62" i="98"/>
  <c r="H139" i="99"/>
  <c r="I139" i="99"/>
  <c r="F140" i="99"/>
  <c r="B140" i="99"/>
  <c r="I64" i="75"/>
  <c r="D70" i="72"/>
  <c r="G72" i="69"/>
  <c r="G73" i="69" s="1"/>
  <c r="G66" i="67"/>
  <c r="I66" i="67" s="1"/>
  <c r="D67" i="67"/>
  <c r="I66" i="53"/>
  <c r="I69" i="46"/>
  <c r="G68" i="58"/>
  <c r="D69" i="58"/>
  <c r="B68" i="58"/>
  <c r="H68" i="58"/>
  <c r="D141" i="98"/>
  <c r="G140" i="98"/>
  <c r="D141" i="97"/>
  <c r="G140" i="97"/>
  <c r="G67" i="53"/>
  <c r="D68" i="53"/>
  <c r="E68" i="53" s="1"/>
  <c r="H67" i="53"/>
  <c r="B70" i="46"/>
  <c r="E70" i="46"/>
  <c r="F70" i="46" s="1"/>
  <c r="E72" i="24"/>
  <c r="E73" i="24" s="1"/>
  <c r="B72" i="24"/>
  <c r="I69" i="34"/>
  <c r="D66" i="61"/>
  <c r="E66" i="61" s="1"/>
  <c r="H65" i="61"/>
  <c r="G65" i="61"/>
  <c r="D71" i="27"/>
  <c r="G70" i="27"/>
  <c r="B63" i="80"/>
  <c r="I65" i="68"/>
  <c r="H68" i="39"/>
  <c r="I68" i="39" s="1"/>
  <c r="H70" i="27"/>
  <c r="I64" i="82"/>
  <c r="I60" i="94"/>
  <c r="I65" i="63"/>
  <c r="I65" i="65"/>
  <c r="E63" i="80"/>
  <c r="F63" i="80" s="1"/>
  <c r="H63" i="80" s="1"/>
  <c r="E65" i="82"/>
  <c r="F65" i="82" s="1"/>
  <c r="G65" i="82" s="1"/>
  <c r="B65" i="82"/>
  <c r="E61" i="94"/>
  <c r="F61" i="94" s="1"/>
  <c r="H61" i="94" s="1"/>
  <c r="B61" i="94"/>
  <c r="D66" i="75"/>
  <c r="E66" i="75" s="1"/>
  <c r="D69" i="55"/>
  <c r="E69" i="55" s="1"/>
  <c r="D62" i="93"/>
  <c r="E62" i="93" s="1"/>
  <c r="H64" i="59"/>
  <c r="I64" i="59" s="1"/>
  <c r="G67" i="66"/>
  <c r="I67" i="66" s="1"/>
  <c r="I66" i="66"/>
  <c r="I59" i="96"/>
  <c r="I59" i="95"/>
  <c r="I61" i="91"/>
  <c r="B62" i="91"/>
  <c r="I61" i="84"/>
  <c r="G62" i="84"/>
  <c r="I62" i="84" s="1"/>
  <c r="B61" i="93"/>
  <c r="G61" i="93"/>
  <c r="H61" i="93"/>
  <c r="I62" i="90"/>
  <c r="E71" i="42"/>
  <c r="F71" i="42" s="1"/>
  <c r="B71" i="42"/>
  <c r="H73" i="71"/>
  <c r="I72" i="71"/>
  <c r="I73" i="71" s="1"/>
  <c r="E70" i="34"/>
  <c r="F70" i="34" s="1"/>
  <c r="B70" i="34"/>
  <c r="I60" i="93"/>
  <c r="B68" i="55"/>
  <c r="H68" i="55"/>
  <c r="G68" i="55"/>
  <c r="E62" i="91"/>
  <c r="F62" i="91" s="1"/>
  <c r="D63" i="84"/>
  <c r="E63" i="84" s="1"/>
  <c r="F63" i="84" s="1"/>
  <c r="B65" i="75"/>
  <c r="G65" i="75"/>
  <c r="H65" i="75"/>
  <c r="F63" i="90"/>
  <c r="D64" i="90" s="1"/>
  <c r="B63" i="90"/>
  <c r="D64" i="76"/>
  <c r="H63" i="76"/>
  <c r="G63" i="76"/>
  <c r="G60" i="96"/>
  <c r="D61" i="96"/>
  <c r="E72" i="22"/>
  <c r="E73" i="22" s="1"/>
  <c r="B72" i="22"/>
  <c r="E63" i="85"/>
  <c r="F63" i="85" s="1"/>
  <c r="B63" i="85"/>
  <c r="E65" i="86"/>
  <c r="F65" i="86" s="1"/>
  <c r="H61" i="81"/>
  <c r="I61" i="81" s="1"/>
  <c r="D62" i="81"/>
  <c r="E62" i="81" s="1"/>
  <c r="B60" i="96"/>
  <c r="H60" i="96"/>
  <c r="B71" i="22"/>
  <c r="G71" i="22"/>
  <c r="H71" i="22"/>
  <c r="G67" i="60"/>
  <c r="I67" i="60" s="1"/>
  <c r="H71" i="17"/>
  <c r="I64" i="86"/>
  <c r="E60" i="95"/>
  <c r="F60" i="95" s="1"/>
  <c r="B60" i="95"/>
  <c r="G71" i="17"/>
  <c r="I66" i="56"/>
  <c r="D69" i="39"/>
  <c r="I70" i="22"/>
  <c r="I63" i="77"/>
  <c r="D66" i="64"/>
  <c r="G65" i="64"/>
  <c r="H65" i="64"/>
  <c r="H66" i="68"/>
  <c r="D67" i="68"/>
  <c r="E67" i="68" s="1"/>
  <c r="F67" i="68" s="1"/>
  <c r="D68" i="68" s="1"/>
  <c r="B68" i="68" s="1"/>
  <c r="G66" i="68"/>
  <c r="D61" i="89"/>
  <c r="H60" i="89"/>
  <c r="G60" i="89"/>
  <c r="D70" i="21"/>
  <c r="E70" i="21" s="1"/>
  <c r="F70" i="21" s="1"/>
  <c r="H69" i="21"/>
  <c r="G69" i="21"/>
  <c r="H61" i="83"/>
  <c r="D62" i="83"/>
  <c r="E62" i="83" s="1"/>
  <c r="G61" i="83"/>
  <c r="D67" i="63"/>
  <c r="E67" i="63" s="1"/>
  <c r="G70" i="74"/>
  <c r="D71" i="74"/>
  <c r="E71" i="74" s="1"/>
  <c r="D67" i="54"/>
  <c r="D63" i="79"/>
  <c r="E63" i="79" s="1"/>
  <c r="B63" i="88"/>
  <c r="B151" i="30"/>
  <c r="I71" i="70"/>
  <c r="H70" i="74"/>
  <c r="H66" i="54"/>
  <c r="D67" i="57"/>
  <c r="E67" i="57" s="1"/>
  <c r="D70" i="44"/>
  <c r="E70" i="44" s="1"/>
  <c r="D61" i="92"/>
  <c r="E61" i="92" s="1"/>
  <c r="D63" i="78"/>
  <c r="E63" i="78" s="1"/>
  <c r="G69" i="18"/>
  <c r="I69" i="18" s="1"/>
  <c r="G62" i="78"/>
  <c r="I69" i="74"/>
  <c r="F72" i="70"/>
  <c r="F67" i="56"/>
  <c r="H67" i="56" s="1"/>
  <c r="B67" i="56"/>
  <c r="H62" i="79"/>
  <c r="I69" i="41"/>
  <c r="H69" i="44"/>
  <c r="I69" i="44" s="1"/>
  <c r="G60" i="92"/>
  <c r="I60" i="92" s="1"/>
  <c r="B72" i="30"/>
  <c r="F72" i="30"/>
  <c r="H72" i="30" s="1"/>
  <c r="H73" i="30" s="1"/>
  <c r="F67" i="45"/>
  <c r="H67" i="45" s="1"/>
  <c r="B67" i="45"/>
  <c r="B70" i="43"/>
  <c r="F70" i="43"/>
  <c r="H70" i="43" s="1"/>
  <c r="I62" i="88"/>
  <c r="I72" i="32"/>
  <c r="I73" i="32" s="1"/>
  <c r="H73" i="32"/>
  <c r="B70" i="41"/>
  <c r="I60" i="87"/>
  <c r="D68" i="60"/>
  <c r="E68" i="60" s="1"/>
  <c r="F68" i="60" s="1"/>
  <c r="D69" i="60" s="1"/>
  <c r="H62" i="78"/>
  <c r="E72" i="17"/>
  <c r="E73" i="17" s="1"/>
  <c r="B72" i="17"/>
  <c r="I68" i="21"/>
  <c r="G66" i="54"/>
  <c r="G62" i="79"/>
  <c r="I71" i="30"/>
  <c r="G66" i="57"/>
  <c r="I66" i="57" s="1"/>
  <c r="E70" i="41"/>
  <c r="F70" i="41" s="1"/>
  <c r="B66" i="65"/>
  <c r="F66" i="65"/>
  <c r="D67" i="65" s="1"/>
  <c r="B67" i="65" s="1"/>
  <c r="E64" i="77"/>
  <c r="F64" i="77" s="1"/>
  <c r="D65" i="77" s="1"/>
  <c r="B64" i="77"/>
  <c r="I69" i="43"/>
  <c r="E63" i="88"/>
  <c r="F63" i="88" s="1"/>
  <c r="H63" i="88" s="1"/>
  <c r="B66" i="63"/>
  <c r="H66" i="63"/>
  <c r="G66" i="63"/>
  <c r="J143" i="63"/>
  <c r="D145" i="64"/>
  <c r="B145" i="64" s="1"/>
  <c r="I150" i="27"/>
  <c r="H150" i="27"/>
  <c r="E151" i="27"/>
  <c r="F151" i="27" s="1"/>
  <c r="B151" i="27"/>
  <c r="J150" i="28"/>
  <c r="J149" i="71"/>
  <c r="J145" i="74"/>
  <c r="J144" i="46"/>
  <c r="J142" i="67"/>
  <c r="J149" i="70"/>
  <c r="E148" i="39"/>
  <c r="F148" i="39" s="1"/>
  <c r="I147" i="43"/>
  <c r="H147" i="43"/>
  <c r="J148" i="31"/>
  <c r="J149" i="29"/>
  <c r="E145" i="62"/>
  <c r="F145" i="62" s="1"/>
  <c r="D146" i="62" s="1"/>
  <c r="B146" i="62" s="1"/>
  <c r="J147" i="41"/>
  <c r="B62" i="25"/>
  <c r="F62" i="25"/>
  <c r="H62" i="25" s="1"/>
  <c r="D69" i="73"/>
  <c r="E69" i="73" s="1"/>
  <c r="D70" i="18"/>
  <c r="E70" i="18" s="1"/>
  <c r="G148" i="41"/>
  <c r="D149" i="41"/>
  <c r="F68" i="20"/>
  <c r="H68" i="20" s="1"/>
  <c r="B68" i="20"/>
  <c r="I61" i="33"/>
  <c r="I59" i="13"/>
  <c r="B61" i="26"/>
  <c r="F61" i="26"/>
  <c r="H61" i="26" s="1"/>
  <c r="H72" i="23"/>
  <c r="G72" i="23"/>
  <c r="G73" i="23" s="1"/>
  <c r="B61" i="87"/>
  <c r="B62" i="33"/>
  <c r="J144" i="58"/>
  <c r="J149" i="69"/>
  <c r="J146" i="45"/>
  <c r="D65" i="59"/>
  <c r="E65" i="59" s="1"/>
  <c r="G68" i="73"/>
  <c r="I68" i="73" s="1"/>
  <c r="E148" i="43"/>
  <c r="F148" i="43" s="1"/>
  <c r="B148" i="43"/>
  <c r="F64" i="62"/>
  <c r="G64" i="62" s="1"/>
  <c r="B64" i="62"/>
  <c r="E61" i="87"/>
  <c r="F61" i="87" s="1"/>
  <c r="E62" i="33"/>
  <c r="F62" i="33" s="1"/>
  <c r="H62" i="33" s="1"/>
  <c r="B60" i="13"/>
  <c r="F60" i="13"/>
  <c r="H60" i="13" s="1"/>
  <c r="G149" i="31"/>
  <c r="D150" i="31"/>
  <c r="G145" i="46"/>
  <c r="D146" i="46"/>
  <c r="B146" i="46" s="1"/>
  <c r="D141" i="88"/>
  <c r="E141" i="88" s="1"/>
  <c r="G140" i="88"/>
  <c r="G143" i="68"/>
  <c r="D144" i="68"/>
  <c r="B144" i="68" s="1"/>
  <c r="H141" i="81"/>
  <c r="I141" i="81"/>
  <c r="B141" i="91"/>
  <c r="F141" i="91"/>
  <c r="G143" i="66"/>
  <c r="D144" i="66"/>
  <c r="H148" i="22"/>
  <c r="I148" i="22"/>
  <c r="J144" i="59"/>
  <c r="G146" i="74"/>
  <c r="D147" i="74"/>
  <c r="D145" i="63"/>
  <c r="B145" i="63" s="1"/>
  <c r="G144" i="63"/>
  <c r="I148" i="20"/>
  <c r="H148" i="20"/>
  <c r="D148" i="45"/>
  <c r="G147" i="45"/>
  <c r="D143" i="79"/>
  <c r="E143" i="79" s="1"/>
  <c r="G142" i="79"/>
  <c r="I141" i="26"/>
  <c r="H141" i="26"/>
  <c r="D152" i="30"/>
  <c r="G151" i="30"/>
  <c r="J144" i="72"/>
  <c r="I140" i="89"/>
  <c r="H140" i="89"/>
  <c r="J142" i="68"/>
  <c r="D151" i="69"/>
  <c r="B151" i="69" s="1"/>
  <c r="G150" i="69"/>
  <c r="G150" i="71"/>
  <c r="D151" i="71"/>
  <c r="E149" i="22"/>
  <c r="F149" i="22" s="1"/>
  <c r="B149" i="22"/>
  <c r="H148" i="19"/>
  <c r="I148" i="19"/>
  <c r="G150" i="29"/>
  <c r="D151" i="29"/>
  <c r="B151" i="29" s="1"/>
  <c r="G145" i="72"/>
  <c r="D146" i="72"/>
  <c r="B146" i="72" s="1"/>
  <c r="G140" i="86"/>
  <c r="D141" i="86"/>
  <c r="E141" i="86" s="1"/>
  <c r="G142" i="78"/>
  <c r="D143" i="78"/>
  <c r="B143" i="78" s="1"/>
  <c r="B149" i="20"/>
  <c r="E149" i="20"/>
  <c r="F149" i="20" s="1"/>
  <c r="F142" i="81"/>
  <c r="B142" i="81"/>
  <c r="E142" i="26"/>
  <c r="F142" i="26" s="1"/>
  <c r="B142" i="26"/>
  <c r="I144" i="62"/>
  <c r="H144" i="62"/>
  <c r="D142" i="85"/>
  <c r="E142" i="85" s="1"/>
  <c r="G141" i="85"/>
  <c r="F141" i="89"/>
  <c r="B141" i="89"/>
  <c r="J141" i="79"/>
  <c r="B148" i="73"/>
  <c r="F148" i="73"/>
  <c r="D145" i="60"/>
  <c r="G144" i="60"/>
  <c r="J143" i="61"/>
  <c r="E150" i="32"/>
  <c r="F150" i="32" s="1"/>
  <c r="B150" i="32"/>
  <c r="G140" i="84"/>
  <c r="D141" i="84"/>
  <c r="E141" i="84" s="1"/>
  <c r="H144" i="64"/>
  <c r="I144" i="64"/>
  <c r="I147" i="39"/>
  <c r="H147" i="39"/>
  <c r="H145" i="53"/>
  <c r="I145" i="53"/>
  <c r="D145" i="61"/>
  <c r="B145" i="61" s="1"/>
  <c r="G144" i="61"/>
  <c r="D146" i="58"/>
  <c r="G145" i="58"/>
  <c r="G150" i="70"/>
  <c r="D151" i="70"/>
  <c r="B151" i="70" s="1"/>
  <c r="D141" i="92"/>
  <c r="E141" i="92" s="1"/>
  <c r="G140" i="92"/>
  <c r="E149" i="19"/>
  <c r="F149" i="19" s="1"/>
  <c r="B149" i="19"/>
  <c r="J143" i="60"/>
  <c r="G140" i="90"/>
  <c r="D141" i="90"/>
  <c r="E141" i="90" s="1"/>
  <c r="J141" i="78"/>
  <c r="J143" i="64"/>
  <c r="I147" i="73"/>
  <c r="H147" i="73"/>
  <c r="J150" i="30"/>
  <c r="J142" i="66"/>
  <c r="I149" i="32"/>
  <c r="H149" i="32"/>
  <c r="J143" i="65"/>
  <c r="I140" i="91"/>
  <c r="H140" i="91"/>
  <c r="D145" i="65"/>
  <c r="G144" i="65"/>
  <c r="E146" i="53"/>
  <c r="F146" i="53" s="1"/>
  <c r="B146" i="53"/>
  <c r="G145" i="59"/>
  <c r="D146" i="59"/>
  <c r="B146" i="59" s="1"/>
  <c r="J148" i="18"/>
  <c r="H146" i="56"/>
  <c r="I146" i="56"/>
  <c r="G150" i="23"/>
  <c r="D151" i="23"/>
  <c r="J149" i="23"/>
  <c r="D150" i="18"/>
  <c r="G149" i="18"/>
  <c r="E147" i="56"/>
  <c r="F147" i="56" s="1"/>
  <c r="B147" i="56"/>
  <c r="G146" i="57"/>
  <c r="D147" i="57"/>
  <c r="B147" i="57" s="1"/>
  <c r="J148" i="34"/>
  <c r="J147" i="3"/>
  <c r="J145" i="57"/>
  <c r="G143" i="67"/>
  <c r="D144" i="67"/>
  <c r="E144" i="67" s="1"/>
  <c r="H142" i="75"/>
  <c r="I142" i="75"/>
  <c r="H147" i="42"/>
  <c r="I147" i="42"/>
  <c r="B142" i="83"/>
  <c r="F142" i="83"/>
  <c r="B140" i="13"/>
  <c r="F140" i="13"/>
  <c r="B146" i="54"/>
  <c r="F146" i="54"/>
  <c r="H142" i="77"/>
  <c r="I142" i="77"/>
  <c r="B150" i="24"/>
  <c r="I148" i="21"/>
  <c r="H148" i="21"/>
  <c r="F141" i="93"/>
  <c r="B141" i="93"/>
  <c r="G151" i="28"/>
  <c r="D152" i="28"/>
  <c r="E152" i="28" s="1"/>
  <c r="B143" i="75"/>
  <c r="F143" i="75"/>
  <c r="F148" i="42"/>
  <c r="B148" i="42"/>
  <c r="J148" i="17"/>
  <c r="G141" i="95"/>
  <c r="D142" i="95"/>
  <c r="E142" i="95" s="1"/>
  <c r="I141" i="80"/>
  <c r="H141" i="80"/>
  <c r="D148" i="44"/>
  <c r="E148" i="44" s="1"/>
  <c r="G147" i="44"/>
  <c r="B143" i="76"/>
  <c r="F143" i="76"/>
  <c r="E150" i="24"/>
  <c r="F150" i="24" s="1"/>
  <c r="D150" i="17"/>
  <c r="E150" i="17" s="1"/>
  <c r="G149" i="17"/>
  <c r="I140" i="93"/>
  <c r="H140" i="93"/>
  <c r="H139" i="33"/>
  <c r="I139" i="33"/>
  <c r="F146" i="55"/>
  <c r="B146" i="55"/>
  <c r="G148" i="3"/>
  <c r="D149" i="3"/>
  <c r="E149" i="3" s="1"/>
  <c r="D141" i="87"/>
  <c r="E141" i="87" s="1"/>
  <c r="G140" i="87"/>
  <c r="H139" i="13"/>
  <c r="I139" i="13"/>
  <c r="J146" i="44"/>
  <c r="H145" i="54"/>
  <c r="I145" i="54"/>
  <c r="F143" i="77"/>
  <c r="B143" i="77"/>
  <c r="I142" i="76"/>
  <c r="H142" i="76"/>
  <c r="H149" i="24"/>
  <c r="I149" i="24"/>
  <c r="B140" i="33"/>
  <c r="F140" i="33"/>
  <c r="G149" i="34"/>
  <c r="D150" i="34"/>
  <c r="D141" i="96"/>
  <c r="E141" i="96" s="1"/>
  <c r="G140" i="96"/>
  <c r="H141" i="83"/>
  <c r="I141" i="83"/>
  <c r="D142" i="82"/>
  <c r="E142" i="82" s="1"/>
  <c r="G141" i="82"/>
  <c r="D142" i="94"/>
  <c r="E142" i="94" s="1"/>
  <c r="G141" i="94"/>
  <c r="F142" i="80"/>
  <c r="B142" i="80"/>
  <c r="B149" i="21"/>
  <c r="F149" i="21"/>
  <c r="H145" i="55"/>
  <c r="I145" i="55"/>
  <c r="F72" i="100" l="1"/>
  <c r="D144" i="100"/>
  <c r="G143" i="100"/>
  <c r="H70" i="19"/>
  <c r="I70" i="19" s="1"/>
  <c r="D71" i="19"/>
  <c r="E71" i="19" s="1"/>
  <c r="F71" i="19" s="1"/>
  <c r="G72" i="31"/>
  <c r="G73" i="31" s="1"/>
  <c r="J139" i="25"/>
  <c r="D141" i="25"/>
  <c r="G140" i="25"/>
  <c r="G72" i="99"/>
  <c r="G73" i="99" s="1"/>
  <c r="B68" i="66"/>
  <c r="D63" i="98"/>
  <c r="G62" i="98"/>
  <c r="H62" i="98"/>
  <c r="I61" i="98"/>
  <c r="I72" i="69"/>
  <c r="I73" i="69" s="1"/>
  <c r="D141" i="99"/>
  <c r="E141" i="99" s="1"/>
  <c r="G140" i="99"/>
  <c r="B70" i="72"/>
  <c r="E70" i="72"/>
  <c r="F70" i="72" s="1"/>
  <c r="E67" i="67"/>
  <c r="F67" i="67" s="1"/>
  <c r="B67" i="67"/>
  <c r="I68" i="58"/>
  <c r="B68" i="53"/>
  <c r="E69" i="58"/>
  <c r="F69" i="58" s="1"/>
  <c r="B69" i="58"/>
  <c r="G72" i="30"/>
  <c r="G73" i="30" s="1"/>
  <c r="I61" i="93"/>
  <c r="I70" i="74"/>
  <c r="F68" i="53"/>
  <c r="H68" i="53" s="1"/>
  <c r="I67" i="53"/>
  <c r="G67" i="45"/>
  <c r="I67" i="45" s="1"/>
  <c r="F72" i="24"/>
  <c r="H72" i="24" s="1"/>
  <c r="H140" i="97"/>
  <c r="I140" i="97"/>
  <c r="B141" i="97"/>
  <c r="H140" i="98"/>
  <c r="I140" i="98"/>
  <c r="E141" i="97"/>
  <c r="F141" i="97" s="1"/>
  <c r="E141" i="98"/>
  <c r="F141" i="98" s="1"/>
  <c r="B141" i="98"/>
  <c r="E145" i="64"/>
  <c r="F145" i="64" s="1"/>
  <c r="G145" i="62"/>
  <c r="I145" i="62" s="1"/>
  <c r="I65" i="75"/>
  <c r="G63" i="80"/>
  <c r="I63" i="80" s="1"/>
  <c r="E67" i="65"/>
  <c r="F67" i="65" s="1"/>
  <c r="D68" i="65" s="1"/>
  <c r="G66" i="65"/>
  <c r="H70" i="46"/>
  <c r="G70" i="46"/>
  <c r="D71" i="46"/>
  <c r="H66" i="65"/>
  <c r="I62" i="78"/>
  <c r="D62" i="94"/>
  <c r="D66" i="82"/>
  <c r="E66" i="82" s="1"/>
  <c r="F66" i="82" s="1"/>
  <c r="G61" i="94"/>
  <c r="I61" i="94" s="1"/>
  <c r="H65" i="82"/>
  <c r="I65" i="82" s="1"/>
  <c r="D64" i="80"/>
  <c r="E64" i="80" s="1"/>
  <c r="F64" i="80" s="1"/>
  <c r="I70" i="27"/>
  <c r="I65" i="61"/>
  <c r="E71" i="27"/>
  <c r="F71" i="27" s="1"/>
  <c r="B71" i="27"/>
  <c r="B66" i="61"/>
  <c r="F66" i="61"/>
  <c r="H66" i="61" s="1"/>
  <c r="H63" i="84"/>
  <c r="D64" i="84"/>
  <c r="D63" i="91"/>
  <c r="B63" i="91" s="1"/>
  <c r="G62" i="91"/>
  <c r="H62" i="91"/>
  <c r="G70" i="34"/>
  <c r="D71" i="34"/>
  <c r="H70" i="34"/>
  <c r="H71" i="42"/>
  <c r="D72" i="42"/>
  <c r="G71" i="42"/>
  <c r="F72" i="22"/>
  <c r="I63" i="76"/>
  <c r="G63" i="90"/>
  <c r="I68" i="55"/>
  <c r="H63" i="90"/>
  <c r="B63" i="84"/>
  <c r="G63" i="84"/>
  <c r="F69" i="55"/>
  <c r="H69" i="55" s="1"/>
  <c r="B69" i="55"/>
  <c r="F72" i="17"/>
  <c r="G72" i="17" s="1"/>
  <c r="G73" i="17" s="1"/>
  <c r="I61" i="83"/>
  <c r="E64" i="90"/>
  <c r="F64" i="90" s="1"/>
  <c r="G64" i="90" s="1"/>
  <c r="B64" i="90"/>
  <c r="F62" i="93"/>
  <c r="G62" i="93" s="1"/>
  <c r="B62" i="93"/>
  <c r="B66" i="75"/>
  <c r="F66" i="75"/>
  <c r="H66" i="75" s="1"/>
  <c r="H60" i="95"/>
  <c r="D61" i="95"/>
  <c r="E61" i="95" s="1"/>
  <c r="G60" i="95"/>
  <c r="H63" i="85"/>
  <c r="D64" i="85"/>
  <c r="E64" i="85" s="1"/>
  <c r="G63" i="85"/>
  <c r="B69" i="39"/>
  <c r="I71" i="17"/>
  <c r="I71" i="22"/>
  <c r="E61" i="96"/>
  <c r="F61" i="96" s="1"/>
  <c r="B61" i="96"/>
  <c r="E69" i="39"/>
  <c r="F69" i="39" s="1"/>
  <c r="D70" i="39" s="1"/>
  <c r="F62" i="81"/>
  <c r="D63" i="81" s="1"/>
  <c r="B62" i="81"/>
  <c r="D66" i="86"/>
  <c r="H65" i="86"/>
  <c r="G65" i="86"/>
  <c r="B64" i="76"/>
  <c r="I60" i="96"/>
  <c r="E64" i="76"/>
  <c r="F64" i="76" s="1"/>
  <c r="I65" i="64"/>
  <c r="E68" i="68"/>
  <c r="F68" i="68" s="1"/>
  <c r="H68" i="68" s="1"/>
  <c r="I66" i="63"/>
  <c r="H64" i="77"/>
  <c r="H72" i="17"/>
  <c r="D71" i="43"/>
  <c r="E71" i="43" s="1"/>
  <c r="B67" i="57"/>
  <c r="F67" i="57"/>
  <c r="F71" i="74"/>
  <c r="B71" i="74"/>
  <c r="I69" i="21"/>
  <c r="I60" i="89"/>
  <c r="B67" i="68"/>
  <c r="G67" i="68"/>
  <c r="H67" i="68"/>
  <c r="F61" i="92"/>
  <c r="B61" i="92"/>
  <c r="B63" i="79"/>
  <c r="F63" i="79"/>
  <c r="D64" i="79" s="1"/>
  <c r="B62" i="83"/>
  <c r="F62" i="83"/>
  <c r="G62" i="83" s="1"/>
  <c r="D71" i="41"/>
  <c r="E69" i="60"/>
  <c r="F69" i="60" s="1"/>
  <c r="B69" i="60"/>
  <c r="H70" i="41"/>
  <c r="I62" i="79"/>
  <c r="G72" i="70"/>
  <c r="G73" i="70" s="1"/>
  <c r="H72" i="70"/>
  <c r="I66" i="54"/>
  <c r="B67" i="54"/>
  <c r="B67" i="63"/>
  <c r="F67" i="63"/>
  <c r="D71" i="21"/>
  <c r="E71" i="21" s="1"/>
  <c r="E61" i="89"/>
  <c r="F61" i="89" s="1"/>
  <c r="B61" i="89"/>
  <c r="B66" i="64"/>
  <c r="E65" i="77"/>
  <c r="F65" i="77" s="1"/>
  <c r="B65" i="77"/>
  <c r="G67" i="56"/>
  <c r="I67" i="56" s="1"/>
  <c r="D68" i="56"/>
  <c r="D64" i="88"/>
  <c r="E64" i="88" s="1"/>
  <c r="F64" i="88" s="1"/>
  <c r="G64" i="77"/>
  <c r="B68" i="60"/>
  <c r="H68" i="60"/>
  <c r="G68" i="60"/>
  <c r="G70" i="41"/>
  <c r="G70" i="43"/>
  <c r="I70" i="43" s="1"/>
  <c r="D68" i="45"/>
  <c r="E68" i="45" s="1"/>
  <c r="F63" i="78"/>
  <c r="G63" i="78" s="1"/>
  <c r="B63" i="78"/>
  <c r="F70" i="44"/>
  <c r="H70" i="44" s="1"/>
  <c r="B70" i="44"/>
  <c r="G63" i="88"/>
  <c r="I63" i="88" s="1"/>
  <c r="E67" i="54"/>
  <c r="F67" i="54" s="1"/>
  <c r="B70" i="21"/>
  <c r="H70" i="21"/>
  <c r="G70" i="21"/>
  <c r="I66" i="68"/>
  <c r="E66" i="64"/>
  <c r="F66" i="64" s="1"/>
  <c r="E151" i="70"/>
  <c r="F151" i="70" s="1"/>
  <c r="D152" i="70" s="1"/>
  <c r="E146" i="72"/>
  <c r="F146" i="72" s="1"/>
  <c r="G146" i="72" s="1"/>
  <c r="E143" i="78"/>
  <c r="F143" i="78" s="1"/>
  <c r="E151" i="69"/>
  <c r="F151" i="69" s="1"/>
  <c r="E144" i="68"/>
  <c r="F144" i="68" s="1"/>
  <c r="D152" i="27"/>
  <c r="G151" i="27"/>
  <c r="J150" i="27"/>
  <c r="J141" i="26"/>
  <c r="J145" i="54"/>
  <c r="J145" i="53"/>
  <c r="J144" i="64"/>
  <c r="J148" i="22"/>
  <c r="J139" i="33"/>
  <c r="J144" i="62"/>
  <c r="J149" i="24"/>
  <c r="G148" i="39"/>
  <c r="D149" i="39"/>
  <c r="E146" i="62"/>
  <c r="F146" i="62" s="1"/>
  <c r="D147" i="62" s="1"/>
  <c r="B147" i="62" s="1"/>
  <c r="D62" i="87"/>
  <c r="E62" i="87" s="1"/>
  <c r="H61" i="87"/>
  <c r="G61" i="87"/>
  <c r="D69" i="66"/>
  <c r="E69" i="66" s="1"/>
  <c r="G68" i="66"/>
  <c r="H68" i="66"/>
  <c r="J146" i="56"/>
  <c r="E145" i="63"/>
  <c r="F145" i="63" s="1"/>
  <c r="D146" i="63" s="1"/>
  <c r="D61" i="13"/>
  <c r="D65" i="62"/>
  <c r="E65" i="62" s="1"/>
  <c r="D149" i="43"/>
  <c r="G148" i="43"/>
  <c r="B65" i="59"/>
  <c r="F65" i="59"/>
  <c r="H65" i="59" s="1"/>
  <c r="D63" i="33"/>
  <c r="I72" i="23"/>
  <c r="I73" i="23" s="1"/>
  <c r="H73" i="23"/>
  <c r="D62" i="26"/>
  <c r="E62" i="26" s="1"/>
  <c r="B70" i="18"/>
  <c r="F70" i="18"/>
  <c r="D63" i="25"/>
  <c r="H64" i="62"/>
  <c r="I64" i="62" s="1"/>
  <c r="D69" i="20"/>
  <c r="E69" i="20" s="1"/>
  <c r="B149" i="41"/>
  <c r="E149" i="41"/>
  <c r="F149" i="41" s="1"/>
  <c r="G60" i="13"/>
  <c r="I60" i="13" s="1"/>
  <c r="G62" i="33"/>
  <c r="I62" i="33" s="1"/>
  <c r="G61" i="26"/>
  <c r="I61" i="26" s="1"/>
  <c r="G68" i="20"/>
  <c r="I68" i="20" s="1"/>
  <c r="H148" i="41"/>
  <c r="I148" i="41"/>
  <c r="B69" i="73"/>
  <c r="F69" i="73"/>
  <c r="G69" i="73" s="1"/>
  <c r="G62" i="25"/>
  <c r="I62" i="25" s="1"/>
  <c r="J147" i="43"/>
  <c r="G149" i="19"/>
  <c r="D150" i="19"/>
  <c r="D150" i="22"/>
  <c r="B150" i="22" s="1"/>
  <c r="G149" i="22"/>
  <c r="G150" i="32"/>
  <c r="D151" i="32"/>
  <c r="G142" i="26"/>
  <c r="D143" i="26"/>
  <c r="B141" i="84"/>
  <c r="F141" i="84"/>
  <c r="I147" i="45"/>
  <c r="H147" i="45"/>
  <c r="I146" i="74"/>
  <c r="H146" i="74"/>
  <c r="J149" i="32"/>
  <c r="J147" i="73"/>
  <c r="F141" i="90"/>
  <c r="B141" i="90"/>
  <c r="I145" i="58"/>
  <c r="H145" i="58"/>
  <c r="J147" i="39"/>
  <c r="H140" i="84"/>
  <c r="I140" i="84"/>
  <c r="D149" i="73"/>
  <c r="B149" i="73" s="1"/>
  <c r="G148" i="73"/>
  <c r="D142" i="89"/>
  <c r="E142" i="89" s="1"/>
  <c r="G141" i="89"/>
  <c r="F141" i="86"/>
  <c r="B141" i="86"/>
  <c r="I150" i="71"/>
  <c r="H150" i="71"/>
  <c r="H151" i="30"/>
  <c r="I151" i="30"/>
  <c r="H142" i="79"/>
  <c r="I142" i="79"/>
  <c r="B148" i="45"/>
  <c r="E148" i="45"/>
  <c r="F148" i="45" s="1"/>
  <c r="I144" i="63"/>
  <c r="H144" i="63"/>
  <c r="H143" i="66"/>
  <c r="I143" i="66"/>
  <c r="I140" i="88"/>
  <c r="H140" i="88"/>
  <c r="I145" i="46"/>
  <c r="H145" i="46"/>
  <c r="G146" i="53"/>
  <c r="D147" i="53"/>
  <c r="B141" i="92"/>
  <c r="F141" i="92"/>
  <c r="I150" i="70"/>
  <c r="H150" i="70"/>
  <c r="H144" i="61"/>
  <c r="I144" i="61"/>
  <c r="D150" i="20"/>
  <c r="G149" i="20"/>
  <c r="H142" i="78"/>
  <c r="I142" i="78"/>
  <c r="E144" i="66"/>
  <c r="F144" i="66" s="1"/>
  <c r="B144" i="66"/>
  <c r="I140" i="90"/>
  <c r="H140" i="90"/>
  <c r="E146" i="58"/>
  <c r="F146" i="58" s="1"/>
  <c r="B146" i="58"/>
  <c r="I141" i="85"/>
  <c r="H141" i="85"/>
  <c r="I140" i="86"/>
  <c r="H140" i="86"/>
  <c r="I145" i="72"/>
  <c r="H145" i="72"/>
  <c r="H150" i="29"/>
  <c r="I150" i="29"/>
  <c r="E152" i="30"/>
  <c r="F152" i="30" s="1"/>
  <c r="B152" i="30"/>
  <c r="D142" i="91"/>
  <c r="E142" i="91" s="1"/>
  <c r="G141" i="91"/>
  <c r="F141" i="88"/>
  <c r="B141" i="88"/>
  <c r="E150" i="31"/>
  <c r="F150" i="31" s="1"/>
  <c r="B150" i="31"/>
  <c r="E145" i="65"/>
  <c r="F145" i="65" s="1"/>
  <c r="B145" i="65"/>
  <c r="E145" i="60"/>
  <c r="F145" i="60" s="1"/>
  <c r="B145" i="60"/>
  <c r="E151" i="71"/>
  <c r="F151" i="71" s="1"/>
  <c r="B151" i="71"/>
  <c r="J148" i="21"/>
  <c r="H144" i="65"/>
  <c r="I144" i="65"/>
  <c r="H140" i="92"/>
  <c r="I140" i="92"/>
  <c r="E145" i="61"/>
  <c r="F145" i="61" s="1"/>
  <c r="H144" i="60"/>
  <c r="I144" i="60"/>
  <c r="F142" i="85"/>
  <c r="B142" i="85"/>
  <c r="D143" i="81"/>
  <c r="B143" i="81" s="1"/>
  <c r="G142" i="81"/>
  <c r="E151" i="29"/>
  <c r="F151" i="29" s="1"/>
  <c r="J148" i="19"/>
  <c r="H150" i="69"/>
  <c r="I150" i="69"/>
  <c r="B143" i="79"/>
  <c r="F143" i="79"/>
  <c r="J148" i="20"/>
  <c r="E147" i="74"/>
  <c r="F147" i="74" s="1"/>
  <c r="B147" i="74"/>
  <c r="I143" i="68"/>
  <c r="H143" i="68"/>
  <c r="E146" i="46"/>
  <c r="F146" i="46" s="1"/>
  <c r="I149" i="31"/>
  <c r="H149" i="31"/>
  <c r="J142" i="75"/>
  <c r="E151" i="23"/>
  <c r="F151" i="23" s="1"/>
  <c r="B151" i="23"/>
  <c r="I149" i="18"/>
  <c r="H149" i="18"/>
  <c r="I150" i="23"/>
  <c r="H150" i="23"/>
  <c r="E146" i="59"/>
  <c r="F146" i="59" s="1"/>
  <c r="D148" i="56"/>
  <c r="G147" i="56"/>
  <c r="E150" i="18"/>
  <c r="F150" i="18" s="1"/>
  <c r="B150" i="18"/>
  <c r="H145" i="59"/>
  <c r="I145" i="59"/>
  <c r="E147" i="57"/>
  <c r="F147" i="57" s="1"/>
  <c r="H146" i="57"/>
  <c r="I146" i="57"/>
  <c r="G150" i="24"/>
  <c r="D151" i="24"/>
  <c r="E151" i="24" s="1"/>
  <c r="J145" i="55"/>
  <c r="G149" i="21"/>
  <c r="D150" i="21"/>
  <c r="E150" i="21" s="1"/>
  <c r="H141" i="82"/>
  <c r="I141" i="82"/>
  <c r="H149" i="34"/>
  <c r="I149" i="34"/>
  <c r="J142" i="76"/>
  <c r="H147" i="44"/>
  <c r="I147" i="44"/>
  <c r="B152" i="28"/>
  <c r="F152" i="28"/>
  <c r="D141" i="13"/>
  <c r="E141" i="13" s="1"/>
  <c r="G140" i="13"/>
  <c r="D143" i="83"/>
  <c r="E143" i="83" s="1"/>
  <c r="G142" i="83"/>
  <c r="B142" i="94"/>
  <c r="F142" i="94"/>
  <c r="F142" i="82"/>
  <c r="B142" i="82"/>
  <c r="B141" i="96"/>
  <c r="F141" i="96"/>
  <c r="F149" i="3"/>
  <c r="B149" i="3"/>
  <c r="I149" i="17"/>
  <c r="H149" i="17"/>
  <c r="D144" i="76"/>
  <c r="E144" i="76" s="1"/>
  <c r="G143" i="76"/>
  <c r="B148" i="44"/>
  <c r="F148" i="44"/>
  <c r="F142" i="95"/>
  <c r="B142" i="95"/>
  <c r="G148" i="42"/>
  <c r="D149" i="42"/>
  <c r="E149" i="42" s="1"/>
  <c r="D144" i="75"/>
  <c r="E144" i="75" s="1"/>
  <c r="G143" i="75"/>
  <c r="I151" i="28"/>
  <c r="H151" i="28"/>
  <c r="J142" i="77"/>
  <c r="G142" i="80"/>
  <c r="D143" i="80"/>
  <c r="E143" i="80" s="1"/>
  <c r="B150" i="34"/>
  <c r="G143" i="77"/>
  <c r="D144" i="77"/>
  <c r="I140" i="87"/>
  <c r="H140" i="87"/>
  <c r="I148" i="3"/>
  <c r="H148" i="3"/>
  <c r="G146" i="55"/>
  <c r="D147" i="55"/>
  <c r="E147" i="55" s="1"/>
  <c r="I141" i="95"/>
  <c r="H141" i="95"/>
  <c r="J147" i="42"/>
  <c r="F144" i="67"/>
  <c r="B144" i="67"/>
  <c r="H141" i="94"/>
  <c r="I141" i="94"/>
  <c r="I140" i="96"/>
  <c r="H140" i="96"/>
  <c r="E150" i="34"/>
  <c r="F150" i="34" s="1"/>
  <c r="G140" i="33"/>
  <c r="D141" i="33"/>
  <c r="E141" i="33" s="1"/>
  <c r="B141" i="87"/>
  <c r="F141" i="87"/>
  <c r="B150" i="17"/>
  <c r="F150" i="17"/>
  <c r="D142" i="93"/>
  <c r="E142" i="93" s="1"/>
  <c r="G141" i="93"/>
  <c r="G146" i="54"/>
  <c r="D147" i="54"/>
  <c r="I143" i="67"/>
  <c r="H143" i="67"/>
  <c r="G72" i="100" l="1"/>
  <c r="G73" i="100" s="1"/>
  <c r="H72" i="100"/>
  <c r="H143" i="100"/>
  <c r="I143" i="100"/>
  <c r="E144" i="100"/>
  <c r="B144" i="100"/>
  <c r="F144" i="100"/>
  <c r="B71" i="19"/>
  <c r="I72" i="31"/>
  <c r="I73" i="31" s="1"/>
  <c r="I72" i="99"/>
  <c r="I73" i="99" s="1"/>
  <c r="I140" i="25"/>
  <c r="H140" i="25"/>
  <c r="E141" i="25"/>
  <c r="F141" i="25" s="1"/>
  <c r="B141" i="25"/>
  <c r="D147" i="72"/>
  <c r="B147" i="72" s="1"/>
  <c r="H145" i="62"/>
  <c r="J145" i="62" s="1"/>
  <c r="I62" i="98"/>
  <c r="G72" i="24"/>
  <c r="G73" i="24" s="1"/>
  <c r="E63" i="98"/>
  <c r="F63" i="98" s="1"/>
  <c r="D64" i="98" s="1"/>
  <c r="B63" i="98"/>
  <c r="I140" i="99"/>
  <c r="H140" i="99"/>
  <c r="B141" i="99"/>
  <c r="F141" i="99"/>
  <c r="G70" i="72"/>
  <c r="D71" i="72"/>
  <c r="H70" i="72"/>
  <c r="G68" i="68"/>
  <c r="I68" i="68" s="1"/>
  <c r="D69" i="68"/>
  <c r="B69" i="68" s="1"/>
  <c r="H67" i="67"/>
  <c r="G67" i="67"/>
  <c r="D68" i="67"/>
  <c r="I72" i="30"/>
  <c r="I73" i="30" s="1"/>
  <c r="H67" i="65"/>
  <c r="G67" i="65"/>
  <c r="G69" i="58"/>
  <c r="H69" i="58"/>
  <c r="D70" i="58"/>
  <c r="B70" i="58" s="1"/>
  <c r="D69" i="53"/>
  <c r="E69" i="53" s="1"/>
  <c r="G68" i="53"/>
  <c r="I68" i="53" s="1"/>
  <c r="H73" i="24"/>
  <c r="I63" i="84"/>
  <c r="I66" i="65"/>
  <c r="G65" i="59"/>
  <c r="I65" i="59" s="1"/>
  <c r="G141" i="98"/>
  <c r="D142" i="98"/>
  <c r="D142" i="97"/>
  <c r="G141" i="97"/>
  <c r="G145" i="63"/>
  <c r="H145" i="63" s="1"/>
  <c r="G146" i="62"/>
  <c r="I146" i="62" s="1"/>
  <c r="G145" i="64"/>
  <c r="D146" i="64"/>
  <c r="G151" i="70"/>
  <c r="H151" i="70" s="1"/>
  <c r="I60" i="95"/>
  <c r="I65" i="86"/>
  <c r="H63" i="78"/>
  <c r="I63" i="78" s="1"/>
  <c r="B71" i="46"/>
  <c r="E71" i="46"/>
  <c r="F71" i="46" s="1"/>
  <c r="I70" i="46"/>
  <c r="G70" i="44"/>
  <c r="I70" i="44" s="1"/>
  <c r="I71" i="42"/>
  <c r="D67" i="82"/>
  <c r="E67" i="82" s="1"/>
  <c r="F67" i="82" s="1"/>
  <c r="D68" i="82" s="1"/>
  <c r="B68" i="82" s="1"/>
  <c r="G71" i="27"/>
  <c r="D72" i="27"/>
  <c r="H71" i="27"/>
  <c r="D65" i="80"/>
  <c r="E65" i="80" s="1"/>
  <c r="B62" i="94"/>
  <c r="G66" i="61"/>
  <c r="I66" i="61" s="1"/>
  <c r="D67" i="61"/>
  <c r="B64" i="80"/>
  <c r="G64" i="80"/>
  <c r="H64" i="80"/>
  <c r="B66" i="82"/>
  <c r="H66" i="82"/>
  <c r="G66" i="82"/>
  <c r="E63" i="91"/>
  <c r="F63" i="91" s="1"/>
  <c r="E62" i="94"/>
  <c r="F62" i="94" s="1"/>
  <c r="H62" i="94" s="1"/>
  <c r="G69" i="39"/>
  <c r="G69" i="55"/>
  <c r="I69" i="55" s="1"/>
  <c r="D70" i="55"/>
  <c r="E71" i="34"/>
  <c r="F71" i="34" s="1"/>
  <c r="B71" i="34"/>
  <c r="H69" i="39"/>
  <c r="D67" i="75"/>
  <c r="E72" i="42"/>
  <c r="E73" i="42" s="1"/>
  <c r="B72" i="42"/>
  <c r="D63" i="93"/>
  <c r="E63" i="93" s="1"/>
  <c r="F63" i="93" s="1"/>
  <c r="D65" i="90"/>
  <c r="E64" i="84"/>
  <c r="F64" i="84" s="1"/>
  <c r="B64" i="84"/>
  <c r="I63" i="85"/>
  <c r="G66" i="75"/>
  <c r="I66" i="75" s="1"/>
  <c r="H62" i="93"/>
  <c r="I62" i="93" s="1"/>
  <c r="H64" i="90"/>
  <c r="I64" i="90" s="1"/>
  <c r="I63" i="90"/>
  <c r="H72" i="22"/>
  <c r="G72" i="22"/>
  <c r="G73" i="22" s="1"/>
  <c r="I70" i="34"/>
  <c r="I62" i="91"/>
  <c r="D62" i="96"/>
  <c r="E62" i="96" s="1"/>
  <c r="H61" i="96"/>
  <c r="G61" i="96"/>
  <c r="H64" i="76"/>
  <c r="D65" i="76"/>
  <c r="G64" i="76"/>
  <c r="I68" i="60"/>
  <c r="B66" i="86"/>
  <c r="E66" i="86"/>
  <c r="F66" i="86" s="1"/>
  <c r="G62" i="81"/>
  <c r="H63" i="79"/>
  <c r="E70" i="39"/>
  <c r="F70" i="39" s="1"/>
  <c r="G70" i="39" s="1"/>
  <c r="B70" i="39"/>
  <c r="H62" i="81"/>
  <c r="E63" i="81"/>
  <c r="F63" i="81" s="1"/>
  <c r="B63" i="81"/>
  <c r="B64" i="85"/>
  <c r="F64" i="85"/>
  <c r="G64" i="85" s="1"/>
  <c r="F61" i="95"/>
  <c r="G61" i="95" s="1"/>
  <c r="B61" i="95"/>
  <c r="D72" i="19"/>
  <c r="E72" i="19" s="1"/>
  <c r="E73" i="19" s="1"/>
  <c r="G71" i="19"/>
  <c r="H71" i="19"/>
  <c r="G61" i="89"/>
  <c r="D62" i="89"/>
  <c r="H61" i="89"/>
  <c r="D66" i="77"/>
  <c r="E66" i="77" s="1"/>
  <c r="H65" i="77"/>
  <c r="G65" i="77"/>
  <c r="D65" i="88"/>
  <c r="D67" i="64"/>
  <c r="E67" i="64" s="1"/>
  <c r="F67" i="64" s="1"/>
  <c r="H66" i="64"/>
  <c r="G66" i="64"/>
  <c r="B71" i="41"/>
  <c r="D62" i="92"/>
  <c r="E62" i="92" s="1"/>
  <c r="F62" i="92" s="1"/>
  <c r="D63" i="92" s="1"/>
  <c r="D68" i="57"/>
  <c r="I72" i="17"/>
  <c r="I73" i="17" s="1"/>
  <c r="H73" i="17"/>
  <c r="E64" i="79"/>
  <c r="F64" i="79" s="1"/>
  <c r="B64" i="79"/>
  <c r="D68" i="54"/>
  <c r="E68" i="54" s="1"/>
  <c r="G71" i="74"/>
  <c r="D72" i="74"/>
  <c r="E72" i="74" s="1"/>
  <c r="E73" i="74" s="1"/>
  <c r="B68" i="56"/>
  <c r="H67" i="54"/>
  <c r="I70" i="41"/>
  <c r="D70" i="60"/>
  <c r="E70" i="60" s="1"/>
  <c r="F70" i="60" s="1"/>
  <c r="H71" i="74"/>
  <c r="F71" i="43"/>
  <c r="D72" i="43" s="1"/>
  <c r="B71" i="43"/>
  <c r="D71" i="44"/>
  <c r="E71" i="44" s="1"/>
  <c r="F68" i="45"/>
  <c r="H68" i="45" s="1"/>
  <c r="B68" i="45"/>
  <c r="E68" i="56"/>
  <c r="F68" i="56" s="1"/>
  <c r="F71" i="21"/>
  <c r="D72" i="21" s="1"/>
  <c r="B71" i="21"/>
  <c r="I72" i="70"/>
  <c r="I73" i="70" s="1"/>
  <c r="H73" i="70"/>
  <c r="H69" i="60"/>
  <c r="H61" i="92"/>
  <c r="I67" i="68"/>
  <c r="H67" i="57"/>
  <c r="I64" i="77"/>
  <c r="I70" i="21"/>
  <c r="D64" i="78"/>
  <c r="E64" i="78" s="1"/>
  <c r="B64" i="88"/>
  <c r="H64" i="88"/>
  <c r="G64" i="88"/>
  <c r="D68" i="63"/>
  <c r="E68" i="63" s="1"/>
  <c r="H67" i="63"/>
  <c r="G67" i="63"/>
  <c r="G67" i="54"/>
  <c r="G69" i="60"/>
  <c r="E71" i="41"/>
  <c r="F71" i="41" s="1"/>
  <c r="D72" i="41" s="1"/>
  <c r="H62" i="83"/>
  <c r="I62" i="83" s="1"/>
  <c r="D63" i="83"/>
  <c r="G63" i="79"/>
  <c r="G61" i="92"/>
  <c r="G67" i="57"/>
  <c r="G143" i="78"/>
  <c r="I143" i="78" s="1"/>
  <c r="D144" i="78"/>
  <c r="B144" i="78" s="1"/>
  <c r="J143" i="66"/>
  <c r="E143" i="81"/>
  <c r="F143" i="81" s="1"/>
  <c r="E152" i="27"/>
  <c r="F152" i="27" s="1"/>
  <c r="B152" i="27"/>
  <c r="J151" i="30"/>
  <c r="I151" i="27"/>
  <c r="H151" i="27"/>
  <c r="J143" i="68"/>
  <c r="J149" i="31"/>
  <c r="J144" i="65"/>
  <c r="J150" i="29"/>
  <c r="J142" i="78"/>
  <c r="J144" i="61"/>
  <c r="B149" i="39"/>
  <c r="E149" i="39"/>
  <c r="F149" i="39" s="1"/>
  <c r="J148" i="41"/>
  <c r="I148" i="39"/>
  <c r="H148" i="39"/>
  <c r="J144" i="63"/>
  <c r="J150" i="71"/>
  <c r="J150" i="70"/>
  <c r="J145" i="58"/>
  <c r="G149" i="41"/>
  <c r="D150" i="41"/>
  <c r="D71" i="18"/>
  <c r="E71" i="18" s="1"/>
  <c r="B63" i="33"/>
  <c r="B61" i="13"/>
  <c r="B68" i="65"/>
  <c r="E149" i="73"/>
  <c r="F149" i="73" s="1"/>
  <c r="D150" i="73" s="1"/>
  <c r="E150" i="73" s="1"/>
  <c r="H69" i="73"/>
  <c r="I69" i="73" s="1"/>
  <c r="B63" i="25"/>
  <c r="H70" i="18"/>
  <c r="I148" i="43"/>
  <c r="H148" i="43"/>
  <c r="F65" i="62"/>
  <c r="G65" i="62" s="1"/>
  <c r="B65" i="62"/>
  <c r="E61" i="13"/>
  <c r="F61" i="13" s="1"/>
  <c r="G61" i="13" s="1"/>
  <c r="I68" i="66"/>
  <c r="I61" i="87"/>
  <c r="J145" i="72"/>
  <c r="E147" i="72"/>
  <c r="F147" i="72" s="1"/>
  <c r="G147" i="72" s="1"/>
  <c r="F69" i="20"/>
  <c r="H69" i="20" s="1"/>
  <c r="B69" i="20"/>
  <c r="E63" i="25"/>
  <c r="F63" i="25" s="1"/>
  <c r="D66" i="59"/>
  <c r="E149" i="43"/>
  <c r="F149" i="43" s="1"/>
  <c r="B149" i="43"/>
  <c r="D70" i="73"/>
  <c r="G70" i="18"/>
  <c r="B62" i="26"/>
  <c r="F62" i="26"/>
  <c r="H62" i="26" s="1"/>
  <c r="E63" i="33"/>
  <c r="F63" i="33" s="1"/>
  <c r="E68" i="65"/>
  <c r="F68" i="65" s="1"/>
  <c r="B69" i="66"/>
  <c r="F69" i="66"/>
  <c r="F62" i="87"/>
  <c r="B62" i="87"/>
  <c r="D145" i="66"/>
  <c r="G144" i="66"/>
  <c r="D146" i="65"/>
  <c r="B146" i="65" s="1"/>
  <c r="G145" i="65"/>
  <c r="G143" i="79"/>
  <c r="D144" i="79"/>
  <c r="E144" i="79" s="1"/>
  <c r="D152" i="71"/>
  <c r="G151" i="71"/>
  <c r="E152" i="70"/>
  <c r="F152" i="70" s="1"/>
  <c r="B152" i="70"/>
  <c r="I146" i="53"/>
  <c r="H146" i="53"/>
  <c r="J150" i="23"/>
  <c r="J149" i="18"/>
  <c r="G146" i="46"/>
  <c r="D147" i="46"/>
  <c r="B147" i="46" s="1"/>
  <c r="G147" i="74"/>
  <c r="D148" i="74"/>
  <c r="G151" i="29"/>
  <c r="D152" i="29"/>
  <c r="B152" i="29" s="1"/>
  <c r="G145" i="61"/>
  <c r="D146" i="61"/>
  <c r="B146" i="61" s="1"/>
  <c r="G150" i="31"/>
  <c r="D151" i="31"/>
  <c r="G141" i="88"/>
  <c r="D142" i="88"/>
  <c r="E142" i="88" s="1"/>
  <c r="D153" i="30"/>
  <c r="G152" i="30"/>
  <c r="G141" i="92"/>
  <c r="D142" i="92"/>
  <c r="E142" i="92" s="1"/>
  <c r="D145" i="68"/>
  <c r="E145" i="68" s="1"/>
  <c r="G144" i="68"/>
  <c r="D142" i="86"/>
  <c r="E142" i="86" s="1"/>
  <c r="G141" i="86"/>
  <c r="E143" i="26"/>
  <c r="F143" i="26" s="1"/>
  <c r="B143" i="26"/>
  <c r="I150" i="32"/>
  <c r="H150" i="32"/>
  <c r="B150" i="19"/>
  <c r="D146" i="60"/>
  <c r="G145" i="60"/>
  <c r="D147" i="58"/>
  <c r="B147" i="58" s="1"/>
  <c r="G146" i="58"/>
  <c r="G148" i="45"/>
  <c r="D149" i="45"/>
  <c r="B149" i="45" s="1"/>
  <c r="E151" i="32"/>
  <c r="F151" i="32" s="1"/>
  <c r="B151" i="32"/>
  <c r="J145" i="59"/>
  <c r="J150" i="69"/>
  <c r="G142" i="85"/>
  <c r="D143" i="85"/>
  <c r="B143" i="85" s="1"/>
  <c r="I141" i="91"/>
  <c r="H141" i="91"/>
  <c r="I149" i="20"/>
  <c r="H149" i="20"/>
  <c r="J145" i="46"/>
  <c r="J142" i="79"/>
  <c r="H141" i="89"/>
  <c r="I141" i="89"/>
  <c r="H148" i="73"/>
  <c r="I148" i="73"/>
  <c r="D142" i="90"/>
  <c r="E142" i="90" s="1"/>
  <c r="G141" i="90"/>
  <c r="J146" i="74"/>
  <c r="J147" i="45"/>
  <c r="I142" i="26"/>
  <c r="H142" i="26"/>
  <c r="E150" i="22"/>
  <c r="F150" i="22" s="1"/>
  <c r="H149" i="19"/>
  <c r="I149" i="19"/>
  <c r="F142" i="91"/>
  <c r="B142" i="91"/>
  <c r="D152" i="69"/>
  <c r="B152" i="69" s="1"/>
  <c r="G151" i="69"/>
  <c r="B150" i="20"/>
  <c r="F142" i="89"/>
  <c r="B142" i="89"/>
  <c r="I142" i="81"/>
  <c r="H142" i="81"/>
  <c r="J144" i="60"/>
  <c r="H146" i="72"/>
  <c r="I146" i="72"/>
  <c r="E150" i="20"/>
  <c r="F150" i="20" s="1"/>
  <c r="E147" i="53"/>
  <c r="F147" i="53" s="1"/>
  <c r="B147" i="53"/>
  <c r="E146" i="63"/>
  <c r="F146" i="63" s="1"/>
  <c r="B146" i="63"/>
  <c r="D142" i="84"/>
  <c r="E142" i="84" s="1"/>
  <c r="G141" i="84"/>
  <c r="E147" i="62"/>
  <c r="F147" i="62" s="1"/>
  <c r="H149" i="22"/>
  <c r="I149" i="22"/>
  <c r="E150" i="19"/>
  <c r="F150" i="19" s="1"/>
  <c r="G151" i="23"/>
  <c r="D152" i="23"/>
  <c r="G150" i="18"/>
  <c r="D151" i="18"/>
  <c r="B151" i="18" s="1"/>
  <c r="B148" i="56"/>
  <c r="D147" i="59"/>
  <c r="E147" i="59" s="1"/>
  <c r="G146" i="59"/>
  <c r="J143" i="67"/>
  <c r="H147" i="56"/>
  <c r="I147" i="56"/>
  <c r="E148" i="56"/>
  <c r="F148" i="56" s="1"/>
  <c r="J147" i="44"/>
  <c r="J146" i="57"/>
  <c r="G147" i="57"/>
  <c r="D148" i="57"/>
  <c r="J151" i="28"/>
  <c r="J149" i="17"/>
  <c r="J149" i="34"/>
  <c r="G150" i="34"/>
  <c r="D151" i="34"/>
  <c r="E151" i="34" s="1"/>
  <c r="D151" i="17"/>
  <c r="E151" i="17" s="1"/>
  <c r="G150" i="17"/>
  <c r="I146" i="55"/>
  <c r="H146" i="55"/>
  <c r="B144" i="77"/>
  <c r="I142" i="80"/>
  <c r="H142" i="80"/>
  <c r="H143" i="75"/>
  <c r="I143" i="75"/>
  <c r="H148" i="42"/>
  <c r="I148" i="42"/>
  <c r="G148" i="44"/>
  <c r="D149" i="44"/>
  <c r="B144" i="76"/>
  <c r="F144" i="76"/>
  <c r="D150" i="3"/>
  <c r="E150" i="3" s="1"/>
  <c r="G149" i="3"/>
  <c r="B147" i="54"/>
  <c r="I146" i="54"/>
  <c r="H146" i="54"/>
  <c r="I141" i="93"/>
  <c r="H141" i="93"/>
  <c r="F141" i="33"/>
  <c r="B141" i="33"/>
  <c r="E144" i="77"/>
  <c r="F144" i="77" s="1"/>
  <c r="H142" i="83"/>
  <c r="I142" i="83"/>
  <c r="B150" i="21"/>
  <c r="F150" i="21"/>
  <c r="E147" i="54"/>
  <c r="F147" i="54" s="1"/>
  <c r="D142" i="87"/>
  <c r="E142" i="87" s="1"/>
  <c r="G141" i="87"/>
  <c r="H140" i="33"/>
  <c r="I140" i="33"/>
  <c r="D145" i="67"/>
  <c r="G144" i="67"/>
  <c r="I143" i="77"/>
  <c r="H143" i="77"/>
  <c r="B144" i="75"/>
  <c r="F144" i="75"/>
  <c r="G142" i="82"/>
  <c r="D143" i="82"/>
  <c r="E143" i="82" s="1"/>
  <c r="G142" i="94"/>
  <c r="D143" i="94"/>
  <c r="I140" i="13"/>
  <c r="H140" i="13"/>
  <c r="F151" i="24"/>
  <c r="B151" i="24"/>
  <c r="B142" i="93"/>
  <c r="F142" i="93"/>
  <c r="B147" i="55"/>
  <c r="F147" i="55"/>
  <c r="J148" i="3"/>
  <c r="B143" i="80"/>
  <c r="F143" i="80"/>
  <c r="B149" i="42"/>
  <c r="F149" i="42"/>
  <c r="G142" i="95"/>
  <c r="D143" i="95"/>
  <c r="E143" i="95" s="1"/>
  <c r="H143" i="76"/>
  <c r="I143" i="76"/>
  <c r="G141" i="96"/>
  <c r="D142" i="96"/>
  <c r="E142" i="96" s="1"/>
  <c r="B143" i="83"/>
  <c r="F143" i="83"/>
  <c r="B141" i="13"/>
  <c r="F141" i="13"/>
  <c r="G152" i="28"/>
  <c r="D153" i="28"/>
  <c r="I149" i="21"/>
  <c r="H149" i="21"/>
  <c r="H150" i="24"/>
  <c r="I150" i="24"/>
  <c r="I72" i="100" l="1"/>
  <c r="I73" i="100" s="1"/>
  <c r="H73" i="100"/>
  <c r="G144" i="100"/>
  <c r="D145" i="100"/>
  <c r="I62" i="81"/>
  <c r="H146" i="62"/>
  <c r="I151" i="70"/>
  <c r="G141" i="25"/>
  <c r="D142" i="25"/>
  <c r="I67" i="65"/>
  <c r="J140" i="25"/>
  <c r="E69" i="68"/>
  <c r="F69" i="68" s="1"/>
  <c r="D70" i="68" s="1"/>
  <c r="E70" i="68" s="1"/>
  <c r="I72" i="24"/>
  <c r="I73" i="24" s="1"/>
  <c r="I145" i="63"/>
  <c r="J145" i="63" s="1"/>
  <c r="H143" i="78"/>
  <c r="J143" i="78" s="1"/>
  <c r="E64" i="98"/>
  <c r="F64" i="98" s="1"/>
  <c r="B64" i="98"/>
  <c r="H63" i="98"/>
  <c r="I70" i="72"/>
  <c r="G63" i="98"/>
  <c r="D142" i="99"/>
  <c r="G141" i="99"/>
  <c r="B71" i="72"/>
  <c r="E71" i="72"/>
  <c r="F71" i="72" s="1"/>
  <c r="D72" i="72" s="1"/>
  <c r="E68" i="67"/>
  <c r="F68" i="67" s="1"/>
  <c r="G68" i="67" s="1"/>
  <c r="B68" i="67"/>
  <c r="I67" i="67"/>
  <c r="E70" i="58"/>
  <c r="F70" i="58" s="1"/>
  <c r="D71" i="58" s="1"/>
  <c r="B71" i="58" s="1"/>
  <c r="I69" i="58"/>
  <c r="F69" i="53"/>
  <c r="H69" i="53" s="1"/>
  <c r="B69" i="53"/>
  <c r="I69" i="39"/>
  <c r="I63" i="79"/>
  <c r="D148" i="72"/>
  <c r="B148" i="72" s="1"/>
  <c r="H141" i="97"/>
  <c r="I141" i="97"/>
  <c r="B142" i="97"/>
  <c r="E142" i="98"/>
  <c r="F142" i="98" s="1"/>
  <c r="B142" i="98"/>
  <c r="E142" i="97"/>
  <c r="F142" i="97" s="1"/>
  <c r="H141" i="98"/>
  <c r="I141" i="98"/>
  <c r="G149" i="73"/>
  <c r="I149" i="73" s="1"/>
  <c r="E146" i="64"/>
  <c r="F146" i="64" s="1"/>
  <c r="B146" i="64"/>
  <c r="I145" i="64"/>
  <c r="H145" i="64"/>
  <c r="E152" i="29"/>
  <c r="F152" i="29" s="1"/>
  <c r="D153" i="29" s="1"/>
  <c r="B153" i="29" s="1"/>
  <c r="H64" i="85"/>
  <c r="I64" i="85" s="1"/>
  <c r="I66" i="82"/>
  <c r="E68" i="82"/>
  <c r="F68" i="82" s="1"/>
  <c r="H68" i="82" s="1"/>
  <c r="D72" i="46"/>
  <c r="G71" i="46"/>
  <c r="H71" i="46"/>
  <c r="H63" i="91"/>
  <c r="D64" i="91"/>
  <c r="G63" i="91"/>
  <c r="E72" i="27"/>
  <c r="E73" i="27" s="1"/>
  <c r="B72" i="27"/>
  <c r="I61" i="96"/>
  <c r="F72" i="42"/>
  <c r="H72" i="42" s="1"/>
  <c r="H73" i="42" s="1"/>
  <c r="I64" i="80"/>
  <c r="G62" i="94"/>
  <c r="I62" i="94" s="1"/>
  <c r="B65" i="80"/>
  <c r="F65" i="80"/>
  <c r="D63" i="94"/>
  <c r="E63" i="94" s="1"/>
  <c r="E67" i="61"/>
  <c r="F67" i="61" s="1"/>
  <c r="B67" i="61"/>
  <c r="I71" i="27"/>
  <c r="B67" i="82"/>
  <c r="G67" i="82"/>
  <c r="H67" i="82"/>
  <c r="H64" i="84"/>
  <c r="D65" i="84"/>
  <c r="G64" i="84"/>
  <c r="G71" i="34"/>
  <c r="D72" i="34"/>
  <c r="H71" i="34"/>
  <c r="G68" i="45"/>
  <c r="I68" i="45" s="1"/>
  <c r="B65" i="90"/>
  <c r="B67" i="75"/>
  <c r="D64" i="93"/>
  <c r="E64" i="93" s="1"/>
  <c r="E70" i="55"/>
  <c r="F70" i="55" s="1"/>
  <c r="B70" i="55"/>
  <c r="I64" i="76"/>
  <c r="H73" i="22"/>
  <c r="I72" i="22"/>
  <c r="I73" i="22" s="1"/>
  <c r="B63" i="93"/>
  <c r="G63" i="93"/>
  <c r="H63" i="93"/>
  <c r="G62" i="26"/>
  <c r="I62" i="26" s="1"/>
  <c r="E65" i="90"/>
  <c r="F65" i="90" s="1"/>
  <c r="E67" i="75"/>
  <c r="F67" i="75" s="1"/>
  <c r="G63" i="81"/>
  <c r="D64" i="81"/>
  <c r="H63" i="81"/>
  <c r="G71" i="21"/>
  <c r="H71" i="41"/>
  <c r="D62" i="95"/>
  <c r="E62" i="95" s="1"/>
  <c r="D67" i="86"/>
  <c r="G66" i="86"/>
  <c r="H66" i="86"/>
  <c r="B65" i="76"/>
  <c r="I69" i="60"/>
  <c r="H70" i="39"/>
  <c r="I70" i="39" s="1"/>
  <c r="D71" i="39"/>
  <c r="E71" i="39" s="1"/>
  <c r="E65" i="76"/>
  <c r="F65" i="76" s="1"/>
  <c r="B62" i="96"/>
  <c r="F62" i="96"/>
  <c r="H62" i="96" s="1"/>
  <c r="H61" i="95"/>
  <c r="I61" i="95" s="1"/>
  <c r="D65" i="85"/>
  <c r="E65" i="85" s="1"/>
  <c r="F65" i="85" s="1"/>
  <c r="D66" i="85" s="1"/>
  <c r="I65" i="77"/>
  <c r="I66" i="64"/>
  <c r="I64" i="88"/>
  <c r="I67" i="57"/>
  <c r="D69" i="56"/>
  <c r="E69" i="56" s="1"/>
  <c r="F69" i="56" s="1"/>
  <c r="D70" i="56" s="1"/>
  <c r="H68" i="56"/>
  <c r="G68" i="56"/>
  <c r="E63" i="92"/>
  <c r="F63" i="92" s="1"/>
  <c r="H63" i="92" s="1"/>
  <c r="B63" i="92"/>
  <c r="D68" i="64"/>
  <c r="E68" i="64" s="1"/>
  <c r="F68" i="64" s="1"/>
  <c r="D65" i="79"/>
  <c r="E65" i="79" s="1"/>
  <c r="G64" i="79"/>
  <c r="H64" i="79"/>
  <c r="E63" i="83"/>
  <c r="F63" i="83" s="1"/>
  <c r="G63" i="83" s="1"/>
  <c r="B63" i="83"/>
  <c r="B68" i="57"/>
  <c r="B65" i="88"/>
  <c r="I71" i="19"/>
  <c r="H65" i="62"/>
  <c r="I65" i="62" s="1"/>
  <c r="F64" i="78"/>
  <c r="D65" i="78" s="1"/>
  <c r="B64" i="78"/>
  <c r="B71" i="44"/>
  <c r="F71" i="44"/>
  <c r="H71" i="44" s="1"/>
  <c r="G71" i="43"/>
  <c r="B70" i="60"/>
  <c r="G70" i="60"/>
  <c r="H70" i="60"/>
  <c r="I61" i="89"/>
  <c r="E72" i="41"/>
  <c r="E73" i="41" s="1"/>
  <c r="B72" i="41"/>
  <c r="I61" i="92"/>
  <c r="E72" i="21"/>
  <c r="E73" i="21" s="1"/>
  <c r="B72" i="21"/>
  <c r="E72" i="43"/>
  <c r="E73" i="43" s="1"/>
  <c r="B72" i="43"/>
  <c r="B62" i="92"/>
  <c r="G62" i="92"/>
  <c r="H62" i="92"/>
  <c r="B67" i="64"/>
  <c r="G67" i="64"/>
  <c r="H67" i="64"/>
  <c r="E62" i="89"/>
  <c r="F62" i="89" s="1"/>
  <c r="H62" i="89" s="1"/>
  <c r="B62" i="89"/>
  <c r="F68" i="63"/>
  <c r="B68" i="63"/>
  <c r="D71" i="60"/>
  <c r="E71" i="60" s="1"/>
  <c r="I67" i="63"/>
  <c r="H71" i="21"/>
  <c r="D69" i="45"/>
  <c r="H71" i="43"/>
  <c r="I71" i="74"/>
  <c r="I67" i="54"/>
  <c r="B72" i="74"/>
  <c r="F72" i="74"/>
  <c r="G72" i="74" s="1"/>
  <c r="G73" i="74" s="1"/>
  <c r="F68" i="54"/>
  <c r="G68" i="54" s="1"/>
  <c r="B68" i="54"/>
  <c r="E68" i="57"/>
  <c r="F68" i="57" s="1"/>
  <c r="G71" i="41"/>
  <c r="E65" i="88"/>
  <c r="F65" i="88" s="1"/>
  <c r="B66" i="77"/>
  <c r="F66" i="77"/>
  <c r="H66" i="77" s="1"/>
  <c r="F72" i="19"/>
  <c r="G72" i="19" s="1"/>
  <c r="G73" i="19" s="1"/>
  <c r="B72" i="19"/>
  <c r="E144" i="78"/>
  <c r="F144" i="78" s="1"/>
  <c r="G144" i="78" s="1"/>
  <c r="E143" i="85"/>
  <c r="F143" i="85" s="1"/>
  <c r="J151" i="27"/>
  <c r="D153" i="27"/>
  <c r="G152" i="27"/>
  <c r="J148" i="43"/>
  <c r="J149" i="20"/>
  <c r="E149" i="45"/>
  <c r="F149" i="45" s="1"/>
  <c r="D150" i="45" s="1"/>
  <c r="B150" i="45" s="1"/>
  <c r="D150" i="39"/>
  <c r="G149" i="39"/>
  <c r="J148" i="39"/>
  <c r="D69" i="65"/>
  <c r="H68" i="65"/>
  <c r="G68" i="65"/>
  <c r="D64" i="33"/>
  <c r="G63" i="33"/>
  <c r="H63" i="33"/>
  <c r="D64" i="25"/>
  <c r="E64" i="25" s="1"/>
  <c r="H63" i="25"/>
  <c r="G63" i="25"/>
  <c r="D63" i="87"/>
  <c r="E63" i="87" s="1"/>
  <c r="D70" i="66"/>
  <c r="E70" i="66" s="1"/>
  <c r="B70" i="73"/>
  <c r="G149" i="43"/>
  <c r="D150" i="43"/>
  <c r="B66" i="59"/>
  <c r="G69" i="20"/>
  <c r="I69" i="20" s="1"/>
  <c r="I70" i="18"/>
  <c r="H61" i="13"/>
  <c r="I61" i="13" s="1"/>
  <c r="E150" i="41"/>
  <c r="F150" i="41" s="1"/>
  <c r="B150" i="41"/>
  <c r="J146" i="72"/>
  <c r="G62" i="87"/>
  <c r="G69" i="66"/>
  <c r="D63" i="26"/>
  <c r="E63" i="26" s="1"/>
  <c r="E70" i="73"/>
  <c r="F70" i="73" s="1"/>
  <c r="D66" i="62"/>
  <c r="H149" i="41"/>
  <c r="I149" i="41"/>
  <c r="H62" i="87"/>
  <c r="H69" i="66"/>
  <c r="E66" i="59"/>
  <c r="F66" i="59" s="1"/>
  <c r="D70" i="20"/>
  <c r="E70" i="20" s="1"/>
  <c r="D62" i="13"/>
  <c r="F71" i="18"/>
  <c r="H71" i="18" s="1"/>
  <c r="B71" i="18"/>
  <c r="D151" i="19"/>
  <c r="G150" i="19"/>
  <c r="G146" i="63"/>
  <c r="D147" i="63"/>
  <c r="D151" i="20"/>
  <c r="E151" i="20" s="1"/>
  <c r="G150" i="20"/>
  <c r="G143" i="26"/>
  <c r="D144" i="26"/>
  <c r="B144" i="26" s="1"/>
  <c r="G152" i="70"/>
  <c r="D153" i="70"/>
  <c r="J151" i="70"/>
  <c r="G142" i="89"/>
  <c r="D143" i="89"/>
  <c r="E143" i="89" s="1"/>
  <c r="H151" i="69"/>
  <c r="I151" i="69"/>
  <c r="J149" i="19"/>
  <c r="J142" i="26"/>
  <c r="G143" i="81"/>
  <c r="D144" i="81"/>
  <c r="J146" i="62"/>
  <c r="I145" i="60"/>
  <c r="H145" i="60"/>
  <c r="H144" i="68"/>
  <c r="I144" i="68"/>
  <c r="I141" i="92"/>
  <c r="H141" i="92"/>
  <c r="B142" i="88"/>
  <c r="F142" i="88"/>
  <c r="H150" i="31"/>
  <c r="I150" i="31"/>
  <c r="B144" i="79"/>
  <c r="F144" i="79"/>
  <c r="I145" i="65"/>
  <c r="H145" i="65"/>
  <c r="J149" i="22"/>
  <c r="I141" i="84"/>
  <c r="H141" i="84"/>
  <c r="F142" i="90"/>
  <c r="B142" i="90"/>
  <c r="D152" i="32"/>
  <c r="G151" i="32"/>
  <c r="E147" i="58"/>
  <c r="F147" i="58" s="1"/>
  <c r="E146" i="60"/>
  <c r="F146" i="60" s="1"/>
  <c r="B146" i="60"/>
  <c r="J150" i="32"/>
  <c r="H141" i="86"/>
  <c r="I141" i="86"/>
  <c r="F145" i="68"/>
  <c r="B145" i="68"/>
  <c r="E146" i="61"/>
  <c r="F146" i="61" s="1"/>
  <c r="I151" i="29"/>
  <c r="H151" i="29"/>
  <c r="E147" i="46"/>
  <c r="F147" i="46" s="1"/>
  <c r="I143" i="79"/>
  <c r="H143" i="79"/>
  <c r="F142" i="84"/>
  <c r="B142" i="84"/>
  <c r="G150" i="22"/>
  <c r="D151" i="22"/>
  <c r="B151" i="22" s="1"/>
  <c r="J148" i="73"/>
  <c r="I148" i="45"/>
  <c r="H148" i="45"/>
  <c r="H146" i="58"/>
  <c r="I146" i="58"/>
  <c r="H149" i="73"/>
  <c r="B142" i="86"/>
  <c r="F142" i="86"/>
  <c r="F142" i="92"/>
  <c r="B142" i="92"/>
  <c r="H152" i="30"/>
  <c r="I152" i="30"/>
  <c r="I141" i="88"/>
  <c r="H141" i="88"/>
  <c r="E148" i="74"/>
  <c r="F148" i="74" s="1"/>
  <c r="B148" i="74"/>
  <c r="I146" i="46"/>
  <c r="H146" i="46"/>
  <c r="J146" i="53"/>
  <c r="H151" i="71"/>
  <c r="I151" i="71"/>
  <c r="I144" i="66"/>
  <c r="H144" i="66"/>
  <c r="G147" i="62"/>
  <c r="D148" i="62"/>
  <c r="G147" i="53"/>
  <c r="D148" i="53"/>
  <c r="E152" i="69"/>
  <c r="F152" i="69" s="1"/>
  <c r="G142" i="91"/>
  <c r="D143" i="91"/>
  <c r="H141" i="90"/>
  <c r="I141" i="90"/>
  <c r="H142" i="85"/>
  <c r="I142" i="85"/>
  <c r="F150" i="73"/>
  <c r="B150" i="73"/>
  <c r="I147" i="72"/>
  <c r="H147" i="72"/>
  <c r="E153" i="30"/>
  <c r="F153" i="30" s="1"/>
  <c r="B153" i="30"/>
  <c r="E151" i="31"/>
  <c r="F151" i="31" s="1"/>
  <c r="B151" i="31"/>
  <c r="H145" i="61"/>
  <c r="I145" i="61"/>
  <c r="H147" i="74"/>
  <c r="I147" i="74"/>
  <c r="E152" i="71"/>
  <c r="F152" i="71" s="1"/>
  <c r="B152" i="71"/>
  <c r="E146" i="65"/>
  <c r="F146" i="65" s="1"/>
  <c r="E145" i="66"/>
  <c r="F145" i="66" s="1"/>
  <c r="B145" i="66"/>
  <c r="G148" i="56"/>
  <c r="D149" i="56"/>
  <c r="J147" i="56"/>
  <c r="I150" i="18"/>
  <c r="H150" i="18"/>
  <c r="B147" i="59"/>
  <c r="F147" i="59"/>
  <c r="B152" i="23"/>
  <c r="J143" i="77"/>
  <c r="J148" i="42"/>
  <c r="E151" i="18"/>
  <c r="F151" i="18" s="1"/>
  <c r="H151" i="23"/>
  <c r="I151" i="23"/>
  <c r="J150" i="24"/>
  <c r="I146" i="59"/>
  <c r="H146" i="59"/>
  <c r="E152" i="23"/>
  <c r="F152" i="23" s="1"/>
  <c r="I147" i="57"/>
  <c r="H147" i="57"/>
  <c r="J140" i="33"/>
  <c r="J143" i="75"/>
  <c r="E148" i="57"/>
  <c r="F148" i="57" s="1"/>
  <c r="B148" i="57"/>
  <c r="D148" i="54"/>
  <c r="E148" i="54" s="1"/>
  <c r="G147" i="54"/>
  <c r="G144" i="77"/>
  <c r="D145" i="77"/>
  <c r="E145" i="77" s="1"/>
  <c r="G143" i="80"/>
  <c r="D144" i="80"/>
  <c r="E144" i="80" s="1"/>
  <c r="G147" i="55"/>
  <c r="D148" i="55"/>
  <c r="E148" i="55" s="1"/>
  <c r="B143" i="94"/>
  <c r="I142" i="82"/>
  <c r="H142" i="82"/>
  <c r="G144" i="75"/>
  <c r="D145" i="75"/>
  <c r="E145" i="75" s="1"/>
  <c r="B145" i="67"/>
  <c r="B150" i="3"/>
  <c r="F150" i="3"/>
  <c r="B149" i="44"/>
  <c r="I152" i="28"/>
  <c r="H152" i="28"/>
  <c r="H142" i="94"/>
  <c r="I142" i="94"/>
  <c r="G141" i="33"/>
  <c r="D142" i="33"/>
  <c r="E142" i="33" s="1"/>
  <c r="J146" i="54"/>
  <c r="G144" i="76"/>
  <c r="D145" i="76"/>
  <c r="E145" i="76" s="1"/>
  <c r="H148" i="44"/>
  <c r="I148" i="44"/>
  <c r="J146" i="55"/>
  <c r="I150" i="17"/>
  <c r="H150" i="17"/>
  <c r="B153" i="28"/>
  <c r="G149" i="42"/>
  <c r="D150" i="42"/>
  <c r="E150" i="42" s="1"/>
  <c r="F142" i="96"/>
  <c r="B142" i="96"/>
  <c r="J149" i="21"/>
  <c r="D142" i="13"/>
  <c r="E142" i="13" s="1"/>
  <c r="G141" i="13"/>
  <c r="H141" i="96"/>
  <c r="I141" i="96"/>
  <c r="B143" i="95"/>
  <c r="F143" i="95"/>
  <c r="D143" i="93"/>
  <c r="E143" i="93" s="1"/>
  <c r="G142" i="93"/>
  <c r="G151" i="24"/>
  <c r="D152" i="24"/>
  <c r="E152" i="24" s="1"/>
  <c r="E145" i="67"/>
  <c r="F145" i="67" s="1"/>
  <c r="I141" i="87"/>
  <c r="H141" i="87"/>
  <c r="G150" i="21"/>
  <c r="D151" i="21"/>
  <c r="E151" i="21" s="1"/>
  <c r="B151" i="17"/>
  <c r="F151" i="17"/>
  <c r="B151" i="34"/>
  <c r="F151" i="34"/>
  <c r="G143" i="83"/>
  <c r="D144" i="83"/>
  <c r="E144" i="83" s="1"/>
  <c r="E153" i="28"/>
  <c r="F153" i="28" s="1"/>
  <c r="J143" i="76"/>
  <c r="I142" i="95"/>
  <c r="H142" i="95"/>
  <c r="E143" i="94"/>
  <c r="F143" i="94" s="1"/>
  <c r="F143" i="82"/>
  <c r="B143" i="82"/>
  <c r="H144" i="67"/>
  <c r="I144" i="67"/>
  <c r="B142" i="87"/>
  <c r="F142" i="87"/>
  <c r="I149" i="3"/>
  <c r="H149" i="3"/>
  <c r="E149" i="44"/>
  <c r="F149" i="44" s="1"/>
  <c r="I150" i="34"/>
  <c r="H150" i="34"/>
  <c r="E145" i="100" l="1"/>
  <c r="F145" i="100"/>
  <c r="B145" i="100"/>
  <c r="H144" i="100"/>
  <c r="I144" i="100"/>
  <c r="H69" i="68"/>
  <c r="G69" i="68"/>
  <c r="E142" i="25"/>
  <c r="F142" i="25" s="1"/>
  <c r="B142" i="25"/>
  <c r="H141" i="25"/>
  <c r="I141" i="25"/>
  <c r="H70" i="58"/>
  <c r="E71" i="58"/>
  <c r="F71" i="58" s="1"/>
  <c r="H71" i="58" s="1"/>
  <c r="D70" i="53"/>
  <c r="E70" i="53" s="1"/>
  <c r="G152" i="29"/>
  <c r="H152" i="29" s="1"/>
  <c r="D65" i="98"/>
  <c r="B65" i="98" s="1"/>
  <c r="G64" i="98"/>
  <c r="G69" i="53"/>
  <c r="I69" i="53" s="1"/>
  <c r="G70" i="58"/>
  <c r="H71" i="72"/>
  <c r="I63" i="98"/>
  <c r="G71" i="72"/>
  <c r="H64" i="98"/>
  <c r="I141" i="99"/>
  <c r="H141" i="99"/>
  <c r="E142" i="99"/>
  <c r="F142" i="99" s="1"/>
  <c r="B142" i="99"/>
  <c r="G68" i="82"/>
  <c r="I68" i="82" s="1"/>
  <c r="E72" i="72"/>
  <c r="E73" i="72" s="1"/>
  <c r="B72" i="72"/>
  <c r="D69" i="67"/>
  <c r="H68" i="67"/>
  <c r="I68" i="67" s="1"/>
  <c r="E148" i="72"/>
  <c r="F148" i="72" s="1"/>
  <c r="D149" i="72" s="1"/>
  <c r="D69" i="82"/>
  <c r="E69" i="82" s="1"/>
  <c r="F69" i="82" s="1"/>
  <c r="D70" i="82" s="1"/>
  <c r="I69" i="66"/>
  <c r="I71" i="46"/>
  <c r="G71" i="44"/>
  <c r="I71" i="44" s="1"/>
  <c r="I71" i="41"/>
  <c r="F72" i="21"/>
  <c r="H72" i="21" s="1"/>
  <c r="H73" i="21" s="1"/>
  <c r="D145" i="78"/>
  <c r="E145" i="78" s="1"/>
  <c r="F145" i="78" s="1"/>
  <c r="D143" i="97"/>
  <c r="G142" i="97"/>
  <c r="D143" i="98"/>
  <c r="G142" i="98"/>
  <c r="G146" i="64"/>
  <c r="D147" i="64"/>
  <c r="E153" i="29"/>
  <c r="F153" i="29" s="1"/>
  <c r="J145" i="64"/>
  <c r="E150" i="45"/>
  <c r="F150" i="45" s="1"/>
  <c r="D151" i="45" s="1"/>
  <c r="B151" i="45" s="1"/>
  <c r="E72" i="46"/>
  <c r="E73" i="46" s="1"/>
  <c r="B72" i="46"/>
  <c r="G72" i="42"/>
  <c r="G73" i="42" s="1"/>
  <c r="I71" i="34"/>
  <c r="F72" i="27"/>
  <c r="G72" i="27" s="1"/>
  <c r="G73" i="27" s="1"/>
  <c r="H68" i="54"/>
  <c r="I68" i="54" s="1"/>
  <c r="H64" i="78"/>
  <c r="I63" i="93"/>
  <c r="I67" i="82"/>
  <c r="I63" i="81"/>
  <c r="H67" i="61"/>
  <c r="D68" i="61"/>
  <c r="B63" i="94"/>
  <c r="F63" i="94"/>
  <c r="D64" i="94" s="1"/>
  <c r="E64" i="91"/>
  <c r="F64" i="91" s="1"/>
  <c r="B64" i="91"/>
  <c r="G67" i="61"/>
  <c r="G65" i="80"/>
  <c r="H65" i="80"/>
  <c r="D66" i="80"/>
  <c r="I63" i="91"/>
  <c r="H70" i="55"/>
  <c r="D71" i="55"/>
  <c r="G70" i="55"/>
  <c r="H65" i="90"/>
  <c r="D66" i="90"/>
  <c r="E66" i="90" s="1"/>
  <c r="F66" i="90" s="1"/>
  <c r="G65" i="90"/>
  <c r="I66" i="86"/>
  <c r="D68" i="75"/>
  <c r="E68" i="75" s="1"/>
  <c r="F68" i="75" s="1"/>
  <c r="D69" i="75" s="1"/>
  <c r="F64" i="93"/>
  <c r="H64" i="93" s="1"/>
  <c r="B64" i="93"/>
  <c r="H72" i="19"/>
  <c r="H73" i="19" s="1"/>
  <c r="H67" i="75"/>
  <c r="E65" i="84"/>
  <c r="F65" i="84" s="1"/>
  <c r="D66" i="84" s="1"/>
  <c r="B65" i="84"/>
  <c r="I70" i="60"/>
  <c r="I64" i="79"/>
  <c r="G67" i="75"/>
  <c r="E72" i="34"/>
  <c r="E73" i="34" s="1"/>
  <c r="B72" i="34"/>
  <c r="I64" i="84"/>
  <c r="D66" i="76"/>
  <c r="E66" i="76" s="1"/>
  <c r="F66" i="76" s="1"/>
  <c r="G65" i="76"/>
  <c r="H65" i="76"/>
  <c r="E66" i="85"/>
  <c r="F66" i="85" s="1"/>
  <c r="D67" i="85" s="1"/>
  <c r="B66" i="85"/>
  <c r="E67" i="86"/>
  <c r="F67" i="86" s="1"/>
  <c r="B67" i="86"/>
  <c r="F72" i="43"/>
  <c r="G62" i="96"/>
  <c r="I62" i="96" s="1"/>
  <c r="D63" i="96"/>
  <c r="E64" i="81"/>
  <c r="F64" i="81" s="1"/>
  <c r="G64" i="81" s="1"/>
  <c r="B64" i="81"/>
  <c r="B65" i="85"/>
  <c r="H65" i="85"/>
  <c r="G65" i="85"/>
  <c r="B71" i="39"/>
  <c r="F71" i="39"/>
  <c r="G71" i="39" s="1"/>
  <c r="B62" i="95"/>
  <c r="F62" i="95"/>
  <c r="H62" i="95" s="1"/>
  <c r="I63" i="33"/>
  <c r="D69" i="64"/>
  <c r="E69" i="64" s="1"/>
  <c r="F69" i="64" s="1"/>
  <c r="D66" i="88"/>
  <c r="H65" i="88"/>
  <c r="G65" i="88"/>
  <c r="D69" i="57"/>
  <c r="H68" i="57"/>
  <c r="G68" i="57"/>
  <c r="E70" i="56"/>
  <c r="F70" i="56" s="1"/>
  <c r="B70" i="56"/>
  <c r="I62" i="87"/>
  <c r="I71" i="21"/>
  <c r="H68" i="63"/>
  <c r="D69" i="63"/>
  <c r="D63" i="89"/>
  <c r="E63" i="89" s="1"/>
  <c r="F63" i="89" s="1"/>
  <c r="D64" i="89" s="1"/>
  <c r="H63" i="83"/>
  <c r="I63" i="83" s="1"/>
  <c r="D64" i="83"/>
  <c r="E64" i="83" s="1"/>
  <c r="I68" i="56"/>
  <c r="D67" i="77"/>
  <c r="E67" i="77" s="1"/>
  <c r="F67" i="77" s="1"/>
  <c r="G66" i="77"/>
  <c r="I66" i="77" s="1"/>
  <c r="H72" i="74"/>
  <c r="I71" i="43"/>
  <c r="G62" i="89"/>
  <c r="I62" i="89" s="1"/>
  <c r="I62" i="92"/>
  <c r="F72" i="41"/>
  <c r="D72" i="44"/>
  <c r="E72" i="44" s="1"/>
  <c r="E73" i="44" s="1"/>
  <c r="G64" i="78"/>
  <c r="G68" i="63"/>
  <c r="F65" i="79"/>
  <c r="G65" i="79" s="1"/>
  <c r="B65" i="79"/>
  <c r="B69" i="45"/>
  <c r="G63" i="92"/>
  <c r="I63" i="92" s="1"/>
  <c r="D64" i="92"/>
  <c r="I69" i="68"/>
  <c r="D69" i="54"/>
  <c r="E69" i="54" s="1"/>
  <c r="F69" i="54" s="1"/>
  <c r="E69" i="45"/>
  <c r="F69" i="45" s="1"/>
  <c r="B71" i="60"/>
  <c r="F71" i="60"/>
  <c r="G71" i="60" s="1"/>
  <c r="I67" i="64"/>
  <c r="E65" i="78"/>
  <c r="F65" i="78" s="1"/>
  <c r="D66" i="78" s="1"/>
  <c r="B65" i="78"/>
  <c r="B68" i="64"/>
  <c r="H68" i="64"/>
  <c r="G68" i="64"/>
  <c r="B69" i="56"/>
  <c r="H69" i="56"/>
  <c r="G69" i="56"/>
  <c r="G149" i="45"/>
  <c r="I152" i="27"/>
  <c r="H152" i="27"/>
  <c r="E153" i="27"/>
  <c r="F153" i="27" s="1"/>
  <c r="B153" i="27"/>
  <c r="J145" i="61"/>
  <c r="J151" i="71"/>
  <c r="E151" i="22"/>
  <c r="F151" i="22" s="1"/>
  <c r="G151" i="22" s="1"/>
  <c r="H149" i="39"/>
  <c r="I149" i="39"/>
  <c r="J149" i="41"/>
  <c r="B150" i="39"/>
  <c r="E150" i="39"/>
  <c r="F150" i="39" s="1"/>
  <c r="D67" i="59"/>
  <c r="E67" i="59" s="1"/>
  <c r="G66" i="59"/>
  <c r="H66" i="59"/>
  <c r="D71" i="73"/>
  <c r="E71" i="73" s="1"/>
  <c r="G70" i="73"/>
  <c r="H70" i="73"/>
  <c r="J144" i="66"/>
  <c r="J144" i="68"/>
  <c r="B66" i="62"/>
  <c r="B64" i="33"/>
  <c r="B69" i="65"/>
  <c r="D72" i="18"/>
  <c r="E72" i="18" s="1"/>
  <c r="E73" i="18" s="1"/>
  <c r="G150" i="41"/>
  <c r="D151" i="41"/>
  <c r="E150" i="43"/>
  <c r="F150" i="43" s="1"/>
  <c r="B150" i="43"/>
  <c r="B70" i="66"/>
  <c r="F70" i="66"/>
  <c r="H70" i="66" s="1"/>
  <c r="B63" i="87"/>
  <c r="F63" i="87"/>
  <c r="H63" i="87" s="1"/>
  <c r="F70" i="68"/>
  <c r="H70" i="68" s="1"/>
  <c r="B70" i="68"/>
  <c r="B64" i="25"/>
  <c r="F64" i="25"/>
  <c r="G64" i="25" s="1"/>
  <c r="E64" i="33"/>
  <c r="F64" i="33" s="1"/>
  <c r="E69" i="65"/>
  <c r="F69" i="65" s="1"/>
  <c r="B62" i="13"/>
  <c r="B63" i="26"/>
  <c r="F63" i="26"/>
  <c r="G63" i="26" s="1"/>
  <c r="I149" i="43"/>
  <c r="H149" i="43"/>
  <c r="J143" i="79"/>
  <c r="J145" i="65"/>
  <c r="J145" i="60"/>
  <c r="G71" i="18"/>
  <c r="I71" i="18" s="1"/>
  <c r="E62" i="13"/>
  <c r="F62" i="13" s="1"/>
  <c r="B70" i="20"/>
  <c r="F70" i="20"/>
  <c r="E66" i="62"/>
  <c r="F66" i="62" s="1"/>
  <c r="I63" i="25"/>
  <c r="I68" i="65"/>
  <c r="D153" i="71"/>
  <c r="G152" i="71"/>
  <c r="D146" i="66"/>
  <c r="G145" i="66"/>
  <c r="G148" i="74"/>
  <c r="D149" i="74"/>
  <c r="G151" i="31"/>
  <c r="D152" i="31"/>
  <c r="G153" i="30"/>
  <c r="D154" i="30"/>
  <c r="J147" i="72"/>
  <c r="I142" i="91"/>
  <c r="H142" i="91"/>
  <c r="B148" i="62"/>
  <c r="E148" i="62"/>
  <c r="F148" i="62" s="1"/>
  <c r="J146" i="46"/>
  <c r="G147" i="46"/>
  <c r="D148" i="46"/>
  <c r="B148" i="46" s="1"/>
  <c r="D144" i="85"/>
  <c r="G143" i="85"/>
  <c r="G144" i="79"/>
  <c r="D145" i="79"/>
  <c r="B145" i="79" s="1"/>
  <c r="D143" i="88"/>
  <c r="G142" i="88"/>
  <c r="B143" i="89"/>
  <c r="F143" i="89"/>
  <c r="E153" i="70"/>
  <c r="F153" i="70" s="1"/>
  <c r="B153" i="70"/>
  <c r="H143" i="26"/>
  <c r="I143" i="26"/>
  <c r="E147" i="63"/>
  <c r="F147" i="63" s="1"/>
  <c r="B147" i="63"/>
  <c r="D147" i="65"/>
  <c r="G146" i="65"/>
  <c r="J147" i="74"/>
  <c r="G152" i="69"/>
  <c r="D153" i="69"/>
  <c r="H147" i="62"/>
  <c r="I147" i="62"/>
  <c r="D143" i="92"/>
  <c r="E143" i="92" s="1"/>
  <c r="G142" i="92"/>
  <c r="J149" i="73"/>
  <c r="J148" i="45"/>
  <c r="H150" i="22"/>
  <c r="I150" i="22"/>
  <c r="D143" i="84"/>
  <c r="E143" i="84" s="1"/>
  <c r="G142" i="84"/>
  <c r="D148" i="58"/>
  <c r="B148" i="58" s="1"/>
  <c r="G147" i="58"/>
  <c r="E144" i="81"/>
  <c r="F144" i="81" s="1"/>
  <c r="B144" i="81"/>
  <c r="J151" i="69"/>
  <c r="H142" i="89"/>
  <c r="I142" i="89"/>
  <c r="H152" i="70"/>
  <c r="I152" i="70"/>
  <c r="I146" i="63"/>
  <c r="H146" i="63"/>
  <c r="G150" i="73"/>
  <c r="D151" i="73"/>
  <c r="E148" i="53"/>
  <c r="F148" i="53" s="1"/>
  <c r="B148" i="53"/>
  <c r="J152" i="30"/>
  <c r="D143" i="86"/>
  <c r="E143" i="86" s="1"/>
  <c r="G142" i="86"/>
  <c r="J146" i="58"/>
  <c r="H144" i="78"/>
  <c r="I144" i="78"/>
  <c r="J151" i="29"/>
  <c r="G145" i="68"/>
  <c r="D146" i="68"/>
  <c r="B146" i="68" s="1"/>
  <c r="I151" i="32"/>
  <c r="H151" i="32"/>
  <c r="G142" i="90"/>
  <c r="D143" i="90"/>
  <c r="E143" i="90" s="1"/>
  <c r="J150" i="31"/>
  <c r="H143" i="81"/>
  <c r="I143" i="81"/>
  <c r="E144" i="26"/>
  <c r="F144" i="26" s="1"/>
  <c r="H150" i="20"/>
  <c r="I150" i="20"/>
  <c r="H150" i="19"/>
  <c r="I150" i="19"/>
  <c r="E143" i="91"/>
  <c r="F143" i="91" s="1"/>
  <c r="B143" i="91"/>
  <c r="I147" i="53"/>
  <c r="H147" i="53"/>
  <c r="D147" i="61"/>
  <c r="G146" i="61"/>
  <c r="D147" i="60"/>
  <c r="E147" i="60" s="1"/>
  <c r="G146" i="60"/>
  <c r="E152" i="32"/>
  <c r="F152" i="32" s="1"/>
  <c r="B152" i="32"/>
  <c r="B151" i="20"/>
  <c r="F151" i="20"/>
  <c r="E151" i="19"/>
  <c r="F151" i="19" s="1"/>
  <c r="B151" i="19"/>
  <c r="D153" i="23"/>
  <c r="G152" i="23"/>
  <c r="G151" i="18"/>
  <c r="D152" i="18"/>
  <c r="E152" i="18" s="1"/>
  <c r="G147" i="59"/>
  <c r="D148" i="59"/>
  <c r="J151" i="23"/>
  <c r="J150" i="18"/>
  <c r="E149" i="56"/>
  <c r="F149" i="56" s="1"/>
  <c r="B149" i="56"/>
  <c r="J149" i="3"/>
  <c r="J146" i="59"/>
  <c r="H148" i="56"/>
  <c r="I148" i="56"/>
  <c r="J150" i="17"/>
  <c r="G148" i="57"/>
  <c r="D149" i="57"/>
  <c r="E149" i="57" s="1"/>
  <c r="J147" i="57"/>
  <c r="J144" i="67"/>
  <c r="D144" i="94"/>
  <c r="E144" i="94" s="1"/>
  <c r="G143" i="94"/>
  <c r="G149" i="44"/>
  <c r="D150" i="44"/>
  <c r="E150" i="44" s="1"/>
  <c r="D154" i="28"/>
  <c r="E154" i="28" s="1"/>
  <c r="E155" i="28" s="1"/>
  <c r="G153" i="28"/>
  <c r="G145" i="67"/>
  <c r="D146" i="67"/>
  <c r="E146" i="67" s="1"/>
  <c r="J150" i="34"/>
  <c r="G143" i="82"/>
  <c r="D144" i="82"/>
  <c r="E144" i="82" s="1"/>
  <c r="G151" i="17"/>
  <c r="D152" i="17"/>
  <c r="E152" i="17" s="1"/>
  <c r="B151" i="21"/>
  <c r="F151" i="21"/>
  <c r="G143" i="95"/>
  <c r="D144" i="95"/>
  <c r="E144" i="95" s="1"/>
  <c r="I141" i="13"/>
  <c r="H141" i="13"/>
  <c r="B145" i="75"/>
  <c r="F145" i="75"/>
  <c r="I143" i="80"/>
  <c r="H143" i="80"/>
  <c r="B144" i="83"/>
  <c r="F144" i="83"/>
  <c r="H150" i="21"/>
  <c r="I150" i="21"/>
  <c r="F152" i="24"/>
  <c r="B152" i="24"/>
  <c r="I142" i="93"/>
  <c r="H142" i="93"/>
  <c r="G142" i="96"/>
  <c r="D143" i="96"/>
  <c r="E143" i="96" s="1"/>
  <c r="F145" i="76"/>
  <c r="B145" i="76"/>
  <c r="J152" i="28"/>
  <c r="I144" i="75"/>
  <c r="H144" i="75"/>
  <c r="D152" i="34"/>
  <c r="E152" i="34" s="1"/>
  <c r="G151" i="34"/>
  <c r="I151" i="24"/>
  <c r="H151" i="24"/>
  <c r="F142" i="13"/>
  <c r="B142" i="13"/>
  <c r="B150" i="42"/>
  <c r="F150" i="42"/>
  <c r="H144" i="76"/>
  <c r="I144" i="76"/>
  <c r="B142" i="33"/>
  <c r="F142" i="33"/>
  <c r="F148" i="55"/>
  <c r="B148" i="55"/>
  <c r="F145" i="77"/>
  <c r="B145" i="77"/>
  <c r="H147" i="54"/>
  <c r="I147" i="54"/>
  <c r="G142" i="87"/>
  <c r="D143" i="87"/>
  <c r="E143" i="87" s="1"/>
  <c r="H143" i="83"/>
  <c r="I143" i="83"/>
  <c r="F143" i="93"/>
  <c r="B143" i="93"/>
  <c r="I149" i="42"/>
  <c r="H149" i="42"/>
  <c r="J148" i="44"/>
  <c r="H141" i="33"/>
  <c r="I141" i="33"/>
  <c r="D151" i="3"/>
  <c r="E151" i="3" s="1"/>
  <c r="G150" i="3"/>
  <c r="H147" i="55"/>
  <c r="I147" i="55"/>
  <c r="B144" i="80"/>
  <c r="F144" i="80"/>
  <c r="I144" i="77"/>
  <c r="H144" i="77"/>
  <c r="F148" i="54"/>
  <c r="B148" i="54"/>
  <c r="G145" i="100" l="1"/>
  <c r="D146" i="100"/>
  <c r="G71" i="58"/>
  <c r="I71" i="58" s="1"/>
  <c r="G148" i="72"/>
  <c r="D72" i="58"/>
  <c r="E72" i="58" s="1"/>
  <c r="E73" i="58" s="1"/>
  <c r="B70" i="53"/>
  <c r="F70" i="53"/>
  <c r="H70" i="53" s="1"/>
  <c r="D143" i="25"/>
  <c r="G142" i="25"/>
  <c r="J141" i="25"/>
  <c r="I152" i="29"/>
  <c r="J152" i="29" s="1"/>
  <c r="I70" i="58"/>
  <c r="G150" i="45"/>
  <c r="H150" i="45" s="1"/>
  <c r="B145" i="78"/>
  <c r="I71" i="72"/>
  <c r="E65" i="98"/>
  <c r="F65" i="98" s="1"/>
  <c r="D66" i="98" s="1"/>
  <c r="B66" i="98" s="1"/>
  <c r="I64" i="98"/>
  <c r="B69" i="82"/>
  <c r="I72" i="19"/>
  <c r="I73" i="19" s="1"/>
  <c r="F72" i="72"/>
  <c r="H72" i="72" s="1"/>
  <c r="D143" i="99"/>
  <c r="G142" i="99"/>
  <c r="E69" i="67"/>
  <c r="F69" i="67" s="1"/>
  <c r="B69" i="67"/>
  <c r="I72" i="42"/>
  <c r="I73" i="42" s="1"/>
  <c r="H72" i="27"/>
  <c r="H73" i="27" s="1"/>
  <c r="G72" i="21"/>
  <c r="G73" i="21" s="1"/>
  <c r="I64" i="78"/>
  <c r="F72" i="46"/>
  <c r="G72" i="46" s="1"/>
  <c r="G73" i="46" s="1"/>
  <c r="I142" i="98"/>
  <c r="H142" i="98"/>
  <c r="B143" i="98"/>
  <c r="I142" i="97"/>
  <c r="H142" i="97"/>
  <c r="E143" i="98"/>
  <c r="F143" i="98" s="1"/>
  <c r="E143" i="97"/>
  <c r="F143" i="97" s="1"/>
  <c r="B143" i="97"/>
  <c r="D154" i="29"/>
  <c r="G153" i="29"/>
  <c r="E147" i="64"/>
  <c r="F147" i="64" s="1"/>
  <c r="B147" i="64"/>
  <c r="H146" i="64"/>
  <c r="I146" i="64"/>
  <c r="D152" i="22"/>
  <c r="B152" i="22" s="1"/>
  <c r="H63" i="94"/>
  <c r="G64" i="93"/>
  <c r="I64" i="93" s="1"/>
  <c r="I65" i="80"/>
  <c r="G70" i="68"/>
  <c r="I70" i="68" s="1"/>
  <c r="I65" i="90"/>
  <c r="I70" i="55"/>
  <c r="F72" i="34"/>
  <c r="H72" i="34" s="1"/>
  <c r="G64" i="91"/>
  <c r="H64" i="91"/>
  <c r="D65" i="91"/>
  <c r="B68" i="61"/>
  <c r="G66" i="85"/>
  <c r="E64" i="94"/>
  <c r="F64" i="94" s="1"/>
  <c r="G64" i="94" s="1"/>
  <c r="B64" i="94"/>
  <c r="I67" i="61"/>
  <c r="E66" i="80"/>
  <c r="F66" i="80" s="1"/>
  <c r="D67" i="80" s="1"/>
  <c r="B66" i="80"/>
  <c r="G63" i="94"/>
  <c r="E68" i="61"/>
  <c r="F68" i="61" s="1"/>
  <c r="G68" i="61" s="1"/>
  <c r="E70" i="82"/>
  <c r="F70" i="82" s="1"/>
  <c r="B70" i="82"/>
  <c r="H65" i="84"/>
  <c r="D65" i="93"/>
  <c r="E65" i="93" s="1"/>
  <c r="F65" i="93" s="1"/>
  <c r="E66" i="84"/>
  <c r="F66" i="84" s="1"/>
  <c r="H66" i="84" s="1"/>
  <c r="B66" i="84"/>
  <c r="E69" i="75"/>
  <c r="F69" i="75" s="1"/>
  <c r="H69" i="75" s="1"/>
  <c r="B69" i="75"/>
  <c r="H66" i="90"/>
  <c r="D67" i="90"/>
  <c r="E71" i="55"/>
  <c r="F71" i="55" s="1"/>
  <c r="B71" i="55"/>
  <c r="G65" i="84"/>
  <c r="I67" i="75"/>
  <c r="B68" i="75"/>
  <c r="H68" i="75"/>
  <c r="G68" i="75"/>
  <c r="B66" i="90"/>
  <c r="G66" i="90"/>
  <c r="D67" i="76"/>
  <c r="E67" i="76" s="1"/>
  <c r="F67" i="76" s="1"/>
  <c r="D68" i="76" s="1"/>
  <c r="H63" i="26"/>
  <c r="I63" i="26" s="1"/>
  <c r="G63" i="87"/>
  <c r="I63" i="87" s="1"/>
  <c r="H64" i="81"/>
  <c r="I64" i="81" s="1"/>
  <c r="D65" i="81"/>
  <c r="E65" i="81" s="1"/>
  <c r="F65" i="81" s="1"/>
  <c r="H71" i="39"/>
  <c r="E63" i="96"/>
  <c r="F63" i="96" s="1"/>
  <c r="B63" i="96"/>
  <c r="D68" i="86"/>
  <c r="G67" i="86"/>
  <c r="H67" i="86"/>
  <c r="G69" i="82"/>
  <c r="H66" i="85"/>
  <c r="I65" i="85"/>
  <c r="H69" i="82"/>
  <c r="B66" i="76"/>
  <c r="H66" i="76"/>
  <c r="G66" i="76"/>
  <c r="G62" i="95"/>
  <c r="I62" i="95" s="1"/>
  <c r="D63" i="95"/>
  <c r="E63" i="95" s="1"/>
  <c r="D72" i="39"/>
  <c r="E72" i="39" s="1"/>
  <c r="E73" i="39" s="1"/>
  <c r="H72" i="43"/>
  <c r="G72" i="43"/>
  <c r="G73" i="43" s="1"/>
  <c r="E67" i="85"/>
  <c r="F67" i="85" s="1"/>
  <c r="B67" i="85"/>
  <c r="I65" i="76"/>
  <c r="I68" i="64"/>
  <c r="I68" i="57"/>
  <c r="I68" i="63"/>
  <c r="D70" i="45"/>
  <c r="E70" i="45" s="1"/>
  <c r="H69" i="45"/>
  <c r="G69" i="45"/>
  <c r="D68" i="77"/>
  <c r="E68" i="77" s="1"/>
  <c r="D71" i="56"/>
  <c r="H70" i="56"/>
  <c r="G70" i="56"/>
  <c r="D70" i="64"/>
  <c r="E70" i="64" s="1"/>
  <c r="I72" i="74"/>
  <c r="I73" i="74" s="1"/>
  <c r="H73" i="74"/>
  <c r="H64" i="25"/>
  <c r="I64" i="25" s="1"/>
  <c r="I69" i="56"/>
  <c r="G65" i="78"/>
  <c r="E64" i="89"/>
  <c r="F64" i="89" s="1"/>
  <c r="B64" i="89"/>
  <c r="E69" i="57"/>
  <c r="F69" i="57" s="1"/>
  <c r="B69" i="57"/>
  <c r="E66" i="78"/>
  <c r="F66" i="78" s="1"/>
  <c r="G66" i="78" s="1"/>
  <c r="B66" i="78"/>
  <c r="H65" i="78"/>
  <c r="H71" i="60"/>
  <c r="D72" i="60"/>
  <c r="D70" i="54"/>
  <c r="E70" i="54" s="1"/>
  <c r="F70" i="54" s="1"/>
  <c r="D66" i="79"/>
  <c r="E66" i="79" s="1"/>
  <c r="B72" i="44"/>
  <c r="F72" i="44"/>
  <c r="B67" i="77"/>
  <c r="G67" i="77"/>
  <c r="H67" i="77"/>
  <c r="B64" i="83"/>
  <c r="F64" i="83"/>
  <c r="G64" i="83" s="1"/>
  <c r="B63" i="89"/>
  <c r="H63" i="89"/>
  <c r="G63" i="89"/>
  <c r="B69" i="64"/>
  <c r="G69" i="64"/>
  <c r="H69" i="64"/>
  <c r="B64" i="92"/>
  <c r="E66" i="88"/>
  <c r="F66" i="88" s="1"/>
  <c r="B66" i="88"/>
  <c r="I66" i="59"/>
  <c r="B69" i="54"/>
  <c r="H69" i="54"/>
  <c r="G69" i="54"/>
  <c r="E64" i="92"/>
  <c r="F64" i="92" s="1"/>
  <c r="H65" i="79"/>
  <c r="I65" i="79" s="1"/>
  <c r="H72" i="41"/>
  <c r="G72" i="41"/>
  <c r="G73" i="41" s="1"/>
  <c r="E69" i="63"/>
  <c r="F69" i="63" s="1"/>
  <c r="B69" i="63"/>
  <c r="I65" i="88"/>
  <c r="H149" i="45"/>
  <c r="I149" i="45"/>
  <c r="D154" i="27"/>
  <c r="G153" i="27"/>
  <c r="J152" i="27"/>
  <c r="J149" i="39"/>
  <c r="G150" i="39"/>
  <c r="D151" i="39"/>
  <c r="B151" i="39" s="1"/>
  <c r="J147" i="62"/>
  <c r="J148" i="56"/>
  <c r="D67" i="62"/>
  <c r="E67" i="62" s="1"/>
  <c r="G66" i="62"/>
  <c r="H66" i="62"/>
  <c r="D70" i="65"/>
  <c r="H69" i="65"/>
  <c r="G69" i="65"/>
  <c r="D65" i="33"/>
  <c r="E65" i="33" s="1"/>
  <c r="G64" i="33"/>
  <c r="H64" i="33"/>
  <c r="D63" i="13"/>
  <c r="E63" i="13" s="1"/>
  <c r="G62" i="13"/>
  <c r="H62" i="13"/>
  <c r="J147" i="53"/>
  <c r="J151" i="32"/>
  <c r="E148" i="58"/>
  <c r="F148" i="58" s="1"/>
  <c r="D149" i="58" s="1"/>
  <c r="B149" i="58" s="1"/>
  <c r="D65" i="25"/>
  <c r="E65" i="25" s="1"/>
  <c r="D64" i="87"/>
  <c r="E64" i="87" s="1"/>
  <c r="G70" i="66"/>
  <c r="I70" i="66" s="1"/>
  <c r="E146" i="68"/>
  <c r="F146" i="68" s="1"/>
  <c r="G146" i="68" s="1"/>
  <c r="J144" i="78"/>
  <c r="D71" i="20"/>
  <c r="E71" i="20" s="1"/>
  <c r="G150" i="43"/>
  <c r="D151" i="43"/>
  <c r="F71" i="73"/>
  <c r="H71" i="73" s="1"/>
  <c r="B71" i="73"/>
  <c r="J150" i="20"/>
  <c r="D71" i="53"/>
  <c r="E71" i="53" s="1"/>
  <c r="G70" i="20"/>
  <c r="J149" i="43"/>
  <c r="D71" i="66"/>
  <c r="E71" i="66" s="1"/>
  <c r="E151" i="41"/>
  <c r="F151" i="41" s="1"/>
  <c r="B151" i="41"/>
  <c r="B72" i="18"/>
  <c r="F72" i="18"/>
  <c r="H72" i="18" s="1"/>
  <c r="I70" i="73"/>
  <c r="H70" i="20"/>
  <c r="D64" i="26"/>
  <c r="E64" i="26" s="1"/>
  <c r="D71" i="68"/>
  <c r="E71" i="68" s="1"/>
  <c r="I150" i="41"/>
  <c r="H150" i="41"/>
  <c r="B67" i="59"/>
  <c r="F67" i="59"/>
  <c r="G67" i="59" s="1"/>
  <c r="G145" i="78"/>
  <c r="D146" i="78"/>
  <c r="D153" i="32"/>
  <c r="G152" i="32"/>
  <c r="D154" i="70"/>
  <c r="G153" i="70"/>
  <c r="F147" i="60"/>
  <c r="B147" i="60"/>
  <c r="I145" i="68"/>
  <c r="H145" i="68"/>
  <c r="E151" i="73"/>
  <c r="F151" i="73" s="1"/>
  <c r="B151" i="73"/>
  <c r="J146" i="63"/>
  <c r="E153" i="69"/>
  <c r="F153" i="69" s="1"/>
  <c r="B153" i="69"/>
  <c r="I146" i="65"/>
  <c r="H146" i="65"/>
  <c r="I142" i="88"/>
  <c r="H142" i="88"/>
  <c r="I144" i="79"/>
  <c r="H144" i="79"/>
  <c r="I148" i="72"/>
  <c r="H148" i="72"/>
  <c r="E152" i="31"/>
  <c r="F152" i="31" s="1"/>
  <c r="B152" i="31"/>
  <c r="H145" i="66"/>
  <c r="I145" i="66"/>
  <c r="G151" i="20"/>
  <c r="D152" i="20"/>
  <c r="I146" i="61"/>
  <c r="H146" i="61"/>
  <c r="J150" i="19"/>
  <c r="D145" i="26"/>
  <c r="G144" i="26"/>
  <c r="F143" i="90"/>
  <c r="B143" i="90"/>
  <c r="H150" i="73"/>
  <c r="I150" i="73"/>
  <c r="J152" i="70"/>
  <c r="I142" i="84"/>
  <c r="H142" i="84"/>
  <c r="F143" i="92"/>
  <c r="B143" i="92"/>
  <c r="I152" i="69"/>
  <c r="H152" i="69"/>
  <c r="B147" i="65"/>
  <c r="J143" i="26"/>
  <c r="E143" i="88"/>
  <c r="F143" i="88" s="1"/>
  <c r="B143" i="88"/>
  <c r="I143" i="85"/>
  <c r="H143" i="85"/>
  <c r="E148" i="46"/>
  <c r="F148" i="46" s="1"/>
  <c r="D149" i="62"/>
  <c r="G148" i="62"/>
  <c r="H151" i="31"/>
  <c r="I151" i="31"/>
  <c r="E146" i="66"/>
  <c r="F146" i="66" s="1"/>
  <c r="B146" i="66"/>
  <c r="H146" i="60"/>
  <c r="I146" i="60"/>
  <c r="E147" i="61"/>
  <c r="F147" i="61" s="1"/>
  <c r="B147" i="61"/>
  <c r="I151" i="22"/>
  <c r="H151" i="22"/>
  <c r="D144" i="91"/>
  <c r="E144" i="91" s="1"/>
  <c r="G143" i="91"/>
  <c r="I142" i="86"/>
  <c r="H142" i="86"/>
  <c r="D149" i="53"/>
  <c r="B149" i="53" s="1"/>
  <c r="G148" i="53"/>
  <c r="G144" i="81"/>
  <c r="D145" i="81"/>
  <c r="I147" i="58"/>
  <c r="H147" i="58"/>
  <c r="F143" i="84"/>
  <c r="B143" i="84"/>
  <c r="D144" i="89"/>
  <c r="E144" i="89" s="1"/>
  <c r="G143" i="89"/>
  <c r="E144" i="85"/>
  <c r="F144" i="85" s="1"/>
  <c r="B144" i="85"/>
  <c r="E154" i="30"/>
  <c r="E155" i="30" s="1"/>
  <c r="B154" i="30"/>
  <c r="E149" i="74"/>
  <c r="F149" i="74" s="1"/>
  <c r="B149" i="74"/>
  <c r="H152" i="71"/>
  <c r="I152" i="71"/>
  <c r="G151" i="19"/>
  <c r="D152" i="19"/>
  <c r="I142" i="90"/>
  <c r="H142" i="90"/>
  <c r="B143" i="86"/>
  <c r="F143" i="86"/>
  <c r="J150" i="22"/>
  <c r="H142" i="92"/>
  <c r="I142" i="92"/>
  <c r="E147" i="65"/>
  <c r="F147" i="65" s="1"/>
  <c r="D148" i="63"/>
  <c r="B148" i="63" s="1"/>
  <c r="G147" i="63"/>
  <c r="E145" i="79"/>
  <c r="F145" i="79" s="1"/>
  <c r="E149" i="72"/>
  <c r="F149" i="72" s="1"/>
  <c r="B149" i="72"/>
  <c r="I147" i="46"/>
  <c r="H147" i="46"/>
  <c r="I153" i="30"/>
  <c r="H153" i="30"/>
  <c r="I148" i="74"/>
  <c r="H148" i="74"/>
  <c r="E153" i="71"/>
  <c r="F153" i="71" s="1"/>
  <c r="B153" i="71"/>
  <c r="D150" i="56"/>
  <c r="G149" i="56"/>
  <c r="J141" i="33"/>
  <c r="E151" i="45"/>
  <c r="F151" i="45" s="1"/>
  <c r="B152" i="18"/>
  <c r="F152" i="18"/>
  <c r="E148" i="59"/>
  <c r="F148" i="59" s="1"/>
  <c r="B148" i="59"/>
  <c r="H151" i="18"/>
  <c r="I151" i="18"/>
  <c r="I152" i="23"/>
  <c r="H152" i="23"/>
  <c r="I147" i="59"/>
  <c r="H147" i="59"/>
  <c r="E153" i="23"/>
  <c r="F153" i="23" s="1"/>
  <c r="B153" i="23"/>
  <c r="J144" i="76"/>
  <c r="F149" i="57"/>
  <c r="B149" i="57"/>
  <c r="J147" i="54"/>
  <c r="I148" i="57"/>
  <c r="H148" i="57"/>
  <c r="J144" i="77"/>
  <c r="J147" i="55"/>
  <c r="I150" i="3"/>
  <c r="H150" i="3"/>
  <c r="J149" i="42"/>
  <c r="D144" i="93"/>
  <c r="E144" i="93" s="1"/>
  <c r="G143" i="93"/>
  <c r="J144" i="75"/>
  <c r="F143" i="96"/>
  <c r="B143" i="96"/>
  <c r="J150" i="21"/>
  <c r="D145" i="83"/>
  <c r="E145" i="83" s="1"/>
  <c r="G144" i="83"/>
  <c r="F144" i="95"/>
  <c r="B144" i="95"/>
  <c r="D152" i="21"/>
  <c r="E152" i="21" s="1"/>
  <c r="G151" i="21"/>
  <c r="I143" i="82"/>
  <c r="H143" i="82"/>
  <c r="I153" i="28"/>
  <c r="H153" i="28"/>
  <c r="B144" i="94"/>
  <c r="F144" i="94"/>
  <c r="G148" i="54"/>
  <c r="D149" i="54"/>
  <c r="E149" i="54" s="1"/>
  <c r="B151" i="3"/>
  <c r="F151" i="3"/>
  <c r="D149" i="55"/>
  <c r="E149" i="55" s="1"/>
  <c r="G148" i="55"/>
  <c r="G142" i="13"/>
  <c r="D143" i="13"/>
  <c r="E143" i="13" s="1"/>
  <c r="H151" i="34"/>
  <c r="I151" i="34"/>
  <c r="H142" i="96"/>
  <c r="I142" i="96"/>
  <c r="H143" i="95"/>
  <c r="I143" i="95"/>
  <c r="F146" i="67"/>
  <c r="B146" i="67"/>
  <c r="B154" i="28"/>
  <c r="F154" i="28"/>
  <c r="G154" i="28" s="1"/>
  <c r="D145" i="80"/>
  <c r="E145" i="80" s="1"/>
  <c r="G144" i="80"/>
  <c r="B143" i="87"/>
  <c r="F143" i="87"/>
  <c r="G150" i="42"/>
  <c r="D151" i="42"/>
  <c r="B152" i="34"/>
  <c r="F152" i="34"/>
  <c r="B152" i="17"/>
  <c r="F152" i="17"/>
  <c r="H145" i="67"/>
  <c r="I145" i="67"/>
  <c r="F150" i="44"/>
  <c r="B150" i="44"/>
  <c r="I143" i="94"/>
  <c r="H143" i="94"/>
  <c r="H142" i="87"/>
  <c r="I142" i="87"/>
  <c r="G145" i="77"/>
  <c r="D146" i="77"/>
  <c r="E146" i="77" s="1"/>
  <c r="G142" i="33"/>
  <c r="D143" i="33"/>
  <c r="E143" i="33" s="1"/>
  <c r="J151" i="24"/>
  <c r="G145" i="76"/>
  <c r="D146" i="76"/>
  <c r="G152" i="24"/>
  <c r="D153" i="24"/>
  <c r="D146" i="75"/>
  <c r="G145" i="75"/>
  <c r="H151" i="17"/>
  <c r="I151" i="17"/>
  <c r="B144" i="82"/>
  <c r="F144" i="82"/>
  <c r="I149" i="44"/>
  <c r="H149" i="44"/>
  <c r="E146" i="100" l="1"/>
  <c r="B146" i="100"/>
  <c r="F146" i="100"/>
  <c r="I145" i="100"/>
  <c r="H145" i="100"/>
  <c r="I150" i="45"/>
  <c r="B72" i="58"/>
  <c r="H72" i="46"/>
  <c r="H73" i="46" s="1"/>
  <c r="F72" i="58"/>
  <c r="G72" i="58" s="1"/>
  <c r="G73" i="58" s="1"/>
  <c r="G70" i="53"/>
  <c r="I70" i="53" s="1"/>
  <c r="I142" i="25"/>
  <c r="H142" i="25"/>
  <c r="E143" i="25"/>
  <c r="F143" i="25" s="1"/>
  <c r="B143" i="25"/>
  <c r="G65" i="98"/>
  <c r="E66" i="98"/>
  <c r="F66" i="98" s="1"/>
  <c r="G66" i="98" s="1"/>
  <c r="H65" i="98"/>
  <c r="I72" i="21"/>
  <c r="I73" i="21" s="1"/>
  <c r="G72" i="72"/>
  <c r="G73" i="72" s="1"/>
  <c r="H142" i="99"/>
  <c r="I142" i="99"/>
  <c r="E143" i="99"/>
  <c r="F143" i="99" s="1"/>
  <c r="B143" i="99"/>
  <c r="I65" i="78"/>
  <c r="H73" i="72"/>
  <c r="G69" i="67"/>
  <c r="D70" i="67"/>
  <c r="H69" i="67"/>
  <c r="G72" i="34"/>
  <c r="G73" i="34" s="1"/>
  <c r="I72" i="27"/>
  <c r="I73" i="27" s="1"/>
  <c r="I63" i="94"/>
  <c r="H64" i="94"/>
  <c r="I64" i="94" s="1"/>
  <c r="I68" i="75"/>
  <c r="E152" i="22"/>
  <c r="F152" i="22" s="1"/>
  <c r="G152" i="22" s="1"/>
  <c r="I70" i="20"/>
  <c r="D144" i="97"/>
  <c r="E144" i="97" s="1"/>
  <c r="G143" i="97"/>
  <c r="D144" i="98"/>
  <c r="G143" i="98"/>
  <c r="G148" i="58"/>
  <c r="H148" i="58" s="1"/>
  <c r="J146" i="64"/>
  <c r="D148" i="64"/>
  <c r="B148" i="64" s="1"/>
  <c r="G147" i="64"/>
  <c r="I153" i="29"/>
  <c r="H153" i="29"/>
  <c r="B154" i="29"/>
  <c r="E154" i="29"/>
  <c r="I66" i="90"/>
  <c r="I64" i="91"/>
  <c r="I66" i="85"/>
  <c r="G70" i="82"/>
  <c r="D71" i="82"/>
  <c r="E71" i="82" s="1"/>
  <c r="F71" i="82" s="1"/>
  <c r="D70" i="63"/>
  <c r="B70" i="63" s="1"/>
  <c r="E67" i="80"/>
  <c r="F67" i="80" s="1"/>
  <c r="B67" i="80"/>
  <c r="B65" i="91"/>
  <c r="E65" i="91"/>
  <c r="F65" i="91" s="1"/>
  <c r="I69" i="54"/>
  <c r="G66" i="80"/>
  <c r="D65" i="94"/>
  <c r="E65" i="94" s="1"/>
  <c r="H68" i="61"/>
  <c r="I68" i="61" s="1"/>
  <c r="H67" i="59"/>
  <c r="I67" i="59" s="1"/>
  <c r="G71" i="73"/>
  <c r="I71" i="73" s="1"/>
  <c r="H70" i="82"/>
  <c r="I66" i="76"/>
  <c r="I67" i="86"/>
  <c r="D69" i="61"/>
  <c r="E69" i="61" s="1"/>
  <c r="F69" i="61" s="1"/>
  <c r="H66" i="80"/>
  <c r="H71" i="55"/>
  <c r="D72" i="55"/>
  <c r="G71" i="55"/>
  <c r="D66" i="93"/>
  <c r="E66" i="93" s="1"/>
  <c r="F66" i="93" s="1"/>
  <c r="D67" i="93" s="1"/>
  <c r="E67" i="90"/>
  <c r="F67" i="90" s="1"/>
  <c r="H67" i="90" s="1"/>
  <c r="B67" i="90"/>
  <c r="D70" i="75"/>
  <c r="E70" i="75" s="1"/>
  <c r="B65" i="93"/>
  <c r="G65" i="93"/>
  <c r="H65" i="93"/>
  <c r="G66" i="84"/>
  <c r="I66" i="84" s="1"/>
  <c r="D67" i="84"/>
  <c r="I65" i="84"/>
  <c r="I63" i="89"/>
  <c r="I69" i="82"/>
  <c r="G69" i="75"/>
  <c r="I69" i="75" s="1"/>
  <c r="H73" i="34"/>
  <c r="G63" i="96"/>
  <c r="D64" i="96"/>
  <c r="E64" i="96" s="1"/>
  <c r="H63" i="96"/>
  <c r="E68" i="76"/>
  <c r="F68" i="76" s="1"/>
  <c r="G68" i="76" s="1"/>
  <c r="B68" i="76"/>
  <c r="G67" i="85"/>
  <c r="D68" i="85"/>
  <c r="B72" i="39"/>
  <c r="F72" i="39"/>
  <c r="H72" i="39" s="1"/>
  <c r="H73" i="39" s="1"/>
  <c r="E68" i="86"/>
  <c r="F68" i="86" s="1"/>
  <c r="B68" i="86"/>
  <c r="D66" i="81"/>
  <c r="E66" i="81" s="1"/>
  <c r="B67" i="76"/>
  <c r="G67" i="76"/>
  <c r="H67" i="76"/>
  <c r="I70" i="56"/>
  <c r="H67" i="85"/>
  <c r="I72" i="43"/>
  <c r="I73" i="43" s="1"/>
  <c r="H73" i="43"/>
  <c r="B63" i="95"/>
  <c r="F63" i="95"/>
  <c r="D64" i="95" s="1"/>
  <c r="I71" i="39"/>
  <c r="B65" i="81"/>
  <c r="H65" i="81"/>
  <c r="G65" i="81"/>
  <c r="I69" i="64"/>
  <c r="I67" i="77"/>
  <c r="D65" i="89"/>
  <c r="H64" i="89"/>
  <c r="G64" i="89"/>
  <c r="D71" i="54"/>
  <c r="D70" i="57"/>
  <c r="G69" i="57"/>
  <c r="H69" i="57"/>
  <c r="H64" i="92"/>
  <c r="D65" i="92"/>
  <c r="E65" i="92" s="1"/>
  <c r="G64" i="92"/>
  <c r="G66" i="88"/>
  <c r="D67" i="88"/>
  <c r="E67" i="88" s="1"/>
  <c r="H66" i="88"/>
  <c r="B72" i="60"/>
  <c r="I66" i="62"/>
  <c r="G69" i="63"/>
  <c r="G72" i="44"/>
  <c r="G73" i="44" s="1"/>
  <c r="H72" i="44"/>
  <c r="I71" i="60"/>
  <c r="E71" i="56"/>
  <c r="F71" i="56" s="1"/>
  <c r="B71" i="56"/>
  <c r="I69" i="45"/>
  <c r="I64" i="33"/>
  <c r="H69" i="63"/>
  <c r="B70" i="54"/>
  <c r="H70" i="54"/>
  <c r="G70" i="54"/>
  <c r="F70" i="64"/>
  <c r="B70" i="64"/>
  <c r="I72" i="41"/>
  <c r="I73" i="41" s="1"/>
  <c r="H73" i="41"/>
  <c r="D65" i="83"/>
  <c r="D67" i="78"/>
  <c r="I62" i="13"/>
  <c r="H64" i="83"/>
  <c r="I64" i="83" s="1"/>
  <c r="B66" i="79"/>
  <c r="F66" i="79"/>
  <c r="H66" i="79" s="1"/>
  <c r="E72" i="60"/>
  <c r="E73" i="60" s="1"/>
  <c r="H66" i="78"/>
  <c r="I66" i="78" s="1"/>
  <c r="F68" i="77"/>
  <c r="D69" i="77" s="1"/>
  <c r="B68" i="77"/>
  <c r="B70" i="45"/>
  <c r="F70" i="45"/>
  <c r="D147" i="68"/>
  <c r="E147" i="68" s="1"/>
  <c r="F147" i="68" s="1"/>
  <c r="J149" i="45"/>
  <c r="H153" i="27"/>
  <c r="I153" i="27"/>
  <c r="B154" i="27"/>
  <c r="E154" i="27"/>
  <c r="J151" i="22"/>
  <c r="J145" i="68"/>
  <c r="J147" i="58"/>
  <c r="E149" i="58"/>
  <c r="F149" i="58" s="1"/>
  <c r="D150" i="58" s="1"/>
  <c r="B150" i="58" s="1"/>
  <c r="E151" i="39"/>
  <c r="F151" i="39" s="1"/>
  <c r="E148" i="63"/>
  <c r="F148" i="63" s="1"/>
  <c r="G148" i="63" s="1"/>
  <c r="I150" i="39"/>
  <c r="H150" i="39"/>
  <c r="H73" i="18"/>
  <c r="E149" i="53"/>
  <c r="F149" i="53" s="1"/>
  <c r="G149" i="53" s="1"/>
  <c r="J151" i="31"/>
  <c r="J144" i="79"/>
  <c r="J146" i="65"/>
  <c r="D72" i="73"/>
  <c r="E72" i="73" s="1"/>
  <c r="E73" i="73" s="1"/>
  <c r="I150" i="43"/>
  <c r="H150" i="43"/>
  <c r="I69" i="65"/>
  <c r="F154" i="30"/>
  <c r="G154" i="30" s="1"/>
  <c r="H154" i="30" s="1"/>
  <c r="H155" i="30" s="1"/>
  <c r="D68" i="59"/>
  <c r="E68" i="59" s="1"/>
  <c r="G72" i="18"/>
  <c r="G73" i="18" s="1"/>
  <c r="B71" i="20"/>
  <c r="F71" i="20"/>
  <c r="H71" i="20" s="1"/>
  <c r="B63" i="13"/>
  <c r="F63" i="13"/>
  <c r="G63" i="13" s="1"/>
  <c r="B65" i="33"/>
  <c r="F65" i="33"/>
  <c r="H65" i="33" s="1"/>
  <c r="B70" i="65"/>
  <c r="J146" i="61"/>
  <c r="J148" i="72"/>
  <c r="J150" i="41"/>
  <c r="B71" i="68"/>
  <c r="F71" i="68"/>
  <c r="G71" i="68" s="1"/>
  <c r="F65" i="25"/>
  <c r="G65" i="25" s="1"/>
  <c r="B65" i="25"/>
  <c r="E70" i="65"/>
  <c r="F70" i="65" s="1"/>
  <c r="B64" i="26"/>
  <c r="F64" i="26"/>
  <c r="G64" i="26" s="1"/>
  <c r="D152" i="41"/>
  <c r="G151" i="41"/>
  <c r="B71" i="66"/>
  <c r="F71" i="66"/>
  <c r="G71" i="66" s="1"/>
  <c r="F71" i="53"/>
  <c r="G71" i="53" s="1"/>
  <c r="B71" i="53"/>
  <c r="E151" i="43"/>
  <c r="F151" i="43" s="1"/>
  <c r="B151" i="43"/>
  <c r="B64" i="87"/>
  <c r="F64" i="87"/>
  <c r="F67" i="62"/>
  <c r="G67" i="62" s="1"/>
  <c r="B67" i="62"/>
  <c r="G149" i="74"/>
  <c r="D150" i="74"/>
  <c r="G152" i="31"/>
  <c r="D153" i="31"/>
  <c r="D154" i="71"/>
  <c r="G153" i="71"/>
  <c r="G146" i="66"/>
  <c r="D147" i="66"/>
  <c r="G147" i="65"/>
  <c r="D148" i="65"/>
  <c r="B148" i="65" s="1"/>
  <c r="J148" i="74"/>
  <c r="J147" i="46"/>
  <c r="D146" i="79"/>
  <c r="B146" i="79" s="1"/>
  <c r="G145" i="79"/>
  <c r="D144" i="86"/>
  <c r="B144" i="86" s="1"/>
  <c r="G143" i="86"/>
  <c r="I151" i="19"/>
  <c r="H151" i="19"/>
  <c r="I143" i="89"/>
  <c r="H143" i="89"/>
  <c r="G143" i="84"/>
  <c r="D144" i="84"/>
  <c r="B144" i="84" s="1"/>
  <c r="H144" i="81"/>
  <c r="I144" i="81"/>
  <c r="I143" i="91"/>
  <c r="H143" i="91"/>
  <c r="J146" i="60"/>
  <c r="H148" i="62"/>
  <c r="I148" i="62"/>
  <c r="J152" i="69"/>
  <c r="G143" i="90"/>
  <c r="D144" i="90"/>
  <c r="E144" i="90" s="1"/>
  <c r="J145" i="66"/>
  <c r="E153" i="32"/>
  <c r="F153" i="32" s="1"/>
  <c r="B153" i="32"/>
  <c r="J152" i="71"/>
  <c r="G147" i="61"/>
  <c r="D148" i="61"/>
  <c r="B149" i="62"/>
  <c r="E149" i="62"/>
  <c r="F149" i="62" s="1"/>
  <c r="J150" i="73"/>
  <c r="I144" i="26"/>
  <c r="H144" i="26"/>
  <c r="D154" i="69"/>
  <c r="G153" i="69"/>
  <c r="H153" i="70"/>
  <c r="I153" i="70"/>
  <c r="B146" i="78"/>
  <c r="J151" i="18"/>
  <c r="J153" i="30"/>
  <c r="G149" i="72"/>
  <c r="D150" i="72"/>
  <c r="H147" i="63"/>
  <c r="I147" i="63"/>
  <c r="G144" i="85"/>
  <c r="D145" i="85"/>
  <c r="B144" i="89"/>
  <c r="F144" i="89"/>
  <c r="I148" i="53"/>
  <c r="H148" i="53"/>
  <c r="B144" i="91"/>
  <c r="F144" i="91"/>
  <c r="D149" i="46"/>
  <c r="B149" i="46" s="1"/>
  <c r="G148" i="46"/>
  <c r="G143" i="88"/>
  <c r="D144" i="88"/>
  <c r="B144" i="88" s="1"/>
  <c r="D144" i="92"/>
  <c r="G143" i="92"/>
  <c r="E145" i="26"/>
  <c r="F145" i="26" s="1"/>
  <c r="B145" i="26"/>
  <c r="E152" i="20"/>
  <c r="F152" i="20" s="1"/>
  <c r="B152" i="20"/>
  <c r="G151" i="73"/>
  <c r="D152" i="73"/>
  <c r="E154" i="70"/>
  <c r="E155" i="70" s="1"/>
  <c r="B154" i="70"/>
  <c r="H145" i="78"/>
  <c r="I145" i="78"/>
  <c r="E152" i="19"/>
  <c r="F152" i="19" s="1"/>
  <c r="B152" i="19"/>
  <c r="E145" i="81"/>
  <c r="F145" i="81" s="1"/>
  <c r="B145" i="81"/>
  <c r="I146" i="68"/>
  <c r="H146" i="68"/>
  <c r="I151" i="20"/>
  <c r="H151" i="20"/>
  <c r="G147" i="60"/>
  <c r="D148" i="60"/>
  <c r="H152" i="32"/>
  <c r="I152" i="32"/>
  <c r="E146" i="78"/>
  <c r="F146" i="78" s="1"/>
  <c r="G148" i="59"/>
  <c r="D149" i="59"/>
  <c r="B149" i="59" s="1"/>
  <c r="J152" i="23"/>
  <c r="G152" i="18"/>
  <c r="D153" i="18"/>
  <c r="B153" i="18" s="1"/>
  <c r="J150" i="45"/>
  <c r="H149" i="56"/>
  <c r="I149" i="56"/>
  <c r="G151" i="45"/>
  <c r="D152" i="45"/>
  <c r="B152" i="45" s="1"/>
  <c r="E150" i="56"/>
  <c r="F150" i="56" s="1"/>
  <c r="B150" i="56"/>
  <c r="J151" i="17"/>
  <c r="J147" i="59"/>
  <c r="D154" i="23"/>
  <c r="E154" i="23" s="1"/>
  <c r="E155" i="23" s="1"/>
  <c r="G153" i="23"/>
  <c r="J153" i="28"/>
  <c r="J148" i="57"/>
  <c r="D150" i="57"/>
  <c r="G149" i="57"/>
  <c r="B146" i="75"/>
  <c r="B146" i="76"/>
  <c r="H145" i="77"/>
  <c r="I145" i="77"/>
  <c r="D151" i="44"/>
  <c r="G150" i="44"/>
  <c r="B151" i="42"/>
  <c r="H144" i="80"/>
  <c r="I144" i="80"/>
  <c r="B152" i="21"/>
  <c r="F152" i="21"/>
  <c r="F145" i="83"/>
  <c r="B145" i="83"/>
  <c r="B153" i="24"/>
  <c r="J149" i="44"/>
  <c r="H152" i="24"/>
  <c r="I152" i="24"/>
  <c r="H145" i="76"/>
  <c r="I145" i="76"/>
  <c r="H150" i="42"/>
  <c r="I150" i="42"/>
  <c r="F143" i="13"/>
  <c r="B143" i="13"/>
  <c r="B149" i="55"/>
  <c r="F149" i="55"/>
  <c r="I148" i="54"/>
  <c r="H148" i="54"/>
  <c r="D145" i="94"/>
  <c r="E145" i="94" s="1"/>
  <c r="G144" i="94"/>
  <c r="B144" i="93"/>
  <c r="F144" i="93"/>
  <c r="J150" i="3"/>
  <c r="G144" i="82"/>
  <c r="D145" i="82"/>
  <c r="E146" i="75"/>
  <c r="F146" i="75" s="1"/>
  <c r="E153" i="24"/>
  <c r="F153" i="24" s="1"/>
  <c r="F143" i="33"/>
  <c r="B143" i="33"/>
  <c r="D144" i="87"/>
  <c r="G143" i="87"/>
  <c r="F145" i="80"/>
  <c r="B145" i="80"/>
  <c r="G146" i="67"/>
  <c r="D147" i="67"/>
  <c r="E147" i="67" s="1"/>
  <c r="I142" i="13"/>
  <c r="H142" i="13"/>
  <c r="D152" i="3"/>
  <c r="E152" i="3" s="1"/>
  <c r="G151" i="3"/>
  <c r="H151" i="21"/>
  <c r="I151" i="21"/>
  <c r="G144" i="95"/>
  <c r="D145" i="95"/>
  <c r="E145" i="95" s="1"/>
  <c r="H144" i="83"/>
  <c r="I144" i="83"/>
  <c r="E146" i="76"/>
  <c r="F146" i="76" s="1"/>
  <c r="H145" i="75"/>
  <c r="I145" i="75"/>
  <c r="H142" i="33"/>
  <c r="I142" i="33"/>
  <c r="F146" i="77"/>
  <c r="B146" i="77"/>
  <c r="J145" i="67"/>
  <c r="G152" i="17"/>
  <c r="D153" i="17"/>
  <c r="E153" i="17" s="1"/>
  <c r="D153" i="34"/>
  <c r="E153" i="34" s="1"/>
  <c r="G152" i="34"/>
  <c r="E151" i="42"/>
  <c r="F151" i="42" s="1"/>
  <c r="I154" i="28"/>
  <c r="H154" i="28"/>
  <c r="H155" i="28" s="1"/>
  <c r="J151" i="34"/>
  <c r="I148" i="55"/>
  <c r="H148" i="55"/>
  <c r="F149" i="54"/>
  <c r="B149" i="54"/>
  <c r="G143" i="96"/>
  <c r="D144" i="96"/>
  <c r="E144" i="96" s="1"/>
  <c r="H143" i="93"/>
  <c r="I143" i="93"/>
  <c r="G146" i="100" l="1"/>
  <c r="D147" i="100"/>
  <c r="H72" i="58"/>
  <c r="I72" i="58" s="1"/>
  <c r="I73" i="58" s="1"/>
  <c r="I72" i="46"/>
  <c r="I73" i="46" s="1"/>
  <c r="I65" i="98"/>
  <c r="G143" i="25"/>
  <c r="D144" i="25"/>
  <c r="J142" i="25"/>
  <c r="I148" i="58"/>
  <c r="J148" i="58" s="1"/>
  <c r="H66" i="98"/>
  <c r="I66" i="98" s="1"/>
  <c r="D67" i="98"/>
  <c r="E67" i="98" s="1"/>
  <c r="I72" i="72"/>
  <c r="I73" i="72" s="1"/>
  <c r="I69" i="67"/>
  <c r="I72" i="34"/>
  <c r="I73" i="34" s="1"/>
  <c r="D144" i="99"/>
  <c r="G143" i="99"/>
  <c r="I66" i="80"/>
  <c r="B70" i="67"/>
  <c r="E70" i="67"/>
  <c r="F70" i="67" s="1"/>
  <c r="D71" i="67" s="1"/>
  <c r="E71" i="67" s="1"/>
  <c r="G72" i="39"/>
  <c r="G73" i="39" s="1"/>
  <c r="D153" i="22"/>
  <c r="B153" i="22" s="1"/>
  <c r="I67" i="85"/>
  <c r="B71" i="82"/>
  <c r="B147" i="68"/>
  <c r="D150" i="53"/>
  <c r="E150" i="53" s="1"/>
  <c r="F150" i="53" s="1"/>
  <c r="B144" i="98"/>
  <c r="E144" i="98"/>
  <c r="F144" i="98" s="1"/>
  <c r="I143" i="97"/>
  <c r="H143" i="97"/>
  <c r="H143" i="98"/>
  <c r="I143" i="98"/>
  <c r="F144" i="97"/>
  <c r="B144" i="97"/>
  <c r="J153" i="29"/>
  <c r="E155" i="29"/>
  <c r="F154" i="29"/>
  <c r="G154" i="29" s="1"/>
  <c r="E148" i="64"/>
  <c r="F148" i="64" s="1"/>
  <c r="H147" i="64"/>
  <c r="I147" i="64"/>
  <c r="G149" i="58"/>
  <c r="I149" i="58" s="1"/>
  <c r="E144" i="88"/>
  <c r="F144" i="88" s="1"/>
  <c r="I70" i="82"/>
  <c r="I70" i="54"/>
  <c r="I71" i="55"/>
  <c r="D70" i="61"/>
  <c r="B70" i="61" s="1"/>
  <c r="D68" i="80"/>
  <c r="G67" i="80"/>
  <c r="H67" i="80"/>
  <c r="D66" i="91"/>
  <c r="B66" i="91" s="1"/>
  <c r="H65" i="91"/>
  <c r="G65" i="91"/>
  <c r="I69" i="63"/>
  <c r="B69" i="61"/>
  <c r="H69" i="61"/>
  <c r="G69" i="61"/>
  <c r="E70" i="63"/>
  <c r="F70" i="63" s="1"/>
  <c r="B65" i="94"/>
  <c r="F65" i="94"/>
  <c r="G65" i="94" s="1"/>
  <c r="E67" i="93"/>
  <c r="F67" i="93" s="1"/>
  <c r="H67" i="93" s="1"/>
  <c r="B67" i="93"/>
  <c r="I63" i="96"/>
  <c r="G63" i="95"/>
  <c r="I65" i="93"/>
  <c r="F70" i="75"/>
  <c r="B70" i="75"/>
  <c r="E67" i="84"/>
  <c r="F67" i="84" s="1"/>
  <c r="B67" i="84"/>
  <c r="E72" i="55"/>
  <c r="E73" i="55" s="1"/>
  <c r="B72" i="55"/>
  <c r="I64" i="92"/>
  <c r="G67" i="90"/>
  <c r="I67" i="90" s="1"/>
  <c r="D68" i="90"/>
  <c r="B66" i="93"/>
  <c r="H66" i="93"/>
  <c r="G66" i="93"/>
  <c r="G68" i="86"/>
  <c r="D69" i="86"/>
  <c r="H68" i="86"/>
  <c r="E64" i="95"/>
  <c r="F64" i="95" s="1"/>
  <c r="B64" i="95"/>
  <c r="B66" i="81"/>
  <c r="F66" i="81"/>
  <c r="I65" i="81"/>
  <c r="I67" i="76"/>
  <c r="H68" i="76"/>
  <c r="I68" i="76" s="1"/>
  <c r="D69" i="76"/>
  <c r="E69" i="76" s="1"/>
  <c r="H68" i="77"/>
  <c r="E68" i="85"/>
  <c r="F68" i="85" s="1"/>
  <c r="B68" i="85"/>
  <c r="F64" i="96"/>
  <c r="B64" i="96"/>
  <c r="H71" i="68"/>
  <c r="I71" i="68" s="1"/>
  <c r="H63" i="95"/>
  <c r="I66" i="88"/>
  <c r="I69" i="57"/>
  <c r="D72" i="56"/>
  <c r="G71" i="56"/>
  <c r="H71" i="56"/>
  <c r="B67" i="78"/>
  <c r="B71" i="54"/>
  <c r="H71" i="53"/>
  <c r="I71" i="53" s="1"/>
  <c r="E69" i="77"/>
  <c r="F69" i="77" s="1"/>
  <c r="B69" i="77"/>
  <c r="B65" i="83"/>
  <c r="B65" i="92"/>
  <c r="F65" i="92"/>
  <c r="H65" i="92" s="1"/>
  <c r="D71" i="45"/>
  <c r="D71" i="64"/>
  <c r="E71" i="64" s="1"/>
  <c r="G70" i="45"/>
  <c r="E65" i="83"/>
  <c r="F65" i="83" s="1"/>
  <c r="H70" i="64"/>
  <c r="F72" i="60"/>
  <c r="B67" i="88"/>
  <c r="F67" i="88"/>
  <c r="H67" i="88" s="1"/>
  <c r="E70" i="57"/>
  <c r="F70" i="57" s="1"/>
  <c r="B70" i="57"/>
  <c r="I64" i="89"/>
  <c r="D67" i="79"/>
  <c r="E67" i="79" s="1"/>
  <c r="F67" i="79" s="1"/>
  <c r="D68" i="79" s="1"/>
  <c r="I154" i="30"/>
  <c r="I155" i="30" s="1"/>
  <c r="H70" i="45"/>
  <c r="G68" i="77"/>
  <c r="G66" i="79"/>
  <c r="I66" i="79" s="1"/>
  <c r="E67" i="78"/>
  <c r="F67" i="78" s="1"/>
  <c r="D68" i="78" s="1"/>
  <c r="G70" i="64"/>
  <c r="I72" i="44"/>
  <c r="I73" i="44" s="1"/>
  <c r="H73" i="44"/>
  <c r="E71" i="54"/>
  <c r="F71" i="54" s="1"/>
  <c r="H71" i="54" s="1"/>
  <c r="E65" i="89"/>
  <c r="F65" i="89" s="1"/>
  <c r="B65" i="89"/>
  <c r="J153" i="27"/>
  <c r="D149" i="63"/>
  <c r="B149" i="63" s="1"/>
  <c r="J148" i="62"/>
  <c r="E144" i="84"/>
  <c r="F144" i="84" s="1"/>
  <c r="E155" i="27"/>
  <c r="F154" i="27"/>
  <c r="G154" i="27" s="1"/>
  <c r="E144" i="86"/>
  <c r="F144" i="86" s="1"/>
  <c r="J151" i="20"/>
  <c r="J149" i="56"/>
  <c r="D152" i="39"/>
  <c r="G151" i="39"/>
  <c r="J151" i="21"/>
  <c r="J150" i="39"/>
  <c r="G151" i="43"/>
  <c r="D152" i="43"/>
  <c r="B152" i="43" s="1"/>
  <c r="D71" i="65"/>
  <c r="E71" i="65" s="1"/>
  <c r="H70" i="65"/>
  <c r="G70" i="65"/>
  <c r="D72" i="82"/>
  <c r="E72" i="82" s="1"/>
  <c r="E73" i="82" s="1"/>
  <c r="H71" i="82"/>
  <c r="G71" i="82"/>
  <c r="J148" i="53"/>
  <c r="D72" i="53"/>
  <c r="E72" i="53" s="1"/>
  <c r="E73" i="53" s="1"/>
  <c r="D72" i="66"/>
  <c r="E152" i="41"/>
  <c r="F152" i="41" s="1"/>
  <c r="B152" i="41"/>
  <c r="D72" i="20"/>
  <c r="E72" i="20" s="1"/>
  <c r="E73" i="20" s="1"/>
  <c r="D65" i="87"/>
  <c r="D65" i="26"/>
  <c r="E65" i="26" s="1"/>
  <c r="D66" i="33"/>
  <c r="E66" i="33" s="1"/>
  <c r="D64" i="13"/>
  <c r="E64" i="13" s="1"/>
  <c r="B68" i="59"/>
  <c r="F68" i="59"/>
  <c r="G68" i="59" s="1"/>
  <c r="F72" i="73"/>
  <c r="G72" i="73" s="1"/>
  <c r="G73" i="73" s="1"/>
  <c r="B72" i="73"/>
  <c r="J145" i="78"/>
  <c r="D68" i="62"/>
  <c r="E68" i="62" s="1"/>
  <c r="H64" i="87"/>
  <c r="D66" i="25"/>
  <c r="E66" i="25" s="1"/>
  <c r="D72" i="68"/>
  <c r="G65" i="33"/>
  <c r="I65" i="33" s="1"/>
  <c r="E149" i="46"/>
  <c r="F149" i="46" s="1"/>
  <c r="D150" i="46" s="1"/>
  <c r="H67" i="62"/>
  <c r="I67" i="62" s="1"/>
  <c r="G64" i="87"/>
  <c r="H71" i="66"/>
  <c r="I71" i="66" s="1"/>
  <c r="I151" i="41"/>
  <c r="H151" i="41"/>
  <c r="H64" i="26"/>
  <c r="I64" i="26" s="1"/>
  <c r="H65" i="25"/>
  <c r="I65" i="25" s="1"/>
  <c r="H63" i="13"/>
  <c r="I63" i="13" s="1"/>
  <c r="G71" i="20"/>
  <c r="I71" i="20" s="1"/>
  <c r="J150" i="43"/>
  <c r="I72" i="18"/>
  <c r="I73" i="18" s="1"/>
  <c r="D146" i="81"/>
  <c r="G145" i="81"/>
  <c r="D146" i="26"/>
  <c r="B146" i="26" s="1"/>
  <c r="G145" i="26"/>
  <c r="G146" i="78"/>
  <c r="D147" i="78"/>
  <c r="G152" i="19"/>
  <c r="D153" i="19"/>
  <c r="G152" i="20"/>
  <c r="D153" i="20"/>
  <c r="B153" i="20" s="1"/>
  <c r="I148" i="46"/>
  <c r="H148" i="46"/>
  <c r="D148" i="68"/>
  <c r="B148" i="68" s="1"/>
  <c r="G147" i="68"/>
  <c r="H144" i="85"/>
  <c r="I144" i="85"/>
  <c r="J153" i="70"/>
  <c r="I149" i="53"/>
  <c r="H149" i="53"/>
  <c r="D154" i="32"/>
  <c r="G153" i="32"/>
  <c r="I152" i="22"/>
  <c r="H152" i="22"/>
  <c r="E147" i="66"/>
  <c r="F147" i="66" s="1"/>
  <c r="B147" i="66"/>
  <c r="E153" i="31"/>
  <c r="F153" i="31" s="1"/>
  <c r="B153" i="31"/>
  <c r="H147" i="60"/>
  <c r="I147" i="60"/>
  <c r="J146" i="68"/>
  <c r="E152" i="73"/>
  <c r="F152" i="73" s="1"/>
  <c r="B152" i="73"/>
  <c r="G144" i="89"/>
  <c r="D145" i="89"/>
  <c r="B145" i="89" s="1"/>
  <c r="E150" i="72"/>
  <c r="F150" i="72" s="1"/>
  <c r="B150" i="72"/>
  <c r="J144" i="26"/>
  <c r="E150" i="58"/>
  <c r="F150" i="58" s="1"/>
  <c r="E148" i="61"/>
  <c r="F148" i="61" s="1"/>
  <c r="B148" i="61"/>
  <c r="B144" i="90"/>
  <c r="F144" i="90"/>
  <c r="I143" i="84"/>
  <c r="H143" i="84"/>
  <c r="J151" i="19"/>
  <c r="E146" i="79"/>
  <c r="F146" i="79" s="1"/>
  <c r="E148" i="65"/>
  <c r="F148" i="65" s="1"/>
  <c r="H146" i="66"/>
  <c r="I146" i="66"/>
  <c r="H152" i="31"/>
  <c r="I152" i="31"/>
  <c r="E149" i="59"/>
  <c r="F149" i="59" s="1"/>
  <c r="G149" i="59" s="1"/>
  <c r="J152" i="32"/>
  <c r="I151" i="73"/>
  <c r="H151" i="73"/>
  <c r="H143" i="92"/>
  <c r="I143" i="92"/>
  <c r="I143" i="88"/>
  <c r="H143" i="88"/>
  <c r="G144" i="91"/>
  <c r="D145" i="91"/>
  <c r="H149" i="72"/>
  <c r="I149" i="72"/>
  <c r="I153" i="69"/>
  <c r="H153" i="69"/>
  <c r="I147" i="61"/>
  <c r="H147" i="61"/>
  <c r="I143" i="90"/>
  <c r="H143" i="90"/>
  <c r="I145" i="79"/>
  <c r="H145" i="79"/>
  <c r="I153" i="71"/>
  <c r="H153" i="71"/>
  <c r="E150" i="74"/>
  <c r="F150" i="74" s="1"/>
  <c r="B150" i="74"/>
  <c r="E148" i="60"/>
  <c r="F148" i="60" s="1"/>
  <c r="B148" i="60"/>
  <c r="J150" i="42"/>
  <c r="F154" i="70"/>
  <c r="G154" i="70" s="1"/>
  <c r="E144" i="92"/>
  <c r="F144" i="92" s="1"/>
  <c r="B144" i="92"/>
  <c r="E145" i="85"/>
  <c r="F145" i="85" s="1"/>
  <c r="B145" i="85"/>
  <c r="J147" i="63"/>
  <c r="E154" i="69"/>
  <c r="E155" i="69" s="1"/>
  <c r="B154" i="69"/>
  <c r="D150" i="62"/>
  <c r="G149" i="62"/>
  <c r="H148" i="63"/>
  <c r="I148" i="63"/>
  <c r="I143" i="86"/>
  <c r="H143" i="86"/>
  <c r="I147" i="65"/>
  <c r="H147" i="65"/>
  <c r="E154" i="71"/>
  <c r="E155" i="71" s="1"/>
  <c r="B154" i="71"/>
  <c r="I149" i="74"/>
  <c r="H149" i="74"/>
  <c r="D151" i="56"/>
  <c r="G150" i="56"/>
  <c r="I153" i="23"/>
  <c r="H153" i="23"/>
  <c r="H151" i="45"/>
  <c r="I151" i="45"/>
  <c r="E153" i="18"/>
  <c r="F153" i="18" s="1"/>
  <c r="B154" i="23"/>
  <c r="F154" i="23"/>
  <c r="G154" i="23" s="1"/>
  <c r="J148" i="55"/>
  <c r="J148" i="54"/>
  <c r="E152" i="45"/>
  <c r="F152" i="45" s="1"/>
  <c r="H152" i="18"/>
  <c r="I152" i="18"/>
  <c r="I148" i="59"/>
  <c r="H148" i="59"/>
  <c r="J152" i="24"/>
  <c r="B150" i="57"/>
  <c r="J145" i="77"/>
  <c r="E150" i="57"/>
  <c r="F150" i="57" s="1"/>
  <c r="I149" i="57"/>
  <c r="H149" i="57"/>
  <c r="G146" i="75"/>
  <c r="D147" i="75"/>
  <c r="E147" i="75" s="1"/>
  <c r="D152" i="42"/>
  <c r="E152" i="42" s="1"/>
  <c r="G151" i="42"/>
  <c r="G146" i="76"/>
  <c r="D147" i="76"/>
  <c r="E147" i="76" s="1"/>
  <c r="D154" i="24"/>
  <c r="E154" i="24" s="1"/>
  <c r="E155" i="24" s="1"/>
  <c r="G153" i="24"/>
  <c r="D150" i="54"/>
  <c r="E150" i="54" s="1"/>
  <c r="G149" i="54"/>
  <c r="I143" i="96"/>
  <c r="H143" i="96"/>
  <c r="J154" i="28"/>
  <c r="J155" i="28" s="1"/>
  <c r="I155" i="28"/>
  <c r="I152" i="34"/>
  <c r="H152" i="34"/>
  <c r="F153" i="17"/>
  <c r="B153" i="17"/>
  <c r="G146" i="77"/>
  <c r="D147" i="77"/>
  <c r="E147" i="77" s="1"/>
  <c r="F145" i="95"/>
  <c r="B145" i="95"/>
  <c r="I146" i="67"/>
  <c r="H146" i="67"/>
  <c r="I143" i="87"/>
  <c r="H143" i="87"/>
  <c r="B145" i="82"/>
  <c r="D145" i="93"/>
  <c r="E145" i="93" s="1"/>
  <c r="G144" i="93"/>
  <c r="I144" i="94"/>
  <c r="H144" i="94"/>
  <c r="H150" i="44"/>
  <c r="I150" i="44"/>
  <c r="I152" i="17"/>
  <c r="H152" i="17"/>
  <c r="I144" i="95"/>
  <c r="H144" i="95"/>
  <c r="B144" i="87"/>
  <c r="D144" i="33"/>
  <c r="E144" i="33" s="1"/>
  <c r="G143" i="33"/>
  <c r="I144" i="82"/>
  <c r="H144" i="82"/>
  <c r="D144" i="13"/>
  <c r="G143" i="13"/>
  <c r="D153" i="21"/>
  <c r="E153" i="21" s="1"/>
  <c r="G152" i="21"/>
  <c r="B151" i="44"/>
  <c r="F153" i="34"/>
  <c r="B153" i="34"/>
  <c r="I151" i="3"/>
  <c r="H151" i="3"/>
  <c r="D146" i="80"/>
  <c r="G145" i="80"/>
  <c r="F145" i="94"/>
  <c r="B145" i="94"/>
  <c r="D150" i="55"/>
  <c r="E150" i="55" s="1"/>
  <c r="G149" i="55"/>
  <c r="G145" i="83"/>
  <c r="D146" i="83"/>
  <c r="E146" i="83" s="1"/>
  <c r="B144" i="96"/>
  <c r="F144" i="96"/>
  <c r="J142" i="33"/>
  <c r="J145" i="75"/>
  <c r="B152" i="3"/>
  <c r="F152" i="3"/>
  <c r="B147" i="67"/>
  <c r="F147" i="67"/>
  <c r="E144" i="87"/>
  <c r="F144" i="87" s="1"/>
  <c r="E145" i="82"/>
  <c r="F145" i="82" s="1"/>
  <c r="J145" i="76"/>
  <c r="E151" i="44"/>
  <c r="F151" i="44" s="1"/>
  <c r="E147" i="100" l="1"/>
  <c r="F147" i="100"/>
  <c r="B147" i="100"/>
  <c r="H146" i="100"/>
  <c r="I146" i="100"/>
  <c r="H73" i="58"/>
  <c r="B71" i="67"/>
  <c r="H149" i="58"/>
  <c r="J149" i="58" s="1"/>
  <c r="B144" i="25"/>
  <c r="E144" i="25"/>
  <c r="F144" i="25" s="1"/>
  <c r="H143" i="25"/>
  <c r="I143" i="25"/>
  <c r="B67" i="98"/>
  <c r="F67" i="98"/>
  <c r="D68" i="98" s="1"/>
  <c r="E68" i="98" s="1"/>
  <c r="F68" i="98" s="1"/>
  <c r="D69" i="98" s="1"/>
  <c r="B69" i="98" s="1"/>
  <c r="H70" i="67"/>
  <c r="I72" i="39"/>
  <c r="I73" i="39" s="1"/>
  <c r="H143" i="99"/>
  <c r="I143" i="99"/>
  <c r="E153" i="22"/>
  <c r="F153" i="22" s="1"/>
  <c r="G153" i="22" s="1"/>
  <c r="E144" i="99"/>
  <c r="F144" i="99" s="1"/>
  <c r="B144" i="99"/>
  <c r="F71" i="67"/>
  <c r="H71" i="67" s="1"/>
  <c r="G70" i="67"/>
  <c r="B150" i="53"/>
  <c r="G149" i="46"/>
  <c r="H149" i="46" s="1"/>
  <c r="I68" i="77"/>
  <c r="I65" i="91"/>
  <c r="H68" i="59"/>
  <c r="I68" i="59" s="1"/>
  <c r="E149" i="63"/>
  <c r="F149" i="63" s="1"/>
  <c r="D150" i="63" s="1"/>
  <c r="D145" i="98"/>
  <c r="G144" i="98"/>
  <c r="D145" i="97"/>
  <c r="G144" i="97"/>
  <c r="G144" i="88"/>
  <c r="I144" i="88" s="1"/>
  <c r="D145" i="88"/>
  <c r="E145" i="88" s="1"/>
  <c r="F145" i="88" s="1"/>
  <c r="E153" i="20"/>
  <c r="F153" i="20" s="1"/>
  <c r="G153" i="20" s="1"/>
  <c r="H153" i="20" s="1"/>
  <c r="E148" i="68"/>
  <c r="F148" i="68" s="1"/>
  <c r="D149" i="64"/>
  <c r="B149" i="64" s="1"/>
  <c r="G148" i="64"/>
  <c r="I154" i="29"/>
  <c r="H154" i="29"/>
  <c r="H155" i="29" s="1"/>
  <c r="J147" i="64"/>
  <c r="J154" i="30"/>
  <c r="J155" i="30" s="1"/>
  <c r="D150" i="59"/>
  <c r="E150" i="59" s="1"/>
  <c r="F150" i="59" s="1"/>
  <c r="I63" i="95"/>
  <c r="E66" i="91"/>
  <c r="F66" i="91" s="1"/>
  <c r="G65" i="92"/>
  <c r="I65" i="92" s="1"/>
  <c r="H65" i="94"/>
  <c r="I65" i="94" s="1"/>
  <c r="D66" i="94"/>
  <c r="I69" i="61"/>
  <c r="I67" i="80"/>
  <c r="E68" i="80"/>
  <c r="F68" i="80" s="1"/>
  <c r="B68" i="80"/>
  <c r="I66" i="93"/>
  <c r="D71" i="63"/>
  <c r="G70" i="63"/>
  <c r="H70" i="63"/>
  <c r="E70" i="61"/>
  <c r="F70" i="61" s="1"/>
  <c r="I71" i="56"/>
  <c r="G67" i="84"/>
  <c r="D68" i="84"/>
  <c r="D71" i="75"/>
  <c r="E71" i="75" s="1"/>
  <c r="D68" i="93"/>
  <c r="E68" i="93" s="1"/>
  <c r="F68" i="93" s="1"/>
  <c r="E68" i="90"/>
  <c r="F68" i="90" s="1"/>
  <c r="G68" i="90" s="1"/>
  <c r="B68" i="90"/>
  <c r="H67" i="84"/>
  <c r="H70" i="75"/>
  <c r="F72" i="55"/>
  <c r="G70" i="75"/>
  <c r="G67" i="93"/>
  <c r="I67" i="93" s="1"/>
  <c r="G68" i="85"/>
  <c r="D69" i="85"/>
  <c r="E69" i="85" s="1"/>
  <c r="F69" i="85" s="1"/>
  <c r="H68" i="85"/>
  <c r="H72" i="73"/>
  <c r="I72" i="73" s="1"/>
  <c r="I73" i="73" s="1"/>
  <c r="D67" i="81"/>
  <c r="D65" i="95"/>
  <c r="E65" i="95" s="1"/>
  <c r="F65" i="95" s="1"/>
  <c r="B69" i="86"/>
  <c r="G64" i="96"/>
  <c r="D65" i="96"/>
  <c r="E65" i="96" s="1"/>
  <c r="B69" i="76"/>
  <c r="F69" i="76"/>
  <c r="H69" i="76" s="1"/>
  <c r="H64" i="95"/>
  <c r="E69" i="86"/>
  <c r="F69" i="86" s="1"/>
  <c r="H66" i="81"/>
  <c r="G67" i="88"/>
  <c r="I67" i="88" s="1"/>
  <c r="H64" i="96"/>
  <c r="G66" i="81"/>
  <c r="G64" i="95"/>
  <c r="I68" i="86"/>
  <c r="E68" i="79"/>
  <c r="F68" i="79" s="1"/>
  <c r="B68" i="79"/>
  <c r="D66" i="89"/>
  <c r="E66" i="89" s="1"/>
  <c r="F66" i="89" s="1"/>
  <c r="D67" i="89" s="1"/>
  <c r="G65" i="89"/>
  <c r="H65" i="89"/>
  <c r="H70" i="57"/>
  <c r="D71" i="57"/>
  <c r="E71" i="57" s="1"/>
  <c r="H72" i="60"/>
  <c r="G72" i="60"/>
  <c r="G73" i="60" s="1"/>
  <c r="H65" i="83"/>
  <c r="D66" i="83"/>
  <c r="E66" i="83" s="1"/>
  <c r="D70" i="77"/>
  <c r="E70" i="77" s="1"/>
  <c r="I71" i="82"/>
  <c r="I70" i="65"/>
  <c r="D72" i="54"/>
  <c r="E72" i="54" s="1"/>
  <c r="E73" i="54" s="1"/>
  <c r="I70" i="45"/>
  <c r="I70" i="64"/>
  <c r="B71" i="64"/>
  <c r="F71" i="64"/>
  <c r="H71" i="64" s="1"/>
  <c r="H69" i="77"/>
  <c r="G71" i="54"/>
  <c r="I71" i="54" s="1"/>
  <c r="G67" i="78"/>
  <c r="E68" i="78"/>
  <c r="F68" i="78" s="1"/>
  <c r="B68" i="78"/>
  <c r="B67" i="79"/>
  <c r="G67" i="79"/>
  <c r="H67" i="79"/>
  <c r="G70" i="57"/>
  <c r="D68" i="88"/>
  <c r="E68" i="88" s="1"/>
  <c r="B71" i="45"/>
  <c r="D66" i="92"/>
  <c r="G65" i="83"/>
  <c r="G69" i="77"/>
  <c r="H67" i="78"/>
  <c r="E72" i="56"/>
  <c r="E73" i="56" s="1"/>
  <c r="B72" i="56"/>
  <c r="E71" i="45"/>
  <c r="F71" i="45" s="1"/>
  <c r="H154" i="27"/>
  <c r="H155" i="27" s="1"/>
  <c r="I154" i="27"/>
  <c r="J145" i="79"/>
  <c r="J147" i="61"/>
  <c r="J151" i="41"/>
  <c r="J152" i="31"/>
  <c r="J147" i="65"/>
  <c r="J148" i="63"/>
  <c r="F154" i="69"/>
  <c r="G154" i="69" s="1"/>
  <c r="I154" i="69" s="1"/>
  <c r="I155" i="69" s="1"/>
  <c r="J151" i="45"/>
  <c r="H151" i="39"/>
  <c r="I151" i="39"/>
  <c r="B152" i="39"/>
  <c r="E152" i="39"/>
  <c r="F152" i="39" s="1"/>
  <c r="D153" i="41"/>
  <c r="G152" i="41"/>
  <c r="J152" i="34"/>
  <c r="B65" i="87"/>
  <c r="B72" i="66"/>
  <c r="B72" i="68"/>
  <c r="F66" i="25"/>
  <c r="G66" i="25" s="1"/>
  <c r="B66" i="25"/>
  <c r="F68" i="62"/>
  <c r="G68" i="62" s="1"/>
  <c r="B68" i="62"/>
  <c r="D69" i="59"/>
  <c r="B64" i="13"/>
  <c r="F64" i="13"/>
  <c r="E65" i="87"/>
  <c r="F65" i="87" s="1"/>
  <c r="F72" i="20"/>
  <c r="G72" i="20" s="1"/>
  <c r="G73" i="20" s="1"/>
  <c r="B72" i="20"/>
  <c r="E72" i="66"/>
  <c r="E73" i="66" s="1"/>
  <c r="F72" i="82"/>
  <c r="H72" i="82" s="1"/>
  <c r="B72" i="82"/>
  <c r="I151" i="43"/>
  <c r="H151" i="43"/>
  <c r="E72" i="68"/>
  <c r="E73" i="68" s="1"/>
  <c r="I64" i="87"/>
  <c r="F65" i="26"/>
  <c r="G65" i="26" s="1"/>
  <c r="B65" i="26"/>
  <c r="F71" i="65"/>
  <c r="H71" i="65" s="1"/>
  <c r="B71" i="65"/>
  <c r="J148" i="59"/>
  <c r="J146" i="66"/>
  <c r="J147" i="60"/>
  <c r="F66" i="33"/>
  <c r="H66" i="33" s="1"/>
  <c r="B66" i="33"/>
  <c r="B72" i="53"/>
  <c r="F72" i="53"/>
  <c r="H72" i="53" s="1"/>
  <c r="E152" i="43"/>
  <c r="F152" i="43" s="1"/>
  <c r="D151" i="74"/>
  <c r="G150" i="74"/>
  <c r="G153" i="31"/>
  <c r="D154" i="31"/>
  <c r="G144" i="92"/>
  <c r="D145" i="92"/>
  <c r="G148" i="60"/>
  <c r="D149" i="60"/>
  <c r="B149" i="60" s="1"/>
  <c r="D148" i="66"/>
  <c r="B148" i="66" s="1"/>
  <c r="G147" i="66"/>
  <c r="D149" i="61"/>
  <c r="G148" i="61"/>
  <c r="G150" i="72"/>
  <c r="D151" i="72"/>
  <c r="G152" i="73"/>
  <c r="D153" i="73"/>
  <c r="B153" i="73" s="1"/>
  <c r="F154" i="71"/>
  <c r="G154" i="71" s="1"/>
  <c r="H149" i="62"/>
  <c r="I149" i="62"/>
  <c r="G145" i="85"/>
  <c r="D146" i="85"/>
  <c r="E150" i="46"/>
  <c r="F150" i="46" s="1"/>
  <c r="B150" i="46"/>
  <c r="H154" i="70"/>
  <c r="H155" i="70" s="1"/>
  <c r="I154" i="70"/>
  <c r="J149" i="72"/>
  <c r="H144" i="91"/>
  <c r="I144" i="91"/>
  <c r="D147" i="79"/>
  <c r="B147" i="79" s="1"/>
  <c r="G146" i="79"/>
  <c r="G144" i="90"/>
  <c r="D145" i="90"/>
  <c r="I144" i="89"/>
  <c r="H144" i="89"/>
  <c r="E154" i="32"/>
  <c r="E155" i="32" s="1"/>
  <c r="B154" i="32"/>
  <c r="H152" i="19"/>
  <c r="I152" i="19"/>
  <c r="H145" i="26"/>
  <c r="I145" i="26"/>
  <c r="D151" i="53"/>
  <c r="G150" i="53"/>
  <c r="E150" i="62"/>
  <c r="F150" i="62" s="1"/>
  <c r="B150" i="62"/>
  <c r="G150" i="58"/>
  <c r="D151" i="58"/>
  <c r="E147" i="78"/>
  <c r="F147" i="78" s="1"/>
  <c r="B147" i="78"/>
  <c r="J149" i="74"/>
  <c r="G144" i="84"/>
  <c r="D145" i="84"/>
  <c r="J153" i="71"/>
  <c r="G144" i="86"/>
  <c r="D145" i="86"/>
  <c r="J151" i="73"/>
  <c r="E145" i="89"/>
  <c r="F145" i="89" s="1"/>
  <c r="J152" i="22"/>
  <c r="J149" i="53"/>
  <c r="J148" i="46"/>
  <c r="I152" i="20"/>
  <c r="H152" i="20"/>
  <c r="H146" i="78"/>
  <c r="I146" i="78"/>
  <c r="I145" i="81"/>
  <c r="H145" i="81"/>
  <c r="J153" i="69"/>
  <c r="E145" i="91"/>
  <c r="F145" i="91" s="1"/>
  <c r="B145" i="91"/>
  <c r="D149" i="65"/>
  <c r="B149" i="65" s="1"/>
  <c r="G148" i="65"/>
  <c r="H153" i="32"/>
  <c r="I153" i="32"/>
  <c r="H147" i="68"/>
  <c r="I147" i="68"/>
  <c r="H144" i="88"/>
  <c r="E153" i="19"/>
  <c r="F153" i="19" s="1"/>
  <c r="B153" i="19"/>
  <c r="E146" i="26"/>
  <c r="F146" i="26" s="1"/>
  <c r="E146" i="81"/>
  <c r="F146" i="81" s="1"/>
  <c r="B146" i="81"/>
  <c r="D153" i="45"/>
  <c r="B153" i="45" s="1"/>
  <c r="G152" i="45"/>
  <c r="J153" i="23"/>
  <c r="J152" i="18"/>
  <c r="H149" i="59"/>
  <c r="I149" i="59"/>
  <c r="I150" i="56"/>
  <c r="H150" i="56"/>
  <c r="H154" i="23"/>
  <c r="H155" i="23" s="1"/>
  <c r="I154" i="23"/>
  <c r="I155" i="23" s="1"/>
  <c r="G153" i="18"/>
  <c r="D154" i="18"/>
  <c r="E151" i="56"/>
  <c r="F151" i="56" s="1"/>
  <c r="B151" i="56"/>
  <c r="G150" i="57"/>
  <c r="D151" i="57"/>
  <c r="B151" i="57" s="1"/>
  <c r="J152" i="17"/>
  <c r="J146" i="67"/>
  <c r="J149" i="57"/>
  <c r="I153" i="20"/>
  <c r="G144" i="87"/>
  <c r="D145" i="87"/>
  <c r="E145" i="87" s="1"/>
  <c r="D146" i="82"/>
  <c r="E146" i="82" s="1"/>
  <c r="G145" i="82"/>
  <c r="D152" i="44"/>
  <c r="E152" i="44" s="1"/>
  <c r="G151" i="44"/>
  <c r="B146" i="80"/>
  <c r="G153" i="34"/>
  <c r="D154" i="34"/>
  <c r="E154" i="34" s="1"/>
  <c r="E155" i="34" s="1"/>
  <c r="B144" i="13"/>
  <c r="J150" i="44"/>
  <c r="G145" i="95"/>
  <c r="D146" i="95"/>
  <c r="E146" i="95" s="1"/>
  <c r="F147" i="77"/>
  <c r="B147" i="77"/>
  <c r="H153" i="24"/>
  <c r="I153" i="24"/>
  <c r="F146" i="83"/>
  <c r="B146" i="83"/>
  <c r="B150" i="55"/>
  <c r="F150" i="55"/>
  <c r="B153" i="21"/>
  <c r="F153" i="21"/>
  <c r="H143" i="33"/>
  <c r="I143" i="33"/>
  <c r="F145" i="93"/>
  <c r="B145" i="93"/>
  <c r="H146" i="77"/>
  <c r="I146" i="77"/>
  <c r="G153" i="17"/>
  <c r="D154" i="17"/>
  <c r="E154" i="17" s="1"/>
  <c r="E155" i="17" s="1"/>
  <c r="H149" i="54"/>
  <c r="I149" i="54"/>
  <c r="F154" i="24"/>
  <c r="G154" i="24" s="1"/>
  <c r="B154" i="24"/>
  <c r="I146" i="75"/>
  <c r="H146" i="75"/>
  <c r="G152" i="3"/>
  <c r="D153" i="3"/>
  <c r="E153" i="3" s="1"/>
  <c r="H145" i="83"/>
  <c r="I145" i="83"/>
  <c r="I145" i="80"/>
  <c r="H145" i="80"/>
  <c r="J151" i="3"/>
  <c r="E144" i="13"/>
  <c r="F144" i="13" s="1"/>
  <c r="F147" i="76"/>
  <c r="B147" i="76"/>
  <c r="H151" i="42"/>
  <c r="I151" i="42"/>
  <c r="D148" i="67"/>
  <c r="E148" i="67" s="1"/>
  <c r="G147" i="67"/>
  <c r="G144" i="96"/>
  <c r="D145" i="96"/>
  <c r="E145" i="96" s="1"/>
  <c r="H149" i="55"/>
  <c r="I149" i="55"/>
  <c r="G145" i="94"/>
  <c r="D146" i="94"/>
  <c r="E146" i="94" s="1"/>
  <c r="E146" i="80"/>
  <c r="F146" i="80" s="1"/>
  <c r="H152" i="21"/>
  <c r="I152" i="21"/>
  <c r="I143" i="13"/>
  <c r="H143" i="13"/>
  <c r="F144" i="33"/>
  <c r="B144" i="33"/>
  <c r="H144" i="93"/>
  <c r="I144" i="93"/>
  <c r="B150" i="54"/>
  <c r="F150" i="54"/>
  <c r="H146" i="76"/>
  <c r="I146" i="76"/>
  <c r="F152" i="42"/>
  <c r="B152" i="42"/>
  <c r="F147" i="75"/>
  <c r="B147" i="75"/>
  <c r="D148" i="100" l="1"/>
  <c r="G147" i="100"/>
  <c r="G149" i="63"/>
  <c r="J143" i="25"/>
  <c r="G67" i="98"/>
  <c r="G144" i="25"/>
  <c r="D145" i="25"/>
  <c r="H68" i="98"/>
  <c r="H67" i="98"/>
  <c r="E69" i="98"/>
  <c r="F69" i="98" s="1"/>
  <c r="D70" i="98" s="1"/>
  <c r="E70" i="98" s="1"/>
  <c r="F70" i="98" s="1"/>
  <c r="G70" i="98" s="1"/>
  <c r="G68" i="98"/>
  <c r="B68" i="98"/>
  <c r="D154" i="22"/>
  <c r="E154" i="22" s="1"/>
  <c r="E155" i="22" s="1"/>
  <c r="D72" i="67"/>
  <c r="E72" i="67" s="1"/>
  <c r="E73" i="67" s="1"/>
  <c r="G71" i="67"/>
  <c r="I71" i="67" s="1"/>
  <c r="G66" i="33"/>
  <c r="I66" i="33" s="1"/>
  <c r="I70" i="67"/>
  <c r="D145" i="99"/>
  <c r="G144" i="99"/>
  <c r="I65" i="83"/>
  <c r="I149" i="46"/>
  <c r="J149" i="46" s="1"/>
  <c r="B145" i="88"/>
  <c r="D154" i="20"/>
  <c r="B150" i="59"/>
  <c r="I144" i="97"/>
  <c r="H144" i="97"/>
  <c r="E145" i="97"/>
  <c r="F145" i="97" s="1"/>
  <c r="B145" i="97"/>
  <c r="H144" i="98"/>
  <c r="I144" i="98"/>
  <c r="E145" i="98"/>
  <c r="F145" i="98" s="1"/>
  <c r="B145" i="98"/>
  <c r="G148" i="68"/>
  <c r="D149" i="68"/>
  <c r="H154" i="69"/>
  <c r="H155" i="69" s="1"/>
  <c r="E149" i="64"/>
  <c r="F149" i="64" s="1"/>
  <c r="G149" i="64" s="1"/>
  <c r="I155" i="29"/>
  <c r="J154" i="29"/>
  <c r="J155" i="29" s="1"/>
  <c r="H148" i="64"/>
  <c r="I148" i="64"/>
  <c r="G66" i="91"/>
  <c r="H66" i="91"/>
  <c r="D67" i="91"/>
  <c r="G69" i="76"/>
  <c r="I69" i="76" s="1"/>
  <c r="G71" i="65"/>
  <c r="I71" i="65" s="1"/>
  <c r="I67" i="84"/>
  <c r="D69" i="80"/>
  <c r="E69" i="80" s="1"/>
  <c r="F69" i="80" s="1"/>
  <c r="H68" i="80"/>
  <c r="G68" i="80"/>
  <c r="B66" i="94"/>
  <c r="H73" i="73"/>
  <c r="E71" i="63"/>
  <c r="F71" i="63" s="1"/>
  <c r="B71" i="63"/>
  <c r="E66" i="94"/>
  <c r="F66" i="94" s="1"/>
  <c r="I64" i="96"/>
  <c r="G70" i="61"/>
  <c r="H70" i="61"/>
  <c r="D71" i="61"/>
  <c r="I70" i="75"/>
  <c r="I70" i="63"/>
  <c r="D69" i="93"/>
  <c r="E69" i="93" s="1"/>
  <c r="H66" i="25"/>
  <c r="I66" i="25" s="1"/>
  <c r="F72" i="56"/>
  <c r="G72" i="56" s="1"/>
  <c r="G73" i="56" s="1"/>
  <c r="I64" i="95"/>
  <c r="G72" i="55"/>
  <c r="G73" i="55" s="1"/>
  <c r="H72" i="55"/>
  <c r="D69" i="90"/>
  <c r="B68" i="93"/>
  <c r="G68" i="93"/>
  <c r="H68" i="93"/>
  <c r="E68" i="84"/>
  <c r="F68" i="84" s="1"/>
  <c r="H68" i="84" s="1"/>
  <c r="B68" i="84"/>
  <c r="I66" i="81"/>
  <c r="I67" i="78"/>
  <c r="I68" i="85"/>
  <c r="H68" i="90"/>
  <c r="I68" i="90" s="1"/>
  <c r="B71" i="75"/>
  <c r="F71" i="75"/>
  <c r="G71" i="75" s="1"/>
  <c r="D69" i="79"/>
  <c r="H68" i="79"/>
  <c r="D66" i="95"/>
  <c r="E66" i="95" s="1"/>
  <c r="F66" i="95" s="1"/>
  <c r="D67" i="95" s="1"/>
  <c r="D70" i="85"/>
  <c r="E70" i="85" s="1"/>
  <c r="F70" i="85" s="1"/>
  <c r="D71" i="85" s="1"/>
  <c r="G71" i="64"/>
  <c r="I71" i="64" s="1"/>
  <c r="H69" i="86"/>
  <c r="D70" i="86"/>
  <c r="G69" i="86"/>
  <c r="B67" i="81"/>
  <c r="G72" i="53"/>
  <c r="G73" i="53" s="1"/>
  <c r="G72" i="82"/>
  <c r="G73" i="82" s="1"/>
  <c r="H72" i="20"/>
  <c r="I72" i="20" s="1"/>
  <c r="I73" i="20" s="1"/>
  <c r="B65" i="96"/>
  <c r="F65" i="96"/>
  <c r="B65" i="95"/>
  <c r="H65" i="95"/>
  <c r="G65" i="95"/>
  <c r="B69" i="85"/>
  <c r="H69" i="85"/>
  <c r="G69" i="85"/>
  <c r="H65" i="26"/>
  <c r="I65" i="26" s="1"/>
  <c r="D70" i="76"/>
  <c r="E70" i="76" s="1"/>
  <c r="E67" i="81"/>
  <c r="F67" i="81" s="1"/>
  <c r="D68" i="81" s="1"/>
  <c r="H71" i="45"/>
  <c r="D72" i="45"/>
  <c r="G71" i="45"/>
  <c r="E67" i="89"/>
  <c r="F67" i="89" s="1"/>
  <c r="B67" i="89"/>
  <c r="B66" i="92"/>
  <c r="H68" i="78"/>
  <c r="D69" i="78"/>
  <c r="E69" i="78" s="1"/>
  <c r="F69" i="78" s="1"/>
  <c r="D70" i="78" s="1"/>
  <c r="I70" i="57"/>
  <c r="B68" i="88"/>
  <c r="F68" i="88"/>
  <c r="G68" i="88" s="1"/>
  <c r="B72" i="54"/>
  <c r="F72" i="54"/>
  <c r="H72" i="54" s="1"/>
  <c r="F66" i="83"/>
  <c r="G66" i="83" s="1"/>
  <c r="B66" i="83"/>
  <c r="I72" i="60"/>
  <c r="I73" i="60" s="1"/>
  <c r="H73" i="60"/>
  <c r="G68" i="78"/>
  <c r="D72" i="64"/>
  <c r="E72" i="64" s="1"/>
  <c r="E73" i="64" s="1"/>
  <c r="B66" i="89"/>
  <c r="H66" i="89"/>
  <c r="G66" i="89"/>
  <c r="E66" i="92"/>
  <c r="F66" i="92" s="1"/>
  <c r="I67" i="79"/>
  <c r="I69" i="77"/>
  <c r="F70" i="77"/>
  <c r="H70" i="77" s="1"/>
  <c r="B70" i="77"/>
  <c r="B71" i="57"/>
  <c r="F71" i="57"/>
  <c r="D72" i="57" s="1"/>
  <c r="I65" i="89"/>
  <c r="G68" i="79"/>
  <c r="J151" i="43"/>
  <c r="J151" i="42"/>
  <c r="J149" i="62"/>
  <c r="J154" i="27"/>
  <c r="J155" i="27" s="1"/>
  <c r="I155" i="27"/>
  <c r="J151" i="39"/>
  <c r="G152" i="39"/>
  <c r="D153" i="39"/>
  <c r="E148" i="66"/>
  <c r="F148" i="66" s="1"/>
  <c r="G148" i="66" s="1"/>
  <c r="J153" i="32"/>
  <c r="D66" i="87"/>
  <c r="E66" i="87" s="1"/>
  <c r="G65" i="87"/>
  <c r="H65" i="87"/>
  <c r="H73" i="82"/>
  <c r="D65" i="13"/>
  <c r="E65" i="13" s="1"/>
  <c r="B69" i="59"/>
  <c r="J147" i="68"/>
  <c r="J152" i="20"/>
  <c r="G64" i="13"/>
  <c r="H68" i="62"/>
  <c r="I68" i="62" s="1"/>
  <c r="F72" i="66"/>
  <c r="J146" i="78"/>
  <c r="D67" i="33"/>
  <c r="E67" i="33" s="1"/>
  <c r="D72" i="65"/>
  <c r="D66" i="26"/>
  <c r="E66" i="26" s="1"/>
  <c r="F72" i="68"/>
  <c r="I152" i="41"/>
  <c r="H152" i="41"/>
  <c r="D153" i="43"/>
  <c r="G152" i="43"/>
  <c r="H73" i="53"/>
  <c r="H64" i="13"/>
  <c r="E69" i="59"/>
  <c r="F69" i="59" s="1"/>
  <c r="D69" i="62"/>
  <c r="D67" i="25"/>
  <c r="E67" i="25" s="1"/>
  <c r="E153" i="41"/>
  <c r="F153" i="41" s="1"/>
  <c r="B153" i="41"/>
  <c r="G146" i="81"/>
  <c r="D147" i="81"/>
  <c r="G147" i="78"/>
  <c r="D148" i="78"/>
  <c r="G153" i="19"/>
  <c r="D154" i="19"/>
  <c r="B154" i="19" s="1"/>
  <c r="E153" i="45"/>
  <c r="F153" i="45" s="1"/>
  <c r="G153" i="45" s="1"/>
  <c r="E149" i="65"/>
  <c r="F149" i="65" s="1"/>
  <c r="D146" i="91"/>
  <c r="B146" i="91" s="1"/>
  <c r="G145" i="91"/>
  <c r="I144" i="86"/>
  <c r="H144" i="86"/>
  <c r="I144" i="84"/>
  <c r="H144" i="84"/>
  <c r="E150" i="63"/>
  <c r="F150" i="63" s="1"/>
  <c r="B150" i="63"/>
  <c r="E151" i="53"/>
  <c r="F151" i="53" s="1"/>
  <c r="B151" i="53"/>
  <c r="F154" i="32"/>
  <c r="G154" i="32" s="1"/>
  <c r="H146" i="79"/>
  <c r="I146" i="79"/>
  <c r="I154" i="71"/>
  <c r="H154" i="71"/>
  <c r="H155" i="71" s="1"/>
  <c r="E151" i="72"/>
  <c r="F151" i="72" s="1"/>
  <c r="B151" i="72"/>
  <c r="E154" i="31"/>
  <c r="E155" i="31" s="1"/>
  <c r="B154" i="31"/>
  <c r="I148" i="65"/>
  <c r="H148" i="65"/>
  <c r="H153" i="22"/>
  <c r="I153" i="22"/>
  <c r="G145" i="89"/>
  <c r="D146" i="89"/>
  <c r="E146" i="89" s="1"/>
  <c r="E151" i="58"/>
  <c r="F151" i="58" s="1"/>
  <c r="B151" i="58"/>
  <c r="J145" i="26"/>
  <c r="E145" i="90"/>
  <c r="F145" i="90" s="1"/>
  <c r="B145" i="90"/>
  <c r="J154" i="70"/>
  <c r="J155" i="70" s="1"/>
  <c r="I155" i="70"/>
  <c r="E153" i="73"/>
  <c r="F153" i="73" s="1"/>
  <c r="H150" i="72"/>
  <c r="I150" i="72"/>
  <c r="H147" i="66"/>
  <c r="I147" i="66"/>
  <c r="I148" i="60"/>
  <c r="H148" i="60"/>
  <c r="H153" i="31"/>
  <c r="I153" i="31"/>
  <c r="D147" i="26"/>
  <c r="G146" i="26"/>
  <c r="H150" i="58"/>
  <c r="I150" i="58"/>
  <c r="G150" i="62"/>
  <c r="D151" i="62"/>
  <c r="D146" i="88"/>
  <c r="B146" i="88" s="1"/>
  <c r="G145" i="88"/>
  <c r="H144" i="90"/>
  <c r="I144" i="90"/>
  <c r="E146" i="85"/>
  <c r="F146" i="85" s="1"/>
  <c r="B146" i="85"/>
  <c r="H148" i="61"/>
  <c r="I148" i="61"/>
  <c r="E145" i="92"/>
  <c r="F145" i="92" s="1"/>
  <c r="B145" i="92"/>
  <c r="H150" i="74"/>
  <c r="I150" i="74"/>
  <c r="J154" i="23"/>
  <c r="J155" i="23" s="1"/>
  <c r="J149" i="59"/>
  <c r="E145" i="86"/>
  <c r="F145" i="86" s="1"/>
  <c r="B145" i="86"/>
  <c r="E145" i="84"/>
  <c r="F145" i="84" s="1"/>
  <c r="B145" i="84"/>
  <c r="I149" i="63"/>
  <c r="H149" i="63"/>
  <c r="I150" i="53"/>
  <c r="H150" i="53"/>
  <c r="J152" i="19"/>
  <c r="E147" i="79"/>
  <c r="F147" i="79" s="1"/>
  <c r="G150" i="46"/>
  <c r="D151" i="46"/>
  <c r="B151" i="46" s="1"/>
  <c r="H145" i="85"/>
  <c r="I145" i="85"/>
  <c r="H152" i="73"/>
  <c r="I152" i="73"/>
  <c r="E149" i="61"/>
  <c r="F149" i="61" s="1"/>
  <c r="B149" i="61"/>
  <c r="E149" i="60"/>
  <c r="F149" i="60" s="1"/>
  <c r="I144" i="92"/>
  <c r="H144" i="92"/>
  <c r="E151" i="74"/>
  <c r="F151" i="74" s="1"/>
  <c r="B151" i="74"/>
  <c r="D151" i="59"/>
  <c r="G150" i="59"/>
  <c r="D152" i="56"/>
  <c r="E152" i="56" s="1"/>
  <c r="G151" i="56"/>
  <c r="E154" i="18"/>
  <c r="E155" i="18" s="1"/>
  <c r="B154" i="18"/>
  <c r="J150" i="56"/>
  <c r="H152" i="45"/>
  <c r="I152" i="45"/>
  <c r="J146" i="77"/>
  <c r="I153" i="18"/>
  <c r="H153" i="18"/>
  <c r="J146" i="76"/>
  <c r="J146" i="75"/>
  <c r="J153" i="20"/>
  <c r="E151" i="57"/>
  <c r="F151" i="57" s="1"/>
  <c r="H150" i="57"/>
  <c r="I150" i="57"/>
  <c r="D147" i="80"/>
  <c r="E147" i="80" s="1"/>
  <c r="G146" i="80"/>
  <c r="G144" i="13"/>
  <c r="D145" i="13"/>
  <c r="H145" i="94"/>
  <c r="I145" i="94"/>
  <c r="J152" i="21"/>
  <c r="J149" i="55"/>
  <c r="B145" i="96"/>
  <c r="F145" i="96"/>
  <c r="H147" i="67"/>
  <c r="I147" i="67"/>
  <c r="G147" i="76"/>
  <c r="D148" i="76"/>
  <c r="E148" i="76" s="1"/>
  <c r="J149" i="54"/>
  <c r="I153" i="17"/>
  <c r="H153" i="17"/>
  <c r="J143" i="33"/>
  <c r="G146" i="83"/>
  <c r="D147" i="83"/>
  <c r="J153" i="24"/>
  <c r="H145" i="95"/>
  <c r="I145" i="95"/>
  <c r="H153" i="34"/>
  <c r="I153" i="34"/>
  <c r="I145" i="82"/>
  <c r="H145" i="82"/>
  <c r="I144" i="87"/>
  <c r="H144" i="87"/>
  <c r="G150" i="54"/>
  <c r="D151" i="54"/>
  <c r="E151" i="54" s="1"/>
  <c r="I144" i="96"/>
  <c r="H144" i="96"/>
  <c r="F148" i="67"/>
  <c r="B148" i="67"/>
  <c r="B153" i="3"/>
  <c r="F153" i="3"/>
  <c r="I154" i="24"/>
  <c r="H154" i="24"/>
  <c r="H155" i="24" s="1"/>
  <c r="D151" i="55"/>
  <c r="E151" i="55" s="1"/>
  <c r="G150" i="55"/>
  <c r="I151" i="44"/>
  <c r="H151" i="44"/>
  <c r="B146" i="82"/>
  <c r="F146" i="82"/>
  <c r="G147" i="75"/>
  <c r="D148" i="75"/>
  <c r="D153" i="42"/>
  <c r="E153" i="42" s="1"/>
  <c r="G152" i="42"/>
  <c r="G144" i="33"/>
  <c r="D145" i="33"/>
  <c r="E145" i="33" s="1"/>
  <c r="B146" i="94"/>
  <c r="F146" i="94"/>
  <c r="I152" i="3"/>
  <c r="H152" i="3"/>
  <c r="G153" i="21"/>
  <c r="D154" i="21"/>
  <c r="E154" i="21" s="1"/>
  <c r="E155" i="21" s="1"/>
  <c r="G147" i="77"/>
  <c r="D148" i="77"/>
  <c r="E148" i="77" s="1"/>
  <c r="F152" i="44"/>
  <c r="B152" i="44"/>
  <c r="F154" i="17"/>
  <c r="G154" i="17" s="1"/>
  <c r="B154" i="17"/>
  <c r="G145" i="93"/>
  <c r="D146" i="93"/>
  <c r="E146" i="93" s="1"/>
  <c r="B146" i="95"/>
  <c r="F146" i="95"/>
  <c r="B154" i="34"/>
  <c r="F154" i="34"/>
  <c r="G154" i="34" s="1"/>
  <c r="B145" i="87"/>
  <c r="F145" i="87"/>
  <c r="I147" i="100" l="1"/>
  <c r="H147" i="100"/>
  <c r="E148" i="100"/>
  <c r="B148" i="100"/>
  <c r="F148" i="100"/>
  <c r="I67" i="98"/>
  <c r="I68" i="98"/>
  <c r="F72" i="67"/>
  <c r="H72" i="67" s="1"/>
  <c r="D149" i="66"/>
  <c r="B149" i="66" s="1"/>
  <c r="E145" i="25"/>
  <c r="F145" i="25" s="1"/>
  <c r="B145" i="25"/>
  <c r="I144" i="25"/>
  <c r="H144" i="25"/>
  <c r="H69" i="98"/>
  <c r="B70" i="98"/>
  <c r="B72" i="67"/>
  <c r="G69" i="98"/>
  <c r="I72" i="82"/>
  <c r="I73" i="82" s="1"/>
  <c r="B154" i="22"/>
  <c r="D71" i="98"/>
  <c r="E71" i="98" s="1"/>
  <c r="F71" i="98" s="1"/>
  <c r="D72" i="98" s="1"/>
  <c r="H70" i="98"/>
  <c r="I70" i="98" s="1"/>
  <c r="H144" i="99"/>
  <c r="I144" i="99"/>
  <c r="E145" i="99"/>
  <c r="F145" i="99" s="1"/>
  <c r="B145" i="99"/>
  <c r="I66" i="91"/>
  <c r="J154" i="69"/>
  <c r="J155" i="69" s="1"/>
  <c r="E154" i="20"/>
  <c r="B154" i="20"/>
  <c r="E69" i="79"/>
  <c r="F69" i="79" s="1"/>
  <c r="H72" i="56"/>
  <c r="I72" i="56" s="1"/>
  <c r="I73" i="56" s="1"/>
  <c r="G145" i="98"/>
  <c r="D146" i="98"/>
  <c r="E146" i="98" s="1"/>
  <c r="G145" i="97"/>
  <c r="D146" i="97"/>
  <c r="D150" i="64"/>
  <c r="B150" i="64" s="1"/>
  <c r="J148" i="64"/>
  <c r="B149" i="68"/>
  <c r="E149" i="68"/>
  <c r="F149" i="68" s="1"/>
  <c r="H148" i="68"/>
  <c r="I148" i="68"/>
  <c r="I149" i="64"/>
  <c r="H149" i="64"/>
  <c r="I65" i="95"/>
  <c r="E67" i="91"/>
  <c r="F67" i="91" s="1"/>
  <c r="D68" i="91" s="1"/>
  <c r="B67" i="91"/>
  <c r="B69" i="79"/>
  <c r="I70" i="61"/>
  <c r="I72" i="53"/>
  <c r="I73" i="53" s="1"/>
  <c r="D67" i="94"/>
  <c r="E67" i="94" s="1"/>
  <c r="F67" i="94" s="1"/>
  <c r="H66" i="94"/>
  <c r="G66" i="94"/>
  <c r="D70" i="80"/>
  <c r="E70" i="80" s="1"/>
  <c r="F70" i="80" s="1"/>
  <c r="H71" i="63"/>
  <c r="G71" i="63"/>
  <c r="D72" i="63"/>
  <c r="I68" i="80"/>
  <c r="H73" i="20"/>
  <c r="G72" i="54"/>
  <c r="G73" i="54" s="1"/>
  <c r="I68" i="79"/>
  <c r="I68" i="93"/>
  <c r="B71" i="61"/>
  <c r="E71" i="61"/>
  <c r="F71" i="61" s="1"/>
  <c r="B69" i="80"/>
  <c r="H69" i="80"/>
  <c r="G69" i="80"/>
  <c r="D72" i="75"/>
  <c r="E72" i="75" s="1"/>
  <c r="E73" i="75" s="1"/>
  <c r="B69" i="90"/>
  <c r="G68" i="84"/>
  <c r="I68" i="84" s="1"/>
  <c r="D69" i="84"/>
  <c r="I72" i="55"/>
  <c r="I73" i="55" s="1"/>
  <c r="H73" i="55"/>
  <c r="H71" i="75"/>
  <c r="E69" i="90"/>
  <c r="F69" i="90" s="1"/>
  <c r="G69" i="90" s="1"/>
  <c r="B69" i="93"/>
  <c r="F69" i="93"/>
  <c r="H69" i="93" s="1"/>
  <c r="E71" i="85"/>
  <c r="F71" i="85" s="1"/>
  <c r="H71" i="85" s="1"/>
  <c r="B71" i="85"/>
  <c r="E67" i="95"/>
  <c r="F67" i="95" s="1"/>
  <c r="B67" i="95"/>
  <c r="H68" i="88"/>
  <c r="I68" i="88" s="1"/>
  <c r="F70" i="76"/>
  <c r="H70" i="76" s="1"/>
  <c r="B70" i="76"/>
  <c r="G65" i="96"/>
  <c r="D66" i="96"/>
  <c r="I69" i="86"/>
  <c r="B66" i="95"/>
  <c r="G66" i="95"/>
  <c r="H66" i="95"/>
  <c r="I69" i="85"/>
  <c r="H65" i="96"/>
  <c r="G67" i="81"/>
  <c r="B70" i="86"/>
  <c r="E70" i="86"/>
  <c r="F70" i="86" s="1"/>
  <c r="E68" i="81"/>
  <c r="F68" i="81" s="1"/>
  <c r="H68" i="81" s="1"/>
  <c r="B68" i="81"/>
  <c r="H67" i="81"/>
  <c r="B70" i="85"/>
  <c r="G70" i="85"/>
  <c r="H70" i="85"/>
  <c r="D68" i="89"/>
  <c r="G67" i="89"/>
  <c r="H67" i="89"/>
  <c r="H66" i="92"/>
  <c r="D67" i="92"/>
  <c r="E67" i="92" s="1"/>
  <c r="F67" i="92" s="1"/>
  <c r="D68" i="92" s="1"/>
  <c r="G66" i="92"/>
  <c r="H73" i="54"/>
  <c r="I65" i="87"/>
  <c r="G71" i="57"/>
  <c r="I66" i="89"/>
  <c r="B72" i="64"/>
  <c r="F72" i="64"/>
  <c r="E72" i="57"/>
  <c r="E73" i="57" s="1"/>
  <c r="B72" i="57"/>
  <c r="D67" i="83"/>
  <c r="E67" i="83" s="1"/>
  <c r="F67" i="83" s="1"/>
  <c r="D69" i="88"/>
  <c r="E70" i="78"/>
  <c r="F70" i="78" s="1"/>
  <c r="B70" i="78"/>
  <c r="E72" i="45"/>
  <c r="E73" i="45" s="1"/>
  <c r="B72" i="45"/>
  <c r="I64" i="13"/>
  <c r="H71" i="57"/>
  <c r="G70" i="77"/>
  <c r="I70" i="77" s="1"/>
  <c r="D71" i="77"/>
  <c r="E71" i="77" s="1"/>
  <c r="F71" i="77" s="1"/>
  <c r="D72" i="77" s="1"/>
  <c r="G72" i="67"/>
  <c r="G73" i="67" s="1"/>
  <c r="I68" i="78"/>
  <c r="H66" i="83"/>
  <c r="B69" i="78"/>
  <c r="H69" i="78"/>
  <c r="G69" i="78"/>
  <c r="I71" i="45"/>
  <c r="D154" i="45"/>
  <c r="E154" i="45" s="1"/>
  <c r="E155" i="45" s="1"/>
  <c r="J150" i="72"/>
  <c r="J147" i="66"/>
  <c r="J152" i="41"/>
  <c r="J152" i="45"/>
  <c r="E153" i="39"/>
  <c r="F153" i="39" s="1"/>
  <c r="B153" i="39"/>
  <c r="J150" i="74"/>
  <c r="F154" i="22"/>
  <c r="G154" i="22" s="1"/>
  <c r="H154" i="22" s="1"/>
  <c r="H155" i="22" s="1"/>
  <c r="H152" i="39"/>
  <c r="I152" i="39"/>
  <c r="D70" i="59"/>
  <c r="E70" i="59" s="1"/>
  <c r="G69" i="59"/>
  <c r="H69" i="59"/>
  <c r="B69" i="62"/>
  <c r="B72" i="65"/>
  <c r="H72" i="66"/>
  <c r="G72" i="66"/>
  <c r="G73" i="66" s="1"/>
  <c r="J150" i="57"/>
  <c r="J152" i="73"/>
  <c r="E151" i="46"/>
  <c r="F151" i="46" s="1"/>
  <c r="G151" i="46" s="1"/>
  <c r="J149" i="63"/>
  <c r="E146" i="88"/>
  <c r="F146" i="88" s="1"/>
  <c r="D147" i="88" s="1"/>
  <c r="J146" i="79"/>
  <c r="E69" i="62"/>
  <c r="F69" i="62" s="1"/>
  <c r="H152" i="43"/>
  <c r="I152" i="43"/>
  <c r="D154" i="41"/>
  <c r="G153" i="41"/>
  <c r="E153" i="43"/>
  <c r="F153" i="43" s="1"/>
  <c r="B153" i="43"/>
  <c r="H72" i="68"/>
  <c r="G72" i="68"/>
  <c r="G73" i="68" s="1"/>
  <c r="B66" i="26"/>
  <c r="F66" i="26"/>
  <c r="G66" i="26" s="1"/>
  <c r="B67" i="33"/>
  <c r="F67" i="33"/>
  <c r="G67" i="33" s="1"/>
  <c r="F65" i="13"/>
  <c r="G65" i="13" s="1"/>
  <c r="B65" i="13"/>
  <c r="F154" i="31"/>
  <c r="G154" i="31" s="1"/>
  <c r="I154" i="31" s="1"/>
  <c r="B67" i="25"/>
  <c r="F67" i="25"/>
  <c r="G67" i="25" s="1"/>
  <c r="E72" i="65"/>
  <c r="E73" i="65" s="1"/>
  <c r="B66" i="87"/>
  <c r="F66" i="87"/>
  <c r="G66" i="87" s="1"/>
  <c r="D150" i="61"/>
  <c r="G149" i="61"/>
  <c r="G150" i="63"/>
  <c r="D151" i="63"/>
  <c r="G145" i="92"/>
  <c r="D146" i="92"/>
  <c r="B146" i="92" s="1"/>
  <c r="H150" i="46"/>
  <c r="I150" i="46"/>
  <c r="J150" i="53"/>
  <c r="J148" i="61"/>
  <c r="H145" i="88"/>
  <c r="I145" i="88"/>
  <c r="J150" i="58"/>
  <c r="J153" i="31"/>
  <c r="G153" i="73"/>
  <c r="D154" i="73"/>
  <c r="D152" i="58"/>
  <c r="E152" i="58" s="1"/>
  <c r="G151" i="58"/>
  <c r="J148" i="65"/>
  <c r="E149" i="66"/>
  <c r="F149" i="66" s="1"/>
  <c r="G151" i="53"/>
  <c r="D152" i="53"/>
  <c r="E146" i="91"/>
  <c r="F146" i="91" s="1"/>
  <c r="E148" i="78"/>
  <c r="F148" i="78" s="1"/>
  <c r="B148" i="78"/>
  <c r="G147" i="79"/>
  <c r="D148" i="79"/>
  <c r="J153" i="22"/>
  <c r="I148" i="66"/>
  <c r="H148" i="66"/>
  <c r="H145" i="91"/>
  <c r="I145" i="91"/>
  <c r="E154" i="19"/>
  <c r="I147" i="78"/>
  <c r="H147" i="78"/>
  <c r="G151" i="74"/>
  <c r="D152" i="74"/>
  <c r="B152" i="74" s="1"/>
  <c r="D150" i="60"/>
  <c r="G149" i="60"/>
  <c r="D146" i="86"/>
  <c r="G145" i="86"/>
  <c r="G146" i="85"/>
  <c r="D147" i="85"/>
  <c r="B151" i="62"/>
  <c r="E151" i="62"/>
  <c r="F151" i="62" s="1"/>
  <c r="I146" i="26"/>
  <c r="H146" i="26"/>
  <c r="F146" i="89"/>
  <c r="B146" i="89"/>
  <c r="G151" i="72"/>
  <c r="D152" i="72"/>
  <c r="J154" i="71"/>
  <c r="J155" i="71" s="1"/>
  <c r="I155" i="71"/>
  <c r="H154" i="32"/>
  <c r="H155" i="32" s="1"/>
  <c r="I154" i="32"/>
  <c r="E147" i="81"/>
  <c r="F147" i="81" s="1"/>
  <c r="B147" i="81"/>
  <c r="D146" i="84"/>
  <c r="B146" i="84" s="1"/>
  <c r="G145" i="84"/>
  <c r="H150" i="62"/>
  <c r="I150" i="62"/>
  <c r="B147" i="26"/>
  <c r="E147" i="26"/>
  <c r="F147" i="26" s="1"/>
  <c r="J148" i="60"/>
  <c r="D146" i="90"/>
  <c r="G145" i="90"/>
  <c r="H145" i="89"/>
  <c r="I145" i="89"/>
  <c r="G149" i="65"/>
  <c r="D150" i="65"/>
  <c r="H153" i="19"/>
  <c r="I153" i="19"/>
  <c r="I146" i="81"/>
  <c r="H146" i="81"/>
  <c r="J153" i="18"/>
  <c r="H153" i="45"/>
  <c r="I153" i="45"/>
  <c r="F152" i="56"/>
  <c r="B152" i="56"/>
  <c r="H150" i="59"/>
  <c r="I150" i="59"/>
  <c r="J147" i="67"/>
  <c r="F154" i="18"/>
  <c r="G154" i="18" s="1"/>
  <c r="H151" i="56"/>
  <c r="I151" i="56"/>
  <c r="E151" i="59"/>
  <c r="F151" i="59" s="1"/>
  <c r="B151" i="59"/>
  <c r="D152" i="57"/>
  <c r="G151" i="57"/>
  <c r="H150" i="54"/>
  <c r="I150" i="54"/>
  <c r="B151" i="55"/>
  <c r="F151" i="55"/>
  <c r="H147" i="76"/>
  <c r="I147" i="76"/>
  <c r="B145" i="13"/>
  <c r="H154" i="34"/>
  <c r="H155" i="34" s="1"/>
  <c r="I154" i="34"/>
  <c r="H147" i="77"/>
  <c r="I147" i="77"/>
  <c r="I153" i="21"/>
  <c r="H153" i="21"/>
  <c r="H144" i="33"/>
  <c r="I144" i="33"/>
  <c r="H152" i="42"/>
  <c r="I152" i="42"/>
  <c r="H147" i="75"/>
  <c r="I147" i="75"/>
  <c r="J151" i="44"/>
  <c r="I146" i="83"/>
  <c r="H146" i="83"/>
  <c r="G145" i="96"/>
  <c r="D146" i="96"/>
  <c r="E146" i="96" s="1"/>
  <c r="H144" i="13"/>
  <c r="I144" i="13"/>
  <c r="B147" i="83"/>
  <c r="G152" i="44"/>
  <c r="D153" i="44"/>
  <c r="E153" i="44" s="1"/>
  <c r="F154" i="21"/>
  <c r="G154" i="21" s="1"/>
  <c r="B154" i="21"/>
  <c r="B148" i="75"/>
  <c r="G153" i="3"/>
  <c r="D154" i="3"/>
  <c r="D149" i="67"/>
  <c r="E149" i="67" s="1"/>
  <c r="G148" i="67"/>
  <c r="E147" i="83"/>
  <c r="F147" i="83" s="1"/>
  <c r="F147" i="80"/>
  <c r="B147" i="80"/>
  <c r="F146" i="93"/>
  <c r="B146" i="93"/>
  <c r="H154" i="17"/>
  <c r="H155" i="17" s="1"/>
  <c r="I154" i="17"/>
  <c r="J152" i="3"/>
  <c r="D147" i="94"/>
  <c r="E147" i="94" s="1"/>
  <c r="G146" i="94"/>
  <c r="E148" i="75"/>
  <c r="F148" i="75" s="1"/>
  <c r="D147" i="82"/>
  <c r="E147" i="82" s="1"/>
  <c r="G146" i="82"/>
  <c r="I150" i="55"/>
  <c r="H150" i="55"/>
  <c r="F151" i="54"/>
  <c r="B151" i="54"/>
  <c r="J153" i="34"/>
  <c r="J153" i="17"/>
  <c r="E145" i="13"/>
  <c r="F145" i="13" s="1"/>
  <c r="H146" i="80"/>
  <c r="I146" i="80"/>
  <c r="H145" i="93"/>
  <c r="I145" i="93"/>
  <c r="B148" i="76"/>
  <c r="F148" i="76"/>
  <c r="B153" i="42"/>
  <c r="F153" i="42"/>
  <c r="G145" i="87"/>
  <c r="D146" i="87"/>
  <c r="E146" i="87" s="1"/>
  <c r="D147" i="95"/>
  <c r="E147" i="95" s="1"/>
  <c r="G146" i="95"/>
  <c r="B148" i="77"/>
  <c r="F148" i="77"/>
  <c r="F145" i="33"/>
  <c r="B145" i="33"/>
  <c r="J154" i="24"/>
  <c r="J155" i="24" s="1"/>
  <c r="I155" i="24"/>
  <c r="G148" i="100" l="1"/>
  <c r="D149" i="100"/>
  <c r="H73" i="56"/>
  <c r="J144" i="25"/>
  <c r="G145" i="25"/>
  <c r="D146" i="25"/>
  <c r="I69" i="98"/>
  <c r="E72" i="98"/>
  <c r="E73" i="98" s="1"/>
  <c r="B72" i="98"/>
  <c r="B71" i="98"/>
  <c r="G71" i="98"/>
  <c r="H71" i="98"/>
  <c r="B154" i="45"/>
  <c r="G145" i="99"/>
  <c r="D146" i="99"/>
  <c r="B146" i="99" s="1"/>
  <c r="G146" i="88"/>
  <c r="H146" i="88" s="1"/>
  <c r="E150" i="64"/>
  <c r="F150" i="64" s="1"/>
  <c r="G150" i="64" s="1"/>
  <c r="E155" i="20"/>
  <c r="F154" i="20"/>
  <c r="G154" i="20" s="1"/>
  <c r="H69" i="79"/>
  <c r="D70" i="79"/>
  <c r="E70" i="79" s="1"/>
  <c r="G69" i="79"/>
  <c r="D152" i="46"/>
  <c r="B152" i="46" s="1"/>
  <c r="I145" i="97"/>
  <c r="H145" i="97"/>
  <c r="B146" i="98"/>
  <c r="F146" i="98"/>
  <c r="E146" i="97"/>
  <c r="F146" i="97" s="1"/>
  <c r="B146" i="97"/>
  <c r="H145" i="98"/>
  <c r="I145" i="98"/>
  <c r="J148" i="68"/>
  <c r="G149" i="68"/>
  <c r="D150" i="68"/>
  <c r="J149" i="64"/>
  <c r="I154" i="22"/>
  <c r="J154" i="22" s="1"/>
  <c r="J155" i="22" s="1"/>
  <c r="I65" i="96"/>
  <c r="G67" i="91"/>
  <c r="H67" i="91"/>
  <c r="E68" i="91"/>
  <c r="F68" i="91" s="1"/>
  <c r="G68" i="91" s="1"/>
  <c r="B68" i="91"/>
  <c r="I71" i="63"/>
  <c r="G67" i="94"/>
  <c r="D68" i="94"/>
  <c r="G69" i="93"/>
  <c r="I66" i="94"/>
  <c r="I72" i="54"/>
  <c r="I73" i="54" s="1"/>
  <c r="I70" i="85"/>
  <c r="I69" i="80"/>
  <c r="G70" i="80"/>
  <c r="B70" i="80"/>
  <c r="H70" i="80"/>
  <c r="G71" i="61"/>
  <c r="D72" i="61"/>
  <c r="B72" i="61" s="1"/>
  <c r="H71" i="61"/>
  <c r="B72" i="63"/>
  <c r="E72" i="63"/>
  <c r="D71" i="80"/>
  <c r="E71" i="80" s="1"/>
  <c r="F71" i="80" s="1"/>
  <c r="D72" i="80" s="1"/>
  <c r="B67" i="94"/>
  <c r="H67" i="94"/>
  <c r="I69" i="93"/>
  <c r="F72" i="45"/>
  <c r="G72" i="45" s="1"/>
  <c r="G73" i="45" s="1"/>
  <c r="F72" i="57"/>
  <c r="H72" i="57" s="1"/>
  <c r="H73" i="57" s="1"/>
  <c r="I71" i="75"/>
  <c r="D70" i="93"/>
  <c r="E70" i="93" s="1"/>
  <c r="H69" i="90"/>
  <c r="I69" i="90" s="1"/>
  <c r="F72" i="75"/>
  <c r="H72" i="75" s="1"/>
  <c r="B72" i="75"/>
  <c r="D70" i="90"/>
  <c r="E70" i="90" s="1"/>
  <c r="F70" i="90" s="1"/>
  <c r="E69" i="84"/>
  <c r="F69" i="84" s="1"/>
  <c r="G69" i="84" s="1"/>
  <c r="B69" i="84"/>
  <c r="G67" i="95"/>
  <c r="D68" i="95"/>
  <c r="H67" i="95"/>
  <c r="D69" i="81"/>
  <c r="B66" i="96"/>
  <c r="G70" i="86"/>
  <c r="H70" i="86"/>
  <c r="D71" i="86"/>
  <c r="G70" i="76"/>
  <c r="I70" i="76" s="1"/>
  <c r="D71" i="76"/>
  <c r="I67" i="81"/>
  <c r="G68" i="81"/>
  <c r="I68" i="81" s="1"/>
  <c r="G71" i="85"/>
  <c r="I71" i="85" s="1"/>
  <c r="D72" i="85"/>
  <c r="E72" i="85" s="1"/>
  <c r="E73" i="85" s="1"/>
  <c r="I66" i="95"/>
  <c r="E66" i="96"/>
  <c r="F66" i="96" s="1"/>
  <c r="I69" i="78"/>
  <c r="I67" i="89"/>
  <c r="D68" i="83"/>
  <c r="E68" i="92"/>
  <c r="F68" i="92" s="1"/>
  <c r="B68" i="92"/>
  <c r="B69" i="88"/>
  <c r="I66" i="92"/>
  <c r="I69" i="59"/>
  <c r="I71" i="57"/>
  <c r="G72" i="64"/>
  <c r="G73" i="64" s="1"/>
  <c r="H72" i="64"/>
  <c r="H73" i="67"/>
  <c r="I72" i="67"/>
  <c r="I73" i="67" s="1"/>
  <c r="H67" i="33"/>
  <c r="I67" i="33" s="1"/>
  <c r="E72" i="77"/>
  <c r="E73" i="77" s="1"/>
  <c r="B72" i="77"/>
  <c r="B67" i="83"/>
  <c r="G67" i="83"/>
  <c r="H67" i="83"/>
  <c r="I66" i="83"/>
  <c r="H70" i="78"/>
  <c r="D71" i="78"/>
  <c r="E71" i="78" s="1"/>
  <c r="F71" i="78" s="1"/>
  <c r="D72" i="78" s="1"/>
  <c r="H66" i="26"/>
  <c r="I66" i="26" s="1"/>
  <c r="B71" i="77"/>
  <c r="H71" i="77"/>
  <c r="G71" i="77"/>
  <c r="G70" i="78"/>
  <c r="E69" i="88"/>
  <c r="F69" i="88" s="1"/>
  <c r="B67" i="92"/>
  <c r="H67" i="92"/>
  <c r="G67" i="92"/>
  <c r="E68" i="89"/>
  <c r="F68" i="89" s="1"/>
  <c r="B68" i="89"/>
  <c r="H154" i="31"/>
  <c r="H155" i="31" s="1"/>
  <c r="J147" i="78"/>
  <c r="J152" i="39"/>
  <c r="J147" i="77"/>
  <c r="D154" i="39"/>
  <c r="G153" i="39"/>
  <c r="D70" i="62"/>
  <c r="E70" i="62" s="1"/>
  <c r="H69" i="62"/>
  <c r="G69" i="62"/>
  <c r="D67" i="87"/>
  <c r="E67" i="87" s="1"/>
  <c r="D68" i="25"/>
  <c r="G153" i="43"/>
  <c r="D154" i="43"/>
  <c r="E154" i="41"/>
  <c r="E155" i="41" s="1"/>
  <c r="B154" i="41"/>
  <c r="J152" i="43"/>
  <c r="H66" i="87"/>
  <c r="I66" i="87" s="1"/>
  <c r="D66" i="13"/>
  <c r="E66" i="13" s="1"/>
  <c r="J150" i="62"/>
  <c r="H67" i="25"/>
  <c r="I67" i="25" s="1"/>
  <c r="H65" i="13"/>
  <c r="I65" i="13" s="1"/>
  <c r="D68" i="33"/>
  <c r="E68" i="33" s="1"/>
  <c r="D67" i="26"/>
  <c r="E67" i="26" s="1"/>
  <c r="I72" i="68"/>
  <c r="I73" i="68" s="1"/>
  <c r="H73" i="68"/>
  <c r="H153" i="41"/>
  <c r="I153" i="41"/>
  <c r="I72" i="66"/>
  <c r="I73" i="66" s="1"/>
  <c r="H73" i="66"/>
  <c r="F72" i="65"/>
  <c r="B70" i="59"/>
  <c r="F70" i="59"/>
  <c r="G70" i="59" s="1"/>
  <c r="G147" i="81"/>
  <c r="D148" i="81"/>
  <c r="H149" i="65"/>
  <c r="I149" i="65"/>
  <c r="E146" i="90"/>
  <c r="F146" i="90" s="1"/>
  <c r="B146" i="90"/>
  <c r="E146" i="84"/>
  <c r="F146" i="84" s="1"/>
  <c r="J154" i="32"/>
  <c r="J155" i="32" s="1"/>
  <c r="I155" i="32"/>
  <c r="E152" i="72"/>
  <c r="F152" i="72" s="1"/>
  <c r="B152" i="72"/>
  <c r="G151" i="62"/>
  <c r="D152" i="62"/>
  <c r="H145" i="86"/>
  <c r="I145" i="86"/>
  <c r="E155" i="19"/>
  <c r="F154" i="19"/>
  <c r="G154" i="19" s="1"/>
  <c r="J148" i="66"/>
  <c r="I147" i="79"/>
  <c r="H147" i="79"/>
  <c r="G146" i="91"/>
  <c r="D147" i="91"/>
  <c r="D150" i="66"/>
  <c r="G149" i="66"/>
  <c r="I155" i="31"/>
  <c r="E151" i="63"/>
  <c r="F151" i="63" s="1"/>
  <c r="B151" i="63"/>
  <c r="J153" i="19"/>
  <c r="H145" i="84"/>
  <c r="I145" i="84"/>
  <c r="I151" i="72"/>
  <c r="H151" i="72"/>
  <c r="G146" i="89"/>
  <c r="D147" i="89"/>
  <c r="B147" i="89" s="1"/>
  <c r="E146" i="86"/>
  <c r="F146" i="86" s="1"/>
  <c r="B146" i="86"/>
  <c r="I149" i="60"/>
  <c r="H149" i="60"/>
  <c r="I151" i="74"/>
  <c r="H151" i="74"/>
  <c r="G148" i="78"/>
  <c r="D149" i="78"/>
  <c r="B149" i="78" s="1"/>
  <c r="E152" i="53"/>
  <c r="F152" i="53" s="1"/>
  <c r="B152" i="53"/>
  <c r="F152" i="58"/>
  <c r="B152" i="58"/>
  <c r="E146" i="92"/>
  <c r="F146" i="92" s="1"/>
  <c r="H150" i="63"/>
  <c r="I150" i="63"/>
  <c r="G147" i="26"/>
  <c r="D148" i="26"/>
  <c r="E147" i="85"/>
  <c r="F147" i="85" s="1"/>
  <c r="B147" i="85"/>
  <c r="E150" i="60"/>
  <c r="F150" i="60" s="1"/>
  <c r="B150" i="60"/>
  <c r="H151" i="53"/>
  <c r="I151" i="53"/>
  <c r="E154" i="73"/>
  <c r="E155" i="73" s="1"/>
  <c r="B154" i="73"/>
  <c r="I149" i="61"/>
  <c r="H149" i="61"/>
  <c r="E150" i="65"/>
  <c r="F150" i="65" s="1"/>
  <c r="B150" i="65"/>
  <c r="H145" i="90"/>
  <c r="I145" i="90"/>
  <c r="E147" i="88"/>
  <c r="F147" i="88" s="1"/>
  <c r="B147" i="88"/>
  <c r="J146" i="26"/>
  <c r="H146" i="85"/>
  <c r="I146" i="85"/>
  <c r="I151" i="46"/>
  <c r="H151" i="46"/>
  <c r="E152" i="74"/>
  <c r="F152" i="74" s="1"/>
  <c r="E148" i="79"/>
  <c r="F148" i="79" s="1"/>
  <c r="B148" i="79"/>
  <c r="H151" i="58"/>
  <c r="I151" i="58"/>
  <c r="I153" i="73"/>
  <c r="H153" i="73"/>
  <c r="J150" i="46"/>
  <c r="H145" i="92"/>
  <c r="I145" i="92"/>
  <c r="E150" i="61"/>
  <c r="F150" i="61" s="1"/>
  <c r="B150" i="61"/>
  <c r="J151" i="56"/>
  <c r="J150" i="59"/>
  <c r="G151" i="59"/>
  <c r="D152" i="59"/>
  <c r="E152" i="59" s="1"/>
  <c r="J147" i="75"/>
  <c r="J144" i="33"/>
  <c r="I154" i="18"/>
  <c r="H154" i="18"/>
  <c r="H155" i="18" s="1"/>
  <c r="F154" i="45"/>
  <c r="G154" i="45" s="1"/>
  <c r="D153" i="56"/>
  <c r="G152" i="56"/>
  <c r="J153" i="45"/>
  <c r="J152" i="42"/>
  <c r="H151" i="57"/>
  <c r="I151" i="57"/>
  <c r="E152" i="57"/>
  <c r="F152" i="57" s="1"/>
  <c r="B152" i="57"/>
  <c r="J150" i="55"/>
  <c r="G145" i="13"/>
  <c r="D146" i="13"/>
  <c r="E146" i="13" s="1"/>
  <c r="G147" i="83"/>
  <c r="D148" i="83"/>
  <c r="E148" i="83" s="1"/>
  <c r="G148" i="75"/>
  <c r="D149" i="75"/>
  <c r="E149" i="75" s="1"/>
  <c r="G145" i="33"/>
  <c r="D146" i="33"/>
  <c r="E146" i="33" s="1"/>
  <c r="H146" i="82"/>
  <c r="I146" i="82"/>
  <c r="H146" i="94"/>
  <c r="I146" i="94"/>
  <c r="G146" i="93"/>
  <c r="D147" i="93"/>
  <c r="B154" i="3"/>
  <c r="J147" i="76"/>
  <c r="D149" i="77"/>
  <c r="G148" i="77"/>
  <c r="H146" i="95"/>
  <c r="I146" i="95"/>
  <c r="B146" i="87"/>
  <c r="F146" i="87"/>
  <c r="G148" i="76"/>
  <c r="D149" i="76"/>
  <c r="E149" i="76" s="1"/>
  <c r="B147" i="82"/>
  <c r="F147" i="82"/>
  <c r="B147" i="94"/>
  <c r="F147" i="94"/>
  <c r="J154" i="17"/>
  <c r="J155" i="17" s="1"/>
  <c r="I155" i="17"/>
  <c r="H148" i="67"/>
  <c r="I148" i="67"/>
  <c r="I153" i="3"/>
  <c r="H153" i="3"/>
  <c r="F153" i="44"/>
  <c r="B153" i="44"/>
  <c r="I145" i="87"/>
  <c r="H145" i="87"/>
  <c r="G147" i="80"/>
  <c r="D148" i="80"/>
  <c r="E148" i="80" s="1"/>
  <c r="F149" i="67"/>
  <c r="B149" i="67"/>
  <c r="H152" i="44"/>
  <c r="I152" i="44"/>
  <c r="B146" i="96"/>
  <c r="F146" i="96"/>
  <c r="J153" i="21"/>
  <c r="J154" i="34"/>
  <c r="J155" i="34" s="1"/>
  <c r="I155" i="34"/>
  <c r="G151" i="55"/>
  <c r="D152" i="55"/>
  <c r="E152" i="55" s="1"/>
  <c r="J150" i="54"/>
  <c r="B147" i="95"/>
  <c r="F147" i="95"/>
  <c r="D154" i="42"/>
  <c r="E154" i="42" s="1"/>
  <c r="E155" i="42" s="1"/>
  <c r="G153" i="42"/>
  <c r="D152" i="54"/>
  <c r="E152" i="54" s="1"/>
  <c r="G151" i="54"/>
  <c r="E154" i="3"/>
  <c r="E155" i="3" s="1"/>
  <c r="I154" i="21"/>
  <c r="H154" i="21"/>
  <c r="H155" i="21" s="1"/>
  <c r="H145" i="96"/>
  <c r="I145" i="96"/>
  <c r="E152" i="46" l="1"/>
  <c r="F152" i="46" s="1"/>
  <c r="E149" i="100"/>
  <c r="B149" i="100"/>
  <c r="F149" i="100"/>
  <c r="H148" i="100"/>
  <c r="I148" i="100"/>
  <c r="I146" i="88"/>
  <c r="B146" i="25"/>
  <c r="E146" i="25"/>
  <c r="F146" i="25" s="1"/>
  <c r="H145" i="25"/>
  <c r="I145" i="25"/>
  <c r="D151" i="64"/>
  <c r="E151" i="64" s="1"/>
  <c r="F151" i="64" s="1"/>
  <c r="I71" i="98"/>
  <c r="F72" i="98"/>
  <c r="I67" i="94"/>
  <c r="E146" i="99"/>
  <c r="F146" i="99" s="1"/>
  <c r="H145" i="99"/>
  <c r="I145" i="99"/>
  <c r="I67" i="91"/>
  <c r="B70" i="79"/>
  <c r="I69" i="79"/>
  <c r="G72" i="57"/>
  <c r="G73" i="57" s="1"/>
  <c r="I155" i="22"/>
  <c r="H154" i="20"/>
  <c r="H155" i="20" s="1"/>
  <c r="I154" i="20"/>
  <c r="F70" i="79"/>
  <c r="D71" i="79" s="1"/>
  <c r="B71" i="79" s="1"/>
  <c r="H72" i="45"/>
  <c r="I72" i="45" s="1"/>
  <c r="I73" i="45" s="1"/>
  <c r="D147" i="98"/>
  <c r="G146" i="98"/>
  <c r="D147" i="97"/>
  <c r="G146" i="97"/>
  <c r="E150" i="68"/>
  <c r="F150" i="68" s="1"/>
  <c r="B150" i="68"/>
  <c r="H149" i="68"/>
  <c r="I149" i="68"/>
  <c r="H150" i="64"/>
  <c r="I150" i="64"/>
  <c r="D69" i="91"/>
  <c r="E69" i="91" s="1"/>
  <c r="F69" i="91" s="1"/>
  <c r="D70" i="91" s="1"/>
  <c r="H68" i="91"/>
  <c r="I68" i="91" s="1"/>
  <c r="I70" i="86"/>
  <c r="I71" i="61"/>
  <c r="E72" i="80"/>
  <c r="E73" i="80" s="1"/>
  <c r="B72" i="80"/>
  <c r="J154" i="31"/>
  <c r="J155" i="31" s="1"/>
  <c r="G72" i="75"/>
  <c r="G73" i="75" s="1"/>
  <c r="B71" i="80"/>
  <c r="H71" i="80"/>
  <c r="G71" i="80"/>
  <c r="E72" i="61"/>
  <c r="E73" i="61" s="1"/>
  <c r="I70" i="80"/>
  <c r="E68" i="94"/>
  <c r="F68" i="94" s="1"/>
  <c r="H68" i="94" s="1"/>
  <c r="B68" i="94"/>
  <c r="I70" i="78"/>
  <c r="E73" i="63"/>
  <c r="F72" i="63"/>
  <c r="D70" i="84"/>
  <c r="E70" i="84" s="1"/>
  <c r="F70" i="84" s="1"/>
  <c r="B70" i="93"/>
  <c r="F70" i="93"/>
  <c r="H70" i="93" s="1"/>
  <c r="H69" i="84"/>
  <c r="I69" i="84" s="1"/>
  <c r="H70" i="90"/>
  <c r="D71" i="90"/>
  <c r="H73" i="75"/>
  <c r="B70" i="90"/>
  <c r="G70" i="90"/>
  <c r="E72" i="78"/>
  <c r="E73" i="78" s="1"/>
  <c r="H66" i="96"/>
  <c r="D67" i="96"/>
  <c r="E67" i="96" s="1"/>
  <c r="G66" i="96"/>
  <c r="I67" i="92"/>
  <c r="E71" i="76"/>
  <c r="F71" i="76" s="1"/>
  <c r="B71" i="76"/>
  <c r="B69" i="81"/>
  <c r="E71" i="86"/>
  <c r="F71" i="86" s="1"/>
  <c r="B71" i="86"/>
  <c r="E69" i="81"/>
  <c r="F69" i="81" s="1"/>
  <c r="I67" i="95"/>
  <c r="B72" i="85"/>
  <c r="F72" i="85"/>
  <c r="H72" i="85" s="1"/>
  <c r="E68" i="95"/>
  <c r="F68" i="95" s="1"/>
  <c r="B68" i="95"/>
  <c r="D69" i="92"/>
  <c r="G68" i="92"/>
  <c r="H68" i="92"/>
  <c r="H69" i="88"/>
  <c r="D70" i="88"/>
  <c r="G69" i="88"/>
  <c r="D69" i="89"/>
  <c r="I72" i="64"/>
  <c r="I73" i="64" s="1"/>
  <c r="H73" i="64"/>
  <c r="H68" i="89"/>
  <c r="I71" i="77"/>
  <c r="B71" i="78"/>
  <c r="G71" i="78"/>
  <c r="H71" i="78"/>
  <c r="F72" i="77"/>
  <c r="B68" i="83"/>
  <c r="B72" i="78"/>
  <c r="G68" i="89"/>
  <c r="I67" i="83"/>
  <c r="E68" i="83"/>
  <c r="F68" i="83" s="1"/>
  <c r="J153" i="41"/>
  <c r="F154" i="73"/>
  <c r="G154" i="73" s="1"/>
  <c r="I154" i="73" s="1"/>
  <c r="I155" i="73" s="1"/>
  <c r="J149" i="60"/>
  <c r="I153" i="39"/>
  <c r="H153" i="39"/>
  <c r="E154" i="39"/>
  <c r="B154" i="39"/>
  <c r="E149" i="78"/>
  <c r="F149" i="78" s="1"/>
  <c r="G149" i="78" s="1"/>
  <c r="E154" i="43"/>
  <c r="E155" i="43" s="1"/>
  <c r="B154" i="43"/>
  <c r="B68" i="25"/>
  <c r="D71" i="59"/>
  <c r="E71" i="59" s="1"/>
  <c r="F66" i="13"/>
  <c r="H66" i="13" s="1"/>
  <c r="B66" i="13"/>
  <c r="F154" i="41"/>
  <c r="G154" i="41" s="1"/>
  <c r="I153" i="43"/>
  <c r="H153" i="43"/>
  <c r="E68" i="25"/>
  <c r="F68" i="25" s="1"/>
  <c r="I69" i="62"/>
  <c r="J151" i="46"/>
  <c r="J151" i="72"/>
  <c r="H70" i="59"/>
  <c r="I70" i="59" s="1"/>
  <c r="G72" i="65"/>
  <c r="G73" i="65" s="1"/>
  <c r="H72" i="65"/>
  <c r="B68" i="33"/>
  <c r="F68" i="33"/>
  <c r="G68" i="33" s="1"/>
  <c r="F67" i="26"/>
  <c r="G67" i="26" s="1"/>
  <c r="B67" i="26"/>
  <c r="F67" i="87"/>
  <c r="B67" i="87"/>
  <c r="B70" i="62"/>
  <c r="F70" i="62"/>
  <c r="G70" i="62" s="1"/>
  <c r="G150" i="61"/>
  <c r="D151" i="61"/>
  <c r="B151" i="61" s="1"/>
  <c r="D148" i="88"/>
  <c r="G147" i="88"/>
  <c r="D151" i="65"/>
  <c r="G150" i="65"/>
  <c r="G152" i="53"/>
  <c r="D153" i="53"/>
  <c r="G150" i="60"/>
  <c r="D151" i="60"/>
  <c r="J151" i="58"/>
  <c r="J149" i="61"/>
  <c r="J151" i="53"/>
  <c r="H147" i="26"/>
  <c r="I147" i="26"/>
  <c r="E147" i="89"/>
  <c r="F147" i="89" s="1"/>
  <c r="I146" i="91"/>
  <c r="H146" i="91"/>
  <c r="I154" i="19"/>
  <c r="H154" i="19"/>
  <c r="H155" i="19" s="1"/>
  <c r="B152" i="62"/>
  <c r="E152" i="62"/>
  <c r="F152" i="62" s="1"/>
  <c r="G152" i="74"/>
  <c r="D153" i="74"/>
  <c r="D153" i="46"/>
  <c r="B153" i="46" s="1"/>
  <c r="G152" i="46"/>
  <c r="J150" i="63"/>
  <c r="G152" i="58"/>
  <c r="D153" i="58"/>
  <c r="I149" i="66"/>
  <c r="H149" i="66"/>
  <c r="H151" i="62"/>
  <c r="I151" i="62"/>
  <c r="D147" i="90"/>
  <c r="G146" i="90"/>
  <c r="B148" i="81"/>
  <c r="G148" i="79"/>
  <c r="D149" i="79"/>
  <c r="G147" i="85"/>
  <c r="D148" i="85"/>
  <c r="J151" i="74"/>
  <c r="D147" i="86"/>
  <c r="G146" i="86"/>
  <c r="H146" i="89"/>
  <c r="I146" i="89"/>
  <c r="D152" i="63"/>
  <c r="G151" i="63"/>
  <c r="E150" i="66"/>
  <c r="F150" i="66" s="1"/>
  <c r="B150" i="66"/>
  <c r="J147" i="79"/>
  <c r="G152" i="72"/>
  <c r="D153" i="72"/>
  <c r="I147" i="81"/>
  <c r="H147" i="81"/>
  <c r="J153" i="73"/>
  <c r="E148" i="26"/>
  <c r="F148" i="26" s="1"/>
  <c r="B148" i="26"/>
  <c r="G146" i="92"/>
  <c r="D147" i="92"/>
  <c r="H148" i="78"/>
  <c r="I148" i="78"/>
  <c r="E147" i="91"/>
  <c r="F147" i="91" s="1"/>
  <c r="B147" i="91"/>
  <c r="G146" i="84"/>
  <c r="D147" i="84"/>
  <c r="J149" i="65"/>
  <c r="E148" i="81"/>
  <c r="F148" i="81" s="1"/>
  <c r="J153" i="3"/>
  <c r="J151" i="57"/>
  <c r="I154" i="45"/>
  <c r="H154" i="45"/>
  <c r="H155" i="45" s="1"/>
  <c r="H151" i="59"/>
  <c r="I151" i="59"/>
  <c r="I152" i="56"/>
  <c r="H152" i="56"/>
  <c r="J154" i="18"/>
  <c r="J155" i="18" s="1"/>
  <c r="I155" i="18"/>
  <c r="E153" i="56"/>
  <c r="F153" i="56" s="1"/>
  <c r="B153" i="56"/>
  <c r="F152" i="59"/>
  <c r="B152" i="59"/>
  <c r="D153" i="57"/>
  <c r="E153" i="57" s="1"/>
  <c r="G152" i="57"/>
  <c r="D148" i="95"/>
  <c r="E148" i="95" s="1"/>
  <c r="G147" i="95"/>
  <c r="H151" i="55"/>
  <c r="I151" i="55"/>
  <c r="J152" i="44"/>
  <c r="G153" i="44"/>
  <c r="D154" i="44"/>
  <c r="E154" i="44" s="1"/>
  <c r="E155" i="44" s="1"/>
  <c r="B149" i="77"/>
  <c r="H145" i="33"/>
  <c r="I145" i="33"/>
  <c r="B152" i="54"/>
  <c r="F152" i="54"/>
  <c r="H153" i="42"/>
  <c r="I153" i="42"/>
  <c r="B148" i="80"/>
  <c r="F148" i="80"/>
  <c r="G147" i="94"/>
  <c r="D148" i="94"/>
  <c r="E148" i="94" s="1"/>
  <c r="B149" i="76"/>
  <c r="F149" i="76"/>
  <c r="B147" i="93"/>
  <c r="B149" i="75"/>
  <c r="F149" i="75"/>
  <c r="G146" i="96"/>
  <c r="D147" i="96"/>
  <c r="E147" i="96" s="1"/>
  <c r="H147" i="80"/>
  <c r="I147" i="80"/>
  <c r="H148" i="76"/>
  <c r="I148" i="76"/>
  <c r="G146" i="87"/>
  <c r="D147" i="87"/>
  <c r="E147" i="87" s="1"/>
  <c r="H148" i="77"/>
  <c r="I148" i="77"/>
  <c r="F154" i="3"/>
  <c r="G154" i="3" s="1"/>
  <c r="I146" i="93"/>
  <c r="H146" i="93"/>
  <c r="I148" i="75"/>
  <c r="H148" i="75"/>
  <c r="B148" i="83"/>
  <c r="F148" i="83"/>
  <c r="F146" i="13"/>
  <c r="B146" i="13"/>
  <c r="J154" i="21"/>
  <c r="J155" i="21" s="1"/>
  <c r="I155" i="21"/>
  <c r="H151" i="54"/>
  <c r="I151" i="54"/>
  <c r="B154" i="42"/>
  <c r="F154" i="42"/>
  <c r="G154" i="42" s="1"/>
  <c r="B152" i="55"/>
  <c r="F152" i="55"/>
  <c r="G149" i="67"/>
  <c r="D150" i="67"/>
  <c r="E150" i="67" s="1"/>
  <c r="J148" i="67"/>
  <c r="G147" i="82"/>
  <c r="D148" i="82"/>
  <c r="E148" i="82" s="1"/>
  <c r="E149" i="77"/>
  <c r="F149" i="77" s="1"/>
  <c r="E147" i="93"/>
  <c r="F147" i="93" s="1"/>
  <c r="B146" i="33"/>
  <c r="F146" i="33"/>
  <c r="I147" i="83"/>
  <c r="H147" i="83"/>
  <c r="I145" i="13"/>
  <c r="H145" i="13"/>
  <c r="D150" i="100" l="1"/>
  <c r="G149" i="100"/>
  <c r="B151" i="64"/>
  <c r="I70" i="90"/>
  <c r="J145" i="25"/>
  <c r="I72" i="57"/>
  <c r="I73" i="57" s="1"/>
  <c r="G146" i="25"/>
  <c r="D147" i="25"/>
  <c r="H72" i="98"/>
  <c r="G72" i="98"/>
  <c r="G73" i="98" s="1"/>
  <c r="D147" i="99"/>
  <c r="G146" i="99"/>
  <c r="G70" i="79"/>
  <c r="H70" i="79"/>
  <c r="E71" i="79"/>
  <c r="F71" i="79" s="1"/>
  <c r="H71" i="79" s="1"/>
  <c r="H73" i="45"/>
  <c r="H154" i="73"/>
  <c r="H155" i="73" s="1"/>
  <c r="J154" i="20"/>
  <c r="J155" i="20" s="1"/>
  <c r="I155" i="20"/>
  <c r="F72" i="80"/>
  <c r="H72" i="80" s="1"/>
  <c r="H73" i="80" s="1"/>
  <c r="D150" i="78"/>
  <c r="E150" i="78" s="1"/>
  <c r="F150" i="78" s="1"/>
  <c r="J150" i="64"/>
  <c r="J149" i="68"/>
  <c r="I146" i="97"/>
  <c r="H146" i="97"/>
  <c r="E147" i="97"/>
  <c r="F147" i="97" s="1"/>
  <c r="B147" i="97"/>
  <c r="H146" i="98"/>
  <c r="I146" i="98"/>
  <c r="E147" i="98"/>
  <c r="F147" i="98" s="1"/>
  <c r="B147" i="98"/>
  <c r="G150" i="68"/>
  <c r="D151" i="68"/>
  <c r="G151" i="64"/>
  <c r="D152" i="64"/>
  <c r="J148" i="78"/>
  <c r="G68" i="94"/>
  <c r="I68" i="94" s="1"/>
  <c r="G70" i="93"/>
  <c r="I70" i="93" s="1"/>
  <c r="E70" i="91"/>
  <c r="F70" i="91" s="1"/>
  <c r="G70" i="91" s="1"/>
  <c r="B70" i="91"/>
  <c r="B69" i="91"/>
  <c r="H69" i="91"/>
  <c r="G69" i="91"/>
  <c r="I71" i="80"/>
  <c r="H68" i="33"/>
  <c r="I68" i="33" s="1"/>
  <c r="F72" i="61"/>
  <c r="G66" i="13"/>
  <c r="I66" i="13" s="1"/>
  <c r="G72" i="85"/>
  <c r="G73" i="85" s="1"/>
  <c r="D69" i="94"/>
  <c r="E69" i="94" s="1"/>
  <c r="F69" i="94" s="1"/>
  <c r="H72" i="63"/>
  <c r="G72" i="63"/>
  <c r="G73" i="63" s="1"/>
  <c r="I72" i="75"/>
  <c r="I73" i="75" s="1"/>
  <c r="D71" i="84"/>
  <c r="E71" i="90"/>
  <c r="F71" i="90" s="1"/>
  <c r="B71" i="90"/>
  <c r="B70" i="84"/>
  <c r="G70" i="84"/>
  <c r="H70" i="84"/>
  <c r="D71" i="93"/>
  <c r="E71" i="93" s="1"/>
  <c r="F71" i="93" s="1"/>
  <c r="G68" i="95"/>
  <c r="D69" i="95"/>
  <c r="H68" i="95"/>
  <c r="H71" i="86"/>
  <c r="G71" i="86"/>
  <c r="D72" i="86"/>
  <c r="G71" i="76"/>
  <c r="D72" i="76"/>
  <c r="H71" i="76"/>
  <c r="H69" i="81"/>
  <c r="D70" i="81"/>
  <c r="G69" i="81"/>
  <c r="F67" i="96"/>
  <c r="H67" i="96" s="1"/>
  <c r="B67" i="96"/>
  <c r="H73" i="85"/>
  <c r="H67" i="26"/>
  <c r="I67" i="26" s="1"/>
  <c r="I66" i="96"/>
  <c r="F72" i="78"/>
  <c r="I69" i="88"/>
  <c r="D69" i="83"/>
  <c r="E69" i="83" s="1"/>
  <c r="F69" i="83" s="1"/>
  <c r="D70" i="83" s="1"/>
  <c r="G68" i="83"/>
  <c r="H68" i="83"/>
  <c r="I71" i="78"/>
  <c r="I68" i="92"/>
  <c r="H72" i="77"/>
  <c r="G72" i="77"/>
  <c r="G73" i="77" s="1"/>
  <c r="H70" i="62"/>
  <c r="I70" i="62" s="1"/>
  <c r="I68" i="89"/>
  <c r="E70" i="88"/>
  <c r="F70" i="88" s="1"/>
  <c r="D71" i="88" s="1"/>
  <c r="B70" i="88"/>
  <c r="B69" i="92"/>
  <c r="B69" i="89"/>
  <c r="E69" i="89"/>
  <c r="F69" i="89" s="1"/>
  <c r="E69" i="92"/>
  <c r="F69" i="92" s="1"/>
  <c r="E155" i="39"/>
  <c r="F154" i="39"/>
  <c r="G154" i="39" s="1"/>
  <c r="J153" i="39"/>
  <c r="D69" i="25"/>
  <c r="E69" i="25" s="1"/>
  <c r="H68" i="25"/>
  <c r="G68" i="25"/>
  <c r="J151" i="62"/>
  <c r="D68" i="87"/>
  <c r="B71" i="59"/>
  <c r="F71" i="59"/>
  <c r="G71" i="59" s="1"/>
  <c r="J152" i="56"/>
  <c r="D71" i="62"/>
  <c r="E71" i="62" s="1"/>
  <c r="H67" i="87"/>
  <c r="D69" i="33"/>
  <c r="E69" i="33" s="1"/>
  <c r="I72" i="65"/>
  <c r="I73" i="65" s="1"/>
  <c r="H73" i="65"/>
  <c r="J153" i="43"/>
  <c r="D67" i="13"/>
  <c r="E67" i="13" s="1"/>
  <c r="F154" i="43"/>
  <c r="G154" i="43" s="1"/>
  <c r="G67" i="87"/>
  <c r="D68" i="26"/>
  <c r="E68" i="26" s="1"/>
  <c r="H154" i="41"/>
  <c r="H155" i="41" s="1"/>
  <c r="I154" i="41"/>
  <c r="G150" i="66"/>
  <c r="D151" i="66"/>
  <c r="D148" i="91"/>
  <c r="B148" i="91" s="1"/>
  <c r="G147" i="91"/>
  <c r="G152" i="62"/>
  <c r="D153" i="62"/>
  <c r="B153" i="62" s="1"/>
  <c r="G148" i="81"/>
  <c r="D149" i="81"/>
  <c r="B149" i="81" s="1"/>
  <c r="G148" i="26"/>
  <c r="D149" i="26"/>
  <c r="B149" i="26" s="1"/>
  <c r="E148" i="85"/>
  <c r="F148" i="85" s="1"/>
  <c r="B148" i="85"/>
  <c r="J154" i="19"/>
  <c r="J155" i="19" s="1"/>
  <c r="I155" i="19"/>
  <c r="J147" i="26"/>
  <c r="H152" i="53"/>
  <c r="I152" i="53"/>
  <c r="E148" i="88"/>
  <c r="F148" i="88" s="1"/>
  <c r="B148" i="88"/>
  <c r="H146" i="84"/>
  <c r="I146" i="84"/>
  <c r="H152" i="72"/>
  <c r="I152" i="72"/>
  <c r="J151" i="54"/>
  <c r="J151" i="55"/>
  <c r="H151" i="63"/>
  <c r="I151" i="63"/>
  <c r="I146" i="86"/>
  <c r="H146" i="86"/>
  <c r="H147" i="85"/>
  <c r="I147" i="85"/>
  <c r="H149" i="78"/>
  <c r="I149" i="78"/>
  <c r="E153" i="46"/>
  <c r="F153" i="46" s="1"/>
  <c r="E151" i="60"/>
  <c r="F151" i="60" s="1"/>
  <c r="B151" i="60"/>
  <c r="H150" i="65"/>
  <c r="I150" i="65"/>
  <c r="E151" i="61"/>
  <c r="F151" i="61" s="1"/>
  <c r="E147" i="92"/>
  <c r="F147" i="92" s="1"/>
  <c r="B147" i="92"/>
  <c r="E152" i="63"/>
  <c r="F152" i="63" s="1"/>
  <c r="B152" i="63"/>
  <c r="E147" i="86"/>
  <c r="F147" i="86" s="1"/>
  <c r="B147" i="86"/>
  <c r="E149" i="79"/>
  <c r="F149" i="79" s="1"/>
  <c r="B149" i="79"/>
  <c r="I146" i="90"/>
  <c r="H146" i="90"/>
  <c r="E153" i="58"/>
  <c r="F153" i="58" s="1"/>
  <c r="B153" i="58"/>
  <c r="H152" i="46"/>
  <c r="I152" i="46"/>
  <c r="E153" i="74"/>
  <c r="F153" i="74" s="1"/>
  <c r="B153" i="74"/>
  <c r="H150" i="60"/>
  <c r="I150" i="60"/>
  <c r="E151" i="65"/>
  <c r="F151" i="65" s="1"/>
  <c r="B151" i="65"/>
  <c r="J153" i="42"/>
  <c r="E147" i="84"/>
  <c r="F147" i="84" s="1"/>
  <c r="B147" i="84"/>
  <c r="I146" i="92"/>
  <c r="H146" i="92"/>
  <c r="E153" i="72"/>
  <c r="F153" i="72" s="1"/>
  <c r="B153" i="72"/>
  <c r="I148" i="79"/>
  <c r="H148" i="79"/>
  <c r="E147" i="90"/>
  <c r="F147" i="90" s="1"/>
  <c r="B147" i="90"/>
  <c r="J149" i="66"/>
  <c r="I152" i="58"/>
  <c r="H152" i="58"/>
  <c r="H152" i="74"/>
  <c r="I152" i="74"/>
  <c r="G147" i="89"/>
  <c r="D148" i="89"/>
  <c r="E153" i="53"/>
  <c r="F153" i="53" s="1"/>
  <c r="B153" i="53"/>
  <c r="I147" i="88"/>
  <c r="H147" i="88"/>
  <c r="H150" i="61"/>
  <c r="I150" i="61"/>
  <c r="D154" i="56"/>
  <c r="G153" i="56"/>
  <c r="J148" i="77"/>
  <c r="D153" i="59"/>
  <c r="G152" i="59"/>
  <c r="J154" i="45"/>
  <c r="J155" i="45" s="1"/>
  <c r="I155" i="45"/>
  <c r="J151" i="59"/>
  <c r="J145" i="33"/>
  <c r="H152" i="57"/>
  <c r="I152" i="57"/>
  <c r="B153" i="57"/>
  <c r="F153" i="57"/>
  <c r="G147" i="93"/>
  <c r="D148" i="93"/>
  <c r="E148" i="93" s="1"/>
  <c r="D150" i="77"/>
  <c r="E150" i="77" s="1"/>
  <c r="G149" i="77"/>
  <c r="I154" i="42"/>
  <c r="H154" i="42"/>
  <c r="H155" i="42" s="1"/>
  <c r="I154" i="3"/>
  <c r="H154" i="3"/>
  <c r="H155" i="3" s="1"/>
  <c r="J148" i="76"/>
  <c r="G149" i="75"/>
  <c r="D150" i="75"/>
  <c r="E150" i="75" s="1"/>
  <c r="H147" i="94"/>
  <c r="I147" i="94"/>
  <c r="H153" i="44"/>
  <c r="I153" i="44"/>
  <c r="B148" i="82"/>
  <c r="F148" i="82"/>
  <c r="B150" i="67"/>
  <c r="F150" i="67"/>
  <c r="G146" i="13"/>
  <c r="D147" i="13"/>
  <c r="E147" i="13" s="1"/>
  <c r="D149" i="80"/>
  <c r="E149" i="80" s="1"/>
  <c r="G148" i="80"/>
  <c r="D153" i="54"/>
  <c r="E153" i="54" s="1"/>
  <c r="G152" i="54"/>
  <c r="B148" i="95"/>
  <c r="F148" i="95"/>
  <c r="H147" i="82"/>
  <c r="I147" i="82"/>
  <c r="I149" i="67"/>
  <c r="H149" i="67"/>
  <c r="D153" i="55"/>
  <c r="E153" i="55" s="1"/>
  <c r="G152" i="55"/>
  <c r="G148" i="83"/>
  <c r="D149" i="83"/>
  <c r="E149" i="83" s="1"/>
  <c r="F147" i="87"/>
  <c r="B147" i="87"/>
  <c r="F147" i="96"/>
  <c r="B147" i="96"/>
  <c r="D150" i="76"/>
  <c r="G149" i="76"/>
  <c r="G146" i="33"/>
  <c r="D147" i="33"/>
  <c r="E147" i="33" s="1"/>
  <c r="J148" i="75"/>
  <c r="I146" i="87"/>
  <c r="H146" i="87"/>
  <c r="I146" i="96"/>
  <c r="H146" i="96"/>
  <c r="B148" i="94"/>
  <c r="F148" i="94"/>
  <c r="B154" i="44"/>
  <c r="F154" i="44"/>
  <c r="G154" i="44" s="1"/>
  <c r="I147" i="95"/>
  <c r="H147" i="95"/>
  <c r="I149" i="100" l="1"/>
  <c r="H149" i="100"/>
  <c r="E150" i="100"/>
  <c r="B150" i="100"/>
  <c r="F150" i="100"/>
  <c r="J154" i="73"/>
  <c r="J155" i="73" s="1"/>
  <c r="B147" i="25"/>
  <c r="E147" i="25"/>
  <c r="F147" i="25" s="1"/>
  <c r="I146" i="25"/>
  <c r="H146" i="25"/>
  <c r="I70" i="79"/>
  <c r="D72" i="79"/>
  <c r="E72" i="79" s="1"/>
  <c r="E73" i="79" s="1"/>
  <c r="G71" i="79"/>
  <c r="I71" i="79" s="1"/>
  <c r="H73" i="98"/>
  <c r="I72" i="98"/>
  <c r="I73" i="98" s="1"/>
  <c r="H146" i="99"/>
  <c r="I146" i="99"/>
  <c r="E147" i="99"/>
  <c r="F147" i="99" s="1"/>
  <c r="B147" i="99"/>
  <c r="G72" i="80"/>
  <c r="G73" i="80" s="1"/>
  <c r="B150" i="78"/>
  <c r="D148" i="98"/>
  <c r="G147" i="98"/>
  <c r="D148" i="97"/>
  <c r="G147" i="97"/>
  <c r="B151" i="68"/>
  <c r="E151" i="68"/>
  <c r="F151" i="68" s="1"/>
  <c r="H150" i="68"/>
  <c r="I150" i="68"/>
  <c r="E152" i="64"/>
  <c r="F152" i="64" s="1"/>
  <c r="B152" i="64"/>
  <c r="I151" i="64"/>
  <c r="H151" i="64"/>
  <c r="H70" i="91"/>
  <c r="I70" i="91" s="1"/>
  <c r="I69" i="91"/>
  <c r="D71" i="91"/>
  <c r="E71" i="91" s="1"/>
  <c r="F71" i="91" s="1"/>
  <c r="D70" i="94"/>
  <c r="E70" i="94" s="1"/>
  <c r="F70" i="94" s="1"/>
  <c r="I72" i="85"/>
  <c r="I73" i="85" s="1"/>
  <c r="I68" i="95"/>
  <c r="H72" i="61"/>
  <c r="G72" i="61"/>
  <c r="G73" i="61" s="1"/>
  <c r="I72" i="63"/>
  <c r="I73" i="63" s="1"/>
  <c r="H73" i="63"/>
  <c r="B69" i="94"/>
  <c r="G69" i="94"/>
  <c r="H69" i="94"/>
  <c r="D72" i="90"/>
  <c r="H71" i="90"/>
  <c r="G71" i="90"/>
  <c r="D72" i="93"/>
  <c r="E72" i="93" s="1"/>
  <c r="E73" i="93" s="1"/>
  <c r="B71" i="93"/>
  <c r="H71" i="93"/>
  <c r="G71" i="93"/>
  <c r="B71" i="84"/>
  <c r="I70" i="84"/>
  <c r="E71" i="84"/>
  <c r="F71" i="84" s="1"/>
  <c r="D72" i="84" s="1"/>
  <c r="G67" i="96"/>
  <c r="I67" i="96" s="1"/>
  <c r="D68" i="96"/>
  <c r="I71" i="76"/>
  <c r="H72" i="78"/>
  <c r="G72" i="78"/>
  <c r="G73" i="78" s="1"/>
  <c r="E72" i="76"/>
  <c r="E73" i="76" s="1"/>
  <c r="B72" i="76"/>
  <c r="E70" i="81"/>
  <c r="F70" i="81" s="1"/>
  <c r="B70" i="81"/>
  <c r="E72" i="86"/>
  <c r="E73" i="86" s="1"/>
  <c r="B72" i="86"/>
  <c r="E69" i="95"/>
  <c r="F69" i="95" s="1"/>
  <c r="B69" i="95"/>
  <c r="I69" i="81"/>
  <c r="I71" i="86"/>
  <c r="D70" i="92"/>
  <c r="E70" i="92" s="1"/>
  <c r="F70" i="92" s="1"/>
  <c r="D71" i="92" s="1"/>
  <c r="H69" i="92"/>
  <c r="G69" i="92"/>
  <c r="E70" i="83"/>
  <c r="F70" i="83" s="1"/>
  <c r="D71" i="83" s="1"/>
  <c r="B70" i="83"/>
  <c r="E71" i="88"/>
  <c r="F71" i="88" s="1"/>
  <c r="B71" i="88"/>
  <c r="I68" i="83"/>
  <c r="I67" i="87"/>
  <c r="D70" i="89"/>
  <c r="E70" i="89" s="1"/>
  <c r="G69" i="89"/>
  <c r="G70" i="88"/>
  <c r="H69" i="89"/>
  <c r="H70" i="88"/>
  <c r="I72" i="77"/>
  <c r="I73" i="77" s="1"/>
  <c r="H73" i="77"/>
  <c r="B69" i="83"/>
  <c r="H69" i="83"/>
  <c r="G69" i="83"/>
  <c r="J148" i="79"/>
  <c r="E149" i="81"/>
  <c r="F149" i="81" s="1"/>
  <c r="D150" i="81" s="1"/>
  <c r="B150" i="81" s="1"/>
  <c r="E149" i="26"/>
  <c r="F149" i="26" s="1"/>
  <c r="I154" i="39"/>
  <c r="H154" i="39"/>
  <c r="H155" i="39" s="1"/>
  <c r="J149" i="78"/>
  <c r="F68" i="26"/>
  <c r="G68" i="26" s="1"/>
  <c r="B68" i="26"/>
  <c r="D72" i="59"/>
  <c r="J150" i="61"/>
  <c r="J150" i="60"/>
  <c r="J151" i="63"/>
  <c r="J152" i="72"/>
  <c r="E153" i="62"/>
  <c r="F153" i="62" s="1"/>
  <c r="D154" i="62" s="1"/>
  <c r="B154" i="62" s="1"/>
  <c r="J154" i="41"/>
  <c r="J155" i="41" s="1"/>
  <c r="I155" i="41"/>
  <c r="H154" i="43"/>
  <c r="H155" i="43" s="1"/>
  <c r="I154" i="43"/>
  <c r="B68" i="87"/>
  <c r="F69" i="25"/>
  <c r="G69" i="25" s="1"/>
  <c r="B69" i="25"/>
  <c r="E68" i="87"/>
  <c r="F68" i="87" s="1"/>
  <c r="F67" i="13"/>
  <c r="G67" i="13" s="1"/>
  <c r="B67" i="13"/>
  <c r="B69" i="33"/>
  <c r="F69" i="33"/>
  <c r="G69" i="33" s="1"/>
  <c r="B71" i="62"/>
  <c r="F71" i="62"/>
  <c r="H71" i="62" s="1"/>
  <c r="H71" i="59"/>
  <c r="I71" i="59" s="1"/>
  <c r="I68" i="25"/>
  <c r="G151" i="65"/>
  <c r="D152" i="65"/>
  <c r="G153" i="53"/>
  <c r="D154" i="53"/>
  <c r="D150" i="79"/>
  <c r="G149" i="79"/>
  <c r="G147" i="92"/>
  <c r="D148" i="92"/>
  <c r="B148" i="92" s="1"/>
  <c r="D148" i="84"/>
  <c r="B148" i="84" s="1"/>
  <c r="G147" i="84"/>
  <c r="G147" i="90"/>
  <c r="D148" i="90"/>
  <c r="G148" i="85"/>
  <c r="D149" i="85"/>
  <c r="H147" i="91"/>
  <c r="I147" i="91"/>
  <c r="E148" i="89"/>
  <c r="F148" i="89" s="1"/>
  <c r="B148" i="89"/>
  <c r="D154" i="72"/>
  <c r="G153" i="72"/>
  <c r="G147" i="86"/>
  <c r="D148" i="86"/>
  <c r="B148" i="86" s="1"/>
  <c r="D153" i="63"/>
  <c r="G152" i="63"/>
  <c r="D152" i="60"/>
  <c r="B152" i="60" s="1"/>
  <c r="G151" i="60"/>
  <c r="D154" i="46"/>
  <c r="E154" i="46" s="1"/>
  <c r="E155" i="46" s="1"/>
  <c r="G153" i="46"/>
  <c r="G148" i="88"/>
  <c r="D149" i="88"/>
  <c r="G150" i="78"/>
  <c r="D151" i="78"/>
  <c r="H148" i="26"/>
  <c r="I148" i="26"/>
  <c r="I147" i="89"/>
  <c r="H147" i="89"/>
  <c r="J152" i="58"/>
  <c r="D154" i="58"/>
  <c r="G153" i="58"/>
  <c r="D152" i="61"/>
  <c r="G151" i="61"/>
  <c r="I152" i="62"/>
  <c r="H152" i="62"/>
  <c r="E151" i="66"/>
  <c r="F151" i="66" s="1"/>
  <c r="B151" i="66"/>
  <c r="G153" i="74"/>
  <c r="D154" i="74"/>
  <c r="J152" i="74"/>
  <c r="J152" i="46"/>
  <c r="J150" i="65"/>
  <c r="J152" i="53"/>
  <c r="H148" i="81"/>
  <c r="I148" i="81"/>
  <c r="E148" i="91"/>
  <c r="F148" i="91" s="1"/>
  <c r="I150" i="66"/>
  <c r="H150" i="66"/>
  <c r="E153" i="59"/>
  <c r="F153" i="59" s="1"/>
  <c r="B153" i="59"/>
  <c r="H153" i="56"/>
  <c r="I153" i="56"/>
  <c r="H152" i="59"/>
  <c r="I152" i="59"/>
  <c r="E154" i="56"/>
  <c r="E155" i="56" s="1"/>
  <c r="B154" i="56"/>
  <c r="J152" i="57"/>
  <c r="J149" i="67"/>
  <c r="D154" i="57"/>
  <c r="G153" i="57"/>
  <c r="B150" i="76"/>
  <c r="B147" i="33"/>
  <c r="F147" i="33"/>
  <c r="H149" i="76"/>
  <c r="I149" i="76"/>
  <c r="D148" i="96"/>
  <c r="E148" i="96" s="1"/>
  <c r="G147" i="96"/>
  <c r="D148" i="87"/>
  <c r="E148" i="87" s="1"/>
  <c r="G147" i="87"/>
  <c r="F153" i="55"/>
  <c r="B153" i="55"/>
  <c r="F150" i="75"/>
  <c r="B150" i="75"/>
  <c r="G148" i="94"/>
  <c r="D149" i="94"/>
  <c r="E149" i="94" s="1"/>
  <c r="H146" i="33"/>
  <c r="I146" i="33"/>
  <c r="E150" i="76"/>
  <c r="F150" i="76" s="1"/>
  <c r="H152" i="54"/>
  <c r="I152" i="54"/>
  <c r="B149" i="80"/>
  <c r="F149" i="80"/>
  <c r="D151" i="67"/>
  <c r="E151" i="67" s="1"/>
  <c r="G150" i="67"/>
  <c r="G148" i="82"/>
  <c r="D149" i="82"/>
  <c r="E149" i="82" s="1"/>
  <c r="J153" i="44"/>
  <c r="H149" i="75"/>
  <c r="I149" i="75"/>
  <c r="I149" i="77"/>
  <c r="H149" i="77"/>
  <c r="B148" i="93"/>
  <c r="F148" i="93"/>
  <c r="I154" i="44"/>
  <c r="H154" i="44"/>
  <c r="H155" i="44" s="1"/>
  <c r="B149" i="83"/>
  <c r="F149" i="83"/>
  <c r="H152" i="55"/>
  <c r="I152" i="55"/>
  <c r="F153" i="54"/>
  <c r="B153" i="54"/>
  <c r="B147" i="13"/>
  <c r="F147" i="13"/>
  <c r="H147" i="93"/>
  <c r="I147" i="93"/>
  <c r="H148" i="83"/>
  <c r="I148" i="83"/>
  <c r="D149" i="95"/>
  <c r="E149" i="95" s="1"/>
  <c r="G148" i="95"/>
  <c r="I148" i="80"/>
  <c r="H148" i="80"/>
  <c r="H146" i="13"/>
  <c r="I146" i="13"/>
  <c r="J154" i="3"/>
  <c r="J155" i="3" s="1"/>
  <c r="I155" i="3"/>
  <c r="J154" i="42"/>
  <c r="J155" i="42" s="1"/>
  <c r="I155" i="42"/>
  <c r="B150" i="77"/>
  <c r="F150" i="77"/>
  <c r="G150" i="100" l="1"/>
  <c r="D151" i="100"/>
  <c r="F72" i="79"/>
  <c r="G72" i="79" s="1"/>
  <c r="G73" i="79" s="1"/>
  <c r="B72" i="79"/>
  <c r="J146" i="25"/>
  <c r="G147" i="25"/>
  <c r="D148" i="25"/>
  <c r="D148" i="99"/>
  <c r="B148" i="99" s="1"/>
  <c r="G147" i="99"/>
  <c r="I72" i="80"/>
  <c r="I73" i="80" s="1"/>
  <c r="G149" i="81"/>
  <c r="H149" i="81" s="1"/>
  <c r="E154" i="62"/>
  <c r="E155" i="62" s="1"/>
  <c r="I147" i="97"/>
  <c r="H147" i="97"/>
  <c r="B148" i="97"/>
  <c r="H147" i="98"/>
  <c r="I147" i="98"/>
  <c r="J150" i="68"/>
  <c r="E148" i="97"/>
  <c r="F148" i="97" s="1"/>
  <c r="E148" i="98"/>
  <c r="F148" i="98" s="1"/>
  <c r="B148" i="98"/>
  <c r="G151" i="68"/>
  <c r="D152" i="68"/>
  <c r="J151" i="64"/>
  <c r="D153" i="64"/>
  <c r="G152" i="64"/>
  <c r="I69" i="94"/>
  <c r="D72" i="91"/>
  <c r="B71" i="91"/>
  <c r="G71" i="91"/>
  <c r="H71" i="91"/>
  <c r="D71" i="94"/>
  <c r="E71" i="94" s="1"/>
  <c r="F71" i="94" s="1"/>
  <c r="I72" i="61"/>
  <c r="I73" i="61" s="1"/>
  <c r="H73" i="61"/>
  <c r="B70" i="94"/>
  <c r="H70" i="94"/>
  <c r="G70" i="94"/>
  <c r="G71" i="84"/>
  <c r="I71" i="93"/>
  <c r="G70" i="83"/>
  <c r="H71" i="84"/>
  <c r="I71" i="90"/>
  <c r="E72" i="84"/>
  <c r="E73" i="84" s="1"/>
  <c r="B72" i="84"/>
  <c r="B72" i="93"/>
  <c r="F72" i="93"/>
  <c r="H72" i="93" s="1"/>
  <c r="H73" i="93" s="1"/>
  <c r="E72" i="90"/>
  <c r="E73" i="90" s="1"/>
  <c r="B72" i="90"/>
  <c r="G69" i="95"/>
  <c r="D70" i="95"/>
  <c r="H69" i="95"/>
  <c r="G70" i="81"/>
  <c r="D71" i="81"/>
  <c r="H70" i="81"/>
  <c r="I69" i="83"/>
  <c r="E68" i="96"/>
  <c r="F68" i="96" s="1"/>
  <c r="B68" i="96"/>
  <c r="F72" i="86"/>
  <c r="F72" i="76"/>
  <c r="I72" i="78"/>
  <c r="I73" i="78" s="1"/>
  <c r="H73" i="78"/>
  <c r="D72" i="88"/>
  <c r="G71" i="88"/>
  <c r="H71" i="88"/>
  <c r="E71" i="92"/>
  <c r="F71" i="92" s="1"/>
  <c r="G71" i="92" s="1"/>
  <c r="B71" i="92"/>
  <c r="H69" i="33"/>
  <c r="I69" i="33" s="1"/>
  <c r="I69" i="89"/>
  <c r="B70" i="89"/>
  <c r="F70" i="89"/>
  <c r="G70" i="89" s="1"/>
  <c r="E71" i="83"/>
  <c r="F71" i="83" s="1"/>
  <c r="B71" i="83"/>
  <c r="I69" i="92"/>
  <c r="H72" i="79"/>
  <c r="I70" i="88"/>
  <c r="H70" i="83"/>
  <c r="B70" i="92"/>
  <c r="H70" i="92"/>
  <c r="G70" i="92"/>
  <c r="G153" i="62"/>
  <c r="J152" i="62"/>
  <c r="E148" i="84"/>
  <c r="F148" i="84" s="1"/>
  <c r="G148" i="84" s="1"/>
  <c r="D150" i="26"/>
  <c r="G149" i="26"/>
  <c r="J154" i="39"/>
  <c r="J155" i="39" s="1"/>
  <c r="I155" i="39"/>
  <c r="D69" i="87"/>
  <c r="H68" i="87"/>
  <c r="G68" i="87"/>
  <c r="D72" i="62"/>
  <c r="J154" i="43"/>
  <c r="J155" i="43" s="1"/>
  <c r="I155" i="43"/>
  <c r="D68" i="13"/>
  <c r="E68" i="13" s="1"/>
  <c r="D70" i="25"/>
  <c r="E70" i="25" s="1"/>
  <c r="B72" i="59"/>
  <c r="D69" i="26"/>
  <c r="J150" i="66"/>
  <c r="E148" i="86"/>
  <c r="F148" i="86" s="1"/>
  <c r="G148" i="86" s="1"/>
  <c r="G71" i="62"/>
  <c r="I71" i="62" s="1"/>
  <c r="D70" i="33"/>
  <c r="E70" i="33" s="1"/>
  <c r="H67" i="13"/>
  <c r="I67" i="13" s="1"/>
  <c r="H69" i="25"/>
  <c r="I69" i="25" s="1"/>
  <c r="E72" i="59"/>
  <c r="E73" i="59" s="1"/>
  <c r="H68" i="26"/>
  <c r="I68" i="26" s="1"/>
  <c r="D149" i="89"/>
  <c r="G148" i="89"/>
  <c r="G151" i="66"/>
  <c r="D152" i="66"/>
  <c r="B154" i="74"/>
  <c r="H151" i="60"/>
  <c r="I151" i="60"/>
  <c r="H153" i="72"/>
  <c r="I153" i="72"/>
  <c r="E154" i="53"/>
  <c r="E155" i="53" s="1"/>
  <c r="B154" i="53"/>
  <c r="H153" i="74"/>
  <c r="I153" i="74"/>
  <c r="H153" i="58"/>
  <c r="I153" i="58"/>
  <c r="E150" i="81"/>
  <c r="F150" i="81" s="1"/>
  <c r="H150" i="78"/>
  <c r="I150" i="78"/>
  <c r="H153" i="46"/>
  <c r="I153" i="46"/>
  <c r="B154" i="72"/>
  <c r="I148" i="85"/>
  <c r="H148" i="85"/>
  <c r="I147" i="84"/>
  <c r="H147" i="84"/>
  <c r="I147" i="92"/>
  <c r="H147" i="92"/>
  <c r="H153" i="53"/>
  <c r="I153" i="53"/>
  <c r="E151" i="78"/>
  <c r="F151" i="78" s="1"/>
  <c r="B151" i="78"/>
  <c r="E149" i="85"/>
  <c r="F149" i="85" s="1"/>
  <c r="B149" i="85"/>
  <c r="E154" i="58"/>
  <c r="E155" i="58" s="1"/>
  <c r="B154" i="58"/>
  <c r="E149" i="88"/>
  <c r="F149" i="88" s="1"/>
  <c r="B149" i="88"/>
  <c r="B154" i="46"/>
  <c r="F154" i="46"/>
  <c r="G154" i="46" s="1"/>
  <c r="I152" i="63"/>
  <c r="H152" i="63"/>
  <c r="H147" i="86"/>
  <c r="I147" i="86"/>
  <c r="E148" i="90"/>
  <c r="F148" i="90" s="1"/>
  <c r="B148" i="90"/>
  <c r="I149" i="79"/>
  <c r="H149" i="79"/>
  <c r="E152" i="65"/>
  <c r="F152" i="65" s="1"/>
  <c r="B152" i="65"/>
  <c r="E152" i="61"/>
  <c r="F152" i="61" s="1"/>
  <c r="B152" i="61"/>
  <c r="F154" i="56"/>
  <c r="G154" i="56" s="1"/>
  <c r="H154" i="56" s="1"/>
  <c r="H155" i="56" s="1"/>
  <c r="G148" i="91"/>
  <c r="D149" i="91"/>
  <c r="B149" i="91" s="1"/>
  <c r="E154" i="74"/>
  <c r="E155" i="74" s="1"/>
  <c r="I151" i="61"/>
  <c r="H151" i="61"/>
  <c r="J148" i="26"/>
  <c r="I148" i="88"/>
  <c r="H148" i="88"/>
  <c r="E152" i="60"/>
  <c r="F152" i="60" s="1"/>
  <c r="E153" i="63"/>
  <c r="F153" i="63" s="1"/>
  <c r="B153" i="63"/>
  <c r="E154" i="72"/>
  <c r="E155" i="72" s="1"/>
  <c r="I147" i="90"/>
  <c r="H147" i="90"/>
  <c r="E148" i="92"/>
  <c r="F148" i="92" s="1"/>
  <c r="E150" i="79"/>
  <c r="F150" i="79" s="1"/>
  <c r="B150" i="79"/>
  <c r="H151" i="65"/>
  <c r="I151" i="65"/>
  <c r="G153" i="59"/>
  <c r="D154" i="59"/>
  <c r="J153" i="56"/>
  <c r="J152" i="55"/>
  <c r="J152" i="59"/>
  <c r="J149" i="77"/>
  <c r="B154" i="57"/>
  <c r="J149" i="75"/>
  <c r="J149" i="76"/>
  <c r="H153" i="57"/>
  <c r="I153" i="57"/>
  <c r="J152" i="54"/>
  <c r="E154" i="57"/>
  <c r="E155" i="57" s="1"/>
  <c r="G150" i="76"/>
  <c r="D151" i="76"/>
  <c r="E151" i="76" s="1"/>
  <c r="I148" i="95"/>
  <c r="H148" i="95"/>
  <c r="G153" i="54"/>
  <c r="D154" i="54"/>
  <c r="J154" i="44"/>
  <c r="J155" i="44" s="1"/>
  <c r="I155" i="44"/>
  <c r="G153" i="55"/>
  <c r="D154" i="55"/>
  <c r="E154" i="55" s="1"/>
  <c r="E155" i="55" s="1"/>
  <c r="H147" i="96"/>
  <c r="I147" i="96"/>
  <c r="D150" i="83"/>
  <c r="E150" i="83" s="1"/>
  <c r="G149" i="83"/>
  <c r="D149" i="93"/>
  <c r="E149" i="93" s="1"/>
  <c r="G148" i="93"/>
  <c r="H150" i="67"/>
  <c r="I150" i="67"/>
  <c r="G147" i="33"/>
  <c r="D148" i="33"/>
  <c r="E148" i="33" s="1"/>
  <c r="B149" i="95"/>
  <c r="F149" i="95"/>
  <c r="F149" i="82"/>
  <c r="B149" i="82"/>
  <c r="B151" i="67"/>
  <c r="F151" i="67"/>
  <c r="G149" i="80"/>
  <c r="D150" i="80"/>
  <c r="E150" i="80" s="1"/>
  <c r="J146" i="33"/>
  <c r="F149" i="94"/>
  <c r="B149" i="94"/>
  <c r="I147" i="87"/>
  <c r="H147" i="87"/>
  <c r="F148" i="96"/>
  <c r="B148" i="96"/>
  <c r="D151" i="77"/>
  <c r="E151" i="77" s="1"/>
  <c r="G150" i="77"/>
  <c r="D148" i="13"/>
  <c r="G147" i="13"/>
  <c r="I148" i="82"/>
  <c r="H148" i="82"/>
  <c r="I148" i="94"/>
  <c r="H148" i="94"/>
  <c r="D151" i="75"/>
  <c r="G150" i="75"/>
  <c r="F148" i="87"/>
  <c r="B148" i="87"/>
  <c r="E151" i="100" l="1"/>
  <c r="B151" i="100"/>
  <c r="F151" i="100"/>
  <c r="H150" i="100"/>
  <c r="I150" i="100"/>
  <c r="I70" i="83"/>
  <c r="E148" i="25"/>
  <c r="F148" i="25" s="1"/>
  <c r="B148" i="25"/>
  <c r="H147" i="25"/>
  <c r="I147" i="25"/>
  <c r="I149" i="81"/>
  <c r="E148" i="99"/>
  <c r="F148" i="99" s="1"/>
  <c r="H147" i="99"/>
  <c r="I147" i="99"/>
  <c r="F154" i="62"/>
  <c r="G154" i="62" s="1"/>
  <c r="H154" i="62" s="1"/>
  <c r="F72" i="90"/>
  <c r="G72" i="90" s="1"/>
  <c r="G73" i="90" s="1"/>
  <c r="I71" i="88"/>
  <c r="D149" i="84"/>
  <c r="B149" i="84" s="1"/>
  <c r="D149" i="97"/>
  <c r="B149" i="97" s="1"/>
  <c r="G148" i="97"/>
  <c r="D149" i="98"/>
  <c r="G148" i="98"/>
  <c r="B152" i="68"/>
  <c r="E152" i="68"/>
  <c r="F152" i="68" s="1"/>
  <c r="H151" i="68"/>
  <c r="I151" i="68"/>
  <c r="H152" i="64"/>
  <c r="I152" i="64"/>
  <c r="E153" i="64"/>
  <c r="F153" i="64" s="1"/>
  <c r="B153" i="64"/>
  <c r="G72" i="93"/>
  <c r="G73" i="93" s="1"/>
  <c r="D149" i="86"/>
  <c r="B149" i="86" s="1"/>
  <c r="B72" i="91"/>
  <c r="I71" i="91"/>
  <c r="E72" i="91"/>
  <c r="E73" i="91" s="1"/>
  <c r="I71" i="84"/>
  <c r="D72" i="94"/>
  <c r="E72" i="94" s="1"/>
  <c r="E73" i="94" s="1"/>
  <c r="I70" i="94"/>
  <c r="B71" i="94"/>
  <c r="H71" i="94"/>
  <c r="G71" i="94"/>
  <c r="F72" i="84"/>
  <c r="I154" i="56"/>
  <c r="I155" i="56" s="1"/>
  <c r="I69" i="95"/>
  <c r="H68" i="96"/>
  <c r="D69" i="96"/>
  <c r="E69" i="96" s="1"/>
  <c r="F69" i="96" s="1"/>
  <c r="D70" i="96" s="1"/>
  <c r="G68" i="96"/>
  <c r="G72" i="86"/>
  <c r="G73" i="86" s="1"/>
  <c r="H72" i="86"/>
  <c r="G72" i="76"/>
  <c r="G73" i="76" s="1"/>
  <c r="H72" i="76"/>
  <c r="I70" i="81"/>
  <c r="E70" i="95"/>
  <c r="F70" i="95" s="1"/>
  <c r="D71" i="95" s="1"/>
  <c r="B70" i="95"/>
  <c r="E71" i="81"/>
  <c r="F71" i="81" s="1"/>
  <c r="H71" i="81" s="1"/>
  <c r="B71" i="81"/>
  <c r="I70" i="92"/>
  <c r="H71" i="83"/>
  <c r="D72" i="83"/>
  <c r="E72" i="83" s="1"/>
  <c r="E73" i="83" s="1"/>
  <c r="G71" i="83"/>
  <c r="I68" i="87"/>
  <c r="H71" i="92"/>
  <c r="I71" i="92" s="1"/>
  <c r="D72" i="92"/>
  <c r="B72" i="88"/>
  <c r="I72" i="79"/>
  <c r="I73" i="79" s="1"/>
  <c r="H73" i="79"/>
  <c r="H70" i="89"/>
  <c r="D71" i="89"/>
  <c r="E71" i="89" s="1"/>
  <c r="E72" i="88"/>
  <c r="E73" i="88" s="1"/>
  <c r="H153" i="62"/>
  <c r="I153" i="62"/>
  <c r="J153" i="74"/>
  <c r="J153" i="72"/>
  <c r="E150" i="26"/>
  <c r="F150" i="26" s="1"/>
  <c r="B150" i="26"/>
  <c r="I149" i="26"/>
  <c r="H149" i="26"/>
  <c r="B69" i="26"/>
  <c r="B72" i="62"/>
  <c r="J151" i="61"/>
  <c r="F70" i="33"/>
  <c r="G70" i="33" s="1"/>
  <c r="B70" i="33"/>
  <c r="B69" i="87"/>
  <c r="B70" i="25"/>
  <c r="F70" i="25"/>
  <c r="H70" i="25" s="1"/>
  <c r="F68" i="13"/>
  <c r="H68" i="13" s="1"/>
  <c r="B68" i="13"/>
  <c r="E69" i="87"/>
  <c r="F69" i="87" s="1"/>
  <c r="J151" i="65"/>
  <c r="F154" i="53"/>
  <c r="G154" i="53" s="1"/>
  <c r="I154" i="53" s="1"/>
  <c r="E69" i="26"/>
  <c r="F69" i="26" s="1"/>
  <c r="F72" i="59"/>
  <c r="E72" i="62"/>
  <c r="E73" i="62" s="1"/>
  <c r="D154" i="63"/>
  <c r="G153" i="63"/>
  <c r="G152" i="65"/>
  <c r="D153" i="65"/>
  <c r="B153" i="65" s="1"/>
  <c r="G148" i="90"/>
  <c r="D149" i="90"/>
  <c r="I148" i="91"/>
  <c r="H148" i="91"/>
  <c r="H148" i="84"/>
  <c r="I148" i="84"/>
  <c r="G152" i="60"/>
  <c r="D153" i="60"/>
  <c r="J152" i="63"/>
  <c r="D150" i="88"/>
  <c r="G149" i="88"/>
  <c r="J153" i="46"/>
  <c r="G150" i="81"/>
  <c r="D151" i="81"/>
  <c r="F154" i="74"/>
  <c r="G154" i="74" s="1"/>
  <c r="H148" i="89"/>
  <c r="I148" i="89"/>
  <c r="D149" i="92"/>
  <c r="B149" i="92" s="1"/>
  <c r="G148" i="92"/>
  <c r="E149" i="91"/>
  <c r="F149" i="91" s="1"/>
  <c r="J149" i="79"/>
  <c r="I154" i="46"/>
  <c r="H154" i="46"/>
  <c r="H155" i="46" s="1"/>
  <c r="G149" i="85"/>
  <c r="D150" i="85"/>
  <c r="J153" i="58"/>
  <c r="I148" i="86"/>
  <c r="H148" i="86"/>
  <c r="B149" i="89"/>
  <c r="D151" i="79"/>
  <c r="G150" i="79"/>
  <c r="G152" i="61"/>
  <c r="D153" i="61"/>
  <c r="D152" i="78"/>
  <c r="G151" i="78"/>
  <c r="H151" i="66"/>
  <c r="I151" i="66"/>
  <c r="F154" i="58"/>
  <c r="G154" i="58" s="1"/>
  <c r="J153" i="53"/>
  <c r="F154" i="72"/>
  <c r="G154" i="72" s="1"/>
  <c r="J150" i="78"/>
  <c r="J151" i="60"/>
  <c r="E152" i="66"/>
  <c r="F152" i="66" s="1"/>
  <c r="B152" i="66"/>
  <c r="E149" i="89"/>
  <c r="F149" i="89" s="1"/>
  <c r="F154" i="57"/>
  <c r="G154" i="57" s="1"/>
  <c r="I154" i="57" s="1"/>
  <c r="I153" i="59"/>
  <c r="H153" i="59"/>
  <c r="E154" i="59"/>
  <c r="E155" i="59" s="1"/>
  <c r="B154" i="59"/>
  <c r="J153" i="57"/>
  <c r="J150" i="67"/>
  <c r="B151" i="75"/>
  <c r="B148" i="13"/>
  <c r="H147" i="33"/>
  <c r="I147" i="33"/>
  <c r="I149" i="83"/>
  <c r="H149" i="83"/>
  <c r="B154" i="54"/>
  <c r="D149" i="87"/>
  <c r="G148" i="87"/>
  <c r="F150" i="80"/>
  <c r="B150" i="80"/>
  <c r="B149" i="93"/>
  <c r="F149" i="93"/>
  <c r="F154" i="55"/>
  <c r="G154" i="55" s="1"/>
  <c r="B154" i="55"/>
  <c r="E154" i="54"/>
  <c r="E155" i="54" s="1"/>
  <c r="I150" i="77"/>
  <c r="H150" i="77"/>
  <c r="E151" i="75"/>
  <c r="F151" i="75" s="1"/>
  <c r="E148" i="13"/>
  <c r="F148" i="13" s="1"/>
  <c r="G148" i="96"/>
  <c r="D149" i="96"/>
  <c r="E149" i="96" s="1"/>
  <c r="G149" i="94"/>
  <c r="D150" i="94"/>
  <c r="E150" i="94" s="1"/>
  <c r="I149" i="80"/>
  <c r="H149" i="80"/>
  <c r="D150" i="82"/>
  <c r="E150" i="82" s="1"/>
  <c r="G149" i="82"/>
  <c r="F150" i="83"/>
  <c r="B150" i="83"/>
  <c r="H153" i="55"/>
  <c r="I153" i="55"/>
  <c r="I153" i="54"/>
  <c r="H153" i="54"/>
  <c r="F151" i="76"/>
  <c r="B151" i="76"/>
  <c r="H150" i="75"/>
  <c r="I150" i="75"/>
  <c r="H147" i="13"/>
  <c r="I147" i="13"/>
  <c r="B151" i="77"/>
  <c r="F151" i="77"/>
  <c r="G151" i="67"/>
  <c r="D152" i="67"/>
  <c r="E152" i="67" s="1"/>
  <c r="G149" i="95"/>
  <c r="D150" i="95"/>
  <c r="E150" i="95" s="1"/>
  <c r="B148" i="33"/>
  <c r="F148" i="33"/>
  <c r="I148" i="93"/>
  <c r="H148" i="93"/>
  <c r="I150" i="76"/>
  <c r="H150" i="76"/>
  <c r="I154" i="62" l="1"/>
  <c r="D152" i="100"/>
  <c r="G151" i="100"/>
  <c r="G148" i="25"/>
  <c r="D149" i="25"/>
  <c r="J147" i="25"/>
  <c r="D149" i="99"/>
  <c r="G148" i="99"/>
  <c r="H72" i="90"/>
  <c r="I72" i="90" s="1"/>
  <c r="I73" i="90" s="1"/>
  <c r="I72" i="93"/>
  <c r="I73" i="93" s="1"/>
  <c r="E149" i="97"/>
  <c r="F149" i="97" s="1"/>
  <c r="D150" i="97" s="1"/>
  <c r="E149" i="84"/>
  <c r="F149" i="84" s="1"/>
  <c r="D150" i="84" s="1"/>
  <c r="B150" i="84" s="1"/>
  <c r="E149" i="86"/>
  <c r="F149" i="86" s="1"/>
  <c r="G149" i="86" s="1"/>
  <c r="H149" i="86" s="1"/>
  <c r="H155" i="62"/>
  <c r="J154" i="56"/>
  <c r="J155" i="56" s="1"/>
  <c r="J152" i="64"/>
  <c r="E149" i="98"/>
  <c r="F149" i="98" s="1"/>
  <c r="B149" i="98"/>
  <c r="I148" i="97"/>
  <c r="H148" i="97"/>
  <c r="J151" i="68"/>
  <c r="H148" i="98"/>
  <c r="I148" i="98"/>
  <c r="G152" i="68"/>
  <c r="D153" i="68"/>
  <c r="G153" i="64"/>
  <c r="D154" i="64"/>
  <c r="B154" i="64" s="1"/>
  <c r="J153" i="62"/>
  <c r="F72" i="91"/>
  <c r="I68" i="96"/>
  <c r="I71" i="94"/>
  <c r="B72" i="94"/>
  <c r="F72" i="94"/>
  <c r="H72" i="84"/>
  <c r="G72" i="84"/>
  <c r="G73" i="84" s="1"/>
  <c r="E70" i="96"/>
  <c r="F70" i="96" s="1"/>
  <c r="B70" i="96"/>
  <c r="G70" i="95"/>
  <c r="I72" i="76"/>
  <c r="I73" i="76" s="1"/>
  <c r="H73" i="76"/>
  <c r="H70" i="95"/>
  <c r="E71" i="95"/>
  <c r="F71" i="95" s="1"/>
  <c r="B71" i="95"/>
  <c r="H73" i="86"/>
  <c r="I72" i="86"/>
  <c r="I73" i="86" s="1"/>
  <c r="B69" i="96"/>
  <c r="H69" i="96"/>
  <c r="G69" i="96"/>
  <c r="G71" i="81"/>
  <c r="I71" i="81" s="1"/>
  <c r="D72" i="81"/>
  <c r="F71" i="89"/>
  <c r="G71" i="89" s="1"/>
  <c r="B71" i="89"/>
  <c r="E72" i="92"/>
  <c r="E73" i="92" s="1"/>
  <c r="B72" i="92"/>
  <c r="I70" i="89"/>
  <c r="B72" i="83"/>
  <c r="F72" i="83"/>
  <c r="H72" i="83" s="1"/>
  <c r="F72" i="88"/>
  <c r="I71" i="83"/>
  <c r="H154" i="53"/>
  <c r="H155" i="53" s="1"/>
  <c r="J149" i="26"/>
  <c r="H154" i="57"/>
  <c r="H155" i="57" s="1"/>
  <c r="D151" i="26"/>
  <c r="G150" i="26"/>
  <c r="F154" i="59"/>
  <c r="G154" i="59" s="1"/>
  <c r="H154" i="59" s="1"/>
  <c r="H155" i="59" s="1"/>
  <c r="D70" i="26"/>
  <c r="E70" i="26" s="1"/>
  <c r="H69" i="26"/>
  <c r="G69" i="26"/>
  <c r="D70" i="87"/>
  <c r="E70" i="87" s="1"/>
  <c r="G69" i="87"/>
  <c r="H69" i="87"/>
  <c r="D71" i="25"/>
  <c r="E71" i="25" s="1"/>
  <c r="J150" i="76"/>
  <c r="H72" i="59"/>
  <c r="G72" i="59"/>
  <c r="G73" i="59" s="1"/>
  <c r="D69" i="13"/>
  <c r="E69" i="13" s="1"/>
  <c r="G68" i="13"/>
  <c r="I68" i="13" s="1"/>
  <c r="D71" i="33"/>
  <c r="E71" i="33" s="1"/>
  <c r="J154" i="46"/>
  <c r="J155" i="46" s="1"/>
  <c r="G70" i="25"/>
  <c r="I70" i="25" s="1"/>
  <c r="H70" i="33"/>
  <c r="I70" i="33" s="1"/>
  <c r="F72" i="62"/>
  <c r="I155" i="57"/>
  <c r="D150" i="89"/>
  <c r="G149" i="89"/>
  <c r="D153" i="66"/>
  <c r="B153" i="66" s="1"/>
  <c r="G152" i="66"/>
  <c r="E152" i="78"/>
  <c r="F152" i="78" s="1"/>
  <c r="B152" i="78"/>
  <c r="I155" i="53"/>
  <c r="E153" i="60"/>
  <c r="F153" i="60" s="1"/>
  <c r="B153" i="60"/>
  <c r="I154" i="58"/>
  <c r="H154" i="58"/>
  <c r="H155" i="58" s="1"/>
  <c r="H152" i="61"/>
  <c r="I152" i="61"/>
  <c r="D150" i="91"/>
  <c r="G149" i="91"/>
  <c r="E151" i="81"/>
  <c r="F151" i="81" s="1"/>
  <c r="B151" i="81"/>
  <c r="H149" i="88"/>
  <c r="I149" i="88"/>
  <c r="H152" i="60"/>
  <c r="I152" i="60"/>
  <c r="H148" i="90"/>
  <c r="I148" i="90"/>
  <c r="H153" i="63"/>
  <c r="I153" i="63"/>
  <c r="I154" i="72"/>
  <c r="H154" i="72"/>
  <c r="H155" i="72" s="1"/>
  <c r="E151" i="79"/>
  <c r="F151" i="79" s="1"/>
  <c r="B151" i="79"/>
  <c r="H149" i="85"/>
  <c r="I149" i="85"/>
  <c r="H148" i="92"/>
  <c r="I148" i="92"/>
  <c r="I155" i="46"/>
  <c r="E153" i="61"/>
  <c r="F153" i="61" s="1"/>
  <c r="B153" i="61"/>
  <c r="I154" i="74"/>
  <c r="H154" i="74"/>
  <c r="H155" i="74" s="1"/>
  <c r="E149" i="90"/>
  <c r="F149" i="90" s="1"/>
  <c r="B149" i="90"/>
  <c r="H152" i="65"/>
  <c r="I152" i="65"/>
  <c r="J151" i="66"/>
  <c r="I151" i="78"/>
  <c r="H151" i="78"/>
  <c r="I150" i="79"/>
  <c r="H150" i="79"/>
  <c r="E150" i="85"/>
  <c r="F150" i="85" s="1"/>
  <c r="B150" i="85"/>
  <c r="E149" i="92"/>
  <c r="F149" i="92" s="1"/>
  <c r="I150" i="81"/>
  <c r="H150" i="81"/>
  <c r="E150" i="88"/>
  <c r="F150" i="88" s="1"/>
  <c r="B150" i="88"/>
  <c r="E153" i="65"/>
  <c r="F153" i="65" s="1"/>
  <c r="E154" i="63"/>
  <c r="E155" i="63" s="1"/>
  <c r="B154" i="63"/>
  <c r="J154" i="62"/>
  <c r="J155" i="62" s="1"/>
  <c r="I155" i="62"/>
  <c r="J153" i="59"/>
  <c r="G148" i="13"/>
  <c r="D149" i="13"/>
  <c r="E149" i="13" s="1"/>
  <c r="G151" i="75"/>
  <c r="D152" i="75"/>
  <c r="D149" i="33"/>
  <c r="E149" i="33" s="1"/>
  <c r="G148" i="33"/>
  <c r="H149" i="95"/>
  <c r="I149" i="95"/>
  <c r="I151" i="67"/>
  <c r="H151" i="67"/>
  <c r="D152" i="76"/>
  <c r="E152" i="76" s="1"/>
  <c r="G151" i="76"/>
  <c r="B149" i="87"/>
  <c r="I149" i="82"/>
  <c r="H149" i="82"/>
  <c r="B149" i="96"/>
  <c r="F149" i="96"/>
  <c r="H154" i="55"/>
  <c r="H155" i="55" s="1"/>
  <c r="I154" i="55"/>
  <c r="D151" i="80"/>
  <c r="E151" i="80" s="1"/>
  <c r="G150" i="80"/>
  <c r="F154" i="54"/>
  <c r="G154" i="54" s="1"/>
  <c r="J153" i="54"/>
  <c r="D151" i="83"/>
  <c r="G150" i="83"/>
  <c r="F150" i="82"/>
  <c r="B150" i="82"/>
  <c r="F150" i="94"/>
  <c r="B150" i="94"/>
  <c r="H148" i="96"/>
  <c r="I148" i="96"/>
  <c r="J150" i="77"/>
  <c r="G149" i="93"/>
  <c r="D150" i="93"/>
  <c r="E150" i="93" s="1"/>
  <c r="E149" i="87"/>
  <c r="F149" i="87" s="1"/>
  <c r="F150" i="95"/>
  <c r="B150" i="95"/>
  <c r="F152" i="67"/>
  <c r="B152" i="67"/>
  <c r="D152" i="77"/>
  <c r="E152" i="77" s="1"/>
  <c r="G151" i="77"/>
  <c r="J150" i="75"/>
  <c r="J153" i="55"/>
  <c r="H149" i="94"/>
  <c r="I149" i="94"/>
  <c r="I148" i="87"/>
  <c r="H148" i="87"/>
  <c r="J147" i="33"/>
  <c r="I149" i="86" l="1"/>
  <c r="I151" i="100"/>
  <c r="H151" i="100"/>
  <c r="E152" i="100"/>
  <c r="B152" i="100"/>
  <c r="F152" i="100"/>
  <c r="E150" i="84"/>
  <c r="F150" i="84" s="1"/>
  <c r="G150" i="84" s="1"/>
  <c r="H73" i="90"/>
  <c r="G149" i="97"/>
  <c r="H149" i="97" s="1"/>
  <c r="E149" i="25"/>
  <c r="F149" i="25" s="1"/>
  <c r="B149" i="25"/>
  <c r="H148" i="25"/>
  <c r="I148" i="25"/>
  <c r="I148" i="99"/>
  <c r="H148" i="99"/>
  <c r="E149" i="99"/>
  <c r="F149" i="99" s="1"/>
  <c r="B149" i="99"/>
  <c r="D150" i="86"/>
  <c r="G149" i="84"/>
  <c r="I149" i="84" s="1"/>
  <c r="I149" i="97"/>
  <c r="G149" i="98"/>
  <c r="D150" i="98"/>
  <c r="E150" i="97"/>
  <c r="F150" i="97" s="1"/>
  <c r="B150" i="97"/>
  <c r="B153" i="68"/>
  <c r="E153" i="68"/>
  <c r="F153" i="68" s="1"/>
  <c r="H152" i="68"/>
  <c r="I152" i="68"/>
  <c r="E154" i="64"/>
  <c r="H153" i="64"/>
  <c r="I153" i="64"/>
  <c r="G72" i="91"/>
  <c r="G73" i="91" s="1"/>
  <c r="H72" i="91"/>
  <c r="H72" i="94"/>
  <c r="G72" i="94"/>
  <c r="G73" i="94" s="1"/>
  <c r="H73" i="84"/>
  <c r="I72" i="84"/>
  <c r="I73" i="84" s="1"/>
  <c r="D71" i="96"/>
  <c r="E71" i="96" s="1"/>
  <c r="G70" i="96"/>
  <c r="H70" i="96"/>
  <c r="E72" i="81"/>
  <c r="E73" i="81" s="1"/>
  <c r="B72" i="81"/>
  <c r="G71" i="95"/>
  <c r="D72" i="95"/>
  <c r="E72" i="95" s="1"/>
  <c r="E73" i="95" s="1"/>
  <c r="I69" i="96"/>
  <c r="H71" i="95"/>
  <c r="I70" i="95"/>
  <c r="H73" i="83"/>
  <c r="G72" i="83"/>
  <c r="G73" i="83" s="1"/>
  <c r="J154" i="53"/>
  <c r="J155" i="53" s="1"/>
  <c r="I69" i="26"/>
  <c r="G72" i="88"/>
  <c r="G73" i="88" s="1"/>
  <c r="H72" i="88"/>
  <c r="F72" i="92"/>
  <c r="H71" i="89"/>
  <c r="D72" i="89"/>
  <c r="E72" i="89" s="1"/>
  <c r="E73" i="89" s="1"/>
  <c r="I154" i="59"/>
  <c r="J154" i="59" s="1"/>
  <c r="J155" i="59" s="1"/>
  <c r="J152" i="65"/>
  <c r="J150" i="79"/>
  <c r="J154" i="57"/>
  <c r="J155" i="57" s="1"/>
  <c r="E153" i="66"/>
  <c r="F153" i="66" s="1"/>
  <c r="I150" i="26"/>
  <c r="H150" i="26"/>
  <c r="E151" i="26"/>
  <c r="F151" i="26" s="1"/>
  <c r="B151" i="26"/>
  <c r="J152" i="61"/>
  <c r="G72" i="62"/>
  <c r="G73" i="62" s="1"/>
  <c r="H72" i="62"/>
  <c r="I69" i="87"/>
  <c r="B71" i="33"/>
  <c r="F71" i="33"/>
  <c r="H71" i="33" s="1"/>
  <c r="B69" i="13"/>
  <c r="F69" i="13"/>
  <c r="H69" i="13" s="1"/>
  <c r="F71" i="25"/>
  <c r="G71" i="25" s="1"/>
  <c r="B71" i="25"/>
  <c r="F70" i="26"/>
  <c r="H70" i="26" s="1"/>
  <c r="B70" i="26"/>
  <c r="I72" i="59"/>
  <c r="I73" i="59" s="1"/>
  <c r="H73" i="59"/>
  <c r="B70" i="87"/>
  <c r="F70" i="87"/>
  <c r="H70" i="87" s="1"/>
  <c r="D152" i="81"/>
  <c r="G151" i="81"/>
  <c r="G149" i="90"/>
  <c r="D150" i="90"/>
  <c r="G151" i="79"/>
  <c r="D152" i="79"/>
  <c r="G152" i="78"/>
  <c r="D153" i="78"/>
  <c r="G150" i="88"/>
  <c r="D151" i="88"/>
  <c r="D154" i="60"/>
  <c r="E154" i="60" s="1"/>
  <c r="E155" i="60" s="1"/>
  <c r="G153" i="60"/>
  <c r="I149" i="91"/>
  <c r="H149" i="91"/>
  <c r="J154" i="58"/>
  <c r="J155" i="58" s="1"/>
  <c r="I155" i="58"/>
  <c r="H149" i="89"/>
  <c r="I149" i="89"/>
  <c r="G150" i="85"/>
  <c r="D151" i="85"/>
  <c r="E150" i="91"/>
  <c r="F150" i="91" s="1"/>
  <c r="B150" i="91"/>
  <c r="B150" i="89"/>
  <c r="J151" i="67"/>
  <c r="G153" i="65"/>
  <c r="D154" i="65"/>
  <c r="E154" i="65" s="1"/>
  <c r="E155" i="65" s="1"/>
  <c r="J151" i="78"/>
  <c r="J154" i="72"/>
  <c r="J155" i="72" s="1"/>
  <c r="I155" i="72"/>
  <c r="D154" i="61"/>
  <c r="G153" i="61"/>
  <c r="H152" i="66"/>
  <c r="I152" i="66"/>
  <c r="F154" i="63"/>
  <c r="G154" i="63" s="1"/>
  <c r="G149" i="92"/>
  <c r="D150" i="92"/>
  <c r="J154" i="74"/>
  <c r="J155" i="74" s="1"/>
  <c r="I155" i="74"/>
  <c r="J153" i="63"/>
  <c r="J152" i="60"/>
  <c r="E150" i="89"/>
  <c r="F150" i="89" s="1"/>
  <c r="G149" i="87"/>
  <c r="D150" i="87"/>
  <c r="I149" i="93"/>
  <c r="H149" i="93"/>
  <c r="B151" i="83"/>
  <c r="B152" i="76"/>
  <c r="F152" i="76"/>
  <c r="B152" i="75"/>
  <c r="H148" i="13"/>
  <c r="I148" i="13"/>
  <c r="H151" i="77"/>
  <c r="I151" i="77"/>
  <c r="F152" i="77"/>
  <c r="B152" i="77"/>
  <c r="G150" i="95"/>
  <c r="D151" i="95"/>
  <c r="E151" i="95" s="1"/>
  <c r="G150" i="82"/>
  <c r="D151" i="82"/>
  <c r="E151" i="82" s="1"/>
  <c r="I150" i="80"/>
  <c r="H150" i="80"/>
  <c r="G149" i="96"/>
  <c r="D150" i="96"/>
  <c r="E150" i="96" s="1"/>
  <c r="I148" i="33"/>
  <c r="H148" i="33"/>
  <c r="E152" i="75"/>
  <c r="F152" i="75" s="1"/>
  <c r="E151" i="83"/>
  <c r="F151" i="83" s="1"/>
  <c r="I154" i="54"/>
  <c r="H154" i="54"/>
  <c r="H155" i="54" s="1"/>
  <c r="H151" i="76"/>
  <c r="I151" i="76"/>
  <c r="I151" i="75"/>
  <c r="H151" i="75"/>
  <c r="D153" i="67"/>
  <c r="G152" i="67"/>
  <c r="B150" i="93"/>
  <c r="F150" i="93"/>
  <c r="D151" i="94"/>
  <c r="G150" i="94"/>
  <c r="H150" i="83"/>
  <c r="I150" i="83"/>
  <c r="B151" i="80"/>
  <c r="F151" i="80"/>
  <c r="J154" i="55"/>
  <c r="J155" i="55" s="1"/>
  <c r="I155" i="55"/>
  <c r="B149" i="33"/>
  <c r="F149" i="33"/>
  <c r="B149" i="13"/>
  <c r="F149" i="13"/>
  <c r="G152" i="100" l="1"/>
  <c r="D153" i="100"/>
  <c r="D151" i="84"/>
  <c r="B151" i="84" s="1"/>
  <c r="D150" i="25"/>
  <c r="G149" i="25"/>
  <c r="J148" i="25"/>
  <c r="D150" i="99"/>
  <c r="G149" i="99"/>
  <c r="J152" i="68"/>
  <c r="B150" i="86"/>
  <c r="E150" i="86"/>
  <c r="F150" i="86" s="1"/>
  <c r="H149" i="84"/>
  <c r="B150" i="98"/>
  <c r="D151" i="97"/>
  <c r="G150" i="97"/>
  <c r="I149" i="98"/>
  <c r="H149" i="98"/>
  <c r="E150" i="98"/>
  <c r="F150" i="98" s="1"/>
  <c r="G153" i="68"/>
  <c r="D154" i="68"/>
  <c r="J153" i="64"/>
  <c r="E155" i="64"/>
  <c r="F154" i="64"/>
  <c r="G154" i="64" s="1"/>
  <c r="I71" i="95"/>
  <c r="I72" i="91"/>
  <c r="I73" i="91" s="1"/>
  <c r="H73" i="91"/>
  <c r="I72" i="94"/>
  <c r="I73" i="94" s="1"/>
  <c r="H73" i="94"/>
  <c r="I70" i="96"/>
  <c r="F72" i="95"/>
  <c r="G72" i="95" s="1"/>
  <c r="G73" i="95" s="1"/>
  <c r="B72" i="95"/>
  <c r="F72" i="81"/>
  <c r="F71" i="96"/>
  <c r="D72" i="96" s="1"/>
  <c r="B71" i="96"/>
  <c r="I155" i="59"/>
  <c r="G70" i="87"/>
  <c r="I70" i="87" s="1"/>
  <c r="G70" i="26"/>
  <c r="I70" i="26" s="1"/>
  <c r="H71" i="25"/>
  <c r="I71" i="25" s="1"/>
  <c r="I72" i="88"/>
  <c r="I73" i="88" s="1"/>
  <c r="H73" i="88"/>
  <c r="H72" i="92"/>
  <c r="G72" i="92"/>
  <c r="G73" i="92" s="1"/>
  <c r="B72" i="89"/>
  <c r="F72" i="89"/>
  <c r="G72" i="89" s="1"/>
  <c r="G73" i="89" s="1"/>
  <c r="I71" i="89"/>
  <c r="I72" i="83"/>
  <c r="I73" i="83" s="1"/>
  <c r="G153" i="66"/>
  <c r="D154" i="66"/>
  <c r="D152" i="26"/>
  <c r="B152" i="26" s="1"/>
  <c r="G151" i="26"/>
  <c r="J150" i="26"/>
  <c r="D70" i="13"/>
  <c r="D72" i="33"/>
  <c r="E72" i="33" s="1"/>
  <c r="E73" i="33" s="1"/>
  <c r="I72" i="62"/>
  <c r="I73" i="62" s="1"/>
  <c r="H73" i="62"/>
  <c r="D71" i="87"/>
  <c r="E71" i="87" s="1"/>
  <c r="D71" i="26"/>
  <c r="E71" i="26" s="1"/>
  <c r="D72" i="25"/>
  <c r="E72" i="25" s="1"/>
  <c r="E73" i="25" s="1"/>
  <c r="G69" i="13"/>
  <c r="I69" i="13" s="1"/>
  <c r="G71" i="33"/>
  <c r="I71" i="33" s="1"/>
  <c r="D151" i="91"/>
  <c r="G150" i="91"/>
  <c r="G150" i="89"/>
  <c r="D151" i="89"/>
  <c r="B151" i="89" s="1"/>
  <c r="E150" i="92"/>
  <c r="F150" i="92" s="1"/>
  <c r="B150" i="92"/>
  <c r="E152" i="81"/>
  <c r="F152" i="81" s="1"/>
  <c r="B152" i="81"/>
  <c r="E150" i="90"/>
  <c r="F150" i="90" s="1"/>
  <c r="B150" i="90"/>
  <c r="I154" i="63"/>
  <c r="H154" i="63"/>
  <c r="H155" i="63" s="1"/>
  <c r="I153" i="61"/>
  <c r="H153" i="61"/>
  <c r="B154" i="65"/>
  <c r="F154" i="65"/>
  <c r="G154" i="65" s="1"/>
  <c r="E151" i="85"/>
  <c r="F151" i="85" s="1"/>
  <c r="B151" i="85"/>
  <c r="H150" i="84"/>
  <c r="I150" i="84"/>
  <c r="H152" i="78"/>
  <c r="I152" i="78"/>
  <c r="H149" i="90"/>
  <c r="I149" i="90"/>
  <c r="B154" i="60"/>
  <c r="F154" i="60"/>
  <c r="G154" i="60" s="1"/>
  <c r="I150" i="88"/>
  <c r="H150" i="88"/>
  <c r="I151" i="79"/>
  <c r="H151" i="79"/>
  <c r="I149" i="92"/>
  <c r="H149" i="92"/>
  <c r="E153" i="78"/>
  <c r="F153" i="78" s="1"/>
  <c r="B153" i="78"/>
  <c r="J151" i="77"/>
  <c r="J152" i="66"/>
  <c r="E154" i="61"/>
  <c r="E155" i="61" s="1"/>
  <c r="B154" i="61"/>
  <c r="I153" i="65"/>
  <c r="H153" i="65"/>
  <c r="H150" i="85"/>
  <c r="I150" i="85"/>
  <c r="H153" i="60"/>
  <c r="I153" i="60"/>
  <c r="E151" i="88"/>
  <c r="F151" i="88" s="1"/>
  <c r="B151" i="88"/>
  <c r="E152" i="79"/>
  <c r="F152" i="79" s="1"/>
  <c r="B152" i="79"/>
  <c r="H151" i="81"/>
  <c r="I151" i="81"/>
  <c r="J148" i="33"/>
  <c r="J151" i="76"/>
  <c r="D152" i="83"/>
  <c r="E152" i="83" s="1"/>
  <c r="G151" i="83"/>
  <c r="D150" i="13"/>
  <c r="E150" i="13" s="1"/>
  <c r="G149" i="13"/>
  <c r="D152" i="80"/>
  <c r="E152" i="80" s="1"/>
  <c r="G151" i="80"/>
  <c r="I149" i="96"/>
  <c r="H149" i="96"/>
  <c r="B153" i="67"/>
  <c r="G152" i="76"/>
  <c r="D153" i="76"/>
  <c r="E153" i="76" s="1"/>
  <c r="I149" i="87"/>
  <c r="H149" i="87"/>
  <c r="B151" i="94"/>
  <c r="H152" i="67"/>
  <c r="I152" i="67"/>
  <c r="G152" i="75"/>
  <c r="D153" i="75"/>
  <c r="I150" i="94"/>
  <c r="H150" i="94"/>
  <c r="F151" i="82"/>
  <c r="B151" i="82"/>
  <c r="F151" i="95"/>
  <c r="B151" i="95"/>
  <c r="G152" i="77"/>
  <c r="D153" i="77"/>
  <c r="E153" i="77" s="1"/>
  <c r="G149" i="33"/>
  <c r="D150" i="33"/>
  <c r="B150" i="87"/>
  <c r="E151" i="94"/>
  <c r="F151" i="94" s="1"/>
  <c r="G150" i="93"/>
  <c r="D151" i="93"/>
  <c r="E151" i="93" s="1"/>
  <c r="E153" i="67"/>
  <c r="F153" i="67" s="1"/>
  <c r="J151" i="75"/>
  <c r="J154" i="54"/>
  <c r="J155" i="54" s="1"/>
  <c r="I155" i="54"/>
  <c r="B150" i="96"/>
  <c r="F150" i="96"/>
  <c r="I150" i="82"/>
  <c r="H150" i="82"/>
  <c r="I150" i="95"/>
  <c r="H150" i="95"/>
  <c r="E150" i="87"/>
  <c r="F150" i="87" s="1"/>
  <c r="E153" i="100" l="1"/>
  <c r="B153" i="100"/>
  <c r="F153" i="100"/>
  <c r="H152" i="100"/>
  <c r="I152" i="100"/>
  <c r="E151" i="84"/>
  <c r="F151" i="84" s="1"/>
  <c r="G151" i="84" s="1"/>
  <c r="H149" i="25"/>
  <c r="I149" i="25"/>
  <c r="E150" i="25"/>
  <c r="F150" i="25" s="1"/>
  <c r="B150" i="25"/>
  <c r="H149" i="99"/>
  <c r="I149" i="99"/>
  <c r="E150" i="99"/>
  <c r="F150" i="99" s="1"/>
  <c r="B150" i="99"/>
  <c r="D151" i="86"/>
  <c r="G150" i="86"/>
  <c r="D151" i="98"/>
  <c r="G150" i="98"/>
  <c r="I150" i="97"/>
  <c r="H150" i="97"/>
  <c r="E151" i="97"/>
  <c r="F151" i="97" s="1"/>
  <c r="B151" i="97"/>
  <c r="E154" i="68"/>
  <c r="B154" i="68"/>
  <c r="H153" i="68"/>
  <c r="I153" i="68"/>
  <c r="H154" i="64"/>
  <c r="H155" i="64" s="1"/>
  <c r="I154" i="64"/>
  <c r="H71" i="96"/>
  <c r="E72" i="96"/>
  <c r="E73" i="96" s="1"/>
  <c r="B72" i="96"/>
  <c r="G71" i="96"/>
  <c r="H72" i="81"/>
  <c r="G72" i="81"/>
  <c r="G73" i="81" s="1"/>
  <c r="H72" i="95"/>
  <c r="H72" i="89"/>
  <c r="I72" i="92"/>
  <c r="I73" i="92" s="1"/>
  <c r="H73" i="92"/>
  <c r="E154" i="66"/>
  <c r="E155" i="66" s="1"/>
  <c r="B154" i="66"/>
  <c r="E152" i="26"/>
  <c r="F152" i="26" s="1"/>
  <c r="I153" i="66"/>
  <c r="H153" i="66"/>
  <c r="F154" i="61"/>
  <c r="G154" i="61" s="1"/>
  <c r="H154" i="61" s="1"/>
  <c r="H155" i="61" s="1"/>
  <c r="I151" i="26"/>
  <c r="H151" i="26"/>
  <c r="J152" i="78"/>
  <c r="B70" i="13"/>
  <c r="B72" i="25"/>
  <c r="F72" i="25"/>
  <c r="H72" i="25" s="1"/>
  <c r="F71" i="87"/>
  <c r="H71" i="87" s="1"/>
  <c r="B71" i="87"/>
  <c r="E70" i="13"/>
  <c r="F70" i="13" s="1"/>
  <c r="F72" i="33"/>
  <c r="H72" i="33" s="1"/>
  <c r="B72" i="33"/>
  <c r="B71" i="26"/>
  <c r="F71" i="26"/>
  <c r="D152" i="88"/>
  <c r="G151" i="88"/>
  <c r="G150" i="90"/>
  <c r="D151" i="90"/>
  <c r="B151" i="90" s="1"/>
  <c r="G151" i="85"/>
  <c r="D152" i="85"/>
  <c r="I155" i="63"/>
  <c r="J154" i="63"/>
  <c r="J155" i="63" s="1"/>
  <c r="J151" i="79"/>
  <c r="D153" i="81"/>
  <c r="B153" i="81" s="1"/>
  <c r="G152" i="81"/>
  <c r="I150" i="89"/>
  <c r="H150" i="89"/>
  <c r="G153" i="78"/>
  <c r="D154" i="78"/>
  <c r="E154" i="78" s="1"/>
  <c r="E155" i="78" s="1"/>
  <c r="H154" i="60"/>
  <c r="H155" i="60" s="1"/>
  <c r="I154" i="60"/>
  <c r="D151" i="92"/>
  <c r="G150" i="92"/>
  <c r="J153" i="60"/>
  <c r="J153" i="61"/>
  <c r="H150" i="91"/>
  <c r="I150" i="91"/>
  <c r="D153" i="79"/>
  <c r="B153" i="79" s="1"/>
  <c r="G152" i="79"/>
  <c r="J153" i="65"/>
  <c r="H154" i="65"/>
  <c r="H155" i="65" s="1"/>
  <c r="I154" i="65"/>
  <c r="I155" i="65" s="1"/>
  <c r="E151" i="89"/>
  <c r="F151" i="89" s="1"/>
  <c r="E151" i="91"/>
  <c r="F151" i="91" s="1"/>
  <c r="B151" i="91"/>
  <c r="D151" i="87"/>
  <c r="E151" i="87" s="1"/>
  <c r="G150" i="87"/>
  <c r="D154" i="67"/>
  <c r="G153" i="67"/>
  <c r="D152" i="94"/>
  <c r="G151" i="94"/>
  <c r="B153" i="75"/>
  <c r="I152" i="76"/>
  <c r="H152" i="76"/>
  <c r="H149" i="13"/>
  <c r="I149" i="13"/>
  <c r="I149" i="33"/>
  <c r="H149" i="33"/>
  <c r="B153" i="77"/>
  <c r="F153" i="77"/>
  <c r="E153" i="75"/>
  <c r="F153" i="75" s="1"/>
  <c r="H151" i="83"/>
  <c r="I151" i="83"/>
  <c r="G150" i="96"/>
  <c r="D151" i="96"/>
  <c r="B151" i="93"/>
  <c r="F151" i="93"/>
  <c r="H152" i="77"/>
  <c r="I152" i="77"/>
  <c r="D152" i="82"/>
  <c r="E152" i="82" s="1"/>
  <c r="G151" i="82"/>
  <c r="H152" i="75"/>
  <c r="I152" i="75"/>
  <c r="H151" i="80"/>
  <c r="I151" i="80"/>
  <c r="F150" i="13"/>
  <c r="B150" i="13"/>
  <c r="B150" i="33"/>
  <c r="D152" i="95"/>
  <c r="G151" i="95"/>
  <c r="I150" i="93"/>
  <c r="H150" i="93"/>
  <c r="E150" i="33"/>
  <c r="F150" i="33" s="1"/>
  <c r="J152" i="67"/>
  <c r="B153" i="76"/>
  <c r="F153" i="76"/>
  <c r="B152" i="80"/>
  <c r="F152" i="80"/>
  <c r="F152" i="83"/>
  <c r="B152" i="83"/>
  <c r="D152" i="84" l="1"/>
  <c r="D154" i="100"/>
  <c r="G153" i="100"/>
  <c r="J149" i="25"/>
  <c r="G150" i="25"/>
  <c r="D151" i="25"/>
  <c r="D151" i="99"/>
  <c r="G150" i="99"/>
  <c r="G71" i="87"/>
  <c r="I71" i="87" s="1"/>
  <c r="I150" i="86"/>
  <c r="H150" i="86"/>
  <c r="B151" i="86"/>
  <c r="E151" i="86"/>
  <c r="F151" i="86" s="1"/>
  <c r="J153" i="68"/>
  <c r="G151" i="97"/>
  <c r="D152" i="97"/>
  <c r="H150" i="98"/>
  <c r="I150" i="98"/>
  <c r="E151" i="98"/>
  <c r="F151" i="98" s="1"/>
  <c r="B151" i="98"/>
  <c r="E155" i="68"/>
  <c r="F154" i="68"/>
  <c r="G154" i="68" s="1"/>
  <c r="I155" i="64"/>
  <c r="J154" i="64"/>
  <c r="J155" i="64" s="1"/>
  <c r="F72" i="96"/>
  <c r="G72" i="96" s="1"/>
  <c r="G73" i="96" s="1"/>
  <c r="I72" i="81"/>
  <c r="I73" i="81" s="1"/>
  <c r="H73" i="81"/>
  <c r="G72" i="33"/>
  <c r="G73" i="33" s="1"/>
  <c r="H73" i="95"/>
  <c r="I72" i="95"/>
  <c r="I73" i="95" s="1"/>
  <c r="I71" i="96"/>
  <c r="G72" i="25"/>
  <c r="G73" i="25" s="1"/>
  <c r="I72" i="89"/>
  <c r="I73" i="89" s="1"/>
  <c r="H73" i="89"/>
  <c r="I154" i="61"/>
  <c r="I155" i="61" s="1"/>
  <c r="F154" i="66"/>
  <c r="G154" i="66" s="1"/>
  <c r="I154" i="66" s="1"/>
  <c r="J153" i="66"/>
  <c r="G152" i="26"/>
  <c r="D153" i="26"/>
  <c r="J151" i="26"/>
  <c r="H73" i="25"/>
  <c r="H73" i="33"/>
  <c r="D71" i="13"/>
  <c r="H70" i="13"/>
  <c r="G70" i="13"/>
  <c r="E153" i="79"/>
  <c r="F153" i="79" s="1"/>
  <c r="G153" i="79" s="1"/>
  <c r="E151" i="90"/>
  <c r="F151" i="90" s="1"/>
  <c r="G151" i="90" s="1"/>
  <c r="D72" i="26"/>
  <c r="G71" i="26"/>
  <c r="H71" i="26"/>
  <c r="D72" i="87"/>
  <c r="G151" i="91"/>
  <c r="D152" i="91"/>
  <c r="H152" i="79"/>
  <c r="I152" i="79"/>
  <c r="E151" i="92"/>
  <c r="F151" i="92" s="1"/>
  <c r="B151" i="92"/>
  <c r="E152" i="84"/>
  <c r="F152" i="84" s="1"/>
  <c r="B152" i="84"/>
  <c r="G151" i="89"/>
  <c r="D152" i="89"/>
  <c r="J154" i="60"/>
  <c r="J155" i="60" s="1"/>
  <c r="I155" i="60"/>
  <c r="H153" i="78"/>
  <c r="I153" i="78"/>
  <c r="H151" i="85"/>
  <c r="I151" i="85"/>
  <c r="H151" i="88"/>
  <c r="I151" i="88"/>
  <c r="I150" i="92"/>
  <c r="H150" i="92"/>
  <c r="I152" i="81"/>
  <c r="H152" i="81"/>
  <c r="I151" i="84"/>
  <c r="H151" i="84"/>
  <c r="B154" i="78"/>
  <c r="F154" i="78"/>
  <c r="G154" i="78" s="1"/>
  <c r="E152" i="85"/>
  <c r="F152" i="85" s="1"/>
  <c r="B152" i="85"/>
  <c r="J154" i="65"/>
  <c r="J155" i="65" s="1"/>
  <c r="E153" i="81"/>
  <c r="F153" i="81" s="1"/>
  <c r="H150" i="90"/>
  <c r="I150" i="90"/>
  <c r="E152" i="88"/>
  <c r="F152" i="88" s="1"/>
  <c r="B152" i="88"/>
  <c r="J149" i="33"/>
  <c r="J152" i="75"/>
  <c r="D151" i="33"/>
  <c r="G150" i="33"/>
  <c r="D154" i="75"/>
  <c r="E154" i="75" s="1"/>
  <c r="E155" i="75" s="1"/>
  <c r="G153" i="75"/>
  <c r="B154" i="67"/>
  <c r="D153" i="83"/>
  <c r="G152" i="83"/>
  <c r="G152" i="80"/>
  <c r="D153" i="80"/>
  <c r="B152" i="82"/>
  <c r="F152" i="82"/>
  <c r="H150" i="96"/>
  <c r="I150" i="96"/>
  <c r="G153" i="77"/>
  <c r="D154" i="77"/>
  <c r="E154" i="77" s="1"/>
  <c r="E155" i="77" s="1"/>
  <c r="J152" i="76"/>
  <c r="B152" i="94"/>
  <c r="B152" i="95"/>
  <c r="B151" i="96"/>
  <c r="D154" i="76"/>
  <c r="E154" i="76" s="1"/>
  <c r="E155" i="76" s="1"/>
  <c r="G153" i="76"/>
  <c r="H151" i="95"/>
  <c r="I151" i="95"/>
  <c r="J152" i="77"/>
  <c r="G151" i="93"/>
  <c r="D152" i="93"/>
  <c r="E152" i="93" s="1"/>
  <c r="E151" i="96"/>
  <c r="F151" i="96" s="1"/>
  <c r="E154" i="67"/>
  <c r="E155" i="67" s="1"/>
  <c r="H150" i="87"/>
  <c r="I150" i="87"/>
  <c r="G150" i="13"/>
  <c r="D151" i="13"/>
  <c r="E151" i="13" s="1"/>
  <c r="I151" i="82"/>
  <c r="H151" i="82"/>
  <c r="I151" i="94"/>
  <c r="H151" i="94"/>
  <c r="E152" i="95"/>
  <c r="F152" i="95" s="1"/>
  <c r="E152" i="94"/>
  <c r="F152" i="94" s="1"/>
  <c r="H153" i="67"/>
  <c r="I153" i="67"/>
  <c r="F151" i="87"/>
  <c r="B151" i="87"/>
  <c r="H153" i="100" l="1"/>
  <c r="I153" i="100"/>
  <c r="E154" i="100"/>
  <c r="E155" i="100" s="1"/>
  <c r="B154" i="100"/>
  <c r="F154" i="100"/>
  <c r="G154" i="100" s="1"/>
  <c r="B151" i="25"/>
  <c r="E151" i="25"/>
  <c r="F151" i="25" s="1"/>
  <c r="I150" i="25"/>
  <c r="H150" i="25"/>
  <c r="I150" i="99"/>
  <c r="H150" i="99"/>
  <c r="E151" i="99"/>
  <c r="F151" i="99" s="1"/>
  <c r="B151" i="99"/>
  <c r="I72" i="33"/>
  <c r="I73" i="33" s="1"/>
  <c r="I72" i="25"/>
  <c r="I73" i="25" s="1"/>
  <c r="G151" i="86"/>
  <c r="D152" i="86"/>
  <c r="B152" i="86" s="1"/>
  <c r="H72" i="96"/>
  <c r="J154" i="61"/>
  <c r="J155" i="61" s="1"/>
  <c r="G151" i="98"/>
  <c r="D152" i="98"/>
  <c r="E152" i="97"/>
  <c r="F152" i="97" s="1"/>
  <c r="B152" i="97"/>
  <c r="I151" i="97"/>
  <c r="H151" i="97"/>
  <c r="H154" i="68"/>
  <c r="H155" i="68" s="1"/>
  <c r="I154" i="68"/>
  <c r="I71" i="26"/>
  <c r="I70" i="13"/>
  <c r="D154" i="79"/>
  <c r="E154" i="79" s="1"/>
  <c r="E155" i="79" s="1"/>
  <c r="H154" i="66"/>
  <c r="H155" i="66" s="1"/>
  <c r="H152" i="26"/>
  <c r="I152" i="26"/>
  <c r="D152" i="90"/>
  <c r="E152" i="90" s="1"/>
  <c r="F152" i="90" s="1"/>
  <c r="I155" i="66"/>
  <c r="B153" i="26"/>
  <c r="E153" i="26"/>
  <c r="F153" i="26" s="1"/>
  <c r="B72" i="87"/>
  <c r="B72" i="26"/>
  <c r="E72" i="26"/>
  <c r="E73" i="26" s="1"/>
  <c r="B71" i="13"/>
  <c r="E72" i="87"/>
  <c r="E73" i="87" s="1"/>
  <c r="E71" i="13"/>
  <c r="F71" i="13" s="1"/>
  <c r="G152" i="85"/>
  <c r="D153" i="85"/>
  <c r="G152" i="84"/>
  <c r="D153" i="84"/>
  <c r="B153" i="84" s="1"/>
  <c r="G152" i="88"/>
  <c r="D153" i="88"/>
  <c r="B153" i="88" s="1"/>
  <c r="G153" i="81"/>
  <c r="D154" i="81"/>
  <c r="H151" i="90"/>
  <c r="I151" i="90"/>
  <c r="H154" i="78"/>
  <c r="H155" i="78" s="1"/>
  <c r="I154" i="78"/>
  <c r="I155" i="78" s="1"/>
  <c r="H151" i="89"/>
  <c r="I151" i="89"/>
  <c r="J153" i="78"/>
  <c r="D152" i="92"/>
  <c r="G151" i="92"/>
  <c r="E152" i="91"/>
  <c r="F152" i="91" s="1"/>
  <c r="B152" i="91"/>
  <c r="E152" i="89"/>
  <c r="F152" i="89" s="1"/>
  <c r="B152" i="89"/>
  <c r="J152" i="79"/>
  <c r="I153" i="79"/>
  <c r="H153" i="79"/>
  <c r="I151" i="91"/>
  <c r="H151" i="91"/>
  <c r="D152" i="96"/>
  <c r="G151" i="96"/>
  <c r="G152" i="94"/>
  <c r="D153" i="94"/>
  <c r="E153" i="94" s="1"/>
  <c r="D153" i="95"/>
  <c r="E153" i="95" s="1"/>
  <c r="G152" i="95"/>
  <c r="D152" i="87"/>
  <c r="G151" i="87"/>
  <c r="B153" i="83"/>
  <c r="J153" i="67"/>
  <c r="F151" i="13"/>
  <c r="B151" i="13"/>
  <c r="H153" i="76"/>
  <c r="I153" i="76"/>
  <c r="F154" i="77"/>
  <c r="G154" i="77" s="1"/>
  <c r="B154" i="77"/>
  <c r="G152" i="82"/>
  <c r="D153" i="82"/>
  <c r="E153" i="82" s="1"/>
  <c r="I152" i="80"/>
  <c r="H152" i="80"/>
  <c r="F154" i="67"/>
  <c r="G154" i="67" s="1"/>
  <c r="I153" i="75"/>
  <c r="H153" i="75"/>
  <c r="H150" i="33"/>
  <c r="I150" i="33"/>
  <c r="B153" i="80"/>
  <c r="H150" i="13"/>
  <c r="I150" i="13"/>
  <c r="B152" i="93"/>
  <c r="F152" i="93"/>
  <c r="B154" i="76"/>
  <c r="F154" i="76"/>
  <c r="G154" i="76" s="1"/>
  <c r="H152" i="83"/>
  <c r="I152" i="83"/>
  <c r="B151" i="33"/>
  <c r="I151" i="93"/>
  <c r="H151" i="93"/>
  <c r="H153" i="77"/>
  <c r="I153" i="77"/>
  <c r="E153" i="80"/>
  <c r="F153" i="80" s="1"/>
  <c r="E153" i="83"/>
  <c r="F153" i="83" s="1"/>
  <c r="B154" i="75"/>
  <c r="F154" i="75"/>
  <c r="G154" i="75" s="1"/>
  <c r="E151" i="33"/>
  <c r="F151" i="33" s="1"/>
  <c r="H154" i="100" l="1"/>
  <c r="H155" i="100" s="1"/>
  <c r="I154" i="100"/>
  <c r="I155" i="100" s="1"/>
  <c r="J150" i="25"/>
  <c r="G151" i="25"/>
  <c r="D152" i="25"/>
  <c r="G151" i="99"/>
  <c r="D152" i="99"/>
  <c r="E152" i="86"/>
  <c r="F152" i="86" s="1"/>
  <c r="G152" i="86" s="1"/>
  <c r="I151" i="86"/>
  <c r="H151" i="86"/>
  <c r="I72" i="96"/>
  <c r="I73" i="96" s="1"/>
  <c r="H73" i="96"/>
  <c r="B152" i="90"/>
  <c r="G152" i="97"/>
  <c r="D153" i="97"/>
  <c r="E152" i="98"/>
  <c r="F152" i="98" s="1"/>
  <c r="B152" i="98"/>
  <c r="H151" i="98"/>
  <c r="I151" i="98"/>
  <c r="F154" i="79"/>
  <c r="G154" i="79" s="1"/>
  <c r="I154" i="79" s="1"/>
  <c r="I155" i="79" s="1"/>
  <c r="B154" i="79"/>
  <c r="J154" i="68"/>
  <c r="J155" i="68" s="1"/>
  <c r="I155" i="68"/>
  <c r="F72" i="26"/>
  <c r="J154" i="66"/>
  <c r="J155" i="66" s="1"/>
  <c r="J152" i="26"/>
  <c r="D154" i="26"/>
  <c r="G153" i="26"/>
  <c r="D72" i="13"/>
  <c r="E72" i="13" s="1"/>
  <c r="E73" i="13" s="1"/>
  <c r="G71" i="13"/>
  <c r="H71" i="13"/>
  <c r="J154" i="78"/>
  <c r="J155" i="78" s="1"/>
  <c r="E153" i="88"/>
  <c r="F153" i="88" s="1"/>
  <c r="D154" i="88" s="1"/>
  <c r="F72" i="87"/>
  <c r="D153" i="91"/>
  <c r="G152" i="91"/>
  <c r="H152" i="84"/>
  <c r="I152" i="84"/>
  <c r="J153" i="79"/>
  <c r="D153" i="89"/>
  <c r="G152" i="89"/>
  <c r="G152" i="90"/>
  <c r="D153" i="90"/>
  <c r="B153" i="90" s="1"/>
  <c r="E154" i="81"/>
  <c r="E155" i="81" s="1"/>
  <c r="B154" i="81"/>
  <c r="I152" i="88"/>
  <c r="H152" i="88"/>
  <c r="E153" i="85"/>
  <c r="F153" i="85" s="1"/>
  <c r="B153" i="85"/>
  <c r="E152" i="92"/>
  <c r="F152" i="92" s="1"/>
  <c r="B152" i="92"/>
  <c r="H151" i="92"/>
  <c r="I151" i="92"/>
  <c r="H153" i="81"/>
  <c r="I153" i="81"/>
  <c r="E153" i="84"/>
  <c r="F153" i="84" s="1"/>
  <c r="H152" i="85"/>
  <c r="I152" i="85"/>
  <c r="D152" i="33"/>
  <c r="E152" i="33" s="1"/>
  <c r="G151" i="33"/>
  <c r="G153" i="80"/>
  <c r="D154" i="80"/>
  <c r="E154" i="80" s="1"/>
  <c r="E155" i="80" s="1"/>
  <c r="G153" i="83"/>
  <c r="D154" i="83"/>
  <c r="E154" i="83" s="1"/>
  <c r="E155" i="83" s="1"/>
  <c r="G152" i="93"/>
  <c r="D153" i="93"/>
  <c r="E153" i="93" s="1"/>
  <c r="B152" i="87"/>
  <c r="B152" i="96"/>
  <c r="I154" i="75"/>
  <c r="H154" i="75"/>
  <c r="H155" i="75" s="1"/>
  <c r="J153" i="77"/>
  <c r="J153" i="75"/>
  <c r="I154" i="77"/>
  <c r="H154" i="77"/>
  <c r="H155" i="77" s="1"/>
  <c r="D152" i="13"/>
  <c r="E152" i="13" s="1"/>
  <c r="G151" i="13"/>
  <c r="I152" i="95"/>
  <c r="H152" i="95"/>
  <c r="H152" i="94"/>
  <c r="I152" i="94"/>
  <c r="I154" i="76"/>
  <c r="H154" i="76"/>
  <c r="H155" i="76" s="1"/>
  <c r="J150" i="33"/>
  <c r="I154" i="67"/>
  <c r="H154" i="67"/>
  <c r="H155" i="67" s="1"/>
  <c r="B153" i="82"/>
  <c r="F153" i="82"/>
  <c r="J153" i="76"/>
  <c r="E152" i="87"/>
  <c r="F152" i="87" s="1"/>
  <c r="H151" i="96"/>
  <c r="I151" i="96"/>
  <c r="H152" i="82"/>
  <c r="I152" i="82"/>
  <c r="I151" i="87"/>
  <c r="H151" i="87"/>
  <c r="B153" i="95"/>
  <c r="F153" i="95"/>
  <c r="B153" i="94"/>
  <c r="F153" i="94"/>
  <c r="E152" i="96"/>
  <c r="F152" i="96" s="1"/>
  <c r="I71" i="13" l="1"/>
  <c r="E152" i="25"/>
  <c r="B152" i="25"/>
  <c r="F152" i="25"/>
  <c r="H151" i="25"/>
  <c r="I151" i="25"/>
  <c r="B152" i="99"/>
  <c r="E152" i="99"/>
  <c r="F152" i="99" s="1"/>
  <c r="D153" i="86"/>
  <c r="B153" i="86" s="1"/>
  <c r="I151" i="99"/>
  <c r="H151" i="99"/>
  <c r="H152" i="86"/>
  <c r="I152" i="86"/>
  <c r="G153" i="88"/>
  <c r="I153" i="88" s="1"/>
  <c r="D153" i="98"/>
  <c r="G152" i="98"/>
  <c r="E153" i="97"/>
  <c r="F153" i="97" s="1"/>
  <c r="B153" i="97"/>
  <c r="I152" i="97"/>
  <c r="H152" i="97"/>
  <c r="H154" i="79"/>
  <c r="H155" i="79" s="1"/>
  <c r="G72" i="26"/>
  <c r="G73" i="26" s="1"/>
  <c r="H72" i="26"/>
  <c r="E153" i="90"/>
  <c r="F153" i="90" s="1"/>
  <c r="F154" i="81"/>
  <c r="G154" i="81" s="1"/>
  <c r="H154" i="81" s="1"/>
  <c r="H155" i="81" s="1"/>
  <c r="H153" i="26"/>
  <c r="I153" i="26"/>
  <c r="B154" i="26"/>
  <c r="E154" i="26"/>
  <c r="H72" i="87"/>
  <c r="G72" i="87"/>
  <c r="G73" i="87" s="1"/>
  <c r="F72" i="13"/>
  <c r="G72" i="13" s="1"/>
  <c r="G73" i="13" s="1"/>
  <c r="B72" i="13"/>
  <c r="D154" i="85"/>
  <c r="E154" i="85" s="1"/>
  <c r="E155" i="85" s="1"/>
  <c r="G153" i="85"/>
  <c r="B154" i="88"/>
  <c r="G152" i="92"/>
  <c r="D153" i="92"/>
  <c r="E154" i="88"/>
  <c r="E155" i="88" s="1"/>
  <c r="I152" i="90"/>
  <c r="H152" i="90"/>
  <c r="I152" i="91"/>
  <c r="H152" i="91"/>
  <c r="E153" i="89"/>
  <c r="F153" i="89" s="1"/>
  <c r="B153" i="89"/>
  <c r="D154" i="84"/>
  <c r="G153" i="84"/>
  <c r="I152" i="89"/>
  <c r="H152" i="89"/>
  <c r="E153" i="91"/>
  <c r="F153" i="91" s="1"/>
  <c r="B153" i="91"/>
  <c r="D153" i="87"/>
  <c r="E153" i="87" s="1"/>
  <c r="G152" i="87"/>
  <c r="D153" i="96"/>
  <c r="G152" i="96"/>
  <c r="D154" i="95"/>
  <c r="E154" i="95" s="1"/>
  <c r="E155" i="95" s="1"/>
  <c r="G153" i="95"/>
  <c r="J154" i="76"/>
  <c r="J155" i="76" s="1"/>
  <c r="I155" i="76"/>
  <c r="B152" i="13"/>
  <c r="F152" i="13"/>
  <c r="J154" i="75"/>
  <c r="J155" i="75" s="1"/>
  <c r="I155" i="75"/>
  <c r="I153" i="80"/>
  <c r="H153" i="80"/>
  <c r="J154" i="67"/>
  <c r="J155" i="67" s="1"/>
  <c r="I155" i="67"/>
  <c r="B153" i="93"/>
  <c r="F153" i="93"/>
  <c r="H151" i="33"/>
  <c r="I151" i="33"/>
  <c r="H153" i="83"/>
  <c r="I153" i="83"/>
  <c r="G153" i="94"/>
  <c r="D154" i="94"/>
  <c r="E154" i="94" s="1"/>
  <c r="E155" i="94" s="1"/>
  <c r="G153" i="82"/>
  <c r="D154" i="82"/>
  <c r="E154" i="82" s="1"/>
  <c r="E155" i="82" s="1"/>
  <c r="I151" i="13"/>
  <c r="H151" i="13"/>
  <c r="J154" i="77"/>
  <c r="J155" i="77" s="1"/>
  <c r="I155" i="77"/>
  <c r="I152" i="93"/>
  <c r="H152" i="93"/>
  <c r="F154" i="83"/>
  <c r="G154" i="83" s="1"/>
  <c r="B154" i="83"/>
  <c r="F154" i="80"/>
  <c r="G154" i="80" s="1"/>
  <c r="B154" i="80"/>
  <c r="B152" i="33"/>
  <c r="F152" i="33"/>
  <c r="G152" i="25" l="1"/>
  <c r="D153" i="25"/>
  <c r="J151" i="25"/>
  <c r="H153" i="88"/>
  <c r="G152" i="99"/>
  <c r="D153" i="99"/>
  <c r="E153" i="86"/>
  <c r="F153" i="86" s="1"/>
  <c r="J154" i="79"/>
  <c r="J155" i="79" s="1"/>
  <c r="G153" i="97"/>
  <c r="D154" i="97"/>
  <c r="I152" i="98"/>
  <c r="H152" i="98"/>
  <c r="E153" i="98"/>
  <c r="F153" i="98" s="1"/>
  <c r="B153" i="98"/>
  <c r="I154" i="81"/>
  <c r="I155" i="81" s="1"/>
  <c r="H72" i="13"/>
  <c r="I72" i="13" s="1"/>
  <c r="I73" i="13" s="1"/>
  <c r="I72" i="26"/>
  <c r="I73" i="26" s="1"/>
  <c r="H73" i="26"/>
  <c r="D154" i="90"/>
  <c r="E154" i="90" s="1"/>
  <c r="E155" i="90" s="1"/>
  <c r="G153" i="90"/>
  <c r="H153" i="90" s="1"/>
  <c r="J153" i="26"/>
  <c r="J151" i="33"/>
  <c r="E155" i="26"/>
  <c r="F154" i="26"/>
  <c r="G154" i="26" s="1"/>
  <c r="F154" i="88"/>
  <c r="G154" i="88" s="1"/>
  <c r="H154" i="88" s="1"/>
  <c r="I72" i="87"/>
  <c r="I73" i="87" s="1"/>
  <c r="H73" i="87"/>
  <c r="D154" i="91"/>
  <c r="E154" i="91" s="1"/>
  <c r="E155" i="91" s="1"/>
  <c r="G153" i="91"/>
  <c r="D154" i="89"/>
  <c r="G153" i="89"/>
  <c r="H152" i="92"/>
  <c r="I152" i="92"/>
  <c r="I153" i="84"/>
  <c r="H153" i="84"/>
  <c r="H153" i="85"/>
  <c r="I153" i="85"/>
  <c r="E153" i="92"/>
  <c r="F153" i="92" s="1"/>
  <c r="B153" i="92"/>
  <c r="E154" i="84"/>
  <c r="E155" i="84" s="1"/>
  <c r="B154" i="84"/>
  <c r="B154" i="85"/>
  <c r="F154" i="85"/>
  <c r="G154" i="85" s="1"/>
  <c r="B154" i="82"/>
  <c r="F154" i="82"/>
  <c r="G154" i="82" s="1"/>
  <c r="I153" i="95"/>
  <c r="H153" i="95"/>
  <c r="B153" i="96"/>
  <c r="H154" i="80"/>
  <c r="H155" i="80" s="1"/>
  <c r="I154" i="80"/>
  <c r="I155" i="80" s="1"/>
  <c r="D153" i="33"/>
  <c r="G152" i="33"/>
  <c r="I153" i="82"/>
  <c r="H153" i="82"/>
  <c r="B154" i="94"/>
  <c r="F154" i="94"/>
  <c r="G154" i="94" s="1"/>
  <c r="D154" i="93"/>
  <c r="E154" i="93" s="1"/>
  <c r="E155" i="93" s="1"/>
  <c r="G153" i="93"/>
  <c r="G152" i="13"/>
  <c r="D153" i="13"/>
  <c r="E153" i="13" s="1"/>
  <c r="H152" i="96"/>
  <c r="I152" i="96"/>
  <c r="I152" i="87"/>
  <c r="H152" i="87"/>
  <c r="I154" i="83"/>
  <c r="I155" i="83" s="1"/>
  <c r="H154" i="83"/>
  <c r="H155" i="83" s="1"/>
  <c r="H153" i="94"/>
  <c r="I153" i="94"/>
  <c r="B154" i="95"/>
  <c r="F154" i="95"/>
  <c r="G154" i="95" s="1"/>
  <c r="E153" i="96"/>
  <c r="F153" i="96" s="1"/>
  <c r="F153" i="87"/>
  <c r="B153" i="87"/>
  <c r="H155" i="88" l="1"/>
  <c r="E153" i="25"/>
  <c r="F153" i="25" s="1"/>
  <c r="B153" i="25"/>
  <c r="H152" i="25"/>
  <c r="I152" i="25"/>
  <c r="I153" i="90"/>
  <c r="H73" i="13"/>
  <c r="G153" i="86"/>
  <c r="H153" i="86" s="1"/>
  <c r="D154" i="86"/>
  <c r="E154" i="86" s="1"/>
  <c r="E155" i="86" s="1"/>
  <c r="B153" i="99"/>
  <c r="E153" i="99"/>
  <c r="F153" i="99" s="1"/>
  <c r="I152" i="99"/>
  <c r="H152" i="99"/>
  <c r="G153" i="98"/>
  <c r="D154" i="98"/>
  <c r="E154" i="97"/>
  <c r="E155" i="97" s="1"/>
  <c r="B154" i="97"/>
  <c r="H153" i="97"/>
  <c r="I153" i="97"/>
  <c r="B154" i="90"/>
  <c r="I154" i="88"/>
  <c r="I155" i="88" s="1"/>
  <c r="I154" i="26"/>
  <c r="H154" i="26"/>
  <c r="H155" i="26" s="1"/>
  <c r="F154" i="84"/>
  <c r="G154" i="84" s="1"/>
  <c r="I154" i="84" s="1"/>
  <c r="I155" i="84" s="1"/>
  <c r="G153" i="92"/>
  <c r="D154" i="92"/>
  <c r="E154" i="92" s="1"/>
  <c r="E155" i="92" s="1"/>
  <c r="B154" i="89"/>
  <c r="I154" i="85"/>
  <c r="I155" i="85" s="1"/>
  <c r="H154" i="85"/>
  <c r="H155" i="85" s="1"/>
  <c r="E154" i="89"/>
  <c r="E155" i="89" s="1"/>
  <c r="H153" i="91"/>
  <c r="I153" i="91"/>
  <c r="F154" i="90"/>
  <c r="G154" i="90" s="1"/>
  <c r="H153" i="89"/>
  <c r="I153" i="89"/>
  <c r="B154" i="91"/>
  <c r="F154" i="91"/>
  <c r="G154" i="91" s="1"/>
  <c r="G153" i="96"/>
  <c r="D154" i="96"/>
  <c r="I154" i="94"/>
  <c r="I155" i="94" s="1"/>
  <c r="H154" i="94"/>
  <c r="H155" i="94" s="1"/>
  <c r="I152" i="33"/>
  <c r="H152" i="33"/>
  <c r="H154" i="95"/>
  <c r="H155" i="95" s="1"/>
  <c r="I154" i="95"/>
  <c r="I155" i="95" s="1"/>
  <c r="H153" i="93"/>
  <c r="I153" i="93"/>
  <c r="B153" i="33"/>
  <c r="B153" i="13"/>
  <c r="F153" i="13"/>
  <c r="B154" i="93"/>
  <c r="F154" i="93"/>
  <c r="G154" i="93" s="1"/>
  <c r="H154" i="82"/>
  <c r="H155" i="82" s="1"/>
  <c r="I154" i="82"/>
  <c r="I155" i="82" s="1"/>
  <c r="D154" i="87"/>
  <c r="G153" i="87"/>
  <c r="I152" i="13"/>
  <c r="H152" i="13"/>
  <c r="E153" i="33"/>
  <c r="F153" i="33" s="1"/>
  <c r="G153" i="25" l="1"/>
  <c r="D154" i="25"/>
  <c r="J152" i="25"/>
  <c r="I153" i="86"/>
  <c r="B154" i="86"/>
  <c r="G153" i="99"/>
  <c r="D154" i="99"/>
  <c r="F154" i="86"/>
  <c r="G154" i="86" s="1"/>
  <c r="H154" i="86" s="1"/>
  <c r="H155" i="86" s="1"/>
  <c r="F154" i="97"/>
  <c r="G154" i="97" s="1"/>
  <c r="I154" i="97" s="1"/>
  <c r="I155" i="97" s="1"/>
  <c r="E154" i="98"/>
  <c r="E155" i="98" s="1"/>
  <c r="B154" i="98"/>
  <c r="H153" i="98"/>
  <c r="I153" i="98"/>
  <c r="H154" i="84"/>
  <c r="H155" i="84" s="1"/>
  <c r="J154" i="26"/>
  <c r="J155" i="26" s="1"/>
  <c r="I155" i="26"/>
  <c r="F154" i="89"/>
  <c r="G154" i="89" s="1"/>
  <c r="I154" i="89" s="1"/>
  <c r="I155" i="89" s="1"/>
  <c r="B154" i="92"/>
  <c r="F154" i="92"/>
  <c r="G154" i="92" s="1"/>
  <c r="H154" i="91"/>
  <c r="H155" i="91" s="1"/>
  <c r="I154" i="91"/>
  <c r="I155" i="91" s="1"/>
  <c r="I154" i="90"/>
  <c r="I155" i="90" s="1"/>
  <c r="H154" i="90"/>
  <c r="H155" i="90" s="1"/>
  <c r="I153" i="92"/>
  <c r="H153" i="92"/>
  <c r="D154" i="33"/>
  <c r="E154" i="33" s="1"/>
  <c r="E155" i="33" s="1"/>
  <c r="G153" i="33"/>
  <c r="H154" i="93"/>
  <c r="H155" i="93" s="1"/>
  <c r="I154" i="93"/>
  <c r="I155" i="93" s="1"/>
  <c r="B154" i="96"/>
  <c r="B154" i="87"/>
  <c r="E154" i="87"/>
  <c r="E155" i="87" s="1"/>
  <c r="J152" i="33"/>
  <c r="E154" i="96"/>
  <c r="E155" i="96" s="1"/>
  <c r="H153" i="87"/>
  <c r="I153" i="87"/>
  <c r="G153" i="13"/>
  <c r="D154" i="13"/>
  <c r="I153" i="96"/>
  <c r="H153" i="96"/>
  <c r="E154" i="25" l="1"/>
  <c r="E155" i="25" s="1"/>
  <c r="B154" i="25"/>
  <c r="I153" i="25"/>
  <c r="H153" i="25"/>
  <c r="I154" i="86"/>
  <c r="I155" i="86" s="1"/>
  <c r="H154" i="97"/>
  <c r="H155" i="97" s="1"/>
  <c r="E154" i="99"/>
  <c r="E155" i="99" s="1"/>
  <c r="B154" i="99"/>
  <c r="I153" i="99"/>
  <c r="H153" i="99"/>
  <c r="F154" i="98"/>
  <c r="G154" i="98" s="1"/>
  <c r="H154" i="89"/>
  <c r="H155" i="89" s="1"/>
  <c r="H154" i="92"/>
  <c r="H155" i="92" s="1"/>
  <c r="I154" i="92"/>
  <c r="I155" i="92" s="1"/>
  <c r="F154" i="96"/>
  <c r="G154" i="96" s="1"/>
  <c r="H154" i="96" s="1"/>
  <c r="H155" i="96" s="1"/>
  <c r="B154" i="13"/>
  <c r="F154" i="87"/>
  <c r="G154" i="87" s="1"/>
  <c r="E154" i="13"/>
  <c r="E155" i="13" s="1"/>
  <c r="H153" i="33"/>
  <c r="I153" i="33"/>
  <c r="I153" i="13"/>
  <c r="H153" i="13"/>
  <c r="F154" i="33"/>
  <c r="G154" i="33" s="1"/>
  <c r="B154" i="33"/>
  <c r="J153" i="25" l="1"/>
  <c r="F154" i="25"/>
  <c r="G154" i="25" s="1"/>
  <c r="I154" i="25" s="1"/>
  <c r="F154" i="99"/>
  <c r="G154" i="99" s="1"/>
  <c r="I154" i="99" s="1"/>
  <c r="I155" i="99" s="1"/>
  <c r="H154" i="98"/>
  <c r="H155" i="98" s="1"/>
  <c r="I154" i="98"/>
  <c r="I155" i="98" s="1"/>
  <c r="I154" i="96"/>
  <c r="I155" i="96" s="1"/>
  <c r="J153" i="33"/>
  <c r="H154" i="87"/>
  <c r="H155" i="87" s="1"/>
  <c r="I154" i="87"/>
  <c r="I155" i="87" s="1"/>
  <c r="H154" i="33"/>
  <c r="H155" i="33" s="1"/>
  <c r="I154" i="33"/>
  <c r="F154" i="13"/>
  <c r="G154" i="13" s="1"/>
  <c r="H154" i="25" l="1"/>
  <c r="H155" i="25" s="1"/>
  <c r="H154" i="99"/>
  <c r="H155" i="99" s="1"/>
  <c r="I155" i="25"/>
  <c r="J154" i="33"/>
  <c r="J155" i="33" s="1"/>
  <c r="I155" i="33"/>
  <c r="I154" i="13"/>
  <c r="I155" i="13" s="1"/>
  <c r="H154" i="13"/>
  <c r="H155" i="13" s="1"/>
  <c r="J154" i="25" l="1"/>
  <c r="J155" i="25" s="1"/>
  <c r="L57" i="36"/>
  <c r="L41" i="36"/>
  <c r="L90" i="36"/>
  <c r="L58" i="36"/>
  <c r="L38" i="36"/>
  <c r="L71" i="36"/>
  <c r="L30" i="36"/>
  <c r="L26" i="36"/>
  <c r="L85" i="36"/>
  <c r="L39" i="36"/>
  <c r="L37" i="36"/>
  <c r="L82" i="36"/>
  <c r="L76" i="36"/>
  <c r="L79" i="36"/>
  <c r="L62" i="36"/>
  <c r="L78" i="36"/>
  <c r="L33" i="36"/>
  <c r="L32" i="36"/>
  <c r="L51" i="36"/>
  <c r="L86" i="36"/>
  <c r="L88" i="36"/>
  <c r="L29" i="36"/>
  <c r="L45" i="36"/>
  <c r="L55" i="36"/>
  <c r="L74" i="36"/>
  <c r="L89" i="36"/>
  <c r="L83" i="36"/>
  <c r="L46" i="36"/>
  <c r="L87" i="36"/>
  <c r="L69" i="36"/>
  <c r="L50" i="36"/>
  <c r="L21" i="36"/>
  <c r="L73" i="36"/>
  <c r="L91" i="36"/>
  <c r="L65" i="36"/>
  <c r="L61" i="36"/>
  <c r="L42" i="36"/>
  <c r="L66" i="36"/>
  <c r="L60" i="36"/>
  <c r="L20" i="36"/>
  <c r="L19" i="36"/>
  <c r="L84" i="36"/>
  <c r="L35" i="36"/>
  <c r="L27" i="36"/>
  <c r="L47" i="36"/>
  <c r="L43" i="36"/>
  <c r="L28" i="36"/>
  <c r="L44" i="36"/>
  <c r="L68" i="36"/>
  <c r="L56" i="36"/>
  <c r="L63" i="36"/>
  <c r="L80" i="36"/>
  <c r="L81" i="36"/>
  <c r="L70" i="36"/>
  <c r="L77" i="36"/>
  <c r="L53" i="36"/>
  <c r="L25" i="36"/>
  <c r="L24" i="36"/>
  <c r="L22" i="36"/>
  <c r="L72" i="36"/>
  <c r="L31" i="36"/>
  <c r="L40" i="36"/>
  <c r="L54" i="36"/>
  <c r="L67" i="36"/>
  <c r="L48" i="36"/>
  <c r="L75" i="36"/>
  <c r="L64" i="36"/>
  <c r="L52" i="36"/>
  <c r="L23" i="36"/>
  <c r="L59" i="36"/>
  <c r="L18" i="36"/>
  <c r="L34" i="36"/>
  <c r="L36" i="36"/>
  <c r="L49" i="36"/>
  <c r="V49" i="36" l="1"/>
  <c r="V75" i="36"/>
  <c r="V24" i="36"/>
  <c r="V70" i="36"/>
  <c r="V43" i="36"/>
  <c r="V66" i="36"/>
  <c r="V69" i="36"/>
  <c r="V29" i="36"/>
  <c r="V79" i="36"/>
  <c r="V36" i="36"/>
  <c r="V23" i="36"/>
  <c r="V48" i="36"/>
  <c r="V31" i="36"/>
  <c r="V25" i="36"/>
  <c r="V81" i="36"/>
  <c r="V68" i="36"/>
  <c r="V47" i="36"/>
  <c r="V19" i="36"/>
  <c r="V42" i="36"/>
  <c r="V73" i="36"/>
  <c r="V87" i="36"/>
  <c r="V74" i="36"/>
  <c r="V88" i="36"/>
  <c r="V33" i="36"/>
  <c r="V76" i="36"/>
  <c r="V85" i="36"/>
  <c r="V38" i="36"/>
  <c r="V41" i="36"/>
  <c r="V34" i="36"/>
  <c r="V52" i="36"/>
  <c r="V67" i="36"/>
  <c r="V72" i="36"/>
  <c r="V53" i="36"/>
  <c r="V80" i="36"/>
  <c r="V44" i="36"/>
  <c r="V27" i="36"/>
  <c r="V20" i="36"/>
  <c r="V61" i="36"/>
  <c r="V21" i="36"/>
  <c r="V46" i="36"/>
  <c r="V55" i="36"/>
  <c r="V86" i="36"/>
  <c r="V78" i="36"/>
  <c r="V82" i="36"/>
  <c r="V26" i="36"/>
  <c r="K97" i="36"/>
  <c r="V57" i="36"/>
  <c r="V64" i="36"/>
  <c r="V54" i="36"/>
  <c r="V22" i="36"/>
  <c r="V77" i="36"/>
  <c r="V63" i="36"/>
  <c r="V28" i="36"/>
  <c r="V35" i="36"/>
  <c r="V60" i="36"/>
  <c r="V65" i="36"/>
  <c r="V50" i="36"/>
  <c r="V83" i="36"/>
  <c r="V45" i="36"/>
  <c r="V51" i="36"/>
  <c r="V62" i="36"/>
  <c r="V37" i="36"/>
  <c r="V30" i="36"/>
  <c r="V58" i="36"/>
  <c r="V18" i="36"/>
  <c r="V59" i="36"/>
  <c r="V40" i="36"/>
  <c r="V56" i="36"/>
  <c r="V84" i="36"/>
  <c r="V91" i="36"/>
  <c r="V89" i="36"/>
  <c r="V32" i="36"/>
  <c r="V39" i="36"/>
  <c r="V71" i="36"/>
  <c r="V90" i="36"/>
  <c r="V96" i="36" l="1"/>
  <c r="Q92" i="36" s="1"/>
  <c r="R92" i="36" s="1"/>
  <c r="T92" i="36" s="1"/>
  <c r="Q26" i="36" l="1"/>
  <c r="R26" i="36" s="1"/>
  <c r="T26" i="36" s="1"/>
  <c r="Q22" i="36"/>
  <c r="R22" i="36" s="1"/>
  <c r="T22" i="36" s="1"/>
  <c r="Q63" i="36"/>
  <c r="R63" i="36" s="1"/>
  <c r="T63" i="36" s="1"/>
  <c r="Q44" i="36"/>
  <c r="R44" i="36" s="1"/>
  <c r="T44" i="36" s="1"/>
  <c r="Q68" i="36"/>
  <c r="R68" i="36" s="1"/>
  <c r="T68" i="36" s="1"/>
  <c r="Q35" i="36"/>
  <c r="R35" i="36" s="1"/>
  <c r="T35" i="36" s="1"/>
  <c r="Q73" i="36"/>
  <c r="R73" i="36" s="1"/>
  <c r="T73" i="36" s="1"/>
  <c r="Q85" i="36"/>
  <c r="R85" i="36" s="1"/>
  <c r="T85" i="36" s="1"/>
  <c r="Q76" i="36"/>
  <c r="R76" i="36" s="1"/>
  <c r="T76" i="36" s="1"/>
  <c r="Q30" i="36"/>
  <c r="R30" i="36" s="1"/>
  <c r="T30" i="36" s="1"/>
  <c r="Q84" i="36"/>
  <c r="R84" i="36" s="1"/>
  <c r="T84" i="36" s="1"/>
  <c r="Q77" i="36"/>
  <c r="R77" i="36" s="1"/>
  <c r="T77" i="36" s="1"/>
  <c r="Q82" i="36"/>
  <c r="R82" i="36" s="1"/>
  <c r="T82" i="36" s="1"/>
  <c r="Q33" i="36"/>
  <c r="R33" i="36" s="1"/>
  <c r="T33" i="36" s="1"/>
  <c r="Q86" i="36"/>
  <c r="R86" i="36" s="1"/>
  <c r="T86" i="36" s="1"/>
  <c r="Q27" i="36"/>
  <c r="R27" i="36" s="1"/>
  <c r="T27" i="36" s="1"/>
  <c r="Q31" i="36"/>
  <c r="R31" i="36" s="1"/>
  <c r="T31" i="36" s="1"/>
  <c r="Q69" i="36"/>
  <c r="R69" i="36" s="1"/>
  <c r="T69" i="36" s="1"/>
  <c r="Q83" i="36"/>
  <c r="R83" i="36" s="1"/>
  <c r="T83" i="36" s="1"/>
  <c r="Q29" i="36"/>
  <c r="R29" i="36" s="1"/>
  <c r="T29" i="36" s="1"/>
  <c r="Q72" i="36"/>
  <c r="R72" i="36" s="1"/>
  <c r="T72" i="36" s="1"/>
  <c r="Q42" i="36"/>
  <c r="R42" i="36" s="1"/>
  <c r="T42" i="36" s="1"/>
  <c r="Q87" i="36"/>
  <c r="R87" i="36" s="1"/>
  <c r="T87" i="36" s="1"/>
  <c r="Q62" i="36"/>
  <c r="R62" i="36" s="1"/>
  <c r="T62" i="36" s="1"/>
  <c r="Q40" i="36"/>
  <c r="R40" i="36" s="1"/>
  <c r="T40" i="36" s="1"/>
  <c r="Q90" i="36"/>
  <c r="R90" i="36" s="1"/>
  <c r="T90" i="36" s="1"/>
  <c r="Q50" i="36"/>
  <c r="R50" i="36" s="1"/>
  <c r="T50" i="36" s="1"/>
  <c r="Q54" i="36"/>
  <c r="R54" i="36" s="1"/>
  <c r="T54" i="36" s="1"/>
  <c r="Q47" i="36"/>
  <c r="R47" i="36" s="1"/>
  <c r="T47" i="36" s="1"/>
  <c r="Q64" i="36"/>
  <c r="R64" i="36" s="1"/>
  <c r="T64" i="36" s="1"/>
  <c r="Q52" i="36"/>
  <c r="R52" i="36" s="1"/>
  <c r="T52" i="36" s="1"/>
  <c r="Q32" i="36"/>
  <c r="R32" i="36" s="1"/>
  <c r="T32" i="36" s="1"/>
  <c r="Q28" i="36"/>
  <c r="R28" i="36" s="1"/>
  <c r="T28" i="36" s="1"/>
  <c r="Q34" i="36"/>
  <c r="R34" i="36" s="1"/>
  <c r="T34" i="36" s="1"/>
  <c r="Q91" i="36"/>
  <c r="R91" i="36" s="1"/>
  <c r="T91" i="36" s="1"/>
  <c r="Q56" i="36"/>
  <c r="R56" i="36" s="1"/>
  <c r="T56" i="36" s="1"/>
  <c r="Q71" i="36"/>
  <c r="R71" i="36" s="1"/>
  <c r="T71" i="36" s="1"/>
  <c r="Q80" i="36"/>
  <c r="R80" i="36" s="1"/>
  <c r="T80" i="36" s="1"/>
  <c r="Q79" i="36"/>
  <c r="R79" i="36" s="1"/>
  <c r="T79" i="36" s="1"/>
  <c r="Q65" i="36"/>
  <c r="R65" i="36" s="1"/>
  <c r="T65" i="36" s="1"/>
  <c r="Q57" i="36"/>
  <c r="R57" i="36" s="1"/>
  <c r="T57" i="36" s="1"/>
  <c r="Q60" i="36"/>
  <c r="R60" i="36" s="1"/>
  <c r="T60" i="36" s="1"/>
  <c r="Q78" i="36"/>
  <c r="R78" i="36" s="1"/>
  <c r="T78" i="36" s="1"/>
  <c r="Q24" i="36"/>
  <c r="R24" i="36" s="1"/>
  <c r="T24" i="36" s="1"/>
  <c r="Q53" i="36"/>
  <c r="R53" i="36" s="1"/>
  <c r="T53" i="36" s="1"/>
  <c r="Q49" i="36"/>
  <c r="R49" i="36" s="1"/>
  <c r="T49" i="36" s="1"/>
  <c r="Q21" i="36"/>
  <c r="R21" i="36" s="1"/>
  <c r="T21" i="36" s="1"/>
  <c r="Q61" i="36"/>
  <c r="R61" i="36" s="1"/>
  <c r="T61" i="36" s="1"/>
  <c r="Q66" i="36"/>
  <c r="R66" i="36" s="1"/>
  <c r="T66" i="36" s="1"/>
  <c r="Q43" i="36"/>
  <c r="R43" i="36" s="1"/>
  <c r="T43" i="36" s="1"/>
  <c r="Q55" i="36"/>
  <c r="R55" i="36" s="1"/>
  <c r="T55" i="36" s="1"/>
  <c r="Q70" i="36"/>
  <c r="R70" i="36" s="1"/>
  <c r="T70" i="36" s="1"/>
  <c r="Q59" i="36"/>
  <c r="R59" i="36" s="1"/>
  <c r="T59" i="36" s="1"/>
  <c r="Q19" i="36"/>
  <c r="R19" i="36" s="1"/>
  <c r="T19" i="36" s="1"/>
  <c r="Q89" i="36"/>
  <c r="R89" i="36" s="1"/>
  <c r="T89" i="36" s="1"/>
  <c r="Q48" i="36"/>
  <c r="R48" i="36" s="1"/>
  <c r="T48" i="36" s="1"/>
  <c r="Q38" i="36"/>
  <c r="R38" i="36" s="1"/>
  <c r="T38" i="36" s="1"/>
  <c r="Q20" i="36"/>
  <c r="R20" i="36" s="1"/>
  <c r="T20" i="36" s="1"/>
  <c r="Q74" i="36"/>
  <c r="R74" i="36" s="1"/>
  <c r="T74" i="36" s="1"/>
  <c r="Q36" i="36"/>
  <c r="R36" i="36" s="1"/>
  <c r="T36" i="36" s="1"/>
  <c r="Q37" i="36"/>
  <c r="R37" i="36" s="1"/>
  <c r="T37" i="36" s="1"/>
  <c r="Q18" i="36"/>
  <c r="Q39" i="36"/>
  <c r="R39" i="36" s="1"/>
  <c r="T39" i="36" s="1"/>
  <c r="Q88" i="36"/>
  <c r="R88" i="36" s="1"/>
  <c r="T88" i="36" s="1"/>
  <c r="Q51" i="36"/>
  <c r="R51" i="36" s="1"/>
  <c r="T51" i="36" s="1"/>
  <c r="Q23" i="36"/>
  <c r="R23" i="36" s="1"/>
  <c r="T23" i="36" s="1"/>
  <c r="Q25" i="36"/>
  <c r="R25" i="36" s="1"/>
  <c r="T25" i="36" s="1"/>
  <c r="Q81" i="36"/>
  <c r="R81" i="36" s="1"/>
  <c r="T81" i="36" s="1"/>
  <c r="Q46" i="36"/>
  <c r="R46" i="36" s="1"/>
  <c r="T46" i="36" s="1"/>
  <c r="Q75" i="36"/>
  <c r="R75" i="36" s="1"/>
  <c r="T75" i="36" s="1"/>
  <c r="Q58" i="36"/>
  <c r="R58" i="36" s="1"/>
  <c r="T58" i="36" s="1"/>
  <c r="Q45" i="36"/>
  <c r="R45" i="36" s="1"/>
  <c r="T45" i="36" s="1"/>
  <c r="Q41" i="36"/>
  <c r="R41" i="36" s="1"/>
  <c r="T41" i="36" s="1"/>
  <c r="Q67" i="36"/>
  <c r="R67" i="36" s="1"/>
  <c r="T67" i="36" s="1"/>
  <c r="R18" i="36" l="1"/>
  <c r="R96" i="36" s="1"/>
  <c r="Q97" i="36"/>
  <c r="T18" i="36" l="1"/>
  <c r="T96" i="36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R.Pennybaker</author>
    <author>AEP</author>
    <author>rlp</author>
  </authors>
  <commentList>
    <comment ref="C16" authorId="0" shapeId="0" xr:uid="{00000000-0006-0000-0000-000001000000}">
      <text>
        <r>
          <rPr>
            <b/>
            <sz val="8"/>
            <color indexed="81"/>
            <rFont val="Tahoma"/>
            <family val="2"/>
          </rPr>
          <t>R.Pennybaker:</t>
        </r>
        <r>
          <rPr>
            <sz val="8"/>
            <color indexed="81"/>
            <rFont val="Tahoma"/>
            <family val="2"/>
          </rPr>
          <t xml:space="preserve">
Project Descriptions are in WS-F cell D7.</t>
        </r>
      </text>
    </comment>
    <comment ref="D16" authorId="0" shapeId="0" xr:uid="{00000000-0006-0000-0000-000002000000}">
      <text>
        <r>
          <rPr>
            <b/>
            <sz val="8"/>
            <color indexed="81"/>
            <rFont val="Tahoma"/>
            <family val="2"/>
          </rPr>
          <t>R.Pennybaker:</t>
        </r>
        <r>
          <rPr>
            <sz val="8"/>
            <color indexed="81"/>
            <rFont val="Tahoma"/>
            <family val="2"/>
          </rPr>
          <t xml:space="preserve">
Year In Service is in WS-F cell D11.</t>
        </r>
      </text>
    </comment>
    <comment ref="E16" authorId="0" shapeId="0" xr:uid="{00000000-0006-0000-0000-000003000000}">
      <text>
        <r>
          <rPr>
            <b/>
            <sz val="8"/>
            <color indexed="81"/>
            <rFont val="Tahoma"/>
            <family val="2"/>
          </rPr>
          <t>R.Pennybaker:</t>
        </r>
        <r>
          <rPr>
            <sz val="8"/>
            <color indexed="81"/>
            <rFont val="Tahoma"/>
            <family val="2"/>
          </rPr>
          <t xml:space="preserve">
Projected Base ARR is in cell WS-F cell N5.</t>
        </r>
      </text>
    </comment>
    <comment ref="F16" authorId="0" shapeId="0" xr:uid="{00000000-0006-0000-0000-000004000000}">
      <text>
        <r>
          <rPr>
            <b/>
            <sz val="8"/>
            <color indexed="81"/>
            <rFont val="Tahoma"/>
            <family val="2"/>
          </rPr>
          <t>R.Pennybaker:</t>
        </r>
        <r>
          <rPr>
            <sz val="8"/>
            <color indexed="81"/>
            <rFont val="Tahoma"/>
            <family val="2"/>
          </rPr>
          <t xml:space="preserve">
Projected Incentive ARR is in WS-F cell N7.</t>
        </r>
      </text>
    </comment>
    <comment ref="I16" authorId="1" shapeId="0" xr:uid="{00000000-0006-0000-0000-000005000000}">
      <text>
        <r>
          <rPr>
            <b/>
            <sz val="8"/>
            <color indexed="81"/>
            <rFont val="Tahoma"/>
            <family val="2"/>
          </rPr>
          <t>AEP:</t>
        </r>
        <r>
          <rPr>
            <sz val="8"/>
            <color indexed="81"/>
            <rFont val="Tahoma"/>
            <family val="2"/>
          </rPr>
          <t xml:space="preserve">
"TRUE-UP Adjustment (i.e., Forecast Error) is from WS-G in cell M89.</t>
        </r>
      </text>
    </comment>
    <comment ref="J16" authorId="1" shapeId="0" xr:uid="{00000000-0006-0000-0000-000006000000}">
      <text>
        <r>
          <rPr>
            <b/>
            <sz val="8"/>
            <color indexed="81"/>
            <rFont val="Tahoma"/>
            <family val="2"/>
          </rPr>
          <t>AEP:</t>
        </r>
        <r>
          <rPr>
            <sz val="8"/>
            <color indexed="81"/>
            <rFont val="Tahoma"/>
            <family val="2"/>
          </rPr>
          <t xml:space="preserve">
"Manually input from previous year's update "</t>
        </r>
        <r>
          <rPr>
            <i/>
            <sz val="8"/>
            <color indexed="81"/>
            <rFont val="Tahoma"/>
            <family val="2"/>
          </rPr>
          <t>Schedule 11 Rates</t>
        </r>
        <r>
          <rPr>
            <sz val="8"/>
            <color indexed="81"/>
            <rFont val="Tahoma"/>
            <family val="2"/>
          </rPr>
          <t>" by project, column R values.</t>
        </r>
      </text>
    </comment>
    <comment ref="K16" authorId="0" shapeId="0" xr:uid="{00000000-0006-0000-0000-000007000000}">
      <text>
        <r>
          <rPr>
            <b/>
            <sz val="8"/>
            <color indexed="81"/>
            <rFont val="Tahoma"/>
            <family val="2"/>
          </rPr>
          <t>R.Pennybaker:</t>
        </r>
        <r>
          <rPr>
            <sz val="8"/>
            <color indexed="81"/>
            <rFont val="Tahoma"/>
            <family val="2"/>
          </rPr>
          <t xml:space="preserve">
These values reflect SPP remittance to AEP of Schedule 11 revenues for prior Calendar Year T-service transactions.</t>
        </r>
      </text>
    </comment>
    <comment ref="L16" authorId="0" shapeId="0" xr:uid="{00000000-0006-0000-0000-000008000000}">
      <text>
        <r>
          <rPr>
            <b/>
            <sz val="8"/>
            <color indexed="81"/>
            <rFont val="Tahoma"/>
            <family val="2"/>
          </rPr>
          <t>R.Pennybaker:</t>
        </r>
        <r>
          <rPr>
            <sz val="8"/>
            <color indexed="81"/>
            <rFont val="Tahoma"/>
            <family val="2"/>
          </rPr>
          <t xml:space="preserve">
This can also be referred to as the Billing Error.</t>
        </r>
      </text>
    </comment>
    <comment ref="N16" authorId="1" shapeId="0" xr:uid="{00000000-0006-0000-0000-000009000000}">
      <text>
        <r>
          <rPr>
            <b/>
            <sz val="8"/>
            <color indexed="81"/>
            <rFont val="Tahoma"/>
            <family val="2"/>
          </rPr>
          <t>AEP:</t>
        </r>
        <r>
          <rPr>
            <sz val="8"/>
            <color indexed="81"/>
            <rFont val="Tahoma"/>
            <family val="2"/>
          </rPr>
          <t xml:space="preserve">
This is "Prior Year True-Up (WS-G)"; and "Incentive Amounts" O88</t>
        </r>
      </text>
    </comment>
    <comment ref="O16" authorId="1" shapeId="0" xr:uid="{00000000-0006-0000-0000-00000A000000}">
      <text>
        <r>
          <rPr>
            <b/>
            <sz val="8"/>
            <color indexed="81"/>
            <rFont val="Tahoma"/>
            <family val="2"/>
          </rPr>
          <t>AEP:</t>
        </r>
        <r>
          <rPr>
            <sz val="8"/>
            <color indexed="81"/>
            <rFont val="Tahoma"/>
            <family val="2"/>
          </rPr>
          <t xml:space="preserve">
Prior Year Projected (WS-F) and Incentive Amounts [cell O87]</t>
        </r>
      </text>
    </comment>
    <comment ref="J96" authorId="0" shapeId="0" xr:uid="{00000000-0006-0000-0000-000055000000}">
      <text>
        <r>
          <rPr>
            <b/>
            <sz val="8"/>
            <color indexed="81"/>
            <rFont val="Tahoma"/>
            <family val="2"/>
          </rPr>
          <t>R.Pennybaker:</t>
        </r>
        <r>
          <rPr>
            <sz val="8"/>
            <color indexed="81"/>
            <rFont val="Tahoma"/>
            <family val="2"/>
          </rPr>
          <t xml:space="preserve">
This normally should equal last year's SWEPCO total Adj ARR effective prior July 1st on same sheet.    </t>
        </r>
      </text>
    </comment>
    <comment ref="K96" authorId="2" shapeId="0" xr:uid="{00000000-0006-0000-0000-000056000000}">
      <text>
        <r>
          <rPr>
            <b/>
            <sz val="8"/>
            <color indexed="81"/>
            <rFont val="Tahoma"/>
            <family val="2"/>
          </rPr>
          <t>rlp:</t>
        </r>
        <r>
          <rPr>
            <sz val="8"/>
            <color indexed="81"/>
            <rFont val="Tahoma"/>
            <family val="2"/>
          </rPr>
          <t xml:space="preserve">
This amount was booked by AEP during CY 2016  Represents Sch. 11 revenues remitted from SPP&gt;</t>
        </r>
      </text>
    </comment>
    <comment ref="Q96" authorId="2" shapeId="0" xr:uid="{00000000-0006-0000-0000-000057000000}">
      <text>
        <r>
          <rPr>
            <b/>
            <sz val="8"/>
            <color indexed="81"/>
            <rFont val="Tahoma"/>
            <family val="2"/>
          </rPr>
          <t>rlp:</t>
        </r>
        <r>
          <rPr>
            <sz val="8"/>
            <color indexed="81"/>
            <rFont val="Tahoma"/>
            <family val="2"/>
          </rPr>
          <t xml:space="preserve">
from the "33" Base Plan Interest xls file.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rlp</author>
  </authors>
  <commentList>
    <comment ref="D99" authorId="0" shapeId="0" xr:uid="{00000000-0006-0000-1000-000001000000}">
      <text>
        <r>
          <rPr>
            <b/>
            <sz val="8"/>
            <color indexed="81"/>
            <rFont val="Tahoma"/>
            <family val="2"/>
          </rPr>
          <t>rlp:</t>
        </r>
        <r>
          <rPr>
            <sz val="8"/>
            <color indexed="81"/>
            <rFont val="Tahoma"/>
            <family val="2"/>
          </rPr>
          <t xml:space="preserve">
2007 Hist values from '09 template calculations (first published).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rlp</author>
  </authors>
  <commentList>
    <comment ref="D17" authorId="0" shapeId="0" xr:uid="{00000000-0006-0000-1100-000001000000}">
      <text>
        <r>
          <rPr>
            <b/>
            <sz val="8"/>
            <color indexed="81"/>
            <rFont val="Tahoma"/>
            <family val="2"/>
          </rPr>
          <t>rlp:</t>
        </r>
        <r>
          <rPr>
            <sz val="8"/>
            <color indexed="81"/>
            <rFont val="Tahoma"/>
            <family val="2"/>
          </rPr>
          <t xml:space="preserve">
2007 hist values from 2008 template WS-F calculations.</t>
        </r>
      </text>
    </comment>
    <comment ref="D99" authorId="0" shapeId="0" xr:uid="{00000000-0006-0000-1100-000002000000}">
      <text>
        <r>
          <rPr>
            <b/>
            <sz val="8"/>
            <color indexed="81"/>
            <rFont val="Tahoma"/>
            <family val="2"/>
          </rPr>
          <t>rlp:</t>
        </r>
        <r>
          <rPr>
            <sz val="8"/>
            <color indexed="81"/>
            <rFont val="Tahoma"/>
            <family val="2"/>
          </rPr>
          <t xml:space="preserve">
see comment for 2007 in WS-F.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rlp</author>
  </authors>
  <commentList>
    <comment ref="D18" authorId="0" shapeId="0" xr:uid="{00000000-0006-0000-1200-000001000000}">
      <text>
        <r>
          <rPr>
            <b/>
            <sz val="8"/>
            <color indexed="81"/>
            <rFont val="Tahoma"/>
            <family val="2"/>
          </rPr>
          <t>rlp:</t>
        </r>
        <r>
          <rPr>
            <sz val="8"/>
            <color indexed="81"/>
            <rFont val="Tahoma"/>
            <family val="2"/>
          </rPr>
          <t xml:space="preserve">
2009 and prior historic values from 2010 FR Correction template calculations.  Hist values not previously published.</t>
        </r>
      </text>
    </comment>
    <comment ref="K18" authorId="0" shapeId="0" xr:uid="{00000000-0006-0000-1200-000002000000}">
      <text>
        <r>
          <rPr>
            <b/>
            <sz val="8"/>
            <color indexed="81"/>
            <rFont val="Tahoma"/>
            <family val="2"/>
          </rPr>
          <t>rlp:</t>
        </r>
        <r>
          <rPr>
            <sz val="8"/>
            <color indexed="81"/>
            <rFont val="Tahoma"/>
            <family val="2"/>
          </rPr>
          <t xml:space="preserve">
2008/9 ARRs set to zero since project on Dist WO same years.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rlp</author>
  </authors>
  <commentList>
    <comment ref="D17" authorId="0" shapeId="0" xr:uid="{00000000-0006-0000-1300-000001000000}">
      <text>
        <r>
          <rPr>
            <b/>
            <sz val="8"/>
            <color indexed="81"/>
            <rFont val="Tahoma"/>
            <family val="2"/>
          </rPr>
          <t>rlp:</t>
        </r>
        <r>
          <rPr>
            <sz val="8"/>
            <color indexed="81"/>
            <rFont val="Tahoma"/>
            <family val="2"/>
          </rPr>
          <t xml:space="preserve">
2009 hist values from 09 template (first published).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dtsoa33</author>
  </authors>
  <commentList>
    <comment ref="M87" authorId="0" shapeId="0" xr:uid="{00000000-0006-0000-1600-000001000000}">
      <text>
        <r>
          <rPr>
            <b/>
            <sz val="8"/>
            <color indexed="81"/>
            <rFont val="Tahoma"/>
            <family val="2"/>
          </rPr>
          <t>mew:</t>
        </r>
        <r>
          <rPr>
            <sz val="8"/>
            <color indexed="81"/>
            <rFont val="Tahoma"/>
            <family val="2"/>
          </rPr>
          <t xml:space="preserve">
Prior yr projected ARR being forced to zero.  Initial year (2008) investment for this multi-yr project is being included in project S.003 from the 2011 update forward. (May 12, 2011)
If the value is not set to zero, a negative ARR is calculated which would result in a refund which would reflect a project's removal from base plan status.  This case is a transfer of a  project's (S.020) investment into project (S.003).</t>
        </r>
      </text>
    </comment>
  </commentList>
</comments>
</file>

<file path=xl/comments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Jim Martin</author>
  </authors>
  <commentList>
    <comment ref="C99" authorId="0" shapeId="0" xr:uid="{00000000-0006-0000-3D00-000001000000}">
      <text>
        <r>
          <rPr>
            <b/>
            <sz val="22"/>
            <color indexed="81"/>
            <rFont val="Tahoma"/>
            <family val="2"/>
          </rPr>
          <t>Jim Martin:</t>
        </r>
        <r>
          <rPr>
            <sz val="22"/>
            <color indexed="81"/>
            <rFont val="Tahoma"/>
            <family val="2"/>
          </rPr>
          <t xml:space="preserve">
FIX THIS</t>
        </r>
      </text>
    </comment>
  </commentList>
</comments>
</file>

<file path=xl/comments1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Jim Martin</author>
  </authors>
  <commentList>
    <comment ref="G17" authorId="0" shapeId="0" xr:uid="{00000000-0006-0000-3E00-000001000000}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did not have a projected revenue requiremnt in 2016 update so this is a 0.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R.Pennybaker</author>
  </authors>
  <commentList>
    <comment ref="L19" authorId="0" shapeId="0" xr:uid="{00000000-0006-0000-0100-000001000000}">
      <text>
        <r>
          <rPr>
            <b/>
            <sz val="8"/>
            <color indexed="81"/>
            <rFont val="Tahoma"/>
            <family val="2"/>
          </rPr>
          <t>R.Pennybaker:</t>
        </r>
        <r>
          <rPr>
            <sz val="8"/>
            <color indexed="81"/>
            <rFont val="Tahoma"/>
            <family val="2"/>
          </rPr>
          <t xml:space="preserve">
This value comes from Formula Template file via data INPUT table below.  Then, it supuplies the project year value to the P.xxx sheets.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R.Pennybaker</author>
  </authors>
  <commentList>
    <comment ref="M16" authorId="0" shapeId="0" xr:uid="{00000000-0006-0000-0200-000001000000}">
      <text>
        <r>
          <rPr>
            <b/>
            <sz val="8"/>
            <color indexed="81"/>
            <rFont val="Tahoma"/>
            <family val="2"/>
          </rPr>
          <t>R.Pennybaker:</t>
        </r>
        <r>
          <rPr>
            <sz val="8"/>
            <color indexed="81"/>
            <rFont val="Tahoma"/>
            <family val="2"/>
          </rPr>
          <t xml:space="preserve">
This cell comes from Formula Template file.  Then, it drives all the S.xxx sheets.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rlp</author>
  </authors>
  <commentList>
    <comment ref="E17" authorId="0" shapeId="0" xr:uid="{00000000-0006-0000-0500-000001000000}">
      <text>
        <r>
          <rPr>
            <b/>
            <sz val="8"/>
            <color indexed="81"/>
            <rFont val="Tahoma"/>
            <family val="2"/>
          </rPr>
          <t>rlp:</t>
        </r>
        <r>
          <rPr>
            <sz val="8"/>
            <color indexed="81"/>
            <rFont val="Tahoma"/>
            <family val="2"/>
          </rPr>
          <t xml:space="preserve">
No depreciation calculated by or published in this year's template due to originanl estimated Dec in-service month.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rlp</author>
  </authors>
  <commentList>
    <comment ref="D17" authorId="0" shapeId="0" xr:uid="{00000000-0006-0000-0900-000001000000}">
      <text>
        <r>
          <rPr>
            <b/>
            <sz val="8"/>
            <color indexed="81"/>
            <rFont val="Tahoma"/>
            <family val="2"/>
          </rPr>
          <t>rlp:</t>
        </r>
        <r>
          <rPr>
            <sz val="8"/>
            <color indexed="81"/>
            <rFont val="Tahoma"/>
            <family val="2"/>
          </rPr>
          <t xml:space="preserve">
Historical values input as if calculated (and shown) from 2009 template.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rlp</author>
  </authors>
  <commentList>
    <comment ref="D17" authorId="0" shapeId="0" xr:uid="{00000000-0006-0000-0A00-000001000000}">
      <text>
        <r>
          <rPr>
            <b/>
            <sz val="8"/>
            <color indexed="81"/>
            <rFont val="Tahoma"/>
            <family val="2"/>
          </rPr>
          <t>rlp:</t>
        </r>
        <r>
          <rPr>
            <sz val="8"/>
            <color indexed="81"/>
            <rFont val="Tahoma"/>
            <family val="2"/>
          </rPr>
          <t xml:space="preserve">
These hist values from pg 66 of 87 of '08 template (1st project in WS-F that year).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R.Pennybaker</author>
  </authors>
  <commentList>
    <comment ref="K18" authorId="0" shapeId="0" xr:uid="{00000000-0006-0000-0D00-000001000000}">
      <text>
        <r>
          <rPr>
            <b/>
            <sz val="8"/>
            <color indexed="81"/>
            <rFont val="Tahoma"/>
            <family val="2"/>
          </rPr>
          <t>R.Pennybaker:</t>
        </r>
        <r>
          <rPr>
            <sz val="8"/>
            <color indexed="81"/>
            <rFont val="Tahoma"/>
            <family val="2"/>
          </rPr>
          <t xml:space="preserve">
Prior Yr Projected ARR was $1,203,444.  However, this value is being set to $0 to force a negative Adjusted  Tot. Rev. Requirement equal to the amount actually collected (billed) by SPP for 2008 T-service related to this project.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rlp</author>
  </authors>
  <commentList>
    <comment ref="B20" authorId="0" shapeId="0" xr:uid="{00000000-0006-0000-0E00-000001000000}">
      <text>
        <r>
          <rPr>
            <b/>
            <sz val="8"/>
            <color indexed="81"/>
            <rFont val="Tahoma"/>
            <family val="2"/>
          </rPr>
          <t>rlp:</t>
        </r>
        <r>
          <rPr>
            <sz val="8"/>
            <color indexed="81"/>
            <rFont val="Tahoma"/>
            <family val="2"/>
          </rPr>
          <t xml:space="preserve">
no actual total investment update in 2010.</t>
        </r>
      </text>
    </comment>
    <comment ref="E99" authorId="0" shapeId="0" xr:uid="{00000000-0006-0000-0E00-000002000000}">
      <text>
        <r>
          <rPr>
            <b/>
            <sz val="8"/>
            <color indexed="81"/>
            <rFont val="Tahoma"/>
            <family val="2"/>
          </rPr>
          <t>rlp:</t>
        </r>
        <r>
          <rPr>
            <sz val="8"/>
            <color indexed="81"/>
            <rFont val="Tahoma"/>
            <family val="2"/>
          </rPr>
          <t xml:space="preserve">
This year's depreciation input as if the 2008 template WS-G calculated values had been shown.</t>
        </r>
      </text>
    </comment>
    <comment ref="B101" authorId="0" shapeId="0" xr:uid="{00000000-0006-0000-0E00-000003000000}">
      <text>
        <r>
          <rPr>
            <b/>
            <sz val="8"/>
            <color indexed="81"/>
            <rFont val="Tahoma"/>
            <family val="2"/>
          </rPr>
          <t>rlp:</t>
        </r>
        <r>
          <rPr>
            <sz val="8"/>
            <color indexed="81"/>
            <rFont val="Tahoma"/>
            <family val="2"/>
          </rPr>
          <t xml:space="preserve">
not an actual update to total investment this year.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rlp</author>
  </authors>
  <commentList>
    <comment ref="D18" authorId="0" shapeId="0" xr:uid="{00000000-0006-0000-0F00-000001000000}">
      <text>
        <r>
          <rPr>
            <b/>
            <sz val="8"/>
            <color indexed="81"/>
            <rFont val="Tahoma"/>
            <family val="2"/>
          </rPr>
          <t>rlp:</t>
        </r>
        <r>
          <rPr>
            <sz val="8"/>
            <color indexed="81"/>
            <rFont val="Tahoma"/>
            <family val="2"/>
          </rPr>
          <t xml:space="preserve">
2006/7 hist values precede FR eff. Date.  Thus, we input calculated historical data from 09 template formulas.</t>
        </r>
      </text>
    </comment>
    <comment ref="D100" authorId="0" shapeId="0" xr:uid="{00000000-0006-0000-0F00-000002000000}">
      <text>
        <r>
          <rPr>
            <b/>
            <sz val="8"/>
            <color indexed="81"/>
            <rFont val="Tahoma"/>
            <family val="2"/>
          </rPr>
          <t>rlp:</t>
        </r>
        <r>
          <rPr>
            <sz val="8"/>
            <color indexed="81"/>
            <rFont val="Tahoma"/>
            <family val="2"/>
          </rPr>
          <t xml:space="preserve">
see comment for 2007 hist values in WS-F.</t>
        </r>
      </text>
    </comment>
  </commentList>
</comments>
</file>

<file path=xl/sharedStrings.xml><?xml version="1.0" encoding="utf-8"?>
<sst xmlns="http://schemas.openxmlformats.org/spreadsheetml/2006/main" count="9415" uniqueCount="570">
  <si>
    <t>I.</t>
  </si>
  <si>
    <t xml:space="preserve">   Project ROE Incentive Adder (Enter as whole number)</t>
  </si>
  <si>
    <t>&lt;==Incentive ROE  Cannot Exceed 12.45%</t>
  </si>
  <si>
    <t xml:space="preserve">   Determine R  ( cost of long term debt, cost of preferred stock and percent is from Attachment H, lns 158 through160)</t>
  </si>
  <si>
    <t>SUMMARY OF PROJECTED ANNUAL BASE PLAN AND  NON-BASE PLAN REVENUE REQUIREMENTS</t>
  </si>
  <si>
    <t>%</t>
  </si>
  <si>
    <t>Cost</t>
  </si>
  <si>
    <t>Weighted cost</t>
  </si>
  <si>
    <t>Long Term Debt</t>
  </si>
  <si>
    <t>Rev Require</t>
  </si>
  <si>
    <t xml:space="preserve"> W Incentives</t>
  </si>
  <si>
    <t>Incentive Amounts</t>
  </si>
  <si>
    <t>Preferred Stock</t>
  </si>
  <si>
    <t>Common Stock</t>
  </si>
  <si>
    <t>PROJECTED YEAR</t>
  </si>
  <si>
    <t>R =</t>
  </si>
  <si>
    <r>
      <t xml:space="preserve">Note:  </t>
    </r>
    <r>
      <rPr>
        <sz val="10"/>
        <rFont val="Arial"/>
        <family val="2"/>
      </rPr>
      <t xml:space="preserve">Review formulas in summary to ensure the proper year's revenue requirement is being </t>
    </r>
  </si>
  <si>
    <t>accumulated for each project from the tables below.</t>
  </si>
  <si>
    <t xml:space="preserve">   R   (fom A. above)</t>
  </si>
  <si>
    <t xml:space="preserve">   Return (Rate Base  x  R)</t>
  </si>
  <si>
    <t xml:space="preserve">   Return   (from B. above)</t>
  </si>
  <si>
    <t xml:space="preserve">   EIT=(T/(1-T)) * (1-(WCLTD/WACC)) =</t>
  </si>
  <si>
    <t xml:space="preserve">   Income Tax Calculation  (Return  x  EIT)</t>
  </si>
  <si>
    <t xml:space="preserve">   Income Taxes</t>
  </si>
  <si>
    <t>II.</t>
  </si>
  <si>
    <t>A.   Determine Net Revenue Requirement less return and Income Taxes.</t>
  </si>
  <si>
    <t xml:space="preserve">   Net Revenue Requirement, Less Return and Taxes</t>
  </si>
  <si>
    <t xml:space="preserve">   Income Taxes  (from I.C. above)</t>
  </si>
  <si>
    <t xml:space="preserve">   Revenue Requirement w/ Gross Margin Taxes</t>
  </si>
  <si>
    <t xml:space="preserve">      Basis Point ROE increase (II B. above)</t>
  </si>
  <si>
    <t xml:space="preserve">       Apportioned Texas Revenues</t>
  </si>
  <si>
    <t xml:space="preserve">       Taxable, Apportioned Margin</t>
  </si>
  <si>
    <t xml:space="preserve">       Texas Gross Margin Tax Rate</t>
  </si>
  <si>
    <t xml:space="preserve">       Texas Gross Margin Tax Expense</t>
  </si>
  <si>
    <t xml:space="preserve">      Gross-up Required for Gross Margin Tax Expense </t>
  </si>
  <si>
    <t>Total Additional Gross Margin Tax Revenue Requirement</t>
  </si>
  <si>
    <t>III.</t>
  </si>
  <si>
    <t>Calculation of Composite Depreciation Rate</t>
  </si>
  <si>
    <t>Transmission Plant @ Beginning of Period (P.206, ln 58)</t>
  </si>
  <si>
    <t>&lt;==From Input on Worksheet B</t>
  </si>
  <si>
    <t>Transmission Plant @ End of Period (P.207, ln 58)</t>
  </si>
  <si>
    <t>Composite Depreciation Rate</t>
  </si>
  <si>
    <t>Depreciable Life for Composite Depreciation Rate</t>
  </si>
  <si>
    <t>Round to nearest whole year</t>
  </si>
  <si>
    <t>IV.</t>
  </si>
  <si>
    <t>Determine the Revenue Requirement &amp; Additional Revenue Requirement for facilities receiving incentives.</t>
  </si>
  <si>
    <t>A.   Facilities receiving incentives accepted by FERC in Docket No.</t>
  </si>
  <si>
    <t xml:space="preserve">   (e.g. ER05-925-000)</t>
  </si>
  <si>
    <t xml:space="preserve">Project Description: </t>
  </si>
  <si>
    <t>Current Projected Year Incentive ARR</t>
  </si>
  <si>
    <t>DETAILS</t>
  </si>
  <si>
    <t>Investment</t>
  </si>
  <si>
    <t>Current Year</t>
  </si>
  <si>
    <t>CUMMULATIVE HISTORY OF PROJECTED ANNUAL REVENUE REQUIREMENTS:</t>
  </si>
  <si>
    <t>Service Year (yyyy)</t>
  </si>
  <si>
    <t>ROE increase accepted by FERC (Basis Points)</t>
  </si>
  <si>
    <t>Service Month (1-12)</t>
  </si>
  <si>
    <t>FCR w/o incentives, less depreciation</t>
  </si>
  <si>
    <t xml:space="preserve">          TEMPLATE BELOW TO MAINTAIN HISTORY OF PROJECTED ARRS OVER THE </t>
  </si>
  <si>
    <t>Useful life</t>
  </si>
  <si>
    <t>FCR w/incentives approved for these facilities, less dep.</t>
  </si>
  <si>
    <t xml:space="preserve">         LIFE OF THE PROJECT.</t>
  </si>
  <si>
    <t>CIAC (Yes or No)</t>
  </si>
  <si>
    <t>No</t>
  </si>
  <si>
    <t>Annual Depreciation Expense</t>
  </si>
  <si>
    <t>Beginning</t>
  </si>
  <si>
    <t>Depreciation</t>
  </si>
  <si>
    <t>Ending</t>
  </si>
  <si>
    <t>Additional Rev.</t>
  </si>
  <si>
    <t>Project Rev Req't True-up</t>
  </si>
  <si>
    <t>True-up of Incentive</t>
  </si>
  <si>
    <t>Year</t>
  </si>
  <si>
    <t>Balance</t>
  </si>
  <si>
    <t>Expense</t>
  </si>
  <si>
    <t xml:space="preserve">Requirement </t>
  </si>
  <si>
    <t xml:space="preserve">with Incentives </t>
  </si>
  <si>
    <t xml:space="preserve">  </t>
  </si>
  <si>
    <t xml:space="preserve">w/o Incentives </t>
  </si>
  <si>
    <t>Project Totals</t>
  </si>
  <si>
    <t>additional incentive requirement is applicable for the life of this specific project.  Each year the revenue requirement calculated for SPP</t>
  </si>
  <si>
    <t xml:space="preserve">should be incremented by the amount of the incentive revenue calculated for that year on this project. </t>
  </si>
  <si>
    <t>SUMMARY OF TRUED-UP ANNUAL REVENUE REQUIREMENTS FOR SPP BPU &amp; NON-BPU PROJECTS</t>
  </si>
  <si>
    <t>TRUE-UP YEAR</t>
  </si>
  <si>
    <t>Determine the Revenue Requirement, and Additional Revenue Requirement for facilities receiving incentives.</t>
  </si>
  <si>
    <t>Project Description:</t>
  </si>
  <si>
    <t>Details</t>
  </si>
  <si>
    <t>True-Up Year</t>
  </si>
  <si>
    <t>CUMMULATIVE HISTORY OF TRUED-UP ANNUAL REVENUE REQUIREMENTS:</t>
  </si>
  <si>
    <t xml:space="preserve">          TEMPLATE BELOW TO MAINTAIN HISTORY OF TRUED-UP ARRS OVER THE </t>
  </si>
  <si>
    <t>Average</t>
  </si>
  <si>
    <t>Incentive Rev.</t>
  </si>
  <si>
    <t>BPU Rev Req't True-up</t>
  </si>
  <si>
    <r>
      <t xml:space="preserve">** </t>
    </r>
    <r>
      <rPr>
        <sz val="10"/>
        <rFont val="Arial"/>
        <family val="2"/>
      </rPr>
      <t xml:space="preserve"> This is the total amount that needs to be reported to SPP for billing to all regions. </t>
    </r>
  </si>
  <si>
    <r>
      <t xml:space="preserve">   Return   (from </t>
    </r>
    <r>
      <rPr>
        <sz val="10"/>
        <rFont val="MS Serif"/>
        <family val="1"/>
      </rPr>
      <t>I</t>
    </r>
    <r>
      <rPr>
        <sz val="10"/>
        <rFont val="Arial"/>
        <family val="2"/>
      </rPr>
      <t>.B. above)</t>
    </r>
  </si>
  <si>
    <r>
      <t xml:space="preserve">Requirement </t>
    </r>
    <r>
      <rPr>
        <b/>
        <sz val="10"/>
        <color indexed="10"/>
        <rFont val="Arial"/>
        <family val="2"/>
      </rPr>
      <t>##</t>
    </r>
  </si>
  <si>
    <r>
      <t>with Incentives</t>
    </r>
    <r>
      <rPr>
        <b/>
        <sz val="10"/>
        <color indexed="10"/>
        <rFont val="Arial"/>
        <family val="2"/>
      </rPr>
      <t xml:space="preserve"> **</t>
    </r>
  </si>
  <si>
    <r>
      <t>##</t>
    </r>
    <r>
      <rPr>
        <b/>
        <sz val="10"/>
        <rFont val="Arial"/>
        <family val="2"/>
      </rPr>
      <t xml:space="preserve"> This is the calculation of  additional incentive revenue on projects deemed by the FERC to be eligible for an incentive return.  This</t>
    </r>
  </si>
  <si>
    <r>
      <t xml:space="preserve">## </t>
    </r>
    <r>
      <rPr>
        <b/>
        <sz val="10"/>
        <color indexed="8"/>
        <rFont val="Arial"/>
        <family val="2"/>
      </rPr>
      <t>This is the calculation of  additional incentive revenue on projects deemed by the FERC to be eligible for an incentive return.  This</t>
    </r>
  </si>
  <si>
    <t>Long Term Debt %</t>
  </si>
  <si>
    <t>Long Term Debt Cost</t>
  </si>
  <si>
    <t>Preferred Stock %</t>
  </si>
  <si>
    <t>Preferred Stock Cost</t>
  </si>
  <si>
    <t>Common Stock %</t>
  </si>
  <si>
    <t>STEP 2</t>
  </si>
  <si>
    <t>STEP 3</t>
  </si>
  <si>
    <t xml:space="preserve">       Apportionment Factor to Texas (Worksheet K, ln 12)</t>
  </si>
  <si>
    <t>Black text is not used in this workbook.</t>
  </si>
  <si>
    <t>Blue text is used by this workbbok and driven by non WS-F Formula Rate template worksheets</t>
  </si>
  <si>
    <t>SEE INPUT/OUTPUT ranges to the right  ----&gt;</t>
  </si>
  <si>
    <t>SEE INPUT/OUTPUT ranges to the right  ------&gt;</t>
  </si>
  <si>
    <t xml:space="preserve">AEP West SPP Member Companies </t>
  </si>
  <si>
    <t>See INPUT/OUTPUT ranges below.</t>
  </si>
  <si>
    <t>STEP 1</t>
  </si>
  <si>
    <t>Is done first in the main Formula Rate template  Worksheet F.</t>
  </si>
  <si>
    <t>STEP 4</t>
  </si>
  <si>
    <t>Is done last in the main Formula Rate template  Worksheet F.</t>
  </si>
  <si>
    <t>Copy to main FR Template</t>
  </si>
  <si>
    <t>Project Description</t>
  </si>
  <si>
    <t>Is done first in the main Formula Rate template  Worksheet G.</t>
  </si>
  <si>
    <t>Is done last in the main Formula Rate template  Worksheet G.</t>
  </si>
  <si>
    <t>Blue text below is used by this workbbok and comes from main Formula Rate template WS-G sheet.</t>
  </si>
  <si>
    <t>As Projected in Prior Year WS F   Rev Require</t>
  </si>
  <si>
    <t>As Projected in Prior Year WS F    W Incentives</t>
  </si>
  <si>
    <t>Actual after True-up Rev Require</t>
  </si>
  <si>
    <t>Actual after True-up  W Incentives</t>
  </si>
  <si>
    <r>
      <t>Worksheet F</t>
    </r>
    <r>
      <rPr>
        <sz val="14"/>
        <rFont val="Arial"/>
        <family val="2"/>
      </rPr>
      <t xml:space="preserve"> - Calculation of PROJECTED Annual Revenue Requirement for BPU and Special-billed Projects</t>
    </r>
  </si>
  <si>
    <r>
      <t>Worksheet G</t>
    </r>
    <r>
      <rPr>
        <sz val="14"/>
        <rFont val="Arial"/>
        <family val="2"/>
      </rPr>
      <t xml:space="preserve"> - Calculation of TRUED-UP Annual Revenue Requirement for BPU and Special-billed Projects</t>
    </r>
  </si>
  <si>
    <t>&lt;----Worksheet data is for</t>
  </si>
  <si>
    <t>(Worksheet G)</t>
  </si>
  <si>
    <t>(Worksheet F)</t>
  </si>
  <si>
    <t>Worksheet F</t>
  </si>
  <si>
    <t>Worksheet G</t>
  </si>
  <si>
    <r>
      <t>##</t>
    </r>
    <r>
      <rPr>
        <sz val="10"/>
        <rFont val="Arial"/>
        <family val="2"/>
      </rPr>
      <t xml:space="preserve"> </t>
    </r>
    <r>
      <rPr>
        <b/>
        <sz val="10"/>
        <color indexed="8"/>
        <rFont val="Arial"/>
        <family val="2"/>
      </rPr>
      <t>This is the calculation of  additional incentive revenue on projects deemed by the FERC to be eligible for an incentive return.  This</t>
    </r>
  </si>
  <si>
    <r>
      <t>Worksheet F  --  SOUTHWESTERN ELECTRIC POWER COMPANY  --  Calculation of "</t>
    </r>
    <r>
      <rPr>
        <b/>
        <u/>
        <sz val="16"/>
        <rFont val="Arial"/>
        <family val="2"/>
      </rPr>
      <t>Projected</t>
    </r>
    <r>
      <rPr>
        <b/>
        <sz val="16"/>
        <rFont val="Arial"/>
        <family val="2"/>
      </rPr>
      <t>" ARR for SPP Base Plan Upgrade Projects</t>
    </r>
  </si>
  <si>
    <r>
      <t>Worksheet G  --  SOUTHWESTERN ELECTRIC POWER COMPANY  --  Calculation of "</t>
    </r>
    <r>
      <rPr>
        <b/>
        <u/>
        <sz val="16"/>
        <rFont val="Arial"/>
        <family val="2"/>
      </rPr>
      <t>Trued-Up</t>
    </r>
    <r>
      <rPr>
        <b/>
        <sz val="16"/>
        <rFont val="Arial"/>
        <family val="2"/>
      </rPr>
      <t>" ARR for SPP Base Plan Upgrade Projects</t>
    </r>
  </si>
  <si>
    <t>SOUTHWESTERN ELECTRIC POWER COMPANY</t>
  </si>
  <si>
    <t>EXPORT DATA to Template SWEPCO WS F</t>
  </si>
  <si>
    <t>Worksheet F --- DATA INPUT (Paste.Values) from TEMPLATE SWEPCO WS F</t>
  </si>
  <si>
    <t>DATA INPUT (Paste.Values) from main FR TEMPLATE SWEPCO WS G</t>
  </si>
  <si>
    <t>EXPORT DATA to main FR Template SWEPCO WS G</t>
  </si>
  <si>
    <t>TP2007057</t>
  </si>
  <si>
    <t>TP2007060</t>
  </si>
  <si>
    <t>TP2007103</t>
  </si>
  <si>
    <t>TP2007114</t>
  </si>
  <si>
    <t>TP2007120</t>
  </si>
  <si>
    <t>TP2007165</t>
  </si>
  <si>
    <t>TP2008080</t>
  </si>
  <si>
    <t>TP2002085</t>
  </si>
  <si>
    <t>TP2006130</t>
  </si>
  <si>
    <t>TP2004036</t>
  </si>
  <si>
    <t xml:space="preserve">Carthage REC - Carthage T 138 kV </t>
  </si>
  <si>
    <t>TP2004139</t>
  </si>
  <si>
    <t>TP2006089</t>
  </si>
  <si>
    <t>TP2004148</t>
  </si>
  <si>
    <t>TP2005142</t>
  </si>
  <si>
    <t>basis points</t>
  </si>
  <si>
    <t xml:space="preserve">True-Up Adjustment  </t>
  </si>
  <si>
    <t>Current Projected Year ARR</t>
  </si>
  <si>
    <t>Current Projected Year ARR w/ Incentive</t>
  </si>
  <si>
    <t>w/Incentives</t>
  </si>
  <si>
    <t xml:space="preserve"> Worksheet G</t>
  </si>
  <si>
    <t>TRUE-UP Adjustment from Prior Year WS-G</t>
  </si>
  <si>
    <t>TP2008017</t>
  </si>
  <si>
    <t>TP2007019</t>
  </si>
  <si>
    <t>Knox Lee - Oak Hill #2 138 kV line, S. Shreveport  (SWE Minor Proj II)</t>
  </si>
  <si>
    <t>ok</t>
  </si>
  <si>
    <t>AEP Transmission Formula Rate Template</t>
  </si>
  <si>
    <r>
      <t xml:space="preserve">Calculation of Schedule </t>
    </r>
    <r>
      <rPr>
        <sz val="12"/>
        <rFont val="Arial"/>
        <family val="2"/>
      </rPr>
      <t>11 Revenue Requirements For AEP Transmission Projects</t>
    </r>
  </si>
  <si>
    <t xml:space="preserve">AEP Schedule 11 Revenue Requirement Including True-Up of Prior Collections </t>
  </si>
  <si>
    <t>(A)</t>
  </si>
  <si>
    <t>(B)</t>
  </si>
  <si>
    <t>(C )</t>
  </si>
  <si>
    <t>(D)</t>
  </si>
  <si>
    <t>(E)</t>
  </si>
  <si>
    <t>(F)</t>
  </si>
  <si>
    <t>(H)</t>
  </si>
  <si>
    <t>(I)</t>
  </si>
  <si>
    <t>(M)</t>
  </si>
  <si>
    <t>Sheet Name</t>
  </si>
  <si>
    <t>Owner</t>
  </si>
  <si>
    <t>Year in Service</t>
  </si>
  <si>
    <t>Base ARR</t>
  </si>
  <si>
    <t>Incentive</t>
  </si>
  <si>
    <t>Total</t>
  </si>
  <si>
    <t>True-up</t>
  </si>
  <si>
    <t>As Billed</t>
  </si>
  <si>
    <t>Change</t>
  </si>
  <si>
    <t>Interest</t>
  </si>
  <si>
    <t>Indirect References</t>
  </si>
  <si>
    <r>
      <t xml:space="preserve">   DO </t>
    </r>
    <r>
      <rPr>
        <b/>
        <sz val="10"/>
        <color indexed="10"/>
        <rFont val="Arial"/>
        <family val="2"/>
      </rPr>
      <t>NOT</t>
    </r>
    <r>
      <rPr>
        <b/>
        <sz val="10"/>
        <rFont val="Arial"/>
        <family val="2"/>
      </rPr>
      <t xml:space="preserve"> delete this row or the formulas above will not work.</t>
    </r>
  </si>
  <si>
    <t>S.001</t>
  </si>
  <si>
    <t>SWE</t>
  </si>
  <si>
    <t>S.002</t>
  </si>
  <si>
    <t>S.003</t>
  </si>
  <si>
    <t>S.004</t>
  </si>
  <si>
    <t>S.005</t>
  </si>
  <si>
    <t>S.006</t>
  </si>
  <si>
    <t>S.007</t>
  </si>
  <si>
    <t>S.008</t>
  </si>
  <si>
    <t>S.009</t>
  </si>
  <si>
    <t>S.010</t>
  </si>
  <si>
    <t>S.011</t>
  </si>
  <si>
    <t>S.012</t>
  </si>
  <si>
    <t>S.013</t>
  </si>
  <si>
    <t>S.014</t>
  </si>
  <si>
    <t>S.015</t>
  </si>
  <si>
    <t>S.016</t>
  </si>
  <si>
    <t>S.017</t>
  </si>
  <si>
    <t>S.018</t>
  </si>
  <si>
    <t>S.019</t>
  </si>
  <si>
    <t>S.020</t>
  </si>
  <si>
    <r>
      <t xml:space="preserve">TRUE-UP Adjustment </t>
    </r>
    <r>
      <rPr>
        <sz val="10"/>
        <rFont val="Arial"/>
        <family val="2"/>
      </rPr>
      <t>(WS-G)</t>
    </r>
  </si>
  <si>
    <t>(J)</t>
  </si>
  <si>
    <t>from WS-F &amp; G</t>
  </si>
  <si>
    <t>Do NOT delete.</t>
  </si>
  <si>
    <t>COLLECTION Adjustment</t>
  </si>
  <si>
    <t>(L)</t>
  </si>
  <si>
    <t>(O)</t>
  </si>
  <si>
    <t>Incentive ARR</t>
  </si>
  <si>
    <r>
      <t xml:space="preserve">Total Adjustments
</t>
    </r>
    <r>
      <rPr>
        <sz val="8"/>
        <rFont val="Arial"/>
        <family val="2"/>
      </rPr>
      <t>(Forecast, Billing, &amp; Interest)</t>
    </r>
  </si>
  <si>
    <t>Total Adjustments before Interest</t>
  </si>
  <si>
    <t>the column above</t>
  </si>
  <si>
    <t>is used to feed interest</t>
  </si>
  <si>
    <t>calculation engine and its</t>
  </si>
  <si>
    <t>output is put into the interest</t>
  </si>
  <si>
    <t>Arsenal Hill Auto xfmr &amp; AH to Water Works line</t>
  </si>
  <si>
    <t>SW Shreveport (sub work &amp; tap)</t>
  </si>
  <si>
    <t>PROJECTED Rev. Req't From Prior Year Template</t>
  </si>
  <si>
    <t>TRUE-UP Rev. Req't.From Prior Year Template</t>
  </si>
  <si>
    <t>Rebuild N. Magazine - Danville 161 kV Line</t>
  </si>
  <si>
    <t>Dyess to S. Fayetteville 69 kV Convert to 161 kV (multi-projects)</t>
  </si>
  <si>
    <t>Northwest Texarkana-Bann-Alumax Tap 138kV -- reconductor</t>
  </si>
  <si>
    <r>
      <t xml:space="preserve">As Billed
by SPP
</t>
    </r>
    <r>
      <rPr>
        <sz val="10"/>
        <rFont val="Arial"/>
        <family val="2"/>
      </rPr>
      <t>(for Prior Yr
T-Service)</t>
    </r>
  </si>
  <si>
    <t>NW Henderson - Oak Hill 138 kV line*</t>
  </si>
  <si>
    <t>Linwood 138 Station Switch Replacement*</t>
  </si>
  <si>
    <t>Tontitown - Elm Springs REC 161 kV line***</t>
  </si>
  <si>
    <t>Siloam Springs - Chamber Springs 161 kV line***</t>
  </si>
  <si>
    <t>Daingerfield - Jenkins REC 69 kV CB Repl**</t>
  </si>
  <si>
    <t>Linwood-McWillie 138 kV Rebuild</t>
  </si>
  <si>
    <t>Port Robson-Caplis Line (SW 138 kV Loop -- 2009)</t>
  </si>
  <si>
    <t>Wallace Lake-Prt Robson-Red Point 138 kV Loop</t>
  </si>
  <si>
    <t>[NW Ark Area Improve - 2008]  Elm Springs, East Rogers, Shipe Road Stations</t>
  </si>
  <si>
    <t>[NW Ark Area Improve - 2009]  E. Centerton-Flint Crk, E Rogers-N Rogers, Centerton</t>
  </si>
  <si>
    <t>[Greenwood, AR Area Improve]  N Huntington, Greenwood, Reeves, Bonanza</t>
  </si>
  <si>
    <t>Arsenal Hill 138kV Device (Cap. Bank)</t>
  </si>
  <si>
    <t xml:space="preserve">∑ Prior Year Projected  (WS-F)  </t>
  </si>
  <si>
    <t xml:space="preserve">∑ Prior Year True-Up  (WS-G)  </t>
  </si>
  <si>
    <t>SWEPCO Total</t>
  </si>
  <si>
    <t>TP2006077</t>
  </si>
  <si>
    <t>TP2008014</t>
  </si>
  <si>
    <t>Reconductor: Greggton-Lake Lamond &amp; Quitman-Westwood 69 kV lines</t>
  </si>
  <si>
    <t>TP2008015</t>
  </si>
  <si>
    <t>TP2008026</t>
  </si>
  <si>
    <t>Rebuild/reconductor Dyess-Elm Springs REC [Dyess Station-Flint Creek]</t>
  </si>
  <si>
    <t>TP2009012</t>
  </si>
  <si>
    <t>S.021</t>
  </si>
  <si>
    <t>S.022</t>
  </si>
  <si>
    <t>S.023</t>
  </si>
  <si>
    <t>S.024</t>
  </si>
  <si>
    <t>S.025</t>
  </si>
  <si>
    <t>Additional Annual Rev.</t>
  </si>
  <si>
    <t>Reconductor 4 mi. of McNabb-Turk</t>
  </si>
  <si>
    <t>Longwood: r&amp;r switches, upgrade bus</t>
  </si>
  <si>
    <t>TP______</t>
  </si>
  <si>
    <t>Projected ADJUSTED ARR from Prior Update</t>
  </si>
  <si>
    <t>Port Robson (SW 138 kV Loop -- 2008)</t>
  </si>
  <si>
    <t>*</t>
  </si>
  <si>
    <t>*&lt;$100K investment, **AI xfer, ***Non-BPU (to be removed from list in future).</t>
  </si>
  <si>
    <t>Replace switch at Diana*</t>
  </si>
  <si>
    <t>column to left (Q).</t>
  </si>
  <si>
    <t>NOTE:  Delete duplicate project.  Will track this multi-element multi-year project via 1 set of worksheet F and G tables (S.006).</t>
  </si>
  <si>
    <t>NOTE:  $310K Investment still on Dist plant accounts at YE2009.  Thus YE2009 Trans investment set to $0.</t>
  </si>
  <si>
    <t>NOTE:  Investment expected to be transferred from Distribution to Transmission during 2010.</t>
  </si>
  <si>
    <t>Whitney repl CB and Switches</t>
  </si>
  <si>
    <t>S.026</t>
  </si>
  <si>
    <t>***2008 INVESTMENT NOW INCLUDED IN PROJECT S.003 ABOVE***</t>
  </si>
  <si>
    <t>NOTE:  Transfer project.  Initial yr investment included in project S.003.</t>
  </si>
  <si>
    <t>PID 452, UIP 10586</t>
  </si>
  <si>
    <t>TP2009015</t>
  </si>
  <si>
    <t>Linwood - Powell Street 138 kV</t>
  </si>
  <si>
    <t>TP2008027</t>
  </si>
  <si>
    <t>TP2010062</t>
  </si>
  <si>
    <t xml:space="preserve">Knox Lee - Pirkey 138 kV / Pirkey - Whitney 138 kV - Replace Breaker,  Wavetraps, and reset relays and CT's </t>
  </si>
  <si>
    <t>NW Texarkana - Turk 345</t>
  </si>
  <si>
    <t>TP2009100</t>
  </si>
  <si>
    <t>Lone Star South - Pittsburg 138 kV - Replace Wavetraps, reset CT's and Relays</t>
  </si>
  <si>
    <t>Howell-Kilgore 69 kV rebuild</t>
  </si>
  <si>
    <t xml:space="preserve"> Flint Creek-Shipe Road 345 kV Line</t>
  </si>
  <si>
    <t>S.027</t>
  </si>
  <si>
    <t>S.028</t>
  </si>
  <si>
    <t>S.029</t>
  </si>
  <si>
    <t>S.030</t>
  </si>
  <si>
    <t>S.031</t>
  </si>
  <si>
    <t>S.032</t>
  </si>
  <si>
    <t>S.033</t>
  </si>
  <si>
    <t>TP2011024</t>
  </si>
  <si>
    <t>Diana - Replace North Autotransformer #3</t>
  </si>
  <si>
    <t>Bann - LS Ordnance - Hooks 69 kV - Rebuild 7.1 mi</t>
  </si>
  <si>
    <t>TP2010065</t>
  </si>
  <si>
    <t>Osburn 161 kV Line Work</t>
  </si>
  <si>
    <t>TP2010066</t>
  </si>
  <si>
    <t>SW Shreveport to Spring Ridge REC 138 kV Line Rebuild</t>
  </si>
  <si>
    <t>TP2010064</t>
  </si>
  <si>
    <t>Eastex Switching Station - Whitney 138 kV Station - Rebuild 2.5 miles of 138 Kv</t>
  </si>
  <si>
    <t>S.034</t>
  </si>
  <si>
    <t>S.035</t>
  </si>
  <si>
    <t>S.036</t>
  </si>
  <si>
    <t>S.037</t>
  </si>
  <si>
    <t>S.038</t>
  </si>
  <si>
    <t>TP2009092</t>
  </si>
  <si>
    <t xml:space="preserve">Rock Hill to Carthage 69 kV Rebuild 11.4 Miles </t>
  </si>
  <si>
    <t>TP2010103</t>
  </si>
  <si>
    <t>Broadmoor to Fern Street 69 kV Rebuild 1 mile</t>
  </si>
  <si>
    <t>TP2004031</t>
  </si>
  <si>
    <t>Northwest Henderson to Poynter 69 kV Rebuild 3.2 miles</t>
  </si>
  <si>
    <t>TP2011023</t>
  </si>
  <si>
    <t>Diana to Perdue 138 kV Rebuild 21.8 miles; Station Upgrades at Diana and Perdue</t>
  </si>
  <si>
    <t>S.039</t>
  </si>
  <si>
    <t>S.040</t>
  </si>
  <si>
    <t>S.041</t>
  </si>
  <si>
    <t>S.042</t>
  </si>
  <si>
    <t>S.043</t>
  </si>
  <si>
    <t xml:space="preserve">  SPP Project ID = 681</t>
  </si>
  <si>
    <t xml:space="preserve">  SPP Project ID = 502</t>
  </si>
  <si>
    <t xml:space="preserve">  SPP Project ID = 882</t>
  </si>
  <si>
    <t xml:space="preserve">  SPP Project ID = 770 (split between PSO &amp; SWEPCO)</t>
  </si>
  <si>
    <r>
      <t xml:space="preserve">Ashdown West - Craig Junction 138KV Rebuild </t>
    </r>
    <r>
      <rPr>
        <sz val="10"/>
        <color indexed="12"/>
        <rFont val="Arial"/>
        <family val="2"/>
      </rPr>
      <t>(tie w/PSO)</t>
    </r>
  </si>
  <si>
    <t>TP2002006</t>
  </si>
  <si>
    <t>Pittsburg-Winnsboro-North Mineola</t>
  </si>
  <si>
    <t>TP2005152</t>
  </si>
  <si>
    <t>CHAMBER SPRINGS - TONTITOWN 161KV CKT 1</t>
  </si>
  <si>
    <t>TP2002123</t>
  </si>
  <si>
    <t>CHAMBER SPRINGS - TONTITOWN 345KV CKT 1</t>
  </si>
  <si>
    <t>FULTON - HOPE 115KV CKT 1</t>
  </si>
  <si>
    <t>TP2007166</t>
  </si>
  <si>
    <t>MINEOLA - NORTH MINEOLA 69KV CKT 1</t>
  </si>
  <si>
    <t>TP2004032</t>
  </si>
  <si>
    <t xml:space="preserve">SUGAR HILL 138/69KV TRANSFORMER CKT 1 </t>
  </si>
  <si>
    <t>Dekalb-New Boston 69 kV</t>
  </si>
  <si>
    <t>Hardy Street-Waterworks 69 kV</t>
  </si>
  <si>
    <t>Red Oak (State Line)-North Huntington 69 kV</t>
  </si>
  <si>
    <t>Mt. Pleasant - West Mt. Pleasant 69 kV Ckt 1)</t>
  </si>
  <si>
    <t>Benteler - Port Robson 138 kV Ckt 1 and 2</t>
  </si>
  <si>
    <t>S.044</t>
  </si>
  <si>
    <t>S.045</t>
  </si>
  <si>
    <t>S.046</t>
  </si>
  <si>
    <t>S.047</t>
  </si>
  <si>
    <t>S.048</t>
  </si>
  <si>
    <t>S.049</t>
  </si>
  <si>
    <t>S.050</t>
  </si>
  <si>
    <t>S.051</t>
  </si>
  <si>
    <t>S.052</t>
  </si>
  <si>
    <t>S.053</t>
  </si>
  <si>
    <t>S.054</t>
  </si>
  <si>
    <t xml:space="preserve">***Sch. 11 recovery commenced in the 2015 rate year *** </t>
  </si>
  <si>
    <t>Ellerbe Rd-S Shreveport 69 kv Build</t>
  </si>
  <si>
    <t>TP201154</t>
  </si>
  <si>
    <t>Logansport 138 kv</t>
  </si>
  <si>
    <t>TP2011022</t>
  </si>
  <si>
    <t>Winnsboro 138 kw</t>
  </si>
  <si>
    <t>TP2013122</t>
  </si>
  <si>
    <t>Rock Hill-Springridge Pan-Harr REC 138 kv</t>
  </si>
  <si>
    <t>Brownlee-North Mrket 69 kv Rebuild</t>
  </si>
  <si>
    <t>S.055</t>
  </si>
  <si>
    <t>S.056</t>
  </si>
  <si>
    <t>S.057</t>
  </si>
  <si>
    <t>S.058</t>
  </si>
  <si>
    <t>S.059</t>
  </si>
  <si>
    <t xml:space="preserve"> &lt;--- this value goes to sched 11 interest support file line 18</t>
  </si>
  <si>
    <t>2013</t>
  </si>
  <si>
    <t xml:space="preserve">***Sch. 11 recovery commenced in the 2015 rate year.  Beg Bal = to depreciated balance as of 1/1/15. *** </t>
  </si>
  <si>
    <t>S.060</t>
  </si>
  <si>
    <t>S.061</t>
  </si>
  <si>
    <t>S.062</t>
  </si>
  <si>
    <t>S.063</t>
  </si>
  <si>
    <t>S.064</t>
  </si>
  <si>
    <t>S.065</t>
  </si>
  <si>
    <t>S.066</t>
  </si>
  <si>
    <t>S.067</t>
  </si>
  <si>
    <t>Valliant-NW Texarkana 345 kV</t>
  </si>
  <si>
    <t>Messick 500/230 kV</t>
  </si>
  <si>
    <t>TP2011033</t>
  </si>
  <si>
    <t>Letourneau 69 kV Capacitor Bank Addition</t>
  </si>
  <si>
    <t>Brooks Street - Edwards Street 69 kV Line Rebuild</t>
  </si>
  <si>
    <t>Hallsville - Marshall New 69 kV Circuit</t>
  </si>
  <si>
    <t>Daingerfield - Jenkins Rebuild</t>
  </si>
  <si>
    <t>Broadmoor - Fort Humbug Rebuild</t>
  </si>
  <si>
    <t>Chamber Springs - Farmington 161 kV Line</t>
  </si>
  <si>
    <t>Beg/Ending 
Average
Revenue</t>
  </si>
  <si>
    <t>Beg/Ending
Average
Revenue Req't.</t>
  </si>
  <si>
    <t>insert project name here</t>
  </si>
  <si>
    <t xml:space="preserve">True-Up Year Projected  (WS-F)  </t>
  </si>
  <si>
    <t xml:space="preserve">True-Up Year Actual  (WS-G)  </t>
  </si>
  <si>
    <t xml:space="preserve">       Taxable Percentage of Revenue (22%)</t>
  </si>
  <si>
    <t xml:space="preserve"> Worksheet F</t>
  </si>
  <si>
    <t xml:space="preserve">  SPP Project ID = 221</t>
  </si>
  <si>
    <t xml:space="preserve">  SPP Project ID = 294</t>
  </si>
  <si>
    <t xml:space="preserve">  SPP Project ID = 30471</t>
  </si>
  <si>
    <t xml:space="preserve">  SPP Project ID = 30472</t>
  </si>
  <si>
    <t xml:space="preserve">  SPP Project ID = 30731</t>
  </si>
  <si>
    <t xml:space="preserve">  SPP Project ID = 30769</t>
  </si>
  <si>
    <t xml:space="preserve">  SPP Project ID = 30298</t>
  </si>
  <si>
    <t xml:space="preserve">  SPP Project ID = 30296</t>
  </si>
  <si>
    <t>TP2010067</t>
  </si>
  <si>
    <t xml:space="preserve">  SPP Project ID = 30449</t>
  </si>
  <si>
    <t xml:space="preserve">  SPP Project ID = 504</t>
  </si>
  <si>
    <t>TP2009104</t>
  </si>
  <si>
    <t>TP2015106</t>
  </si>
  <si>
    <t xml:space="preserve">  SPP Project ID = 30598</t>
  </si>
  <si>
    <t>TP2014138</t>
  </si>
  <si>
    <t xml:space="preserve">  SPP Project ID = 30895</t>
  </si>
  <si>
    <t>TP2013167</t>
  </si>
  <si>
    <t xml:space="preserve">  SPP Project ID = 30576</t>
  </si>
  <si>
    <t>TP2013166</t>
  </si>
  <si>
    <t xml:space="preserve">  SPP Project ID = 30574</t>
  </si>
  <si>
    <t>TP2013165</t>
  </si>
  <si>
    <t xml:space="preserve">  SPP Project ID = 30573</t>
  </si>
  <si>
    <t>TP2011147</t>
  </si>
  <si>
    <t xml:space="preserve">  SPP Project ID = 451</t>
  </si>
  <si>
    <t>TP2010100</t>
  </si>
  <si>
    <t xml:space="preserve">  SPP Project ID = 501</t>
  </si>
  <si>
    <t>Evenside - Northwest Henderson 69 KV Line Rebuild</t>
  </si>
  <si>
    <t xml:space="preserve">  SPP Project ID = 30575</t>
  </si>
  <si>
    <t>Hallsville - Longview Heights 69 KV Line Rebuild</t>
  </si>
  <si>
    <t>TP2014139</t>
  </si>
  <si>
    <t xml:space="preserve">  SPP Project ID = 30889</t>
  </si>
  <si>
    <t>TP2017012</t>
  </si>
  <si>
    <t xml:space="preserve">  SPP Project ID = 31186</t>
  </si>
  <si>
    <t>S.068</t>
  </si>
  <si>
    <t>S.069</t>
  </si>
  <si>
    <t>S.070</t>
  </si>
  <si>
    <t>S.071</t>
  </si>
  <si>
    <t>Linwood - South Shreveport 138 KV Kine Rebuild</t>
  </si>
  <si>
    <t>IPC 138 KV Capacitor Bank Addition</t>
  </si>
  <si>
    <t xml:space="preserve">   ROE w/o incentives  (True-Up TCOS, ln 135)</t>
  </si>
  <si>
    <t xml:space="preserve">                         -  </t>
  </si>
  <si>
    <t xml:space="preserve">   Excess DFIT Adjustment  (TCOS, ln 109)</t>
  </si>
  <si>
    <t xml:space="preserve">   Tax Effect of Permanent and Flow Through Differences (TCOS, ln 110)</t>
  </si>
  <si>
    <t xml:space="preserve">   Net Transmission Plant  (TCOS, ln 37)</t>
  </si>
  <si>
    <t xml:space="preserve">   FCR less Depreciation  (TCOS, ln 10)</t>
  </si>
  <si>
    <t>S.073</t>
  </si>
  <si>
    <t>S.072</t>
  </si>
  <si>
    <t>Siloam Springs - Siloam Springs City 161 kV Rebuild</t>
  </si>
  <si>
    <t>Ellerbe Road - Lucas 69 kV Rebuild</t>
  </si>
  <si>
    <t>Figure Five - VBI North 69 kV Rebuild</t>
  </si>
  <si>
    <t>TA2016806</t>
  </si>
  <si>
    <t>S.074</t>
  </si>
  <si>
    <t>Transmission Plant Average Balance for 2019</t>
  </si>
  <si>
    <t>Annual Depreciation Expense  (True-Up TCOS,  ln 86)</t>
  </si>
  <si>
    <t xml:space="preserve">   Rate Base  (TCOS, ln 63)</t>
  </si>
  <si>
    <t xml:space="preserve">   Tax Rate  (TCOS, ln 99)</t>
  </si>
  <si>
    <t xml:space="preserve">   ITC Adjustment  (TCOS, ln 108)</t>
  </si>
  <si>
    <t xml:space="preserve">   Net Revenue Requirement  (TCOS, ln 117)</t>
  </si>
  <si>
    <t xml:space="preserve">   Return  (TCOS, ln 112)</t>
  </si>
  <si>
    <t xml:space="preserve">   Income Taxes  (TCOS, ln 111)</t>
  </si>
  <si>
    <t xml:space="preserve">  Gross Margin Taxes  (TCOS, ln 116)</t>
  </si>
  <si>
    <t xml:space="preserve">   Less: Depreciation  (TCOS, ln 86)</t>
  </si>
  <si>
    <t xml:space="preserve">  SPP Project ID = 31131</t>
  </si>
  <si>
    <t>TP2017010</t>
  </si>
  <si>
    <t xml:space="preserve">  SPP Project ID = 51300</t>
  </si>
  <si>
    <t>TP2014154</t>
  </si>
  <si>
    <t xml:space="preserve">  SPP Project ID = 30762</t>
  </si>
  <si>
    <t>Bloomburg-Texarkana Plant</t>
  </si>
  <si>
    <t>TP2008126</t>
  </si>
  <si>
    <t>TP2010102</t>
  </si>
  <si>
    <t>TP2012144</t>
  </si>
  <si>
    <t>TP2012146</t>
  </si>
  <si>
    <t>TP2012164</t>
  </si>
  <si>
    <t>TP2013081</t>
  </si>
  <si>
    <t>TP2012172</t>
  </si>
  <si>
    <t>TP2009089</t>
  </si>
  <si>
    <t xml:space="preserve">  SPP Project ID = 108</t>
  </si>
  <si>
    <t xml:space="preserve">  SPP Project ID = 224</t>
  </si>
  <si>
    <t xml:space="preserve">  SPP Project ID = 229</t>
  </si>
  <si>
    <t xml:space="preserve">  SPP Project ID = 225</t>
  </si>
  <si>
    <t xml:space="preserve">  SPP Project ID = 217</t>
  </si>
  <si>
    <t xml:space="preserve">  SPP Project ID = 113</t>
  </si>
  <si>
    <t xml:space="preserve">  SPP Project ID = 109</t>
  </si>
  <si>
    <t xml:space="preserve">  SPP Project ID = 30151</t>
  </si>
  <si>
    <t xml:space="preserve">  SPP Project ID = 115</t>
  </si>
  <si>
    <t xml:space="preserve">  SPP Project ID = 41</t>
  </si>
  <si>
    <t xml:space="preserve">  SPP Project ID = 5</t>
  </si>
  <si>
    <t xml:space="preserve">  SPP Project ID = 48</t>
  </si>
  <si>
    <t xml:space="preserve">  SPP Project ID = 30000</t>
  </si>
  <si>
    <t xml:space="preserve">  SPP Project ID = 227</t>
  </si>
  <si>
    <t xml:space="preserve">  SPP Project ID = 120</t>
  </si>
  <si>
    <t xml:space="preserve">  SPP Project ID = 349</t>
  </si>
  <si>
    <t xml:space="preserve">  SPP Project ID = 30153</t>
  </si>
  <si>
    <t xml:space="preserve">  SPP Project ID = 30152</t>
  </si>
  <si>
    <t xml:space="preserve">  SPP Project ID = 30157</t>
  </si>
  <si>
    <t xml:space="preserve">  SPP Project ID = 30318</t>
  </si>
  <si>
    <t xml:space="preserve">  SPP Project ID = 30142</t>
  </si>
  <si>
    <t xml:space="preserve">  SPP Project ID = 391</t>
  </si>
  <si>
    <t xml:space="preserve">  SPP Project ID = 392</t>
  </si>
  <si>
    <t xml:space="preserve">  SPP Project ID = 450</t>
  </si>
  <si>
    <t xml:space="preserve">  SPP Project ID = 1081</t>
  </si>
  <si>
    <t xml:space="preserve">  SPP Project ID = 30316</t>
  </si>
  <si>
    <t xml:space="preserve">  SPP Project ID = 443</t>
  </si>
  <si>
    <t xml:space="preserve">  SPP Project ID = 1023</t>
  </si>
  <si>
    <t xml:space="preserve">  SPP Project ID = 1024</t>
  </si>
  <si>
    <t xml:space="preserve">  SPP Project ID = 1012</t>
  </si>
  <si>
    <t xml:space="preserve">  SPP Project ID = 10</t>
  </si>
  <si>
    <t xml:space="preserve">  SPP Project ID = 45</t>
  </si>
  <si>
    <t xml:space="preserve">  SPP Project ID = 117</t>
  </si>
  <si>
    <t xml:space="preserve">  SPP Project ID = 875</t>
  </si>
  <si>
    <t xml:space="preserve">  SPP Project ID = 30473</t>
  </si>
  <si>
    <t xml:space="preserve">  SPP Project ID = 512</t>
  </si>
  <si>
    <t xml:space="preserve">  SPP Project ID = 936</t>
  </si>
  <si>
    <t xml:space="preserve">  SPP Project ID = 30495</t>
  </si>
  <si>
    <t>Projected Year</t>
  </si>
  <si>
    <t xml:space="preserve">   ROE w/o incentives  (TCOS, ln 143)</t>
  </si>
  <si>
    <t xml:space="preserve">   Tax Effect of Permanent and Flow Through Differences  (TCOS, ln 110)</t>
  </si>
  <si>
    <t>Annual Depreciation Expense  (TCOS, ln 86)</t>
  </si>
  <si>
    <t>Project Name check</t>
  </si>
  <si>
    <t>Transmission Plant Average Balance for 2023 (WS A-1 Ln 14 Col (d))</t>
  </si>
  <si>
    <t>Siloam Springs 161 kV Rebuild</t>
  </si>
  <si>
    <t>TP2022737</t>
  </si>
  <si>
    <t xml:space="preserve">  SPP Project ID = 92393</t>
  </si>
  <si>
    <t>S.075</t>
  </si>
  <si>
    <t>AH auto &amp; line (TP2007057)</t>
  </si>
  <si>
    <t>SW Shreveport (TP2007060)</t>
  </si>
  <si>
    <t>NW Ark 2009 (TP2007103)</t>
  </si>
  <si>
    <t>N-Mag-Danville (TP2007114)</t>
  </si>
  <si>
    <t>Greenwod, AR area (TP2007120)</t>
  </si>
  <si>
    <t>Port Robson - Caplis - Red Point (SE 138 loop) (TP2007165)</t>
  </si>
  <si>
    <t>Linwood 1238 switch r&amp;r (TP2008080)</t>
  </si>
  <si>
    <t>Dyess-S.Fayetteville 69 convert to 161 (TP2002085)</t>
  </si>
  <si>
    <t>NW Texkna-Bann-Alumax 138 reconductor (TP2006130)</t>
  </si>
  <si>
    <t>Tontitown-Elm Springs REC 161</t>
  </si>
  <si>
    <t>Siloam Sprgs - Chamber Sprgs 161 line</t>
  </si>
  <si>
    <t>Knox Lee - Oak Hill#2 1328 line, S.Shreveport (TP2004036)</t>
  </si>
  <si>
    <t>Carthage REC - Carthage T 138 (TP2004139)</t>
  </si>
  <si>
    <t>NW Henderson - Oak Hill 138 line (TP2006089)</t>
  </si>
  <si>
    <t>Arsenal Hill 138 kV cap (TP2004148)</t>
  </si>
  <si>
    <t>Daingerfield repl CB 1M90 (TP2008017)</t>
  </si>
  <si>
    <t>Linwood-McWillie (TP2007019)</t>
  </si>
  <si>
    <t>Port Robson - Caplis
(SE 1238 kV loop - 2008) (TP2007165)</t>
  </si>
  <si>
    <t>Wallace Lake - Port Robson (TP2005142)</t>
  </si>
  <si>
    <t xml:space="preserve">[NW Ark Area Improve - 2008] Elm Springs, East Rogers,Shipe Rd stations </t>
  </si>
  <si>
    <t>McNabb-Turk 4mi reconductor</t>
  </si>
  <si>
    <t>Longwood: r&amp;r switches &amp; bus upgrade</t>
  </si>
  <si>
    <t>Reconductor: Greggton-Lake Lamond &amp; Quitman-Westwood 69 kV lines (TP2008015)</t>
  </si>
  <si>
    <t>Rebuild/recondutor Dyess-ElmSprings REC [Dyess Station-Flint Creek] (TP2008026)</t>
  </si>
  <si>
    <t>Replace sw @ Diana</t>
  </si>
  <si>
    <t>Bloomburg-Texarkana Plant (TP2008027)</t>
  </si>
  <si>
    <t>Knox Lee - Pirkey 138 kV / Pirkey - Whitney 138 kV - Replace Breaker,  Wavetraps, and reset relays and CT's (TP2010062)</t>
  </si>
  <si>
    <t>Lone Star South - Pittsburg 138 kV - Replace Wavetraps, reset CT's and Relays (TP2009100)</t>
  </si>
  <si>
    <t xml:space="preserve"> Flint Creek-Shipe Road 345 kV Line (TP2008126)</t>
  </si>
  <si>
    <t>Bann - LS Ordnance - Hooks 69 kV - Rebuild 7.1 mi (TP2011024)</t>
  </si>
  <si>
    <t>Diana - Replace North Autotransformer #3 (TP2010065)</t>
  </si>
  <si>
    <t>SW Shreveport to Spring Ridge REC 138 kV Line Rebuild (TP2010066)</t>
  </si>
  <si>
    <t>Eastex Switching Station - Whitney 138 kV Station - Rebuild 2.5 miles of 138 kV (TP2010064)</t>
  </si>
  <si>
    <t>Ashdown West - Craig Junction 138KV Rebuild (TP2009092)</t>
  </si>
  <si>
    <t>Rock Hill to Carthage 69 kV Rebuild 11.4 Miles (TP2010102)</t>
  </si>
  <si>
    <t>Broadmoor to Fern Street 69 kV Rebuild 1 mile (TP2010103)</t>
  </si>
  <si>
    <t>Northwest Henderson to Poynter 69 kV Rebuild 3.2 miles (TP2004031)</t>
  </si>
  <si>
    <t>Diana to Perdue 138 kV Rebuild 21.8 miles; Station Upgrades at Diana and Perdue (TP2011023)</t>
  </si>
  <si>
    <t>SUGAR HILL 138/69KV TRANSFORMER CKT 1</t>
  </si>
  <si>
    <t>Mt. Pleasant - West Mt. Pleasant 69 kV Ckt 1</t>
  </si>
  <si>
    <t>Ellerbe Rd - South Shreveport 69 kV Build (TP201154)</t>
  </si>
  <si>
    <t>Logansport 138 kV (TP2011022)</t>
  </si>
  <si>
    <t>Winnsboro 138 kV (TP2013122)</t>
  </si>
  <si>
    <t>Rock Hill-Springridge Pan-Harr REC 138 kV Ckt 1</t>
  </si>
  <si>
    <t>Brownlee-North Market 69 kV Rebuild</t>
  </si>
  <si>
    <t>Messick 500/230 kV (TP2011033)</t>
  </si>
  <si>
    <t>Broadmoor - Fort Humbug 69 kV Rebuild</t>
  </si>
  <si>
    <t>Evenside - Northwest Henderson 69 kV Line Rebuild</t>
  </si>
  <si>
    <t>Hallsville - Longview Heights 69 kV Line Rebuild</t>
  </si>
  <si>
    <t>Linwood - South Shreveport 138 kV Line Rebuild</t>
  </si>
  <si>
    <t>IPC 138 kV Capacitor Bank Addition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</si>
</sst>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1">
    <numFmt numFmtId="5" formatCode="&quot;$&quot;#,##0_);\(&quot;$&quot;#,##0\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00%"/>
    <numFmt numFmtId="165" formatCode="0.00000"/>
    <numFmt numFmtId="166" formatCode="#,##0.0000"/>
    <numFmt numFmtId="167" formatCode="0.0000"/>
    <numFmt numFmtId="168" formatCode="&quot;$&quot;#,##0"/>
    <numFmt numFmtId="169" formatCode="&quot;$&quot;#,##0.00"/>
    <numFmt numFmtId="170" formatCode="_(* #,##0_);_(* \(#,##0\);_(* &quot;-&quot;??_);_(@_)"/>
    <numFmt numFmtId="171" formatCode="_(&quot;$&quot;* #,##0_);_(&quot;$&quot;* \(#,##0\);_(&quot;$&quot;* &quot;-&quot;??_);_(@_)"/>
    <numFmt numFmtId="172" formatCode="_(* #,##0.0000_);_(* \(#,##0.0000\);_(* &quot;-&quot;????_);_(@_)"/>
    <numFmt numFmtId="173" formatCode="_(* #,##0.0000_);_(* \(#,##0.0000\);_(* &quot;-&quot;_);_(@_)"/>
    <numFmt numFmtId="174" formatCode="_(* #,##0.0000000000_);_(* \(#,##0.0000000000\);_(* &quot;-&quot;_);_(@_)"/>
    <numFmt numFmtId="175" formatCode="_(* #,##0.00000_);_(* \(#,##0.00000\);_(* &quot;-&quot;??_);_(@_)"/>
    <numFmt numFmtId="176" formatCode="_(* #,##0.0000000_);_(* \(#,##0.0000000\);_(* &quot;-&quot;_);_(@_)"/>
    <numFmt numFmtId="177" formatCode="_(* #,##0.00000000_);_(* \(#,##0.00000000\);_(* &quot;-&quot;??_);_(@_)"/>
    <numFmt numFmtId="178" formatCode="&quot;$&quot;#,##0\ ;\(&quot;$&quot;#,##0\)"/>
    <numFmt numFmtId="179" formatCode="_(* #,##0.0,_);_(* \(#,##0.0,\);_(* &quot;-   &quot;_);_(@_)"/>
    <numFmt numFmtId="180" formatCode="0_);\(0\)"/>
  </numFmts>
  <fonts count="127">
    <font>
      <sz val="10"/>
      <name val="Arial"/>
    </font>
    <font>
      <sz val="10"/>
      <name val="Arial"/>
      <family val="2"/>
    </font>
    <font>
      <sz val="11"/>
      <color indexed="8"/>
      <name val="Arial Narrow"/>
      <family val="2"/>
    </font>
    <font>
      <sz val="11"/>
      <color indexed="9"/>
      <name val="Arial Narrow"/>
      <family val="2"/>
    </font>
    <font>
      <sz val="11"/>
      <color indexed="20"/>
      <name val="Arial Narrow"/>
      <family val="2"/>
    </font>
    <font>
      <sz val="8"/>
      <name val="Arial"/>
      <family val="2"/>
    </font>
    <font>
      <b/>
      <sz val="14"/>
      <name val="Arial"/>
      <family val="2"/>
    </font>
    <font>
      <sz val="10"/>
      <name val="Arial"/>
      <family val="2"/>
    </font>
    <font>
      <b/>
      <i/>
      <sz val="14"/>
      <name val="Arial"/>
      <family val="2"/>
    </font>
    <font>
      <b/>
      <sz val="12"/>
      <name val="Arial"/>
      <family val="2"/>
    </font>
    <font>
      <b/>
      <sz val="11"/>
      <name val="Arial"/>
      <family val="2"/>
    </font>
    <font>
      <b/>
      <sz val="24"/>
      <name val="Arial Narrow"/>
      <family val="2"/>
    </font>
    <font>
      <b/>
      <i/>
      <sz val="12"/>
      <name val="Arial"/>
      <family val="2"/>
    </font>
    <font>
      <i/>
      <sz val="12"/>
      <name val="Arial"/>
      <family val="2"/>
    </font>
    <font>
      <sz val="12"/>
      <name val="Arial"/>
      <family val="2"/>
    </font>
    <font>
      <sz val="9"/>
      <name val="Arial"/>
      <family val="2"/>
    </font>
    <font>
      <i/>
      <sz val="10"/>
      <name val="Arial"/>
      <family val="2"/>
    </font>
    <font>
      <sz val="9"/>
      <color indexed="18"/>
      <name val="Arial"/>
      <family val="2"/>
    </font>
    <font>
      <i/>
      <sz val="10"/>
      <color indexed="18"/>
      <name val="Arial"/>
      <family val="2"/>
    </font>
    <font>
      <sz val="10"/>
      <color indexed="18"/>
      <name val="Arial"/>
      <family val="2"/>
    </font>
    <font>
      <sz val="8"/>
      <color indexed="18"/>
      <name val="Arial"/>
      <family val="2"/>
    </font>
    <font>
      <i/>
      <sz val="9"/>
      <color indexed="18"/>
      <name val="Arial"/>
      <family val="2"/>
    </font>
    <font>
      <b/>
      <sz val="11"/>
      <color indexed="52"/>
      <name val="Arial Narrow"/>
      <family val="2"/>
    </font>
    <font>
      <b/>
      <sz val="11"/>
      <color indexed="9"/>
      <name val="Arial Narrow"/>
      <family val="2"/>
    </font>
    <font>
      <i/>
      <sz val="11"/>
      <color indexed="23"/>
      <name val="Arial Narrow"/>
      <family val="2"/>
    </font>
    <font>
      <sz val="11"/>
      <color indexed="17"/>
      <name val="Arial Narrow"/>
      <family val="2"/>
    </font>
    <font>
      <b/>
      <sz val="18"/>
      <name val="Arial"/>
      <family val="2"/>
    </font>
    <font>
      <b/>
      <sz val="11"/>
      <color indexed="56"/>
      <name val="Arial Narrow"/>
      <family val="2"/>
    </font>
    <font>
      <b/>
      <sz val="14"/>
      <name val="Book Antiqua"/>
      <family val="1"/>
    </font>
    <font>
      <i/>
      <sz val="10"/>
      <name val="Book Antiqua"/>
      <family val="1"/>
    </font>
    <font>
      <sz val="11"/>
      <color indexed="62"/>
      <name val="Arial Narrow"/>
      <family val="2"/>
    </font>
    <font>
      <sz val="11"/>
      <color indexed="52"/>
      <name val="Arial Narrow"/>
      <family val="2"/>
    </font>
    <font>
      <sz val="11"/>
      <color indexed="60"/>
      <name val="Arial Narrow"/>
      <family val="2"/>
    </font>
    <font>
      <sz val="12"/>
      <name val="Arial MT"/>
    </font>
    <font>
      <b/>
      <sz val="11"/>
      <color indexed="63"/>
      <name val="Arial Narrow"/>
      <family val="2"/>
    </font>
    <font>
      <sz val="10"/>
      <name val="MS Sans Serif"/>
      <family val="2"/>
    </font>
    <font>
      <b/>
      <sz val="10"/>
      <name val="MS Sans Serif"/>
      <family val="2"/>
    </font>
    <font>
      <sz val="8"/>
      <color indexed="38"/>
      <name val="Arial"/>
      <family val="2"/>
    </font>
    <font>
      <b/>
      <sz val="9"/>
      <name val="Arial"/>
      <family val="2"/>
    </font>
    <font>
      <b/>
      <sz val="10"/>
      <name val="Arial"/>
      <family val="2"/>
    </font>
    <font>
      <b/>
      <i/>
      <sz val="16"/>
      <name val="Arial"/>
      <family val="2"/>
    </font>
    <font>
      <b/>
      <sz val="12"/>
      <color indexed="32"/>
      <name val="Arial"/>
      <family val="2"/>
    </font>
    <font>
      <i/>
      <sz val="11"/>
      <name val="Arial"/>
      <family val="2"/>
    </font>
    <font>
      <sz val="11"/>
      <name val="Arial"/>
      <family val="2"/>
    </font>
    <font>
      <b/>
      <sz val="18"/>
      <color indexed="56"/>
      <name val="Cambria"/>
      <family val="2"/>
    </font>
    <font>
      <sz val="11"/>
      <color indexed="10"/>
      <name val="Arial Narrow"/>
      <family val="2"/>
    </font>
    <font>
      <sz val="14"/>
      <name val="Arial"/>
      <family val="2"/>
    </font>
    <font>
      <b/>
      <sz val="14"/>
      <name val="MS Serif"/>
      <family val="1"/>
    </font>
    <font>
      <u/>
      <sz val="10"/>
      <name val="Arial"/>
      <family val="2"/>
    </font>
    <font>
      <sz val="10"/>
      <name val="MS Serif"/>
      <family val="1"/>
    </font>
    <font>
      <b/>
      <sz val="16"/>
      <name val="Arial"/>
      <family val="2"/>
    </font>
    <font>
      <sz val="12"/>
      <color indexed="12"/>
      <name val="Arial"/>
      <family val="2"/>
    </font>
    <font>
      <b/>
      <sz val="10"/>
      <color indexed="12"/>
      <name val="Arial"/>
      <family val="2"/>
    </font>
    <font>
      <b/>
      <sz val="10"/>
      <color indexed="10"/>
      <name val="Arial"/>
      <family val="2"/>
    </font>
    <font>
      <sz val="10"/>
      <color indexed="12"/>
      <name val="Arial"/>
      <family val="2"/>
    </font>
    <font>
      <sz val="10"/>
      <color indexed="10"/>
      <name val="Arial"/>
      <family val="2"/>
    </font>
    <font>
      <u val="singleAccounting"/>
      <sz val="10"/>
      <name val="Arial"/>
      <family val="2"/>
    </font>
    <font>
      <sz val="12"/>
      <color indexed="10"/>
      <name val="Arial"/>
      <family val="2"/>
    </font>
    <font>
      <b/>
      <sz val="10"/>
      <color indexed="8"/>
      <name val="Arial"/>
      <family val="2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b/>
      <sz val="10"/>
      <color indexed="48"/>
      <name val="Arial"/>
      <family val="2"/>
    </font>
    <font>
      <sz val="8"/>
      <name val="Arial"/>
      <family val="2"/>
    </font>
    <font>
      <b/>
      <i/>
      <sz val="8"/>
      <color indexed="10"/>
      <name val="Arial"/>
      <family val="2"/>
    </font>
    <font>
      <sz val="10"/>
      <color indexed="12"/>
      <name val="Arial"/>
      <family val="2"/>
    </font>
    <font>
      <b/>
      <u/>
      <sz val="10"/>
      <name val="Arial"/>
      <family val="2"/>
    </font>
    <font>
      <b/>
      <sz val="10"/>
      <color indexed="57"/>
      <name val="Arial"/>
      <family val="2"/>
    </font>
    <font>
      <sz val="14"/>
      <color indexed="12"/>
      <name val="Arial"/>
      <family val="2"/>
    </font>
    <font>
      <sz val="10"/>
      <color indexed="9"/>
      <name val="Arial"/>
      <family val="2"/>
    </font>
    <font>
      <sz val="12"/>
      <name val="Arial"/>
      <family val="2"/>
    </font>
    <font>
      <b/>
      <u/>
      <sz val="16"/>
      <name val="Arial"/>
      <family val="2"/>
    </font>
    <font>
      <b/>
      <sz val="14"/>
      <color indexed="12"/>
      <name val="Arial"/>
      <family val="2"/>
    </font>
    <font>
      <sz val="16"/>
      <name val="Arial"/>
      <family val="2"/>
    </font>
    <font>
      <b/>
      <sz val="12"/>
      <color indexed="12"/>
      <name val="Arial"/>
      <family val="2"/>
    </font>
    <font>
      <sz val="10"/>
      <color indexed="13"/>
      <name val="Arial"/>
      <family val="2"/>
    </font>
    <font>
      <sz val="10"/>
      <color indexed="10"/>
      <name val="Arial"/>
      <family val="2"/>
    </font>
    <font>
      <i/>
      <sz val="8"/>
      <color indexed="81"/>
      <name val="Tahoma"/>
      <family val="2"/>
    </font>
    <font>
      <sz val="8"/>
      <color indexed="10"/>
      <name val="Arial"/>
      <family val="2"/>
    </font>
    <font>
      <b/>
      <i/>
      <sz val="10"/>
      <color indexed="10"/>
      <name val="Arial"/>
      <family val="2"/>
    </font>
    <font>
      <sz val="10"/>
      <color indexed="12"/>
      <name val="Arial"/>
      <family val="2"/>
    </font>
    <font>
      <sz val="11"/>
      <color indexed="8"/>
      <name val="Calibri"/>
      <family val="2"/>
    </font>
    <font>
      <sz val="10"/>
      <name val="Arial"/>
      <family val="2"/>
    </font>
    <font>
      <b/>
      <sz val="22"/>
      <color indexed="81"/>
      <name val="Tahoma"/>
      <family val="2"/>
    </font>
    <font>
      <sz val="22"/>
      <color indexed="81"/>
      <name val="Tahoma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1"/>
      <color indexed="8"/>
      <name val="Calibri"/>
      <family val="2"/>
    </font>
    <font>
      <sz val="10"/>
      <color indexed="30"/>
      <name val="Arial"/>
      <family val="2"/>
    </font>
    <font>
      <sz val="10"/>
      <color indexed="1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sz val="10"/>
      <color indexed="22"/>
      <name val="Arial"/>
      <family val="2"/>
    </font>
    <font>
      <sz val="10"/>
      <color indexed="8"/>
      <name val="Calibri"/>
      <family val="2"/>
    </font>
    <font>
      <b/>
      <sz val="18"/>
      <color indexed="22"/>
      <name val="Arial"/>
      <family val="2"/>
    </font>
    <font>
      <b/>
      <sz val="12"/>
      <color indexed="22"/>
      <name val="Arial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theme="1"/>
      <name val="Calibri"/>
      <family val="2"/>
    </font>
    <font>
      <b/>
      <sz val="11"/>
      <color rgb="FF3F3F3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name val="Arial"/>
      <family val="2"/>
    </font>
  </fonts>
  <fills count="64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mediumGray">
        <fgColor indexed="22"/>
      </patternFill>
    </fill>
    <fill>
      <patternFill patternType="solid">
        <fgColor indexed="2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</fills>
  <borders count="57">
    <border>
      <left/>
      <right/>
      <top/>
      <bottom/>
      <diagonal/>
    </border>
    <border>
      <left/>
      <right/>
      <top style="double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1261">
    <xf numFmtId="0" fontId="0" fillId="0" borderId="0"/>
    <xf numFmtId="0" fontId="2" fillId="2" borderId="0" applyNumberFormat="0" applyBorder="0" applyAlignment="0" applyProtection="0"/>
    <xf numFmtId="0" fontId="108" fillId="29" borderId="0" applyNumberFormat="0" applyBorder="0" applyAlignment="0" applyProtection="0"/>
    <xf numFmtId="0" fontId="80" fillId="2" borderId="0" applyNumberFormat="0" applyBorder="0" applyAlignment="0" applyProtection="0"/>
    <xf numFmtId="0" fontId="108" fillId="29" borderId="0" applyNumberFormat="0" applyBorder="0" applyAlignment="0" applyProtection="0"/>
    <xf numFmtId="0" fontId="2" fillId="2" borderId="0" applyNumberFormat="0" applyBorder="0" applyAlignment="0" applyProtection="0"/>
    <xf numFmtId="0" fontId="80" fillId="2" borderId="0" applyNumberFormat="0" applyBorder="0" applyAlignment="0" applyProtection="0"/>
    <xf numFmtId="0" fontId="2" fillId="3" borderId="0" applyNumberFormat="0" applyBorder="0" applyAlignment="0" applyProtection="0"/>
    <xf numFmtId="0" fontId="108" fillId="30" borderId="0" applyNumberFormat="0" applyBorder="0" applyAlignment="0" applyProtection="0"/>
    <xf numFmtId="0" fontId="80" fillId="3" borderId="0" applyNumberFormat="0" applyBorder="0" applyAlignment="0" applyProtection="0"/>
    <xf numFmtId="0" fontId="108" fillId="30" borderId="0" applyNumberFormat="0" applyBorder="0" applyAlignment="0" applyProtection="0"/>
    <xf numFmtId="0" fontId="2" fillId="3" borderId="0" applyNumberFormat="0" applyBorder="0" applyAlignment="0" applyProtection="0"/>
    <xf numFmtId="0" fontId="80" fillId="3" borderId="0" applyNumberFormat="0" applyBorder="0" applyAlignment="0" applyProtection="0"/>
    <xf numFmtId="0" fontId="2" fillId="4" borderId="0" applyNumberFormat="0" applyBorder="0" applyAlignment="0" applyProtection="0"/>
    <xf numFmtId="0" fontId="108" fillId="31" borderId="0" applyNumberFormat="0" applyBorder="0" applyAlignment="0" applyProtection="0"/>
    <xf numFmtId="0" fontId="80" fillId="4" borderId="0" applyNumberFormat="0" applyBorder="0" applyAlignment="0" applyProtection="0"/>
    <xf numFmtId="0" fontId="108" fillId="31" borderId="0" applyNumberFormat="0" applyBorder="0" applyAlignment="0" applyProtection="0"/>
    <xf numFmtId="0" fontId="2" fillId="4" borderId="0" applyNumberFormat="0" applyBorder="0" applyAlignment="0" applyProtection="0"/>
    <xf numFmtId="0" fontId="80" fillId="4" borderId="0" applyNumberFormat="0" applyBorder="0" applyAlignment="0" applyProtection="0"/>
    <xf numFmtId="0" fontId="2" fillId="5" borderId="0" applyNumberFormat="0" applyBorder="0" applyAlignment="0" applyProtection="0"/>
    <xf numFmtId="0" fontId="108" fillId="32" borderId="0" applyNumberFormat="0" applyBorder="0" applyAlignment="0" applyProtection="0"/>
    <xf numFmtId="0" fontId="80" fillId="5" borderId="0" applyNumberFormat="0" applyBorder="0" applyAlignment="0" applyProtection="0"/>
    <xf numFmtId="0" fontId="108" fillId="32" borderId="0" applyNumberFormat="0" applyBorder="0" applyAlignment="0" applyProtection="0"/>
    <xf numFmtId="0" fontId="2" fillId="5" borderId="0" applyNumberFormat="0" applyBorder="0" applyAlignment="0" applyProtection="0"/>
    <xf numFmtId="0" fontId="80" fillId="5" borderId="0" applyNumberFormat="0" applyBorder="0" applyAlignment="0" applyProtection="0"/>
    <xf numFmtId="0" fontId="2" fillId="6" borderId="0" applyNumberFormat="0" applyBorder="0" applyAlignment="0" applyProtection="0"/>
    <xf numFmtId="0" fontId="108" fillId="33" borderId="0" applyNumberFormat="0" applyBorder="0" applyAlignment="0" applyProtection="0"/>
    <xf numFmtId="0" fontId="80" fillId="6" borderId="0" applyNumberFormat="0" applyBorder="0" applyAlignment="0" applyProtection="0"/>
    <xf numFmtId="0" fontId="108" fillId="33" borderId="0" applyNumberFormat="0" applyBorder="0" applyAlignment="0" applyProtection="0"/>
    <xf numFmtId="0" fontId="2" fillId="6" borderId="0" applyNumberFormat="0" applyBorder="0" applyAlignment="0" applyProtection="0"/>
    <xf numFmtId="0" fontId="80" fillId="6" borderId="0" applyNumberFormat="0" applyBorder="0" applyAlignment="0" applyProtection="0"/>
    <xf numFmtId="0" fontId="2" fillId="7" borderId="0" applyNumberFormat="0" applyBorder="0" applyAlignment="0" applyProtection="0"/>
    <xf numFmtId="0" fontId="108" fillId="34" borderId="0" applyNumberFormat="0" applyBorder="0" applyAlignment="0" applyProtection="0"/>
    <xf numFmtId="0" fontId="80" fillId="7" borderId="0" applyNumberFormat="0" applyBorder="0" applyAlignment="0" applyProtection="0"/>
    <xf numFmtId="0" fontId="108" fillId="34" borderId="0" applyNumberFormat="0" applyBorder="0" applyAlignment="0" applyProtection="0"/>
    <xf numFmtId="0" fontId="2" fillId="7" borderId="0" applyNumberFormat="0" applyBorder="0" applyAlignment="0" applyProtection="0"/>
    <xf numFmtId="0" fontId="80" fillId="7" borderId="0" applyNumberFormat="0" applyBorder="0" applyAlignment="0" applyProtection="0"/>
    <xf numFmtId="0" fontId="2" fillId="8" borderId="0" applyNumberFormat="0" applyBorder="0" applyAlignment="0" applyProtection="0"/>
    <xf numFmtId="0" fontId="108" fillId="35" borderId="0" applyNumberFormat="0" applyBorder="0" applyAlignment="0" applyProtection="0"/>
    <xf numFmtId="0" fontId="80" fillId="8" borderId="0" applyNumberFormat="0" applyBorder="0" applyAlignment="0" applyProtection="0"/>
    <xf numFmtId="0" fontId="108" fillId="35" borderId="0" applyNumberFormat="0" applyBorder="0" applyAlignment="0" applyProtection="0"/>
    <xf numFmtId="0" fontId="2" fillId="8" borderId="0" applyNumberFormat="0" applyBorder="0" applyAlignment="0" applyProtection="0"/>
    <xf numFmtId="0" fontId="80" fillId="8" borderId="0" applyNumberFormat="0" applyBorder="0" applyAlignment="0" applyProtection="0"/>
    <xf numFmtId="0" fontId="2" fillId="9" borderId="0" applyNumberFormat="0" applyBorder="0" applyAlignment="0" applyProtection="0"/>
    <xf numFmtId="0" fontId="108" fillId="36" borderId="0" applyNumberFormat="0" applyBorder="0" applyAlignment="0" applyProtection="0"/>
    <xf numFmtId="0" fontId="80" fillId="9" borderId="0" applyNumberFormat="0" applyBorder="0" applyAlignment="0" applyProtection="0"/>
    <xf numFmtId="0" fontId="108" fillId="36" borderId="0" applyNumberFormat="0" applyBorder="0" applyAlignment="0" applyProtection="0"/>
    <xf numFmtId="0" fontId="2" fillId="9" borderId="0" applyNumberFormat="0" applyBorder="0" applyAlignment="0" applyProtection="0"/>
    <xf numFmtId="0" fontId="80" fillId="9" borderId="0" applyNumberFormat="0" applyBorder="0" applyAlignment="0" applyProtection="0"/>
    <xf numFmtId="0" fontId="2" fillId="10" borderId="0" applyNumberFormat="0" applyBorder="0" applyAlignment="0" applyProtection="0"/>
    <xf numFmtId="0" fontId="108" fillId="37" borderId="0" applyNumberFormat="0" applyBorder="0" applyAlignment="0" applyProtection="0"/>
    <xf numFmtId="0" fontId="80" fillId="10" borderId="0" applyNumberFormat="0" applyBorder="0" applyAlignment="0" applyProtection="0"/>
    <xf numFmtId="0" fontId="108" fillId="37" borderId="0" applyNumberFormat="0" applyBorder="0" applyAlignment="0" applyProtection="0"/>
    <xf numFmtId="0" fontId="2" fillId="10" borderId="0" applyNumberFormat="0" applyBorder="0" applyAlignment="0" applyProtection="0"/>
    <xf numFmtId="0" fontId="80" fillId="10" borderId="0" applyNumberFormat="0" applyBorder="0" applyAlignment="0" applyProtection="0"/>
    <xf numFmtId="0" fontId="2" fillId="5" borderId="0" applyNumberFormat="0" applyBorder="0" applyAlignment="0" applyProtection="0"/>
    <xf numFmtId="0" fontId="108" fillId="38" borderId="0" applyNumberFormat="0" applyBorder="0" applyAlignment="0" applyProtection="0"/>
    <xf numFmtId="0" fontId="80" fillId="5" borderId="0" applyNumberFormat="0" applyBorder="0" applyAlignment="0" applyProtection="0"/>
    <xf numFmtId="0" fontId="108" fillId="38" borderId="0" applyNumberFormat="0" applyBorder="0" applyAlignment="0" applyProtection="0"/>
    <xf numFmtId="0" fontId="2" fillId="5" borderId="0" applyNumberFormat="0" applyBorder="0" applyAlignment="0" applyProtection="0"/>
    <xf numFmtId="0" fontId="80" fillId="5" borderId="0" applyNumberFormat="0" applyBorder="0" applyAlignment="0" applyProtection="0"/>
    <xf numFmtId="0" fontId="2" fillId="8" borderId="0" applyNumberFormat="0" applyBorder="0" applyAlignment="0" applyProtection="0"/>
    <xf numFmtId="0" fontId="108" fillId="39" borderId="0" applyNumberFormat="0" applyBorder="0" applyAlignment="0" applyProtection="0"/>
    <xf numFmtId="0" fontId="80" fillId="8" borderId="0" applyNumberFormat="0" applyBorder="0" applyAlignment="0" applyProtection="0"/>
    <xf numFmtId="0" fontId="108" fillId="39" borderId="0" applyNumberFormat="0" applyBorder="0" applyAlignment="0" applyProtection="0"/>
    <xf numFmtId="0" fontId="2" fillId="8" borderId="0" applyNumberFormat="0" applyBorder="0" applyAlignment="0" applyProtection="0"/>
    <xf numFmtId="0" fontId="80" fillId="8" borderId="0" applyNumberFormat="0" applyBorder="0" applyAlignment="0" applyProtection="0"/>
    <xf numFmtId="0" fontId="2" fillId="11" borderId="0" applyNumberFormat="0" applyBorder="0" applyAlignment="0" applyProtection="0"/>
    <xf numFmtId="0" fontId="108" fillId="40" borderId="0" applyNumberFormat="0" applyBorder="0" applyAlignment="0" applyProtection="0"/>
    <xf numFmtId="0" fontId="80" fillId="11" borderId="0" applyNumberFormat="0" applyBorder="0" applyAlignment="0" applyProtection="0"/>
    <xf numFmtId="0" fontId="108" fillId="40" borderId="0" applyNumberFormat="0" applyBorder="0" applyAlignment="0" applyProtection="0"/>
    <xf numFmtId="0" fontId="2" fillId="11" borderId="0" applyNumberFormat="0" applyBorder="0" applyAlignment="0" applyProtection="0"/>
    <xf numFmtId="0" fontId="80" fillId="11" borderId="0" applyNumberFormat="0" applyBorder="0" applyAlignment="0" applyProtection="0"/>
    <xf numFmtId="0" fontId="3" fillId="12" borderId="0" applyNumberFormat="0" applyBorder="0" applyAlignment="0" applyProtection="0"/>
    <xf numFmtId="0" fontId="109" fillId="41" borderId="0" applyNumberFormat="0" applyBorder="0" applyAlignment="0" applyProtection="0"/>
    <xf numFmtId="0" fontId="90" fillId="12" borderId="0" applyNumberFormat="0" applyBorder="0" applyAlignment="0" applyProtection="0"/>
    <xf numFmtId="0" fontId="109" fillId="41" borderId="0" applyNumberFormat="0" applyBorder="0" applyAlignment="0" applyProtection="0"/>
    <xf numFmtId="0" fontId="3" fillId="12" borderId="0" applyNumberFormat="0" applyBorder="0" applyAlignment="0" applyProtection="0"/>
    <xf numFmtId="0" fontId="90" fillId="12" borderId="0" applyNumberFormat="0" applyBorder="0" applyAlignment="0" applyProtection="0"/>
    <xf numFmtId="0" fontId="3" fillId="9" borderId="0" applyNumberFormat="0" applyBorder="0" applyAlignment="0" applyProtection="0"/>
    <xf numFmtId="0" fontId="109" fillId="42" borderId="0" applyNumberFormat="0" applyBorder="0" applyAlignment="0" applyProtection="0"/>
    <xf numFmtId="0" fontId="90" fillId="9" borderId="0" applyNumberFormat="0" applyBorder="0" applyAlignment="0" applyProtection="0"/>
    <xf numFmtId="0" fontId="109" fillId="42" borderId="0" applyNumberFormat="0" applyBorder="0" applyAlignment="0" applyProtection="0"/>
    <xf numFmtId="0" fontId="3" fillId="9" borderId="0" applyNumberFormat="0" applyBorder="0" applyAlignment="0" applyProtection="0"/>
    <xf numFmtId="0" fontId="90" fillId="9" borderId="0" applyNumberFormat="0" applyBorder="0" applyAlignment="0" applyProtection="0"/>
    <xf numFmtId="0" fontId="3" fillId="10" borderId="0" applyNumberFormat="0" applyBorder="0" applyAlignment="0" applyProtection="0"/>
    <xf numFmtId="0" fontId="109" fillId="43" borderId="0" applyNumberFormat="0" applyBorder="0" applyAlignment="0" applyProtection="0"/>
    <xf numFmtId="0" fontId="90" fillId="10" borderId="0" applyNumberFormat="0" applyBorder="0" applyAlignment="0" applyProtection="0"/>
    <xf numFmtId="0" fontId="109" fillId="43" borderId="0" applyNumberFormat="0" applyBorder="0" applyAlignment="0" applyProtection="0"/>
    <xf numFmtId="0" fontId="3" fillId="10" borderId="0" applyNumberFormat="0" applyBorder="0" applyAlignment="0" applyProtection="0"/>
    <xf numFmtId="0" fontId="90" fillId="10" borderId="0" applyNumberFormat="0" applyBorder="0" applyAlignment="0" applyProtection="0"/>
    <xf numFmtId="0" fontId="3" fillId="13" borderId="0" applyNumberFormat="0" applyBorder="0" applyAlignment="0" applyProtection="0"/>
    <xf numFmtId="0" fontId="109" fillId="44" borderId="0" applyNumberFormat="0" applyBorder="0" applyAlignment="0" applyProtection="0"/>
    <xf numFmtId="0" fontId="90" fillId="13" borderId="0" applyNumberFormat="0" applyBorder="0" applyAlignment="0" applyProtection="0"/>
    <xf numFmtId="0" fontId="109" fillId="44" borderId="0" applyNumberFormat="0" applyBorder="0" applyAlignment="0" applyProtection="0"/>
    <xf numFmtId="0" fontId="3" fillId="13" borderId="0" applyNumberFormat="0" applyBorder="0" applyAlignment="0" applyProtection="0"/>
    <xf numFmtId="0" fontId="90" fillId="13" borderId="0" applyNumberFormat="0" applyBorder="0" applyAlignment="0" applyProtection="0"/>
    <xf numFmtId="0" fontId="3" fillId="14" borderId="0" applyNumberFormat="0" applyBorder="0" applyAlignment="0" applyProtection="0"/>
    <xf numFmtId="0" fontId="109" fillId="45" borderId="0" applyNumberFormat="0" applyBorder="0" applyAlignment="0" applyProtection="0"/>
    <xf numFmtId="0" fontId="90" fillId="14" borderId="0" applyNumberFormat="0" applyBorder="0" applyAlignment="0" applyProtection="0"/>
    <xf numFmtId="0" fontId="109" fillId="45" borderId="0" applyNumberFormat="0" applyBorder="0" applyAlignment="0" applyProtection="0"/>
    <xf numFmtId="0" fontId="3" fillId="14" borderId="0" applyNumberFormat="0" applyBorder="0" applyAlignment="0" applyProtection="0"/>
    <xf numFmtId="0" fontId="90" fillId="14" borderId="0" applyNumberFormat="0" applyBorder="0" applyAlignment="0" applyProtection="0"/>
    <xf numFmtId="0" fontId="3" fillId="15" borderId="0" applyNumberFormat="0" applyBorder="0" applyAlignment="0" applyProtection="0"/>
    <xf numFmtId="0" fontId="109" fillId="46" borderId="0" applyNumberFormat="0" applyBorder="0" applyAlignment="0" applyProtection="0"/>
    <xf numFmtId="0" fontId="90" fillId="15" borderId="0" applyNumberFormat="0" applyBorder="0" applyAlignment="0" applyProtection="0"/>
    <xf numFmtId="0" fontId="109" fillId="46" borderId="0" applyNumberFormat="0" applyBorder="0" applyAlignment="0" applyProtection="0"/>
    <xf numFmtId="0" fontId="3" fillId="15" borderId="0" applyNumberFormat="0" applyBorder="0" applyAlignment="0" applyProtection="0"/>
    <xf numFmtId="0" fontId="90" fillId="15" borderId="0" applyNumberFormat="0" applyBorder="0" applyAlignment="0" applyProtection="0"/>
    <xf numFmtId="0" fontId="3" fillId="16" borderId="0" applyNumberFormat="0" applyBorder="0" applyAlignment="0" applyProtection="0"/>
    <xf numFmtId="0" fontId="109" fillId="47" borderId="0" applyNumberFormat="0" applyBorder="0" applyAlignment="0" applyProtection="0"/>
    <xf numFmtId="0" fontId="90" fillId="16" borderId="0" applyNumberFormat="0" applyBorder="0" applyAlignment="0" applyProtection="0"/>
    <xf numFmtId="0" fontId="109" fillId="47" borderId="0" applyNumberFormat="0" applyBorder="0" applyAlignment="0" applyProtection="0"/>
    <xf numFmtId="0" fontId="3" fillId="16" borderId="0" applyNumberFormat="0" applyBorder="0" applyAlignment="0" applyProtection="0"/>
    <xf numFmtId="0" fontId="90" fillId="16" borderId="0" applyNumberFormat="0" applyBorder="0" applyAlignment="0" applyProtection="0"/>
    <xf numFmtId="0" fontId="3" fillId="17" borderId="0" applyNumberFormat="0" applyBorder="0" applyAlignment="0" applyProtection="0"/>
    <xf numFmtId="0" fontId="109" fillId="48" borderId="0" applyNumberFormat="0" applyBorder="0" applyAlignment="0" applyProtection="0"/>
    <xf numFmtId="0" fontId="90" fillId="17" borderId="0" applyNumberFormat="0" applyBorder="0" applyAlignment="0" applyProtection="0"/>
    <xf numFmtId="0" fontId="109" fillId="48" borderId="0" applyNumberFormat="0" applyBorder="0" applyAlignment="0" applyProtection="0"/>
    <xf numFmtId="0" fontId="3" fillId="17" borderId="0" applyNumberFormat="0" applyBorder="0" applyAlignment="0" applyProtection="0"/>
    <xf numFmtId="0" fontId="90" fillId="17" borderId="0" applyNumberFormat="0" applyBorder="0" applyAlignment="0" applyProtection="0"/>
    <xf numFmtId="0" fontId="3" fillId="18" borderId="0" applyNumberFormat="0" applyBorder="0" applyAlignment="0" applyProtection="0"/>
    <xf numFmtId="0" fontId="109" fillId="49" borderId="0" applyNumberFormat="0" applyBorder="0" applyAlignment="0" applyProtection="0"/>
    <xf numFmtId="0" fontId="90" fillId="18" borderId="0" applyNumberFormat="0" applyBorder="0" applyAlignment="0" applyProtection="0"/>
    <xf numFmtId="0" fontId="109" fillId="49" borderId="0" applyNumberFormat="0" applyBorder="0" applyAlignment="0" applyProtection="0"/>
    <xf numFmtId="0" fontId="3" fillId="18" borderId="0" applyNumberFormat="0" applyBorder="0" applyAlignment="0" applyProtection="0"/>
    <xf numFmtId="0" fontId="90" fillId="18" borderId="0" applyNumberFormat="0" applyBorder="0" applyAlignment="0" applyProtection="0"/>
    <xf numFmtId="0" fontId="3" fillId="13" borderId="0" applyNumberFormat="0" applyBorder="0" applyAlignment="0" applyProtection="0"/>
    <xf numFmtId="0" fontId="109" fillId="50" borderId="0" applyNumberFormat="0" applyBorder="0" applyAlignment="0" applyProtection="0"/>
    <xf numFmtId="0" fontId="90" fillId="13" borderId="0" applyNumberFormat="0" applyBorder="0" applyAlignment="0" applyProtection="0"/>
    <xf numFmtId="0" fontId="109" fillId="50" borderId="0" applyNumberFormat="0" applyBorder="0" applyAlignment="0" applyProtection="0"/>
    <xf numFmtId="0" fontId="3" fillId="13" borderId="0" applyNumberFormat="0" applyBorder="0" applyAlignment="0" applyProtection="0"/>
    <xf numFmtId="0" fontId="90" fillId="13" borderId="0" applyNumberFormat="0" applyBorder="0" applyAlignment="0" applyProtection="0"/>
    <xf numFmtId="0" fontId="3" fillId="14" borderId="0" applyNumberFormat="0" applyBorder="0" applyAlignment="0" applyProtection="0"/>
    <xf numFmtId="0" fontId="109" fillId="51" borderId="0" applyNumberFormat="0" applyBorder="0" applyAlignment="0" applyProtection="0"/>
    <xf numFmtId="0" fontId="90" fillId="14" borderId="0" applyNumberFormat="0" applyBorder="0" applyAlignment="0" applyProtection="0"/>
    <xf numFmtId="0" fontId="109" fillId="51" borderId="0" applyNumberFormat="0" applyBorder="0" applyAlignment="0" applyProtection="0"/>
    <xf numFmtId="0" fontId="3" fillId="14" borderId="0" applyNumberFormat="0" applyBorder="0" applyAlignment="0" applyProtection="0"/>
    <xf numFmtId="0" fontId="90" fillId="14" borderId="0" applyNumberFormat="0" applyBorder="0" applyAlignment="0" applyProtection="0"/>
    <xf numFmtId="0" fontId="3" fillId="19" borderId="0" applyNumberFormat="0" applyBorder="0" applyAlignment="0" applyProtection="0"/>
    <xf numFmtId="0" fontId="109" fillId="52" borderId="0" applyNumberFormat="0" applyBorder="0" applyAlignment="0" applyProtection="0"/>
    <xf numFmtId="0" fontId="90" fillId="19" borderId="0" applyNumberFormat="0" applyBorder="0" applyAlignment="0" applyProtection="0"/>
    <xf numFmtId="0" fontId="109" fillId="52" borderId="0" applyNumberFormat="0" applyBorder="0" applyAlignment="0" applyProtection="0"/>
    <xf numFmtId="0" fontId="3" fillId="19" borderId="0" applyNumberFormat="0" applyBorder="0" applyAlignment="0" applyProtection="0"/>
    <xf numFmtId="0" fontId="90" fillId="19" borderId="0" applyNumberFormat="0" applyBorder="0" applyAlignment="0" applyProtection="0"/>
    <xf numFmtId="0" fontId="4" fillId="3" borderId="0" applyNumberFormat="0" applyBorder="0" applyAlignment="0" applyProtection="0"/>
    <xf numFmtId="0" fontId="110" fillId="53" borderId="0" applyNumberFormat="0" applyBorder="0" applyAlignment="0" applyProtection="0"/>
    <xf numFmtId="0" fontId="91" fillId="3" borderId="0" applyNumberFormat="0" applyBorder="0" applyAlignment="0" applyProtection="0"/>
    <xf numFmtId="0" fontId="110" fillId="53" borderId="0" applyNumberFormat="0" applyBorder="0" applyAlignment="0" applyProtection="0"/>
    <xf numFmtId="0" fontId="4" fillId="3" borderId="0" applyNumberFormat="0" applyBorder="0" applyAlignment="0" applyProtection="0"/>
    <xf numFmtId="0" fontId="91" fillId="3" borderId="0" applyNumberFormat="0" applyBorder="0" applyAlignment="0" applyProtection="0"/>
    <xf numFmtId="169" fontId="5" fillId="0" borderId="0" applyFill="0"/>
    <xf numFmtId="169" fontId="5" fillId="0" borderId="0">
      <alignment horizontal="center"/>
    </xf>
    <xf numFmtId="0" fontId="5" fillId="0" borderId="0" applyFill="0">
      <alignment horizontal="center"/>
    </xf>
    <xf numFmtId="169" fontId="6" fillId="0" borderId="1" applyFill="0"/>
    <xf numFmtId="0" fontId="7" fillId="0" borderId="0" applyFont="0" applyAlignment="0"/>
    <xf numFmtId="0" fontId="7" fillId="0" borderId="0" applyFont="0" applyAlignment="0"/>
    <xf numFmtId="0" fontId="8" fillId="0" borderId="0" applyFill="0">
      <alignment vertical="top"/>
    </xf>
    <xf numFmtId="0" fontId="6" fillId="0" borderId="0" applyFill="0">
      <alignment horizontal="left" vertical="top"/>
    </xf>
    <xf numFmtId="169" fontId="9" fillId="0" borderId="2" applyFill="0"/>
    <xf numFmtId="0" fontId="7" fillId="0" borderId="0" applyNumberFormat="0" applyFont="0" applyAlignment="0"/>
    <xf numFmtId="0" fontId="7" fillId="0" borderId="0" applyNumberFormat="0" applyFont="0" applyAlignment="0"/>
    <xf numFmtId="0" fontId="8" fillId="0" borderId="0" applyFill="0">
      <alignment wrapText="1"/>
    </xf>
    <xf numFmtId="0" fontId="6" fillId="0" borderId="0" applyFill="0">
      <alignment horizontal="left" vertical="top" wrapText="1"/>
    </xf>
    <xf numFmtId="169" fontId="10" fillId="0" borderId="0" applyFill="0"/>
    <xf numFmtId="0" fontId="11" fillId="0" borderId="0" applyNumberFormat="0" applyFont="0" applyAlignment="0">
      <alignment horizontal="center"/>
    </xf>
    <xf numFmtId="0" fontId="12" fillId="0" borderId="0" applyFill="0">
      <alignment vertical="top" wrapText="1"/>
    </xf>
    <xf numFmtId="0" fontId="9" fillId="0" borderId="0" applyFill="0">
      <alignment horizontal="left" vertical="top" wrapText="1"/>
    </xf>
    <xf numFmtId="169" fontId="7" fillId="0" borderId="0" applyFill="0"/>
    <xf numFmtId="169" fontId="7" fillId="0" borderId="0" applyFill="0"/>
    <xf numFmtId="0" fontId="11" fillId="0" borderId="0" applyNumberFormat="0" applyFont="0" applyAlignment="0">
      <alignment horizontal="center"/>
    </xf>
    <xf numFmtId="0" fontId="13" fillId="0" borderId="0" applyFill="0">
      <alignment vertical="center" wrapText="1"/>
    </xf>
    <xf numFmtId="0" fontId="14" fillId="0" borderId="0">
      <alignment horizontal="left" vertical="center" wrapText="1"/>
    </xf>
    <xf numFmtId="169" fontId="15" fillId="0" borderId="0" applyFill="0"/>
    <xf numFmtId="0" fontId="11" fillId="0" borderId="0" applyNumberFormat="0" applyFont="0" applyAlignment="0">
      <alignment horizontal="center"/>
    </xf>
    <xf numFmtId="0" fontId="16" fillId="0" borderId="0" applyFill="0">
      <alignment horizontal="center" vertical="center" wrapText="1"/>
    </xf>
    <xf numFmtId="0" fontId="7" fillId="0" borderId="0" applyFill="0">
      <alignment horizontal="center" vertical="center" wrapText="1"/>
    </xf>
    <xf numFmtId="0" fontId="7" fillId="0" borderId="0" applyFill="0">
      <alignment horizontal="center" vertical="center" wrapText="1"/>
    </xf>
    <xf numFmtId="169" fontId="17" fillId="0" borderId="0" applyFill="0"/>
    <xf numFmtId="0" fontId="11" fillId="0" borderId="0" applyNumberFormat="0" applyFont="0" applyAlignment="0">
      <alignment horizontal="center"/>
    </xf>
    <xf numFmtId="0" fontId="18" fillId="0" borderId="0" applyFill="0">
      <alignment horizontal="center" vertical="center" wrapText="1"/>
    </xf>
    <xf numFmtId="0" fontId="19" fillId="0" borderId="0" applyFill="0">
      <alignment horizontal="center" vertical="center" wrapText="1"/>
    </xf>
    <xf numFmtId="169" fontId="20" fillId="0" borderId="0" applyFill="0"/>
    <xf numFmtId="0" fontId="11" fillId="0" borderId="0" applyNumberFormat="0" applyFont="0" applyAlignment="0">
      <alignment horizontal="center"/>
    </xf>
    <xf numFmtId="0" fontId="21" fillId="0" borderId="0">
      <alignment horizontal="center" wrapText="1"/>
    </xf>
    <xf numFmtId="0" fontId="17" fillId="0" borderId="0" applyFill="0">
      <alignment horizontal="center" wrapText="1"/>
    </xf>
    <xf numFmtId="0" fontId="22" fillId="20" borderId="3" applyNumberFormat="0" applyAlignment="0" applyProtection="0"/>
    <xf numFmtId="0" fontId="111" fillId="54" borderId="48" applyNumberFormat="0" applyAlignment="0" applyProtection="0"/>
    <xf numFmtId="0" fontId="92" fillId="20" borderId="3" applyNumberFormat="0" applyAlignment="0" applyProtection="0"/>
    <xf numFmtId="0" fontId="111" fillId="54" borderId="48" applyNumberFormat="0" applyAlignment="0" applyProtection="0"/>
    <xf numFmtId="0" fontId="22" fillId="20" borderId="3" applyNumberFormat="0" applyAlignment="0" applyProtection="0"/>
    <xf numFmtId="0" fontId="92" fillId="20" borderId="3" applyNumberFormat="0" applyAlignment="0" applyProtection="0"/>
    <xf numFmtId="0" fontId="23" fillId="21" borderId="4" applyNumberFormat="0" applyAlignment="0" applyProtection="0"/>
    <xf numFmtId="0" fontId="112" fillId="55" borderId="49" applyNumberFormat="0" applyAlignment="0" applyProtection="0"/>
    <xf numFmtId="0" fontId="93" fillId="21" borderId="4" applyNumberFormat="0" applyAlignment="0" applyProtection="0"/>
    <xf numFmtId="0" fontId="112" fillId="55" borderId="49" applyNumberFormat="0" applyAlignment="0" applyProtection="0"/>
    <xf numFmtId="0" fontId="23" fillId="21" borderId="4" applyNumberFormat="0" applyAlignment="0" applyProtection="0"/>
    <xf numFmtId="0" fontId="93" fillId="21" borderId="4" applyNumberFormat="0" applyAlignment="0" applyProtection="0"/>
    <xf numFmtId="43" fontId="1" fillId="0" borderId="0" applyFont="0" applyFill="0" applyBorder="0" applyAlignment="0" applyProtection="0"/>
    <xf numFmtId="41" fontId="7" fillId="0" borderId="0" applyFont="0" applyFill="0" applyBorder="0" applyAlignment="0" applyProtection="0"/>
    <xf numFmtId="41" fontId="7" fillId="0" borderId="0" applyFont="0" applyFill="0" applyBorder="0" applyAlignment="0" applyProtection="0"/>
    <xf numFmtId="40" fontId="35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0" fontId="35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6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0" fontId="35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3" fontId="7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6" fillId="0" borderId="0" applyFont="0" applyFill="0" applyBorder="0" applyAlignment="0" applyProtection="0"/>
    <xf numFmtId="40" fontId="35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6" fillId="0" borderId="0" applyFont="0" applyFill="0" applyBorder="0" applyAlignment="0" applyProtection="0"/>
    <xf numFmtId="40" fontId="35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102" fillId="0" borderId="0" applyFont="0" applyFill="0" applyBorder="0" applyAlignment="0" applyProtection="0"/>
    <xf numFmtId="3" fontId="102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102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10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0" fillId="0" borderId="0" applyFont="0" applyFill="0" applyBorder="0" applyAlignment="0" applyProtection="0"/>
    <xf numFmtId="44" fontId="86" fillId="0" borderId="0" applyFont="0" applyFill="0" applyBorder="0" applyAlignment="0" applyProtection="0"/>
    <xf numFmtId="44" fontId="89" fillId="0" borderId="0" applyFont="0" applyFill="0" applyBorder="0" applyAlignment="0" applyProtection="0"/>
    <xf numFmtId="44" fontId="80" fillId="0" borderId="0" applyFont="0" applyFill="0" applyBorder="0" applyAlignment="0" applyProtection="0"/>
    <xf numFmtId="44" fontId="80" fillId="0" borderId="0" applyFont="0" applyFill="0" applyBorder="0" applyAlignment="0" applyProtection="0"/>
    <xf numFmtId="44" fontId="80" fillId="0" borderId="0" applyFont="0" applyFill="0" applyBorder="0" applyAlignment="0" applyProtection="0"/>
    <xf numFmtId="44" fontId="80" fillId="0" borderId="0" applyFont="0" applyFill="0" applyBorder="0" applyAlignment="0" applyProtection="0"/>
    <xf numFmtId="44" fontId="80" fillId="0" borderId="0" applyFont="0" applyFill="0" applyBorder="0" applyAlignment="0" applyProtection="0"/>
    <xf numFmtId="44" fontId="107" fillId="0" borderId="0" applyFont="0" applyFill="0" applyBorder="0" applyAlignment="0" applyProtection="0"/>
    <xf numFmtId="44" fontId="80" fillId="0" borderId="0" applyFont="0" applyFill="0" applyBorder="0" applyAlignment="0" applyProtection="0"/>
    <xf numFmtId="44" fontId="80" fillId="0" borderId="0" applyFont="0" applyFill="0" applyBorder="0" applyAlignment="0" applyProtection="0"/>
    <xf numFmtId="44" fontId="89" fillId="0" borderId="0" applyFont="0" applyFill="0" applyBorder="0" applyAlignment="0" applyProtection="0"/>
    <xf numFmtId="44" fontId="80" fillId="0" borderId="0" applyFont="0" applyFill="0" applyBorder="0" applyAlignment="0" applyProtection="0"/>
    <xf numFmtId="44" fontId="80" fillId="0" borderId="0" applyFont="0" applyFill="0" applyBorder="0" applyAlignment="0" applyProtection="0"/>
    <xf numFmtId="44" fontId="89" fillId="0" borderId="0" applyFont="0" applyFill="0" applyBorder="0" applyAlignment="0" applyProtection="0"/>
    <xf numFmtId="44" fontId="80" fillId="0" borderId="0" applyFont="0" applyFill="0" applyBorder="0" applyAlignment="0" applyProtection="0"/>
    <xf numFmtId="44" fontId="8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0" fillId="0" borderId="0" applyFont="0" applyFill="0" applyBorder="0" applyAlignment="0" applyProtection="0"/>
    <xf numFmtId="44" fontId="80" fillId="0" borderId="0" applyFont="0" applyFill="0" applyBorder="0" applyAlignment="0" applyProtection="0"/>
    <xf numFmtId="44" fontId="80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06" fillId="0" borderId="0" applyFont="0" applyFill="0" applyBorder="0" applyAlignment="0" applyProtection="0"/>
    <xf numFmtId="5" fontId="7" fillId="0" borderId="0" applyFont="0" applyFill="0" applyBorder="0" applyAlignment="0" applyProtection="0"/>
    <xf numFmtId="178" fontId="102" fillId="0" borderId="0" applyFont="0" applyFill="0" applyBorder="0" applyAlignment="0" applyProtection="0"/>
    <xf numFmtId="178" fontId="102" fillId="0" borderId="0" applyFont="0" applyFill="0" applyBorder="0" applyAlignment="0" applyProtection="0"/>
    <xf numFmtId="5" fontId="7" fillId="0" borderId="0" applyFont="0" applyFill="0" applyBorder="0" applyAlignment="0" applyProtection="0"/>
    <xf numFmtId="178" fontId="102" fillId="0" borderId="0" applyFont="0" applyFill="0" applyBorder="0" applyAlignment="0" applyProtection="0"/>
    <xf numFmtId="5" fontId="7" fillId="0" borderId="0" applyFont="0" applyFill="0" applyBorder="0" applyAlignment="0" applyProtection="0"/>
    <xf numFmtId="5" fontId="7" fillId="0" borderId="0" applyFont="0" applyFill="0" applyBorder="0" applyAlignment="0" applyProtection="0"/>
    <xf numFmtId="178" fontId="102" fillId="0" borderId="0" applyFont="0" applyFill="0" applyBorder="0" applyAlignment="0" applyProtection="0"/>
    <xf numFmtId="14" fontId="7" fillId="0" borderId="0" applyFont="0" applyFill="0" applyBorder="0" applyAlignment="0" applyProtection="0"/>
    <xf numFmtId="0" fontId="102" fillId="0" borderId="0" applyFont="0" applyFill="0" applyBorder="0" applyAlignment="0" applyProtection="0"/>
    <xf numFmtId="0" fontId="102" fillId="0" borderId="0" applyFont="0" applyFill="0" applyBorder="0" applyAlignment="0" applyProtection="0"/>
    <xf numFmtId="14" fontId="7" fillId="0" borderId="0" applyFont="0" applyFill="0" applyBorder="0" applyAlignment="0" applyProtection="0"/>
    <xf numFmtId="0" fontId="102" fillId="0" borderId="0" applyFont="0" applyFill="0" applyBorder="0" applyAlignment="0" applyProtection="0"/>
    <xf numFmtId="14" fontId="7" fillId="0" borderId="0" applyFont="0" applyFill="0" applyBorder="0" applyAlignment="0" applyProtection="0"/>
    <xf numFmtId="14" fontId="7" fillId="0" borderId="0" applyFont="0" applyFill="0" applyBorder="0" applyAlignment="0" applyProtection="0"/>
    <xf numFmtId="0" fontId="102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2" fontId="7" fillId="0" borderId="0" applyFont="0" applyFill="0" applyBorder="0" applyAlignment="0" applyProtection="0"/>
    <xf numFmtId="2" fontId="102" fillId="0" borderId="0" applyFont="0" applyFill="0" applyBorder="0" applyAlignment="0" applyProtection="0"/>
    <xf numFmtId="2" fontId="102" fillId="0" borderId="0" applyFont="0" applyFill="0" applyBorder="0" applyAlignment="0" applyProtection="0"/>
    <xf numFmtId="2" fontId="7" fillId="0" borderId="0" applyFont="0" applyFill="0" applyBorder="0" applyAlignment="0" applyProtection="0"/>
    <xf numFmtId="2" fontId="102" fillId="0" borderId="0" applyFont="0" applyFill="0" applyBorder="0" applyAlignment="0" applyProtection="0"/>
    <xf numFmtId="2" fontId="7" fillId="0" borderId="0" applyFont="0" applyFill="0" applyBorder="0" applyAlignment="0" applyProtection="0"/>
    <xf numFmtId="2" fontId="7" fillId="0" borderId="0" applyFont="0" applyFill="0" applyBorder="0" applyAlignment="0" applyProtection="0"/>
    <xf numFmtId="2" fontId="102" fillId="0" borderId="0" applyFont="0" applyFill="0" applyBorder="0" applyAlignment="0" applyProtection="0"/>
    <xf numFmtId="0" fontId="25" fillId="4" borderId="0" applyNumberFormat="0" applyBorder="0" applyAlignment="0" applyProtection="0"/>
    <xf numFmtId="0" fontId="114" fillId="56" borderId="0" applyNumberFormat="0" applyBorder="0" applyAlignment="0" applyProtection="0"/>
    <xf numFmtId="0" fontId="95" fillId="4" borderId="0" applyNumberFormat="0" applyBorder="0" applyAlignment="0" applyProtection="0"/>
    <xf numFmtId="0" fontId="114" fillId="56" borderId="0" applyNumberFormat="0" applyBorder="0" applyAlignment="0" applyProtection="0"/>
    <xf numFmtId="0" fontId="25" fillId="4" borderId="0" applyNumberFormat="0" applyBorder="0" applyAlignment="0" applyProtection="0"/>
    <xf numFmtId="0" fontId="95" fillId="4" borderId="0" applyNumberFormat="0" applyBorder="0" applyAlignment="0" applyProtection="0"/>
    <xf numFmtId="0" fontId="26" fillId="0" borderId="0" applyFont="0" applyFill="0" applyBorder="0" applyAlignment="0" applyProtection="0"/>
    <xf numFmtId="0" fontId="115" fillId="0" borderId="50" applyNumberFormat="0" applyFill="0" applyAlignment="0" applyProtection="0"/>
    <xf numFmtId="0" fontId="104" fillId="0" borderId="0" applyNumberFormat="0" applyFill="0" applyBorder="0" applyAlignment="0" applyProtection="0"/>
    <xf numFmtId="0" fontId="115" fillId="0" borderId="50" applyNumberFormat="0" applyFill="0" applyAlignment="0" applyProtection="0"/>
    <xf numFmtId="0" fontId="26" fillId="0" borderId="0" applyFon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9" fillId="0" borderId="0" applyFont="0" applyFill="0" applyBorder="0" applyAlignment="0" applyProtection="0"/>
    <xf numFmtId="0" fontId="116" fillId="0" borderId="51" applyNumberFormat="0" applyFill="0" applyAlignment="0" applyProtection="0"/>
    <xf numFmtId="0" fontId="105" fillId="0" borderId="0" applyNumberFormat="0" applyFill="0" applyBorder="0" applyAlignment="0" applyProtection="0"/>
    <xf numFmtId="0" fontId="116" fillId="0" borderId="51" applyNumberFormat="0" applyFill="0" applyAlignment="0" applyProtection="0"/>
    <xf numFmtId="0" fontId="9" fillId="0" borderId="0" applyFon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27" fillId="0" borderId="5" applyNumberFormat="0" applyFill="0" applyAlignment="0" applyProtection="0"/>
    <xf numFmtId="0" fontId="117" fillId="0" borderId="52" applyNumberFormat="0" applyFill="0" applyAlignment="0" applyProtection="0"/>
    <xf numFmtId="0" fontId="96" fillId="0" borderId="5" applyNumberFormat="0" applyFill="0" applyAlignment="0" applyProtection="0"/>
    <xf numFmtId="0" fontId="117" fillId="0" borderId="52" applyNumberFormat="0" applyFill="0" applyAlignment="0" applyProtection="0"/>
    <xf numFmtId="0" fontId="27" fillId="0" borderId="5" applyNumberFormat="0" applyFill="0" applyAlignment="0" applyProtection="0"/>
    <xf numFmtId="0" fontId="96" fillId="0" borderId="5" applyNumberFormat="0" applyFill="0" applyAlignment="0" applyProtection="0"/>
    <xf numFmtId="0" fontId="2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28" fillId="0" borderId="6"/>
    <xf numFmtId="0" fontId="29" fillId="0" borderId="0"/>
    <xf numFmtId="0" fontId="30" fillId="7" borderId="3" applyNumberFormat="0" applyAlignment="0" applyProtection="0"/>
    <xf numFmtId="0" fontId="118" fillId="57" borderId="48" applyNumberFormat="0" applyAlignment="0" applyProtection="0"/>
    <xf numFmtId="0" fontId="97" fillId="7" borderId="3" applyNumberFormat="0" applyAlignment="0" applyProtection="0"/>
    <xf numFmtId="0" fontId="118" fillId="57" borderId="48" applyNumberFormat="0" applyAlignment="0" applyProtection="0"/>
    <xf numFmtId="0" fontId="30" fillId="7" borderId="3" applyNumberFormat="0" applyAlignment="0" applyProtection="0"/>
    <xf numFmtId="0" fontId="97" fillId="7" borderId="3" applyNumberFormat="0" applyAlignment="0" applyProtection="0"/>
    <xf numFmtId="0" fontId="31" fillId="0" borderId="7" applyNumberFormat="0" applyFill="0" applyAlignment="0" applyProtection="0"/>
    <xf numFmtId="0" fontId="119" fillId="0" borderId="53" applyNumberFormat="0" applyFill="0" applyAlignment="0" applyProtection="0"/>
    <xf numFmtId="0" fontId="98" fillId="0" borderId="7" applyNumberFormat="0" applyFill="0" applyAlignment="0" applyProtection="0"/>
    <xf numFmtId="0" fontId="119" fillId="0" borderId="53" applyNumberFormat="0" applyFill="0" applyAlignment="0" applyProtection="0"/>
    <xf numFmtId="0" fontId="31" fillId="0" borderId="7" applyNumberFormat="0" applyFill="0" applyAlignment="0" applyProtection="0"/>
    <xf numFmtId="0" fontId="98" fillId="0" borderId="7" applyNumberFormat="0" applyFill="0" applyAlignment="0" applyProtection="0"/>
    <xf numFmtId="179" fontId="81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106" fillId="0" borderId="0"/>
    <xf numFmtId="0" fontId="32" fillId="22" borderId="0" applyNumberFormat="0" applyBorder="0" applyAlignment="0" applyProtection="0"/>
    <xf numFmtId="0" fontId="120" fillId="58" borderId="0" applyNumberFormat="0" applyBorder="0" applyAlignment="0" applyProtection="0"/>
    <xf numFmtId="0" fontId="99" fillId="22" borderId="0" applyNumberFormat="0" applyBorder="0" applyAlignment="0" applyProtection="0"/>
    <xf numFmtId="0" fontId="120" fillId="58" borderId="0" applyNumberFormat="0" applyBorder="0" applyAlignment="0" applyProtection="0"/>
    <xf numFmtId="0" fontId="32" fillId="22" borderId="0" applyNumberFormat="0" applyBorder="0" applyAlignment="0" applyProtection="0"/>
    <xf numFmtId="0" fontId="99" fillId="22" borderId="0" applyNumberFormat="0" applyBorder="0" applyAlignment="0" applyProtection="0"/>
    <xf numFmtId="0" fontId="108" fillId="0" borderId="0"/>
    <xf numFmtId="0" fontId="35" fillId="0" borderId="0"/>
    <xf numFmtId="3" fontId="7" fillId="0" borderId="0"/>
    <xf numFmtId="3" fontId="7" fillId="0" borderId="0"/>
    <xf numFmtId="0" fontId="35" fillId="0" borderId="0"/>
    <xf numFmtId="0" fontId="35" fillId="0" borderId="0"/>
    <xf numFmtId="0" fontId="7" fillId="0" borderId="0"/>
    <xf numFmtId="0" fontId="7" fillId="0" borderId="0"/>
    <xf numFmtId="3" fontId="7" fillId="0" borderId="0"/>
    <xf numFmtId="0" fontId="7" fillId="0" borderId="0"/>
    <xf numFmtId="0" fontId="35" fillId="0" borderId="0"/>
    <xf numFmtId="0" fontId="35" fillId="0" borderId="0"/>
    <xf numFmtId="0" fontId="108" fillId="0" borderId="0"/>
    <xf numFmtId="3" fontId="7" fillId="0" borderId="0"/>
    <xf numFmtId="3" fontId="7" fillId="0" borderId="0"/>
    <xf numFmtId="3" fontId="7" fillId="0" borderId="0"/>
    <xf numFmtId="0" fontId="7" fillId="0" borderId="0"/>
    <xf numFmtId="3" fontId="7" fillId="0" borderId="0"/>
    <xf numFmtId="3" fontId="7" fillId="0" borderId="0"/>
    <xf numFmtId="3" fontId="7" fillId="0" borderId="0"/>
    <xf numFmtId="3" fontId="7" fillId="0" borderId="0"/>
    <xf numFmtId="0" fontId="7" fillId="0" borderId="0"/>
    <xf numFmtId="0" fontId="103" fillId="0" borderId="0"/>
    <xf numFmtId="0" fontId="7" fillId="0" borderId="0"/>
    <xf numFmtId="0" fontId="121" fillId="0" borderId="0"/>
    <xf numFmtId="0" fontId="103" fillId="0" borderId="0"/>
    <xf numFmtId="0" fontId="7" fillId="0" borderId="0"/>
    <xf numFmtId="0" fontId="7" fillId="0" borderId="0"/>
    <xf numFmtId="0" fontId="121" fillId="0" borderId="0"/>
    <xf numFmtId="3" fontId="7" fillId="0" borderId="0"/>
    <xf numFmtId="3" fontId="7" fillId="0" borderId="0"/>
    <xf numFmtId="3" fontId="7" fillId="0" borderId="0"/>
    <xf numFmtId="3" fontId="7" fillId="0" borderId="0"/>
    <xf numFmtId="3" fontId="7" fillId="0" borderId="0"/>
    <xf numFmtId="3" fontId="7" fillId="0" borderId="0"/>
    <xf numFmtId="3" fontId="7" fillId="0" borderId="0"/>
    <xf numFmtId="0" fontId="7" fillId="0" borderId="0"/>
    <xf numFmtId="0" fontId="7" fillId="0" borderId="0"/>
    <xf numFmtId="0" fontId="7" fillId="0" borderId="0"/>
    <xf numFmtId="0" fontId="103" fillId="0" borderId="0"/>
    <xf numFmtId="0" fontId="7" fillId="0" borderId="0"/>
    <xf numFmtId="0" fontId="103" fillId="0" borderId="0"/>
    <xf numFmtId="0" fontId="7" fillId="0" borderId="0"/>
    <xf numFmtId="3" fontId="7" fillId="0" borderId="0"/>
    <xf numFmtId="0" fontId="7" fillId="0" borderId="0"/>
    <xf numFmtId="3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06" fillId="0" borderId="0"/>
    <xf numFmtId="0" fontId="10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1" fillId="0" borderId="0"/>
    <xf numFmtId="0" fontId="7" fillId="0" borderId="0"/>
    <xf numFmtId="0" fontId="8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03" fillId="0" borderId="0"/>
    <xf numFmtId="0" fontId="106" fillId="0" borderId="0"/>
    <xf numFmtId="0" fontId="7" fillId="0" borderId="0"/>
    <xf numFmtId="0" fontId="7" fillId="0" borderId="0"/>
    <xf numFmtId="0" fontId="106" fillId="0" borderId="0"/>
    <xf numFmtId="0" fontId="106" fillId="0" borderId="0"/>
    <xf numFmtId="0" fontId="7" fillId="0" borderId="0"/>
    <xf numFmtId="0" fontId="7" fillId="0" borderId="0"/>
    <xf numFmtId="0" fontId="106" fillId="0" borderId="0"/>
    <xf numFmtId="0" fontId="106" fillId="0" borderId="0"/>
    <xf numFmtId="0" fontId="7" fillId="0" borderId="0"/>
    <xf numFmtId="0" fontId="7" fillId="0" borderId="0"/>
    <xf numFmtId="0" fontId="106" fillId="0" borderId="0"/>
    <xf numFmtId="0" fontId="106" fillId="0" borderId="0"/>
    <xf numFmtId="0" fontId="7" fillId="0" borderId="0"/>
    <xf numFmtId="0" fontId="7" fillId="0" borderId="0"/>
    <xf numFmtId="0" fontId="106" fillId="0" borderId="0"/>
    <xf numFmtId="0" fontId="7" fillId="0" borderId="0"/>
    <xf numFmtId="3" fontId="7" fillId="0" borderId="0"/>
    <xf numFmtId="0" fontId="7" fillId="0" borderId="0"/>
    <xf numFmtId="0" fontId="35" fillId="0" borderId="0"/>
    <xf numFmtId="0" fontId="7" fillId="0" borderId="0"/>
    <xf numFmtId="0" fontId="7" fillId="0" borderId="0"/>
    <xf numFmtId="0" fontId="35" fillId="0" borderId="0"/>
    <xf numFmtId="0" fontId="35" fillId="0" borderId="0"/>
    <xf numFmtId="3" fontId="7" fillId="0" borderId="0"/>
    <xf numFmtId="3" fontId="7" fillId="0" borderId="0"/>
    <xf numFmtId="0" fontId="7" fillId="0" borderId="0"/>
    <xf numFmtId="0" fontId="108" fillId="0" borderId="0"/>
    <xf numFmtId="0" fontId="35" fillId="0" borderId="0"/>
    <xf numFmtId="0" fontId="7" fillId="0" borderId="0"/>
    <xf numFmtId="0" fontId="7" fillId="0" borderId="0"/>
    <xf numFmtId="0" fontId="7" fillId="0" borderId="0"/>
    <xf numFmtId="0" fontId="108" fillId="0" borderId="0"/>
    <xf numFmtId="0" fontId="7" fillId="0" borderId="0"/>
    <xf numFmtId="0" fontId="7" fillId="0" borderId="0"/>
    <xf numFmtId="0" fontId="108" fillId="0" borderId="0"/>
    <xf numFmtId="0" fontId="35" fillId="0" borderId="0"/>
    <xf numFmtId="0" fontId="7" fillId="0" borderId="0"/>
    <xf numFmtId="0" fontId="108" fillId="0" borderId="0"/>
    <xf numFmtId="0" fontId="35" fillId="0" borderId="0"/>
    <xf numFmtId="0" fontId="7" fillId="0" borderId="0"/>
    <xf numFmtId="169" fontId="33" fillId="0" borderId="0" applyProtection="0"/>
    <xf numFmtId="0" fontId="33" fillId="23" borderId="8" applyNumberFormat="0" applyFont="0" applyAlignment="0" applyProtection="0"/>
    <xf numFmtId="0" fontId="80" fillId="59" borderId="54" applyNumberFormat="0" applyFont="0" applyAlignment="0" applyProtection="0"/>
    <xf numFmtId="0" fontId="7" fillId="23" borderId="8" applyNumberFormat="0" applyFont="0" applyAlignment="0" applyProtection="0"/>
    <xf numFmtId="0" fontId="80" fillId="59" borderId="54" applyNumberFormat="0" applyFont="0" applyAlignment="0" applyProtection="0"/>
    <xf numFmtId="0" fontId="7" fillId="23" borderId="8" applyNumberFormat="0" applyFont="0" applyAlignment="0" applyProtection="0"/>
    <xf numFmtId="0" fontId="80" fillId="59" borderId="54" applyNumberFormat="0" applyFont="0" applyAlignment="0" applyProtection="0"/>
    <xf numFmtId="0" fontId="80" fillId="59" borderId="54" applyNumberFormat="0" applyFont="0" applyAlignment="0" applyProtection="0"/>
    <xf numFmtId="0" fontId="33" fillId="23" borderId="8" applyNumberFormat="0" applyFont="0" applyAlignment="0" applyProtection="0"/>
    <xf numFmtId="0" fontId="7" fillId="23" borderId="8" applyNumberFormat="0" applyFont="0" applyAlignment="0" applyProtection="0"/>
    <xf numFmtId="0" fontId="34" fillId="20" borderId="9" applyNumberFormat="0" applyAlignment="0" applyProtection="0"/>
    <xf numFmtId="0" fontId="122" fillId="54" borderId="55" applyNumberFormat="0" applyAlignment="0" applyProtection="0"/>
    <xf numFmtId="0" fontId="100" fillId="20" borderId="9" applyNumberFormat="0" applyAlignment="0" applyProtection="0"/>
    <xf numFmtId="0" fontId="122" fillId="54" borderId="55" applyNumberFormat="0" applyAlignment="0" applyProtection="0"/>
    <xf numFmtId="0" fontId="34" fillId="20" borderId="9" applyNumberFormat="0" applyAlignment="0" applyProtection="0"/>
    <xf numFmtId="0" fontId="100" fillId="20" borderId="9" applyNumberFormat="0" applyAlignment="0" applyProtection="0"/>
    <xf numFmtId="9" fontId="1" fillId="0" borderId="0" applyFont="0" applyFill="0" applyBorder="0" applyAlignment="0" applyProtection="0"/>
    <xf numFmtId="9" fontId="106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6" fillId="0" borderId="0" applyFont="0" applyFill="0" applyBorder="0" applyAlignment="0" applyProtection="0"/>
    <xf numFmtId="9" fontId="106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6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6" fillId="0" borderId="0" applyFont="0" applyFill="0" applyBorder="0" applyAlignment="0" applyProtection="0"/>
    <xf numFmtId="9" fontId="106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6" fillId="0" borderId="0" applyFont="0" applyFill="0" applyBorder="0" applyAlignment="0" applyProtection="0"/>
    <xf numFmtId="9" fontId="106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6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6" fillId="0" borderId="0" applyFont="0" applyFill="0" applyBorder="0" applyAlignment="0" applyProtection="0"/>
    <xf numFmtId="9" fontId="106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6" fillId="0" borderId="0" applyFont="0" applyFill="0" applyBorder="0" applyAlignment="0" applyProtection="0"/>
    <xf numFmtId="9" fontId="106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6" fillId="0" borderId="0" applyFont="0" applyFill="0" applyBorder="0" applyAlignment="0" applyProtection="0"/>
    <xf numFmtId="9" fontId="106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6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6" fillId="0" borderId="0" applyFont="0" applyFill="0" applyBorder="0" applyAlignment="0" applyProtection="0"/>
    <xf numFmtId="9" fontId="89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9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9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6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6" fillId="0" borderId="0" applyFont="0" applyFill="0" applyBorder="0" applyAlignment="0" applyProtection="0"/>
    <xf numFmtId="9" fontId="106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6" fillId="0" borderId="0" applyFont="0" applyFill="0" applyBorder="0" applyAlignment="0" applyProtection="0"/>
    <xf numFmtId="0" fontId="35" fillId="0" borderId="0" applyNumberFormat="0" applyFont="0" applyFill="0" applyBorder="0" applyAlignment="0" applyProtection="0">
      <alignment horizontal="left"/>
    </xf>
    <xf numFmtId="0" fontId="35" fillId="0" borderId="0" applyNumberFormat="0" applyFont="0" applyFill="0" applyBorder="0" applyAlignment="0" applyProtection="0">
      <alignment horizontal="left"/>
    </xf>
    <xf numFmtId="0" fontId="35" fillId="0" borderId="0" applyNumberFormat="0" applyFont="0" applyFill="0" applyBorder="0" applyAlignment="0" applyProtection="0">
      <alignment horizontal="left"/>
    </xf>
    <xf numFmtId="0" fontId="35" fillId="0" borderId="0" applyNumberFormat="0" applyFont="0" applyFill="0" applyBorder="0" applyAlignment="0" applyProtection="0">
      <alignment horizontal="left"/>
    </xf>
    <xf numFmtId="0" fontId="35" fillId="0" borderId="0" applyNumberFormat="0" applyFont="0" applyFill="0" applyBorder="0" applyAlignment="0" applyProtection="0">
      <alignment horizontal="left"/>
    </xf>
    <xf numFmtId="0" fontId="35" fillId="0" borderId="0" applyNumberFormat="0" applyFont="0" applyFill="0" applyBorder="0" applyAlignment="0" applyProtection="0">
      <alignment horizontal="left"/>
    </xf>
    <xf numFmtId="0" fontId="35" fillId="0" borderId="0" applyNumberFormat="0" applyFont="0" applyFill="0" applyBorder="0" applyAlignment="0" applyProtection="0">
      <alignment horizontal="left"/>
    </xf>
    <xf numFmtId="0" fontId="35" fillId="0" borderId="0" applyNumberFormat="0" applyFont="0" applyFill="0" applyBorder="0" applyAlignment="0" applyProtection="0">
      <alignment horizontal="left"/>
    </xf>
    <xf numFmtId="15" fontId="35" fillId="0" borderId="0" applyFont="0" applyFill="0" applyBorder="0" applyAlignment="0" applyProtection="0"/>
    <xf numFmtId="15" fontId="35" fillId="0" borderId="0" applyFont="0" applyFill="0" applyBorder="0" applyAlignment="0" applyProtection="0"/>
    <xf numFmtId="15" fontId="35" fillId="0" borderId="0" applyFont="0" applyFill="0" applyBorder="0" applyAlignment="0" applyProtection="0"/>
    <xf numFmtId="15" fontId="35" fillId="0" borderId="0" applyFont="0" applyFill="0" applyBorder="0" applyAlignment="0" applyProtection="0"/>
    <xf numFmtId="15" fontId="35" fillId="0" borderId="0" applyFont="0" applyFill="0" applyBorder="0" applyAlignment="0" applyProtection="0"/>
    <xf numFmtId="15" fontId="35" fillId="0" borderId="0" applyFont="0" applyFill="0" applyBorder="0" applyAlignment="0" applyProtection="0"/>
    <xf numFmtId="15" fontId="35" fillId="0" borderId="0" applyFont="0" applyFill="0" applyBorder="0" applyAlignment="0" applyProtection="0"/>
    <xf numFmtId="4" fontId="35" fillId="0" borderId="0" applyFont="0" applyFill="0" applyBorder="0" applyAlignment="0" applyProtection="0"/>
    <xf numFmtId="4" fontId="35" fillId="0" borderId="0" applyFont="0" applyFill="0" applyBorder="0" applyAlignment="0" applyProtection="0"/>
    <xf numFmtId="4" fontId="35" fillId="0" borderId="0" applyFont="0" applyFill="0" applyBorder="0" applyAlignment="0" applyProtection="0"/>
    <xf numFmtId="4" fontId="35" fillId="0" borderId="0" applyFont="0" applyFill="0" applyBorder="0" applyAlignment="0" applyProtection="0"/>
    <xf numFmtId="4" fontId="35" fillId="0" borderId="0" applyFont="0" applyFill="0" applyBorder="0" applyAlignment="0" applyProtection="0"/>
    <xf numFmtId="4" fontId="35" fillId="0" borderId="0" applyFont="0" applyFill="0" applyBorder="0" applyAlignment="0" applyProtection="0"/>
    <xf numFmtId="4" fontId="35" fillId="0" borderId="0" applyFont="0" applyFill="0" applyBorder="0" applyAlignment="0" applyProtection="0"/>
    <xf numFmtId="3" fontId="7" fillId="0" borderId="0">
      <alignment horizontal="left" vertical="top"/>
    </xf>
    <xf numFmtId="3" fontId="7" fillId="0" borderId="0">
      <alignment horizontal="left" vertical="top"/>
    </xf>
    <xf numFmtId="0" fontId="36" fillId="0" borderId="6">
      <alignment horizontal="center"/>
    </xf>
    <xf numFmtId="0" fontId="36" fillId="0" borderId="6">
      <alignment horizontal="center"/>
    </xf>
    <xf numFmtId="0" fontId="36" fillId="0" borderId="6">
      <alignment horizontal="center"/>
    </xf>
    <xf numFmtId="0" fontId="36" fillId="0" borderId="6">
      <alignment horizontal="center"/>
    </xf>
    <xf numFmtId="0" fontId="36" fillId="0" borderId="6">
      <alignment horizontal="center"/>
    </xf>
    <xf numFmtId="0" fontId="36" fillId="0" borderId="6">
      <alignment horizontal="center"/>
    </xf>
    <xf numFmtId="0" fontId="36" fillId="0" borderId="6">
      <alignment horizontal="center"/>
    </xf>
    <xf numFmtId="0" fontId="36" fillId="0" borderId="6">
      <alignment horizontal="center"/>
    </xf>
    <xf numFmtId="3" fontId="35" fillId="0" borderId="0" applyFont="0" applyFill="0" applyBorder="0" applyAlignment="0" applyProtection="0"/>
    <xf numFmtId="3" fontId="35" fillId="0" borderId="0" applyFont="0" applyFill="0" applyBorder="0" applyAlignment="0" applyProtection="0"/>
    <xf numFmtId="3" fontId="35" fillId="0" borderId="0" applyFont="0" applyFill="0" applyBorder="0" applyAlignment="0" applyProtection="0"/>
    <xf numFmtId="3" fontId="35" fillId="0" borderId="0" applyFont="0" applyFill="0" applyBorder="0" applyAlignment="0" applyProtection="0"/>
    <xf numFmtId="3" fontId="35" fillId="0" borderId="0" applyFont="0" applyFill="0" applyBorder="0" applyAlignment="0" applyProtection="0"/>
    <xf numFmtId="3" fontId="35" fillId="0" borderId="0" applyFont="0" applyFill="0" applyBorder="0" applyAlignment="0" applyProtection="0"/>
    <xf numFmtId="3" fontId="35" fillId="0" borderId="0" applyFont="0" applyFill="0" applyBorder="0" applyAlignment="0" applyProtection="0"/>
    <xf numFmtId="0" fontId="35" fillId="24" borderId="0" applyNumberFormat="0" applyFont="0" applyBorder="0" applyAlignment="0" applyProtection="0"/>
    <xf numFmtId="0" fontId="35" fillId="24" borderId="0" applyNumberFormat="0" applyFont="0" applyBorder="0" applyAlignment="0" applyProtection="0"/>
    <xf numFmtId="0" fontId="35" fillId="24" borderId="0" applyNumberFormat="0" applyFont="0" applyBorder="0" applyAlignment="0" applyProtection="0"/>
    <xf numFmtId="0" fontId="35" fillId="24" borderId="0" applyNumberFormat="0" applyFont="0" applyBorder="0" applyAlignment="0" applyProtection="0"/>
    <xf numFmtId="3" fontId="7" fillId="0" borderId="0">
      <alignment horizontal="right" vertical="top"/>
    </xf>
    <xf numFmtId="3" fontId="7" fillId="0" borderId="0">
      <alignment horizontal="right" vertical="top"/>
    </xf>
    <xf numFmtId="41" fontId="14" fillId="25" borderId="10" applyFill="0"/>
    <xf numFmtId="0" fontId="37" fillId="0" borderId="0">
      <alignment horizontal="left" indent="7"/>
    </xf>
    <xf numFmtId="41" fontId="14" fillId="0" borderId="10" applyFill="0">
      <alignment horizontal="left" indent="2"/>
    </xf>
    <xf numFmtId="169" fontId="38" fillId="0" borderId="11" applyFill="0">
      <alignment horizontal="right"/>
    </xf>
    <xf numFmtId="0" fontId="39" fillId="0" borderId="12" applyNumberFormat="0" applyFont="0" applyBorder="0">
      <alignment horizontal="right"/>
    </xf>
    <xf numFmtId="0" fontId="40" fillId="0" borderId="0" applyFill="0"/>
    <xf numFmtId="0" fontId="9" fillId="0" borderId="0" applyFill="0"/>
    <xf numFmtId="4" fontId="38" fillId="0" borderId="11" applyFill="0"/>
    <xf numFmtId="0" fontId="7" fillId="0" borderId="0" applyNumberFormat="0" applyFont="0" applyBorder="0" applyAlignment="0"/>
    <xf numFmtId="0" fontId="7" fillId="0" borderId="0" applyNumberFormat="0" applyFont="0" applyBorder="0" applyAlignment="0"/>
    <xf numFmtId="0" fontId="12" fillId="0" borderId="0" applyFill="0">
      <alignment horizontal="left" indent="1"/>
    </xf>
    <xf numFmtId="0" fontId="41" fillId="0" borderId="0" applyFill="0">
      <alignment horizontal="left" indent="1"/>
    </xf>
    <xf numFmtId="4" fontId="15" fillId="0" borderId="0" applyFill="0"/>
    <xf numFmtId="0" fontId="7" fillId="0" borderId="0" applyNumberFormat="0" applyFont="0" applyFill="0" applyBorder="0" applyAlignment="0"/>
    <xf numFmtId="0" fontId="7" fillId="0" borderId="0" applyNumberFormat="0" applyFont="0" applyFill="0" applyBorder="0" applyAlignment="0"/>
    <xf numFmtId="0" fontId="12" fillId="0" borderId="0" applyFill="0">
      <alignment horizontal="left" indent="2"/>
    </xf>
    <xf numFmtId="0" fontId="9" fillId="0" borderId="0" applyFill="0">
      <alignment horizontal="left" indent="2"/>
    </xf>
    <xf numFmtId="4" fontId="15" fillId="0" borderId="0" applyFill="0"/>
    <xf numFmtId="0" fontId="7" fillId="0" borderId="0" applyNumberFormat="0" applyFont="0" applyBorder="0" applyAlignment="0"/>
    <xf numFmtId="0" fontId="7" fillId="0" borderId="0" applyNumberFormat="0" applyFont="0" applyBorder="0" applyAlignment="0"/>
    <xf numFmtId="0" fontId="42" fillId="0" borderId="0">
      <alignment horizontal="left" indent="3"/>
    </xf>
    <xf numFmtId="0" fontId="43" fillId="0" borderId="0" applyFill="0">
      <alignment horizontal="left" indent="3"/>
    </xf>
    <xf numFmtId="4" fontId="15" fillId="0" borderId="0" applyFill="0"/>
    <xf numFmtId="0" fontId="7" fillId="0" borderId="0" applyNumberFormat="0" applyFont="0" applyBorder="0" applyAlignment="0"/>
    <xf numFmtId="0" fontId="7" fillId="0" borderId="0" applyNumberFormat="0" applyFont="0" applyBorder="0" applyAlignment="0"/>
    <xf numFmtId="0" fontId="16" fillId="0" borderId="0">
      <alignment horizontal="left" indent="4"/>
    </xf>
    <xf numFmtId="0" fontId="7" fillId="0" borderId="0" applyFill="0">
      <alignment horizontal="left" indent="4"/>
    </xf>
    <xf numFmtId="0" fontId="7" fillId="0" borderId="0" applyFill="0">
      <alignment horizontal="left" indent="4"/>
    </xf>
    <xf numFmtId="4" fontId="17" fillId="0" borderId="0" applyFill="0"/>
    <xf numFmtId="0" fontId="7" fillId="0" borderId="0" applyNumberFormat="0" applyFont="0" applyBorder="0" applyAlignment="0"/>
    <xf numFmtId="0" fontId="7" fillId="0" borderId="0" applyNumberFormat="0" applyFont="0" applyBorder="0" applyAlignment="0"/>
    <xf numFmtId="0" fontId="18" fillId="0" borderId="0">
      <alignment horizontal="left" indent="5"/>
    </xf>
    <xf numFmtId="0" fontId="19" fillId="0" borderId="0" applyFill="0">
      <alignment horizontal="left" indent="5"/>
    </xf>
    <xf numFmtId="4" fontId="20" fillId="0" borderId="0" applyFill="0"/>
    <xf numFmtId="0" fontId="7" fillId="0" borderId="0" applyNumberFormat="0" applyFont="0" applyFill="0" applyBorder="0" applyAlignment="0"/>
    <xf numFmtId="0" fontId="7" fillId="0" borderId="0" applyNumberFormat="0" applyFont="0" applyFill="0" applyBorder="0" applyAlignment="0"/>
    <xf numFmtId="0" fontId="21" fillId="0" borderId="0" applyFill="0">
      <alignment horizontal="left" indent="6"/>
    </xf>
    <xf numFmtId="0" fontId="17" fillId="0" borderId="0" applyFill="0">
      <alignment horizontal="left" indent="6"/>
    </xf>
    <xf numFmtId="0" fontId="44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7" fillId="0" borderId="0" applyFont="0" applyFill="0" applyBorder="0" applyAlignment="0" applyProtection="0"/>
    <xf numFmtId="0" fontId="124" fillId="0" borderId="56" applyNumberFormat="0" applyFill="0" applyAlignment="0" applyProtection="0"/>
    <xf numFmtId="0" fontId="102" fillId="0" borderId="1" applyNumberFormat="0" applyFont="0" applyFill="0" applyAlignment="0" applyProtection="0"/>
    <xf numFmtId="0" fontId="124" fillId="0" borderId="56" applyNumberFormat="0" applyFill="0" applyAlignment="0" applyProtection="0"/>
    <xf numFmtId="0" fontId="7" fillId="0" borderId="0" applyFont="0" applyFill="0" applyBorder="0" applyAlignment="0" applyProtection="0"/>
    <xf numFmtId="0" fontId="102" fillId="0" borderId="1" applyNumberFormat="0" applyFont="0" applyFill="0" applyAlignment="0" applyProtection="0"/>
    <xf numFmtId="0" fontId="102" fillId="0" borderId="1" applyNumberFormat="0" applyFont="0" applyFill="0" applyAlignment="0" applyProtection="0"/>
    <xf numFmtId="0" fontId="102" fillId="0" borderId="1" applyNumberFormat="0" applyFont="0" applyFill="0" applyAlignment="0" applyProtection="0"/>
    <xf numFmtId="0" fontId="4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101" fillId="0" borderId="0" applyNumberFormat="0" applyFill="0" applyBorder="0" applyAlignment="0" applyProtection="0"/>
  </cellStyleXfs>
  <cellXfs count="696">
    <xf numFmtId="0" fontId="0" fillId="0" borderId="0" xfId="0"/>
    <xf numFmtId="0" fontId="7" fillId="0" borderId="0" xfId="0" applyFont="1"/>
    <xf numFmtId="0" fontId="7" fillId="0" borderId="0" xfId="0" applyFont="1" applyAlignment="1">
      <alignment horizontal="center"/>
    </xf>
    <xf numFmtId="170" fontId="7" fillId="0" borderId="0" xfId="198" applyNumberFormat="1" applyFont="1"/>
    <xf numFmtId="0" fontId="7" fillId="0" borderId="0" xfId="0" applyFont="1" applyBorder="1"/>
    <xf numFmtId="0" fontId="47" fillId="0" borderId="0" xfId="0" applyFont="1" applyFill="1"/>
    <xf numFmtId="0" fontId="0" fillId="0" borderId="0" xfId="0" applyAlignment="1">
      <alignment wrapText="1"/>
    </xf>
    <xf numFmtId="0" fontId="0" fillId="0" borderId="0" xfId="0" applyBorder="1"/>
    <xf numFmtId="0" fontId="9" fillId="0" borderId="0" xfId="0" applyFont="1" applyAlignment="1">
      <alignment horizontal="left"/>
    </xf>
    <xf numFmtId="0" fontId="0" fillId="0" borderId="0" xfId="0" applyAlignment="1">
      <alignment horizontal="center"/>
    </xf>
    <xf numFmtId="0" fontId="7" fillId="0" borderId="0" xfId="0" applyFont="1" applyFill="1" applyBorder="1"/>
    <xf numFmtId="10" fontId="7" fillId="0" borderId="0" xfId="0" applyNumberFormat="1" applyFont="1" applyBorder="1"/>
    <xf numFmtId="0" fontId="7" fillId="0" borderId="0" xfId="0" applyFont="1" applyFill="1" applyBorder="1" applyAlignment="1"/>
    <xf numFmtId="0" fontId="14" fillId="0" borderId="0" xfId="995" applyNumberFormat="1" applyFont="1" applyFill="1" applyBorder="1" applyAlignment="1" applyProtection="1">
      <protection locked="0"/>
    </xf>
    <xf numFmtId="0" fontId="6" fillId="0" borderId="0" xfId="0" applyFont="1" applyFill="1"/>
    <xf numFmtId="10" fontId="7" fillId="0" borderId="0" xfId="0" applyNumberFormat="1" applyFont="1"/>
    <xf numFmtId="0" fontId="7" fillId="0" borderId="0" xfId="0" applyFont="1" applyFill="1" applyBorder="1" applyAlignment="1">
      <alignment wrapText="1"/>
    </xf>
    <xf numFmtId="0" fontId="0" fillId="0" borderId="0" xfId="0" applyFill="1"/>
    <xf numFmtId="170" fontId="7" fillId="0" borderId="0" xfId="0" applyNumberFormat="1" applyFont="1"/>
    <xf numFmtId="0" fontId="50" fillId="0" borderId="0" xfId="0" applyFont="1"/>
    <xf numFmtId="0" fontId="46" fillId="0" borderId="0" xfId="0" applyFont="1" applyAlignment="1">
      <alignment horizontal="right"/>
    </xf>
    <xf numFmtId="0" fontId="46" fillId="0" borderId="0" xfId="0" applyFont="1" applyFill="1" applyAlignment="1">
      <alignment horizontal="right"/>
    </xf>
    <xf numFmtId="170" fontId="7" fillId="0" borderId="0" xfId="198" applyNumberFormat="1" applyFont="1" applyBorder="1"/>
    <xf numFmtId="0" fontId="39" fillId="0" borderId="0" xfId="0" applyFont="1" applyAlignment="1">
      <alignment horizontal="left"/>
    </xf>
    <xf numFmtId="0" fontId="51" fillId="27" borderId="0" xfId="198" applyNumberFormat="1" applyFont="1" applyFill="1" applyAlignment="1">
      <alignment horizontal="left"/>
    </xf>
    <xf numFmtId="0" fontId="39" fillId="0" borderId="17" xfId="0" applyFont="1" applyBorder="1"/>
    <xf numFmtId="0" fontId="7" fillId="0" borderId="17" xfId="0" applyFont="1" applyBorder="1"/>
    <xf numFmtId="170" fontId="39" fillId="0" borderId="18" xfId="198" applyNumberFormat="1" applyFont="1" applyBorder="1"/>
    <xf numFmtId="0" fontId="14" fillId="0" borderId="0" xfId="198" applyNumberFormat="1" applyFont="1" applyFill="1" applyAlignment="1">
      <alignment horizontal="left"/>
    </xf>
    <xf numFmtId="0" fontId="14" fillId="0" borderId="0" xfId="198" applyNumberFormat="1" applyFont="1" applyFill="1" applyBorder="1" applyAlignment="1">
      <alignment horizontal="left"/>
    </xf>
    <xf numFmtId="0" fontId="9" fillId="0" borderId="0" xfId="198" applyNumberFormat="1" applyFont="1" applyFill="1" applyBorder="1" applyAlignment="1">
      <alignment horizontal="left"/>
    </xf>
    <xf numFmtId="170" fontId="39" fillId="0" borderId="19" xfId="198" applyNumberFormat="1" applyFont="1" applyBorder="1"/>
    <xf numFmtId="0" fontId="39" fillId="0" borderId="0" xfId="0" applyFont="1" applyFill="1"/>
    <xf numFmtId="170" fontId="39" fillId="0" borderId="15" xfId="198" applyNumberFormat="1" applyFont="1" applyBorder="1"/>
    <xf numFmtId="170" fontId="7" fillId="0" borderId="6" xfId="198" applyNumberFormat="1" applyFont="1" applyBorder="1"/>
    <xf numFmtId="170" fontId="7" fillId="0" borderId="16" xfId="198" applyNumberFormat="1" applyFont="1" applyBorder="1"/>
    <xf numFmtId="0" fontId="53" fillId="0" borderId="0" xfId="0" applyFont="1" applyFill="1" applyAlignment="1"/>
    <xf numFmtId="0" fontId="7" fillId="0" borderId="0" xfId="0" applyFont="1" applyFill="1" applyAlignment="1">
      <alignment wrapText="1"/>
    </xf>
    <xf numFmtId="0" fontId="39" fillId="0" borderId="20" xfId="0" applyFont="1" applyFill="1" applyBorder="1" applyAlignment="1">
      <alignment horizontal="center"/>
    </xf>
    <xf numFmtId="0" fontId="39" fillId="0" borderId="21" xfId="0" applyFont="1" applyFill="1" applyBorder="1" applyAlignment="1">
      <alignment horizontal="center"/>
    </xf>
    <xf numFmtId="0" fontId="39" fillId="0" borderId="22" xfId="0" applyFont="1" applyFill="1" applyBorder="1" applyAlignment="1">
      <alignment horizontal="center"/>
    </xf>
    <xf numFmtId="0" fontId="39" fillId="0" borderId="0" xfId="0" applyFont="1" applyFill="1" applyBorder="1" applyAlignment="1">
      <alignment horizontal="center"/>
    </xf>
    <xf numFmtId="0" fontId="0" fillId="0" borderId="0" xfId="0" applyBorder="1" applyAlignment="1"/>
    <xf numFmtId="0" fontId="7" fillId="0" borderId="13" xfId="0" applyFont="1" applyFill="1" applyBorder="1" applyAlignment="1"/>
    <xf numFmtId="170" fontId="54" fillId="27" borderId="14" xfId="198" applyNumberFormat="1" applyFont="1" applyFill="1" applyBorder="1" applyAlignment="1">
      <alignment horizontal="right"/>
    </xf>
    <xf numFmtId="0" fontId="7" fillId="0" borderId="0" xfId="0" applyFont="1" applyBorder="1" applyAlignment="1">
      <alignment horizontal="center"/>
    </xf>
    <xf numFmtId="0" fontId="39" fillId="0" borderId="18" xfId="0" applyFont="1" applyFill="1" applyBorder="1" applyAlignment="1">
      <alignment horizontal="center"/>
    </xf>
    <xf numFmtId="0" fontId="7" fillId="0" borderId="13" xfId="0" applyFont="1" applyFill="1" applyBorder="1"/>
    <xf numFmtId="0" fontId="54" fillId="27" borderId="14" xfId="0" applyFont="1" applyFill="1" applyBorder="1" applyAlignment="1">
      <alignment horizontal="right"/>
    </xf>
    <xf numFmtId="170" fontId="7" fillId="0" borderId="14" xfId="0" applyNumberFormat="1" applyFont="1" applyFill="1" applyBorder="1" applyAlignment="1">
      <alignment horizontal="right"/>
    </xf>
    <xf numFmtId="170" fontId="7" fillId="0" borderId="0" xfId="0" applyNumberFormat="1" applyFont="1" applyFill="1" applyBorder="1" applyAlignment="1">
      <alignment horizontal="right"/>
    </xf>
    <xf numFmtId="10" fontId="7" fillId="0" borderId="14" xfId="0" applyNumberFormat="1" applyFont="1" applyBorder="1"/>
    <xf numFmtId="10" fontId="7" fillId="0" borderId="0" xfId="0" applyNumberFormat="1" applyFont="1" applyFill="1" applyBorder="1"/>
    <xf numFmtId="170" fontId="7" fillId="0" borderId="14" xfId="198" applyNumberFormat="1" applyFont="1" applyBorder="1"/>
    <xf numFmtId="0" fontId="39" fillId="0" borderId="23" xfId="0" applyFont="1" applyBorder="1" applyAlignment="1">
      <alignment horizontal="center"/>
    </xf>
    <xf numFmtId="170" fontId="39" fillId="0" borderId="23" xfId="198" applyNumberFormat="1" applyFont="1" applyBorder="1" applyAlignment="1">
      <alignment horizontal="center"/>
    </xf>
    <xf numFmtId="0" fontId="39" fillId="0" borderId="24" xfId="0" applyFont="1" applyBorder="1" applyAlignment="1">
      <alignment horizontal="center"/>
    </xf>
    <xf numFmtId="170" fontId="39" fillId="0" borderId="23" xfId="198" applyNumberFormat="1" applyFont="1" applyBorder="1" applyAlignment="1">
      <alignment horizontal="center" wrapText="1"/>
    </xf>
    <xf numFmtId="0" fontId="39" fillId="0" borderId="25" xfId="0" applyFont="1" applyBorder="1" applyAlignment="1">
      <alignment horizontal="center"/>
    </xf>
    <xf numFmtId="170" fontId="39" fillId="0" borderId="16" xfId="198" applyNumberFormat="1" applyFont="1" applyBorder="1" applyAlignment="1">
      <alignment horizontal="center"/>
    </xf>
    <xf numFmtId="0" fontId="39" fillId="0" borderId="25" xfId="0" applyFont="1" applyFill="1" applyBorder="1" applyAlignment="1">
      <alignment horizontal="center"/>
    </xf>
    <xf numFmtId="0" fontId="39" fillId="0" borderId="24" xfId="0" applyFont="1" applyFill="1" applyBorder="1" applyAlignment="1">
      <alignment horizontal="center"/>
    </xf>
    <xf numFmtId="170" fontId="39" fillId="0" borderId="25" xfId="198" applyNumberFormat="1" applyFont="1" applyBorder="1" applyAlignment="1">
      <alignment horizontal="center"/>
    </xf>
    <xf numFmtId="170" fontId="39" fillId="0" borderId="15" xfId="198" applyNumberFormat="1" applyFont="1" applyBorder="1" applyAlignment="1">
      <alignment horizontal="center"/>
    </xf>
    <xf numFmtId="0" fontId="7" fillId="0" borderId="24" xfId="0" applyNumberFormat="1" applyFont="1" applyBorder="1" applyAlignment="1">
      <alignment horizontal="center"/>
    </xf>
    <xf numFmtId="170" fontId="7" fillId="0" borderId="0" xfId="0" applyNumberFormat="1" applyFont="1" applyBorder="1"/>
    <xf numFmtId="170" fontId="7" fillId="0" borderId="23" xfId="198" applyNumberFormat="1" applyFont="1" applyBorder="1"/>
    <xf numFmtId="171" fontId="7" fillId="0" borderId="14" xfId="0" applyNumberFormat="1" applyFont="1" applyBorder="1"/>
    <xf numFmtId="171" fontId="7" fillId="0" borderId="23" xfId="0" applyNumberFormat="1" applyFont="1" applyBorder="1"/>
    <xf numFmtId="171" fontId="7" fillId="0" borderId="24" xfId="0" applyNumberFormat="1" applyFont="1" applyBorder="1"/>
    <xf numFmtId="170" fontId="7" fillId="0" borderId="24" xfId="0" applyNumberFormat="1" applyFont="1" applyBorder="1"/>
    <xf numFmtId="170" fontId="1" fillId="0" borderId="24" xfId="198" applyNumberFormat="1" applyBorder="1"/>
    <xf numFmtId="170" fontId="7" fillId="0" borderId="24" xfId="198" applyNumberFormat="1" applyFont="1" applyBorder="1"/>
    <xf numFmtId="170" fontId="7" fillId="0" borderId="24" xfId="198" applyNumberFormat="1" applyFont="1" applyFill="1" applyBorder="1"/>
    <xf numFmtId="0" fontId="7" fillId="0" borderId="25" xfId="0" applyNumberFormat="1" applyFont="1" applyBorder="1" applyAlignment="1">
      <alignment horizontal="center"/>
    </xf>
    <xf numFmtId="170" fontId="7" fillId="0" borderId="25" xfId="0" applyNumberFormat="1" applyFont="1" applyBorder="1"/>
    <xf numFmtId="170" fontId="1" fillId="0" borderId="25" xfId="198" applyNumberFormat="1" applyBorder="1"/>
    <xf numFmtId="170" fontId="7" fillId="0" borderId="25" xfId="198" applyNumberFormat="1" applyFont="1" applyFill="1" applyBorder="1"/>
    <xf numFmtId="171" fontId="7" fillId="0" borderId="16" xfId="0" applyNumberFormat="1" applyFont="1" applyBorder="1"/>
    <xf numFmtId="171" fontId="7" fillId="0" borderId="25" xfId="0" applyNumberFormat="1" applyFont="1" applyBorder="1"/>
    <xf numFmtId="0" fontId="53" fillId="0" borderId="0" xfId="0" applyFont="1" applyFill="1"/>
    <xf numFmtId="171" fontId="7" fillId="0" borderId="0" xfId="0" applyNumberFormat="1" applyFont="1" applyBorder="1"/>
    <xf numFmtId="171" fontId="7" fillId="0" borderId="23" xfId="0" applyNumberFormat="1" applyFont="1" applyFill="1" applyBorder="1"/>
    <xf numFmtId="170" fontId="55" fillId="0" borderId="0" xfId="0" applyNumberFormat="1" applyFont="1" applyAlignment="1">
      <alignment horizontal="left"/>
    </xf>
    <xf numFmtId="0" fontId="9" fillId="0" borderId="0" xfId="0" applyFont="1" applyFill="1"/>
    <xf numFmtId="170" fontId="39" fillId="0" borderId="0" xfId="198" applyNumberFormat="1" applyFont="1" applyBorder="1"/>
    <xf numFmtId="170" fontId="7" fillId="0" borderId="14" xfId="0" applyNumberFormat="1" applyFont="1" applyBorder="1"/>
    <xf numFmtId="170" fontId="39" fillId="0" borderId="11" xfId="198" applyNumberFormat="1" applyFont="1" applyBorder="1"/>
    <xf numFmtId="170" fontId="7" fillId="0" borderId="19" xfId="0" applyNumberFormat="1" applyFont="1" applyBorder="1"/>
    <xf numFmtId="0" fontId="7" fillId="0" borderId="15" xfId="0" applyFont="1" applyBorder="1"/>
    <xf numFmtId="170" fontId="39" fillId="0" borderId="6" xfId="198" applyNumberFormat="1" applyFont="1" applyFill="1" applyBorder="1" applyAlignment="1">
      <alignment horizontal="left"/>
    </xf>
    <xf numFmtId="170" fontId="39" fillId="0" borderId="16" xfId="198" applyNumberFormat="1" applyFont="1" applyFill="1" applyBorder="1" applyAlignment="1">
      <alignment horizontal="left"/>
    </xf>
    <xf numFmtId="0" fontId="7" fillId="0" borderId="20" xfId="0" applyFont="1" applyFill="1" applyBorder="1" applyAlignment="1">
      <alignment horizontal="center"/>
    </xf>
    <xf numFmtId="0" fontId="0" fillId="0" borderId="21" xfId="0" applyBorder="1" applyAlignment="1"/>
    <xf numFmtId="0" fontId="0" fillId="0" borderId="0" xfId="0" applyFill="1" applyBorder="1" applyAlignment="1"/>
    <xf numFmtId="0" fontId="7" fillId="0" borderId="6" xfId="0" applyFont="1" applyBorder="1" applyAlignment="1">
      <alignment horizontal="center"/>
    </xf>
    <xf numFmtId="0" fontId="0" fillId="0" borderId="6" xfId="0" applyBorder="1"/>
    <xf numFmtId="0" fontId="39" fillId="0" borderId="23" xfId="0" applyFont="1" applyBorder="1" applyAlignment="1">
      <alignment horizontal="center" wrapText="1"/>
    </xf>
    <xf numFmtId="170" fontId="39" fillId="0" borderId="0" xfId="198" applyNumberFormat="1" applyFont="1" applyBorder="1" applyAlignment="1">
      <alignment horizontal="center" wrapText="1"/>
    </xf>
    <xf numFmtId="0" fontId="39" fillId="0" borderId="24" xfId="0" applyFont="1" applyBorder="1" applyAlignment="1">
      <alignment horizontal="center" wrapText="1"/>
    </xf>
    <xf numFmtId="0" fontId="39" fillId="0" borderId="6" xfId="0" applyFont="1" applyBorder="1" applyAlignment="1">
      <alignment horizontal="center"/>
    </xf>
    <xf numFmtId="170" fontId="7" fillId="0" borderId="23" xfId="0" applyNumberFormat="1" applyFont="1" applyBorder="1"/>
    <xf numFmtId="170" fontId="7" fillId="0" borderId="6" xfId="0" applyNumberFormat="1" applyFont="1" applyBorder="1"/>
    <xf numFmtId="0" fontId="55" fillId="0" borderId="0" xfId="0" applyFont="1"/>
    <xf numFmtId="0" fontId="58" fillId="0" borderId="0" xfId="0" applyFont="1" applyFill="1"/>
    <xf numFmtId="170" fontId="7" fillId="0" borderId="14" xfId="198" applyNumberFormat="1" applyFont="1" applyFill="1" applyBorder="1" applyAlignment="1">
      <alignment horizontal="right"/>
    </xf>
    <xf numFmtId="0" fontId="7" fillId="0" borderId="14" xfId="0" applyFont="1" applyFill="1" applyBorder="1" applyAlignment="1">
      <alignment horizontal="right"/>
    </xf>
    <xf numFmtId="0" fontId="7" fillId="0" borderId="16" xfId="0" applyFont="1" applyFill="1" applyBorder="1" applyAlignment="1">
      <alignment horizontal="right"/>
    </xf>
    <xf numFmtId="0" fontId="52" fillId="27" borderId="0" xfId="0" applyFont="1" applyFill="1" applyAlignment="1">
      <alignment horizontal="left"/>
    </xf>
    <xf numFmtId="0" fontId="39" fillId="0" borderId="21" xfId="0" applyFont="1" applyFill="1" applyBorder="1" applyAlignment="1"/>
    <xf numFmtId="0" fontId="61" fillId="28" borderId="21" xfId="0" applyFont="1" applyFill="1" applyBorder="1" applyAlignment="1">
      <alignment horizontal="center"/>
    </xf>
    <xf numFmtId="0" fontId="39" fillId="0" borderId="0" xfId="0" quotePrefix="1" applyFont="1" applyAlignment="1">
      <alignment horizontal="left"/>
    </xf>
    <xf numFmtId="0" fontId="46" fillId="0" borderId="0" xfId="0" applyFont="1" applyAlignment="1">
      <alignment horizontal="center"/>
    </xf>
    <xf numFmtId="0" fontId="0" fillId="0" borderId="22" xfId="0" applyBorder="1" applyAlignment="1"/>
    <xf numFmtId="0" fontId="68" fillId="0" borderId="0" xfId="0" quotePrefix="1" applyFont="1" applyAlignment="1">
      <alignment horizontal="left"/>
    </xf>
    <xf numFmtId="0" fontId="68" fillId="0" borderId="0" xfId="0" applyFont="1"/>
    <xf numFmtId="0" fontId="69" fillId="0" borderId="0" xfId="0" applyFont="1"/>
    <xf numFmtId="0" fontId="7" fillId="0" borderId="0" xfId="0" applyFont="1" applyAlignment="1">
      <alignment horizontal="left"/>
    </xf>
    <xf numFmtId="0" fontId="50" fillId="0" borderId="0" xfId="0" quotePrefix="1" applyFont="1" applyAlignment="1">
      <alignment horizontal="left"/>
    </xf>
    <xf numFmtId="0" fontId="46" fillId="0" borderId="0" xfId="0" quotePrefix="1" applyFont="1" applyAlignment="1">
      <alignment horizontal="center"/>
    </xf>
    <xf numFmtId="171" fontId="46" fillId="0" borderId="0" xfId="0" quotePrefix="1" applyNumberFormat="1" applyFont="1" applyBorder="1" applyAlignment="1">
      <alignment horizontal="center"/>
    </xf>
    <xf numFmtId="0" fontId="52" fillId="0" borderId="0" xfId="0" applyFont="1" applyAlignment="1">
      <alignment horizontal="left"/>
    </xf>
    <xf numFmtId="0" fontId="55" fillId="0" borderId="0" xfId="0" applyFont="1" applyFill="1" applyAlignment="1"/>
    <xf numFmtId="0" fontId="55" fillId="0" borderId="0" xfId="0" quotePrefix="1" applyFont="1" applyAlignment="1">
      <alignment horizontal="left"/>
    </xf>
    <xf numFmtId="0" fontId="67" fillId="0" borderId="0" xfId="0" applyFont="1" applyFill="1" applyAlignment="1">
      <alignment horizontal="right"/>
    </xf>
    <xf numFmtId="168" fontId="7" fillId="0" borderId="24" xfId="198" applyNumberFormat="1" applyFont="1" applyFill="1" applyBorder="1"/>
    <xf numFmtId="168" fontId="7" fillId="0" borderId="14" xfId="198" applyNumberFormat="1" applyFont="1" applyFill="1" applyBorder="1"/>
    <xf numFmtId="170" fontId="7" fillId="0" borderId="14" xfId="198" applyNumberFormat="1" applyFont="1" applyFill="1" applyBorder="1"/>
    <xf numFmtId="170" fontId="7" fillId="0" borderId="16" xfId="198" applyNumberFormat="1" applyFont="1" applyFill="1" applyBorder="1"/>
    <xf numFmtId="170" fontId="39" fillId="27" borderId="25" xfId="198" applyNumberFormat="1" applyFont="1" applyFill="1" applyBorder="1" applyAlignment="1">
      <alignment horizontal="center"/>
    </xf>
    <xf numFmtId="170" fontId="39" fillId="27" borderId="16" xfId="198" applyNumberFormat="1" applyFont="1" applyFill="1" applyBorder="1" applyAlignment="1">
      <alignment horizontal="center"/>
    </xf>
    <xf numFmtId="171" fontId="54" fillId="0" borderId="23" xfId="0" applyNumberFormat="1" applyFont="1" applyFill="1" applyBorder="1"/>
    <xf numFmtId="171" fontId="7" fillId="0" borderId="24" xfId="0" applyNumberFormat="1" applyFont="1" applyFill="1" applyBorder="1"/>
    <xf numFmtId="171" fontId="54" fillId="0" borderId="24" xfId="0" applyNumberFormat="1" applyFont="1" applyFill="1" applyBorder="1"/>
    <xf numFmtId="170" fontId="7" fillId="0" borderId="13" xfId="198" quotePrefix="1" applyNumberFormat="1" applyFont="1" applyBorder="1" applyAlignment="1">
      <alignment horizontal="right"/>
    </xf>
    <xf numFmtId="0" fontId="7" fillId="0" borderId="15" xfId="0" quotePrefix="1" applyFont="1" applyBorder="1" applyAlignment="1">
      <alignment horizontal="right"/>
    </xf>
    <xf numFmtId="0" fontId="55" fillId="0" borderId="23" xfId="0" applyFont="1" applyBorder="1"/>
    <xf numFmtId="170" fontId="55" fillId="0" borderId="25" xfId="198" applyNumberFormat="1" applyFont="1" applyBorder="1"/>
    <xf numFmtId="0" fontId="57" fillId="0" borderId="28" xfId="198" applyNumberFormat="1" applyFont="1" applyFill="1" applyBorder="1" applyAlignment="1">
      <alignment horizontal="left"/>
    </xf>
    <xf numFmtId="170" fontId="7" fillId="0" borderId="29" xfId="198" quotePrefix="1" applyNumberFormat="1" applyFont="1" applyBorder="1" applyAlignment="1">
      <alignment horizontal="right"/>
    </xf>
    <xf numFmtId="0" fontId="39" fillId="0" borderId="30" xfId="0" applyFont="1" applyFill="1" applyBorder="1" applyAlignment="1">
      <alignment horizontal="center"/>
    </xf>
    <xf numFmtId="169" fontId="7" fillId="0" borderId="31" xfId="995" applyFont="1" applyBorder="1" applyAlignment="1" applyProtection="1">
      <alignment horizontal="center"/>
      <protection locked="0"/>
    </xf>
    <xf numFmtId="3" fontId="7" fillId="0" borderId="32" xfId="995" applyNumberFormat="1" applyFont="1" applyBorder="1" applyAlignment="1" applyProtection="1">
      <alignment horizontal="center"/>
      <protection locked="0"/>
    </xf>
    <xf numFmtId="0" fontId="39" fillId="0" borderId="26" xfId="0" quotePrefix="1" applyFont="1" applyBorder="1" applyAlignment="1">
      <alignment horizontal="left"/>
    </xf>
    <xf numFmtId="0" fontId="39" fillId="0" borderId="13" xfId="0" quotePrefix="1" applyFont="1" applyBorder="1" applyAlignment="1">
      <alignment horizontal="left"/>
    </xf>
    <xf numFmtId="169" fontId="7" fillId="0" borderId="31" xfId="995" quotePrefix="1" applyFont="1" applyBorder="1" applyAlignment="1" applyProtection="1">
      <alignment horizontal="center"/>
      <protection locked="0"/>
    </xf>
    <xf numFmtId="170" fontId="39" fillId="0" borderId="23" xfId="198" quotePrefix="1" applyNumberFormat="1" applyFont="1" applyBorder="1" applyAlignment="1">
      <alignment horizontal="center" wrapText="1"/>
    </xf>
    <xf numFmtId="0" fontId="52" fillId="0" borderId="0" xfId="0" quotePrefix="1" applyFont="1" applyFill="1" applyAlignment="1">
      <alignment horizontal="left"/>
    </xf>
    <xf numFmtId="0" fontId="52" fillId="0" borderId="0" xfId="0" quotePrefix="1" applyFont="1" applyAlignment="1">
      <alignment horizontal="left"/>
    </xf>
    <xf numFmtId="171" fontId="54" fillId="27" borderId="23" xfId="0" applyNumberFormat="1" applyFont="1" applyFill="1" applyBorder="1"/>
    <xf numFmtId="171" fontId="54" fillId="27" borderId="24" xfId="0" applyNumberFormat="1" applyFont="1" applyFill="1" applyBorder="1"/>
    <xf numFmtId="171" fontId="54" fillId="27" borderId="25" xfId="0" applyNumberFormat="1" applyFont="1" applyFill="1" applyBorder="1"/>
    <xf numFmtId="0" fontId="39" fillId="0" borderId="23" xfId="0" quotePrefix="1" applyFont="1" applyBorder="1" applyAlignment="1">
      <alignment horizontal="center" wrapText="1"/>
    </xf>
    <xf numFmtId="0" fontId="55" fillId="0" borderId="0" xfId="0" applyFont="1" applyFill="1" applyAlignment="1">
      <alignment horizontal="left"/>
    </xf>
    <xf numFmtId="0" fontId="55" fillId="0" borderId="0" xfId="0" applyFont="1" applyAlignment="1">
      <alignment horizontal="left"/>
    </xf>
    <xf numFmtId="170" fontId="54" fillId="27" borderId="0" xfId="0" applyNumberFormat="1" applyFont="1" applyFill="1" applyBorder="1"/>
    <xf numFmtId="170" fontId="54" fillId="27" borderId="23" xfId="198" applyNumberFormat="1" applyFont="1" applyFill="1" applyBorder="1"/>
    <xf numFmtId="170" fontId="54" fillId="27" borderId="14" xfId="198" applyNumberFormat="1" applyFont="1" applyFill="1" applyBorder="1"/>
    <xf numFmtId="170" fontId="54" fillId="27" borderId="24" xfId="198" applyNumberFormat="1" applyFont="1" applyFill="1" applyBorder="1"/>
    <xf numFmtId="170" fontId="54" fillId="27" borderId="24" xfId="0" applyNumberFormat="1" applyFont="1" applyFill="1" applyBorder="1"/>
    <xf numFmtId="168" fontId="54" fillId="27" borderId="24" xfId="198" applyNumberFormat="1" applyFont="1" applyFill="1" applyBorder="1"/>
    <xf numFmtId="168" fontId="54" fillId="27" borderId="14" xfId="198" applyNumberFormat="1" applyFont="1" applyFill="1" applyBorder="1"/>
    <xf numFmtId="170" fontId="54" fillId="27" borderId="23" xfId="0" applyNumberFormat="1" applyFont="1" applyFill="1" applyBorder="1"/>
    <xf numFmtId="171" fontId="54" fillId="0" borderId="14" xfId="0" applyNumberFormat="1" applyFont="1" applyFill="1" applyBorder="1"/>
    <xf numFmtId="0" fontId="53" fillId="0" borderId="0" xfId="0" quotePrefix="1" applyFont="1" applyFill="1" applyAlignment="1"/>
    <xf numFmtId="170" fontId="53" fillId="0" borderId="0" xfId="0" applyNumberFormat="1" applyFont="1" applyAlignment="1">
      <alignment horizontal="left"/>
    </xf>
    <xf numFmtId="170" fontId="79" fillId="27" borderId="24" xfId="198" applyNumberFormat="1" applyFont="1" applyFill="1" applyBorder="1"/>
    <xf numFmtId="170" fontId="7" fillId="27" borderId="0" xfId="0" applyNumberFormat="1" applyFont="1" applyFill="1" applyBorder="1"/>
    <xf numFmtId="170" fontId="1" fillId="27" borderId="24" xfId="198" applyNumberFormat="1" applyFill="1" applyBorder="1"/>
    <xf numFmtId="170" fontId="7" fillId="27" borderId="24" xfId="0" applyNumberFormat="1" applyFont="1" applyFill="1" applyBorder="1"/>
    <xf numFmtId="170" fontId="7" fillId="27" borderId="24" xfId="198" applyNumberFormat="1" applyFont="1" applyFill="1" applyBorder="1"/>
    <xf numFmtId="170" fontId="7" fillId="27" borderId="14" xfId="198" applyNumberFormat="1" applyFont="1" applyFill="1" applyBorder="1"/>
    <xf numFmtId="170" fontId="87" fillId="27" borderId="14" xfId="198" applyNumberFormat="1" applyFont="1" applyFill="1" applyBorder="1"/>
    <xf numFmtId="170" fontId="87" fillId="27" borderId="24" xfId="0" applyNumberFormat="1" applyFont="1" applyFill="1" applyBorder="1"/>
    <xf numFmtId="170" fontId="87" fillId="27" borderId="24" xfId="198" applyNumberFormat="1" applyFont="1" applyFill="1" applyBorder="1"/>
    <xf numFmtId="171" fontId="87" fillId="0" borderId="14" xfId="0" applyNumberFormat="1" applyFont="1" applyBorder="1"/>
    <xf numFmtId="171" fontId="87" fillId="0" borderId="14" xfId="0" applyNumberFormat="1" applyFont="1" applyFill="1" applyBorder="1"/>
    <xf numFmtId="171" fontId="88" fillId="0" borderId="24" xfId="0" applyNumberFormat="1" applyFont="1" applyBorder="1"/>
    <xf numFmtId="170" fontId="39" fillId="0" borderId="25" xfId="198" applyNumberFormat="1" applyFont="1" applyFill="1" applyBorder="1" applyAlignment="1">
      <alignment horizontal="center"/>
    </xf>
    <xf numFmtId="170" fontId="39" fillId="0" borderId="16" xfId="198" applyNumberFormat="1" applyFont="1" applyFill="1" applyBorder="1" applyAlignment="1">
      <alignment horizontal="center"/>
    </xf>
    <xf numFmtId="170" fontId="39" fillId="0" borderId="18" xfId="349" applyNumberFormat="1" applyFont="1" applyFill="1" applyBorder="1" applyAlignment="1">
      <alignment horizontal="center" wrapText="1"/>
    </xf>
    <xf numFmtId="170" fontId="39" fillId="0" borderId="18" xfId="349" applyNumberFormat="1" applyFont="1" applyBorder="1" applyAlignment="1">
      <alignment horizontal="center" wrapText="1"/>
    </xf>
    <xf numFmtId="170" fontId="7" fillId="0" borderId="23" xfId="285" applyNumberFormat="1" applyFont="1" applyBorder="1"/>
    <xf numFmtId="0" fontId="0" fillId="0" borderId="0" xfId="0" applyProtection="1"/>
    <xf numFmtId="0" fontId="14" fillId="0" borderId="0" xfId="0" applyNumberFormat="1" applyFont="1" applyAlignment="1" applyProtection="1">
      <alignment horizontal="center"/>
    </xf>
    <xf numFmtId="3" fontId="14" fillId="0" borderId="0" xfId="0" quotePrefix="1" applyNumberFormat="1" applyFont="1" applyFill="1" applyAlignment="1" applyProtection="1">
      <alignment horizontal="center"/>
    </xf>
    <xf numFmtId="0" fontId="14" fillId="0" borderId="0" xfId="0" applyNumberFormat="1" applyFont="1" applyFill="1" applyAlignment="1" applyProtection="1">
      <alignment horizontal="center"/>
    </xf>
    <xf numFmtId="169" fontId="14" fillId="0" borderId="0" xfId="995" applyFont="1" applyFill="1" applyAlignment="1" applyProtection="1"/>
    <xf numFmtId="49" fontId="73" fillId="0" borderId="0" xfId="995" applyNumberFormat="1" applyFont="1" applyFill="1" applyAlignment="1" applyProtection="1">
      <alignment horizontal="center"/>
    </xf>
    <xf numFmtId="3" fontId="6" fillId="0" borderId="0" xfId="0" applyNumberFormat="1" applyFont="1" applyAlignment="1" applyProtection="1">
      <alignment horizontal="center"/>
    </xf>
    <xf numFmtId="3" fontId="6" fillId="0" borderId="0" xfId="0" quotePrefix="1" applyNumberFormat="1" applyFont="1" applyAlignment="1" applyProtection="1">
      <alignment horizontal="center"/>
    </xf>
    <xf numFmtId="0" fontId="0" fillId="0" borderId="0" xfId="0" applyFill="1" applyProtection="1"/>
    <xf numFmtId="0" fontId="0" fillId="0" borderId="0" xfId="0" applyAlignment="1" applyProtection="1">
      <alignment horizontal="center" vertical="center"/>
    </xf>
    <xf numFmtId="0" fontId="1" fillId="0" borderId="0" xfId="0" applyFont="1" applyAlignment="1" applyProtection="1">
      <alignment horizontal="center" vertical="center"/>
    </xf>
    <xf numFmtId="0" fontId="0" fillId="0" borderId="0" xfId="0" applyAlignment="1" applyProtection="1">
      <alignment vertical="center"/>
    </xf>
    <xf numFmtId="0" fontId="0" fillId="0" borderId="0" xfId="0" applyAlignment="1" applyProtection="1">
      <alignment horizontal="center"/>
    </xf>
    <xf numFmtId="0" fontId="39" fillId="0" borderId="11" xfId="0" applyFont="1" applyBorder="1" applyAlignment="1" applyProtection="1">
      <alignment horizontal="centerContinuous"/>
    </xf>
    <xf numFmtId="0" fontId="53" fillId="0" borderId="0" xfId="0" quotePrefix="1" applyFont="1" applyAlignment="1" applyProtection="1">
      <alignment horizontal="left"/>
    </xf>
    <xf numFmtId="0" fontId="39" fillId="0" borderId="0" xfId="0" applyFont="1" applyBorder="1" applyAlignment="1" applyProtection="1">
      <alignment horizontal="center"/>
    </xf>
    <xf numFmtId="0" fontId="39" fillId="0" borderId="11" xfId="0" quotePrefix="1" applyFont="1" applyBorder="1" applyAlignment="1" applyProtection="1">
      <alignment horizontal="centerContinuous"/>
    </xf>
    <xf numFmtId="0" fontId="65" fillId="0" borderId="0" xfId="0" quotePrefix="1" applyFont="1" applyBorder="1" applyAlignment="1" applyProtection="1">
      <alignment horizontal="centerContinuous"/>
    </xf>
    <xf numFmtId="0" fontId="65" fillId="0" borderId="11" xfId="0" applyFont="1" applyBorder="1" applyAlignment="1" applyProtection="1">
      <alignment horizontal="centerContinuous"/>
    </xf>
    <xf numFmtId="0" fontId="74" fillId="0" borderId="0" xfId="0" applyFont="1" applyFill="1" applyProtection="1"/>
    <xf numFmtId="0" fontId="65" fillId="0" borderId="0" xfId="0" applyFont="1" applyAlignment="1" applyProtection="1">
      <alignment horizontal="center" wrapText="1"/>
    </xf>
    <xf numFmtId="0" fontId="65" fillId="0" borderId="0" xfId="0" applyFont="1" applyAlignment="1" applyProtection="1">
      <alignment horizontal="center"/>
    </xf>
    <xf numFmtId="0" fontId="65" fillId="0" borderId="0" xfId="0" applyFont="1" applyBorder="1" applyAlignment="1" applyProtection="1">
      <alignment horizontal="center" wrapText="1"/>
    </xf>
    <xf numFmtId="0" fontId="65" fillId="0" borderId="0" xfId="0" applyFont="1" applyBorder="1" applyAlignment="1" applyProtection="1">
      <alignment horizontal="center"/>
    </xf>
    <xf numFmtId="0" fontId="65" fillId="0" borderId="0" xfId="0" quotePrefix="1" applyFont="1" applyFill="1" applyBorder="1" applyAlignment="1" applyProtection="1">
      <alignment horizontal="center" wrapText="1"/>
    </xf>
    <xf numFmtId="0" fontId="65" fillId="0" borderId="0" xfId="0" applyFont="1" applyFill="1" applyBorder="1" applyAlignment="1" applyProtection="1">
      <alignment horizontal="center" wrapText="1"/>
    </xf>
    <xf numFmtId="0" fontId="65" fillId="0" borderId="0" xfId="0" applyFont="1" applyFill="1" applyBorder="1" applyAlignment="1" applyProtection="1">
      <alignment horizontal="center"/>
    </xf>
    <xf numFmtId="0" fontId="65" fillId="0" borderId="0" xfId="0" quotePrefix="1" applyFont="1" applyBorder="1" applyAlignment="1" applyProtection="1">
      <alignment horizontal="center" wrapText="1"/>
    </xf>
    <xf numFmtId="0" fontId="0" fillId="0" borderId="38" xfId="0" applyBorder="1" applyAlignment="1" applyProtection="1">
      <alignment wrapText="1"/>
    </xf>
    <xf numFmtId="0" fontId="39" fillId="0" borderId="0" xfId="0" applyFont="1" applyProtection="1"/>
    <xf numFmtId="0" fontId="0" fillId="0" borderId="24" xfId="0" applyBorder="1" applyProtection="1"/>
    <xf numFmtId="0" fontId="0" fillId="0" borderId="0" xfId="0" quotePrefix="1" applyAlignment="1" applyProtection="1">
      <alignment horizontal="center" vertical="center"/>
    </xf>
    <xf numFmtId="0" fontId="7" fillId="0" borderId="0" xfId="0" applyFont="1" applyFill="1" applyAlignment="1" applyProtection="1">
      <alignment vertical="center" wrapText="1"/>
    </xf>
    <xf numFmtId="0" fontId="7" fillId="0" borderId="0" xfId="0" applyFont="1" applyFill="1" applyAlignment="1" applyProtection="1">
      <alignment horizontal="center" vertical="center"/>
    </xf>
    <xf numFmtId="170" fontId="1" fillId="0" borderId="0" xfId="198" applyNumberFormat="1" applyFont="1" applyFill="1" applyAlignment="1" applyProtection="1">
      <alignment vertical="center"/>
    </xf>
    <xf numFmtId="170" fontId="1" fillId="0" borderId="0" xfId="198" applyNumberFormat="1" applyFill="1" applyAlignment="1" applyProtection="1">
      <alignment vertical="center"/>
    </xf>
    <xf numFmtId="0" fontId="0" fillId="0" borderId="0" xfId="0" applyFill="1" applyAlignment="1" applyProtection="1">
      <alignment vertical="center"/>
    </xf>
    <xf numFmtId="170" fontId="7" fillId="0" borderId="0" xfId="202" applyNumberFormat="1" applyFont="1" applyFill="1" applyAlignment="1" applyProtection="1">
      <alignment vertical="center"/>
    </xf>
    <xf numFmtId="170" fontId="64" fillId="27" borderId="0" xfId="198" applyNumberFormat="1" applyFont="1" applyFill="1" applyAlignment="1" applyProtection="1">
      <alignment vertical="center"/>
    </xf>
    <xf numFmtId="170" fontId="1" fillId="0" borderId="0" xfId="198" applyNumberFormat="1" applyAlignment="1" applyProtection="1">
      <alignment vertical="center"/>
    </xf>
    <xf numFmtId="170" fontId="39" fillId="0" borderId="0" xfId="198" applyNumberFormat="1" applyFont="1" applyAlignment="1" applyProtection="1">
      <alignment horizontal="center" vertical="center"/>
    </xf>
    <xf numFmtId="170" fontId="0" fillId="0" borderId="24" xfId="0" applyNumberFormat="1" applyBorder="1" applyAlignment="1" applyProtection="1">
      <alignment vertical="center"/>
    </xf>
    <xf numFmtId="170" fontId="39" fillId="0" borderId="0" xfId="198" applyNumberFormat="1" applyFont="1" applyAlignment="1" applyProtection="1">
      <alignment vertical="center"/>
    </xf>
    <xf numFmtId="0" fontId="0" fillId="0" borderId="0" xfId="0" applyFill="1" applyAlignment="1" applyProtection="1">
      <alignment vertical="center" wrapText="1"/>
    </xf>
    <xf numFmtId="0" fontId="0" fillId="0" borderId="0" xfId="0" applyAlignment="1" applyProtection="1"/>
    <xf numFmtId="170" fontId="1" fillId="0" borderId="0" xfId="198" applyNumberFormat="1" applyFont="1" applyAlignment="1" applyProtection="1">
      <alignment vertical="center"/>
    </xf>
    <xf numFmtId="0" fontId="1" fillId="0" borderId="0" xfId="0" applyFont="1" applyFill="1" applyAlignment="1" applyProtection="1">
      <alignment vertical="center" wrapText="1"/>
    </xf>
    <xf numFmtId="0" fontId="7" fillId="0" borderId="0" xfId="0" quotePrefix="1" applyFont="1" applyAlignment="1" applyProtection="1">
      <alignment horizontal="center" vertical="center"/>
    </xf>
    <xf numFmtId="170" fontId="1" fillId="0" borderId="0" xfId="198" applyNumberFormat="1" applyBorder="1" applyAlignment="1" applyProtection="1">
      <alignment vertical="center"/>
    </xf>
    <xf numFmtId="170" fontId="39" fillId="0" borderId="0" xfId="198" applyNumberFormat="1" applyFont="1" applyBorder="1" applyAlignment="1" applyProtection="1">
      <alignment vertical="center"/>
    </xf>
    <xf numFmtId="0" fontId="0" fillId="0" borderId="0" xfId="0" applyBorder="1" applyProtection="1"/>
    <xf numFmtId="171" fontId="39" fillId="0" borderId="0" xfId="622" applyNumberFormat="1" applyFont="1" applyAlignment="1" applyProtection="1">
      <alignment vertical="center"/>
    </xf>
    <xf numFmtId="170" fontId="39" fillId="0" borderId="24" xfId="0" applyNumberFormat="1" applyFont="1" applyBorder="1" applyProtection="1"/>
    <xf numFmtId="0" fontId="64" fillId="0" borderId="0" xfId="0" quotePrefix="1" applyFont="1" applyAlignment="1" applyProtection="1">
      <alignment horizontal="left"/>
    </xf>
    <xf numFmtId="0" fontId="7" fillId="0" borderId="0" xfId="0" applyFont="1" applyAlignment="1" applyProtection="1">
      <alignment vertical="center"/>
    </xf>
    <xf numFmtId="170" fontId="75" fillId="0" borderId="0" xfId="198" applyNumberFormat="1" applyFont="1" applyAlignment="1" applyProtection="1">
      <alignment horizontal="center" vertical="center"/>
    </xf>
    <xf numFmtId="43" fontId="77" fillId="0" borderId="0" xfId="198" applyFont="1" applyAlignment="1" applyProtection="1">
      <alignment horizontal="left" vertical="center"/>
    </xf>
    <xf numFmtId="43" fontId="78" fillId="0" borderId="0" xfId="198" applyFont="1" applyAlignment="1" applyProtection="1">
      <alignment vertical="center"/>
    </xf>
    <xf numFmtId="43" fontId="1" fillId="0" borderId="0" xfId="198" applyAlignment="1" applyProtection="1">
      <alignment vertical="center"/>
    </xf>
    <xf numFmtId="170" fontId="0" fillId="0" borderId="25" xfId="0" applyNumberFormat="1" applyBorder="1" applyProtection="1"/>
    <xf numFmtId="0" fontId="0" fillId="0" borderId="0" xfId="0" quotePrefix="1" applyAlignment="1" applyProtection="1">
      <alignment horizontal="left" vertical="center"/>
    </xf>
    <xf numFmtId="13" fontId="5" fillId="0" borderId="0" xfId="0" applyNumberFormat="1" applyFont="1" applyAlignment="1" applyProtection="1">
      <alignment horizontal="center" vertical="center"/>
    </xf>
    <xf numFmtId="170" fontId="64" fillId="27" borderId="0" xfId="0" applyNumberFormat="1" applyFont="1" applyFill="1" applyAlignment="1" applyProtection="1">
      <alignment vertical="center"/>
    </xf>
    <xf numFmtId="177" fontId="1" fillId="0" borderId="0" xfId="198" applyNumberFormat="1" applyAlignment="1" applyProtection="1">
      <alignment vertical="center"/>
    </xf>
    <xf numFmtId="170" fontId="1" fillId="0" borderId="0" xfId="198" applyNumberFormat="1" applyProtection="1"/>
    <xf numFmtId="43" fontId="1" fillId="0" borderId="0" xfId="198" applyProtection="1"/>
    <xf numFmtId="170" fontId="0" fillId="0" borderId="0" xfId="0" applyNumberFormat="1" applyProtection="1"/>
    <xf numFmtId="0" fontId="0" fillId="0" borderId="33" xfId="0" applyBorder="1" applyProtection="1"/>
    <xf numFmtId="0" fontId="0" fillId="0" borderId="2" xfId="0" applyBorder="1" applyProtection="1"/>
    <xf numFmtId="170" fontId="1" fillId="0" borderId="2" xfId="198" applyNumberFormat="1" applyBorder="1" applyProtection="1"/>
    <xf numFmtId="0" fontId="0" fillId="0" borderId="27" xfId="0" applyBorder="1" applyProtection="1"/>
    <xf numFmtId="0" fontId="0" fillId="0" borderId="34" xfId="0" applyBorder="1" applyProtection="1"/>
    <xf numFmtId="0" fontId="0" fillId="0" borderId="0" xfId="0" applyBorder="1" applyAlignment="1" applyProtection="1">
      <alignment horizontal="center"/>
    </xf>
    <xf numFmtId="49" fontId="73" fillId="0" borderId="0" xfId="995" applyNumberFormat="1" applyFont="1" applyFill="1" applyBorder="1" applyAlignment="1" applyProtection="1">
      <alignment horizontal="center"/>
    </xf>
    <xf numFmtId="0" fontId="0" fillId="0" borderId="35" xfId="0" applyBorder="1" applyAlignment="1" applyProtection="1">
      <alignment horizontal="center"/>
    </xf>
    <xf numFmtId="0" fontId="0" fillId="0" borderId="36" xfId="0" applyBorder="1" applyProtection="1"/>
    <xf numFmtId="0" fontId="0" fillId="0" borderId="11" xfId="0" applyBorder="1" applyProtection="1"/>
    <xf numFmtId="170" fontId="1" fillId="0" borderId="11" xfId="198" applyNumberFormat="1" applyBorder="1" applyProtection="1"/>
    <xf numFmtId="0" fontId="0" fillId="0" borderId="37" xfId="0" applyBorder="1" applyProtection="1"/>
    <xf numFmtId="0" fontId="0" fillId="0" borderId="0" xfId="0" quotePrefix="1" applyAlignment="1" applyProtection="1">
      <alignment horizontal="left"/>
    </xf>
    <xf numFmtId="0" fontId="0" fillId="0" borderId="0" xfId="0" quotePrefix="1" applyAlignment="1" applyProtection="1">
      <alignment horizontal="center"/>
    </xf>
    <xf numFmtId="170" fontId="0" fillId="0" borderId="0" xfId="198" applyNumberFormat="1" applyFont="1" applyProtection="1"/>
    <xf numFmtId="170" fontId="0" fillId="0" borderId="0" xfId="202" applyNumberFormat="1" applyFont="1" applyProtection="1"/>
    <xf numFmtId="170" fontId="0" fillId="0" borderId="0" xfId="1013" applyNumberFormat="1" applyFont="1" applyProtection="1"/>
    <xf numFmtId="0" fontId="39" fillId="0" borderId="0" xfId="0" quotePrefix="1" applyFont="1" applyAlignment="1" applyProtection="1">
      <alignment horizontal="left"/>
    </xf>
    <xf numFmtId="171" fontId="0" fillId="0" borderId="0" xfId="622" applyNumberFormat="1" applyFont="1" applyProtection="1"/>
    <xf numFmtId="0" fontId="7" fillId="0" borderId="0" xfId="0" applyFont="1" applyProtection="1"/>
    <xf numFmtId="0" fontId="7" fillId="0" borderId="0" xfId="0" applyFont="1" applyAlignment="1" applyProtection="1">
      <alignment horizontal="center"/>
    </xf>
    <xf numFmtId="170" fontId="7" fillId="0" borderId="0" xfId="198" applyNumberFormat="1" applyFont="1" applyProtection="1"/>
    <xf numFmtId="0" fontId="7" fillId="0" borderId="0" xfId="0" applyFont="1" applyBorder="1" applyProtection="1"/>
    <xf numFmtId="0" fontId="47" fillId="0" borderId="0" xfId="0" applyFont="1" applyFill="1" applyProtection="1"/>
    <xf numFmtId="0" fontId="9" fillId="0" borderId="0" xfId="0" applyFont="1" applyAlignment="1" applyProtection="1">
      <alignment horizontal="left"/>
    </xf>
    <xf numFmtId="41" fontId="0" fillId="0" borderId="0" xfId="0" applyNumberFormat="1" applyProtection="1"/>
    <xf numFmtId="3" fontId="0" fillId="0" borderId="0" xfId="0" applyNumberFormat="1" applyProtection="1"/>
    <xf numFmtId="0" fontId="7" fillId="0" borderId="0" xfId="995" applyNumberFormat="1" applyFont="1" applyBorder="1" applyAlignment="1" applyProtection="1"/>
    <xf numFmtId="3" fontId="7" fillId="0" borderId="0" xfId="995" applyNumberFormat="1" applyFont="1" applyAlignment="1" applyProtection="1"/>
    <xf numFmtId="10" fontId="7" fillId="0" borderId="0" xfId="995" applyNumberFormat="1" applyFont="1" applyAlignment="1" applyProtection="1"/>
    <xf numFmtId="166" fontId="7" fillId="0" borderId="0" xfId="995" applyNumberFormat="1" applyFont="1" applyAlignment="1" applyProtection="1"/>
    <xf numFmtId="43" fontId="7" fillId="0" borderId="0" xfId="198" applyFont="1" applyAlignment="1" applyProtection="1"/>
    <xf numFmtId="169" fontId="7" fillId="0" borderId="0" xfId="995" applyFont="1" applyAlignment="1" applyProtection="1"/>
    <xf numFmtId="169" fontId="7" fillId="0" borderId="0" xfId="995" applyFont="1" applyBorder="1" applyAlignment="1" applyProtection="1"/>
    <xf numFmtId="0" fontId="7" fillId="28" borderId="0" xfId="198" applyNumberFormat="1" applyFont="1" applyFill="1" applyAlignment="1" applyProtection="1"/>
    <xf numFmtId="10" fontId="7" fillId="0" borderId="0" xfId="995" applyNumberFormat="1" applyFont="1" applyFill="1" applyAlignment="1" applyProtection="1">
      <alignment horizontal="right"/>
    </xf>
    <xf numFmtId="3" fontId="39" fillId="0" borderId="0" xfId="995" applyNumberFormat="1" applyFont="1" applyAlignment="1" applyProtection="1"/>
    <xf numFmtId="3" fontId="48" fillId="0" borderId="0" xfId="995" applyNumberFormat="1" applyFont="1" applyAlignment="1" applyProtection="1">
      <alignment horizontal="center"/>
    </xf>
    <xf numFmtId="10" fontId="48" fillId="0" borderId="0" xfId="995" applyNumberFormat="1" applyFont="1" applyFill="1" applyAlignment="1" applyProtection="1">
      <alignment horizontal="center"/>
    </xf>
    <xf numFmtId="0" fontId="7" fillId="0" borderId="0" xfId="995" applyNumberFormat="1" applyFont="1" applyFill="1" applyBorder="1" applyAlignment="1" applyProtection="1">
      <alignment horizontal="right"/>
    </xf>
    <xf numFmtId="10" fontId="0" fillId="0" borderId="0" xfId="0" applyNumberFormat="1" applyAlignment="1" applyProtection="1">
      <alignment horizontal="center"/>
    </xf>
    <xf numFmtId="166" fontId="7" fillId="0" borderId="0" xfId="995" applyNumberFormat="1" applyFont="1" applyAlignment="1" applyProtection="1">
      <alignment horizontal="center"/>
    </xf>
    <xf numFmtId="167" fontId="7" fillId="0" borderId="0" xfId="995" applyNumberFormat="1" applyFont="1" applyFill="1" applyAlignment="1" applyProtection="1"/>
    <xf numFmtId="165" fontId="7" fillId="0" borderId="0" xfId="995" applyNumberFormat="1" applyFont="1" applyAlignment="1" applyProtection="1">
      <alignment horizontal="center"/>
    </xf>
    <xf numFmtId="165" fontId="7" fillId="0" borderId="0" xfId="995" applyNumberFormat="1" applyFont="1" applyBorder="1" applyAlignment="1" applyProtection="1">
      <alignment horizontal="center"/>
    </xf>
    <xf numFmtId="169" fontId="7" fillId="0" borderId="13" xfId="995" applyFont="1" applyBorder="1" applyAlignment="1" applyProtection="1"/>
    <xf numFmtId="0" fontId="7" fillId="0" borderId="0" xfId="995" applyNumberFormat="1" applyFont="1" applyBorder="1" applyAlignment="1" applyProtection="1">
      <alignment horizontal="center"/>
    </xf>
    <xf numFmtId="3" fontId="7" fillId="0" borderId="14" xfId="995" applyNumberFormat="1" applyFont="1" applyBorder="1" applyAlignment="1" applyProtection="1"/>
    <xf numFmtId="41" fontId="7" fillId="0" borderId="0" xfId="995" applyNumberFormat="1" applyFont="1" applyAlignment="1" applyProtection="1"/>
    <xf numFmtId="41" fontId="7" fillId="0" borderId="0" xfId="995" applyNumberFormat="1" applyFont="1" applyAlignment="1" applyProtection="1">
      <alignment horizontal="center"/>
    </xf>
    <xf numFmtId="41" fontId="7" fillId="0" borderId="0" xfId="995" applyNumberFormat="1" applyFont="1" applyBorder="1" applyAlignment="1" applyProtection="1">
      <alignment horizontal="center"/>
    </xf>
    <xf numFmtId="0" fontId="0" fillId="0" borderId="13" xfId="0" applyBorder="1" applyProtection="1"/>
    <xf numFmtId="0" fontId="0" fillId="0" borderId="14" xfId="0" applyBorder="1" applyProtection="1"/>
    <xf numFmtId="0" fontId="7" fillId="0" borderId="0" xfId="995" applyNumberFormat="1" applyFont="1" applyBorder="1" applyAlignment="1" applyProtection="1">
      <alignment horizontal="right"/>
    </xf>
    <xf numFmtId="167" fontId="48" fillId="0" borderId="0" xfId="995" applyNumberFormat="1" applyFont="1" applyFill="1" applyAlignment="1" applyProtection="1"/>
    <xf numFmtId="165" fontId="15" fillId="0" borderId="15" xfId="995" applyNumberFormat="1" applyFont="1" applyBorder="1" applyAlignment="1" applyProtection="1">
      <alignment horizontal="center"/>
    </xf>
    <xf numFmtId="0" fontId="7" fillId="28" borderId="6" xfId="995" applyNumberFormat="1" applyFont="1" applyFill="1" applyBorder="1" applyAlignment="1" applyProtection="1">
      <alignment horizontal="center"/>
    </xf>
    <xf numFmtId="170" fontId="7" fillId="0" borderId="6" xfId="995" applyNumberFormat="1" applyFont="1" applyBorder="1" applyAlignment="1" applyProtection="1">
      <alignment horizontal="center"/>
    </xf>
    <xf numFmtId="171" fontId="0" fillId="0" borderId="16" xfId="0" applyNumberFormat="1" applyBorder="1" applyProtection="1"/>
    <xf numFmtId="3" fontId="7" fillId="0" borderId="0" xfId="995" applyNumberFormat="1" applyFont="1" applyAlignment="1" applyProtection="1">
      <alignment horizontal="right"/>
    </xf>
    <xf numFmtId="0" fontId="63" fillId="0" borderId="0" xfId="0" applyFont="1" applyAlignment="1" applyProtection="1">
      <alignment horizontal="center"/>
    </xf>
    <xf numFmtId="10" fontId="7" fillId="0" borderId="0" xfId="995" applyNumberFormat="1" applyFont="1" applyFill="1" applyAlignment="1" applyProtection="1">
      <alignment horizontal="left"/>
    </xf>
    <xf numFmtId="41" fontId="7" fillId="0" borderId="0" xfId="995" applyNumberFormat="1" applyFont="1" applyBorder="1" applyAlignment="1" applyProtection="1"/>
    <xf numFmtId="41" fontId="7" fillId="0" borderId="0" xfId="995" applyNumberFormat="1" applyFont="1" applyFill="1" applyAlignment="1" applyProtection="1"/>
    <xf numFmtId="0" fontId="7" fillId="0" borderId="0" xfId="995" applyNumberFormat="1" applyFont="1" applyAlignment="1" applyProtection="1">
      <alignment horizontal="center"/>
    </xf>
    <xf numFmtId="41" fontId="7" fillId="0" borderId="0" xfId="995" quotePrefix="1" applyNumberFormat="1" applyFont="1" applyBorder="1" applyAlignment="1" applyProtection="1"/>
    <xf numFmtId="41" fontId="7" fillId="0" borderId="0" xfId="995" applyNumberFormat="1" applyFont="1" applyFill="1" applyBorder="1" applyAlignment="1" applyProtection="1">
      <alignment horizontal="right"/>
    </xf>
    <xf numFmtId="172" fontId="7" fillId="0" borderId="11" xfId="995" applyNumberFormat="1" applyFont="1" applyBorder="1" applyAlignment="1" applyProtection="1"/>
    <xf numFmtId="164" fontId="7" fillId="0" borderId="0" xfId="995" applyNumberFormat="1" applyFont="1" applyFill="1" applyBorder="1" applyAlignment="1" applyProtection="1">
      <alignment horizontal="left"/>
    </xf>
    <xf numFmtId="164" fontId="7" fillId="0" borderId="0" xfId="995" applyNumberFormat="1" applyFont="1" applyBorder="1" applyAlignment="1" applyProtection="1">
      <alignment horizontal="left"/>
    </xf>
    <xf numFmtId="3" fontId="7" fillId="0" borderId="0" xfId="995" applyNumberFormat="1" applyFont="1" applyAlignment="1" applyProtection="1">
      <alignment vertical="center" wrapText="1"/>
    </xf>
    <xf numFmtId="41" fontId="7" fillId="0" borderId="0" xfId="995" applyNumberFormat="1" applyFont="1" applyBorder="1" applyAlignment="1" applyProtection="1">
      <alignment vertical="center"/>
    </xf>
    <xf numFmtId="41" fontId="7" fillId="0" borderId="0" xfId="995" applyNumberFormat="1" applyFont="1" applyBorder="1" applyAlignment="1" applyProtection="1">
      <alignment horizontal="center" vertical="center"/>
    </xf>
    <xf numFmtId="41" fontId="7" fillId="0" borderId="0" xfId="995" applyNumberFormat="1" applyFont="1" applyAlignment="1" applyProtection="1">
      <alignment horizontal="right"/>
    </xf>
    <xf numFmtId="10" fontId="7" fillId="0" borderId="0" xfId="0" applyNumberFormat="1" applyFont="1" applyBorder="1" applyProtection="1"/>
    <xf numFmtId="0" fontId="7" fillId="0" borderId="0" xfId="0" applyFont="1" applyFill="1" applyAlignment="1" applyProtection="1">
      <alignment horizontal="center"/>
    </xf>
    <xf numFmtId="41" fontId="7" fillId="0" borderId="0" xfId="0" applyNumberFormat="1" applyFont="1" applyProtection="1"/>
    <xf numFmtId="3" fontId="14" fillId="0" borderId="0" xfId="995" applyNumberFormat="1" applyFont="1" applyFill="1" applyBorder="1" applyAlignment="1" applyProtection="1"/>
    <xf numFmtId="41" fontId="7" fillId="0" borderId="0" xfId="995" applyNumberFormat="1" applyFont="1" applyFill="1" applyBorder="1" applyAlignment="1" applyProtection="1"/>
    <xf numFmtId="3" fontId="14" fillId="0" borderId="0" xfId="995" applyNumberFormat="1" applyFont="1" applyFill="1" applyBorder="1" applyAlignment="1" applyProtection="1">
      <alignment horizontal="center"/>
    </xf>
    <xf numFmtId="41" fontId="14" fillId="0" borderId="0" xfId="995" applyNumberFormat="1" applyFont="1" applyFill="1" applyBorder="1" applyAlignment="1" applyProtection="1"/>
    <xf numFmtId="0" fontId="14" fillId="0" borderId="0" xfId="995" applyNumberFormat="1" applyFont="1" applyFill="1" applyBorder="1" applyAlignment="1" applyProtection="1"/>
    <xf numFmtId="0" fontId="6" fillId="0" borderId="0" xfId="0" applyFont="1" applyFill="1" applyProtection="1"/>
    <xf numFmtId="0" fontId="14" fillId="0" borderId="0" xfId="995" applyNumberFormat="1" applyFont="1" applyFill="1" applyBorder="1" applyProtection="1"/>
    <xf numFmtId="0" fontId="7" fillId="0" borderId="0" xfId="995" applyNumberFormat="1" applyFont="1" applyFill="1" applyBorder="1" applyAlignment="1" applyProtection="1"/>
    <xf numFmtId="3" fontId="7" fillId="0" borderId="0" xfId="995" applyNumberFormat="1" applyFont="1" applyFill="1" applyBorder="1" applyAlignment="1" applyProtection="1"/>
    <xf numFmtId="41" fontId="7" fillId="0" borderId="0" xfId="995" applyNumberFormat="1" applyFont="1" applyFill="1" applyBorder="1" applyAlignment="1" applyProtection="1">
      <alignment horizontal="center"/>
    </xf>
    <xf numFmtId="0" fontId="7" fillId="0" borderId="0" xfId="995" applyNumberFormat="1" applyFont="1" applyFill="1" applyBorder="1" applyProtection="1"/>
    <xf numFmtId="3" fontId="7" fillId="0" borderId="0" xfId="995" applyNumberFormat="1" applyFont="1" applyFill="1" applyBorder="1" applyAlignment="1" applyProtection="1">
      <alignment horizontal="center"/>
    </xf>
    <xf numFmtId="41" fontId="7" fillId="0" borderId="11" xfId="995" applyNumberFormat="1" applyFont="1" applyFill="1" applyBorder="1" applyAlignment="1" applyProtection="1"/>
    <xf numFmtId="0" fontId="7" fillId="0" borderId="0" xfId="0" applyFont="1" applyFill="1" applyBorder="1" applyProtection="1"/>
    <xf numFmtId="0" fontId="7" fillId="0" borderId="0" xfId="995" applyNumberFormat="1" applyFont="1" applyFill="1" applyBorder="1" applyAlignment="1" applyProtection="1">
      <alignment horizontal="center"/>
    </xf>
    <xf numFmtId="10" fontId="7" fillId="0" borderId="0" xfId="995" applyNumberFormat="1" applyFont="1" applyFill="1" applyBorder="1" applyAlignment="1" applyProtection="1"/>
    <xf numFmtId="167" fontId="7" fillId="0" borderId="0" xfId="995" applyNumberFormat="1" applyFont="1" applyFill="1" applyBorder="1" applyAlignment="1" applyProtection="1"/>
    <xf numFmtId="169" fontId="7" fillId="0" borderId="0" xfId="995" applyFont="1" applyFill="1" applyBorder="1" applyAlignment="1" applyProtection="1"/>
    <xf numFmtId="3" fontId="7" fillId="0" borderId="0" xfId="995" quotePrefix="1" applyNumberFormat="1" applyFont="1" applyFill="1" applyBorder="1" applyAlignment="1" applyProtection="1"/>
    <xf numFmtId="3" fontId="39" fillId="0" borderId="0" xfId="995" applyNumberFormat="1" applyFont="1" applyFill="1" applyBorder="1" applyAlignment="1" applyProtection="1">
      <alignment horizontal="right"/>
    </xf>
    <xf numFmtId="167" fontId="39" fillId="0" borderId="0" xfId="995" applyNumberFormat="1" applyFont="1" applyFill="1" applyBorder="1" applyAlignment="1" applyProtection="1"/>
    <xf numFmtId="3" fontId="39" fillId="0" borderId="0" xfId="995" quotePrefix="1" applyNumberFormat="1" applyFont="1" applyFill="1" applyBorder="1" applyAlignment="1" applyProtection="1"/>
    <xf numFmtId="0" fontId="7" fillId="0" borderId="0" xfId="0" applyFont="1" applyFill="1" applyBorder="1" applyAlignment="1" applyProtection="1">
      <alignment horizontal="center"/>
    </xf>
    <xf numFmtId="41" fontId="7" fillId="0" borderId="0" xfId="0" applyNumberFormat="1" applyFont="1" applyFill="1" applyBorder="1" applyProtection="1"/>
    <xf numFmtId="170" fontId="7" fillId="0" borderId="0" xfId="198" applyNumberFormat="1" applyFont="1" applyFill="1" applyBorder="1" applyProtection="1"/>
    <xf numFmtId="41" fontId="48" fillId="0" borderId="0" xfId="995" applyNumberFormat="1" applyFont="1" applyFill="1" applyBorder="1" applyAlignment="1" applyProtection="1"/>
    <xf numFmtId="0" fontId="7" fillId="0" borderId="0" xfId="0" applyFont="1" applyFill="1" applyBorder="1" applyAlignment="1" applyProtection="1"/>
    <xf numFmtId="41" fontId="7" fillId="0" borderId="11" xfId="0" applyNumberFormat="1" applyFont="1" applyFill="1" applyBorder="1" applyProtection="1"/>
    <xf numFmtId="41" fontId="7" fillId="0" borderId="0" xfId="0" applyNumberFormat="1" applyFont="1" applyBorder="1" applyProtection="1"/>
    <xf numFmtId="41" fontId="48" fillId="0" borderId="0" xfId="0" applyNumberFormat="1" applyFont="1" applyProtection="1"/>
    <xf numFmtId="0" fontId="7" fillId="0" borderId="0" xfId="0" applyFont="1" applyFill="1" applyProtection="1"/>
    <xf numFmtId="0" fontId="9" fillId="0" borderId="0" xfId="0" applyFont="1" applyFill="1" applyAlignment="1" applyProtection="1">
      <alignment horizontal="left"/>
    </xf>
    <xf numFmtId="0" fontId="0" fillId="0" borderId="0" xfId="0" applyFill="1" applyAlignment="1" applyProtection="1"/>
    <xf numFmtId="41" fontId="7" fillId="0" borderId="0" xfId="0" applyNumberFormat="1" applyFont="1" applyFill="1" applyProtection="1"/>
    <xf numFmtId="170" fontId="7" fillId="0" borderId="0" xfId="198" applyNumberFormat="1" applyFont="1" applyFill="1" applyProtection="1"/>
    <xf numFmtId="10" fontId="7" fillId="0" borderId="11" xfId="0" applyNumberFormat="1" applyFont="1" applyFill="1" applyBorder="1" applyProtection="1"/>
    <xf numFmtId="9" fontId="7" fillId="0" borderId="11" xfId="1011" applyFont="1" applyFill="1" applyBorder="1" applyProtection="1"/>
    <xf numFmtId="170" fontId="7" fillId="0" borderId="11" xfId="198" applyNumberFormat="1" applyFont="1" applyFill="1" applyBorder="1" applyAlignment="1" applyProtection="1"/>
    <xf numFmtId="41" fontId="7" fillId="0" borderId="11" xfId="0" applyNumberFormat="1" applyFont="1" applyBorder="1" applyProtection="1"/>
    <xf numFmtId="10" fontId="7" fillId="0" borderId="0" xfId="0" applyNumberFormat="1" applyFont="1" applyProtection="1"/>
    <xf numFmtId="10" fontId="48" fillId="0" borderId="0" xfId="0" applyNumberFormat="1" applyFont="1" applyProtection="1"/>
    <xf numFmtId="170" fontId="7" fillId="0" borderId="11" xfId="198" applyNumberFormat="1" applyFont="1" applyFill="1" applyBorder="1" applyProtection="1"/>
    <xf numFmtId="175" fontId="7" fillId="0" borderId="0" xfId="0" applyNumberFormat="1" applyFont="1" applyProtection="1"/>
    <xf numFmtId="43" fontId="7" fillId="0" borderId="0" xfId="198" applyFont="1" applyProtection="1"/>
    <xf numFmtId="43" fontId="7" fillId="0" borderId="0" xfId="198" applyNumberFormat="1" applyFont="1" applyProtection="1"/>
    <xf numFmtId="170" fontId="7" fillId="0" borderId="0" xfId="0" applyNumberFormat="1" applyFont="1" applyProtection="1"/>
    <xf numFmtId="0" fontId="7" fillId="0" borderId="0" xfId="0" applyNumberFormat="1" applyFont="1" applyBorder="1" applyAlignment="1" applyProtection="1">
      <alignment horizontal="center"/>
    </xf>
    <xf numFmtId="170" fontId="7" fillId="0" borderId="0" xfId="0" applyNumberFormat="1" applyFont="1" applyBorder="1" applyProtection="1"/>
    <xf numFmtId="170" fontId="7" fillId="0" borderId="0" xfId="198" applyNumberFormat="1" applyFont="1" applyBorder="1" applyProtection="1"/>
    <xf numFmtId="171" fontId="7" fillId="0" borderId="0" xfId="0" applyNumberFormat="1" applyFont="1" applyBorder="1" applyProtection="1"/>
    <xf numFmtId="0" fontId="65" fillId="0" borderId="0" xfId="0" quotePrefix="1" applyFont="1" applyAlignment="1" applyProtection="1">
      <alignment horizontal="left"/>
    </xf>
    <xf numFmtId="0" fontId="66" fillId="0" borderId="0" xfId="0" quotePrefix="1" applyFont="1" applyAlignment="1" applyProtection="1">
      <alignment horizontal="left"/>
    </xf>
    <xf numFmtId="0" fontId="7" fillId="0" borderId="26" xfId="0" quotePrefix="1" applyFont="1" applyFill="1" applyBorder="1" applyAlignment="1" applyProtection="1">
      <alignment horizontal="left"/>
    </xf>
    <xf numFmtId="0" fontId="0" fillId="0" borderId="39" xfId="0" quotePrefix="1" applyBorder="1" applyAlignment="1" applyProtection="1">
      <alignment horizontal="left"/>
    </xf>
    <xf numFmtId="0" fontId="54" fillId="0" borderId="43" xfId="0" applyNumberFormat="1" applyFont="1" applyBorder="1" applyProtection="1"/>
    <xf numFmtId="0" fontId="106" fillId="0" borderId="14" xfId="0" applyFont="1" applyBorder="1" applyProtection="1"/>
    <xf numFmtId="10" fontId="54" fillId="0" borderId="43" xfId="0" applyNumberFormat="1" applyFont="1" applyBorder="1" applyProtection="1"/>
    <xf numFmtId="170" fontId="54" fillId="0" borderId="43" xfId="274" applyNumberFormat="1" applyFont="1" applyBorder="1" applyProtection="1"/>
    <xf numFmtId="0" fontId="106" fillId="0" borderId="41" xfId="0" applyFont="1" applyBorder="1" applyProtection="1"/>
    <xf numFmtId="166" fontId="54" fillId="0" borderId="43" xfId="0" applyNumberFormat="1" applyFont="1" applyBorder="1" applyProtection="1"/>
    <xf numFmtId="0" fontId="106" fillId="0" borderId="42" xfId="0" applyFont="1" applyBorder="1" applyProtection="1"/>
    <xf numFmtId="41" fontId="54" fillId="0" borderId="43" xfId="0" applyNumberFormat="1" applyFont="1" applyFill="1" applyBorder="1" applyProtection="1"/>
    <xf numFmtId="3" fontId="7" fillId="0" borderId="45" xfId="880" applyNumberFormat="1" applyFont="1" applyFill="1" applyBorder="1" applyProtection="1"/>
    <xf numFmtId="10" fontId="54" fillId="0" borderId="13" xfId="0" applyNumberFormat="1" applyFont="1" applyFill="1" applyBorder="1" applyProtection="1"/>
    <xf numFmtId="0" fontId="7" fillId="0" borderId="14" xfId="880" applyFont="1" applyFill="1" applyBorder="1" applyProtection="1"/>
    <xf numFmtId="41" fontId="54" fillId="0" borderId="13" xfId="0" applyNumberFormat="1" applyFont="1" applyFill="1" applyBorder="1" applyProtection="1"/>
    <xf numFmtId="0" fontId="7" fillId="0" borderId="19" xfId="880" applyFont="1" applyFill="1" applyBorder="1" applyProtection="1"/>
    <xf numFmtId="170" fontId="54" fillId="0" borderId="44" xfId="0" applyNumberFormat="1" applyFont="1" applyFill="1" applyBorder="1" applyProtection="1"/>
    <xf numFmtId="0" fontId="54" fillId="0" borderId="46" xfId="0" applyFont="1" applyBorder="1" applyProtection="1"/>
    <xf numFmtId="170" fontId="7" fillId="0" borderId="0" xfId="0" applyNumberFormat="1" applyFont="1" applyFill="1" applyBorder="1" applyProtection="1"/>
    <xf numFmtId="0" fontId="54" fillId="0" borderId="16" xfId="0" applyFont="1" applyBorder="1" applyProtection="1"/>
    <xf numFmtId="170" fontId="54" fillId="0" borderId="23" xfId="0" applyNumberFormat="1" applyFont="1" applyBorder="1" applyProtection="1"/>
    <xf numFmtId="170" fontId="54" fillId="0" borderId="24" xfId="0" applyNumberFormat="1" applyFont="1" applyBorder="1" applyProtection="1"/>
    <xf numFmtId="171" fontId="54" fillId="0" borderId="25" xfId="0" applyNumberFormat="1" applyFont="1" applyBorder="1" applyProtection="1"/>
    <xf numFmtId="0" fontId="50" fillId="0" borderId="0" xfId="0" applyFont="1" applyFill="1" applyProtection="1"/>
    <xf numFmtId="0" fontId="0" fillId="0" borderId="0" xfId="0" applyAlignment="1" applyProtection="1">
      <alignment wrapText="1"/>
    </xf>
    <xf numFmtId="0" fontId="7" fillId="26" borderId="0" xfId="198" applyNumberFormat="1" applyFont="1" applyFill="1" applyAlignment="1" applyProtection="1"/>
    <xf numFmtId="0" fontId="7" fillId="0" borderId="0" xfId="198" applyNumberFormat="1" applyFont="1" applyFill="1" applyAlignment="1" applyProtection="1"/>
    <xf numFmtId="169" fontId="15" fillId="0" borderId="26" xfId="995" applyFont="1" applyBorder="1" applyAlignment="1" applyProtection="1"/>
    <xf numFmtId="169" fontId="7" fillId="0" borderId="17" xfId="995" applyFont="1" applyBorder="1" applyAlignment="1" applyProtection="1"/>
    <xf numFmtId="3" fontId="7" fillId="0" borderId="18" xfId="995" applyNumberFormat="1" applyFont="1" applyBorder="1" applyAlignment="1" applyProtection="1"/>
    <xf numFmtId="0" fontId="7" fillId="28" borderId="0" xfId="995" applyNumberFormat="1" applyFont="1" applyFill="1" applyBorder="1" applyAlignment="1" applyProtection="1">
      <alignment horizontal="center"/>
    </xf>
    <xf numFmtId="167" fontId="7" fillId="0" borderId="0" xfId="995" applyNumberFormat="1" applyFont="1" applyAlignment="1" applyProtection="1"/>
    <xf numFmtId="0" fontId="0" fillId="0" borderId="0" xfId="0" applyBorder="1" applyAlignment="1" applyProtection="1">
      <alignment horizontal="right"/>
    </xf>
    <xf numFmtId="171" fontId="0" fillId="0" borderId="0" xfId="0" applyNumberFormat="1" applyBorder="1" applyProtection="1"/>
    <xf numFmtId="171" fontId="0" fillId="0" borderId="14" xfId="0" applyNumberFormat="1" applyBorder="1" applyProtection="1"/>
    <xf numFmtId="171" fontId="0" fillId="0" borderId="6" xfId="0" applyNumberFormat="1" applyBorder="1" applyProtection="1"/>
    <xf numFmtId="167" fontId="48" fillId="0" borderId="0" xfId="995" applyNumberFormat="1" applyFont="1" applyAlignment="1" applyProtection="1"/>
    <xf numFmtId="170" fontId="0" fillId="0" borderId="0" xfId="0" applyNumberFormat="1" applyBorder="1" applyProtection="1"/>
    <xf numFmtId="170" fontId="0" fillId="0" borderId="18" xfId="0" applyNumberFormat="1" applyBorder="1" applyProtection="1"/>
    <xf numFmtId="173" fontId="7" fillId="0" borderId="0" xfId="995" applyNumberFormat="1" applyFont="1" applyAlignment="1" applyProtection="1"/>
    <xf numFmtId="165" fontId="7" fillId="0" borderId="15" xfId="995" applyNumberFormat="1" applyFont="1" applyBorder="1" applyAlignment="1" applyProtection="1">
      <alignment horizontal="center"/>
    </xf>
    <xf numFmtId="0" fontId="7" fillId="0" borderId="6" xfId="995" applyNumberFormat="1" applyFont="1" applyBorder="1" applyAlignment="1" applyProtection="1">
      <alignment horizontal="center"/>
    </xf>
    <xf numFmtId="170" fontId="7" fillId="0" borderId="6" xfId="995" quotePrefix="1" applyNumberFormat="1" applyFont="1" applyBorder="1" applyAlignment="1" applyProtection="1">
      <alignment horizontal="center"/>
    </xf>
    <xf numFmtId="174" fontId="7" fillId="0" borderId="0" xfId="995" applyNumberFormat="1" applyFont="1" applyBorder="1" applyAlignment="1" applyProtection="1">
      <alignment horizontal="center"/>
    </xf>
    <xf numFmtId="176" fontId="7" fillId="0" borderId="0" xfId="995" applyNumberFormat="1" applyFont="1" applyBorder="1" applyAlignment="1" applyProtection="1">
      <alignment horizontal="center" vertical="center"/>
    </xf>
    <xf numFmtId="173" fontId="7" fillId="0" borderId="0" xfId="995" applyNumberFormat="1" applyFont="1" applyBorder="1" applyAlignment="1" applyProtection="1"/>
    <xf numFmtId="41" fontId="48" fillId="0" borderId="11" xfId="995" applyNumberFormat="1" applyFont="1" applyFill="1" applyBorder="1" applyAlignment="1" applyProtection="1"/>
    <xf numFmtId="10" fontId="7" fillId="0" borderId="0" xfId="0" applyNumberFormat="1" applyFont="1" applyFill="1" applyBorder="1" applyProtection="1"/>
    <xf numFmtId="9" fontId="7" fillId="0" borderId="0" xfId="1011" applyFont="1" applyFill="1" applyBorder="1" applyProtection="1"/>
    <xf numFmtId="170" fontId="7" fillId="0" borderId="0" xfId="198" applyNumberFormat="1" applyFont="1" applyFill="1" applyBorder="1" applyAlignment="1" applyProtection="1"/>
    <xf numFmtId="41" fontId="56" fillId="0" borderId="0" xfId="0" applyNumberFormat="1" applyFont="1" applyProtection="1"/>
    <xf numFmtId="10" fontId="0" fillId="0" borderId="0" xfId="0" applyNumberFormat="1" applyProtection="1"/>
    <xf numFmtId="164" fontId="1" fillId="0" borderId="0" xfId="1011" applyNumberFormat="1" applyProtection="1"/>
    <xf numFmtId="0" fontId="7" fillId="0" borderId="40" xfId="0" quotePrefix="1" applyFont="1" applyFill="1" applyBorder="1" applyAlignment="1" applyProtection="1">
      <alignment horizontal="left"/>
    </xf>
    <xf numFmtId="0" fontId="0" fillId="0" borderId="18" xfId="0" applyBorder="1" applyProtection="1"/>
    <xf numFmtId="0" fontId="54" fillId="0" borderId="43" xfId="0" quotePrefix="1" applyFont="1" applyFill="1" applyBorder="1" applyAlignment="1" applyProtection="1">
      <alignment horizontal="right"/>
    </xf>
    <xf numFmtId="169" fontId="0" fillId="0" borderId="14" xfId="0" applyNumberFormat="1" applyBorder="1" applyProtection="1"/>
    <xf numFmtId="10" fontId="54" fillId="0" borderId="43" xfId="0" applyNumberFormat="1" applyFont="1" applyFill="1" applyBorder="1" applyProtection="1"/>
    <xf numFmtId="170" fontId="54" fillId="0" borderId="43" xfId="202" applyNumberFormat="1" applyFont="1" applyFill="1" applyBorder="1" applyProtection="1"/>
    <xf numFmtId="166" fontId="54" fillId="0" borderId="43" xfId="0" applyNumberFormat="1" applyFont="1" applyFill="1" applyBorder="1" applyProtection="1"/>
    <xf numFmtId="41" fontId="54" fillId="0" borderId="13" xfId="0" applyNumberFormat="1" applyFont="1" applyBorder="1" applyProtection="1"/>
    <xf numFmtId="3" fontId="54" fillId="0" borderId="45" xfId="0" applyNumberFormat="1" applyFont="1" applyBorder="1" applyProtection="1"/>
    <xf numFmtId="10" fontId="54" fillId="0" borderId="13" xfId="0" applyNumberFormat="1" applyFont="1" applyBorder="1" applyProtection="1"/>
    <xf numFmtId="0" fontId="54" fillId="0" borderId="14" xfId="0" applyFont="1" applyBorder="1" applyProtection="1"/>
    <xf numFmtId="0" fontId="7" fillId="0" borderId="14" xfId="0" applyFont="1" applyFill="1" applyBorder="1" applyProtection="1"/>
    <xf numFmtId="0" fontId="54" fillId="0" borderId="19" xfId="0" applyFont="1" applyBorder="1" applyProtection="1"/>
    <xf numFmtId="170" fontId="54" fillId="0" borderId="43" xfId="0" applyNumberFormat="1" applyFont="1" applyBorder="1" applyProtection="1"/>
    <xf numFmtId="170" fontId="54" fillId="0" borderId="44" xfId="0" applyNumberFormat="1" applyFont="1" applyBorder="1" applyProtection="1"/>
    <xf numFmtId="170" fontId="54" fillId="0" borderId="47" xfId="0" applyNumberFormat="1" applyFont="1" applyFill="1" applyBorder="1" applyProtection="1"/>
    <xf numFmtId="170" fontId="54" fillId="0" borderId="23" xfId="516" applyNumberFormat="1" applyFont="1" applyBorder="1" applyProtection="1"/>
    <xf numFmtId="170" fontId="54" fillId="0" borderId="24" xfId="516" applyNumberFormat="1" applyFont="1" applyBorder="1" applyProtection="1"/>
    <xf numFmtId="170" fontId="54" fillId="0" borderId="25" xfId="516" applyNumberFormat="1" applyFont="1" applyBorder="1" applyProtection="1"/>
    <xf numFmtId="0" fontId="50" fillId="0" borderId="0" xfId="0" quotePrefix="1" applyFont="1" applyAlignment="1" applyProtection="1">
      <alignment horizontal="left"/>
    </xf>
    <xf numFmtId="0" fontId="46" fillId="0" borderId="0" xfId="0" applyFont="1" applyAlignment="1" applyProtection="1">
      <alignment horizontal="right"/>
    </xf>
    <xf numFmtId="0" fontId="67" fillId="0" borderId="0" xfId="0" applyFont="1" applyFill="1" applyAlignment="1" applyProtection="1">
      <alignment horizontal="right"/>
    </xf>
    <xf numFmtId="0" fontId="50" fillId="0" borderId="0" xfId="0" applyFont="1" applyProtection="1"/>
    <xf numFmtId="0" fontId="46" fillId="0" borderId="0" xfId="0" applyFont="1" applyAlignment="1" applyProtection="1">
      <alignment horizontal="center"/>
    </xf>
    <xf numFmtId="0" fontId="68" fillId="0" borderId="0" xfId="0" quotePrefix="1" applyFont="1" applyAlignment="1" applyProtection="1">
      <alignment horizontal="left"/>
    </xf>
    <xf numFmtId="0" fontId="39" fillId="0" borderId="0" xfId="0" applyFont="1" applyAlignment="1" applyProtection="1">
      <alignment horizontal="left"/>
    </xf>
    <xf numFmtId="0" fontId="51" fillId="27" borderId="0" xfId="198" applyNumberFormat="1" applyFont="1" applyFill="1" applyAlignment="1" applyProtection="1">
      <alignment horizontal="left"/>
    </xf>
    <xf numFmtId="0" fontId="39" fillId="0" borderId="26" xfId="0" quotePrefix="1" applyFont="1" applyBorder="1" applyAlignment="1" applyProtection="1">
      <alignment horizontal="left"/>
    </xf>
    <xf numFmtId="0" fontId="39" fillId="0" borderId="17" xfId="0" applyFont="1" applyBorder="1" applyProtection="1"/>
    <xf numFmtId="0" fontId="7" fillId="0" borderId="17" xfId="0" applyFont="1" applyBorder="1" applyProtection="1"/>
    <xf numFmtId="170" fontId="39" fillId="0" borderId="18" xfId="198" applyNumberFormat="1" applyFont="1" applyBorder="1" applyProtection="1"/>
    <xf numFmtId="0" fontId="14" fillId="0" borderId="0" xfId="198" applyNumberFormat="1" applyFont="1" applyFill="1" applyAlignment="1" applyProtection="1">
      <alignment horizontal="left"/>
    </xf>
    <xf numFmtId="0" fontId="14" fillId="0" borderId="0" xfId="198" applyNumberFormat="1" applyFont="1" applyFill="1" applyBorder="1" applyAlignment="1" applyProtection="1">
      <alignment horizontal="left"/>
    </xf>
    <xf numFmtId="0" fontId="39" fillId="0" borderId="13" xfId="0" quotePrefix="1" applyFont="1" applyBorder="1" applyAlignment="1" applyProtection="1">
      <alignment horizontal="left"/>
    </xf>
    <xf numFmtId="0" fontId="9" fillId="0" borderId="0" xfId="198" applyNumberFormat="1" applyFont="1" applyFill="1" applyBorder="1" applyAlignment="1" applyProtection="1">
      <alignment horizontal="left"/>
    </xf>
    <xf numFmtId="170" fontId="39" fillId="0" borderId="19" xfId="198" applyNumberFormat="1" applyFont="1" applyBorder="1" applyProtection="1"/>
    <xf numFmtId="0" fontId="39" fillId="0" borderId="0" xfId="0" applyFont="1" applyFill="1" applyProtection="1"/>
    <xf numFmtId="0" fontId="52" fillId="0" borderId="0" xfId="0" quotePrefix="1" applyFont="1" applyFill="1" applyAlignment="1" applyProtection="1">
      <alignment horizontal="left"/>
    </xf>
    <xf numFmtId="170" fontId="39" fillId="0" borderId="15" xfId="198" applyNumberFormat="1" applyFont="1" applyBorder="1" applyProtection="1"/>
    <xf numFmtId="170" fontId="7" fillId="0" borderId="6" xfId="198" applyNumberFormat="1" applyFont="1" applyBorder="1" applyProtection="1"/>
    <xf numFmtId="170" fontId="7" fillId="0" borderId="16" xfId="198" applyNumberFormat="1" applyFont="1" applyBorder="1" applyProtection="1"/>
    <xf numFmtId="0" fontId="53" fillId="0" borderId="0" xfId="0" applyFont="1" applyFill="1" applyAlignment="1" applyProtection="1"/>
    <xf numFmtId="0" fontId="55" fillId="0" borderId="0" xfId="0" applyFont="1" applyFill="1" applyAlignment="1" applyProtection="1"/>
    <xf numFmtId="0" fontId="7" fillId="0" borderId="0" xfId="0" applyFont="1" applyFill="1" applyAlignment="1" applyProtection="1">
      <alignment wrapText="1"/>
    </xf>
    <xf numFmtId="0" fontId="7" fillId="0" borderId="0" xfId="0" applyFont="1" applyFill="1" applyBorder="1" applyAlignment="1" applyProtection="1">
      <alignment wrapText="1"/>
    </xf>
    <xf numFmtId="0" fontId="39" fillId="0" borderId="20" xfId="0" applyFont="1" applyFill="1" applyBorder="1" applyAlignment="1" applyProtection="1">
      <alignment horizontal="center"/>
    </xf>
    <xf numFmtId="0" fontId="61" fillId="28" borderId="21" xfId="0" applyFont="1" applyFill="1" applyBorder="1" applyAlignment="1" applyProtection="1">
      <alignment horizontal="center"/>
    </xf>
    <xf numFmtId="0" fontId="39" fillId="0" borderId="21" xfId="0" applyFont="1" applyFill="1" applyBorder="1" applyAlignment="1" applyProtection="1">
      <alignment horizontal="center"/>
    </xf>
    <xf numFmtId="0" fontId="39" fillId="0" borderId="22" xfId="0" applyFont="1" applyFill="1" applyBorder="1" applyAlignment="1" applyProtection="1">
      <alignment horizontal="center"/>
    </xf>
    <xf numFmtId="0" fontId="39" fillId="0" borderId="0" xfId="0" applyFont="1" applyFill="1" applyBorder="1" applyAlignment="1" applyProtection="1">
      <alignment horizontal="center"/>
    </xf>
    <xf numFmtId="0" fontId="0" fillId="0" borderId="0" xfId="0" applyBorder="1" applyAlignment="1" applyProtection="1"/>
    <xf numFmtId="0" fontId="7" fillId="0" borderId="13" xfId="0" applyFont="1" applyFill="1" applyBorder="1" applyAlignment="1" applyProtection="1"/>
    <xf numFmtId="170" fontId="54" fillId="27" borderId="14" xfId="198" applyNumberFormat="1" applyFont="1" applyFill="1" applyBorder="1" applyAlignment="1" applyProtection="1">
      <alignment horizontal="right"/>
    </xf>
    <xf numFmtId="0" fontId="7" fillId="0" borderId="0" xfId="0" applyFont="1" applyBorder="1" applyAlignment="1" applyProtection="1">
      <alignment horizontal="center"/>
    </xf>
    <xf numFmtId="0" fontId="39" fillId="0" borderId="18" xfId="0" applyFont="1" applyFill="1" applyBorder="1" applyAlignment="1" applyProtection="1">
      <alignment horizontal="center"/>
    </xf>
    <xf numFmtId="0" fontId="7" fillId="0" borderId="13" xfId="0" applyFont="1" applyFill="1" applyBorder="1" applyProtection="1"/>
    <xf numFmtId="0" fontId="54" fillId="27" borderId="14" xfId="0" applyFont="1" applyFill="1" applyBorder="1" applyAlignment="1" applyProtection="1">
      <alignment horizontal="right"/>
    </xf>
    <xf numFmtId="170" fontId="7" fillId="0" borderId="14" xfId="0" applyNumberFormat="1" applyFont="1" applyFill="1" applyBorder="1" applyAlignment="1" applyProtection="1">
      <alignment horizontal="right"/>
    </xf>
    <xf numFmtId="170" fontId="7" fillId="0" borderId="0" xfId="0" applyNumberFormat="1" applyFont="1" applyFill="1" applyBorder="1" applyAlignment="1" applyProtection="1">
      <alignment horizontal="right"/>
    </xf>
    <xf numFmtId="10" fontId="7" fillId="0" borderId="14" xfId="0" applyNumberFormat="1" applyFont="1" applyBorder="1" applyProtection="1"/>
    <xf numFmtId="170" fontId="7" fillId="0" borderId="14" xfId="198" applyNumberFormat="1" applyFont="1" applyBorder="1" applyProtection="1"/>
    <xf numFmtId="0" fontId="39" fillId="0" borderId="23" xfId="0" applyFont="1" applyBorder="1" applyAlignment="1" applyProtection="1">
      <alignment horizontal="center"/>
    </xf>
    <xf numFmtId="170" fontId="39" fillId="0" borderId="23" xfId="198" applyNumberFormat="1" applyFont="1" applyBorder="1" applyAlignment="1" applyProtection="1">
      <alignment horizontal="center"/>
    </xf>
    <xf numFmtId="170" fontId="39" fillId="0" borderId="18" xfId="349" applyNumberFormat="1" applyFont="1" applyFill="1" applyBorder="1" applyAlignment="1" applyProtection="1">
      <alignment horizontal="center" wrapText="1"/>
    </xf>
    <xf numFmtId="170" fontId="39" fillId="0" borderId="18" xfId="349" applyNumberFormat="1" applyFont="1" applyBorder="1" applyAlignment="1" applyProtection="1">
      <alignment horizontal="center" wrapText="1"/>
    </xf>
    <xf numFmtId="0" fontId="39" fillId="0" borderId="23" xfId="0" quotePrefix="1" applyFont="1" applyBorder="1" applyAlignment="1" applyProtection="1">
      <alignment horizontal="center" wrapText="1"/>
    </xf>
    <xf numFmtId="0" fontId="39" fillId="0" borderId="24" xfId="0" applyFont="1" applyBorder="1" applyAlignment="1" applyProtection="1">
      <alignment horizontal="center"/>
    </xf>
    <xf numFmtId="170" fontId="39" fillId="0" borderId="23" xfId="198" quotePrefix="1" applyNumberFormat="1" applyFont="1" applyBorder="1" applyAlignment="1" applyProtection="1">
      <alignment horizontal="center" wrapText="1"/>
    </xf>
    <xf numFmtId="170" fontId="39" fillId="0" borderId="23" xfId="198" applyNumberFormat="1" applyFont="1" applyBorder="1" applyAlignment="1" applyProtection="1">
      <alignment horizontal="center" wrapText="1"/>
    </xf>
    <xf numFmtId="0" fontId="39" fillId="0" borderId="25" xfId="0" applyFont="1" applyBorder="1" applyAlignment="1" applyProtection="1">
      <alignment horizontal="center"/>
    </xf>
    <xf numFmtId="170" fontId="39" fillId="0" borderId="16" xfId="198" applyNumberFormat="1" applyFont="1" applyFill="1" applyBorder="1" applyAlignment="1" applyProtection="1">
      <alignment horizontal="center"/>
    </xf>
    <xf numFmtId="170" fontId="39" fillId="0" borderId="16" xfId="198" applyNumberFormat="1" applyFont="1" applyBorder="1" applyAlignment="1" applyProtection="1">
      <alignment horizontal="center"/>
    </xf>
    <xf numFmtId="0" fontId="39" fillId="0" borderId="25" xfId="0" applyFont="1" applyFill="1" applyBorder="1" applyAlignment="1" applyProtection="1">
      <alignment horizontal="center"/>
    </xf>
    <xf numFmtId="0" fontId="39" fillId="0" borderId="24" xfId="0" applyFont="1" applyFill="1" applyBorder="1" applyAlignment="1" applyProtection="1">
      <alignment horizontal="center"/>
    </xf>
    <xf numFmtId="170" fontId="39" fillId="0" borderId="25" xfId="198" applyNumberFormat="1" applyFont="1" applyBorder="1" applyAlignment="1" applyProtection="1">
      <alignment horizontal="center"/>
    </xf>
    <xf numFmtId="170" fontId="39" fillId="0" borderId="15" xfId="198" applyNumberFormat="1" applyFont="1" applyBorder="1" applyAlignment="1" applyProtection="1">
      <alignment horizontal="center"/>
    </xf>
    <xf numFmtId="0" fontId="7" fillId="0" borderId="24" xfId="0" applyNumberFormat="1" applyFont="1" applyBorder="1" applyAlignment="1" applyProtection="1">
      <alignment horizontal="center"/>
    </xf>
    <xf numFmtId="170" fontId="54" fillId="27" borderId="0" xfId="0" applyNumberFormat="1" applyFont="1" applyFill="1" applyBorder="1" applyProtection="1"/>
    <xf numFmtId="170" fontId="54" fillId="27" borderId="23" xfId="198" applyNumberFormat="1" applyFont="1" applyFill="1" applyBorder="1" applyProtection="1"/>
    <xf numFmtId="170" fontId="54" fillId="27" borderId="14" xfId="198" applyNumberFormat="1" applyFont="1" applyFill="1" applyBorder="1" applyProtection="1"/>
    <xf numFmtId="171" fontId="7" fillId="0" borderId="14" xfId="0" applyNumberFormat="1" applyFont="1" applyBorder="1" applyProtection="1"/>
    <xf numFmtId="171" fontId="54" fillId="0" borderId="23" xfId="0" applyNumberFormat="1" applyFont="1" applyFill="1" applyBorder="1" applyProtection="1"/>
    <xf numFmtId="171" fontId="7" fillId="0" borderId="23" xfId="0" applyNumberFormat="1" applyFont="1" applyBorder="1" applyProtection="1"/>
    <xf numFmtId="171" fontId="7" fillId="0" borderId="24" xfId="0" applyNumberFormat="1" applyFont="1" applyBorder="1" applyProtection="1"/>
    <xf numFmtId="170" fontId="54" fillId="27" borderId="24" xfId="0" applyNumberFormat="1" applyFont="1" applyFill="1" applyBorder="1" applyProtection="1"/>
    <xf numFmtId="170" fontId="54" fillId="27" borderId="24" xfId="198" applyNumberFormat="1" applyFont="1" applyFill="1" applyBorder="1" applyProtection="1"/>
    <xf numFmtId="171" fontId="54" fillId="0" borderId="14" xfId="0" applyNumberFormat="1" applyFont="1" applyFill="1" applyBorder="1" applyProtection="1"/>
    <xf numFmtId="171" fontId="54" fillId="0" borderId="24" xfId="0" applyNumberFormat="1" applyFont="1" applyFill="1" applyBorder="1" applyProtection="1"/>
    <xf numFmtId="171" fontId="7" fillId="0" borderId="24" xfId="0" applyNumberFormat="1" applyFont="1" applyFill="1" applyBorder="1" applyProtection="1"/>
    <xf numFmtId="170" fontId="79" fillId="27" borderId="24" xfId="198" applyNumberFormat="1" applyFont="1" applyFill="1" applyBorder="1" applyProtection="1"/>
    <xf numFmtId="170" fontId="7" fillId="0" borderId="24" xfId="0" applyNumberFormat="1" applyFont="1" applyFill="1" applyBorder="1" applyProtection="1"/>
    <xf numFmtId="170" fontId="1" fillId="0" borderId="24" xfId="198" applyNumberFormat="1" applyBorder="1" applyProtection="1"/>
    <xf numFmtId="170" fontId="7" fillId="0" borderId="24" xfId="0" applyNumberFormat="1" applyFont="1" applyBorder="1" applyProtection="1"/>
    <xf numFmtId="170" fontId="7" fillId="0" borderId="24" xfId="198" applyNumberFormat="1" applyFont="1" applyBorder="1" applyProtection="1"/>
    <xf numFmtId="171" fontId="54" fillId="27" borderId="24" xfId="0" applyNumberFormat="1" applyFont="1" applyFill="1" applyBorder="1" applyProtection="1"/>
    <xf numFmtId="170" fontId="7" fillId="0" borderId="24" xfId="198" applyNumberFormat="1" applyFont="1" applyFill="1" applyBorder="1" applyProtection="1"/>
    <xf numFmtId="0" fontId="7" fillId="0" borderId="25" xfId="0" applyNumberFormat="1" applyFont="1" applyBorder="1" applyAlignment="1" applyProtection="1">
      <alignment horizontal="center"/>
    </xf>
    <xf numFmtId="170" fontId="7" fillId="0" borderId="25" xfId="0" applyNumberFormat="1" applyFont="1" applyBorder="1" applyProtection="1"/>
    <xf numFmtId="170" fontId="1" fillId="0" borderId="25" xfId="198" applyNumberFormat="1" applyBorder="1" applyProtection="1"/>
    <xf numFmtId="170" fontId="7" fillId="0" borderId="25" xfId="198" applyNumberFormat="1" applyFont="1" applyFill="1" applyBorder="1" applyProtection="1"/>
    <xf numFmtId="171" fontId="7" fillId="0" borderId="16" xfId="0" applyNumberFormat="1" applyFont="1" applyBorder="1" applyProtection="1"/>
    <xf numFmtId="171" fontId="54" fillId="27" borderId="25" xfId="0" applyNumberFormat="1" applyFont="1" applyFill="1" applyBorder="1" applyProtection="1"/>
    <xf numFmtId="171" fontId="7" fillId="0" borderId="25" xfId="0" applyNumberFormat="1" applyFont="1" applyBorder="1" applyProtection="1"/>
    <xf numFmtId="0" fontId="53" fillId="0" borderId="0" xfId="0" applyFont="1" applyFill="1" applyProtection="1"/>
    <xf numFmtId="0" fontId="46" fillId="0" borderId="0" xfId="0" applyFont="1" applyFill="1" applyAlignment="1" applyProtection="1">
      <alignment horizontal="right"/>
    </xf>
    <xf numFmtId="0" fontId="69" fillId="0" borderId="0" xfId="0" applyFont="1" applyProtection="1"/>
    <xf numFmtId="0" fontId="7" fillId="0" borderId="0" xfId="0" applyFont="1" applyAlignment="1" applyProtection="1">
      <alignment horizontal="left"/>
    </xf>
    <xf numFmtId="0" fontId="46" fillId="0" borderId="0" xfId="0" quotePrefix="1" applyFont="1" applyAlignment="1" applyProtection="1">
      <alignment horizontal="center"/>
    </xf>
    <xf numFmtId="0" fontId="9" fillId="0" borderId="0" xfId="0" applyFont="1" applyFill="1" applyProtection="1"/>
    <xf numFmtId="0" fontId="39" fillId="0" borderId="30" xfId="0" applyFont="1" applyFill="1" applyBorder="1" applyAlignment="1" applyProtection="1">
      <alignment horizontal="center"/>
    </xf>
    <xf numFmtId="169" fontId="7" fillId="0" borderId="31" xfId="995" applyFont="1" applyBorder="1" applyAlignment="1" applyProtection="1">
      <alignment horizontal="center"/>
    </xf>
    <xf numFmtId="169" fontId="7" fillId="0" borderId="31" xfId="995" quotePrefix="1" applyFont="1" applyBorder="1" applyAlignment="1" applyProtection="1">
      <alignment horizontal="center"/>
    </xf>
    <xf numFmtId="3" fontId="7" fillId="0" borderId="32" xfId="995" applyNumberFormat="1" applyFont="1" applyBorder="1" applyAlignment="1" applyProtection="1">
      <alignment horizontal="center"/>
    </xf>
    <xf numFmtId="0" fontId="55" fillId="0" borderId="23" xfId="0" applyFont="1" applyBorder="1" applyProtection="1"/>
    <xf numFmtId="170" fontId="7" fillId="0" borderId="13" xfId="198" quotePrefix="1" applyNumberFormat="1" applyFont="1" applyBorder="1" applyAlignment="1" applyProtection="1">
      <alignment horizontal="right"/>
    </xf>
    <xf numFmtId="170" fontId="39" fillId="0" borderId="0" xfId="198" applyNumberFormat="1" applyFont="1" applyBorder="1" applyProtection="1"/>
    <xf numFmtId="170" fontId="7" fillId="0" borderId="14" xfId="0" applyNumberFormat="1" applyFont="1" applyBorder="1" applyProtection="1"/>
    <xf numFmtId="0" fontId="57" fillId="0" borderId="28" xfId="198" applyNumberFormat="1" applyFont="1" applyFill="1" applyBorder="1" applyAlignment="1" applyProtection="1">
      <alignment horizontal="left"/>
    </xf>
    <xf numFmtId="170" fontId="7" fillId="0" borderId="29" xfId="198" quotePrefix="1" applyNumberFormat="1" applyFont="1" applyBorder="1" applyAlignment="1" applyProtection="1">
      <alignment horizontal="right"/>
    </xf>
    <xf numFmtId="170" fontId="39" fillId="0" borderId="11" xfId="198" applyNumberFormat="1" applyFont="1" applyBorder="1" applyProtection="1"/>
    <xf numFmtId="170" fontId="7" fillId="0" borderId="19" xfId="0" applyNumberFormat="1" applyFont="1" applyBorder="1" applyProtection="1"/>
    <xf numFmtId="0" fontId="52" fillId="0" borderId="0" xfId="0" applyFont="1" applyAlignment="1" applyProtection="1">
      <alignment horizontal="left"/>
    </xf>
    <xf numFmtId="170" fontId="55" fillId="0" borderId="25" xfId="198" applyNumberFormat="1" applyFont="1" applyBorder="1" applyProtection="1"/>
    <xf numFmtId="0" fontId="7" fillId="0" borderId="15" xfId="0" quotePrefix="1" applyFont="1" applyBorder="1" applyAlignment="1" applyProtection="1">
      <alignment horizontal="right"/>
    </xf>
    <xf numFmtId="170" fontId="39" fillId="0" borderId="6" xfId="198" applyNumberFormat="1" applyFont="1" applyFill="1" applyBorder="1" applyAlignment="1" applyProtection="1">
      <alignment horizontal="left"/>
    </xf>
    <xf numFmtId="170" fontId="39" fillId="0" borderId="16" xfId="198" applyNumberFormat="1" applyFont="1" applyFill="1" applyBorder="1" applyAlignment="1" applyProtection="1">
      <alignment horizontal="left"/>
    </xf>
    <xf numFmtId="170" fontId="55" fillId="0" borderId="0" xfId="0" applyNumberFormat="1" applyFont="1" applyAlignment="1" applyProtection="1">
      <alignment horizontal="left"/>
    </xf>
    <xf numFmtId="0" fontId="7" fillId="0" borderId="20" xfId="0" applyFont="1" applyFill="1" applyBorder="1" applyAlignment="1" applyProtection="1">
      <alignment horizontal="center"/>
    </xf>
    <xf numFmtId="0" fontId="39" fillId="0" borderId="21" xfId="0" applyFont="1" applyFill="1" applyBorder="1" applyAlignment="1" applyProtection="1"/>
    <xf numFmtId="0" fontId="0" fillId="0" borderId="21" xfId="0" applyBorder="1" applyAlignment="1" applyProtection="1"/>
    <xf numFmtId="0" fontId="0" fillId="0" borderId="22" xfId="0" applyBorder="1" applyAlignment="1" applyProtection="1"/>
    <xf numFmtId="0" fontId="0" fillId="0" borderId="0" xfId="0" applyFill="1" applyBorder="1" applyAlignment="1" applyProtection="1"/>
    <xf numFmtId="0" fontId="7" fillId="0" borderId="14" xfId="0" applyFont="1" applyFill="1" applyBorder="1" applyAlignment="1" applyProtection="1">
      <alignment horizontal="right"/>
    </xf>
    <xf numFmtId="170" fontId="7" fillId="0" borderId="14" xfId="198" applyNumberFormat="1" applyFont="1" applyFill="1" applyBorder="1" applyAlignment="1" applyProtection="1">
      <alignment horizontal="right"/>
    </xf>
    <xf numFmtId="0" fontId="7" fillId="0" borderId="16" xfId="0" applyFont="1" applyFill="1" applyBorder="1" applyAlignment="1" applyProtection="1">
      <alignment horizontal="right"/>
    </xf>
    <xf numFmtId="0" fontId="7" fillId="0" borderId="15" xfId="0" applyFont="1" applyBorder="1" applyProtection="1"/>
    <xf numFmtId="0" fontId="7" fillId="0" borderId="6" xfId="0" applyFont="1" applyBorder="1" applyAlignment="1" applyProtection="1">
      <alignment horizontal="center"/>
    </xf>
    <xf numFmtId="0" fontId="0" fillId="0" borderId="6" xfId="0" applyBorder="1" applyProtection="1"/>
    <xf numFmtId="0" fontId="39" fillId="0" borderId="23" xfId="0" applyFont="1" applyBorder="1" applyAlignment="1" applyProtection="1">
      <alignment horizontal="center" wrapText="1"/>
    </xf>
    <xf numFmtId="170" fontId="39" fillId="0" borderId="0" xfId="198" applyNumberFormat="1" applyFont="1" applyBorder="1" applyAlignment="1" applyProtection="1">
      <alignment horizontal="center" wrapText="1"/>
    </xf>
    <xf numFmtId="0" fontId="39" fillId="0" borderId="24" xfId="0" applyFont="1" applyBorder="1" applyAlignment="1" applyProtection="1">
      <alignment horizontal="center" wrapText="1"/>
    </xf>
    <xf numFmtId="0" fontId="39" fillId="0" borderId="6" xfId="0" applyFont="1" applyBorder="1" applyAlignment="1" applyProtection="1">
      <alignment horizontal="center"/>
    </xf>
    <xf numFmtId="170" fontId="39" fillId="0" borderId="25" xfId="198" applyNumberFormat="1" applyFont="1" applyFill="1" applyBorder="1" applyAlignment="1" applyProtection="1">
      <alignment horizontal="center"/>
    </xf>
    <xf numFmtId="170" fontId="54" fillId="27" borderId="23" xfId="0" applyNumberFormat="1" applyFont="1" applyFill="1" applyBorder="1" applyProtection="1"/>
    <xf numFmtId="168" fontId="54" fillId="27" borderId="24" xfId="198" applyNumberFormat="1" applyFont="1" applyFill="1" applyBorder="1" applyProtection="1"/>
    <xf numFmtId="168" fontId="54" fillId="27" borderId="14" xfId="198" applyNumberFormat="1" applyFont="1" applyFill="1" applyBorder="1" applyProtection="1"/>
    <xf numFmtId="170" fontId="7" fillId="0" borderId="14" xfId="198" applyNumberFormat="1" applyFont="1" applyFill="1" applyBorder="1" applyProtection="1"/>
    <xf numFmtId="170" fontId="7" fillId="0" borderId="6" xfId="0" applyNumberFormat="1" applyFont="1" applyBorder="1" applyProtection="1"/>
    <xf numFmtId="170" fontId="7" fillId="0" borderId="16" xfId="198" applyNumberFormat="1" applyFont="1" applyFill="1" applyBorder="1" applyProtection="1"/>
    <xf numFmtId="0" fontId="55" fillId="0" borderId="0" xfId="0" applyFont="1" applyProtection="1"/>
    <xf numFmtId="0" fontId="58" fillId="0" borderId="0" xfId="0" applyFont="1" applyFill="1" applyProtection="1"/>
    <xf numFmtId="0" fontId="68" fillId="0" borderId="0" xfId="0" applyFont="1" applyAlignment="1" applyProtection="1">
      <alignment horizontal="center"/>
    </xf>
    <xf numFmtId="44" fontId="7" fillId="0" borderId="0" xfId="622" applyFont="1" applyProtection="1"/>
    <xf numFmtId="170" fontId="7" fillId="0" borderId="0" xfId="0" applyNumberFormat="1" applyFont="1" applyFill="1" applyAlignment="1" applyProtection="1">
      <alignment wrapText="1"/>
    </xf>
    <xf numFmtId="44" fontId="7" fillId="0" borderId="0" xfId="0" applyNumberFormat="1" applyFont="1" applyFill="1" applyBorder="1" applyAlignment="1" applyProtection="1">
      <alignment wrapText="1"/>
    </xf>
    <xf numFmtId="0" fontId="50" fillId="27" borderId="0" xfId="0" quotePrefix="1" applyFont="1" applyFill="1" applyAlignment="1" applyProtection="1">
      <alignment horizontal="left"/>
    </xf>
    <xf numFmtId="0" fontId="7" fillId="27" borderId="0" xfId="0" applyFont="1" applyFill="1" applyProtection="1"/>
    <xf numFmtId="0" fontId="7" fillId="27" borderId="0" xfId="0" applyFont="1" applyFill="1" applyBorder="1" applyProtection="1"/>
    <xf numFmtId="0" fontId="7" fillId="27" borderId="0" xfId="0" applyFont="1" applyFill="1" applyAlignment="1" applyProtection="1">
      <alignment horizontal="center"/>
    </xf>
    <xf numFmtId="10" fontId="7" fillId="27" borderId="0" xfId="0" applyNumberFormat="1" applyFont="1" applyFill="1" applyProtection="1"/>
    <xf numFmtId="170" fontId="7" fillId="27" borderId="0" xfId="198" applyNumberFormat="1" applyFont="1" applyFill="1" applyProtection="1"/>
    <xf numFmtId="0" fontId="0" fillId="27" borderId="0" xfId="0" applyFill="1" applyProtection="1"/>
    <xf numFmtId="0" fontId="0" fillId="27" borderId="0" xfId="0" applyFill="1" applyBorder="1" applyProtection="1"/>
    <xf numFmtId="0" fontId="72" fillId="0" borderId="0" xfId="0" applyFont="1" applyFill="1" applyProtection="1"/>
    <xf numFmtId="170" fontId="53" fillId="0" borderId="0" xfId="198" applyNumberFormat="1" applyFont="1" applyFill="1" applyProtection="1"/>
    <xf numFmtId="171" fontId="87" fillId="0" borderId="14" xfId="0" applyNumberFormat="1" applyFont="1" applyBorder="1" applyProtection="1"/>
    <xf numFmtId="171" fontId="7" fillId="0" borderId="23" xfId="0" applyNumberFormat="1" applyFont="1" applyFill="1" applyBorder="1" applyProtection="1"/>
    <xf numFmtId="171" fontId="87" fillId="0" borderId="14" xfId="0" applyNumberFormat="1" applyFont="1" applyFill="1" applyBorder="1" applyProtection="1"/>
    <xf numFmtId="0" fontId="55" fillId="0" borderId="0" xfId="0" quotePrefix="1" applyFont="1" applyFill="1" applyAlignment="1" applyProtection="1">
      <alignment horizontal="left"/>
    </xf>
    <xf numFmtId="170" fontId="39" fillId="27" borderId="16" xfId="198" applyNumberFormat="1" applyFont="1" applyFill="1" applyBorder="1" applyAlignment="1" applyProtection="1">
      <alignment horizontal="center"/>
    </xf>
    <xf numFmtId="170" fontId="7" fillId="0" borderId="23" xfId="198" applyNumberFormat="1" applyFont="1" applyBorder="1" applyProtection="1"/>
    <xf numFmtId="170" fontId="39" fillId="27" borderId="25" xfId="198" applyNumberFormat="1" applyFont="1" applyFill="1" applyBorder="1" applyAlignment="1" applyProtection="1">
      <alignment horizontal="center"/>
    </xf>
    <xf numFmtId="170" fontId="7" fillId="0" borderId="23" xfId="0" applyNumberFormat="1" applyFont="1" applyBorder="1" applyProtection="1"/>
    <xf numFmtId="168" fontId="7" fillId="0" borderId="24" xfId="198" applyNumberFormat="1" applyFont="1" applyFill="1" applyBorder="1" applyProtection="1"/>
    <xf numFmtId="168" fontId="7" fillId="0" borderId="14" xfId="198" applyNumberFormat="1" applyFont="1" applyFill="1" applyBorder="1" applyProtection="1"/>
    <xf numFmtId="170" fontId="64" fillId="27" borderId="24" xfId="198" applyNumberFormat="1" applyFont="1" applyFill="1" applyBorder="1" applyProtection="1"/>
    <xf numFmtId="170" fontId="64" fillId="27" borderId="24" xfId="0" applyNumberFormat="1" applyFont="1" applyFill="1" applyBorder="1" applyProtection="1"/>
    <xf numFmtId="170" fontId="87" fillId="27" borderId="24" xfId="0" applyNumberFormat="1" applyFont="1" applyFill="1" applyBorder="1" applyProtection="1"/>
    <xf numFmtId="170" fontId="87" fillId="27" borderId="24" xfId="198" applyNumberFormat="1" applyFont="1" applyFill="1" applyBorder="1" applyProtection="1"/>
    <xf numFmtId="170" fontId="87" fillId="27" borderId="14" xfId="198" applyNumberFormat="1" applyFont="1" applyFill="1" applyBorder="1" applyProtection="1"/>
    <xf numFmtId="0" fontId="52" fillId="0" borderId="0" xfId="0" applyFont="1" applyFill="1" applyAlignment="1" applyProtection="1">
      <alignment horizontal="left"/>
    </xf>
    <xf numFmtId="0" fontId="7" fillId="0" borderId="24" xfId="0" applyNumberFormat="1" applyFont="1" applyFill="1" applyBorder="1" applyAlignment="1" applyProtection="1">
      <alignment horizontal="center"/>
    </xf>
    <xf numFmtId="171" fontId="88" fillId="0" borderId="24" xfId="0" applyNumberFormat="1" applyFont="1" applyBorder="1" applyProtection="1"/>
    <xf numFmtId="0" fontId="55" fillId="0" borderId="0" xfId="0" quotePrefix="1" applyFont="1" applyAlignment="1" applyProtection="1">
      <alignment horizontal="left"/>
    </xf>
    <xf numFmtId="170" fontId="53" fillId="0" borderId="0" xfId="198" quotePrefix="1" applyNumberFormat="1" applyFont="1" applyFill="1" applyAlignment="1" applyProtection="1">
      <alignment horizontal="left"/>
    </xf>
    <xf numFmtId="171" fontId="88" fillId="0" borderId="14" xfId="0" applyNumberFormat="1" applyFont="1" applyBorder="1" applyProtection="1"/>
    <xf numFmtId="171" fontId="88" fillId="0" borderId="14" xfId="0" applyNumberFormat="1" applyFont="1" applyFill="1" applyBorder="1" applyProtection="1"/>
    <xf numFmtId="0" fontId="55" fillId="0" borderId="0" xfId="0" applyFont="1" applyAlignment="1" applyProtection="1">
      <alignment horizontal="left"/>
    </xf>
    <xf numFmtId="171" fontId="54" fillId="27" borderId="23" xfId="0" applyNumberFormat="1" applyFont="1" applyFill="1" applyBorder="1" applyProtection="1"/>
    <xf numFmtId="0" fontId="52" fillId="0" borderId="0" xfId="0" quotePrefix="1" applyFont="1" applyAlignment="1" applyProtection="1">
      <alignment horizontal="left"/>
    </xf>
    <xf numFmtId="0" fontId="39" fillId="28" borderId="21" xfId="0" applyFont="1" applyFill="1" applyBorder="1" applyAlignment="1" applyProtection="1">
      <alignment horizontal="center"/>
    </xf>
    <xf numFmtId="170" fontId="54" fillId="27" borderId="13" xfId="0" applyNumberFormat="1" applyFont="1" applyFill="1" applyBorder="1" applyProtection="1"/>
    <xf numFmtId="0" fontId="68" fillId="0" borderId="0" xfId="0" applyFont="1" applyProtection="1"/>
    <xf numFmtId="0" fontId="52" fillId="27" borderId="0" xfId="0" applyFont="1" applyFill="1" applyAlignment="1" applyProtection="1">
      <alignment horizontal="left"/>
    </xf>
    <xf numFmtId="0" fontId="55" fillId="0" borderId="0" xfId="0" applyFont="1" applyFill="1" applyAlignment="1" applyProtection="1">
      <alignment horizontal="left"/>
    </xf>
    <xf numFmtId="170" fontId="87" fillId="27" borderId="0" xfId="0" applyNumberFormat="1" applyFont="1" applyFill="1" applyBorder="1" applyProtection="1"/>
    <xf numFmtId="170" fontId="87" fillId="27" borderId="23" xfId="198" applyNumberFormat="1" applyFont="1" applyFill="1" applyBorder="1" applyProtection="1"/>
    <xf numFmtId="170" fontId="88" fillId="27" borderId="14" xfId="198" applyNumberFormat="1" applyFont="1" applyFill="1" applyBorder="1" applyAlignment="1" applyProtection="1">
      <alignment horizontal="right"/>
    </xf>
    <xf numFmtId="170" fontId="88" fillId="27" borderId="0" xfId="0" applyNumberFormat="1" applyFont="1" applyFill="1" applyBorder="1" applyProtection="1"/>
    <xf numFmtId="170" fontId="88" fillId="27" borderId="24" xfId="198" applyNumberFormat="1" applyFont="1" applyFill="1" applyBorder="1" applyProtection="1"/>
    <xf numFmtId="170" fontId="88" fillId="27" borderId="24" xfId="0" applyNumberFormat="1" applyFont="1" applyFill="1" applyBorder="1" applyProtection="1"/>
    <xf numFmtId="170" fontId="88" fillId="27" borderId="23" xfId="0" applyNumberFormat="1" applyFont="1" applyFill="1" applyBorder="1" applyProtection="1"/>
    <xf numFmtId="168" fontId="88" fillId="27" borderId="24" xfId="198" applyNumberFormat="1" applyFont="1" applyFill="1" applyBorder="1" applyProtection="1"/>
    <xf numFmtId="168" fontId="88" fillId="27" borderId="14" xfId="198" applyNumberFormat="1" applyFont="1" applyFill="1" applyBorder="1" applyProtection="1"/>
    <xf numFmtId="171" fontId="46" fillId="0" borderId="0" xfId="0" quotePrefix="1" applyNumberFormat="1" applyFont="1" applyBorder="1" applyAlignment="1" applyProtection="1">
      <alignment horizontal="center"/>
    </xf>
    <xf numFmtId="170" fontId="7" fillId="0" borderId="14" xfId="198" quotePrefix="1" applyNumberFormat="1" applyFont="1" applyFill="1" applyBorder="1" applyAlignment="1" applyProtection="1">
      <alignment horizontal="right"/>
    </xf>
    <xf numFmtId="0" fontId="7" fillId="0" borderId="21" xfId="0" applyFont="1" applyFill="1" applyBorder="1" applyAlignment="1" applyProtection="1">
      <alignment horizontal="left"/>
    </xf>
    <xf numFmtId="170" fontId="88" fillId="27" borderId="23" xfId="198" applyNumberFormat="1" applyFont="1" applyFill="1" applyBorder="1" applyProtection="1"/>
    <xf numFmtId="170" fontId="88" fillId="27" borderId="14" xfId="198" applyNumberFormat="1" applyFont="1" applyFill="1" applyBorder="1" applyProtection="1"/>
    <xf numFmtId="171" fontId="88" fillId="27" borderId="24" xfId="0" applyNumberFormat="1" applyFont="1" applyFill="1" applyBorder="1" applyProtection="1"/>
    <xf numFmtId="171" fontId="54" fillId="0" borderId="26" xfId="0" applyNumberFormat="1" applyFont="1" applyFill="1" applyBorder="1" applyProtection="1"/>
    <xf numFmtId="171" fontId="7" fillId="0" borderId="17" xfId="0" applyNumberFormat="1" applyFont="1" applyFill="1" applyBorder="1" applyProtection="1"/>
    <xf numFmtId="171" fontId="54" fillId="0" borderId="17" xfId="0" applyNumberFormat="1" applyFont="1" applyFill="1" applyBorder="1" applyProtection="1"/>
    <xf numFmtId="171" fontId="7" fillId="0" borderId="18" xfId="0" applyNumberFormat="1" applyFont="1" applyBorder="1" applyProtection="1"/>
    <xf numFmtId="0" fontId="7" fillId="0" borderId="0" xfId="0" applyFont="1" applyFill="1" applyAlignment="1" applyProtection="1">
      <alignment horizontal="left"/>
    </xf>
    <xf numFmtId="170" fontId="7" fillId="0" borderId="0" xfId="0" applyNumberFormat="1" applyFont="1" applyAlignment="1" applyProtection="1">
      <alignment horizontal="left"/>
    </xf>
    <xf numFmtId="170" fontId="7" fillId="0" borderId="23" xfId="0" applyNumberFormat="1" applyFont="1" applyFill="1" applyBorder="1" applyProtection="1"/>
    <xf numFmtId="170" fontId="1" fillId="0" borderId="24" xfId="198" applyNumberFormat="1" applyFill="1" applyBorder="1" applyProtection="1"/>
    <xf numFmtId="170" fontId="7" fillId="27" borderId="0" xfId="0" applyNumberFormat="1" applyFont="1" applyFill="1" applyBorder="1" applyProtection="1"/>
    <xf numFmtId="170" fontId="7" fillId="27" borderId="24" xfId="198" applyNumberFormat="1" applyFont="1" applyFill="1" applyBorder="1" applyProtection="1"/>
    <xf numFmtId="170" fontId="7" fillId="27" borderId="24" xfId="0" applyNumberFormat="1" applyFont="1" applyFill="1" applyBorder="1" applyProtection="1"/>
    <xf numFmtId="170" fontId="7" fillId="27" borderId="23" xfId="0" applyNumberFormat="1" applyFont="1" applyFill="1" applyBorder="1" applyProtection="1"/>
    <xf numFmtId="168" fontId="7" fillId="27" borderId="24" xfId="198" applyNumberFormat="1" applyFont="1" applyFill="1" applyBorder="1" applyProtection="1"/>
    <xf numFmtId="168" fontId="7" fillId="27" borderId="14" xfId="198" applyNumberFormat="1" applyFont="1" applyFill="1" applyBorder="1" applyProtection="1"/>
    <xf numFmtId="171" fontId="54" fillId="60" borderId="24" xfId="0" applyNumberFormat="1" applyFont="1" applyFill="1" applyBorder="1" applyProtection="1"/>
    <xf numFmtId="170" fontId="1" fillId="27" borderId="24" xfId="198" applyNumberFormat="1" applyFill="1" applyBorder="1" applyProtection="1"/>
    <xf numFmtId="170" fontId="7" fillId="27" borderId="14" xfId="198" applyNumberFormat="1" applyFont="1" applyFill="1" applyBorder="1" applyProtection="1"/>
    <xf numFmtId="170" fontId="7" fillId="27" borderId="23" xfId="285" applyNumberFormat="1" applyFont="1" applyFill="1" applyBorder="1" applyProtection="1"/>
    <xf numFmtId="170" fontId="7" fillId="27" borderId="23" xfId="198" applyNumberFormat="1" applyFont="1" applyFill="1" applyBorder="1" applyProtection="1"/>
    <xf numFmtId="0" fontId="0" fillId="0" borderId="0" xfId="0" applyAlignment="1" applyProtection="1">
      <alignment wrapText="1"/>
    </xf>
    <xf numFmtId="0" fontId="7" fillId="0" borderId="0" xfId="0" applyFont="1" applyFill="1" applyBorder="1" applyAlignment="1" applyProtection="1">
      <alignment wrapText="1"/>
    </xf>
    <xf numFmtId="0" fontId="0" fillId="0" borderId="0" xfId="0" applyAlignment="1" applyProtection="1">
      <alignment wrapText="1"/>
    </xf>
    <xf numFmtId="0" fontId="7" fillId="0" borderId="0" xfId="0" applyFont="1" applyFill="1" applyBorder="1" applyAlignment="1" applyProtection="1">
      <alignment wrapText="1"/>
    </xf>
    <xf numFmtId="180" fontId="7" fillId="0" borderId="14" xfId="198" applyNumberFormat="1" applyFont="1" applyFill="1" applyBorder="1" applyAlignment="1" applyProtection="1">
      <alignment horizontal="right"/>
    </xf>
    <xf numFmtId="170" fontId="126" fillId="0" borderId="0" xfId="198" applyNumberFormat="1" applyFont="1" applyFill="1" applyAlignment="1" applyProtection="1">
      <alignment vertical="center"/>
    </xf>
    <xf numFmtId="0" fontId="1" fillId="0" borderId="21" xfId="0" applyFont="1" applyFill="1" applyBorder="1" applyAlignment="1" applyProtection="1">
      <alignment horizontal="left"/>
    </xf>
    <xf numFmtId="10" fontId="54" fillId="0" borderId="43" xfId="1011" applyNumberFormat="1" applyFont="1" applyFill="1" applyBorder="1" applyProtection="1"/>
    <xf numFmtId="0" fontId="7" fillId="28" borderId="0" xfId="868" quotePrefix="1" applyFill="1" applyAlignment="1">
      <alignment horizontal="center" vertical="center"/>
    </xf>
    <xf numFmtId="0" fontId="7" fillId="61" borderId="0" xfId="868" quotePrefix="1" applyFill="1" applyAlignment="1">
      <alignment horizontal="center" vertical="center"/>
    </xf>
    <xf numFmtId="0" fontId="1" fillId="28" borderId="0" xfId="868" quotePrefix="1" applyFont="1" applyFill="1" applyAlignment="1">
      <alignment horizontal="center" vertical="center"/>
    </xf>
    <xf numFmtId="0" fontId="1" fillId="61" borderId="0" xfId="868" quotePrefix="1" applyFont="1" applyFill="1" applyAlignment="1">
      <alignment horizontal="center" vertical="center"/>
    </xf>
    <xf numFmtId="0" fontId="65" fillId="62" borderId="0" xfId="0" quotePrefix="1" applyFont="1" applyFill="1" applyBorder="1" applyAlignment="1" applyProtection="1">
      <alignment horizontal="center" wrapText="1"/>
    </xf>
    <xf numFmtId="0" fontId="39" fillId="63" borderId="24" xfId="0" applyNumberFormat="1" applyFont="1" applyFill="1" applyBorder="1" applyAlignment="1" applyProtection="1">
      <alignment horizontal="center"/>
    </xf>
    <xf numFmtId="0" fontId="39" fillId="63" borderId="24" xfId="0" applyNumberFormat="1" applyFont="1" applyFill="1" applyBorder="1" applyAlignment="1">
      <alignment horizontal="center"/>
    </xf>
    <xf numFmtId="0" fontId="1" fillId="0" borderId="24" xfId="0" applyNumberFormat="1" applyFont="1" applyFill="1" applyBorder="1" applyAlignment="1" applyProtection="1">
      <alignment horizontal="center"/>
    </xf>
    <xf numFmtId="0" fontId="39" fillId="0" borderId="11" xfId="0" applyFont="1" applyBorder="1" applyAlignment="1" applyProtection="1">
      <alignment horizontal="center"/>
    </xf>
    <xf numFmtId="0" fontId="65" fillId="0" borderId="0" xfId="0" applyFont="1" applyFill="1" applyBorder="1" applyAlignment="1" applyProtection="1">
      <alignment horizontal="center" wrapText="1"/>
    </xf>
    <xf numFmtId="169" fontId="7" fillId="0" borderId="26" xfId="995" applyFont="1" applyBorder="1" applyAlignment="1" applyProtection="1">
      <alignment wrapText="1"/>
    </xf>
    <xf numFmtId="0" fontId="7" fillId="0" borderId="17" xfId="0" applyFont="1" applyBorder="1" applyAlignment="1" applyProtection="1">
      <alignment wrapText="1"/>
    </xf>
    <xf numFmtId="0" fontId="7" fillId="0" borderId="18" xfId="0" applyFont="1" applyBorder="1" applyAlignment="1" applyProtection="1">
      <alignment wrapText="1"/>
    </xf>
    <xf numFmtId="0" fontId="7" fillId="0" borderId="13" xfId="0" applyFont="1" applyBorder="1" applyAlignment="1" applyProtection="1">
      <alignment wrapText="1"/>
    </xf>
    <xf numFmtId="0" fontId="7" fillId="0" borderId="0" xfId="0" applyFont="1" applyBorder="1" applyAlignment="1" applyProtection="1">
      <alignment wrapText="1"/>
    </xf>
    <xf numFmtId="0" fontId="7" fillId="0" borderId="14" xfId="0" applyFont="1" applyBorder="1" applyAlignment="1" applyProtection="1">
      <alignment wrapText="1"/>
    </xf>
    <xf numFmtId="0" fontId="6" fillId="0" borderId="0" xfId="0" applyFont="1" applyFill="1" applyAlignment="1" applyProtection="1">
      <alignment wrapText="1"/>
    </xf>
    <xf numFmtId="0" fontId="0" fillId="0" borderId="0" xfId="0" applyAlignment="1" applyProtection="1">
      <alignment wrapText="1"/>
    </xf>
    <xf numFmtId="0" fontId="7" fillId="0" borderId="0" xfId="0" applyFont="1" applyFill="1" applyBorder="1" applyAlignment="1" applyProtection="1">
      <alignment wrapText="1"/>
    </xf>
    <xf numFmtId="49" fontId="46" fillId="0" borderId="0" xfId="0" applyNumberFormat="1" applyFont="1" applyAlignment="1" applyProtection="1">
      <alignment horizontal="center"/>
    </xf>
    <xf numFmtId="0" fontId="46" fillId="0" borderId="0" xfId="0" applyFont="1" applyAlignment="1" applyProtection="1">
      <alignment horizontal="center"/>
    </xf>
    <xf numFmtId="0" fontId="46" fillId="0" borderId="0" xfId="896" applyFont="1" applyBorder="1" applyAlignment="1" applyProtection="1">
      <alignment horizontal="center"/>
    </xf>
    <xf numFmtId="0" fontId="6" fillId="0" borderId="0" xfId="896" quotePrefix="1" applyFont="1" applyBorder="1" applyAlignment="1" applyProtection="1">
      <alignment horizontal="center"/>
    </xf>
    <xf numFmtId="3" fontId="71" fillId="0" borderId="0" xfId="0" quotePrefix="1" applyNumberFormat="1" applyFont="1" applyAlignment="1" applyProtection="1">
      <alignment horizontal="center"/>
    </xf>
    <xf numFmtId="3" fontId="71" fillId="0" borderId="0" xfId="0" applyNumberFormat="1" applyFont="1" applyAlignment="1" applyProtection="1">
      <alignment horizontal="center"/>
    </xf>
    <xf numFmtId="0" fontId="46" fillId="0" borderId="0" xfId="0" applyNumberFormat="1" applyFont="1" applyAlignment="1" applyProtection="1">
      <alignment horizontal="center"/>
    </xf>
    <xf numFmtId="49" fontId="6" fillId="0" borderId="0" xfId="0" applyNumberFormat="1" applyFont="1" applyAlignment="1" applyProtection="1">
      <alignment horizontal="center"/>
    </xf>
    <xf numFmtId="0" fontId="6" fillId="0" borderId="0" xfId="0" applyNumberFormat="1" applyFont="1" applyAlignment="1" applyProtection="1">
      <alignment horizontal="center"/>
    </xf>
  </cellXfs>
  <cellStyles count="1261">
    <cellStyle name="20% - Accent1" xfId="1" builtinId="30" customBuiltin="1"/>
    <cellStyle name="20% - Accent1 2" xfId="2" xr:uid="{00000000-0005-0000-0000-000001000000}"/>
    <cellStyle name="20% - Accent1 2 2" xfId="3" xr:uid="{00000000-0005-0000-0000-000002000000}"/>
    <cellStyle name="20% - Accent1 2 3" xfId="4" xr:uid="{00000000-0005-0000-0000-000003000000}"/>
    <cellStyle name="20% - Accent1 2 4" xfId="5" xr:uid="{00000000-0005-0000-0000-000004000000}"/>
    <cellStyle name="20% - Accent1 2 5" xfId="6" xr:uid="{00000000-0005-0000-0000-000005000000}"/>
    <cellStyle name="20% - Accent2" xfId="7" builtinId="34" customBuiltin="1"/>
    <cellStyle name="20% - Accent2 2" xfId="8" xr:uid="{00000000-0005-0000-0000-000007000000}"/>
    <cellStyle name="20% - Accent2 2 2" xfId="9" xr:uid="{00000000-0005-0000-0000-000008000000}"/>
    <cellStyle name="20% - Accent2 2 3" xfId="10" xr:uid="{00000000-0005-0000-0000-000009000000}"/>
    <cellStyle name="20% - Accent2 2 4" xfId="11" xr:uid="{00000000-0005-0000-0000-00000A000000}"/>
    <cellStyle name="20% - Accent2 2 5" xfId="12" xr:uid="{00000000-0005-0000-0000-00000B000000}"/>
    <cellStyle name="20% - Accent3" xfId="13" builtinId="38" customBuiltin="1"/>
    <cellStyle name="20% - Accent3 2" xfId="14" xr:uid="{00000000-0005-0000-0000-00000D000000}"/>
    <cellStyle name="20% - Accent3 2 2" xfId="15" xr:uid="{00000000-0005-0000-0000-00000E000000}"/>
    <cellStyle name="20% - Accent3 2 3" xfId="16" xr:uid="{00000000-0005-0000-0000-00000F000000}"/>
    <cellStyle name="20% - Accent3 2 4" xfId="17" xr:uid="{00000000-0005-0000-0000-000010000000}"/>
    <cellStyle name="20% - Accent3 2 5" xfId="18" xr:uid="{00000000-0005-0000-0000-000011000000}"/>
    <cellStyle name="20% - Accent4" xfId="19" builtinId="42" customBuiltin="1"/>
    <cellStyle name="20% - Accent4 2" xfId="20" xr:uid="{00000000-0005-0000-0000-000013000000}"/>
    <cellStyle name="20% - Accent4 2 2" xfId="21" xr:uid="{00000000-0005-0000-0000-000014000000}"/>
    <cellStyle name="20% - Accent4 2 3" xfId="22" xr:uid="{00000000-0005-0000-0000-000015000000}"/>
    <cellStyle name="20% - Accent4 2 4" xfId="23" xr:uid="{00000000-0005-0000-0000-000016000000}"/>
    <cellStyle name="20% - Accent4 2 5" xfId="24" xr:uid="{00000000-0005-0000-0000-000017000000}"/>
    <cellStyle name="20% - Accent5" xfId="25" builtinId="46" customBuiltin="1"/>
    <cellStyle name="20% - Accent5 2" xfId="26" xr:uid="{00000000-0005-0000-0000-000019000000}"/>
    <cellStyle name="20% - Accent5 2 2" xfId="27" xr:uid="{00000000-0005-0000-0000-00001A000000}"/>
    <cellStyle name="20% - Accent5 2 3" xfId="28" xr:uid="{00000000-0005-0000-0000-00001B000000}"/>
    <cellStyle name="20% - Accent5 2 4" xfId="29" xr:uid="{00000000-0005-0000-0000-00001C000000}"/>
    <cellStyle name="20% - Accent5 2 5" xfId="30" xr:uid="{00000000-0005-0000-0000-00001D000000}"/>
    <cellStyle name="20% - Accent6" xfId="31" builtinId="50" customBuiltin="1"/>
    <cellStyle name="20% - Accent6 2" xfId="32" xr:uid="{00000000-0005-0000-0000-00001F000000}"/>
    <cellStyle name="20% - Accent6 2 2" xfId="33" xr:uid="{00000000-0005-0000-0000-000020000000}"/>
    <cellStyle name="20% - Accent6 2 3" xfId="34" xr:uid="{00000000-0005-0000-0000-000021000000}"/>
    <cellStyle name="20% - Accent6 2 4" xfId="35" xr:uid="{00000000-0005-0000-0000-000022000000}"/>
    <cellStyle name="20% - Accent6 2 5" xfId="36" xr:uid="{00000000-0005-0000-0000-000023000000}"/>
    <cellStyle name="40% - Accent1" xfId="37" builtinId="31" customBuiltin="1"/>
    <cellStyle name="40% - Accent1 2" xfId="38" xr:uid="{00000000-0005-0000-0000-000025000000}"/>
    <cellStyle name="40% - Accent1 2 2" xfId="39" xr:uid="{00000000-0005-0000-0000-000026000000}"/>
    <cellStyle name="40% - Accent1 2 3" xfId="40" xr:uid="{00000000-0005-0000-0000-000027000000}"/>
    <cellStyle name="40% - Accent1 2 4" xfId="41" xr:uid="{00000000-0005-0000-0000-000028000000}"/>
    <cellStyle name="40% - Accent1 2 5" xfId="42" xr:uid="{00000000-0005-0000-0000-000029000000}"/>
    <cellStyle name="40% - Accent2" xfId="43" builtinId="35" customBuiltin="1"/>
    <cellStyle name="40% - Accent2 2" xfId="44" xr:uid="{00000000-0005-0000-0000-00002B000000}"/>
    <cellStyle name="40% - Accent2 2 2" xfId="45" xr:uid="{00000000-0005-0000-0000-00002C000000}"/>
    <cellStyle name="40% - Accent2 2 3" xfId="46" xr:uid="{00000000-0005-0000-0000-00002D000000}"/>
    <cellStyle name="40% - Accent2 2 4" xfId="47" xr:uid="{00000000-0005-0000-0000-00002E000000}"/>
    <cellStyle name="40% - Accent2 2 5" xfId="48" xr:uid="{00000000-0005-0000-0000-00002F000000}"/>
    <cellStyle name="40% - Accent3" xfId="49" builtinId="39" customBuiltin="1"/>
    <cellStyle name="40% - Accent3 2" xfId="50" xr:uid="{00000000-0005-0000-0000-000031000000}"/>
    <cellStyle name="40% - Accent3 2 2" xfId="51" xr:uid="{00000000-0005-0000-0000-000032000000}"/>
    <cellStyle name="40% - Accent3 2 3" xfId="52" xr:uid="{00000000-0005-0000-0000-000033000000}"/>
    <cellStyle name="40% - Accent3 2 4" xfId="53" xr:uid="{00000000-0005-0000-0000-000034000000}"/>
    <cellStyle name="40% - Accent3 2 5" xfId="54" xr:uid="{00000000-0005-0000-0000-000035000000}"/>
    <cellStyle name="40% - Accent4" xfId="55" builtinId="43" customBuiltin="1"/>
    <cellStyle name="40% - Accent4 2" xfId="56" xr:uid="{00000000-0005-0000-0000-000037000000}"/>
    <cellStyle name="40% - Accent4 2 2" xfId="57" xr:uid="{00000000-0005-0000-0000-000038000000}"/>
    <cellStyle name="40% - Accent4 2 3" xfId="58" xr:uid="{00000000-0005-0000-0000-000039000000}"/>
    <cellStyle name="40% - Accent4 2 4" xfId="59" xr:uid="{00000000-0005-0000-0000-00003A000000}"/>
    <cellStyle name="40% - Accent4 2 5" xfId="60" xr:uid="{00000000-0005-0000-0000-00003B000000}"/>
    <cellStyle name="40% - Accent5" xfId="61" builtinId="47" customBuiltin="1"/>
    <cellStyle name="40% - Accent5 2" xfId="62" xr:uid="{00000000-0005-0000-0000-00003D000000}"/>
    <cellStyle name="40% - Accent5 2 2" xfId="63" xr:uid="{00000000-0005-0000-0000-00003E000000}"/>
    <cellStyle name="40% - Accent5 2 3" xfId="64" xr:uid="{00000000-0005-0000-0000-00003F000000}"/>
    <cellStyle name="40% - Accent5 2 4" xfId="65" xr:uid="{00000000-0005-0000-0000-000040000000}"/>
    <cellStyle name="40% - Accent5 2 5" xfId="66" xr:uid="{00000000-0005-0000-0000-000041000000}"/>
    <cellStyle name="40% - Accent6" xfId="67" builtinId="51" customBuiltin="1"/>
    <cellStyle name="40% - Accent6 2" xfId="68" xr:uid="{00000000-0005-0000-0000-000043000000}"/>
    <cellStyle name="40% - Accent6 2 2" xfId="69" xr:uid="{00000000-0005-0000-0000-000044000000}"/>
    <cellStyle name="40% - Accent6 2 3" xfId="70" xr:uid="{00000000-0005-0000-0000-000045000000}"/>
    <cellStyle name="40% - Accent6 2 4" xfId="71" xr:uid="{00000000-0005-0000-0000-000046000000}"/>
    <cellStyle name="40% - Accent6 2 5" xfId="72" xr:uid="{00000000-0005-0000-0000-000047000000}"/>
    <cellStyle name="60% - Accent1" xfId="73" builtinId="32" customBuiltin="1"/>
    <cellStyle name="60% - Accent1 2" xfId="74" xr:uid="{00000000-0005-0000-0000-000049000000}"/>
    <cellStyle name="60% - Accent1 2 2" xfId="75" xr:uid="{00000000-0005-0000-0000-00004A000000}"/>
    <cellStyle name="60% - Accent1 2 3" xfId="76" xr:uid="{00000000-0005-0000-0000-00004B000000}"/>
    <cellStyle name="60% - Accent1 2 4" xfId="77" xr:uid="{00000000-0005-0000-0000-00004C000000}"/>
    <cellStyle name="60% - Accent1 2 5" xfId="78" xr:uid="{00000000-0005-0000-0000-00004D000000}"/>
    <cellStyle name="60% - Accent2" xfId="79" builtinId="36" customBuiltin="1"/>
    <cellStyle name="60% - Accent2 2" xfId="80" xr:uid="{00000000-0005-0000-0000-00004F000000}"/>
    <cellStyle name="60% - Accent2 2 2" xfId="81" xr:uid="{00000000-0005-0000-0000-000050000000}"/>
    <cellStyle name="60% - Accent2 2 3" xfId="82" xr:uid="{00000000-0005-0000-0000-000051000000}"/>
    <cellStyle name="60% - Accent2 2 4" xfId="83" xr:uid="{00000000-0005-0000-0000-000052000000}"/>
    <cellStyle name="60% - Accent2 2 5" xfId="84" xr:uid="{00000000-0005-0000-0000-000053000000}"/>
    <cellStyle name="60% - Accent3" xfId="85" builtinId="40" customBuiltin="1"/>
    <cellStyle name="60% - Accent3 2" xfId="86" xr:uid="{00000000-0005-0000-0000-000055000000}"/>
    <cellStyle name="60% - Accent3 2 2" xfId="87" xr:uid="{00000000-0005-0000-0000-000056000000}"/>
    <cellStyle name="60% - Accent3 2 3" xfId="88" xr:uid="{00000000-0005-0000-0000-000057000000}"/>
    <cellStyle name="60% - Accent3 2 4" xfId="89" xr:uid="{00000000-0005-0000-0000-000058000000}"/>
    <cellStyle name="60% - Accent3 2 5" xfId="90" xr:uid="{00000000-0005-0000-0000-000059000000}"/>
    <cellStyle name="60% - Accent4" xfId="91" builtinId="44" customBuiltin="1"/>
    <cellStyle name="60% - Accent4 2" xfId="92" xr:uid="{00000000-0005-0000-0000-00005B000000}"/>
    <cellStyle name="60% - Accent4 2 2" xfId="93" xr:uid="{00000000-0005-0000-0000-00005C000000}"/>
    <cellStyle name="60% - Accent4 2 3" xfId="94" xr:uid="{00000000-0005-0000-0000-00005D000000}"/>
    <cellStyle name="60% - Accent4 2 4" xfId="95" xr:uid="{00000000-0005-0000-0000-00005E000000}"/>
    <cellStyle name="60% - Accent4 2 5" xfId="96" xr:uid="{00000000-0005-0000-0000-00005F000000}"/>
    <cellStyle name="60% - Accent5" xfId="97" builtinId="48" customBuiltin="1"/>
    <cellStyle name="60% - Accent5 2" xfId="98" xr:uid="{00000000-0005-0000-0000-000061000000}"/>
    <cellStyle name="60% - Accent5 2 2" xfId="99" xr:uid="{00000000-0005-0000-0000-000062000000}"/>
    <cellStyle name="60% - Accent5 2 3" xfId="100" xr:uid="{00000000-0005-0000-0000-000063000000}"/>
    <cellStyle name="60% - Accent5 2 4" xfId="101" xr:uid="{00000000-0005-0000-0000-000064000000}"/>
    <cellStyle name="60% - Accent5 2 5" xfId="102" xr:uid="{00000000-0005-0000-0000-000065000000}"/>
    <cellStyle name="60% - Accent6" xfId="103" builtinId="52" customBuiltin="1"/>
    <cellStyle name="60% - Accent6 2" xfId="104" xr:uid="{00000000-0005-0000-0000-000067000000}"/>
    <cellStyle name="60% - Accent6 2 2" xfId="105" xr:uid="{00000000-0005-0000-0000-000068000000}"/>
    <cellStyle name="60% - Accent6 2 3" xfId="106" xr:uid="{00000000-0005-0000-0000-000069000000}"/>
    <cellStyle name="60% - Accent6 2 4" xfId="107" xr:uid="{00000000-0005-0000-0000-00006A000000}"/>
    <cellStyle name="60% - Accent6 2 5" xfId="108" xr:uid="{00000000-0005-0000-0000-00006B000000}"/>
    <cellStyle name="Accent1" xfId="109" builtinId="29" customBuiltin="1"/>
    <cellStyle name="Accent1 2" xfId="110" xr:uid="{00000000-0005-0000-0000-00006D000000}"/>
    <cellStyle name="Accent1 2 2" xfId="111" xr:uid="{00000000-0005-0000-0000-00006E000000}"/>
    <cellStyle name="Accent1 2 3" xfId="112" xr:uid="{00000000-0005-0000-0000-00006F000000}"/>
    <cellStyle name="Accent1 2 4" xfId="113" xr:uid="{00000000-0005-0000-0000-000070000000}"/>
    <cellStyle name="Accent1 2 5" xfId="114" xr:uid="{00000000-0005-0000-0000-000071000000}"/>
    <cellStyle name="Accent2" xfId="115" builtinId="33" customBuiltin="1"/>
    <cellStyle name="Accent2 2" xfId="116" xr:uid="{00000000-0005-0000-0000-000073000000}"/>
    <cellStyle name="Accent2 2 2" xfId="117" xr:uid="{00000000-0005-0000-0000-000074000000}"/>
    <cellStyle name="Accent2 2 3" xfId="118" xr:uid="{00000000-0005-0000-0000-000075000000}"/>
    <cellStyle name="Accent2 2 4" xfId="119" xr:uid="{00000000-0005-0000-0000-000076000000}"/>
    <cellStyle name="Accent2 2 5" xfId="120" xr:uid="{00000000-0005-0000-0000-000077000000}"/>
    <cellStyle name="Accent3" xfId="121" builtinId="37" customBuiltin="1"/>
    <cellStyle name="Accent3 2" xfId="122" xr:uid="{00000000-0005-0000-0000-000079000000}"/>
    <cellStyle name="Accent3 2 2" xfId="123" xr:uid="{00000000-0005-0000-0000-00007A000000}"/>
    <cellStyle name="Accent3 2 3" xfId="124" xr:uid="{00000000-0005-0000-0000-00007B000000}"/>
    <cellStyle name="Accent3 2 4" xfId="125" xr:uid="{00000000-0005-0000-0000-00007C000000}"/>
    <cellStyle name="Accent3 2 5" xfId="126" xr:uid="{00000000-0005-0000-0000-00007D000000}"/>
    <cellStyle name="Accent4" xfId="127" builtinId="41" customBuiltin="1"/>
    <cellStyle name="Accent4 2" xfId="128" xr:uid="{00000000-0005-0000-0000-00007F000000}"/>
    <cellStyle name="Accent4 2 2" xfId="129" xr:uid="{00000000-0005-0000-0000-000080000000}"/>
    <cellStyle name="Accent4 2 3" xfId="130" xr:uid="{00000000-0005-0000-0000-000081000000}"/>
    <cellStyle name="Accent4 2 4" xfId="131" xr:uid="{00000000-0005-0000-0000-000082000000}"/>
    <cellStyle name="Accent4 2 5" xfId="132" xr:uid="{00000000-0005-0000-0000-000083000000}"/>
    <cellStyle name="Accent5" xfId="133" builtinId="45" customBuiltin="1"/>
    <cellStyle name="Accent5 2" xfId="134" xr:uid="{00000000-0005-0000-0000-000085000000}"/>
    <cellStyle name="Accent5 2 2" xfId="135" xr:uid="{00000000-0005-0000-0000-000086000000}"/>
    <cellStyle name="Accent5 2 3" xfId="136" xr:uid="{00000000-0005-0000-0000-000087000000}"/>
    <cellStyle name="Accent5 2 4" xfId="137" xr:uid="{00000000-0005-0000-0000-000088000000}"/>
    <cellStyle name="Accent5 2 5" xfId="138" xr:uid="{00000000-0005-0000-0000-000089000000}"/>
    <cellStyle name="Accent6" xfId="139" builtinId="49" customBuiltin="1"/>
    <cellStyle name="Accent6 2" xfId="140" xr:uid="{00000000-0005-0000-0000-00008B000000}"/>
    <cellStyle name="Accent6 2 2" xfId="141" xr:uid="{00000000-0005-0000-0000-00008C000000}"/>
    <cellStyle name="Accent6 2 3" xfId="142" xr:uid="{00000000-0005-0000-0000-00008D000000}"/>
    <cellStyle name="Accent6 2 4" xfId="143" xr:uid="{00000000-0005-0000-0000-00008E000000}"/>
    <cellStyle name="Accent6 2 5" xfId="144" xr:uid="{00000000-0005-0000-0000-00008F000000}"/>
    <cellStyle name="Bad" xfId="145" builtinId="27" customBuiltin="1"/>
    <cellStyle name="Bad 2" xfId="146" xr:uid="{00000000-0005-0000-0000-000091000000}"/>
    <cellStyle name="Bad 2 2" xfId="147" xr:uid="{00000000-0005-0000-0000-000092000000}"/>
    <cellStyle name="Bad 2 3" xfId="148" xr:uid="{00000000-0005-0000-0000-000093000000}"/>
    <cellStyle name="Bad 2 4" xfId="149" xr:uid="{00000000-0005-0000-0000-000094000000}"/>
    <cellStyle name="Bad 2 5" xfId="150" xr:uid="{00000000-0005-0000-0000-000095000000}"/>
    <cellStyle name="C00A" xfId="151" xr:uid="{00000000-0005-0000-0000-000096000000}"/>
    <cellStyle name="C00B" xfId="152" xr:uid="{00000000-0005-0000-0000-000097000000}"/>
    <cellStyle name="C00L" xfId="153" xr:uid="{00000000-0005-0000-0000-000098000000}"/>
    <cellStyle name="C01A" xfId="154" xr:uid="{00000000-0005-0000-0000-000099000000}"/>
    <cellStyle name="C01B" xfId="155" xr:uid="{00000000-0005-0000-0000-00009A000000}"/>
    <cellStyle name="C01B 2" xfId="156" xr:uid="{00000000-0005-0000-0000-00009B000000}"/>
    <cellStyle name="C01H" xfId="157" xr:uid="{00000000-0005-0000-0000-00009C000000}"/>
    <cellStyle name="C01L" xfId="158" xr:uid="{00000000-0005-0000-0000-00009D000000}"/>
    <cellStyle name="C02A" xfId="159" xr:uid="{00000000-0005-0000-0000-00009E000000}"/>
    <cellStyle name="C02B" xfId="160" xr:uid="{00000000-0005-0000-0000-00009F000000}"/>
    <cellStyle name="C02B 2" xfId="161" xr:uid="{00000000-0005-0000-0000-0000A0000000}"/>
    <cellStyle name="C02H" xfId="162" xr:uid="{00000000-0005-0000-0000-0000A1000000}"/>
    <cellStyle name="C02L" xfId="163" xr:uid="{00000000-0005-0000-0000-0000A2000000}"/>
    <cellStyle name="C03A" xfId="164" xr:uid="{00000000-0005-0000-0000-0000A3000000}"/>
    <cellStyle name="C03B" xfId="165" xr:uid="{00000000-0005-0000-0000-0000A4000000}"/>
    <cellStyle name="C03H" xfId="166" xr:uid="{00000000-0005-0000-0000-0000A5000000}"/>
    <cellStyle name="C03L" xfId="167" xr:uid="{00000000-0005-0000-0000-0000A6000000}"/>
    <cellStyle name="C04A" xfId="168" xr:uid="{00000000-0005-0000-0000-0000A7000000}"/>
    <cellStyle name="C04A 2" xfId="169" xr:uid="{00000000-0005-0000-0000-0000A8000000}"/>
    <cellStyle name="C04B" xfId="170" xr:uid="{00000000-0005-0000-0000-0000A9000000}"/>
    <cellStyle name="C04H" xfId="171" xr:uid="{00000000-0005-0000-0000-0000AA000000}"/>
    <cellStyle name="C04L" xfId="172" xr:uid="{00000000-0005-0000-0000-0000AB000000}"/>
    <cellStyle name="C05A" xfId="173" xr:uid="{00000000-0005-0000-0000-0000AC000000}"/>
    <cellStyle name="C05B" xfId="174" xr:uid="{00000000-0005-0000-0000-0000AD000000}"/>
    <cellStyle name="C05H" xfId="175" xr:uid="{00000000-0005-0000-0000-0000AE000000}"/>
    <cellStyle name="C05L" xfId="176" xr:uid="{00000000-0005-0000-0000-0000AF000000}"/>
    <cellStyle name="C05L 2" xfId="177" xr:uid="{00000000-0005-0000-0000-0000B0000000}"/>
    <cellStyle name="C06A" xfId="178" xr:uid="{00000000-0005-0000-0000-0000B1000000}"/>
    <cellStyle name="C06B" xfId="179" xr:uid="{00000000-0005-0000-0000-0000B2000000}"/>
    <cellStyle name="C06H" xfId="180" xr:uid="{00000000-0005-0000-0000-0000B3000000}"/>
    <cellStyle name="C06L" xfId="181" xr:uid="{00000000-0005-0000-0000-0000B4000000}"/>
    <cellStyle name="C07A" xfId="182" xr:uid="{00000000-0005-0000-0000-0000B5000000}"/>
    <cellStyle name="C07B" xfId="183" xr:uid="{00000000-0005-0000-0000-0000B6000000}"/>
    <cellStyle name="C07H" xfId="184" xr:uid="{00000000-0005-0000-0000-0000B7000000}"/>
    <cellStyle name="C07L" xfId="185" xr:uid="{00000000-0005-0000-0000-0000B8000000}"/>
    <cellStyle name="Calculation" xfId="186" builtinId="22" customBuiltin="1"/>
    <cellStyle name="Calculation 2" xfId="187" xr:uid="{00000000-0005-0000-0000-0000BA000000}"/>
    <cellStyle name="Calculation 2 2" xfId="188" xr:uid="{00000000-0005-0000-0000-0000BB000000}"/>
    <cellStyle name="Calculation 2 3" xfId="189" xr:uid="{00000000-0005-0000-0000-0000BC000000}"/>
    <cellStyle name="Calculation 2 4" xfId="190" xr:uid="{00000000-0005-0000-0000-0000BD000000}"/>
    <cellStyle name="Calculation 2 5" xfId="191" xr:uid="{00000000-0005-0000-0000-0000BE000000}"/>
    <cellStyle name="Check Cell" xfId="192" builtinId="23" customBuiltin="1"/>
    <cellStyle name="Check Cell 2" xfId="193" xr:uid="{00000000-0005-0000-0000-0000C0000000}"/>
    <cellStyle name="Check Cell 2 2" xfId="194" xr:uid="{00000000-0005-0000-0000-0000C1000000}"/>
    <cellStyle name="Check Cell 2 3" xfId="195" xr:uid="{00000000-0005-0000-0000-0000C2000000}"/>
    <cellStyle name="Check Cell 2 4" xfId="196" xr:uid="{00000000-0005-0000-0000-0000C3000000}"/>
    <cellStyle name="Check Cell 2 5" xfId="197" xr:uid="{00000000-0005-0000-0000-0000C4000000}"/>
    <cellStyle name="Comma" xfId="198" builtinId="3"/>
    <cellStyle name="Comma [0] 2" xfId="199" xr:uid="{00000000-0005-0000-0000-0000C6000000}"/>
    <cellStyle name="Comma [0] 2 2" xfId="200" xr:uid="{00000000-0005-0000-0000-0000C7000000}"/>
    <cellStyle name="Comma 10" xfId="201" xr:uid="{00000000-0005-0000-0000-0000C8000000}"/>
    <cellStyle name="Comma 100" xfId="202" xr:uid="{00000000-0005-0000-0000-0000C9000000}"/>
    <cellStyle name="Comma 101" xfId="203" xr:uid="{00000000-0005-0000-0000-0000CA000000}"/>
    <cellStyle name="Comma 101 2" xfId="204" xr:uid="{00000000-0005-0000-0000-0000CB000000}"/>
    <cellStyle name="Comma 102" xfId="205" xr:uid="{00000000-0005-0000-0000-0000CC000000}"/>
    <cellStyle name="Comma 102 2" xfId="206" xr:uid="{00000000-0005-0000-0000-0000CD000000}"/>
    <cellStyle name="Comma 103" xfId="207" xr:uid="{00000000-0005-0000-0000-0000CE000000}"/>
    <cellStyle name="Comma 103 2" xfId="208" xr:uid="{00000000-0005-0000-0000-0000CF000000}"/>
    <cellStyle name="Comma 104" xfId="209" xr:uid="{00000000-0005-0000-0000-0000D0000000}"/>
    <cellStyle name="Comma 104 2" xfId="210" xr:uid="{00000000-0005-0000-0000-0000D1000000}"/>
    <cellStyle name="Comma 105" xfId="211" xr:uid="{00000000-0005-0000-0000-0000D2000000}"/>
    <cellStyle name="Comma 105 2" xfId="212" xr:uid="{00000000-0005-0000-0000-0000D3000000}"/>
    <cellStyle name="Comma 106" xfId="213" xr:uid="{00000000-0005-0000-0000-0000D4000000}"/>
    <cellStyle name="Comma 106 2" xfId="214" xr:uid="{00000000-0005-0000-0000-0000D5000000}"/>
    <cellStyle name="Comma 107" xfId="215" xr:uid="{00000000-0005-0000-0000-0000D6000000}"/>
    <cellStyle name="Comma 107 2" xfId="216" xr:uid="{00000000-0005-0000-0000-0000D7000000}"/>
    <cellStyle name="Comma 108" xfId="217" xr:uid="{00000000-0005-0000-0000-0000D8000000}"/>
    <cellStyle name="Comma 108 2" xfId="218" xr:uid="{00000000-0005-0000-0000-0000D9000000}"/>
    <cellStyle name="Comma 109" xfId="219" xr:uid="{00000000-0005-0000-0000-0000DA000000}"/>
    <cellStyle name="Comma 11" xfId="220" xr:uid="{00000000-0005-0000-0000-0000DB000000}"/>
    <cellStyle name="Comma 110" xfId="221" xr:uid="{00000000-0005-0000-0000-0000DC000000}"/>
    <cellStyle name="Comma 111" xfId="222" xr:uid="{00000000-0005-0000-0000-0000DD000000}"/>
    <cellStyle name="Comma 112" xfId="223" xr:uid="{00000000-0005-0000-0000-0000DE000000}"/>
    <cellStyle name="Comma 112 2" xfId="224" xr:uid="{00000000-0005-0000-0000-0000DF000000}"/>
    <cellStyle name="Comma 113" xfId="225" xr:uid="{00000000-0005-0000-0000-0000E0000000}"/>
    <cellStyle name="Comma 113 2" xfId="226" xr:uid="{00000000-0005-0000-0000-0000E1000000}"/>
    <cellStyle name="Comma 114" xfId="227" xr:uid="{00000000-0005-0000-0000-0000E2000000}"/>
    <cellStyle name="Comma 114 2" xfId="228" xr:uid="{00000000-0005-0000-0000-0000E3000000}"/>
    <cellStyle name="Comma 115" xfId="229" xr:uid="{00000000-0005-0000-0000-0000E4000000}"/>
    <cellStyle name="Comma 115 2" xfId="230" xr:uid="{00000000-0005-0000-0000-0000E5000000}"/>
    <cellStyle name="Comma 116" xfId="231" xr:uid="{00000000-0005-0000-0000-0000E6000000}"/>
    <cellStyle name="Comma 116 2" xfId="232" xr:uid="{00000000-0005-0000-0000-0000E7000000}"/>
    <cellStyle name="Comma 117" xfId="233" xr:uid="{00000000-0005-0000-0000-0000E8000000}"/>
    <cellStyle name="Comma 117 2" xfId="234" xr:uid="{00000000-0005-0000-0000-0000E9000000}"/>
    <cellStyle name="Comma 118" xfId="235" xr:uid="{00000000-0005-0000-0000-0000EA000000}"/>
    <cellStyle name="Comma 118 2" xfId="236" xr:uid="{00000000-0005-0000-0000-0000EB000000}"/>
    <cellStyle name="Comma 119" xfId="237" xr:uid="{00000000-0005-0000-0000-0000EC000000}"/>
    <cellStyle name="Comma 119 2" xfId="238" xr:uid="{00000000-0005-0000-0000-0000ED000000}"/>
    <cellStyle name="Comma 12" xfId="239" xr:uid="{00000000-0005-0000-0000-0000EE000000}"/>
    <cellStyle name="Comma 12 2" xfId="240" xr:uid="{00000000-0005-0000-0000-0000EF000000}"/>
    <cellStyle name="Comma 12 2 2" xfId="241" xr:uid="{00000000-0005-0000-0000-0000F0000000}"/>
    <cellStyle name="Comma 12 2 3" xfId="242" xr:uid="{00000000-0005-0000-0000-0000F1000000}"/>
    <cellStyle name="Comma 120" xfId="243" xr:uid="{00000000-0005-0000-0000-0000F2000000}"/>
    <cellStyle name="Comma 120 2" xfId="244" xr:uid="{00000000-0005-0000-0000-0000F3000000}"/>
    <cellStyle name="Comma 121" xfId="245" xr:uid="{00000000-0005-0000-0000-0000F4000000}"/>
    <cellStyle name="Comma 121 2" xfId="246" xr:uid="{00000000-0005-0000-0000-0000F5000000}"/>
    <cellStyle name="Comma 122" xfId="247" xr:uid="{00000000-0005-0000-0000-0000F6000000}"/>
    <cellStyle name="Comma 122 2" xfId="248" xr:uid="{00000000-0005-0000-0000-0000F7000000}"/>
    <cellStyle name="Comma 123" xfId="249" xr:uid="{00000000-0005-0000-0000-0000F8000000}"/>
    <cellStyle name="Comma 123 2" xfId="250" xr:uid="{00000000-0005-0000-0000-0000F9000000}"/>
    <cellStyle name="Comma 124" xfId="251" xr:uid="{00000000-0005-0000-0000-0000FA000000}"/>
    <cellStyle name="Comma 124 2" xfId="252" xr:uid="{00000000-0005-0000-0000-0000FB000000}"/>
    <cellStyle name="Comma 125" xfId="253" xr:uid="{00000000-0005-0000-0000-0000FC000000}"/>
    <cellStyle name="Comma 125 2" xfId="254" xr:uid="{00000000-0005-0000-0000-0000FD000000}"/>
    <cellStyle name="Comma 126" xfId="255" xr:uid="{00000000-0005-0000-0000-0000FE000000}"/>
    <cellStyle name="Comma 126 2" xfId="256" xr:uid="{00000000-0005-0000-0000-0000FF000000}"/>
    <cellStyle name="Comma 127" xfId="257" xr:uid="{00000000-0005-0000-0000-000000010000}"/>
    <cellStyle name="Comma 127 2" xfId="258" xr:uid="{00000000-0005-0000-0000-000001010000}"/>
    <cellStyle name="Comma 128" xfId="259" xr:uid="{00000000-0005-0000-0000-000002010000}"/>
    <cellStyle name="Comma 128 2" xfId="260" xr:uid="{00000000-0005-0000-0000-000003010000}"/>
    <cellStyle name="Comma 129" xfId="261" xr:uid="{00000000-0005-0000-0000-000004010000}"/>
    <cellStyle name="Comma 129 2" xfId="262" xr:uid="{00000000-0005-0000-0000-000005010000}"/>
    <cellStyle name="Comma 13" xfId="263" xr:uid="{00000000-0005-0000-0000-000006010000}"/>
    <cellStyle name="Comma 130" xfId="264" xr:uid="{00000000-0005-0000-0000-000007010000}"/>
    <cellStyle name="Comma 130 2" xfId="265" xr:uid="{00000000-0005-0000-0000-000008010000}"/>
    <cellStyle name="Comma 131" xfId="266" xr:uid="{00000000-0005-0000-0000-000009010000}"/>
    <cellStyle name="Comma 132" xfId="267" xr:uid="{00000000-0005-0000-0000-00000A010000}"/>
    <cellStyle name="Comma 133" xfId="268" xr:uid="{00000000-0005-0000-0000-00000B010000}"/>
    <cellStyle name="Comma 134" xfId="269" xr:uid="{00000000-0005-0000-0000-00000C010000}"/>
    <cellStyle name="Comma 135" xfId="270" xr:uid="{00000000-0005-0000-0000-00000D010000}"/>
    <cellStyle name="Comma 136" xfId="271" xr:uid="{00000000-0005-0000-0000-00000E010000}"/>
    <cellStyle name="Comma 137" xfId="272" xr:uid="{00000000-0005-0000-0000-00000F010000}"/>
    <cellStyle name="Comma 138" xfId="273" xr:uid="{00000000-0005-0000-0000-000010010000}"/>
    <cellStyle name="Comma 139" xfId="274" xr:uid="{00000000-0005-0000-0000-000011010000}"/>
    <cellStyle name="Comma 14" xfId="275" xr:uid="{00000000-0005-0000-0000-000012010000}"/>
    <cellStyle name="Comma 140" xfId="276" xr:uid="{00000000-0005-0000-0000-000013010000}"/>
    <cellStyle name="Comma 141" xfId="277" xr:uid="{00000000-0005-0000-0000-000014010000}"/>
    <cellStyle name="Comma 142" xfId="278" xr:uid="{00000000-0005-0000-0000-000015010000}"/>
    <cellStyle name="Comma 143" xfId="279" xr:uid="{00000000-0005-0000-0000-000016010000}"/>
    <cellStyle name="Comma 15" xfId="280" xr:uid="{00000000-0005-0000-0000-000017010000}"/>
    <cellStyle name="Comma 16" xfId="281" xr:uid="{00000000-0005-0000-0000-000018010000}"/>
    <cellStyle name="Comma 17" xfId="282" xr:uid="{00000000-0005-0000-0000-000019010000}"/>
    <cellStyle name="Comma 18" xfId="283" xr:uid="{00000000-0005-0000-0000-00001A010000}"/>
    <cellStyle name="Comma 19" xfId="284" xr:uid="{00000000-0005-0000-0000-00001B010000}"/>
    <cellStyle name="Comma 2" xfId="285" xr:uid="{00000000-0005-0000-0000-00001C010000}"/>
    <cellStyle name="Comma 2 2" xfId="286" xr:uid="{00000000-0005-0000-0000-00001D010000}"/>
    <cellStyle name="Comma 2 2 2" xfId="287" xr:uid="{00000000-0005-0000-0000-00001E010000}"/>
    <cellStyle name="Comma 2 3" xfId="288" xr:uid="{00000000-0005-0000-0000-00001F010000}"/>
    <cellStyle name="Comma 2 3 2" xfId="289" xr:uid="{00000000-0005-0000-0000-000020010000}"/>
    <cellStyle name="Comma 2 3 3" xfId="290" xr:uid="{00000000-0005-0000-0000-000021010000}"/>
    <cellStyle name="Comma 2 3 4" xfId="291" xr:uid="{00000000-0005-0000-0000-000022010000}"/>
    <cellStyle name="Comma 2 4" xfId="292" xr:uid="{00000000-0005-0000-0000-000023010000}"/>
    <cellStyle name="Comma 20" xfId="293" xr:uid="{00000000-0005-0000-0000-000024010000}"/>
    <cellStyle name="Comma 21" xfId="294" xr:uid="{00000000-0005-0000-0000-000025010000}"/>
    <cellStyle name="Comma 22" xfId="295" xr:uid="{00000000-0005-0000-0000-000026010000}"/>
    <cellStyle name="Comma 23" xfId="296" xr:uid="{00000000-0005-0000-0000-000027010000}"/>
    <cellStyle name="Comma 24" xfId="297" xr:uid="{00000000-0005-0000-0000-000028010000}"/>
    <cellStyle name="Comma 25" xfId="298" xr:uid="{00000000-0005-0000-0000-000029010000}"/>
    <cellStyle name="Comma 25 2" xfId="299" xr:uid="{00000000-0005-0000-0000-00002A010000}"/>
    <cellStyle name="Comma 26" xfId="300" xr:uid="{00000000-0005-0000-0000-00002B010000}"/>
    <cellStyle name="Comma 26 2" xfId="301" xr:uid="{00000000-0005-0000-0000-00002C010000}"/>
    <cellStyle name="Comma 27" xfId="302" xr:uid="{00000000-0005-0000-0000-00002D010000}"/>
    <cellStyle name="Comma 27 2" xfId="303" xr:uid="{00000000-0005-0000-0000-00002E010000}"/>
    <cellStyle name="Comma 28" xfId="304" xr:uid="{00000000-0005-0000-0000-00002F010000}"/>
    <cellStyle name="Comma 28 2" xfId="305" xr:uid="{00000000-0005-0000-0000-000030010000}"/>
    <cellStyle name="Comma 29" xfId="306" xr:uid="{00000000-0005-0000-0000-000031010000}"/>
    <cellStyle name="Comma 29 2" xfId="307" xr:uid="{00000000-0005-0000-0000-000032010000}"/>
    <cellStyle name="Comma 3" xfId="308" xr:uid="{00000000-0005-0000-0000-000033010000}"/>
    <cellStyle name="Comma 3 10" xfId="309" xr:uid="{00000000-0005-0000-0000-000034010000}"/>
    <cellStyle name="Comma 3 10 2" xfId="310" xr:uid="{00000000-0005-0000-0000-000035010000}"/>
    <cellStyle name="Comma 3 10 3" xfId="311" xr:uid="{00000000-0005-0000-0000-000036010000}"/>
    <cellStyle name="Comma 3 11" xfId="312" xr:uid="{00000000-0005-0000-0000-000037010000}"/>
    <cellStyle name="Comma 3 11 2" xfId="313" xr:uid="{00000000-0005-0000-0000-000038010000}"/>
    <cellStyle name="Comma 3 12" xfId="314" xr:uid="{00000000-0005-0000-0000-000039010000}"/>
    <cellStyle name="Comma 3 12 2" xfId="315" xr:uid="{00000000-0005-0000-0000-00003A010000}"/>
    <cellStyle name="Comma 3 13" xfId="316" xr:uid="{00000000-0005-0000-0000-00003B010000}"/>
    <cellStyle name="Comma 3 13 2" xfId="317" xr:uid="{00000000-0005-0000-0000-00003C010000}"/>
    <cellStyle name="Comma 3 14" xfId="318" xr:uid="{00000000-0005-0000-0000-00003D010000}"/>
    <cellStyle name="Comma 3 15" xfId="319" xr:uid="{00000000-0005-0000-0000-00003E010000}"/>
    <cellStyle name="Comma 3 2" xfId="320" xr:uid="{00000000-0005-0000-0000-00003F010000}"/>
    <cellStyle name="Comma 3 2 2" xfId="321" xr:uid="{00000000-0005-0000-0000-000040010000}"/>
    <cellStyle name="Comma 3 3" xfId="322" xr:uid="{00000000-0005-0000-0000-000041010000}"/>
    <cellStyle name="Comma 3 3 2" xfId="323" xr:uid="{00000000-0005-0000-0000-000042010000}"/>
    <cellStyle name="Comma 3 3 2 2" xfId="324" xr:uid="{00000000-0005-0000-0000-000043010000}"/>
    <cellStyle name="Comma 3 3 2 3" xfId="325" xr:uid="{00000000-0005-0000-0000-000044010000}"/>
    <cellStyle name="Comma 3 3 3" xfId="326" xr:uid="{00000000-0005-0000-0000-000045010000}"/>
    <cellStyle name="Comma 3 3 3 2" xfId="327" xr:uid="{00000000-0005-0000-0000-000046010000}"/>
    <cellStyle name="Comma 3 3 3 2 2" xfId="328" xr:uid="{00000000-0005-0000-0000-000047010000}"/>
    <cellStyle name="Comma 3 3 3 2 3" xfId="329" xr:uid="{00000000-0005-0000-0000-000048010000}"/>
    <cellStyle name="Comma 3 3 3 2 4" xfId="330" xr:uid="{00000000-0005-0000-0000-000049010000}"/>
    <cellStyle name="Comma 3 3 3 2 5" xfId="331" xr:uid="{00000000-0005-0000-0000-00004A010000}"/>
    <cellStyle name="Comma 3 3 3 3" xfId="332" xr:uid="{00000000-0005-0000-0000-00004B010000}"/>
    <cellStyle name="Comma 3 3 4" xfId="333" xr:uid="{00000000-0005-0000-0000-00004C010000}"/>
    <cellStyle name="Comma 3 3 5" xfId="334" xr:uid="{00000000-0005-0000-0000-00004D010000}"/>
    <cellStyle name="Comma 3 3 5 2" xfId="335" xr:uid="{00000000-0005-0000-0000-00004E010000}"/>
    <cellStyle name="Comma 3 3 5 3" xfId="336" xr:uid="{00000000-0005-0000-0000-00004F010000}"/>
    <cellStyle name="Comma 3 3 5 4" xfId="337" xr:uid="{00000000-0005-0000-0000-000050010000}"/>
    <cellStyle name="Comma 3 3 5 5" xfId="338" xr:uid="{00000000-0005-0000-0000-000051010000}"/>
    <cellStyle name="Comma 3 3 6" xfId="339" xr:uid="{00000000-0005-0000-0000-000052010000}"/>
    <cellStyle name="Comma 3 4" xfId="340" xr:uid="{00000000-0005-0000-0000-000053010000}"/>
    <cellStyle name="Comma 3 4 2" xfId="341" xr:uid="{00000000-0005-0000-0000-000054010000}"/>
    <cellStyle name="Comma 3 4 3" xfId="342" xr:uid="{00000000-0005-0000-0000-000055010000}"/>
    <cellStyle name="Comma 3 4 4" xfId="343" xr:uid="{00000000-0005-0000-0000-000056010000}"/>
    <cellStyle name="Comma 3 4 4 2" xfId="344" xr:uid="{00000000-0005-0000-0000-000057010000}"/>
    <cellStyle name="Comma 3 4 4 3" xfId="345" xr:uid="{00000000-0005-0000-0000-000058010000}"/>
    <cellStyle name="Comma 3 4 4 4" xfId="346" xr:uid="{00000000-0005-0000-0000-000059010000}"/>
    <cellStyle name="Comma 3 4 4 5" xfId="347" xr:uid="{00000000-0005-0000-0000-00005A010000}"/>
    <cellStyle name="Comma 3 4 5" xfId="348" xr:uid="{00000000-0005-0000-0000-00005B010000}"/>
    <cellStyle name="Comma 3 5" xfId="349" xr:uid="{00000000-0005-0000-0000-00005C010000}"/>
    <cellStyle name="Comma 3 5 2" xfId="350" xr:uid="{00000000-0005-0000-0000-00005D010000}"/>
    <cellStyle name="Comma 3 5 3" xfId="351" xr:uid="{00000000-0005-0000-0000-00005E010000}"/>
    <cellStyle name="Comma 3 5 3 2" xfId="352" xr:uid="{00000000-0005-0000-0000-00005F010000}"/>
    <cellStyle name="Comma 3 5 3 3" xfId="353" xr:uid="{00000000-0005-0000-0000-000060010000}"/>
    <cellStyle name="Comma 3 6" xfId="354" xr:uid="{00000000-0005-0000-0000-000061010000}"/>
    <cellStyle name="Comma 3 6 2" xfId="355" xr:uid="{00000000-0005-0000-0000-000062010000}"/>
    <cellStyle name="Comma 3 6 3" xfId="356" xr:uid="{00000000-0005-0000-0000-000063010000}"/>
    <cellStyle name="Comma 3 6 4" xfId="357" xr:uid="{00000000-0005-0000-0000-000064010000}"/>
    <cellStyle name="Comma 3 7" xfId="358" xr:uid="{00000000-0005-0000-0000-000065010000}"/>
    <cellStyle name="Comma 3 7 2" xfId="359" xr:uid="{00000000-0005-0000-0000-000066010000}"/>
    <cellStyle name="Comma 3 7 3" xfId="360" xr:uid="{00000000-0005-0000-0000-000067010000}"/>
    <cellStyle name="Comma 3 7 4" xfId="361" xr:uid="{00000000-0005-0000-0000-000068010000}"/>
    <cellStyle name="Comma 3 8" xfId="362" xr:uid="{00000000-0005-0000-0000-000069010000}"/>
    <cellStyle name="Comma 3 8 2" xfId="363" xr:uid="{00000000-0005-0000-0000-00006A010000}"/>
    <cellStyle name="Comma 3 8 3" xfId="364" xr:uid="{00000000-0005-0000-0000-00006B010000}"/>
    <cellStyle name="Comma 3 8 4" xfId="365" xr:uid="{00000000-0005-0000-0000-00006C010000}"/>
    <cellStyle name="Comma 3 9" xfId="366" xr:uid="{00000000-0005-0000-0000-00006D010000}"/>
    <cellStyle name="Comma 3 9 2" xfId="367" xr:uid="{00000000-0005-0000-0000-00006E010000}"/>
    <cellStyle name="Comma 3 9 3" xfId="368" xr:uid="{00000000-0005-0000-0000-00006F010000}"/>
    <cellStyle name="Comma 3 9 4" xfId="369" xr:uid="{00000000-0005-0000-0000-000070010000}"/>
    <cellStyle name="Comma 30" xfId="370" xr:uid="{00000000-0005-0000-0000-000071010000}"/>
    <cellStyle name="Comma 31" xfId="371" xr:uid="{00000000-0005-0000-0000-000072010000}"/>
    <cellStyle name="Comma 32" xfId="372" xr:uid="{00000000-0005-0000-0000-000073010000}"/>
    <cellStyle name="Comma 33" xfId="373" xr:uid="{00000000-0005-0000-0000-000074010000}"/>
    <cellStyle name="Comma 34" xfId="374" xr:uid="{00000000-0005-0000-0000-000075010000}"/>
    <cellStyle name="Comma 35" xfId="375" xr:uid="{00000000-0005-0000-0000-000076010000}"/>
    <cellStyle name="Comma 36" xfId="376" xr:uid="{00000000-0005-0000-0000-000077010000}"/>
    <cellStyle name="Comma 37" xfId="377" xr:uid="{00000000-0005-0000-0000-000078010000}"/>
    <cellStyle name="Comma 38" xfId="378" xr:uid="{00000000-0005-0000-0000-000079010000}"/>
    <cellStyle name="Comma 39" xfId="379" xr:uid="{00000000-0005-0000-0000-00007A010000}"/>
    <cellStyle name="Comma 4" xfId="380" xr:uid="{00000000-0005-0000-0000-00007B010000}"/>
    <cellStyle name="Comma 4 2" xfId="381" xr:uid="{00000000-0005-0000-0000-00007C010000}"/>
    <cellStyle name="Comma 4 2 2" xfId="382" xr:uid="{00000000-0005-0000-0000-00007D010000}"/>
    <cellStyle name="Comma 4 2 2 2" xfId="383" xr:uid="{00000000-0005-0000-0000-00007E010000}"/>
    <cellStyle name="Comma 4 2 2 3" xfId="384" xr:uid="{00000000-0005-0000-0000-00007F010000}"/>
    <cellStyle name="Comma 4 2 2 4" xfId="385" xr:uid="{00000000-0005-0000-0000-000080010000}"/>
    <cellStyle name="Comma 4 2 2 5" xfId="386" xr:uid="{00000000-0005-0000-0000-000081010000}"/>
    <cellStyle name="Comma 4 2 3" xfId="387" xr:uid="{00000000-0005-0000-0000-000082010000}"/>
    <cellStyle name="Comma 4 2 3 2" xfId="388" xr:uid="{00000000-0005-0000-0000-000083010000}"/>
    <cellStyle name="Comma 4 2 3 2 2" xfId="389" xr:uid="{00000000-0005-0000-0000-000084010000}"/>
    <cellStyle name="Comma 4 2 3 3" xfId="390" xr:uid="{00000000-0005-0000-0000-000085010000}"/>
    <cellStyle name="Comma 4 2 3 3 2" xfId="391" xr:uid="{00000000-0005-0000-0000-000086010000}"/>
    <cellStyle name="Comma 4 2 3 4" xfId="392" xr:uid="{00000000-0005-0000-0000-000087010000}"/>
    <cellStyle name="Comma 4 2 4" xfId="393" xr:uid="{00000000-0005-0000-0000-000088010000}"/>
    <cellStyle name="Comma 4 2 4 2" xfId="394" xr:uid="{00000000-0005-0000-0000-000089010000}"/>
    <cellStyle name="Comma 4 2 4 3" xfId="395" xr:uid="{00000000-0005-0000-0000-00008A010000}"/>
    <cellStyle name="Comma 4 2 4 4" xfId="396" xr:uid="{00000000-0005-0000-0000-00008B010000}"/>
    <cellStyle name="Comma 4 2 5" xfId="397" xr:uid="{00000000-0005-0000-0000-00008C010000}"/>
    <cellStyle name="Comma 4 2 6" xfId="398" xr:uid="{00000000-0005-0000-0000-00008D010000}"/>
    <cellStyle name="Comma 4 2 7" xfId="399" xr:uid="{00000000-0005-0000-0000-00008E010000}"/>
    <cellStyle name="Comma 4 3" xfId="400" xr:uid="{00000000-0005-0000-0000-00008F010000}"/>
    <cellStyle name="Comma 4 3 2" xfId="401" xr:uid="{00000000-0005-0000-0000-000090010000}"/>
    <cellStyle name="Comma 4 3 2 2" xfId="402" xr:uid="{00000000-0005-0000-0000-000091010000}"/>
    <cellStyle name="Comma 4 3 2 2 2" xfId="403" xr:uid="{00000000-0005-0000-0000-000092010000}"/>
    <cellStyle name="Comma 4 3 2 3" xfId="404" xr:uid="{00000000-0005-0000-0000-000093010000}"/>
    <cellStyle name="Comma 4 3 2 3 2" xfId="405" xr:uid="{00000000-0005-0000-0000-000094010000}"/>
    <cellStyle name="Comma 4 3 2 4" xfId="406" xr:uid="{00000000-0005-0000-0000-000095010000}"/>
    <cellStyle name="Comma 4 3 3" xfId="407" xr:uid="{00000000-0005-0000-0000-000096010000}"/>
    <cellStyle name="Comma 4 3 4" xfId="408" xr:uid="{00000000-0005-0000-0000-000097010000}"/>
    <cellStyle name="Comma 4 3 4 2" xfId="409" xr:uid="{00000000-0005-0000-0000-000098010000}"/>
    <cellStyle name="Comma 4 3 4 3" xfId="410" xr:uid="{00000000-0005-0000-0000-000099010000}"/>
    <cellStyle name="Comma 4 3 5" xfId="411" xr:uid="{00000000-0005-0000-0000-00009A010000}"/>
    <cellStyle name="Comma 4 3 5 2" xfId="412" xr:uid="{00000000-0005-0000-0000-00009B010000}"/>
    <cellStyle name="Comma 4 3 6" xfId="413" xr:uid="{00000000-0005-0000-0000-00009C010000}"/>
    <cellStyle name="Comma 4 3 6 2" xfId="414" xr:uid="{00000000-0005-0000-0000-00009D010000}"/>
    <cellStyle name="Comma 4 3 7" xfId="415" xr:uid="{00000000-0005-0000-0000-00009E010000}"/>
    <cellStyle name="Comma 4 4" xfId="416" xr:uid="{00000000-0005-0000-0000-00009F010000}"/>
    <cellStyle name="Comma 4 4 2" xfId="417" xr:uid="{00000000-0005-0000-0000-0000A0010000}"/>
    <cellStyle name="Comma 4 4 3" xfId="418" xr:uid="{00000000-0005-0000-0000-0000A1010000}"/>
    <cellStyle name="Comma 4 4 4" xfId="419" xr:uid="{00000000-0005-0000-0000-0000A2010000}"/>
    <cellStyle name="Comma 4 4 5" xfId="420" xr:uid="{00000000-0005-0000-0000-0000A3010000}"/>
    <cellStyle name="Comma 4 5" xfId="421" xr:uid="{00000000-0005-0000-0000-0000A4010000}"/>
    <cellStyle name="Comma 4 5 2" xfId="422" xr:uid="{00000000-0005-0000-0000-0000A5010000}"/>
    <cellStyle name="Comma 4 6" xfId="423" xr:uid="{00000000-0005-0000-0000-0000A6010000}"/>
    <cellStyle name="Comma 4 7" xfId="424" xr:uid="{00000000-0005-0000-0000-0000A7010000}"/>
    <cellStyle name="Comma 4 7 2" xfId="425" xr:uid="{00000000-0005-0000-0000-0000A8010000}"/>
    <cellStyle name="Comma 4 7 3" xfId="426" xr:uid="{00000000-0005-0000-0000-0000A9010000}"/>
    <cellStyle name="Comma 40" xfId="427" xr:uid="{00000000-0005-0000-0000-0000AA010000}"/>
    <cellStyle name="Comma 41" xfId="428" xr:uid="{00000000-0005-0000-0000-0000AB010000}"/>
    <cellStyle name="Comma 42" xfId="429" xr:uid="{00000000-0005-0000-0000-0000AC010000}"/>
    <cellStyle name="Comma 43" xfId="430" xr:uid="{00000000-0005-0000-0000-0000AD010000}"/>
    <cellStyle name="Comma 44" xfId="431" xr:uid="{00000000-0005-0000-0000-0000AE010000}"/>
    <cellStyle name="Comma 45" xfId="432" xr:uid="{00000000-0005-0000-0000-0000AF010000}"/>
    <cellStyle name="Comma 46" xfId="433" xr:uid="{00000000-0005-0000-0000-0000B0010000}"/>
    <cellStyle name="Comma 47" xfId="434" xr:uid="{00000000-0005-0000-0000-0000B1010000}"/>
    <cellStyle name="Comma 48" xfId="435" xr:uid="{00000000-0005-0000-0000-0000B2010000}"/>
    <cellStyle name="Comma 49" xfId="436" xr:uid="{00000000-0005-0000-0000-0000B3010000}"/>
    <cellStyle name="Comma 5" xfId="437" xr:uid="{00000000-0005-0000-0000-0000B4010000}"/>
    <cellStyle name="Comma 5 2" xfId="438" xr:uid="{00000000-0005-0000-0000-0000B5010000}"/>
    <cellStyle name="Comma 5 2 2" xfId="439" xr:uid="{00000000-0005-0000-0000-0000B6010000}"/>
    <cellStyle name="Comma 5 2 3" xfId="440" xr:uid="{00000000-0005-0000-0000-0000B7010000}"/>
    <cellStyle name="Comma 5 3" xfId="441" xr:uid="{00000000-0005-0000-0000-0000B8010000}"/>
    <cellStyle name="Comma 50" xfId="442" xr:uid="{00000000-0005-0000-0000-0000B9010000}"/>
    <cellStyle name="Comma 51" xfId="443" xr:uid="{00000000-0005-0000-0000-0000BA010000}"/>
    <cellStyle name="Comma 52" xfId="444" xr:uid="{00000000-0005-0000-0000-0000BB010000}"/>
    <cellStyle name="Comma 52 2" xfId="445" xr:uid="{00000000-0005-0000-0000-0000BC010000}"/>
    <cellStyle name="Comma 53" xfId="446" xr:uid="{00000000-0005-0000-0000-0000BD010000}"/>
    <cellStyle name="Comma 54" xfId="447" xr:uid="{00000000-0005-0000-0000-0000BE010000}"/>
    <cellStyle name="Comma 55" xfId="448" xr:uid="{00000000-0005-0000-0000-0000BF010000}"/>
    <cellStyle name="Comma 56" xfId="449" xr:uid="{00000000-0005-0000-0000-0000C0010000}"/>
    <cellStyle name="Comma 57" xfId="450" xr:uid="{00000000-0005-0000-0000-0000C1010000}"/>
    <cellStyle name="Comma 57 2" xfId="451" xr:uid="{00000000-0005-0000-0000-0000C2010000}"/>
    <cellStyle name="Comma 57 3" xfId="452" xr:uid="{00000000-0005-0000-0000-0000C3010000}"/>
    <cellStyle name="Comma 57 4" xfId="453" xr:uid="{00000000-0005-0000-0000-0000C4010000}"/>
    <cellStyle name="Comma 57 5" xfId="454" xr:uid="{00000000-0005-0000-0000-0000C5010000}"/>
    <cellStyle name="Comma 58" xfId="455" xr:uid="{00000000-0005-0000-0000-0000C6010000}"/>
    <cellStyle name="Comma 58 2" xfId="456" xr:uid="{00000000-0005-0000-0000-0000C7010000}"/>
    <cellStyle name="Comma 58 3" xfId="457" xr:uid="{00000000-0005-0000-0000-0000C8010000}"/>
    <cellStyle name="Comma 58 4" xfId="458" xr:uid="{00000000-0005-0000-0000-0000C9010000}"/>
    <cellStyle name="Comma 58 5" xfId="459" xr:uid="{00000000-0005-0000-0000-0000CA010000}"/>
    <cellStyle name="Comma 59" xfId="460" xr:uid="{00000000-0005-0000-0000-0000CB010000}"/>
    <cellStyle name="Comma 59 2" xfId="461" xr:uid="{00000000-0005-0000-0000-0000CC010000}"/>
    <cellStyle name="Comma 59 3" xfId="462" xr:uid="{00000000-0005-0000-0000-0000CD010000}"/>
    <cellStyle name="Comma 59 4" xfId="463" xr:uid="{00000000-0005-0000-0000-0000CE010000}"/>
    <cellStyle name="Comma 59 5" xfId="464" xr:uid="{00000000-0005-0000-0000-0000CF010000}"/>
    <cellStyle name="Comma 6" xfId="465" xr:uid="{00000000-0005-0000-0000-0000D0010000}"/>
    <cellStyle name="Comma 6 2" xfId="466" xr:uid="{00000000-0005-0000-0000-0000D1010000}"/>
    <cellStyle name="Comma 6 3" xfId="467" xr:uid="{00000000-0005-0000-0000-0000D2010000}"/>
    <cellStyle name="Comma 6 4" xfId="468" xr:uid="{00000000-0005-0000-0000-0000D3010000}"/>
    <cellStyle name="Comma 6 4 2" xfId="469" xr:uid="{00000000-0005-0000-0000-0000D4010000}"/>
    <cellStyle name="Comma 6 4 3" xfId="470" xr:uid="{00000000-0005-0000-0000-0000D5010000}"/>
    <cellStyle name="Comma 6 4 4" xfId="471" xr:uid="{00000000-0005-0000-0000-0000D6010000}"/>
    <cellStyle name="Comma 6 4 5" xfId="472" xr:uid="{00000000-0005-0000-0000-0000D7010000}"/>
    <cellStyle name="Comma 6 5" xfId="473" xr:uid="{00000000-0005-0000-0000-0000D8010000}"/>
    <cellStyle name="Comma 6 6" xfId="474" xr:uid="{00000000-0005-0000-0000-0000D9010000}"/>
    <cellStyle name="Comma 6 7" xfId="475" xr:uid="{00000000-0005-0000-0000-0000DA010000}"/>
    <cellStyle name="Comma 6 7 2" xfId="476" xr:uid="{00000000-0005-0000-0000-0000DB010000}"/>
    <cellStyle name="Comma 6 7 3" xfId="477" xr:uid="{00000000-0005-0000-0000-0000DC010000}"/>
    <cellStyle name="Comma 60" xfId="478" xr:uid="{00000000-0005-0000-0000-0000DD010000}"/>
    <cellStyle name="Comma 60 2" xfId="479" xr:uid="{00000000-0005-0000-0000-0000DE010000}"/>
    <cellStyle name="Comma 60 3" xfId="480" xr:uid="{00000000-0005-0000-0000-0000DF010000}"/>
    <cellStyle name="Comma 60 4" xfId="481" xr:uid="{00000000-0005-0000-0000-0000E0010000}"/>
    <cellStyle name="Comma 60 5" xfId="482" xr:uid="{00000000-0005-0000-0000-0000E1010000}"/>
    <cellStyle name="Comma 61" xfId="483" xr:uid="{00000000-0005-0000-0000-0000E2010000}"/>
    <cellStyle name="Comma 61 2" xfId="484" xr:uid="{00000000-0005-0000-0000-0000E3010000}"/>
    <cellStyle name="Comma 61 3" xfId="485" xr:uid="{00000000-0005-0000-0000-0000E4010000}"/>
    <cellStyle name="Comma 61 4" xfId="486" xr:uid="{00000000-0005-0000-0000-0000E5010000}"/>
    <cellStyle name="Comma 61 5" xfId="487" xr:uid="{00000000-0005-0000-0000-0000E6010000}"/>
    <cellStyle name="Comma 62" xfId="488" xr:uid="{00000000-0005-0000-0000-0000E7010000}"/>
    <cellStyle name="Comma 62 2" xfId="489" xr:uid="{00000000-0005-0000-0000-0000E8010000}"/>
    <cellStyle name="Comma 62 3" xfId="490" xr:uid="{00000000-0005-0000-0000-0000E9010000}"/>
    <cellStyle name="Comma 62 4" xfId="491" xr:uid="{00000000-0005-0000-0000-0000EA010000}"/>
    <cellStyle name="Comma 63" xfId="492" xr:uid="{00000000-0005-0000-0000-0000EB010000}"/>
    <cellStyle name="Comma 63 2" xfId="493" xr:uid="{00000000-0005-0000-0000-0000EC010000}"/>
    <cellStyle name="Comma 63 3" xfId="494" xr:uid="{00000000-0005-0000-0000-0000ED010000}"/>
    <cellStyle name="Comma 63 4" xfId="495" xr:uid="{00000000-0005-0000-0000-0000EE010000}"/>
    <cellStyle name="Comma 64" xfId="496" xr:uid="{00000000-0005-0000-0000-0000EF010000}"/>
    <cellStyle name="Comma 64 2" xfId="497" xr:uid="{00000000-0005-0000-0000-0000F0010000}"/>
    <cellStyle name="Comma 64 3" xfId="498" xr:uid="{00000000-0005-0000-0000-0000F1010000}"/>
    <cellStyle name="Comma 64 4" xfId="499" xr:uid="{00000000-0005-0000-0000-0000F2010000}"/>
    <cellStyle name="Comma 65" xfId="500" xr:uid="{00000000-0005-0000-0000-0000F3010000}"/>
    <cellStyle name="Comma 65 2" xfId="501" xr:uid="{00000000-0005-0000-0000-0000F4010000}"/>
    <cellStyle name="Comma 65 3" xfId="502" xr:uid="{00000000-0005-0000-0000-0000F5010000}"/>
    <cellStyle name="Comma 65 4" xfId="503" xr:uid="{00000000-0005-0000-0000-0000F6010000}"/>
    <cellStyle name="Comma 66" xfId="504" xr:uid="{00000000-0005-0000-0000-0000F7010000}"/>
    <cellStyle name="Comma 66 2" xfId="505" xr:uid="{00000000-0005-0000-0000-0000F8010000}"/>
    <cellStyle name="Comma 66 3" xfId="506" xr:uid="{00000000-0005-0000-0000-0000F9010000}"/>
    <cellStyle name="Comma 66 4" xfId="507" xr:uid="{00000000-0005-0000-0000-0000FA010000}"/>
    <cellStyle name="Comma 67" xfId="508" xr:uid="{00000000-0005-0000-0000-0000FB010000}"/>
    <cellStyle name="Comma 67 2" xfId="509" xr:uid="{00000000-0005-0000-0000-0000FC010000}"/>
    <cellStyle name="Comma 67 3" xfId="510" xr:uid="{00000000-0005-0000-0000-0000FD010000}"/>
    <cellStyle name="Comma 67 4" xfId="511" xr:uid="{00000000-0005-0000-0000-0000FE010000}"/>
    <cellStyle name="Comma 68" xfId="512" xr:uid="{00000000-0005-0000-0000-0000FF010000}"/>
    <cellStyle name="Comma 68 2" xfId="513" xr:uid="{00000000-0005-0000-0000-000000020000}"/>
    <cellStyle name="Comma 68 3" xfId="514" xr:uid="{00000000-0005-0000-0000-000001020000}"/>
    <cellStyle name="Comma 68 4" xfId="515" xr:uid="{00000000-0005-0000-0000-000002020000}"/>
    <cellStyle name="Comma 69" xfId="516" xr:uid="{00000000-0005-0000-0000-000003020000}"/>
    <cellStyle name="Comma 69 2" xfId="517" xr:uid="{00000000-0005-0000-0000-000004020000}"/>
    <cellStyle name="Comma 7" xfId="518" xr:uid="{00000000-0005-0000-0000-000005020000}"/>
    <cellStyle name="Comma 7 2" xfId="519" xr:uid="{00000000-0005-0000-0000-000006020000}"/>
    <cellStyle name="Comma 70" xfId="520" xr:uid="{00000000-0005-0000-0000-000007020000}"/>
    <cellStyle name="Comma 70 2" xfId="521" xr:uid="{00000000-0005-0000-0000-000008020000}"/>
    <cellStyle name="Comma 71" xfId="522" xr:uid="{00000000-0005-0000-0000-000009020000}"/>
    <cellStyle name="Comma 71 2" xfId="523" xr:uid="{00000000-0005-0000-0000-00000A020000}"/>
    <cellStyle name="Comma 72" xfId="524" xr:uid="{00000000-0005-0000-0000-00000B020000}"/>
    <cellStyle name="Comma 72 2" xfId="525" xr:uid="{00000000-0005-0000-0000-00000C020000}"/>
    <cellStyle name="Comma 72 3" xfId="526" xr:uid="{00000000-0005-0000-0000-00000D020000}"/>
    <cellStyle name="Comma 72 4" xfId="527" xr:uid="{00000000-0005-0000-0000-00000E020000}"/>
    <cellStyle name="Comma 73" xfId="528" xr:uid="{00000000-0005-0000-0000-00000F020000}"/>
    <cellStyle name="Comma 73 2" xfId="529" xr:uid="{00000000-0005-0000-0000-000010020000}"/>
    <cellStyle name="Comma 73 3" xfId="530" xr:uid="{00000000-0005-0000-0000-000011020000}"/>
    <cellStyle name="Comma 73 4" xfId="531" xr:uid="{00000000-0005-0000-0000-000012020000}"/>
    <cellStyle name="Comma 74" xfId="532" xr:uid="{00000000-0005-0000-0000-000013020000}"/>
    <cellStyle name="Comma 74 2" xfId="533" xr:uid="{00000000-0005-0000-0000-000014020000}"/>
    <cellStyle name="Comma 74 3" xfId="534" xr:uid="{00000000-0005-0000-0000-000015020000}"/>
    <cellStyle name="Comma 74 4" xfId="535" xr:uid="{00000000-0005-0000-0000-000016020000}"/>
    <cellStyle name="Comma 75" xfId="536" xr:uid="{00000000-0005-0000-0000-000017020000}"/>
    <cellStyle name="Comma 75 2" xfId="537" xr:uid="{00000000-0005-0000-0000-000018020000}"/>
    <cellStyle name="Comma 75 3" xfId="538" xr:uid="{00000000-0005-0000-0000-000019020000}"/>
    <cellStyle name="Comma 75 4" xfId="539" xr:uid="{00000000-0005-0000-0000-00001A020000}"/>
    <cellStyle name="Comma 76" xfId="540" xr:uid="{00000000-0005-0000-0000-00001B020000}"/>
    <cellStyle name="Comma 76 2" xfId="541" xr:uid="{00000000-0005-0000-0000-00001C020000}"/>
    <cellStyle name="Comma 76 3" xfId="542" xr:uid="{00000000-0005-0000-0000-00001D020000}"/>
    <cellStyle name="Comma 76 4" xfId="543" xr:uid="{00000000-0005-0000-0000-00001E020000}"/>
    <cellStyle name="Comma 77" xfId="544" xr:uid="{00000000-0005-0000-0000-00001F020000}"/>
    <cellStyle name="Comma 77 2" xfId="545" xr:uid="{00000000-0005-0000-0000-000020020000}"/>
    <cellStyle name="Comma 77 3" xfId="546" xr:uid="{00000000-0005-0000-0000-000021020000}"/>
    <cellStyle name="Comma 77 4" xfId="547" xr:uid="{00000000-0005-0000-0000-000022020000}"/>
    <cellStyle name="Comma 78" xfId="548" xr:uid="{00000000-0005-0000-0000-000023020000}"/>
    <cellStyle name="Comma 78 2" xfId="549" xr:uid="{00000000-0005-0000-0000-000024020000}"/>
    <cellStyle name="Comma 78 3" xfId="550" xr:uid="{00000000-0005-0000-0000-000025020000}"/>
    <cellStyle name="Comma 78 4" xfId="551" xr:uid="{00000000-0005-0000-0000-000026020000}"/>
    <cellStyle name="Comma 79" xfId="552" xr:uid="{00000000-0005-0000-0000-000027020000}"/>
    <cellStyle name="Comma 79 2" xfId="553" xr:uid="{00000000-0005-0000-0000-000028020000}"/>
    <cellStyle name="Comma 79 3" xfId="554" xr:uid="{00000000-0005-0000-0000-000029020000}"/>
    <cellStyle name="Comma 79 4" xfId="555" xr:uid="{00000000-0005-0000-0000-00002A020000}"/>
    <cellStyle name="Comma 8" xfId="556" xr:uid="{00000000-0005-0000-0000-00002B020000}"/>
    <cellStyle name="Comma 80" xfId="557" xr:uid="{00000000-0005-0000-0000-00002C020000}"/>
    <cellStyle name="Comma 80 2" xfId="558" xr:uid="{00000000-0005-0000-0000-00002D020000}"/>
    <cellStyle name="Comma 80 3" xfId="559" xr:uid="{00000000-0005-0000-0000-00002E020000}"/>
    <cellStyle name="Comma 80 4" xfId="560" xr:uid="{00000000-0005-0000-0000-00002F020000}"/>
    <cellStyle name="Comma 81" xfId="561" xr:uid="{00000000-0005-0000-0000-000030020000}"/>
    <cellStyle name="Comma 81 2" xfId="562" xr:uid="{00000000-0005-0000-0000-000031020000}"/>
    <cellStyle name="Comma 81 3" xfId="563" xr:uid="{00000000-0005-0000-0000-000032020000}"/>
    <cellStyle name="Comma 81 4" xfId="564" xr:uid="{00000000-0005-0000-0000-000033020000}"/>
    <cellStyle name="Comma 82" xfId="565" xr:uid="{00000000-0005-0000-0000-000034020000}"/>
    <cellStyle name="Comma 82 2" xfId="566" xr:uid="{00000000-0005-0000-0000-000035020000}"/>
    <cellStyle name="Comma 82 3" xfId="567" xr:uid="{00000000-0005-0000-0000-000036020000}"/>
    <cellStyle name="Comma 82 4" xfId="568" xr:uid="{00000000-0005-0000-0000-000037020000}"/>
    <cellStyle name="Comma 83" xfId="569" xr:uid="{00000000-0005-0000-0000-000038020000}"/>
    <cellStyle name="Comma 83 2" xfId="570" xr:uid="{00000000-0005-0000-0000-000039020000}"/>
    <cellStyle name="Comma 83 3" xfId="571" xr:uid="{00000000-0005-0000-0000-00003A020000}"/>
    <cellStyle name="Comma 83 4" xfId="572" xr:uid="{00000000-0005-0000-0000-00003B020000}"/>
    <cellStyle name="Comma 84" xfId="573" xr:uid="{00000000-0005-0000-0000-00003C020000}"/>
    <cellStyle name="Comma 84 2" xfId="574" xr:uid="{00000000-0005-0000-0000-00003D020000}"/>
    <cellStyle name="Comma 84 3" xfId="575" xr:uid="{00000000-0005-0000-0000-00003E020000}"/>
    <cellStyle name="Comma 84 4" xfId="576" xr:uid="{00000000-0005-0000-0000-00003F020000}"/>
    <cellStyle name="Comma 85" xfId="577" xr:uid="{00000000-0005-0000-0000-000040020000}"/>
    <cellStyle name="Comma 85 2" xfId="578" xr:uid="{00000000-0005-0000-0000-000041020000}"/>
    <cellStyle name="Comma 85 3" xfId="579" xr:uid="{00000000-0005-0000-0000-000042020000}"/>
    <cellStyle name="Comma 85 4" xfId="580" xr:uid="{00000000-0005-0000-0000-000043020000}"/>
    <cellStyle name="Comma 86" xfId="581" xr:uid="{00000000-0005-0000-0000-000044020000}"/>
    <cellStyle name="Comma 86 2" xfId="582" xr:uid="{00000000-0005-0000-0000-000045020000}"/>
    <cellStyle name="Comma 86 3" xfId="583" xr:uid="{00000000-0005-0000-0000-000046020000}"/>
    <cellStyle name="Comma 86 4" xfId="584" xr:uid="{00000000-0005-0000-0000-000047020000}"/>
    <cellStyle name="Comma 87" xfId="585" xr:uid="{00000000-0005-0000-0000-000048020000}"/>
    <cellStyle name="Comma 87 2" xfId="586" xr:uid="{00000000-0005-0000-0000-000049020000}"/>
    <cellStyle name="Comma 87 3" xfId="587" xr:uid="{00000000-0005-0000-0000-00004A020000}"/>
    <cellStyle name="Comma 87 4" xfId="588" xr:uid="{00000000-0005-0000-0000-00004B020000}"/>
    <cellStyle name="Comma 88" xfId="589" xr:uid="{00000000-0005-0000-0000-00004C020000}"/>
    <cellStyle name="Comma 88 2" xfId="590" xr:uid="{00000000-0005-0000-0000-00004D020000}"/>
    <cellStyle name="Comma 88 3" xfId="591" xr:uid="{00000000-0005-0000-0000-00004E020000}"/>
    <cellStyle name="Comma 88 4" xfId="592" xr:uid="{00000000-0005-0000-0000-00004F020000}"/>
    <cellStyle name="Comma 89" xfId="593" xr:uid="{00000000-0005-0000-0000-000050020000}"/>
    <cellStyle name="Comma 89 2" xfId="594" xr:uid="{00000000-0005-0000-0000-000051020000}"/>
    <cellStyle name="Comma 89 3" xfId="595" xr:uid="{00000000-0005-0000-0000-000052020000}"/>
    <cellStyle name="Comma 89 4" xfId="596" xr:uid="{00000000-0005-0000-0000-000053020000}"/>
    <cellStyle name="Comma 9" xfId="597" xr:uid="{00000000-0005-0000-0000-000054020000}"/>
    <cellStyle name="Comma 90" xfId="598" xr:uid="{00000000-0005-0000-0000-000055020000}"/>
    <cellStyle name="Comma 90 2" xfId="599" xr:uid="{00000000-0005-0000-0000-000056020000}"/>
    <cellStyle name="Comma 91" xfId="600" xr:uid="{00000000-0005-0000-0000-000057020000}"/>
    <cellStyle name="Comma 91 2" xfId="601" xr:uid="{00000000-0005-0000-0000-000058020000}"/>
    <cellStyle name="Comma 92" xfId="602" xr:uid="{00000000-0005-0000-0000-000059020000}"/>
    <cellStyle name="Comma 92 2" xfId="603" xr:uid="{00000000-0005-0000-0000-00005A020000}"/>
    <cellStyle name="Comma 92 3" xfId="604" xr:uid="{00000000-0005-0000-0000-00005B020000}"/>
    <cellStyle name="Comma 93" xfId="605" xr:uid="{00000000-0005-0000-0000-00005C020000}"/>
    <cellStyle name="Comma 93 2" xfId="606" xr:uid="{00000000-0005-0000-0000-00005D020000}"/>
    <cellStyle name="Comma 93 3" xfId="607" xr:uid="{00000000-0005-0000-0000-00005E020000}"/>
    <cellStyle name="Comma 94" xfId="608" xr:uid="{00000000-0005-0000-0000-00005F020000}"/>
    <cellStyle name="Comma 95" xfId="609" xr:uid="{00000000-0005-0000-0000-000060020000}"/>
    <cellStyle name="Comma 96" xfId="610" xr:uid="{00000000-0005-0000-0000-000061020000}"/>
    <cellStyle name="Comma 97" xfId="611" xr:uid="{00000000-0005-0000-0000-000062020000}"/>
    <cellStyle name="Comma 98" xfId="612" xr:uid="{00000000-0005-0000-0000-000063020000}"/>
    <cellStyle name="Comma 99" xfId="613" xr:uid="{00000000-0005-0000-0000-000064020000}"/>
    <cellStyle name="Comma0" xfId="614" xr:uid="{00000000-0005-0000-0000-000065020000}"/>
    <cellStyle name="Comma0 2" xfId="615" xr:uid="{00000000-0005-0000-0000-000066020000}"/>
    <cellStyle name="Comma0 2 2" xfId="616" xr:uid="{00000000-0005-0000-0000-000067020000}"/>
    <cellStyle name="Comma0 2 3" xfId="617" xr:uid="{00000000-0005-0000-0000-000068020000}"/>
    <cellStyle name="Comma0 2 4" xfId="618" xr:uid="{00000000-0005-0000-0000-000069020000}"/>
    <cellStyle name="Comma0 2 5" xfId="619" xr:uid="{00000000-0005-0000-0000-00006A020000}"/>
    <cellStyle name="Comma0 2 6" xfId="620" xr:uid="{00000000-0005-0000-0000-00006B020000}"/>
    <cellStyle name="Comma0 3" xfId="621" xr:uid="{00000000-0005-0000-0000-00006C020000}"/>
    <cellStyle name="Currency" xfId="622" builtinId="4"/>
    <cellStyle name="Currency 10" xfId="623" xr:uid="{00000000-0005-0000-0000-00006E020000}"/>
    <cellStyle name="Currency 10 2" xfId="624" xr:uid="{00000000-0005-0000-0000-00006F020000}"/>
    <cellStyle name="Currency 10 3" xfId="625" xr:uid="{00000000-0005-0000-0000-000070020000}"/>
    <cellStyle name="Currency 10 4" xfId="626" xr:uid="{00000000-0005-0000-0000-000071020000}"/>
    <cellStyle name="Currency 11" xfId="627" xr:uid="{00000000-0005-0000-0000-000072020000}"/>
    <cellStyle name="Currency 11 2" xfId="628" xr:uid="{00000000-0005-0000-0000-000073020000}"/>
    <cellStyle name="Currency 11 3" xfId="629" xr:uid="{00000000-0005-0000-0000-000074020000}"/>
    <cellStyle name="Currency 12" xfId="630" xr:uid="{00000000-0005-0000-0000-000075020000}"/>
    <cellStyle name="Currency 12 2" xfId="631" xr:uid="{00000000-0005-0000-0000-000076020000}"/>
    <cellStyle name="Currency 13" xfId="632" xr:uid="{00000000-0005-0000-0000-000077020000}"/>
    <cellStyle name="Currency 2" xfId="633" xr:uid="{00000000-0005-0000-0000-000078020000}"/>
    <cellStyle name="Currency 2 2" xfId="634" xr:uid="{00000000-0005-0000-0000-000079020000}"/>
    <cellStyle name="Currency 2 2 2" xfId="635" xr:uid="{00000000-0005-0000-0000-00007A020000}"/>
    <cellStyle name="Currency 2 3" xfId="636" xr:uid="{00000000-0005-0000-0000-00007B020000}"/>
    <cellStyle name="Currency 3" xfId="637" xr:uid="{00000000-0005-0000-0000-00007C020000}"/>
    <cellStyle name="Currency 3 10" xfId="638" xr:uid="{00000000-0005-0000-0000-00007D020000}"/>
    <cellStyle name="Currency 3 10 2" xfId="639" xr:uid="{00000000-0005-0000-0000-00007E020000}"/>
    <cellStyle name="Currency 3 10 3" xfId="640" xr:uid="{00000000-0005-0000-0000-00007F020000}"/>
    <cellStyle name="Currency 3 11" xfId="641" xr:uid="{00000000-0005-0000-0000-000080020000}"/>
    <cellStyle name="Currency 3 11 2" xfId="642" xr:uid="{00000000-0005-0000-0000-000081020000}"/>
    <cellStyle name="Currency 3 12" xfId="643" xr:uid="{00000000-0005-0000-0000-000082020000}"/>
    <cellStyle name="Currency 3 12 2" xfId="644" xr:uid="{00000000-0005-0000-0000-000083020000}"/>
    <cellStyle name="Currency 3 13" xfId="645" xr:uid="{00000000-0005-0000-0000-000084020000}"/>
    <cellStyle name="Currency 3 13 2" xfId="646" xr:uid="{00000000-0005-0000-0000-000085020000}"/>
    <cellStyle name="Currency 3 14" xfId="647" xr:uid="{00000000-0005-0000-0000-000086020000}"/>
    <cellStyle name="Currency 3 15" xfId="648" xr:uid="{00000000-0005-0000-0000-000087020000}"/>
    <cellStyle name="Currency 3 2" xfId="649" xr:uid="{00000000-0005-0000-0000-000088020000}"/>
    <cellStyle name="Currency 3 2 2" xfId="650" xr:uid="{00000000-0005-0000-0000-000089020000}"/>
    <cellStyle name="Currency 3 3" xfId="651" xr:uid="{00000000-0005-0000-0000-00008A020000}"/>
    <cellStyle name="Currency 3 3 2" xfId="652" xr:uid="{00000000-0005-0000-0000-00008B020000}"/>
    <cellStyle name="Currency 3 3 2 2" xfId="653" xr:uid="{00000000-0005-0000-0000-00008C020000}"/>
    <cellStyle name="Currency 3 3 2 3" xfId="654" xr:uid="{00000000-0005-0000-0000-00008D020000}"/>
    <cellStyle name="Currency 3 3 3" xfId="655" xr:uid="{00000000-0005-0000-0000-00008E020000}"/>
    <cellStyle name="Currency 3 3 3 2" xfId="656" xr:uid="{00000000-0005-0000-0000-00008F020000}"/>
    <cellStyle name="Currency 3 3 3 2 2" xfId="657" xr:uid="{00000000-0005-0000-0000-000090020000}"/>
    <cellStyle name="Currency 3 3 3 2 3" xfId="658" xr:uid="{00000000-0005-0000-0000-000091020000}"/>
    <cellStyle name="Currency 3 3 3 2 4" xfId="659" xr:uid="{00000000-0005-0000-0000-000092020000}"/>
    <cellStyle name="Currency 3 3 3 2 5" xfId="660" xr:uid="{00000000-0005-0000-0000-000093020000}"/>
    <cellStyle name="Currency 3 3 3 3" xfId="661" xr:uid="{00000000-0005-0000-0000-000094020000}"/>
    <cellStyle name="Currency 3 3 4" xfId="662" xr:uid="{00000000-0005-0000-0000-000095020000}"/>
    <cellStyle name="Currency 3 3 5" xfId="663" xr:uid="{00000000-0005-0000-0000-000096020000}"/>
    <cellStyle name="Currency 3 3 5 2" xfId="664" xr:uid="{00000000-0005-0000-0000-000097020000}"/>
    <cellStyle name="Currency 3 3 5 3" xfId="665" xr:uid="{00000000-0005-0000-0000-000098020000}"/>
    <cellStyle name="Currency 3 3 5 4" xfId="666" xr:uid="{00000000-0005-0000-0000-000099020000}"/>
    <cellStyle name="Currency 3 3 5 5" xfId="667" xr:uid="{00000000-0005-0000-0000-00009A020000}"/>
    <cellStyle name="Currency 3 3 6" xfId="668" xr:uid="{00000000-0005-0000-0000-00009B020000}"/>
    <cellStyle name="Currency 3 4" xfId="669" xr:uid="{00000000-0005-0000-0000-00009C020000}"/>
    <cellStyle name="Currency 3 4 2" xfId="670" xr:uid="{00000000-0005-0000-0000-00009D020000}"/>
    <cellStyle name="Currency 3 4 3" xfId="671" xr:uid="{00000000-0005-0000-0000-00009E020000}"/>
    <cellStyle name="Currency 3 4 4" xfId="672" xr:uid="{00000000-0005-0000-0000-00009F020000}"/>
    <cellStyle name="Currency 3 4 4 2" xfId="673" xr:uid="{00000000-0005-0000-0000-0000A0020000}"/>
    <cellStyle name="Currency 3 4 4 3" xfId="674" xr:uid="{00000000-0005-0000-0000-0000A1020000}"/>
    <cellStyle name="Currency 3 4 4 4" xfId="675" xr:uid="{00000000-0005-0000-0000-0000A2020000}"/>
    <cellStyle name="Currency 3 4 4 5" xfId="676" xr:uid="{00000000-0005-0000-0000-0000A3020000}"/>
    <cellStyle name="Currency 3 4 5" xfId="677" xr:uid="{00000000-0005-0000-0000-0000A4020000}"/>
    <cellStyle name="Currency 3 5" xfId="678" xr:uid="{00000000-0005-0000-0000-0000A5020000}"/>
    <cellStyle name="Currency 3 5 2" xfId="679" xr:uid="{00000000-0005-0000-0000-0000A6020000}"/>
    <cellStyle name="Currency 3 6" xfId="680" xr:uid="{00000000-0005-0000-0000-0000A7020000}"/>
    <cellStyle name="Currency 3 6 2" xfId="681" xr:uid="{00000000-0005-0000-0000-0000A8020000}"/>
    <cellStyle name="Currency 3 6 3" xfId="682" xr:uid="{00000000-0005-0000-0000-0000A9020000}"/>
    <cellStyle name="Currency 3 6 4" xfId="683" xr:uid="{00000000-0005-0000-0000-0000AA020000}"/>
    <cellStyle name="Currency 3 7" xfId="684" xr:uid="{00000000-0005-0000-0000-0000AB020000}"/>
    <cellStyle name="Currency 3 7 2" xfId="685" xr:uid="{00000000-0005-0000-0000-0000AC020000}"/>
    <cellStyle name="Currency 3 7 3" xfId="686" xr:uid="{00000000-0005-0000-0000-0000AD020000}"/>
    <cellStyle name="Currency 3 7 4" xfId="687" xr:uid="{00000000-0005-0000-0000-0000AE020000}"/>
    <cellStyle name="Currency 3 8" xfId="688" xr:uid="{00000000-0005-0000-0000-0000AF020000}"/>
    <cellStyle name="Currency 3 8 2" xfId="689" xr:uid="{00000000-0005-0000-0000-0000B0020000}"/>
    <cellStyle name="Currency 3 8 3" xfId="690" xr:uid="{00000000-0005-0000-0000-0000B1020000}"/>
    <cellStyle name="Currency 3 8 4" xfId="691" xr:uid="{00000000-0005-0000-0000-0000B2020000}"/>
    <cellStyle name="Currency 3 9" xfId="692" xr:uid="{00000000-0005-0000-0000-0000B3020000}"/>
    <cellStyle name="Currency 3 9 2" xfId="693" xr:uid="{00000000-0005-0000-0000-0000B4020000}"/>
    <cellStyle name="Currency 3 9 3" xfId="694" xr:uid="{00000000-0005-0000-0000-0000B5020000}"/>
    <cellStyle name="Currency 3 9 4" xfId="695" xr:uid="{00000000-0005-0000-0000-0000B6020000}"/>
    <cellStyle name="Currency 4" xfId="696" xr:uid="{00000000-0005-0000-0000-0000B7020000}"/>
    <cellStyle name="Currency 4 10" xfId="697" xr:uid="{00000000-0005-0000-0000-0000B8020000}"/>
    <cellStyle name="Currency 4 10 2" xfId="698" xr:uid="{00000000-0005-0000-0000-0000B9020000}"/>
    <cellStyle name="Currency 4 10 2 2" xfId="699" xr:uid="{00000000-0005-0000-0000-0000BA020000}"/>
    <cellStyle name="Currency 4 10 2 2 2" xfId="700" xr:uid="{00000000-0005-0000-0000-0000BB020000}"/>
    <cellStyle name="Currency 4 10 2 3" xfId="701" xr:uid="{00000000-0005-0000-0000-0000BC020000}"/>
    <cellStyle name="Currency 4 10 2 3 2" xfId="702" xr:uid="{00000000-0005-0000-0000-0000BD020000}"/>
    <cellStyle name="Currency 4 10 2 4" xfId="703" xr:uid="{00000000-0005-0000-0000-0000BE020000}"/>
    <cellStyle name="Currency 4 10 2 5" xfId="704" xr:uid="{00000000-0005-0000-0000-0000BF020000}"/>
    <cellStyle name="Currency 4 10 2 6" xfId="705" xr:uid="{00000000-0005-0000-0000-0000C0020000}"/>
    <cellStyle name="Currency 4 10 3" xfId="706" xr:uid="{00000000-0005-0000-0000-0000C1020000}"/>
    <cellStyle name="Currency 4 10 3 2" xfId="707" xr:uid="{00000000-0005-0000-0000-0000C2020000}"/>
    <cellStyle name="Currency 4 10 4" xfId="708" xr:uid="{00000000-0005-0000-0000-0000C3020000}"/>
    <cellStyle name="Currency 4 10 4 2" xfId="709" xr:uid="{00000000-0005-0000-0000-0000C4020000}"/>
    <cellStyle name="Currency 4 10 4 3" xfId="710" xr:uid="{00000000-0005-0000-0000-0000C5020000}"/>
    <cellStyle name="Currency 4 10 5" xfId="711" xr:uid="{00000000-0005-0000-0000-0000C6020000}"/>
    <cellStyle name="Currency 4 10 5 2" xfId="712" xr:uid="{00000000-0005-0000-0000-0000C7020000}"/>
    <cellStyle name="Currency 4 10 6" xfId="713" xr:uid="{00000000-0005-0000-0000-0000C8020000}"/>
    <cellStyle name="Currency 4 2" xfId="714" xr:uid="{00000000-0005-0000-0000-0000C9020000}"/>
    <cellStyle name="Currency 4 2 2" xfId="715" xr:uid="{00000000-0005-0000-0000-0000CA020000}"/>
    <cellStyle name="Currency 4 2 3" xfId="716" xr:uid="{00000000-0005-0000-0000-0000CB020000}"/>
    <cellStyle name="Currency 4 3" xfId="717" xr:uid="{00000000-0005-0000-0000-0000CC020000}"/>
    <cellStyle name="Currency 4 3 2" xfId="718" xr:uid="{00000000-0005-0000-0000-0000CD020000}"/>
    <cellStyle name="Currency 4 3 2 2" xfId="719" xr:uid="{00000000-0005-0000-0000-0000CE020000}"/>
    <cellStyle name="Currency 4 3 2 3" xfId="720" xr:uid="{00000000-0005-0000-0000-0000CF020000}"/>
    <cellStyle name="Currency 4 3 2 4" xfId="721" xr:uid="{00000000-0005-0000-0000-0000D0020000}"/>
    <cellStyle name="Currency 4 3 2 5" xfId="722" xr:uid="{00000000-0005-0000-0000-0000D1020000}"/>
    <cellStyle name="Currency 4 3 3" xfId="723" xr:uid="{00000000-0005-0000-0000-0000D2020000}"/>
    <cellStyle name="Currency 4 4" xfId="724" xr:uid="{00000000-0005-0000-0000-0000D3020000}"/>
    <cellStyle name="Currency 4 5" xfId="725" xr:uid="{00000000-0005-0000-0000-0000D4020000}"/>
    <cellStyle name="Currency 4 5 2" xfId="726" xr:uid="{00000000-0005-0000-0000-0000D5020000}"/>
    <cellStyle name="Currency 4 5 3" xfId="727" xr:uid="{00000000-0005-0000-0000-0000D6020000}"/>
    <cellStyle name="Currency 4 5 4" xfId="728" xr:uid="{00000000-0005-0000-0000-0000D7020000}"/>
    <cellStyle name="Currency 4 5 5" xfId="729" xr:uid="{00000000-0005-0000-0000-0000D8020000}"/>
    <cellStyle name="Currency 5" xfId="730" xr:uid="{00000000-0005-0000-0000-0000D9020000}"/>
    <cellStyle name="Currency 5 2" xfId="731" xr:uid="{00000000-0005-0000-0000-0000DA020000}"/>
    <cellStyle name="Currency 5 3" xfId="732" xr:uid="{00000000-0005-0000-0000-0000DB020000}"/>
    <cellStyle name="Currency 5 4" xfId="733" xr:uid="{00000000-0005-0000-0000-0000DC020000}"/>
    <cellStyle name="Currency 5 4 2" xfId="734" xr:uid="{00000000-0005-0000-0000-0000DD020000}"/>
    <cellStyle name="Currency 5 4 3" xfId="735" xr:uid="{00000000-0005-0000-0000-0000DE020000}"/>
    <cellStyle name="Currency 5 4 4" xfId="736" xr:uid="{00000000-0005-0000-0000-0000DF020000}"/>
    <cellStyle name="Currency 5 4 5" xfId="737" xr:uid="{00000000-0005-0000-0000-0000E0020000}"/>
    <cellStyle name="Currency 5 5" xfId="738" xr:uid="{00000000-0005-0000-0000-0000E1020000}"/>
    <cellStyle name="Currency 6" xfId="739" xr:uid="{00000000-0005-0000-0000-0000E2020000}"/>
    <cellStyle name="Currency 6 2" xfId="740" xr:uid="{00000000-0005-0000-0000-0000E3020000}"/>
    <cellStyle name="Currency 6 3" xfId="741" xr:uid="{00000000-0005-0000-0000-0000E4020000}"/>
    <cellStyle name="Currency 6 3 2" xfId="742" xr:uid="{00000000-0005-0000-0000-0000E5020000}"/>
    <cellStyle name="Currency 6 3 3" xfId="743" xr:uid="{00000000-0005-0000-0000-0000E6020000}"/>
    <cellStyle name="Currency 6 3 4" xfId="744" xr:uid="{00000000-0005-0000-0000-0000E7020000}"/>
    <cellStyle name="Currency 6 3 5" xfId="745" xr:uid="{00000000-0005-0000-0000-0000E8020000}"/>
    <cellStyle name="Currency 6 4" xfId="746" xr:uid="{00000000-0005-0000-0000-0000E9020000}"/>
    <cellStyle name="Currency 6 4 2" xfId="747" xr:uid="{00000000-0005-0000-0000-0000EA020000}"/>
    <cellStyle name="Currency 6 4 3" xfId="748" xr:uid="{00000000-0005-0000-0000-0000EB020000}"/>
    <cellStyle name="Currency 7" xfId="749" xr:uid="{00000000-0005-0000-0000-0000EC020000}"/>
    <cellStyle name="Currency 7 2" xfId="750" xr:uid="{00000000-0005-0000-0000-0000ED020000}"/>
    <cellStyle name="Currency 7 3" xfId="751" xr:uid="{00000000-0005-0000-0000-0000EE020000}"/>
    <cellStyle name="Currency 7 4" xfId="752" xr:uid="{00000000-0005-0000-0000-0000EF020000}"/>
    <cellStyle name="Currency 8" xfId="753" xr:uid="{00000000-0005-0000-0000-0000F0020000}"/>
    <cellStyle name="Currency 8 2" xfId="754" xr:uid="{00000000-0005-0000-0000-0000F1020000}"/>
    <cellStyle name="Currency 8 3" xfId="755" xr:uid="{00000000-0005-0000-0000-0000F2020000}"/>
    <cellStyle name="Currency 8 4" xfId="756" xr:uid="{00000000-0005-0000-0000-0000F3020000}"/>
    <cellStyle name="Currency 9" xfId="757" xr:uid="{00000000-0005-0000-0000-0000F4020000}"/>
    <cellStyle name="Currency 9 2" xfId="758" xr:uid="{00000000-0005-0000-0000-0000F5020000}"/>
    <cellStyle name="Currency 9 3" xfId="759" xr:uid="{00000000-0005-0000-0000-0000F6020000}"/>
    <cellStyle name="Currency 9 4" xfId="760" xr:uid="{00000000-0005-0000-0000-0000F7020000}"/>
    <cellStyle name="Currency0" xfId="761" xr:uid="{00000000-0005-0000-0000-0000F8020000}"/>
    <cellStyle name="Currency0 2" xfId="762" xr:uid="{00000000-0005-0000-0000-0000F9020000}"/>
    <cellStyle name="Currency0 2 2" xfId="763" xr:uid="{00000000-0005-0000-0000-0000FA020000}"/>
    <cellStyle name="Currency0 2 3" xfId="764" xr:uid="{00000000-0005-0000-0000-0000FB020000}"/>
    <cellStyle name="Currency0 2 4" xfId="765" xr:uid="{00000000-0005-0000-0000-0000FC020000}"/>
    <cellStyle name="Currency0 2 5" xfId="766" xr:uid="{00000000-0005-0000-0000-0000FD020000}"/>
    <cellStyle name="Currency0 2 6" xfId="767" xr:uid="{00000000-0005-0000-0000-0000FE020000}"/>
    <cellStyle name="Currency0 3" xfId="768" xr:uid="{00000000-0005-0000-0000-0000FF020000}"/>
    <cellStyle name="Date" xfId="769" xr:uid="{00000000-0005-0000-0000-000000030000}"/>
    <cellStyle name="Date 2" xfId="770" xr:uid="{00000000-0005-0000-0000-000001030000}"/>
    <cellStyle name="Date 2 2" xfId="771" xr:uid="{00000000-0005-0000-0000-000002030000}"/>
    <cellStyle name="Date 2 3" xfId="772" xr:uid="{00000000-0005-0000-0000-000003030000}"/>
    <cellStyle name="Date 2 4" xfId="773" xr:uid="{00000000-0005-0000-0000-000004030000}"/>
    <cellStyle name="Date 2 5" xfId="774" xr:uid="{00000000-0005-0000-0000-000005030000}"/>
    <cellStyle name="Date 2 6" xfId="775" xr:uid="{00000000-0005-0000-0000-000006030000}"/>
    <cellStyle name="Date 3" xfId="776" xr:uid="{00000000-0005-0000-0000-000007030000}"/>
    <cellStyle name="Explanatory Text" xfId="777" builtinId="53" customBuiltin="1"/>
    <cellStyle name="Explanatory Text 2" xfId="778" xr:uid="{00000000-0005-0000-0000-000009030000}"/>
    <cellStyle name="Explanatory Text 2 2" xfId="779" xr:uid="{00000000-0005-0000-0000-00000A030000}"/>
    <cellStyle name="Explanatory Text 2 3" xfId="780" xr:uid="{00000000-0005-0000-0000-00000B030000}"/>
    <cellStyle name="Explanatory Text 2 4" xfId="781" xr:uid="{00000000-0005-0000-0000-00000C030000}"/>
    <cellStyle name="Explanatory Text 2 5" xfId="782" xr:uid="{00000000-0005-0000-0000-00000D030000}"/>
    <cellStyle name="Fixed" xfId="783" xr:uid="{00000000-0005-0000-0000-00000E030000}"/>
    <cellStyle name="Fixed 2" xfId="784" xr:uid="{00000000-0005-0000-0000-00000F030000}"/>
    <cellStyle name="Fixed 2 2" xfId="785" xr:uid="{00000000-0005-0000-0000-000010030000}"/>
    <cellStyle name="Fixed 2 3" xfId="786" xr:uid="{00000000-0005-0000-0000-000011030000}"/>
    <cellStyle name="Fixed 2 4" xfId="787" xr:uid="{00000000-0005-0000-0000-000012030000}"/>
    <cellStyle name="Fixed 2 5" xfId="788" xr:uid="{00000000-0005-0000-0000-000013030000}"/>
    <cellStyle name="Fixed 2 6" xfId="789" xr:uid="{00000000-0005-0000-0000-000014030000}"/>
    <cellStyle name="Fixed 3" xfId="790" xr:uid="{00000000-0005-0000-0000-000015030000}"/>
    <cellStyle name="Good" xfId="791" builtinId="26" customBuiltin="1"/>
    <cellStyle name="Good 2" xfId="792" xr:uid="{00000000-0005-0000-0000-000017030000}"/>
    <cellStyle name="Good 2 2" xfId="793" xr:uid="{00000000-0005-0000-0000-000018030000}"/>
    <cellStyle name="Good 2 3" xfId="794" xr:uid="{00000000-0005-0000-0000-000019030000}"/>
    <cellStyle name="Good 2 4" xfId="795" xr:uid="{00000000-0005-0000-0000-00001A030000}"/>
    <cellStyle name="Good 2 5" xfId="796" xr:uid="{00000000-0005-0000-0000-00001B030000}"/>
    <cellStyle name="Heading 1" xfId="797" builtinId="16" customBuiltin="1"/>
    <cellStyle name="Heading 1 2" xfId="798" xr:uid="{00000000-0005-0000-0000-00001D030000}"/>
    <cellStyle name="Heading 1 2 2" xfId="799" xr:uid="{00000000-0005-0000-0000-00001E030000}"/>
    <cellStyle name="Heading 1 2 3" xfId="800" xr:uid="{00000000-0005-0000-0000-00001F030000}"/>
    <cellStyle name="Heading 1 2 4" xfId="801" xr:uid="{00000000-0005-0000-0000-000020030000}"/>
    <cellStyle name="Heading 1 2 5" xfId="802" xr:uid="{00000000-0005-0000-0000-000021030000}"/>
    <cellStyle name="Heading 1 3" xfId="803" xr:uid="{00000000-0005-0000-0000-000022030000}"/>
    <cellStyle name="Heading 1 3 2" xfId="804" xr:uid="{00000000-0005-0000-0000-000023030000}"/>
    <cellStyle name="Heading 2" xfId="805" builtinId="17" customBuiltin="1"/>
    <cellStyle name="Heading 2 2" xfId="806" xr:uid="{00000000-0005-0000-0000-000025030000}"/>
    <cellStyle name="Heading 2 2 2" xfId="807" xr:uid="{00000000-0005-0000-0000-000026030000}"/>
    <cellStyle name="Heading 2 2 3" xfId="808" xr:uid="{00000000-0005-0000-0000-000027030000}"/>
    <cellStyle name="Heading 2 2 4" xfId="809" xr:uid="{00000000-0005-0000-0000-000028030000}"/>
    <cellStyle name="Heading 2 2 5" xfId="810" xr:uid="{00000000-0005-0000-0000-000029030000}"/>
    <cellStyle name="Heading 2 3" xfId="811" xr:uid="{00000000-0005-0000-0000-00002A030000}"/>
    <cellStyle name="Heading 2 3 2" xfId="812" xr:uid="{00000000-0005-0000-0000-00002B030000}"/>
    <cellStyle name="Heading 3" xfId="813" builtinId="18" customBuiltin="1"/>
    <cellStyle name="Heading 3 2" xfId="814" xr:uid="{00000000-0005-0000-0000-00002D030000}"/>
    <cellStyle name="Heading 3 2 2" xfId="815" xr:uid="{00000000-0005-0000-0000-00002E030000}"/>
    <cellStyle name="Heading 3 2 3" xfId="816" xr:uid="{00000000-0005-0000-0000-00002F030000}"/>
    <cellStyle name="Heading 3 2 4" xfId="817" xr:uid="{00000000-0005-0000-0000-000030030000}"/>
    <cellStyle name="Heading 3 2 5" xfId="818" xr:uid="{00000000-0005-0000-0000-000031030000}"/>
    <cellStyle name="Heading 4" xfId="819" builtinId="19" customBuiltin="1"/>
    <cellStyle name="Heading 4 2" xfId="820" xr:uid="{00000000-0005-0000-0000-000033030000}"/>
    <cellStyle name="Heading 4 2 2" xfId="821" xr:uid="{00000000-0005-0000-0000-000034030000}"/>
    <cellStyle name="Heading 4 2 3" xfId="822" xr:uid="{00000000-0005-0000-0000-000035030000}"/>
    <cellStyle name="Heading 4 2 4" xfId="823" xr:uid="{00000000-0005-0000-0000-000036030000}"/>
    <cellStyle name="Heading 4 2 5" xfId="824" xr:uid="{00000000-0005-0000-0000-000037030000}"/>
    <cellStyle name="Heading1" xfId="825" xr:uid="{00000000-0005-0000-0000-000038030000}"/>
    <cellStyle name="Heading2" xfId="826" xr:uid="{00000000-0005-0000-0000-000039030000}"/>
    <cellStyle name="Input" xfId="827" builtinId="20" customBuiltin="1"/>
    <cellStyle name="Input 2" xfId="828" xr:uid="{00000000-0005-0000-0000-00003B030000}"/>
    <cellStyle name="Input 2 2" xfId="829" xr:uid="{00000000-0005-0000-0000-00003C030000}"/>
    <cellStyle name="Input 2 3" xfId="830" xr:uid="{00000000-0005-0000-0000-00003D030000}"/>
    <cellStyle name="Input 2 4" xfId="831" xr:uid="{00000000-0005-0000-0000-00003E030000}"/>
    <cellStyle name="Input 2 5" xfId="832" xr:uid="{00000000-0005-0000-0000-00003F030000}"/>
    <cellStyle name="Linked Cell" xfId="833" builtinId="24" customBuiltin="1"/>
    <cellStyle name="Linked Cell 2" xfId="834" xr:uid="{00000000-0005-0000-0000-000041030000}"/>
    <cellStyle name="Linked Cell 2 2" xfId="835" xr:uid="{00000000-0005-0000-0000-000042030000}"/>
    <cellStyle name="Linked Cell 2 3" xfId="836" xr:uid="{00000000-0005-0000-0000-000043030000}"/>
    <cellStyle name="Linked Cell 2 4" xfId="837" xr:uid="{00000000-0005-0000-0000-000044030000}"/>
    <cellStyle name="Linked Cell 2 5" xfId="838" xr:uid="{00000000-0005-0000-0000-000045030000}"/>
    <cellStyle name="M" xfId="839" xr:uid="{00000000-0005-0000-0000-000046030000}"/>
    <cellStyle name="M 2" xfId="840" xr:uid="{00000000-0005-0000-0000-000047030000}"/>
    <cellStyle name="M 2 2" xfId="841" xr:uid="{00000000-0005-0000-0000-000048030000}"/>
    <cellStyle name="M 2 2 2" xfId="842" xr:uid="{00000000-0005-0000-0000-000049030000}"/>
    <cellStyle name="M 3" xfId="843" xr:uid="{00000000-0005-0000-0000-00004A030000}"/>
    <cellStyle name="M 3 2" xfId="844" xr:uid="{00000000-0005-0000-0000-00004B030000}"/>
    <cellStyle name="M 3 2 2" xfId="845" xr:uid="{00000000-0005-0000-0000-00004C030000}"/>
    <cellStyle name="M 4" xfId="846" xr:uid="{00000000-0005-0000-0000-00004D030000}"/>
    <cellStyle name="M 5" xfId="847" xr:uid="{00000000-0005-0000-0000-00004E030000}"/>
    <cellStyle name="M 5 2" xfId="848" xr:uid="{00000000-0005-0000-0000-00004F030000}"/>
    <cellStyle name="M 6" xfId="849" xr:uid="{00000000-0005-0000-0000-000050030000}"/>
    <cellStyle name="M 6 2" xfId="850" xr:uid="{00000000-0005-0000-0000-000051030000}"/>
    <cellStyle name="M 7" xfId="851" xr:uid="{00000000-0005-0000-0000-000052030000}"/>
    <cellStyle name="M 8" xfId="852" xr:uid="{00000000-0005-0000-0000-000053030000}"/>
    <cellStyle name="Neutral" xfId="853" builtinId="28" customBuiltin="1"/>
    <cellStyle name="Neutral 2" xfId="854" xr:uid="{00000000-0005-0000-0000-000055030000}"/>
    <cellStyle name="Neutral 2 2" xfId="855" xr:uid="{00000000-0005-0000-0000-000056030000}"/>
    <cellStyle name="Neutral 2 3" xfId="856" xr:uid="{00000000-0005-0000-0000-000057030000}"/>
    <cellStyle name="Neutral 2 4" xfId="857" xr:uid="{00000000-0005-0000-0000-000058030000}"/>
    <cellStyle name="Neutral 2 5" xfId="858" xr:uid="{00000000-0005-0000-0000-000059030000}"/>
    <cellStyle name="Normal" xfId="0" builtinId="0"/>
    <cellStyle name="Normal 10" xfId="859" xr:uid="{00000000-0005-0000-0000-00005B030000}"/>
    <cellStyle name="Normal 10 2" xfId="860" xr:uid="{00000000-0005-0000-0000-00005C030000}"/>
    <cellStyle name="Normal 10 2 2" xfId="861" xr:uid="{00000000-0005-0000-0000-00005D030000}"/>
    <cellStyle name="Normal 10 3" xfId="862" xr:uid="{00000000-0005-0000-0000-00005E030000}"/>
    <cellStyle name="Normal 11" xfId="863" xr:uid="{00000000-0005-0000-0000-00005F030000}"/>
    <cellStyle name="Normal 11 2" xfId="864" xr:uid="{00000000-0005-0000-0000-000060030000}"/>
    <cellStyle name="Normal 11 2 2" xfId="865" xr:uid="{00000000-0005-0000-0000-000061030000}"/>
    <cellStyle name="Normal 11 3" xfId="866" xr:uid="{00000000-0005-0000-0000-000062030000}"/>
    <cellStyle name="Normal 11 4" xfId="867" xr:uid="{00000000-0005-0000-0000-000063030000}"/>
    <cellStyle name="Normal 12" xfId="868" xr:uid="{00000000-0005-0000-0000-000064030000}"/>
    <cellStyle name="Normal 12 2" xfId="869" xr:uid="{00000000-0005-0000-0000-000065030000}"/>
    <cellStyle name="Normal 12 3" xfId="870" xr:uid="{00000000-0005-0000-0000-000066030000}"/>
    <cellStyle name="Normal 12 4" xfId="871" xr:uid="{00000000-0005-0000-0000-000067030000}"/>
    <cellStyle name="Normal 12 5" xfId="872" xr:uid="{00000000-0005-0000-0000-000068030000}"/>
    <cellStyle name="Normal 13" xfId="873" xr:uid="{00000000-0005-0000-0000-000069030000}"/>
    <cellStyle name="Normal 14" xfId="874" xr:uid="{00000000-0005-0000-0000-00006A030000}"/>
    <cellStyle name="Normal 15" xfId="875" xr:uid="{00000000-0005-0000-0000-00006B030000}"/>
    <cellStyle name="Normal 16" xfId="876" xr:uid="{00000000-0005-0000-0000-00006C030000}"/>
    <cellStyle name="Normal 17" xfId="877" xr:uid="{00000000-0005-0000-0000-00006D030000}"/>
    <cellStyle name="Normal 18" xfId="878" xr:uid="{00000000-0005-0000-0000-00006E030000}"/>
    <cellStyle name="Normal 19" xfId="879" xr:uid="{00000000-0005-0000-0000-00006F030000}"/>
    <cellStyle name="Normal 2" xfId="880" xr:uid="{00000000-0005-0000-0000-000070030000}"/>
    <cellStyle name="Normal 2 2" xfId="881" xr:uid="{00000000-0005-0000-0000-000071030000}"/>
    <cellStyle name="Normal 2 2 2" xfId="882" xr:uid="{00000000-0005-0000-0000-000072030000}"/>
    <cellStyle name="Normal 2 2 2 2" xfId="883" xr:uid="{00000000-0005-0000-0000-000073030000}"/>
    <cellStyle name="Normal 2 2 3" xfId="884" xr:uid="{00000000-0005-0000-0000-000074030000}"/>
    <cellStyle name="Normal 2 2 3 2" xfId="885" xr:uid="{00000000-0005-0000-0000-000075030000}"/>
    <cellStyle name="Normal 2 2 4" xfId="886" xr:uid="{00000000-0005-0000-0000-000076030000}"/>
    <cellStyle name="Normal 2 3" xfId="887" xr:uid="{00000000-0005-0000-0000-000077030000}"/>
    <cellStyle name="Normal 20" xfId="888" xr:uid="{00000000-0005-0000-0000-000078030000}"/>
    <cellStyle name="Normal 21" xfId="889" xr:uid="{00000000-0005-0000-0000-000079030000}"/>
    <cellStyle name="Normal 22" xfId="890" xr:uid="{00000000-0005-0000-0000-00007A030000}"/>
    <cellStyle name="Normal 23" xfId="891" xr:uid="{00000000-0005-0000-0000-00007B030000}"/>
    <cellStyle name="Normal 24" xfId="892" xr:uid="{00000000-0005-0000-0000-00007C030000}"/>
    <cellStyle name="Normal 25" xfId="893" xr:uid="{00000000-0005-0000-0000-00007D030000}"/>
    <cellStyle name="Normal 26" xfId="894" xr:uid="{00000000-0005-0000-0000-00007E030000}"/>
    <cellStyle name="Normal 3" xfId="895" xr:uid="{00000000-0005-0000-0000-00007F030000}"/>
    <cellStyle name="Normal 3 2" xfId="896" xr:uid="{00000000-0005-0000-0000-000080030000}"/>
    <cellStyle name="Normal 3 2 2" xfId="897" xr:uid="{00000000-0005-0000-0000-000081030000}"/>
    <cellStyle name="Normal 3 3" xfId="898" xr:uid="{00000000-0005-0000-0000-000082030000}"/>
    <cellStyle name="Normal 3 3 2" xfId="899" xr:uid="{00000000-0005-0000-0000-000083030000}"/>
    <cellStyle name="Normal 3 3 3" xfId="900" xr:uid="{00000000-0005-0000-0000-000084030000}"/>
    <cellStyle name="Normal 3 3 4" xfId="901" xr:uid="{00000000-0005-0000-0000-000085030000}"/>
    <cellStyle name="Normal 3 3 5" xfId="902" xr:uid="{00000000-0005-0000-0000-000086030000}"/>
    <cellStyle name="Normal 3_OPCo Period I PJM  Formula Rate" xfId="903" xr:uid="{00000000-0005-0000-0000-000087030000}"/>
    <cellStyle name="Normal 35" xfId="904" xr:uid="{00000000-0005-0000-0000-000088030000}"/>
    <cellStyle name="Normal 4" xfId="905" xr:uid="{00000000-0005-0000-0000-000089030000}"/>
    <cellStyle name="Normal 4 10" xfId="906" xr:uid="{00000000-0005-0000-0000-00008A030000}"/>
    <cellStyle name="Normal 4 10 2" xfId="907" xr:uid="{00000000-0005-0000-0000-00008B030000}"/>
    <cellStyle name="Normal 4 10 3" xfId="908" xr:uid="{00000000-0005-0000-0000-00008C030000}"/>
    <cellStyle name="Normal 4 11" xfId="909" xr:uid="{00000000-0005-0000-0000-00008D030000}"/>
    <cellStyle name="Normal 4 11 2" xfId="910" xr:uid="{00000000-0005-0000-0000-00008E030000}"/>
    <cellStyle name="Normal 4 12" xfId="911" xr:uid="{00000000-0005-0000-0000-00008F030000}"/>
    <cellStyle name="Normal 4 12 2" xfId="912" xr:uid="{00000000-0005-0000-0000-000090030000}"/>
    <cellStyle name="Normal 4 13" xfId="913" xr:uid="{00000000-0005-0000-0000-000091030000}"/>
    <cellStyle name="Normal 4 13 2" xfId="914" xr:uid="{00000000-0005-0000-0000-000092030000}"/>
    <cellStyle name="Normal 4 14" xfId="915" xr:uid="{00000000-0005-0000-0000-000093030000}"/>
    <cellStyle name="Normal 4 15" xfId="916" xr:uid="{00000000-0005-0000-0000-000094030000}"/>
    <cellStyle name="Normal 4 2" xfId="917" xr:uid="{00000000-0005-0000-0000-000095030000}"/>
    <cellStyle name="Normal 4 2 2" xfId="918" xr:uid="{00000000-0005-0000-0000-000096030000}"/>
    <cellStyle name="Normal 4 3" xfId="919" xr:uid="{00000000-0005-0000-0000-000097030000}"/>
    <cellStyle name="Normal 4 3 2" xfId="920" xr:uid="{00000000-0005-0000-0000-000098030000}"/>
    <cellStyle name="Normal 4 3 2 2" xfId="921" xr:uid="{00000000-0005-0000-0000-000099030000}"/>
    <cellStyle name="Normal 4 3 2 3" xfId="922" xr:uid="{00000000-0005-0000-0000-00009A030000}"/>
    <cellStyle name="Normal 4 3 3" xfId="923" xr:uid="{00000000-0005-0000-0000-00009B030000}"/>
    <cellStyle name="Normal 4 3 3 2" xfId="924" xr:uid="{00000000-0005-0000-0000-00009C030000}"/>
    <cellStyle name="Normal 4 3 3 2 2" xfId="925" xr:uid="{00000000-0005-0000-0000-00009D030000}"/>
    <cellStyle name="Normal 4 3 3 2 3" xfId="926" xr:uid="{00000000-0005-0000-0000-00009E030000}"/>
    <cellStyle name="Normal 4 3 3 2 4" xfId="927" xr:uid="{00000000-0005-0000-0000-00009F030000}"/>
    <cellStyle name="Normal 4 3 3 2 5" xfId="928" xr:uid="{00000000-0005-0000-0000-0000A0030000}"/>
    <cellStyle name="Normal 4 3 3 3" xfId="929" xr:uid="{00000000-0005-0000-0000-0000A1030000}"/>
    <cellStyle name="Normal 4 3 4" xfId="930" xr:uid="{00000000-0005-0000-0000-0000A2030000}"/>
    <cellStyle name="Normal 4 3 5" xfId="931" xr:uid="{00000000-0005-0000-0000-0000A3030000}"/>
    <cellStyle name="Normal 4 3 5 2" xfId="932" xr:uid="{00000000-0005-0000-0000-0000A4030000}"/>
    <cellStyle name="Normal 4 3 5 3" xfId="933" xr:uid="{00000000-0005-0000-0000-0000A5030000}"/>
    <cellStyle name="Normal 4 3 5 4" xfId="934" xr:uid="{00000000-0005-0000-0000-0000A6030000}"/>
    <cellStyle name="Normal 4 3 5 5" xfId="935" xr:uid="{00000000-0005-0000-0000-0000A7030000}"/>
    <cellStyle name="Normal 4 3 6" xfId="936" xr:uid="{00000000-0005-0000-0000-0000A8030000}"/>
    <cellStyle name="Normal 4 4" xfId="937" xr:uid="{00000000-0005-0000-0000-0000A9030000}"/>
    <cellStyle name="Normal 4 4 2" xfId="938" xr:uid="{00000000-0005-0000-0000-0000AA030000}"/>
    <cellStyle name="Normal 4 4 3" xfId="939" xr:uid="{00000000-0005-0000-0000-0000AB030000}"/>
    <cellStyle name="Normal 4 4 4" xfId="940" xr:uid="{00000000-0005-0000-0000-0000AC030000}"/>
    <cellStyle name="Normal 4 4 4 2" xfId="941" xr:uid="{00000000-0005-0000-0000-0000AD030000}"/>
    <cellStyle name="Normal 4 4 4 3" xfId="942" xr:uid="{00000000-0005-0000-0000-0000AE030000}"/>
    <cellStyle name="Normal 4 4 4 4" xfId="943" xr:uid="{00000000-0005-0000-0000-0000AF030000}"/>
    <cellStyle name="Normal 4 4 4 5" xfId="944" xr:uid="{00000000-0005-0000-0000-0000B0030000}"/>
    <cellStyle name="Normal 4 4 5" xfId="945" xr:uid="{00000000-0005-0000-0000-0000B1030000}"/>
    <cellStyle name="Normal 4 5" xfId="946" xr:uid="{00000000-0005-0000-0000-0000B2030000}"/>
    <cellStyle name="Normal 4 5 2" xfId="947" xr:uid="{00000000-0005-0000-0000-0000B3030000}"/>
    <cellStyle name="Normal 4 5 2 2" xfId="948" xr:uid="{00000000-0005-0000-0000-0000B4030000}"/>
    <cellStyle name="Normal 4 5 2 2 2" xfId="949" xr:uid="{00000000-0005-0000-0000-0000B5030000}"/>
    <cellStyle name="Normal 4 5 2 2 3" xfId="950" xr:uid="{00000000-0005-0000-0000-0000B6030000}"/>
    <cellStyle name="Normal 4 5 2 2 4" xfId="951" xr:uid="{00000000-0005-0000-0000-0000B7030000}"/>
    <cellStyle name="Normal 4 5 2 2 5" xfId="952" xr:uid="{00000000-0005-0000-0000-0000B8030000}"/>
    <cellStyle name="Normal 4 5 3" xfId="953" xr:uid="{00000000-0005-0000-0000-0000B9030000}"/>
    <cellStyle name="Normal 4 6" xfId="954" xr:uid="{00000000-0005-0000-0000-0000BA030000}"/>
    <cellStyle name="Normal 4 6 2" xfId="955" xr:uid="{00000000-0005-0000-0000-0000BB030000}"/>
    <cellStyle name="Normal 4 6 3" xfId="956" xr:uid="{00000000-0005-0000-0000-0000BC030000}"/>
    <cellStyle name="Normal 4 6 4" xfId="957" xr:uid="{00000000-0005-0000-0000-0000BD030000}"/>
    <cellStyle name="Normal 4 7" xfId="958" xr:uid="{00000000-0005-0000-0000-0000BE030000}"/>
    <cellStyle name="Normal 4 7 2" xfId="959" xr:uid="{00000000-0005-0000-0000-0000BF030000}"/>
    <cellStyle name="Normal 4 7 3" xfId="960" xr:uid="{00000000-0005-0000-0000-0000C0030000}"/>
    <cellStyle name="Normal 4 7 4" xfId="961" xr:uid="{00000000-0005-0000-0000-0000C1030000}"/>
    <cellStyle name="Normal 4 8" xfId="962" xr:uid="{00000000-0005-0000-0000-0000C2030000}"/>
    <cellStyle name="Normal 4 8 2" xfId="963" xr:uid="{00000000-0005-0000-0000-0000C3030000}"/>
    <cellStyle name="Normal 4 8 3" xfId="964" xr:uid="{00000000-0005-0000-0000-0000C4030000}"/>
    <cellStyle name="Normal 4 8 4" xfId="965" xr:uid="{00000000-0005-0000-0000-0000C5030000}"/>
    <cellStyle name="Normal 4 9" xfId="966" xr:uid="{00000000-0005-0000-0000-0000C6030000}"/>
    <cellStyle name="Normal 4 9 2" xfId="967" xr:uid="{00000000-0005-0000-0000-0000C7030000}"/>
    <cellStyle name="Normal 4 9 3" xfId="968" xr:uid="{00000000-0005-0000-0000-0000C8030000}"/>
    <cellStyle name="Normal 4 9 4" xfId="969" xr:uid="{00000000-0005-0000-0000-0000C9030000}"/>
    <cellStyle name="Normal 4_PBOP Exhibit 1" xfId="970" xr:uid="{00000000-0005-0000-0000-0000CA030000}"/>
    <cellStyle name="Normal 5" xfId="971" xr:uid="{00000000-0005-0000-0000-0000CB030000}"/>
    <cellStyle name="Normal 5 2" xfId="972" xr:uid="{00000000-0005-0000-0000-0000CC030000}"/>
    <cellStyle name="Normal 5 2 2" xfId="973" xr:uid="{00000000-0005-0000-0000-0000CD030000}"/>
    <cellStyle name="Normal 5 2 2 2" xfId="974" xr:uid="{00000000-0005-0000-0000-0000CE030000}"/>
    <cellStyle name="Normal 5 2 3" xfId="975" xr:uid="{00000000-0005-0000-0000-0000CF030000}"/>
    <cellStyle name="Normal 5 2 4" xfId="976" xr:uid="{00000000-0005-0000-0000-0000D0030000}"/>
    <cellStyle name="Normal 5 2 5" xfId="977" xr:uid="{00000000-0005-0000-0000-0000D1030000}"/>
    <cellStyle name="Normal 5 2 6" xfId="978" xr:uid="{00000000-0005-0000-0000-0000D2030000}"/>
    <cellStyle name="Normal 5 3" xfId="979" xr:uid="{00000000-0005-0000-0000-0000D3030000}"/>
    <cellStyle name="Normal 5 4" xfId="980" xr:uid="{00000000-0005-0000-0000-0000D4030000}"/>
    <cellStyle name="Normal 6" xfId="981" xr:uid="{00000000-0005-0000-0000-0000D5030000}"/>
    <cellStyle name="Normal 6 2" xfId="982" xr:uid="{00000000-0005-0000-0000-0000D6030000}"/>
    <cellStyle name="Normal 6 2 2" xfId="983" xr:uid="{00000000-0005-0000-0000-0000D7030000}"/>
    <cellStyle name="Normal 6 2 3" xfId="984" xr:uid="{00000000-0005-0000-0000-0000D8030000}"/>
    <cellStyle name="Normal 6 3" xfId="985" xr:uid="{00000000-0005-0000-0000-0000D9030000}"/>
    <cellStyle name="Normal 7" xfId="986" xr:uid="{00000000-0005-0000-0000-0000DA030000}"/>
    <cellStyle name="Normal 7 2" xfId="987" xr:uid="{00000000-0005-0000-0000-0000DB030000}"/>
    <cellStyle name="Normal 7 3" xfId="988" xr:uid="{00000000-0005-0000-0000-0000DC030000}"/>
    <cellStyle name="Normal 8" xfId="989" xr:uid="{00000000-0005-0000-0000-0000DD030000}"/>
    <cellStyle name="Normal 8 2" xfId="990" xr:uid="{00000000-0005-0000-0000-0000DE030000}"/>
    <cellStyle name="Normal 8 2 2" xfId="991" xr:uid="{00000000-0005-0000-0000-0000DF030000}"/>
    <cellStyle name="Normal 9" xfId="992" xr:uid="{00000000-0005-0000-0000-0000E0030000}"/>
    <cellStyle name="Normal 9 2" xfId="993" xr:uid="{00000000-0005-0000-0000-0000E1030000}"/>
    <cellStyle name="Normal 9 2 2" xfId="994" xr:uid="{00000000-0005-0000-0000-0000E2030000}"/>
    <cellStyle name="Normal_FN1 Ratebase Draft SPP template (6-11-04) v2" xfId="995" xr:uid="{00000000-0005-0000-0000-0000E3030000}"/>
    <cellStyle name="Note" xfId="996" builtinId="10" customBuiltin="1"/>
    <cellStyle name="Note 2" xfId="997" xr:uid="{00000000-0005-0000-0000-0000E5030000}"/>
    <cellStyle name="Note 2 2" xfId="998" xr:uid="{00000000-0005-0000-0000-0000E6030000}"/>
    <cellStyle name="Note 2 2 2" xfId="999" xr:uid="{00000000-0005-0000-0000-0000E7030000}"/>
    <cellStyle name="Note 2 2 3" xfId="1000" xr:uid="{00000000-0005-0000-0000-0000E8030000}"/>
    <cellStyle name="Note 2 2 4" xfId="1001" xr:uid="{00000000-0005-0000-0000-0000E9030000}"/>
    <cellStyle name="Note 2 3" xfId="1002" xr:uid="{00000000-0005-0000-0000-0000EA030000}"/>
    <cellStyle name="Note 2 4" xfId="1003" xr:uid="{00000000-0005-0000-0000-0000EB030000}"/>
    <cellStyle name="Note 2 5" xfId="1004" xr:uid="{00000000-0005-0000-0000-0000EC030000}"/>
    <cellStyle name="Output" xfId="1005" builtinId="21" customBuiltin="1"/>
    <cellStyle name="Output 2" xfId="1006" xr:uid="{00000000-0005-0000-0000-0000EE030000}"/>
    <cellStyle name="Output 2 2" xfId="1007" xr:uid="{00000000-0005-0000-0000-0000EF030000}"/>
    <cellStyle name="Output 2 3" xfId="1008" xr:uid="{00000000-0005-0000-0000-0000F0030000}"/>
    <cellStyle name="Output 2 4" xfId="1009" xr:uid="{00000000-0005-0000-0000-0000F1030000}"/>
    <cellStyle name="Output 2 5" xfId="1010" xr:uid="{00000000-0005-0000-0000-0000F2030000}"/>
    <cellStyle name="Percent" xfId="1011" builtinId="5"/>
    <cellStyle name="Percent 10" xfId="1012" xr:uid="{00000000-0005-0000-0000-0000F4030000}"/>
    <cellStyle name="Percent 10 2" xfId="1013" xr:uid="{00000000-0005-0000-0000-0000F5030000}"/>
    <cellStyle name="Percent 10 3" xfId="1014" xr:uid="{00000000-0005-0000-0000-0000F6030000}"/>
    <cellStyle name="Percent 10 4" xfId="1015" xr:uid="{00000000-0005-0000-0000-0000F7030000}"/>
    <cellStyle name="Percent 11" xfId="1016" xr:uid="{00000000-0005-0000-0000-0000F8030000}"/>
    <cellStyle name="Percent 11 2" xfId="1017" xr:uid="{00000000-0005-0000-0000-0000F9030000}"/>
    <cellStyle name="Percent 11 3" xfId="1018" xr:uid="{00000000-0005-0000-0000-0000FA030000}"/>
    <cellStyle name="Percent 11 4" xfId="1019" xr:uid="{00000000-0005-0000-0000-0000FB030000}"/>
    <cellStyle name="Percent 12" xfId="1020" xr:uid="{00000000-0005-0000-0000-0000FC030000}"/>
    <cellStyle name="Percent 12 2" xfId="1021" xr:uid="{00000000-0005-0000-0000-0000FD030000}"/>
    <cellStyle name="Percent 12 3" xfId="1022" xr:uid="{00000000-0005-0000-0000-0000FE030000}"/>
    <cellStyle name="Percent 13" xfId="1023" xr:uid="{00000000-0005-0000-0000-0000FF030000}"/>
    <cellStyle name="Percent 13 2" xfId="1024" xr:uid="{00000000-0005-0000-0000-000000040000}"/>
    <cellStyle name="Percent 14" xfId="1025" xr:uid="{00000000-0005-0000-0000-000001040000}"/>
    <cellStyle name="Percent 14 2" xfId="1026" xr:uid="{00000000-0005-0000-0000-000002040000}"/>
    <cellStyle name="Percent 15" xfId="1027" xr:uid="{00000000-0005-0000-0000-000003040000}"/>
    <cellStyle name="Percent 15 2" xfId="1028" xr:uid="{00000000-0005-0000-0000-000004040000}"/>
    <cellStyle name="Percent 16" xfId="1029" xr:uid="{00000000-0005-0000-0000-000005040000}"/>
    <cellStyle name="Percent 17" xfId="1030" xr:uid="{00000000-0005-0000-0000-000006040000}"/>
    <cellStyle name="Percent 2" xfId="1031" xr:uid="{00000000-0005-0000-0000-000007040000}"/>
    <cellStyle name="Percent 2 2" xfId="1032" xr:uid="{00000000-0005-0000-0000-000008040000}"/>
    <cellStyle name="Percent 2 2 2" xfId="1033" xr:uid="{00000000-0005-0000-0000-000009040000}"/>
    <cellStyle name="Percent 2 3" xfId="1034" xr:uid="{00000000-0005-0000-0000-00000A040000}"/>
    <cellStyle name="Percent 3" xfId="1035" xr:uid="{00000000-0005-0000-0000-00000B040000}"/>
    <cellStyle name="Percent 3 10" xfId="1036" xr:uid="{00000000-0005-0000-0000-00000C040000}"/>
    <cellStyle name="Percent 3 10 2" xfId="1037" xr:uid="{00000000-0005-0000-0000-00000D040000}"/>
    <cellStyle name="Percent 3 10 3" xfId="1038" xr:uid="{00000000-0005-0000-0000-00000E040000}"/>
    <cellStyle name="Percent 3 11" xfId="1039" xr:uid="{00000000-0005-0000-0000-00000F040000}"/>
    <cellStyle name="Percent 3 11 2" xfId="1040" xr:uid="{00000000-0005-0000-0000-000010040000}"/>
    <cellStyle name="Percent 3 12" xfId="1041" xr:uid="{00000000-0005-0000-0000-000011040000}"/>
    <cellStyle name="Percent 3 12 2" xfId="1042" xr:uid="{00000000-0005-0000-0000-000012040000}"/>
    <cellStyle name="Percent 3 13" xfId="1043" xr:uid="{00000000-0005-0000-0000-000013040000}"/>
    <cellStyle name="Percent 3 13 2" xfId="1044" xr:uid="{00000000-0005-0000-0000-000014040000}"/>
    <cellStyle name="Percent 3 14" xfId="1045" xr:uid="{00000000-0005-0000-0000-000015040000}"/>
    <cellStyle name="Percent 3 15" xfId="1046" xr:uid="{00000000-0005-0000-0000-000016040000}"/>
    <cellStyle name="Percent 3 2" xfId="1047" xr:uid="{00000000-0005-0000-0000-000017040000}"/>
    <cellStyle name="Percent 3 2 2" xfId="1048" xr:uid="{00000000-0005-0000-0000-000018040000}"/>
    <cellStyle name="Percent 3 3" xfId="1049" xr:uid="{00000000-0005-0000-0000-000019040000}"/>
    <cellStyle name="Percent 3 3 2" xfId="1050" xr:uid="{00000000-0005-0000-0000-00001A040000}"/>
    <cellStyle name="Percent 3 3 2 2" xfId="1051" xr:uid="{00000000-0005-0000-0000-00001B040000}"/>
    <cellStyle name="Percent 3 3 2 3" xfId="1052" xr:uid="{00000000-0005-0000-0000-00001C040000}"/>
    <cellStyle name="Percent 3 3 3" xfId="1053" xr:uid="{00000000-0005-0000-0000-00001D040000}"/>
    <cellStyle name="Percent 3 3 3 2" xfId="1054" xr:uid="{00000000-0005-0000-0000-00001E040000}"/>
    <cellStyle name="Percent 3 3 3 2 2" xfId="1055" xr:uid="{00000000-0005-0000-0000-00001F040000}"/>
    <cellStyle name="Percent 3 3 3 2 3" xfId="1056" xr:uid="{00000000-0005-0000-0000-000020040000}"/>
    <cellStyle name="Percent 3 3 3 2 4" xfId="1057" xr:uid="{00000000-0005-0000-0000-000021040000}"/>
    <cellStyle name="Percent 3 3 3 2 5" xfId="1058" xr:uid="{00000000-0005-0000-0000-000022040000}"/>
    <cellStyle name="Percent 3 3 3 3" xfId="1059" xr:uid="{00000000-0005-0000-0000-000023040000}"/>
    <cellStyle name="Percent 3 3 4" xfId="1060" xr:uid="{00000000-0005-0000-0000-000024040000}"/>
    <cellStyle name="Percent 3 3 5" xfId="1061" xr:uid="{00000000-0005-0000-0000-000025040000}"/>
    <cellStyle name="Percent 3 3 5 2" xfId="1062" xr:uid="{00000000-0005-0000-0000-000026040000}"/>
    <cellStyle name="Percent 3 3 5 3" xfId="1063" xr:uid="{00000000-0005-0000-0000-000027040000}"/>
    <cellStyle name="Percent 3 3 5 4" xfId="1064" xr:uid="{00000000-0005-0000-0000-000028040000}"/>
    <cellStyle name="Percent 3 3 5 5" xfId="1065" xr:uid="{00000000-0005-0000-0000-000029040000}"/>
    <cellStyle name="Percent 3 3 6" xfId="1066" xr:uid="{00000000-0005-0000-0000-00002A040000}"/>
    <cellStyle name="Percent 3 4" xfId="1067" xr:uid="{00000000-0005-0000-0000-00002B040000}"/>
    <cellStyle name="Percent 3 4 2" xfId="1068" xr:uid="{00000000-0005-0000-0000-00002C040000}"/>
    <cellStyle name="Percent 3 4 3" xfId="1069" xr:uid="{00000000-0005-0000-0000-00002D040000}"/>
    <cellStyle name="Percent 3 4 4" xfId="1070" xr:uid="{00000000-0005-0000-0000-00002E040000}"/>
    <cellStyle name="Percent 3 4 4 2" xfId="1071" xr:uid="{00000000-0005-0000-0000-00002F040000}"/>
    <cellStyle name="Percent 3 4 4 3" xfId="1072" xr:uid="{00000000-0005-0000-0000-000030040000}"/>
    <cellStyle name="Percent 3 4 4 4" xfId="1073" xr:uid="{00000000-0005-0000-0000-000031040000}"/>
    <cellStyle name="Percent 3 4 4 5" xfId="1074" xr:uid="{00000000-0005-0000-0000-000032040000}"/>
    <cellStyle name="Percent 3 4 5" xfId="1075" xr:uid="{00000000-0005-0000-0000-000033040000}"/>
    <cellStyle name="Percent 3 5" xfId="1076" xr:uid="{00000000-0005-0000-0000-000034040000}"/>
    <cellStyle name="Percent 3 5 2" xfId="1077" xr:uid="{00000000-0005-0000-0000-000035040000}"/>
    <cellStyle name="Percent 3 6" xfId="1078" xr:uid="{00000000-0005-0000-0000-000036040000}"/>
    <cellStyle name="Percent 3 6 2" xfId="1079" xr:uid="{00000000-0005-0000-0000-000037040000}"/>
    <cellStyle name="Percent 3 6 3" xfId="1080" xr:uid="{00000000-0005-0000-0000-000038040000}"/>
    <cellStyle name="Percent 3 6 4" xfId="1081" xr:uid="{00000000-0005-0000-0000-000039040000}"/>
    <cellStyle name="Percent 3 7" xfId="1082" xr:uid="{00000000-0005-0000-0000-00003A040000}"/>
    <cellStyle name="Percent 3 7 2" xfId="1083" xr:uid="{00000000-0005-0000-0000-00003B040000}"/>
    <cellStyle name="Percent 3 7 3" xfId="1084" xr:uid="{00000000-0005-0000-0000-00003C040000}"/>
    <cellStyle name="Percent 3 7 4" xfId="1085" xr:uid="{00000000-0005-0000-0000-00003D040000}"/>
    <cellStyle name="Percent 3 8" xfId="1086" xr:uid="{00000000-0005-0000-0000-00003E040000}"/>
    <cellStyle name="Percent 3 8 2" xfId="1087" xr:uid="{00000000-0005-0000-0000-00003F040000}"/>
    <cellStyle name="Percent 3 8 3" xfId="1088" xr:uid="{00000000-0005-0000-0000-000040040000}"/>
    <cellStyle name="Percent 3 8 4" xfId="1089" xr:uid="{00000000-0005-0000-0000-000041040000}"/>
    <cellStyle name="Percent 3 9" xfId="1090" xr:uid="{00000000-0005-0000-0000-000042040000}"/>
    <cellStyle name="Percent 3 9 2" xfId="1091" xr:uid="{00000000-0005-0000-0000-000043040000}"/>
    <cellStyle name="Percent 3 9 3" xfId="1092" xr:uid="{00000000-0005-0000-0000-000044040000}"/>
    <cellStyle name="Percent 3 9 4" xfId="1093" xr:uid="{00000000-0005-0000-0000-000045040000}"/>
    <cellStyle name="Percent 4" xfId="1094" xr:uid="{00000000-0005-0000-0000-000046040000}"/>
    <cellStyle name="Percent 4 2" xfId="1095" xr:uid="{00000000-0005-0000-0000-000047040000}"/>
    <cellStyle name="Percent 4 2 2" xfId="1096" xr:uid="{00000000-0005-0000-0000-000048040000}"/>
    <cellStyle name="Percent 4 2 3" xfId="1097" xr:uid="{00000000-0005-0000-0000-000049040000}"/>
    <cellStyle name="Percent 4 3" xfId="1098" xr:uid="{00000000-0005-0000-0000-00004A040000}"/>
    <cellStyle name="Percent 4 3 2" xfId="1099" xr:uid="{00000000-0005-0000-0000-00004B040000}"/>
    <cellStyle name="Percent 4 3 2 2" xfId="1100" xr:uid="{00000000-0005-0000-0000-00004C040000}"/>
    <cellStyle name="Percent 4 3 2 3" xfId="1101" xr:uid="{00000000-0005-0000-0000-00004D040000}"/>
    <cellStyle name="Percent 4 3 2 4" xfId="1102" xr:uid="{00000000-0005-0000-0000-00004E040000}"/>
    <cellStyle name="Percent 4 3 2 5" xfId="1103" xr:uid="{00000000-0005-0000-0000-00004F040000}"/>
    <cellStyle name="Percent 4 3 3" xfId="1104" xr:uid="{00000000-0005-0000-0000-000050040000}"/>
    <cellStyle name="Percent 4 4" xfId="1105" xr:uid="{00000000-0005-0000-0000-000051040000}"/>
    <cellStyle name="Percent 4 5" xfId="1106" xr:uid="{00000000-0005-0000-0000-000052040000}"/>
    <cellStyle name="Percent 4 5 2" xfId="1107" xr:uid="{00000000-0005-0000-0000-000053040000}"/>
    <cellStyle name="Percent 4 5 3" xfId="1108" xr:uid="{00000000-0005-0000-0000-000054040000}"/>
    <cellStyle name="Percent 4 5 4" xfId="1109" xr:uid="{00000000-0005-0000-0000-000055040000}"/>
    <cellStyle name="Percent 4 5 5" xfId="1110" xr:uid="{00000000-0005-0000-0000-000056040000}"/>
    <cellStyle name="Percent 4 6" xfId="1111" xr:uid="{00000000-0005-0000-0000-000057040000}"/>
    <cellStyle name="Percent 4 6 2" xfId="1112" xr:uid="{00000000-0005-0000-0000-000058040000}"/>
    <cellStyle name="Percent 4 6 3" xfId="1113" xr:uid="{00000000-0005-0000-0000-000059040000}"/>
    <cellStyle name="Percent 5" xfId="1114" xr:uid="{00000000-0005-0000-0000-00005A040000}"/>
    <cellStyle name="Percent 5 2" xfId="1115" xr:uid="{00000000-0005-0000-0000-00005B040000}"/>
    <cellStyle name="Percent 5 3" xfId="1116" xr:uid="{00000000-0005-0000-0000-00005C040000}"/>
    <cellStyle name="Percent 5 4" xfId="1117" xr:uid="{00000000-0005-0000-0000-00005D040000}"/>
    <cellStyle name="Percent 5 4 2" xfId="1118" xr:uid="{00000000-0005-0000-0000-00005E040000}"/>
    <cellStyle name="Percent 5 4 3" xfId="1119" xr:uid="{00000000-0005-0000-0000-00005F040000}"/>
    <cellStyle name="Percent 5 4 4" xfId="1120" xr:uid="{00000000-0005-0000-0000-000060040000}"/>
    <cellStyle name="Percent 5 4 5" xfId="1121" xr:uid="{00000000-0005-0000-0000-000061040000}"/>
    <cellStyle name="Percent 5 5" xfId="1122" xr:uid="{00000000-0005-0000-0000-000062040000}"/>
    <cellStyle name="Percent 6" xfId="1123" xr:uid="{00000000-0005-0000-0000-000063040000}"/>
    <cellStyle name="Percent 6 2" xfId="1124" xr:uid="{00000000-0005-0000-0000-000064040000}"/>
    <cellStyle name="Percent 6 3" xfId="1125" xr:uid="{00000000-0005-0000-0000-000065040000}"/>
    <cellStyle name="Percent 6 4" xfId="1126" xr:uid="{00000000-0005-0000-0000-000066040000}"/>
    <cellStyle name="Percent 6 4 2" xfId="1127" xr:uid="{00000000-0005-0000-0000-000067040000}"/>
    <cellStyle name="Percent 6 4 3" xfId="1128" xr:uid="{00000000-0005-0000-0000-000068040000}"/>
    <cellStyle name="Percent 7" xfId="1129" xr:uid="{00000000-0005-0000-0000-000069040000}"/>
    <cellStyle name="Percent 7 2" xfId="1130" xr:uid="{00000000-0005-0000-0000-00006A040000}"/>
    <cellStyle name="Percent 7 2 2" xfId="1131" xr:uid="{00000000-0005-0000-0000-00006B040000}"/>
    <cellStyle name="Percent 7 2 2 2" xfId="1132" xr:uid="{00000000-0005-0000-0000-00006C040000}"/>
    <cellStyle name="Percent 7 2 2 2 2" xfId="1133" xr:uid="{00000000-0005-0000-0000-00006D040000}"/>
    <cellStyle name="Percent 7 2 2 3" xfId="1134" xr:uid="{00000000-0005-0000-0000-00006E040000}"/>
    <cellStyle name="Percent 7 2 2 3 2" xfId="1135" xr:uid="{00000000-0005-0000-0000-00006F040000}"/>
    <cellStyle name="Percent 7 2 2 4" xfId="1136" xr:uid="{00000000-0005-0000-0000-000070040000}"/>
    <cellStyle name="Percent 7 2 2 5" xfId="1137" xr:uid="{00000000-0005-0000-0000-000071040000}"/>
    <cellStyle name="Percent 7 2 2 6" xfId="1138" xr:uid="{00000000-0005-0000-0000-000072040000}"/>
    <cellStyle name="Percent 7 2 3" xfId="1139" xr:uid="{00000000-0005-0000-0000-000073040000}"/>
    <cellStyle name="Percent 7 2 3 2" xfId="1140" xr:uid="{00000000-0005-0000-0000-000074040000}"/>
    <cellStyle name="Percent 7 2 4" xfId="1141" xr:uid="{00000000-0005-0000-0000-000075040000}"/>
    <cellStyle name="Percent 7 2 4 2" xfId="1142" xr:uid="{00000000-0005-0000-0000-000076040000}"/>
    <cellStyle name="Percent 7 2 4 3" xfId="1143" xr:uid="{00000000-0005-0000-0000-000077040000}"/>
    <cellStyle name="Percent 7 2 5" xfId="1144" xr:uid="{00000000-0005-0000-0000-000078040000}"/>
    <cellStyle name="Percent 7 2 5 2" xfId="1145" xr:uid="{00000000-0005-0000-0000-000079040000}"/>
    <cellStyle name="Percent 7 2 6" xfId="1146" xr:uid="{00000000-0005-0000-0000-00007A040000}"/>
    <cellStyle name="Percent 7 3" xfId="1147" xr:uid="{00000000-0005-0000-0000-00007B040000}"/>
    <cellStyle name="Percent 7 4" xfId="1148" xr:uid="{00000000-0005-0000-0000-00007C040000}"/>
    <cellStyle name="Percent 7 5" xfId="1149" xr:uid="{00000000-0005-0000-0000-00007D040000}"/>
    <cellStyle name="Percent 7 6" xfId="1150" xr:uid="{00000000-0005-0000-0000-00007E040000}"/>
    <cellStyle name="Percent 8" xfId="1151" xr:uid="{00000000-0005-0000-0000-00007F040000}"/>
    <cellStyle name="Percent 8 2" xfId="1152" xr:uid="{00000000-0005-0000-0000-000080040000}"/>
    <cellStyle name="Percent 8 3" xfId="1153" xr:uid="{00000000-0005-0000-0000-000081040000}"/>
    <cellStyle name="Percent 8 4" xfId="1154" xr:uid="{00000000-0005-0000-0000-000082040000}"/>
    <cellStyle name="Percent 9" xfId="1155" xr:uid="{00000000-0005-0000-0000-000083040000}"/>
    <cellStyle name="Percent 9 2" xfId="1156" xr:uid="{00000000-0005-0000-0000-000084040000}"/>
    <cellStyle name="Percent 9 3" xfId="1157" xr:uid="{00000000-0005-0000-0000-000085040000}"/>
    <cellStyle name="Percent 9 4" xfId="1158" xr:uid="{00000000-0005-0000-0000-000086040000}"/>
    <cellStyle name="PSChar" xfId="1159" xr:uid="{00000000-0005-0000-0000-000087040000}"/>
    <cellStyle name="PSChar 2" xfId="1160" xr:uid="{00000000-0005-0000-0000-000088040000}"/>
    <cellStyle name="PSChar 2 2" xfId="1161" xr:uid="{00000000-0005-0000-0000-000089040000}"/>
    <cellStyle name="PSChar 3" xfId="1162" xr:uid="{00000000-0005-0000-0000-00008A040000}"/>
    <cellStyle name="PSChar 4" xfId="1163" xr:uid="{00000000-0005-0000-0000-00008B040000}"/>
    <cellStyle name="PSChar 4 2" xfId="1164" xr:uid="{00000000-0005-0000-0000-00008C040000}"/>
    <cellStyle name="PSChar 5" xfId="1165" xr:uid="{00000000-0005-0000-0000-00008D040000}"/>
    <cellStyle name="PSChar 5 2" xfId="1166" xr:uid="{00000000-0005-0000-0000-00008E040000}"/>
    <cellStyle name="PSDate" xfId="1167" xr:uid="{00000000-0005-0000-0000-00008F040000}"/>
    <cellStyle name="PSDate 2" xfId="1168" xr:uid="{00000000-0005-0000-0000-000090040000}"/>
    <cellStyle name="PSDate 3" xfId="1169" xr:uid="{00000000-0005-0000-0000-000091040000}"/>
    <cellStyle name="PSDate 4" xfId="1170" xr:uid="{00000000-0005-0000-0000-000092040000}"/>
    <cellStyle name="PSDate 4 2" xfId="1171" xr:uid="{00000000-0005-0000-0000-000093040000}"/>
    <cellStyle name="PSDate 5" xfId="1172" xr:uid="{00000000-0005-0000-0000-000094040000}"/>
    <cellStyle name="PSDate 5 2" xfId="1173" xr:uid="{00000000-0005-0000-0000-000095040000}"/>
    <cellStyle name="PSDec" xfId="1174" xr:uid="{00000000-0005-0000-0000-000096040000}"/>
    <cellStyle name="PSDec 2" xfId="1175" xr:uid="{00000000-0005-0000-0000-000097040000}"/>
    <cellStyle name="PSDec 3" xfId="1176" xr:uid="{00000000-0005-0000-0000-000098040000}"/>
    <cellStyle name="PSDec 4" xfId="1177" xr:uid="{00000000-0005-0000-0000-000099040000}"/>
    <cellStyle name="PSDec 4 2" xfId="1178" xr:uid="{00000000-0005-0000-0000-00009A040000}"/>
    <cellStyle name="PSDec 5" xfId="1179" xr:uid="{00000000-0005-0000-0000-00009B040000}"/>
    <cellStyle name="PSDec 5 2" xfId="1180" xr:uid="{00000000-0005-0000-0000-00009C040000}"/>
    <cellStyle name="PSdesc" xfId="1181" xr:uid="{00000000-0005-0000-0000-00009D040000}"/>
    <cellStyle name="PSdesc 2" xfId="1182" xr:uid="{00000000-0005-0000-0000-00009E040000}"/>
    <cellStyle name="PSHeading" xfId="1183" xr:uid="{00000000-0005-0000-0000-00009F040000}"/>
    <cellStyle name="PSHeading 2" xfId="1184" xr:uid="{00000000-0005-0000-0000-0000A0040000}"/>
    <cellStyle name="PSHeading 3" xfId="1185" xr:uid="{00000000-0005-0000-0000-0000A1040000}"/>
    <cellStyle name="PSHeading 4" xfId="1186" xr:uid="{00000000-0005-0000-0000-0000A2040000}"/>
    <cellStyle name="PSHeading 5" xfId="1187" xr:uid="{00000000-0005-0000-0000-0000A3040000}"/>
    <cellStyle name="PSHeading 5 2" xfId="1188" xr:uid="{00000000-0005-0000-0000-0000A4040000}"/>
    <cellStyle name="PSHeading 6" xfId="1189" xr:uid="{00000000-0005-0000-0000-0000A5040000}"/>
    <cellStyle name="PSHeading 6 2" xfId="1190" xr:uid="{00000000-0005-0000-0000-0000A6040000}"/>
    <cellStyle name="PSInt" xfId="1191" xr:uid="{00000000-0005-0000-0000-0000A7040000}"/>
    <cellStyle name="PSInt 2" xfId="1192" xr:uid="{00000000-0005-0000-0000-0000A8040000}"/>
    <cellStyle name="PSInt 3" xfId="1193" xr:uid="{00000000-0005-0000-0000-0000A9040000}"/>
    <cellStyle name="PSInt 4" xfId="1194" xr:uid="{00000000-0005-0000-0000-0000AA040000}"/>
    <cellStyle name="PSInt 4 2" xfId="1195" xr:uid="{00000000-0005-0000-0000-0000AB040000}"/>
    <cellStyle name="PSInt 5" xfId="1196" xr:uid="{00000000-0005-0000-0000-0000AC040000}"/>
    <cellStyle name="PSInt 5 2" xfId="1197" xr:uid="{00000000-0005-0000-0000-0000AD040000}"/>
    <cellStyle name="PSSpacer" xfId="1198" xr:uid="{00000000-0005-0000-0000-0000AE040000}"/>
    <cellStyle name="PSSpacer 2" xfId="1199" xr:uid="{00000000-0005-0000-0000-0000AF040000}"/>
    <cellStyle name="PSSpacer 3" xfId="1200" xr:uid="{00000000-0005-0000-0000-0000B0040000}"/>
    <cellStyle name="PSSpacer 3 2" xfId="1201" xr:uid="{00000000-0005-0000-0000-0000B1040000}"/>
    <cellStyle name="PStest" xfId="1202" xr:uid="{00000000-0005-0000-0000-0000B2040000}"/>
    <cellStyle name="PStest 2" xfId="1203" xr:uid="{00000000-0005-0000-0000-0000B3040000}"/>
    <cellStyle name="R00A" xfId="1204" xr:uid="{00000000-0005-0000-0000-0000B4040000}"/>
    <cellStyle name="R00B" xfId="1205" xr:uid="{00000000-0005-0000-0000-0000B5040000}"/>
    <cellStyle name="R00L" xfId="1206" xr:uid="{00000000-0005-0000-0000-0000B6040000}"/>
    <cellStyle name="R01A" xfId="1207" xr:uid="{00000000-0005-0000-0000-0000B7040000}"/>
    <cellStyle name="R01B" xfId="1208" xr:uid="{00000000-0005-0000-0000-0000B8040000}"/>
    <cellStyle name="R01H" xfId="1209" xr:uid="{00000000-0005-0000-0000-0000B9040000}"/>
    <cellStyle name="R01L" xfId="1210" xr:uid="{00000000-0005-0000-0000-0000BA040000}"/>
    <cellStyle name="R02A" xfId="1211" xr:uid="{00000000-0005-0000-0000-0000BB040000}"/>
    <cellStyle name="R02B" xfId="1212" xr:uid="{00000000-0005-0000-0000-0000BC040000}"/>
    <cellStyle name="R02B 2" xfId="1213" xr:uid="{00000000-0005-0000-0000-0000BD040000}"/>
    <cellStyle name="R02H" xfId="1214" xr:uid="{00000000-0005-0000-0000-0000BE040000}"/>
    <cellStyle name="R02L" xfId="1215" xr:uid="{00000000-0005-0000-0000-0000BF040000}"/>
    <cellStyle name="R03A" xfId="1216" xr:uid="{00000000-0005-0000-0000-0000C0040000}"/>
    <cellStyle name="R03B" xfId="1217" xr:uid="{00000000-0005-0000-0000-0000C1040000}"/>
    <cellStyle name="R03B 2" xfId="1218" xr:uid="{00000000-0005-0000-0000-0000C2040000}"/>
    <cellStyle name="R03H" xfId="1219" xr:uid="{00000000-0005-0000-0000-0000C3040000}"/>
    <cellStyle name="R03L" xfId="1220" xr:uid="{00000000-0005-0000-0000-0000C4040000}"/>
    <cellStyle name="R04A" xfId="1221" xr:uid="{00000000-0005-0000-0000-0000C5040000}"/>
    <cellStyle name="R04B" xfId="1222" xr:uid="{00000000-0005-0000-0000-0000C6040000}"/>
    <cellStyle name="R04B 2" xfId="1223" xr:uid="{00000000-0005-0000-0000-0000C7040000}"/>
    <cellStyle name="R04H" xfId="1224" xr:uid="{00000000-0005-0000-0000-0000C8040000}"/>
    <cellStyle name="R04L" xfId="1225" xr:uid="{00000000-0005-0000-0000-0000C9040000}"/>
    <cellStyle name="R05A" xfId="1226" xr:uid="{00000000-0005-0000-0000-0000CA040000}"/>
    <cellStyle name="R05B" xfId="1227" xr:uid="{00000000-0005-0000-0000-0000CB040000}"/>
    <cellStyle name="R05B 2" xfId="1228" xr:uid="{00000000-0005-0000-0000-0000CC040000}"/>
    <cellStyle name="R05H" xfId="1229" xr:uid="{00000000-0005-0000-0000-0000CD040000}"/>
    <cellStyle name="R05L" xfId="1230" xr:uid="{00000000-0005-0000-0000-0000CE040000}"/>
    <cellStyle name="R05L 2" xfId="1231" xr:uid="{00000000-0005-0000-0000-0000CF040000}"/>
    <cellStyle name="R06A" xfId="1232" xr:uid="{00000000-0005-0000-0000-0000D0040000}"/>
    <cellStyle name="R06B" xfId="1233" xr:uid="{00000000-0005-0000-0000-0000D1040000}"/>
    <cellStyle name="R06B 2" xfId="1234" xr:uid="{00000000-0005-0000-0000-0000D2040000}"/>
    <cellStyle name="R06H" xfId="1235" xr:uid="{00000000-0005-0000-0000-0000D3040000}"/>
    <cellStyle name="R06L" xfId="1236" xr:uid="{00000000-0005-0000-0000-0000D4040000}"/>
    <cellStyle name="R07A" xfId="1237" xr:uid="{00000000-0005-0000-0000-0000D5040000}"/>
    <cellStyle name="R07B" xfId="1238" xr:uid="{00000000-0005-0000-0000-0000D6040000}"/>
    <cellStyle name="R07B 2" xfId="1239" xr:uid="{00000000-0005-0000-0000-0000D7040000}"/>
    <cellStyle name="R07H" xfId="1240" xr:uid="{00000000-0005-0000-0000-0000D8040000}"/>
    <cellStyle name="R07L" xfId="1241" xr:uid="{00000000-0005-0000-0000-0000D9040000}"/>
    <cellStyle name="Title" xfId="1242" builtinId="15" customBuiltin="1"/>
    <cellStyle name="Title 2" xfId="1243" xr:uid="{00000000-0005-0000-0000-0000DB040000}"/>
    <cellStyle name="Title 2 2" xfId="1244" xr:uid="{00000000-0005-0000-0000-0000DC040000}"/>
    <cellStyle name="Title 2 3" xfId="1245" xr:uid="{00000000-0005-0000-0000-0000DD040000}"/>
    <cellStyle name="Title 2 4" xfId="1246" xr:uid="{00000000-0005-0000-0000-0000DE040000}"/>
    <cellStyle name="Total" xfId="1247" builtinId="25" customBuiltin="1"/>
    <cellStyle name="Total 2" xfId="1248" xr:uid="{00000000-0005-0000-0000-0000E0040000}"/>
    <cellStyle name="Total 2 2" xfId="1249" xr:uid="{00000000-0005-0000-0000-0000E1040000}"/>
    <cellStyle name="Total 2 3" xfId="1250" xr:uid="{00000000-0005-0000-0000-0000E2040000}"/>
    <cellStyle name="Total 2 4" xfId="1251" xr:uid="{00000000-0005-0000-0000-0000E3040000}"/>
    <cellStyle name="Total 2 5" xfId="1252" xr:uid="{00000000-0005-0000-0000-0000E4040000}"/>
    <cellStyle name="Total 3" xfId="1253" xr:uid="{00000000-0005-0000-0000-0000E5040000}"/>
    <cellStyle name="Total 3 2" xfId="1254" xr:uid="{00000000-0005-0000-0000-0000E6040000}"/>
    <cellStyle name="Warning Text" xfId="1255" builtinId="11" customBuiltin="1"/>
    <cellStyle name="Warning Text 2" xfId="1256" xr:uid="{00000000-0005-0000-0000-0000E8040000}"/>
    <cellStyle name="Warning Text 2 2" xfId="1257" xr:uid="{00000000-0005-0000-0000-0000E9040000}"/>
    <cellStyle name="Warning Text 2 3" xfId="1258" xr:uid="{00000000-0005-0000-0000-0000EA040000}"/>
    <cellStyle name="Warning Text 2 4" xfId="1259" xr:uid="{00000000-0005-0000-0000-0000EB040000}"/>
    <cellStyle name="Warning Text 2 5" xfId="1260" xr:uid="{00000000-0005-0000-0000-0000EC040000}"/>
  </cellStyles>
  <dxfs count="162"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calcChain" Target="calcChain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externalLink" Target="externalLinks/externalLink1.xml"/><Relationship Id="rId85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theme" Target="theme/theme1.xml"/><Relationship Id="rId86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61" Type="http://schemas.openxmlformats.org/officeDocument/2006/relationships/worksheet" Target="worksheets/sheet61.xml"/><Relationship Id="rId82" Type="http://schemas.openxmlformats.org/officeDocument/2006/relationships/styles" Target="styles.xml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428625</xdr:colOff>
      <xdr:row>28</xdr:row>
      <xdr:rowOff>114300</xdr:rowOff>
    </xdr:from>
    <xdr:to>
      <xdr:col>4</xdr:col>
      <xdr:colOff>533400</xdr:colOff>
      <xdr:row>30</xdr:row>
      <xdr:rowOff>6350</xdr:rowOff>
    </xdr:to>
    <xdr:sp macro="" textlink="">
      <xdr:nvSpPr>
        <xdr:cNvPr id="1511" name="Text Box 1">
          <a:extLst>
            <a:ext uri="{FF2B5EF4-FFF2-40B4-BE49-F238E27FC236}">
              <a16:creationId xmlns:a16="http://schemas.microsoft.com/office/drawing/2014/main" id="{00000000-0008-0000-0100-0000E7050000}"/>
            </a:ext>
          </a:extLst>
        </xdr:cNvPr>
        <xdr:cNvSpPr txBox="1">
          <a:spLocks noChangeArrowheads="1"/>
        </xdr:cNvSpPr>
      </xdr:nvSpPr>
      <xdr:spPr bwMode="auto">
        <a:xfrm>
          <a:off x="3924300" y="5181600"/>
          <a:ext cx="10477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21965" name="Text Box 1">
          <a:extLst>
            <a:ext uri="{FF2B5EF4-FFF2-40B4-BE49-F238E27FC236}">
              <a16:creationId xmlns:a16="http://schemas.microsoft.com/office/drawing/2014/main" id="{00000000-0008-0000-0B00-0000CD5500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25400</xdr:rowOff>
    </xdr:to>
    <xdr:sp macro="" textlink="">
      <xdr:nvSpPr>
        <xdr:cNvPr id="102493" name="Text Box 1">
          <a:extLst>
            <a:ext uri="{FF2B5EF4-FFF2-40B4-BE49-F238E27FC236}">
              <a16:creationId xmlns:a16="http://schemas.microsoft.com/office/drawing/2014/main" id="{00000000-0008-0000-0C00-00005D9001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4651</xdr:colOff>
      <xdr:row>34</xdr:row>
      <xdr:rowOff>112395</xdr:rowOff>
    </xdr:from>
    <xdr:to>
      <xdr:col>15</xdr:col>
      <xdr:colOff>73030</xdr:colOff>
      <xdr:row>52</xdr:row>
      <xdr:rowOff>91</xdr:rowOff>
    </xdr:to>
    <xdr:sp macro="" textlink="">
      <xdr:nvSpPr>
        <xdr:cNvPr id="22532" name="WordArt 4">
          <a:extLst>
            <a:ext uri="{FF2B5EF4-FFF2-40B4-BE49-F238E27FC236}">
              <a16:creationId xmlns:a16="http://schemas.microsoft.com/office/drawing/2014/main" id="{00000000-0008-0000-0C00-000004580000}"/>
            </a:ext>
          </a:extLst>
        </xdr:cNvPr>
        <xdr:cNvSpPr>
          <a:spLocks noChangeArrowheads="1" noChangeShapeType="1" noTextEdit="1"/>
        </xdr:cNvSpPr>
      </xdr:nvSpPr>
      <xdr:spPr bwMode="auto">
        <a:xfrm rot="20358274">
          <a:off x="742950" y="6362700"/>
          <a:ext cx="15640050" cy="2781300"/>
        </a:xfrm>
        <a:prstGeom prst="rect">
          <a:avLst/>
        </a:prstGeom>
        <a:extLs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FFFF"/>
              </a:solidFill>
              <a:effectLst/>
              <a:latin typeface="Arial Black"/>
            </a:rPr>
            <a:t>RESERVED</a:t>
          </a:r>
        </a:p>
      </xdr:txBody>
    </xdr:sp>
    <xdr:clientData/>
  </xdr:twoCellAnchor>
  <xdr:twoCellAnchor>
    <xdr:from>
      <xdr:col>1</xdr:col>
      <xdr:colOff>417195</xdr:colOff>
      <xdr:row>116</xdr:row>
      <xdr:rowOff>116205</xdr:rowOff>
    </xdr:from>
    <xdr:to>
      <xdr:col>15</xdr:col>
      <xdr:colOff>4169</xdr:colOff>
      <xdr:row>133</xdr:row>
      <xdr:rowOff>140356</xdr:rowOff>
    </xdr:to>
    <xdr:sp macro="" textlink="">
      <xdr:nvSpPr>
        <xdr:cNvPr id="22533" name="WordArt 5">
          <a:extLst>
            <a:ext uri="{FF2B5EF4-FFF2-40B4-BE49-F238E27FC236}">
              <a16:creationId xmlns:a16="http://schemas.microsoft.com/office/drawing/2014/main" id="{00000000-0008-0000-0C00-000005580000}"/>
            </a:ext>
          </a:extLst>
        </xdr:cNvPr>
        <xdr:cNvSpPr>
          <a:spLocks noChangeArrowheads="1" noChangeShapeType="1" noTextEdit="1"/>
        </xdr:cNvSpPr>
      </xdr:nvSpPr>
      <xdr:spPr bwMode="auto">
        <a:xfrm rot="20358274">
          <a:off x="695325" y="20507325"/>
          <a:ext cx="15621000" cy="2781300"/>
        </a:xfrm>
        <a:prstGeom prst="rect">
          <a:avLst/>
        </a:prstGeom>
        <a:extLs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FFFF"/>
              </a:solidFill>
              <a:effectLst/>
              <a:latin typeface="Arial Black"/>
            </a:rPr>
            <a:t>RESERVED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25400</xdr:rowOff>
    </xdr:to>
    <xdr:sp macro="" textlink="">
      <xdr:nvSpPr>
        <xdr:cNvPr id="103517" name="Text Box 1">
          <a:extLst>
            <a:ext uri="{FF2B5EF4-FFF2-40B4-BE49-F238E27FC236}">
              <a16:creationId xmlns:a16="http://schemas.microsoft.com/office/drawing/2014/main" id="{00000000-0008-0000-0D00-00005D9401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34</xdr:row>
      <xdr:rowOff>113665</xdr:rowOff>
    </xdr:from>
    <xdr:to>
      <xdr:col>15</xdr:col>
      <xdr:colOff>85725</xdr:colOff>
      <xdr:row>52</xdr:row>
      <xdr:rowOff>3269</xdr:rowOff>
    </xdr:to>
    <xdr:sp macro="" textlink="">
      <xdr:nvSpPr>
        <xdr:cNvPr id="23555" name="WordArt 3">
          <a:extLst>
            <a:ext uri="{FF2B5EF4-FFF2-40B4-BE49-F238E27FC236}">
              <a16:creationId xmlns:a16="http://schemas.microsoft.com/office/drawing/2014/main" id="{00000000-0008-0000-0D00-0000035C0000}"/>
            </a:ext>
          </a:extLst>
        </xdr:cNvPr>
        <xdr:cNvSpPr>
          <a:spLocks noChangeArrowheads="1" noChangeShapeType="1" noTextEdit="1"/>
        </xdr:cNvSpPr>
      </xdr:nvSpPr>
      <xdr:spPr bwMode="auto">
        <a:xfrm rot="20358274">
          <a:off x="762000" y="6362700"/>
          <a:ext cx="15640050" cy="2781300"/>
        </a:xfrm>
        <a:prstGeom prst="rect">
          <a:avLst/>
        </a:prstGeom>
        <a:extLs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FFFF"/>
              </a:solidFill>
              <a:effectLst/>
              <a:latin typeface="Arial Black"/>
            </a:rPr>
            <a:t>RESERVED</a:t>
          </a:r>
        </a:p>
      </xdr:txBody>
    </xdr:sp>
    <xdr:clientData/>
  </xdr:twoCellAnchor>
  <xdr:twoCellAnchor>
    <xdr:from>
      <xdr:col>1</xdr:col>
      <xdr:colOff>417195</xdr:colOff>
      <xdr:row>116</xdr:row>
      <xdr:rowOff>138430</xdr:rowOff>
    </xdr:from>
    <xdr:to>
      <xdr:col>15</xdr:col>
      <xdr:colOff>28574</xdr:colOff>
      <xdr:row>134</xdr:row>
      <xdr:rowOff>1960</xdr:rowOff>
    </xdr:to>
    <xdr:sp macro="" textlink="">
      <xdr:nvSpPr>
        <xdr:cNvPr id="23556" name="WordArt 4">
          <a:extLst>
            <a:ext uri="{FF2B5EF4-FFF2-40B4-BE49-F238E27FC236}">
              <a16:creationId xmlns:a16="http://schemas.microsoft.com/office/drawing/2014/main" id="{00000000-0008-0000-0D00-0000045C0000}"/>
            </a:ext>
          </a:extLst>
        </xdr:cNvPr>
        <xdr:cNvSpPr>
          <a:spLocks noChangeArrowheads="1" noChangeShapeType="1" noTextEdit="1"/>
        </xdr:cNvSpPr>
      </xdr:nvSpPr>
      <xdr:spPr bwMode="auto">
        <a:xfrm rot="20358274">
          <a:off x="723900" y="20526375"/>
          <a:ext cx="15621000" cy="2781300"/>
        </a:xfrm>
        <a:prstGeom prst="rect">
          <a:avLst/>
        </a:prstGeom>
        <a:extLs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FFFF"/>
              </a:solidFill>
              <a:effectLst/>
              <a:latin typeface="Arial Black"/>
            </a:rPr>
            <a:t>RESERVED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25041" name="Text Box 1">
          <a:extLst>
            <a:ext uri="{FF2B5EF4-FFF2-40B4-BE49-F238E27FC236}">
              <a16:creationId xmlns:a16="http://schemas.microsoft.com/office/drawing/2014/main" id="{00000000-0008-0000-0E00-0000D16100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26074" name="Text Box 1">
          <a:extLst>
            <a:ext uri="{FF2B5EF4-FFF2-40B4-BE49-F238E27FC236}">
              <a16:creationId xmlns:a16="http://schemas.microsoft.com/office/drawing/2014/main" id="{00000000-0008-0000-0F00-0000DA6500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27086" name="Text Box 1">
          <a:extLst>
            <a:ext uri="{FF2B5EF4-FFF2-40B4-BE49-F238E27FC236}">
              <a16:creationId xmlns:a16="http://schemas.microsoft.com/office/drawing/2014/main" id="{00000000-0008-0000-1000-0000CE6900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28111" name="Text Box 1">
          <a:extLst>
            <a:ext uri="{FF2B5EF4-FFF2-40B4-BE49-F238E27FC236}">
              <a16:creationId xmlns:a16="http://schemas.microsoft.com/office/drawing/2014/main" id="{00000000-0008-0000-1100-0000CF6D00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29135" name="Text Box 1">
          <a:extLst>
            <a:ext uri="{FF2B5EF4-FFF2-40B4-BE49-F238E27FC236}">
              <a16:creationId xmlns:a16="http://schemas.microsoft.com/office/drawing/2014/main" id="{00000000-0008-0000-1200-0000CF7100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30158" name="Text Box 1">
          <a:extLst>
            <a:ext uri="{FF2B5EF4-FFF2-40B4-BE49-F238E27FC236}">
              <a16:creationId xmlns:a16="http://schemas.microsoft.com/office/drawing/2014/main" id="{00000000-0008-0000-1300-0000CE7500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25400</xdr:rowOff>
    </xdr:to>
    <xdr:sp macro="" textlink="">
      <xdr:nvSpPr>
        <xdr:cNvPr id="104541" name="Text Box 1">
          <a:extLst>
            <a:ext uri="{FF2B5EF4-FFF2-40B4-BE49-F238E27FC236}">
              <a16:creationId xmlns:a16="http://schemas.microsoft.com/office/drawing/2014/main" id="{00000000-0008-0000-1400-00005D9801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421005</xdr:colOff>
      <xdr:row>34</xdr:row>
      <xdr:rowOff>137160</xdr:rowOff>
    </xdr:from>
    <xdr:to>
      <xdr:col>15</xdr:col>
      <xdr:colOff>80645</xdr:colOff>
      <xdr:row>52</xdr:row>
      <xdr:rowOff>1994</xdr:rowOff>
    </xdr:to>
    <xdr:sp macro="" textlink="">
      <xdr:nvSpPr>
        <xdr:cNvPr id="30723" name="WordArt 3">
          <a:extLst>
            <a:ext uri="{FF2B5EF4-FFF2-40B4-BE49-F238E27FC236}">
              <a16:creationId xmlns:a16="http://schemas.microsoft.com/office/drawing/2014/main" id="{00000000-0008-0000-1400-000003780000}"/>
            </a:ext>
          </a:extLst>
        </xdr:cNvPr>
        <xdr:cNvSpPr>
          <a:spLocks noChangeArrowheads="1" noChangeShapeType="1" noTextEdit="1"/>
        </xdr:cNvSpPr>
      </xdr:nvSpPr>
      <xdr:spPr bwMode="auto">
        <a:xfrm rot="20358274">
          <a:off x="742950" y="6372225"/>
          <a:ext cx="15640050" cy="2781300"/>
        </a:xfrm>
        <a:prstGeom prst="rect">
          <a:avLst/>
        </a:prstGeom>
        <a:extLs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FFFF"/>
              </a:solidFill>
              <a:effectLst/>
              <a:latin typeface="Arial Black"/>
            </a:rPr>
            <a:t>RESERVED</a:t>
          </a:r>
        </a:p>
      </xdr:txBody>
    </xdr:sp>
    <xdr:clientData/>
  </xdr:twoCellAnchor>
  <xdr:twoCellAnchor>
    <xdr:from>
      <xdr:col>1</xdr:col>
      <xdr:colOff>405765</xdr:colOff>
      <xdr:row>116</xdr:row>
      <xdr:rowOff>154305</xdr:rowOff>
    </xdr:from>
    <xdr:to>
      <xdr:col>15</xdr:col>
      <xdr:colOff>34303</xdr:colOff>
      <xdr:row>134</xdr:row>
      <xdr:rowOff>34298</xdr:rowOff>
    </xdr:to>
    <xdr:sp macro="" textlink="">
      <xdr:nvSpPr>
        <xdr:cNvPr id="30725" name="WordArt 5">
          <a:extLst>
            <a:ext uri="{FF2B5EF4-FFF2-40B4-BE49-F238E27FC236}">
              <a16:creationId xmlns:a16="http://schemas.microsoft.com/office/drawing/2014/main" id="{00000000-0008-0000-1400-000005780000}"/>
            </a:ext>
          </a:extLst>
        </xdr:cNvPr>
        <xdr:cNvSpPr>
          <a:spLocks noChangeArrowheads="1" noChangeShapeType="1" noTextEdit="1"/>
        </xdr:cNvSpPr>
      </xdr:nvSpPr>
      <xdr:spPr bwMode="auto">
        <a:xfrm rot="20358274">
          <a:off x="714375" y="20535900"/>
          <a:ext cx="15621000" cy="2781300"/>
        </a:xfrm>
        <a:prstGeom prst="rect">
          <a:avLst/>
        </a:prstGeom>
        <a:extLs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FFFF"/>
              </a:solidFill>
              <a:effectLst/>
              <a:latin typeface="Arial Black"/>
            </a:rPr>
            <a:t>RESERVED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25400</xdr:rowOff>
    </xdr:to>
    <xdr:sp macro="" textlink="">
      <xdr:nvSpPr>
        <xdr:cNvPr id="2511" name="Text Box 1">
          <a:extLst>
            <a:ext uri="{FF2B5EF4-FFF2-40B4-BE49-F238E27FC236}">
              <a16:creationId xmlns:a16="http://schemas.microsoft.com/office/drawing/2014/main" id="{00000000-0008-0000-0300-0000CF0900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32205" name="Text Box 1">
          <a:extLst>
            <a:ext uri="{FF2B5EF4-FFF2-40B4-BE49-F238E27FC236}">
              <a16:creationId xmlns:a16="http://schemas.microsoft.com/office/drawing/2014/main" id="{00000000-0008-0000-1500-0000CD7D00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25400</xdr:rowOff>
    </xdr:to>
    <xdr:sp macro="" textlink="">
      <xdr:nvSpPr>
        <xdr:cNvPr id="105565" name="Text Box 1">
          <a:extLst>
            <a:ext uri="{FF2B5EF4-FFF2-40B4-BE49-F238E27FC236}">
              <a16:creationId xmlns:a16="http://schemas.microsoft.com/office/drawing/2014/main" id="{00000000-0008-0000-1600-00005D9C01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533400</xdr:colOff>
      <xdr:row>27</xdr:row>
      <xdr:rowOff>47625</xdr:rowOff>
    </xdr:from>
    <xdr:to>
      <xdr:col>14</xdr:col>
      <xdr:colOff>876300</xdr:colOff>
      <xdr:row>67</xdr:row>
      <xdr:rowOff>95250</xdr:rowOff>
    </xdr:to>
    <xdr:pic>
      <xdr:nvPicPr>
        <xdr:cNvPr id="105566" name="Picture 1">
          <a:extLst>
            <a:ext uri="{FF2B5EF4-FFF2-40B4-BE49-F238E27FC236}">
              <a16:creationId xmlns:a16="http://schemas.microsoft.com/office/drawing/2014/main" id="{00000000-0008-0000-1600-00005E9C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47975" y="5133975"/>
          <a:ext cx="13220700" cy="6524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19050</xdr:colOff>
      <xdr:row>99</xdr:row>
      <xdr:rowOff>19050</xdr:rowOff>
    </xdr:from>
    <xdr:to>
      <xdr:col>14</xdr:col>
      <xdr:colOff>361950</xdr:colOff>
      <xdr:row>139</xdr:row>
      <xdr:rowOff>76200</xdr:rowOff>
    </xdr:to>
    <xdr:pic>
      <xdr:nvPicPr>
        <xdr:cNvPr id="105567" name="Picture 2">
          <a:extLst>
            <a:ext uri="{FF2B5EF4-FFF2-40B4-BE49-F238E27FC236}">
              <a16:creationId xmlns:a16="http://schemas.microsoft.com/office/drawing/2014/main" id="{00000000-0008-0000-1600-00005F9C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3625" y="17649825"/>
          <a:ext cx="13220700" cy="6534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37326" name="Text Box 1">
          <a:extLst>
            <a:ext uri="{FF2B5EF4-FFF2-40B4-BE49-F238E27FC236}">
              <a16:creationId xmlns:a16="http://schemas.microsoft.com/office/drawing/2014/main" id="{00000000-0008-0000-1700-0000CE9100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25400</xdr:rowOff>
    </xdr:to>
    <xdr:sp macro="" textlink="">
      <xdr:nvSpPr>
        <xdr:cNvPr id="39373" name="Text Box 1">
          <a:extLst>
            <a:ext uri="{FF2B5EF4-FFF2-40B4-BE49-F238E27FC236}">
              <a16:creationId xmlns:a16="http://schemas.microsoft.com/office/drawing/2014/main" id="{00000000-0008-0000-1800-0000CD9900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40397" name="Text Box 1">
          <a:extLst>
            <a:ext uri="{FF2B5EF4-FFF2-40B4-BE49-F238E27FC236}">
              <a16:creationId xmlns:a16="http://schemas.microsoft.com/office/drawing/2014/main" id="{00000000-0008-0000-1900-0000CD9D00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41421" name="Text Box 1">
          <a:extLst>
            <a:ext uri="{FF2B5EF4-FFF2-40B4-BE49-F238E27FC236}">
              <a16:creationId xmlns:a16="http://schemas.microsoft.com/office/drawing/2014/main" id="{00000000-0008-0000-1A00-0000CDA100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42445" name="Text Box 1">
          <a:extLst>
            <a:ext uri="{FF2B5EF4-FFF2-40B4-BE49-F238E27FC236}">
              <a16:creationId xmlns:a16="http://schemas.microsoft.com/office/drawing/2014/main" id="{00000000-0008-0000-1B00-0000CDA500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43469" name="Text Box 1">
          <a:extLst>
            <a:ext uri="{FF2B5EF4-FFF2-40B4-BE49-F238E27FC236}">
              <a16:creationId xmlns:a16="http://schemas.microsoft.com/office/drawing/2014/main" id="{00000000-0008-0000-1C00-0000CDA90000}"/>
            </a:ext>
          </a:extLst>
        </xdr:cNvPr>
        <xdr:cNvSpPr txBox="1">
          <a:spLocks noChangeArrowheads="1"/>
        </xdr:cNvSpPr>
      </xdr:nvSpPr>
      <xdr:spPr bwMode="auto">
        <a:xfrm>
          <a:off x="43338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44493" name="Text Box 1">
          <a:extLst>
            <a:ext uri="{FF2B5EF4-FFF2-40B4-BE49-F238E27FC236}">
              <a16:creationId xmlns:a16="http://schemas.microsoft.com/office/drawing/2014/main" id="{00000000-0008-0000-1D00-0000CDAD00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51661" name="Text Box 1">
          <a:extLst>
            <a:ext uri="{FF2B5EF4-FFF2-40B4-BE49-F238E27FC236}">
              <a16:creationId xmlns:a16="http://schemas.microsoft.com/office/drawing/2014/main" id="{00000000-0008-0000-1E00-0000CDC900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14797" name="Text Box 1">
          <a:extLst>
            <a:ext uri="{FF2B5EF4-FFF2-40B4-BE49-F238E27FC236}">
              <a16:creationId xmlns:a16="http://schemas.microsoft.com/office/drawing/2014/main" id="{00000000-0008-0000-0400-0000CD3900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52685" name="Text Box 1">
          <a:extLst>
            <a:ext uri="{FF2B5EF4-FFF2-40B4-BE49-F238E27FC236}">
              <a16:creationId xmlns:a16="http://schemas.microsoft.com/office/drawing/2014/main" id="{00000000-0008-0000-1F00-0000CDCD00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53709" name="Text Box 1">
          <a:extLst>
            <a:ext uri="{FF2B5EF4-FFF2-40B4-BE49-F238E27FC236}">
              <a16:creationId xmlns:a16="http://schemas.microsoft.com/office/drawing/2014/main" id="{00000000-0008-0000-2000-0000CDD100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54733" name="Text Box 1">
          <a:extLst>
            <a:ext uri="{FF2B5EF4-FFF2-40B4-BE49-F238E27FC236}">
              <a16:creationId xmlns:a16="http://schemas.microsoft.com/office/drawing/2014/main" id="{00000000-0008-0000-2100-0000CDD500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55757" name="Text Box 1">
          <a:extLst>
            <a:ext uri="{FF2B5EF4-FFF2-40B4-BE49-F238E27FC236}">
              <a16:creationId xmlns:a16="http://schemas.microsoft.com/office/drawing/2014/main" id="{00000000-0008-0000-2200-0000CDD900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56781" name="Text Box 1">
          <a:extLst>
            <a:ext uri="{FF2B5EF4-FFF2-40B4-BE49-F238E27FC236}">
              <a16:creationId xmlns:a16="http://schemas.microsoft.com/office/drawing/2014/main" id="{00000000-0008-0000-2300-0000CDDD00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57803" name="Text Box 1">
          <a:extLst>
            <a:ext uri="{FF2B5EF4-FFF2-40B4-BE49-F238E27FC236}">
              <a16:creationId xmlns:a16="http://schemas.microsoft.com/office/drawing/2014/main" id="{00000000-0008-0000-2400-0000CBE100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59851" name="Text Box 1">
          <a:extLst>
            <a:ext uri="{FF2B5EF4-FFF2-40B4-BE49-F238E27FC236}">
              <a16:creationId xmlns:a16="http://schemas.microsoft.com/office/drawing/2014/main" id="{00000000-0008-0000-2500-0000CBE900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61899" name="Text Box 1">
          <a:extLst>
            <a:ext uri="{FF2B5EF4-FFF2-40B4-BE49-F238E27FC236}">
              <a16:creationId xmlns:a16="http://schemas.microsoft.com/office/drawing/2014/main" id="{00000000-0008-0000-2600-0000CBF100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60875" name="Text Box 1">
          <a:extLst>
            <a:ext uri="{FF2B5EF4-FFF2-40B4-BE49-F238E27FC236}">
              <a16:creationId xmlns:a16="http://schemas.microsoft.com/office/drawing/2014/main" id="{00000000-0008-0000-2700-0000CBED00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58827" name="Text Box 1">
          <a:extLst>
            <a:ext uri="{FF2B5EF4-FFF2-40B4-BE49-F238E27FC236}">
              <a16:creationId xmlns:a16="http://schemas.microsoft.com/office/drawing/2014/main" id="{00000000-0008-0000-2800-0000CBE500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15822" name="Text Box 1">
          <a:extLst>
            <a:ext uri="{FF2B5EF4-FFF2-40B4-BE49-F238E27FC236}">
              <a16:creationId xmlns:a16="http://schemas.microsoft.com/office/drawing/2014/main" id="{00000000-0008-0000-0500-0000CE3D00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63906" name="Text Box 1">
          <a:extLst>
            <a:ext uri="{FF2B5EF4-FFF2-40B4-BE49-F238E27FC236}">
              <a16:creationId xmlns:a16="http://schemas.microsoft.com/office/drawing/2014/main" id="{00000000-0008-0000-2900-0000A2F900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64928" name="Text Box 1">
          <a:extLst>
            <a:ext uri="{FF2B5EF4-FFF2-40B4-BE49-F238E27FC236}">
              <a16:creationId xmlns:a16="http://schemas.microsoft.com/office/drawing/2014/main" id="{00000000-0008-0000-2A00-0000A0FD00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65952" name="Text Box 1">
          <a:extLst>
            <a:ext uri="{FF2B5EF4-FFF2-40B4-BE49-F238E27FC236}">
              <a16:creationId xmlns:a16="http://schemas.microsoft.com/office/drawing/2014/main" id="{00000000-0008-0000-2B00-0000A00101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66976" name="Text Box 1">
          <a:extLst>
            <a:ext uri="{FF2B5EF4-FFF2-40B4-BE49-F238E27FC236}">
              <a16:creationId xmlns:a16="http://schemas.microsoft.com/office/drawing/2014/main" id="{00000000-0008-0000-2C00-0000A00501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68000" name="Text Box 1">
          <a:extLst>
            <a:ext uri="{FF2B5EF4-FFF2-40B4-BE49-F238E27FC236}">
              <a16:creationId xmlns:a16="http://schemas.microsoft.com/office/drawing/2014/main" id="{00000000-0008-0000-2D00-0000A00901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68977" name="Text Box 1">
          <a:extLst>
            <a:ext uri="{FF2B5EF4-FFF2-40B4-BE49-F238E27FC236}">
              <a16:creationId xmlns:a16="http://schemas.microsoft.com/office/drawing/2014/main" id="{00000000-0008-0000-2E00-0000710D01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70001" name="Text Box 1">
          <a:extLst>
            <a:ext uri="{FF2B5EF4-FFF2-40B4-BE49-F238E27FC236}">
              <a16:creationId xmlns:a16="http://schemas.microsoft.com/office/drawing/2014/main" id="{00000000-0008-0000-2F00-0000711101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71025" name="Text Box 1">
          <a:extLst>
            <a:ext uri="{FF2B5EF4-FFF2-40B4-BE49-F238E27FC236}">
              <a16:creationId xmlns:a16="http://schemas.microsoft.com/office/drawing/2014/main" id="{00000000-0008-0000-3000-0000711501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72049" name="Text Box 1">
          <a:extLst>
            <a:ext uri="{FF2B5EF4-FFF2-40B4-BE49-F238E27FC236}">
              <a16:creationId xmlns:a16="http://schemas.microsoft.com/office/drawing/2014/main" id="{00000000-0008-0000-3100-0000711901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73073" name="Text Box 1">
          <a:extLst>
            <a:ext uri="{FF2B5EF4-FFF2-40B4-BE49-F238E27FC236}">
              <a16:creationId xmlns:a16="http://schemas.microsoft.com/office/drawing/2014/main" id="{00000000-0008-0000-3200-0000711D01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16845" name="Text Box 1">
          <a:extLst>
            <a:ext uri="{FF2B5EF4-FFF2-40B4-BE49-F238E27FC236}">
              <a16:creationId xmlns:a16="http://schemas.microsoft.com/office/drawing/2014/main" id="{00000000-0008-0000-0600-0000CD4100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74097" name="Text Box 1">
          <a:extLst>
            <a:ext uri="{FF2B5EF4-FFF2-40B4-BE49-F238E27FC236}">
              <a16:creationId xmlns:a16="http://schemas.microsoft.com/office/drawing/2014/main" id="{00000000-0008-0000-3300-0000712101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75121" name="Text Box 1">
          <a:extLst>
            <a:ext uri="{FF2B5EF4-FFF2-40B4-BE49-F238E27FC236}">
              <a16:creationId xmlns:a16="http://schemas.microsoft.com/office/drawing/2014/main" id="{00000000-0008-0000-3400-0000712501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76145" name="Text Box 1">
          <a:extLst>
            <a:ext uri="{FF2B5EF4-FFF2-40B4-BE49-F238E27FC236}">
              <a16:creationId xmlns:a16="http://schemas.microsoft.com/office/drawing/2014/main" id="{00000000-0008-0000-3500-0000712901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77169" name="Text Box 1">
          <a:extLst>
            <a:ext uri="{FF2B5EF4-FFF2-40B4-BE49-F238E27FC236}">
              <a16:creationId xmlns:a16="http://schemas.microsoft.com/office/drawing/2014/main" id="{00000000-0008-0000-3600-0000712D01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78193" name="Text Box 1">
          <a:extLst>
            <a:ext uri="{FF2B5EF4-FFF2-40B4-BE49-F238E27FC236}">
              <a16:creationId xmlns:a16="http://schemas.microsoft.com/office/drawing/2014/main" id="{00000000-0008-0000-3700-0000713101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79217" name="Text Box 1">
          <a:extLst>
            <a:ext uri="{FF2B5EF4-FFF2-40B4-BE49-F238E27FC236}">
              <a16:creationId xmlns:a16="http://schemas.microsoft.com/office/drawing/2014/main" id="{00000000-0008-0000-3800-0000713501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80185" name="Text Box 1">
          <a:extLst>
            <a:ext uri="{FF2B5EF4-FFF2-40B4-BE49-F238E27FC236}">
              <a16:creationId xmlns:a16="http://schemas.microsoft.com/office/drawing/2014/main" id="{00000000-0008-0000-3900-0000393901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81209" name="Text Box 1">
          <a:extLst>
            <a:ext uri="{FF2B5EF4-FFF2-40B4-BE49-F238E27FC236}">
              <a16:creationId xmlns:a16="http://schemas.microsoft.com/office/drawing/2014/main" id="{00000000-0008-0000-3A00-0000393D01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82233" name="Text Box 1">
          <a:extLst>
            <a:ext uri="{FF2B5EF4-FFF2-40B4-BE49-F238E27FC236}">
              <a16:creationId xmlns:a16="http://schemas.microsoft.com/office/drawing/2014/main" id="{00000000-0008-0000-3B00-0000394101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83257" name="Text Box 1">
          <a:extLst>
            <a:ext uri="{FF2B5EF4-FFF2-40B4-BE49-F238E27FC236}">
              <a16:creationId xmlns:a16="http://schemas.microsoft.com/office/drawing/2014/main" id="{00000000-0008-0000-3C00-0000394501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17869" name="Text Box 1">
          <a:extLst>
            <a:ext uri="{FF2B5EF4-FFF2-40B4-BE49-F238E27FC236}">
              <a16:creationId xmlns:a16="http://schemas.microsoft.com/office/drawing/2014/main" id="{00000000-0008-0000-0700-0000CD4500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84282" name="Text Box 1">
          <a:extLst>
            <a:ext uri="{FF2B5EF4-FFF2-40B4-BE49-F238E27FC236}">
              <a16:creationId xmlns:a16="http://schemas.microsoft.com/office/drawing/2014/main" id="{00000000-0008-0000-3D00-00003A4901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85207" name="Text Box 1">
          <a:extLst>
            <a:ext uri="{FF2B5EF4-FFF2-40B4-BE49-F238E27FC236}">
              <a16:creationId xmlns:a16="http://schemas.microsoft.com/office/drawing/2014/main" id="{00000000-0008-0000-3E00-0000D74C01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86229" name="Text Box 1">
          <a:extLst>
            <a:ext uri="{FF2B5EF4-FFF2-40B4-BE49-F238E27FC236}">
              <a16:creationId xmlns:a16="http://schemas.microsoft.com/office/drawing/2014/main" id="{00000000-0008-0000-3F00-0000D55001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87253" name="Text Box 1">
          <a:extLst>
            <a:ext uri="{FF2B5EF4-FFF2-40B4-BE49-F238E27FC236}">
              <a16:creationId xmlns:a16="http://schemas.microsoft.com/office/drawing/2014/main" id="{00000000-0008-0000-4000-0000D55401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88277" name="Text Box 1">
          <a:extLst>
            <a:ext uri="{FF2B5EF4-FFF2-40B4-BE49-F238E27FC236}">
              <a16:creationId xmlns:a16="http://schemas.microsoft.com/office/drawing/2014/main" id="{00000000-0008-0000-4100-0000D55801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89301" name="Text Box 1">
          <a:extLst>
            <a:ext uri="{FF2B5EF4-FFF2-40B4-BE49-F238E27FC236}">
              <a16:creationId xmlns:a16="http://schemas.microsoft.com/office/drawing/2014/main" id="{00000000-0008-0000-4200-0000D55C01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90325" name="Text Box 1">
          <a:extLst>
            <a:ext uri="{FF2B5EF4-FFF2-40B4-BE49-F238E27FC236}">
              <a16:creationId xmlns:a16="http://schemas.microsoft.com/office/drawing/2014/main" id="{00000000-0008-0000-4300-0000D56001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91349" name="Text Box 1">
          <a:extLst>
            <a:ext uri="{FF2B5EF4-FFF2-40B4-BE49-F238E27FC236}">
              <a16:creationId xmlns:a16="http://schemas.microsoft.com/office/drawing/2014/main" id="{00000000-0008-0000-4400-0000D56401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92373" name="Text Box 1">
          <a:extLst>
            <a:ext uri="{FF2B5EF4-FFF2-40B4-BE49-F238E27FC236}">
              <a16:creationId xmlns:a16="http://schemas.microsoft.com/office/drawing/2014/main" id="{00000000-0008-0000-4500-0000D56801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97463" name="Text Box 1">
          <a:extLst>
            <a:ext uri="{FF2B5EF4-FFF2-40B4-BE49-F238E27FC236}">
              <a16:creationId xmlns:a16="http://schemas.microsoft.com/office/drawing/2014/main" id="{00000000-0008-0000-4600-0000B77C01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97464" name="Text Box 1">
          <a:extLst>
            <a:ext uri="{FF2B5EF4-FFF2-40B4-BE49-F238E27FC236}">
              <a16:creationId xmlns:a16="http://schemas.microsoft.com/office/drawing/2014/main" id="{00000000-0008-0000-4600-0000B87C01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18895" name="Text Box 1">
          <a:extLst>
            <a:ext uri="{FF2B5EF4-FFF2-40B4-BE49-F238E27FC236}">
              <a16:creationId xmlns:a16="http://schemas.microsoft.com/office/drawing/2014/main" id="{00000000-0008-0000-0800-0000CF4900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98487" name="Text Box 1">
          <a:extLst>
            <a:ext uri="{FF2B5EF4-FFF2-40B4-BE49-F238E27FC236}">
              <a16:creationId xmlns:a16="http://schemas.microsoft.com/office/drawing/2014/main" id="{00000000-0008-0000-4700-0000B78001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98488" name="Text Box 1">
          <a:extLst>
            <a:ext uri="{FF2B5EF4-FFF2-40B4-BE49-F238E27FC236}">
              <a16:creationId xmlns:a16="http://schemas.microsoft.com/office/drawing/2014/main" id="{00000000-0008-0000-4700-0000B88001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99511" name="Text Box 1">
          <a:extLst>
            <a:ext uri="{FF2B5EF4-FFF2-40B4-BE49-F238E27FC236}">
              <a16:creationId xmlns:a16="http://schemas.microsoft.com/office/drawing/2014/main" id="{00000000-0008-0000-4800-0000B78401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99512" name="Text Box 1">
          <a:extLst>
            <a:ext uri="{FF2B5EF4-FFF2-40B4-BE49-F238E27FC236}">
              <a16:creationId xmlns:a16="http://schemas.microsoft.com/office/drawing/2014/main" id="{00000000-0008-0000-4800-0000B88401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100535" name="Text Box 1">
          <a:extLst>
            <a:ext uri="{FF2B5EF4-FFF2-40B4-BE49-F238E27FC236}">
              <a16:creationId xmlns:a16="http://schemas.microsoft.com/office/drawing/2014/main" id="{00000000-0008-0000-4900-0000B78801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100536" name="Text Box 1">
          <a:extLst>
            <a:ext uri="{FF2B5EF4-FFF2-40B4-BE49-F238E27FC236}">
              <a16:creationId xmlns:a16="http://schemas.microsoft.com/office/drawing/2014/main" id="{00000000-0008-0000-4900-0000B88801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123825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4A00-000002000000}"/>
            </a:ext>
          </a:extLst>
        </xdr:cNvPr>
        <xdr:cNvSpPr txBox="1">
          <a:spLocks noChangeArrowheads="1"/>
        </xdr:cNvSpPr>
      </xdr:nvSpPr>
      <xdr:spPr bwMode="auto">
        <a:xfrm>
          <a:off x="4083050" y="0"/>
          <a:ext cx="114300" cy="28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123825</xdr:rowOff>
    </xdr:to>
    <xdr:sp macro="" textlink="">
      <xdr:nvSpPr>
        <xdr:cNvPr id="3" name="Text Box 1">
          <a:extLst>
            <a:ext uri="{FF2B5EF4-FFF2-40B4-BE49-F238E27FC236}">
              <a16:creationId xmlns:a16="http://schemas.microsoft.com/office/drawing/2014/main" id="{00000000-0008-0000-4A00-000003000000}"/>
            </a:ext>
          </a:extLst>
        </xdr:cNvPr>
        <xdr:cNvSpPr txBox="1">
          <a:spLocks noChangeArrowheads="1"/>
        </xdr:cNvSpPr>
      </xdr:nvSpPr>
      <xdr:spPr bwMode="auto">
        <a:xfrm>
          <a:off x="4083050" y="0"/>
          <a:ext cx="114300" cy="28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2</xdr:row>
      <xdr:rowOff>66675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4B00-000002000000}"/>
            </a:ext>
          </a:extLst>
        </xdr:cNvPr>
        <xdr:cNvSpPr txBox="1">
          <a:spLocks noChangeArrowheads="1"/>
        </xdr:cNvSpPr>
      </xdr:nvSpPr>
      <xdr:spPr bwMode="auto">
        <a:xfrm>
          <a:off x="4083050" y="0"/>
          <a:ext cx="114300" cy="37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2</xdr:row>
      <xdr:rowOff>66675</xdr:rowOff>
    </xdr:to>
    <xdr:sp macro="" textlink="">
      <xdr:nvSpPr>
        <xdr:cNvPr id="3" name="Text Box 1">
          <a:extLst>
            <a:ext uri="{FF2B5EF4-FFF2-40B4-BE49-F238E27FC236}">
              <a16:creationId xmlns:a16="http://schemas.microsoft.com/office/drawing/2014/main" id="{00000000-0008-0000-4B00-000003000000}"/>
            </a:ext>
          </a:extLst>
        </xdr:cNvPr>
        <xdr:cNvSpPr txBox="1">
          <a:spLocks noChangeArrowheads="1"/>
        </xdr:cNvSpPr>
      </xdr:nvSpPr>
      <xdr:spPr bwMode="auto">
        <a:xfrm>
          <a:off x="4083050" y="0"/>
          <a:ext cx="114300" cy="37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3</xdr:row>
      <xdr:rowOff>66675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4C00-000002000000}"/>
            </a:ext>
          </a:extLst>
        </xdr:cNvPr>
        <xdr:cNvSpPr txBox="1">
          <a:spLocks noChangeArrowheads="1"/>
        </xdr:cNvSpPr>
      </xdr:nvSpPr>
      <xdr:spPr bwMode="auto">
        <a:xfrm>
          <a:off x="4083050" y="0"/>
          <a:ext cx="114300" cy="536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3</xdr:row>
      <xdr:rowOff>66675</xdr:rowOff>
    </xdr:to>
    <xdr:sp macro="" textlink="">
      <xdr:nvSpPr>
        <xdr:cNvPr id="3" name="Text Box 1">
          <a:extLst>
            <a:ext uri="{FF2B5EF4-FFF2-40B4-BE49-F238E27FC236}">
              <a16:creationId xmlns:a16="http://schemas.microsoft.com/office/drawing/2014/main" id="{00000000-0008-0000-4C00-000003000000}"/>
            </a:ext>
          </a:extLst>
        </xdr:cNvPr>
        <xdr:cNvSpPr txBox="1">
          <a:spLocks noChangeArrowheads="1"/>
        </xdr:cNvSpPr>
      </xdr:nvSpPr>
      <xdr:spPr bwMode="auto">
        <a:xfrm>
          <a:off x="4083050" y="0"/>
          <a:ext cx="114300" cy="536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6A01052C-F51E-42F2-97EA-4EF4137EB616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12749" name="Text Box 1">
          <a:extLst>
            <a:ext uri="{FF2B5EF4-FFF2-40B4-BE49-F238E27FC236}">
              <a16:creationId xmlns:a16="http://schemas.microsoft.com/office/drawing/2014/main" id="{00000000-0008-0000-4D00-0000CD3100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19918" name="Text Box 1">
          <a:extLst>
            <a:ext uri="{FF2B5EF4-FFF2-40B4-BE49-F238E27FC236}">
              <a16:creationId xmlns:a16="http://schemas.microsoft.com/office/drawing/2014/main" id="{00000000-0008-0000-0900-0000CE4D00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20946" name="Text Box 1">
          <a:extLst>
            <a:ext uri="{FF2B5EF4-FFF2-40B4-BE49-F238E27FC236}">
              <a16:creationId xmlns:a16="http://schemas.microsoft.com/office/drawing/2014/main" id="{00000000-0008-0000-0A00-0000D25100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pricing/dbw/SWPP%20Form%20Rate/Lila%20added/AEP%20SPP%20For%20Rate%20Proj%20w%2013%20mth%20rate%20base%20june-07%20-%20June-08xl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pact of Revisions"/>
      <sheetName val="Zonal Rates"/>
      <sheetName val="Sch 1 Rates"/>
      <sheetName val="Load WS"/>
      <sheetName val="PSO 2008 TCOS 13 Mnth"/>
      <sheetName val="PSO WsA Rev Credits"/>
      <sheetName val="PSO WsB IPP"/>
      <sheetName val="PSO WsC RB Tax"/>
      <sheetName val="PSO Ws C-1 2008 ADIT Avg Bal"/>
      <sheetName val="PSO WsD Misc Exp"/>
      <sheetName val="PSO WsE Acct 561"/>
      <sheetName val="PSO WsF Inc Prjts"/>
      <sheetName val="PSO WsG BPU"/>
      <sheetName val="PSO WsI Bal Sheet"/>
      <sheetName val="PSO WsI - 1 13 Month Prepaids"/>
      <sheetName val="PSO WsJ Tax"/>
      <sheetName val="PSO WsK CWIP"/>
      <sheetName val="SWP TCOS 2008 13 Month"/>
      <sheetName val="SWP WsA Rev Credits"/>
      <sheetName val="SWP WsB IPP"/>
      <sheetName val="SWP WsC RB Tax"/>
      <sheetName val="SWP WsC-1 ADIT 2008 13 Mth Avg "/>
      <sheetName val="SWP WsD Misc Exp"/>
      <sheetName val="SWP WsE Acct 561"/>
      <sheetName val="SWP WsF Inc Prjts"/>
      <sheetName val="SWP WsG BPU"/>
      <sheetName val="SWP WsI Bal Sheet"/>
      <sheetName val="SWP WsI-1 13 Month Prepaids "/>
      <sheetName val="SWP WsJ Tax"/>
      <sheetName val="SWP WsK CWIP"/>
      <sheetName val="FERC Balance Sheet"/>
      <sheetName val="PSO 13 Month Rate Base"/>
      <sheetName val="SWEPCo 13 Month Rate Base"/>
      <sheetName val="Plant Detail - Book"/>
      <sheetName val="FERC Income Stmt w Details"/>
      <sheetName val="Depreciation Detail"/>
      <sheetName val="Taxes Other Detai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317">
          <cell r="I317" t="str">
            <v>CE</v>
          </cell>
          <cell r="J317">
            <v>6.3272239966292818E-2</v>
          </cell>
        </row>
        <row r="318">
          <cell r="I318" t="str">
            <v>DA</v>
          </cell>
          <cell r="J318">
            <v>1</v>
          </cell>
        </row>
        <row r="319">
          <cell r="I319" t="str">
            <v>GP(b)</v>
          </cell>
          <cell r="J319">
            <v>0.17830317329522682</v>
          </cell>
        </row>
        <row r="320">
          <cell r="I320" t="str">
            <v>GP(p)</v>
          </cell>
          <cell r="J320">
            <v>0.17830317329522682</v>
          </cell>
        </row>
        <row r="321">
          <cell r="I321" t="str">
            <v>GTD(p)</v>
          </cell>
          <cell r="J321">
            <v>0.35796417623075211</v>
          </cell>
        </row>
        <row r="322">
          <cell r="I322" t="str">
            <v>GTD(h)</v>
          </cell>
          <cell r="J322">
            <v>0.35796417623075211</v>
          </cell>
        </row>
        <row r="323">
          <cell r="I323" t="str">
            <v>NA</v>
          </cell>
          <cell r="J323">
            <v>0</v>
          </cell>
        </row>
        <row r="324">
          <cell r="I324" t="str">
            <v>NP(b)</v>
          </cell>
          <cell r="J324">
            <v>0.21388078637862473</v>
          </cell>
        </row>
        <row r="325">
          <cell r="I325" t="str">
            <v>NP(p)</v>
          </cell>
          <cell r="J325">
            <v>0.21388078637862473</v>
          </cell>
        </row>
        <row r="326">
          <cell r="I326" t="str">
            <v>TP</v>
          </cell>
          <cell r="J326">
            <v>0.97384420488446088</v>
          </cell>
        </row>
        <row r="327">
          <cell r="I327" t="str">
            <v>TP1</v>
          </cell>
          <cell r="J327">
            <v>0.98824625472059235</v>
          </cell>
        </row>
        <row r="328">
          <cell r="I328" t="str">
            <v>W/S</v>
          </cell>
          <cell r="J328">
            <v>6.3272239966292818E-2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5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6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7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8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6.bin"/><Relationship Id="rId4" Type="http://schemas.openxmlformats.org/officeDocument/2006/relationships/comments" Target="../comments9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7.bin"/><Relationship Id="rId4" Type="http://schemas.openxmlformats.org/officeDocument/2006/relationships/comments" Target="../comments10.xm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8.bin"/><Relationship Id="rId4" Type="http://schemas.openxmlformats.org/officeDocument/2006/relationships/comments" Target="../comments11.xm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9.bin"/><Relationship Id="rId4" Type="http://schemas.openxmlformats.org/officeDocument/2006/relationships/comments" Target="../comments12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0.bin"/><Relationship Id="rId4" Type="http://schemas.openxmlformats.org/officeDocument/2006/relationships/comments" Target="../comments13.x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3.bin"/><Relationship Id="rId4" Type="http://schemas.openxmlformats.org/officeDocument/2006/relationships/comments" Target="../comments14.xm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4.xml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2.bin"/><Relationship Id="rId4" Type="http://schemas.openxmlformats.org/officeDocument/2006/relationships/comments" Target="../comments15.xml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3.bin"/><Relationship Id="rId4" Type="http://schemas.openxmlformats.org/officeDocument/2006/relationships/comments" Target="../comments16.xml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AA223"/>
  <sheetViews>
    <sheetView tabSelected="1" zoomScale="60" zoomScaleNormal="60" workbookViewId="0">
      <pane ySplit="16" topLeftCell="A85" activePane="bottomLeft" state="frozen"/>
      <selection activeCell="A17" sqref="A17"/>
      <selection pane="bottomLeft" activeCell="H4" sqref="H4"/>
    </sheetView>
  </sheetViews>
  <sheetFormatPr defaultColWidth="8.7109375" defaultRowHeight="12.75" customHeight="1"/>
  <cols>
    <col min="1" max="1" width="7.42578125" style="183" customWidth="1"/>
    <col min="2" max="2" width="7" style="183" bestFit="1" customWidth="1"/>
    <col min="3" max="3" width="45.7109375" style="183" customWidth="1"/>
    <col min="4" max="4" width="9.28515625" style="183" customWidth="1"/>
    <col min="5" max="7" width="15.42578125" style="183" bestFit="1" customWidth="1"/>
    <col min="8" max="8" width="3.28515625" style="183" customWidth="1"/>
    <col min="9" max="9" width="16.7109375" style="183" customWidth="1"/>
    <col min="10" max="10" width="13" style="183" customWidth="1"/>
    <col min="11" max="11" width="13.5703125" style="183" customWidth="1"/>
    <col min="12" max="12" width="17" style="183" customWidth="1"/>
    <col min="13" max="13" width="2.42578125" style="183" customWidth="1"/>
    <col min="14" max="14" width="6.28515625" style="183" customWidth="1"/>
    <col min="15" max="15" width="8.28515625" style="183" customWidth="1"/>
    <col min="16" max="16" width="10.7109375" style="183" customWidth="1"/>
    <col min="17" max="17" width="12.85546875" style="183" bestFit="1" customWidth="1"/>
    <col min="18" max="18" width="18.5703125" style="183" customWidth="1"/>
    <col min="19" max="19" width="2.42578125" style="183" customWidth="1"/>
    <col min="20" max="20" width="19.140625" style="183" bestFit="1" customWidth="1"/>
    <col min="21" max="21" width="8.7109375" style="183"/>
    <col min="22" max="22" width="16.7109375" style="183" customWidth="1"/>
    <col min="23" max="16384" width="8.7109375" style="183"/>
  </cols>
  <sheetData>
    <row r="1" spans="1:24" ht="15">
      <c r="H1" s="184" t="s">
        <v>166</v>
      </c>
      <c r="U1" s="183">
        <v>2023</v>
      </c>
    </row>
    <row r="2" spans="1:24" ht="15">
      <c r="H2" s="185" t="s">
        <v>167</v>
      </c>
      <c r="U2" s="183">
        <v>2024</v>
      </c>
    </row>
    <row r="3" spans="1:24" ht="15">
      <c r="H3" s="186" t="str">
        <f>"For Calendar Year "&amp;U2-1&amp;" and Projected Year "&amp;U2</f>
        <v>For Calendar Year 2023 and Projected Year 2024</v>
      </c>
    </row>
    <row r="4" spans="1:24" ht="15">
      <c r="H4" s="187"/>
    </row>
    <row r="5" spans="1:24" ht="15.75">
      <c r="H5" s="188" t="s">
        <v>168</v>
      </c>
    </row>
    <row r="7" spans="1:24" ht="18">
      <c r="C7" s="189"/>
      <c r="E7" s="189"/>
      <c r="F7" s="189"/>
      <c r="G7" s="189"/>
      <c r="H7" s="190" t="s">
        <v>135</v>
      </c>
      <c r="I7" s="189"/>
      <c r="J7" s="189"/>
      <c r="K7" s="189"/>
      <c r="L7" s="189"/>
    </row>
    <row r="8" spans="1:24">
      <c r="D8" s="191"/>
    </row>
    <row r="9" spans="1:24">
      <c r="A9" s="183" t="str">
        <f>"Note: Some project's final trued-up cost may not meet SPP's $100,000 threshold for socialization.  In that case a true-up of the pirior year ARR will be made in columns "&amp;I12&amp;" through "&amp;Q12&amp;", but no projected ARR will be shown in columns "&amp;E12&amp;" through "&amp;LEFT(G12,3)&amp;" for the current year."</f>
        <v>Note: Some project's final trued-up cost may not meet SPP's $100,000 threshold for socialization.  In that case a true-up of the pirior year ARR will be made in columns (H) through (O), but no projected ARR will be shown in columns (E) through (G) for the current year.</v>
      </c>
    </row>
    <row r="12" spans="1:24" ht="24.75" customHeight="1">
      <c r="A12" s="192" t="s">
        <v>169</v>
      </c>
      <c r="B12" s="192" t="s">
        <v>170</v>
      </c>
      <c r="C12" s="193" t="s">
        <v>171</v>
      </c>
      <c r="D12" s="192" t="s">
        <v>172</v>
      </c>
      <c r="E12" s="192" t="s">
        <v>173</v>
      </c>
      <c r="F12" s="192" t="s">
        <v>174</v>
      </c>
      <c r="G12" s="192" t="str">
        <f>"(G) = "&amp;E12&amp;" + "&amp;F12</f>
        <v>(G) = (E) + (F)</v>
      </c>
      <c r="H12" s="192"/>
      <c r="I12" s="192" t="s">
        <v>175</v>
      </c>
      <c r="J12" s="192" t="s">
        <v>176</v>
      </c>
      <c r="K12" s="192" t="s">
        <v>212</v>
      </c>
      <c r="L12" s="192" t="str">
        <f>"(K) = "&amp;J12&amp;" - "&amp;K12</f>
        <v>(K) = (I) - (J)</v>
      </c>
      <c r="M12" s="192"/>
      <c r="N12" s="192" t="s">
        <v>216</v>
      </c>
      <c r="O12" s="192" t="s">
        <v>177</v>
      </c>
      <c r="P12" s="192" t="str">
        <f>"(N) = "&amp;N12&amp;"-"&amp;O12</f>
        <v>(N) = (L)-(M)</v>
      </c>
      <c r="Q12" s="192" t="s">
        <v>217</v>
      </c>
      <c r="R12" s="192" t="str">
        <f>"(P) = "&amp;I12&amp;"+"&amp;LEFT(L12,3)&amp;"+"&amp;LEFT(P12,3)&amp;"+"&amp;Q12</f>
        <v>(P) = (H)+(K)+(N)+(O)</v>
      </c>
      <c r="S12" s="192"/>
      <c r="T12" s="192" t="str">
        <f>"(R) = "&amp;LEFT(G12,3)&amp;" + "&amp;LEFT(R12,3)</f>
        <v>(R) = (G) + (P)</v>
      </c>
      <c r="U12" s="192"/>
      <c r="V12" s="194"/>
      <c r="W12" s="194"/>
    </row>
    <row r="13" spans="1:24" ht="16.5" customHeight="1">
      <c r="A13" s="195"/>
      <c r="B13" s="195"/>
      <c r="C13" s="195"/>
      <c r="D13" s="195"/>
      <c r="E13" s="676" t="str">
        <f>"Projected ARR For "&amp;U2&amp;" From WS-F"</f>
        <v>Projected ARR For 2024 From WS-F</v>
      </c>
      <c r="F13" s="676"/>
      <c r="G13" s="676"/>
      <c r="H13" s="195"/>
      <c r="I13" s="196" t="str">
        <f>"True-Up ARR CY"&amp;U2-2&amp;" From Worksheet G  (includes adjustment for SPP Collections)"</f>
        <v>True-Up ARR CY2022 From Worksheet G  (includes adjustment for SPP Collections)</v>
      </c>
      <c r="J13" s="196"/>
      <c r="K13" s="196"/>
      <c r="L13" s="196"/>
      <c r="M13" s="196"/>
      <c r="N13" s="196"/>
      <c r="O13" s="196"/>
      <c r="P13" s="196"/>
      <c r="Q13" s="196"/>
      <c r="R13" s="196"/>
      <c r="S13" s="195"/>
      <c r="T13" s="195"/>
      <c r="U13" s="195"/>
    </row>
    <row r="14" spans="1:24" ht="18" customHeight="1">
      <c r="I14" s="197"/>
      <c r="T14" s="677" t="str">
        <f>"Total ADJUSTED Revenue Requirement Effective
1/1/"&amp;U1&amp;""</f>
        <v>Total ADJUSTED Revenue Requirement Effective
1/1/2023</v>
      </c>
    </row>
    <row r="15" spans="1:24" ht="18" customHeight="1" thickBot="1">
      <c r="D15" s="195"/>
      <c r="E15" s="198"/>
      <c r="F15" s="198"/>
      <c r="G15" s="198"/>
      <c r="I15" s="196" t="s">
        <v>181</v>
      </c>
      <c r="J15" s="199"/>
      <c r="K15" s="196"/>
      <c r="L15" s="199"/>
      <c r="M15" s="200"/>
      <c r="N15" s="196" t="s">
        <v>218</v>
      </c>
      <c r="O15" s="201"/>
      <c r="P15" s="201"/>
      <c r="Q15" s="202"/>
      <c r="T15" s="677"/>
    </row>
    <row r="16" spans="1:24" ht="71.25" customHeight="1">
      <c r="A16" s="203" t="s">
        <v>178</v>
      </c>
      <c r="B16" s="204" t="s">
        <v>179</v>
      </c>
      <c r="C16" s="204" t="s">
        <v>117</v>
      </c>
      <c r="D16" s="205" t="s">
        <v>180</v>
      </c>
      <c r="E16" s="206" t="s">
        <v>181</v>
      </c>
      <c r="F16" s="206" t="s">
        <v>182</v>
      </c>
      <c r="G16" s="205" t="s">
        <v>183</v>
      </c>
      <c r="I16" s="207" t="s">
        <v>211</v>
      </c>
      <c r="J16" s="672" t="s">
        <v>264</v>
      </c>
      <c r="K16" s="672" t="s">
        <v>232</v>
      </c>
      <c r="L16" s="207" t="s">
        <v>215</v>
      </c>
      <c r="M16" s="207"/>
      <c r="N16" s="208" t="s">
        <v>184</v>
      </c>
      <c r="O16" s="208" t="s">
        <v>185</v>
      </c>
      <c r="P16" s="209" t="s">
        <v>186</v>
      </c>
      <c r="Q16" s="209" t="s">
        <v>187</v>
      </c>
      <c r="R16" s="210" t="s">
        <v>219</v>
      </c>
      <c r="T16" s="677"/>
      <c r="V16" s="211" t="s">
        <v>220</v>
      </c>
      <c r="X16" s="183" t="s">
        <v>513</v>
      </c>
    </row>
    <row r="17" spans="1:27">
      <c r="B17" s="195"/>
      <c r="C17" s="195"/>
      <c r="E17" s="212"/>
      <c r="F17" s="212"/>
      <c r="G17" s="212"/>
      <c r="I17" s="212"/>
      <c r="J17" s="212"/>
      <c r="K17" s="212"/>
      <c r="L17" s="212"/>
      <c r="M17" s="212"/>
      <c r="N17" s="212"/>
      <c r="O17" s="212"/>
      <c r="P17" s="212"/>
      <c r="Q17" s="212"/>
      <c r="R17" s="212"/>
      <c r="T17" s="212"/>
      <c r="V17" s="213"/>
    </row>
    <row r="18" spans="1:27">
      <c r="A18" s="214" t="s">
        <v>190</v>
      </c>
      <c r="B18" s="192" t="s">
        <v>191</v>
      </c>
      <c r="C18" s="215" t="str">
        <f t="shared" ref="C18:F37" ca="1" si="0">INDIRECT("'"&amp; $A18 &amp; "'!" &amp;C$103)</f>
        <v>Arsenal Hill Auto xfmr &amp; AH to Water Works line</v>
      </c>
      <c r="D18" s="216">
        <f t="shared" ca="1" si="0"/>
        <v>2009</v>
      </c>
      <c r="E18" s="665">
        <f ca="1">INDIRECT("'"&amp; $A18 &amp; "'!" &amp;E$103)</f>
        <v>1776520.6128682327</v>
      </c>
      <c r="F18" s="218">
        <f t="shared" ca="1" si="0"/>
        <v>0</v>
      </c>
      <c r="G18" s="218">
        <f t="shared" ref="G18:G23" ca="1" si="1">+E18+F18</f>
        <v>1776520.6128682327</v>
      </c>
      <c r="H18" s="219"/>
      <c r="I18" s="221">
        <v>70820.122501385864</v>
      </c>
      <c r="J18" s="221">
        <v>1755464.4741435447</v>
      </c>
      <c r="K18" s="221">
        <v>1871969.3764499894</v>
      </c>
      <c r="L18" s="217">
        <f t="shared" ref="L18:L42" si="2">+J18-K18</f>
        <v>-116504.90230644471</v>
      </c>
      <c r="M18" s="217"/>
      <c r="N18" s="218">
        <v>0</v>
      </c>
      <c r="O18" s="218">
        <v>0</v>
      </c>
      <c r="P18" s="218">
        <f t="shared" ref="P18:P23" si="3">+N18-O18</f>
        <v>0</v>
      </c>
      <c r="Q18" s="217">
        <f t="shared" ref="Q18:Q49" si="4">+V18/$V$96 * $Q$96</f>
        <v>-6263.5194291639918</v>
      </c>
      <c r="R18" s="222">
        <f>I18+L18+P18+Q18</f>
        <v>-51948.299234222839</v>
      </c>
      <c r="S18" s="222"/>
      <c r="T18" s="223">
        <f t="shared" ref="T18:T42" ca="1" si="5">+G18+R18</f>
        <v>1724572.3136340098</v>
      </c>
      <c r="V18" s="224">
        <f>+I18+L18+P18</f>
        <v>-45684.779805058846</v>
      </c>
      <c r="W18" s="183" t="str">
        <f>A18</f>
        <v>S.001</v>
      </c>
      <c r="X18" s="183" t="s">
        <v>519</v>
      </c>
      <c r="AA18" s="668"/>
    </row>
    <row r="19" spans="1:27">
      <c r="A19" s="214" t="s">
        <v>192</v>
      </c>
      <c r="B19" s="192" t="s">
        <v>191</v>
      </c>
      <c r="C19" s="215" t="str">
        <f t="shared" ca="1" si="0"/>
        <v>SW Shreveport (sub work &amp; tap)</v>
      </c>
      <c r="D19" s="216">
        <f t="shared" ca="1" si="0"/>
        <v>2009</v>
      </c>
      <c r="E19" s="665">
        <f t="shared" ca="1" si="0"/>
        <v>809354.80776179023</v>
      </c>
      <c r="F19" s="218">
        <f t="shared" ca="1" si="0"/>
        <v>0</v>
      </c>
      <c r="G19" s="218">
        <f t="shared" ca="1" si="1"/>
        <v>809354.80776179023</v>
      </c>
      <c r="H19" s="219"/>
      <c r="I19" s="221">
        <v>43140.718063325505</v>
      </c>
      <c r="J19" s="221">
        <v>811032.66412380477</v>
      </c>
      <c r="K19" s="221">
        <v>864858.46504021389</v>
      </c>
      <c r="L19" s="217">
        <f t="shared" si="2"/>
        <v>-53825.80091640912</v>
      </c>
      <c r="M19" s="217"/>
      <c r="N19" s="218">
        <v>0</v>
      </c>
      <c r="O19" s="218">
        <v>0</v>
      </c>
      <c r="P19" s="218">
        <f t="shared" si="3"/>
        <v>0</v>
      </c>
      <c r="Q19" s="217">
        <f t="shared" si="4"/>
        <v>-1464.9566953829394</v>
      </c>
      <c r="R19" s="222">
        <f t="shared" ref="R19:R42" si="6">I19+L19+P19+Q19</f>
        <v>-12150.039548466555</v>
      </c>
      <c r="S19" s="222"/>
      <c r="T19" s="225">
        <f t="shared" ca="1" si="5"/>
        <v>797204.76821332367</v>
      </c>
      <c r="V19" s="224">
        <f t="shared" ref="V19:V37" si="7">+I19+L19+P19</f>
        <v>-10685.082853083615</v>
      </c>
      <c r="W19" s="183" t="str">
        <f t="shared" ref="W19:W37" si="8">A19</f>
        <v>S.002</v>
      </c>
      <c r="X19" s="183" t="s">
        <v>520</v>
      </c>
      <c r="AA19" s="668"/>
    </row>
    <row r="20" spans="1:27" ht="25.5">
      <c r="A20" s="214" t="s">
        <v>193</v>
      </c>
      <c r="B20" s="192" t="s">
        <v>191</v>
      </c>
      <c r="C20" s="226" t="str">
        <f t="shared" ca="1" si="0"/>
        <v>[NW Ark Area Improve - 2009]  E. Centerton-Flint Crk, E Rogers-N Rogers, Centerton</v>
      </c>
      <c r="D20" s="216">
        <f t="shared" ca="1" si="0"/>
        <v>2009</v>
      </c>
      <c r="E20" s="665">
        <f t="shared" ca="1" si="0"/>
        <v>1378307.6805434467</v>
      </c>
      <c r="F20" s="218">
        <f t="shared" ca="1" si="0"/>
        <v>0</v>
      </c>
      <c r="G20" s="218">
        <f t="shared" ca="1" si="1"/>
        <v>1378307.6805434467</v>
      </c>
      <c r="H20" s="219"/>
      <c r="I20" s="221">
        <v>39003.575742932968</v>
      </c>
      <c r="J20" s="221">
        <v>1348751.4034783577</v>
      </c>
      <c r="K20" s="221">
        <v>1438263.9813814734</v>
      </c>
      <c r="L20" s="217">
        <f t="shared" si="2"/>
        <v>-89512.577903115656</v>
      </c>
      <c r="M20" s="217"/>
      <c r="N20" s="218">
        <v>0</v>
      </c>
      <c r="O20" s="218">
        <v>0</v>
      </c>
      <c r="P20" s="218">
        <f t="shared" si="3"/>
        <v>0</v>
      </c>
      <c r="Q20" s="217">
        <f t="shared" si="4"/>
        <v>-6924.9346878313763</v>
      </c>
      <c r="R20" s="222">
        <f t="shared" si="6"/>
        <v>-57433.936848014062</v>
      </c>
      <c r="S20" s="222"/>
      <c r="T20" s="225">
        <f t="shared" ca="1" si="5"/>
        <v>1320873.7436954326</v>
      </c>
      <c r="V20" s="224">
        <f t="shared" si="7"/>
        <v>-50509.002160182688</v>
      </c>
      <c r="W20" s="183" t="str">
        <f t="shared" si="8"/>
        <v>S.003</v>
      </c>
      <c r="X20" s="183" t="s">
        <v>521</v>
      </c>
      <c r="AA20" s="668"/>
    </row>
    <row r="21" spans="1:27">
      <c r="A21" s="214" t="s">
        <v>194</v>
      </c>
      <c r="B21" s="192" t="s">
        <v>191</v>
      </c>
      <c r="C21" s="226" t="str">
        <f t="shared" ca="1" si="0"/>
        <v>Rebuild N. Magazine - Danville 161 kV Line</v>
      </c>
      <c r="D21" s="216">
        <f t="shared" ca="1" si="0"/>
        <v>2009</v>
      </c>
      <c r="E21" s="665">
        <f t="shared" ca="1" si="0"/>
        <v>1156220.1690071991</v>
      </c>
      <c r="F21" s="218">
        <f t="shared" ca="1" si="0"/>
        <v>0</v>
      </c>
      <c r="G21" s="218">
        <f t="shared" ca="1" si="1"/>
        <v>1156220.1690071991</v>
      </c>
      <c r="H21" s="219"/>
      <c r="I21" s="221">
        <v>35993.370846422156</v>
      </c>
      <c r="J21" s="221">
        <v>1134494.2165659727</v>
      </c>
      <c r="K21" s="221">
        <v>1209787.1887764928</v>
      </c>
      <c r="L21" s="217">
        <f t="shared" si="2"/>
        <v>-75292.97221052018</v>
      </c>
      <c r="M21" s="217"/>
      <c r="N21" s="218">
        <v>0</v>
      </c>
      <c r="O21" s="218">
        <v>0</v>
      </c>
      <c r="P21" s="218">
        <f t="shared" si="3"/>
        <v>0</v>
      </c>
      <c r="Q21" s="217">
        <f t="shared" si="4"/>
        <v>-5388.0924402566607</v>
      </c>
      <c r="R21" s="222">
        <f t="shared" si="6"/>
        <v>-44687.693804354683</v>
      </c>
      <c r="S21" s="222"/>
      <c r="T21" s="225">
        <f t="shared" ca="1" si="5"/>
        <v>1111532.4752028445</v>
      </c>
      <c r="V21" s="224">
        <f t="shared" si="7"/>
        <v>-39299.601364098024</v>
      </c>
      <c r="W21" s="183" t="str">
        <f t="shared" si="8"/>
        <v>S.004</v>
      </c>
      <c r="X21" s="183" t="s">
        <v>522</v>
      </c>
      <c r="AA21" s="668"/>
    </row>
    <row r="22" spans="1:27" ht="25.5">
      <c r="A22" s="214" t="s">
        <v>195</v>
      </c>
      <c r="B22" s="192" t="s">
        <v>191</v>
      </c>
      <c r="C22" s="226" t="str">
        <f t="shared" ca="1" si="0"/>
        <v>[Greenwood, AR Area Improve]  N Huntington, Greenwood, Reeves, Bonanza</v>
      </c>
      <c r="D22" s="216">
        <f t="shared" ca="1" si="0"/>
        <v>2009</v>
      </c>
      <c r="E22" s="665">
        <f t="shared" ca="1" si="0"/>
        <v>299804.51267473632</v>
      </c>
      <c r="F22" s="218">
        <f t="shared" ca="1" si="0"/>
        <v>0</v>
      </c>
      <c r="G22" s="218">
        <f t="shared" ca="1" si="1"/>
        <v>299804.51267473632</v>
      </c>
      <c r="H22" s="219"/>
      <c r="I22" s="221">
        <v>11913.714487591293</v>
      </c>
      <c r="J22" s="221">
        <v>296216.46268038446</v>
      </c>
      <c r="K22" s="221">
        <v>315875.45923340548</v>
      </c>
      <c r="L22" s="217">
        <f t="shared" si="2"/>
        <v>-19658.996553021017</v>
      </c>
      <c r="M22" s="217"/>
      <c r="N22" s="218">
        <v>0</v>
      </c>
      <c r="O22" s="218">
        <v>0</v>
      </c>
      <c r="P22" s="218">
        <f t="shared" si="3"/>
        <v>0</v>
      </c>
      <c r="Q22" s="217">
        <f t="shared" si="4"/>
        <v>-1061.9012482534174</v>
      </c>
      <c r="R22" s="222">
        <f t="shared" si="6"/>
        <v>-8807.1833136831428</v>
      </c>
      <c r="S22" s="222"/>
      <c r="T22" s="225">
        <f t="shared" ca="1" si="5"/>
        <v>290997.32936105318</v>
      </c>
      <c r="V22" s="224">
        <f t="shared" si="7"/>
        <v>-7745.2820654297248</v>
      </c>
      <c r="W22" s="183" t="str">
        <f t="shared" si="8"/>
        <v>S.005</v>
      </c>
      <c r="X22" s="183" t="s">
        <v>523</v>
      </c>
      <c r="AA22" s="668"/>
    </row>
    <row r="23" spans="1:27">
      <c r="A23" s="214" t="s">
        <v>196</v>
      </c>
      <c r="B23" s="192" t="s">
        <v>191</v>
      </c>
      <c r="C23" s="226" t="str">
        <f t="shared" ca="1" si="0"/>
        <v>Port Robson-Caplis Line (SW 138 kV Loop -- 2009)</v>
      </c>
      <c r="D23" s="216">
        <f t="shared" ca="1" si="0"/>
        <v>2009</v>
      </c>
      <c r="E23" s="665">
        <f t="shared" ca="1" si="0"/>
        <v>3838521.4401582326</v>
      </c>
      <c r="F23" s="218">
        <f t="shared" ca="1" si="0"/>
        <v>0</v>
      </c>
      <c r="G23" s="218">
        <f t="shared" ca="1" si="1"/>
        <v>3838521.4401582326</v>
      </c>
      <c r="H23" s="219"/>
      <c r="I23" s="221">
        <v>186174.17799068196</v>
      </c>
      <c r="J23" s="221">
        <v>3813975.7115069507</v>
      </c>
      <c r="K23" s="221">
        <v>4067097.8191958903</v>
      </c>
      <c r="L23" s="217">
        <f t="shared" si="2"/>
        <v>-253122.10768893966</v>
      </c>
      <c r="M23" s="217"/>
      <c r="N23" s="218">
        <v>0</v>
      </c>
      <c r="O23" s="218">
        <v>0</v>
      </c>
      <c r="P23" s="218">
        <f t="shared" si="3"/>
        <v>0</v>
      </c>
      <c r="Q23" s="217">
        <f t="shared" si="4"/>
        <v>-9178.7606331180832</v>
      </c>
      <c r="R23" s="222">
        <f t="shared" si="6"/>
        <v>-76126.690331375794</v>
      </c>
      <c r="S23" s="222"/>
      <c r="T23" s="225">
        <f t="shared" ca="1" si="5"/>
        <v>3762394.7498268569</v>
      </c>
      <c r="U23" s="227"/>
      <c r="V23" s="224">
        <f t="shared" si="7"/>
        <v>-66947.929698257707</v>
      </c>
      <c r="W23" s="227" t="str">
        <f t="shared" si="8"/>
        <v>S.006</v>
      </c>
      <c r="X23" s="183" t="s">
        <v>524</v>
      </c>
      <c r="AA23" s="668"/>
    </row>
    <row r="24" spans="1:27">
      <c r="A24" s="214" t="s">
        <v>197</v>
      </c>
      <c r="B24" s="192" t="s">
        <v>191</v>
      </c>
      <c r="C24" s="226" t="str">
        <f t="shared" ca="1" si="0"/>
        <v>Linwood 138 Station Switch Replacement*</v>
      </c>
      <c r="D24" s="216">
        <f t="shared" ca="1" si="0"/>
        <v>2009</v>
      </c>
      <c r="E24" s="665">
        <f t="shared" ca="1" si="0"/>
        <v>7679.5085788913384</v>
      </c>
      <c r="F24" s="218">
        <f t="shared" ca="1" si="0"/>
        <v>0</v>
      </c>
      <c r="G24" s="218">
        <f t="shared" ref="G24:G36" ca="1" si="9">+E24+F24</f>
        <v>7679.5085788913384</v>
      </c>
      <c r="H24" s="219"/>
      <c r="I24" s="221">
        <v>323.46264921476086</v>
      </c>
      <c r="J24" s="221">
        <v>7611.2531204470333</v>
      </c>
      <c r="K24" s="221">
        <v>8116.3891196588256</v>
      </c>
      <c r="L24" s="217">
        <f t="shared" si="2"/>
        <v>-505.1359992117923</v>
      </c>
      <c r="M24" s="217"/>
      <c r="N24" s="218">
        <v>0</v>
      </c>
      <c r="O24" s="218">
        <v>0</v>
      </c>
      <c r="P24" s="218">
        <f t="shared" ref="P24:P36" si="10">+N24-O24</f>
        <v>0</v>
      </c>
      <c r="Q24" s="217">
        <f t="shared" si="4"/>
        <v>-24.907957580693228</v>
      </c>
      <c r="R24" s="222">
        <f t="shared" si="6"/>
        <v>-206.58130757772466</v>
      </c>
      <c r="S24" s="228" t="s">
        <v>266</v>
      </c>
      <c r="T24" s="225">
        <f t="shared" ca="1" si="5"/>
        <v>7472.9272713136133</v>
      </c>
      <c r="V24" s="224">
        <f t="shared" si="7"/>
        <v>-181.67334999703144</v>
      </c>
      <c r="W24" s="183" t="str">
        <f t="shared" si="8"/>
        <v>S.007</v>
      </c>
      <c r="X24" s="183" t="s">
        <v>525</v>
      </c>
      <c r="AA24" s="668"/>
    </row>
    <row r="25" spans="1:27" ht="25.5">
      <c r="A25" s="214" t="s">
        <v>198</v>
      </c>
      <c r="B25" s="192" t="s">
        <v>191</v>
      </c>
      <c r="C25" s="226" t="str">
        <f t="shared" ca="1" si="0"/>
        <v>Dyess to S. Fayetteville 69 kV Convert to 161 kV (multi-projects)</v>
      </c>
      <c r="D25" s="216">
        <f t="shared" ca="1" si="0"/>
        <v>2008</v>
      </c>
      <c r="E25" s="665">
        <f t="shared" ca="1" si="0"/>
        <v>933360.80237017514</v>
      </c>
      <c r="F25" s="218">
        <f t="shared" ca="1" si="0"/>
        <v>0</v>
      </c>
      <c r="G25" s="218">
        <f t="shared" ca="1" si="9"/>
        <v>933360.80237017514</v>
      </c>
      <c r="H25" s="219"/>
      <c r="I25" s="221">
        <v>45579.214106648928</v>
      </c>
      <c r="J25" s="221">
        <v>931578.25308583817</v>
      </c>
      <c r="K25" s="221">
        <v>993404.30252470542</v>
      </c>
      <c r="L25" s="217">
        <f t="shared" si="2"/>
        <v>-61826.049438867252</v>
      </c>
      <c r="M25" s="217"/>
      <c r="N25" s="218">
        <v>0</v>
      </c>
      <c r="O25" s="218">
        <v>0</v>
      </c>
      <c r="P25" s="218">
        <f t="shared" si="10"/>
        <v>0</v>
      </c>
      <c r="Q25" s="217">
        <f t="shared" si="4"/>
        <v>-2227.489531524654</v>
      </c>
      <c r="R25" s="222">
        <f t="shared" si="6"/>
        <v>-18474.324863742979</v>
      </c>
      <c r="S25" s="222"/>
      <c r="T25" s="225">
        <f t="shared" ca="1" si="5"/>
        <v>914886.47750643222</v>
      </c>
      <c r="V25" s="224">
        <f t="shared" si="7"/>
        <v>-16246.835332218325</v>
      </c>
      <c r="W25" s="183" t="str">
        <f t="shared" si="8"/>
        <v>S.008</v>
      </c>
      <c r="X25" s="183" t="s">
        <v>526</v>
      </c>
      <c r="AA25" s="668"/>
    </row>
    <row r="26" spans="1:27" ht="25.5">
      <c r="A26" s="214" t="s">
        <v>199</v>
      </c>
      <c r="B26" s="192" t="s">
        <v>191</v>
      </c>
      <c r="C26" s="226" t="str">
        <f t="shared" ca="1" si="0"/>
        <v>Northwest Texarkana-Bann-Alumax Tap 138kV -- reconductor</v>
      </c>
      <c r="D26" s="216">
        <f t="shared" ca="1" si="0"/>
        <v>2008</v>
      </c>
      <c r="E26" s="665">
        <f t="shared" ca="1" si="0"/>
        <v>276975.05306550174</v>
      </c>
      <c r="F26" s="218">
        <f t="shared" ca="1" si="0"/>
        <v>0</v>
      </c>
      <c r="G26" s="218">
        <f t="shared" ca="1" si="9"/>
        <v>276975.05306550174</v>
      </c>
      <c r="H26" s="219"/>
      <c r="I26" s="221">
        <v>7761.5738033633679</v>
      </c>
      <c r="J26" s="221">
        <v>271324.6452855033</v>
      </c>
      <c r="K26" s="221">
        <v>289331.64671328239</v>
      </c>
      <c r="L26" s="217">
        <f t="shared" si="2"/>
        <v>-18007.001427779091</v>
      </c>
      <c r="M26" s="217"/>
      <c r="N26" s="218">
        <v>0</v>
      </c>
      <c r="O26" s="218">
        <v>0</v>
      </c>
      <c r="P26" s="218">
        <f t="shared" si="10"/>
        <v>0</v>
      </c>
      <c r="Q26" s="217">
        <f t="shared" si="4"/>
        <v>-1404.6786535789611</v>
      </c>
      <c r="R26" s="222">
        <f t="shared" si="6"/>
        <v>-11650.106277994684</v>
      </c>
      <c r="S26" s="222"/>
      <c r="T26" s="225">
        <f t="shared" ca="1" si="5"/>
        <v>265324.94678750704</v>
      </c>
      <c r="V26" s="224">
        <f t="shared" si="7"/>
        <v>-10245.427624415723</v>
      </c>
      <c r="W26" s="183" t="str">
        <f t="shared" si="8"/>
        <v>S.009</v>
      </c>
      <c r="X26" s="183" t="s">
        <v>527</v>
      </c>
      <c r="AA26" s="668"/>
    </row>
    <row r="27" spans="1:27">
      <c r="A27" s="214" t="s">
        <v>200</v>
      </c>
      <c r="B27" s="192" t="s">
        <v>191</v>
      </c>
      <c r="C27" s="229" t="str">
        <f t="shared" ca="1" si="0"/>
        <v>Tontitown - Elm Springs REC 161 kV line***</v>
      </c>
      <c r="D27" s="216">
        <f t="shared" ca="1" si="0"/>
        <v>2008</v>
      </c>
      <c r="E27" s="665">
        <f t="shared" ca="1" si="0"/>
        <v>0</v>
      </c>
      <c r="F27" s="218">
        <f t="shared" ca="1" si="0"/>
        <v>0</v>
      </c>
      <c r="G27" s="218">
        <f t="shared" ca="1" si="9"/>
        <v>0</v>
      </c>
      <c r="H27" s="219"/>
      <c r="I27" s="221">
        <v>0</v>
      </c>
      <c r="J27" s="221">
        <v>0</v>
      </c>
      <c r="K27" s="221">
        <v>0</v>
      </c>
      <c r="L27" s="217">
        <f t="shared" si="2"/>
        <v>0</v>
      </c>
      <c r="M27" s="217"/>
      <c r="N27" s="218">
        <v>0</v>
      </c>
      <c r="O27" s="218">
        <v>0</v>
      </c>
      <c r="P27" s="218">
        <f t="shared" si="10"/>
        <v>0</v>
      </c>
      <c r="Q27" s="217">
        <f t="shared" si="4"/>
        <v>0</v>
      </c>
      <c r="R27" s="222">
        <f t="shared" si="6"/>
        <v>0</v>
      </c>
      <c r="S27" s="222"/>
      <c r="T27" s="225">
        <f t="shared" ca="1" si="5"/>
        <v>0</v>
      </c>
      <c r="V27" s="224">
        <f t="shared" si="7"/>
        <v>0</v>
      </c>
      <c r="W27" s="183" t="str">
        <f t="shared" si="8"/>
        <v>S.010</v>
      </c>
      <c r="X27" s="183" t="s">
        <v>528</v>
      </c>
      <c r="AA27" s="669"/>
    </row>
    <row r="28" spans="1:27" ht="16.5" customHeight="1">
      <c r="A28" s="214" t="s">
        <v>201</v>
      </c>
      <c r="B28" s="192" t="s">
        <v>191</v>
      </c>
      <c r="C28" s="229" t="str">
        <f t="shared" ca="1" si="0"/>
        <v>Siloam Springs - Chamber Springs 161 kV line***</v>
      </c>
      <c r="D28" s="216">
        <f t="shared" ca="1" si="0"/>
        <v>2007</v>
      </c>
      <c r="E28" s="665">
        <f t="shared" ca="1" si="0"/>
        <v>0</v>
      </c>
      <c r="F28" s="218">
        <f t="shared" ca="1" si="0"/>
        <v>0</v>
      </c>
      <c r="G28" s="218">
        <f t="shared" ca="1" si="9"/>
        <v>0</v>
      </c>
      <c r="H28" s="219"/>
      <c r="I28" s="221">
        <v>0</v>
      </c>
      <c r="J28" s="221">
        <v>0</v>
      </c>
      <c r="K28" s="221">
        <v>0</v>
      </c>
      <c r="L28" s="217">
        <f t="shared" si="2"/>
        <v>0</v>
      </c>
      <c r="M28" s="217"/>
      <c r="N28" s="218">
        <v>0</v>
      </c>
      <c r="O28" s="218">
        <v>0</v>
      </c>
      <c r="P28" s="218">
        <f t="shared" si="10"/>
        <v>0</v>
      </c>
      <c r="Q28" s="217">
        <f t="shared" si="4"/>
        <v>0</v>
      </c>
      <c r="R28" s="222">
        <f t="shared" si="6"/>
        <v>0</v>
      </c>
      <c r="S28" s="222"/>
      <c r="T28" s="225">
        <f t="shared" ca="1" si="5"/>
        <v>0</v>
      </c>
      <c r="V28" s="224">
        <f t="shared" si="7"/>
        <v>0</v>
      </c>
      <c r="W28" s="183" t="str">
        <f t="shared" si="8"/>
        <v>S.011</v>
      </c>
      <c r="X28" s="183" t="s">
        <v>529</v>
      </c>
      <c r="AA28" s="669"/>
    </row>
    <row r="29" spans="1:27" ht="25.5">
      <c r="A29" s="214" t="s">
        <v>202</v>
      </c>
      <c r="B29" s="192" t="s">
        <v>191</v>
      </c>
      <c r="C29" s="226" t="str">
        <f t="shared" ca="1" si="0"/>
        <v>Knox Lee - Oak Hill #2 138 kV line, S. Shreveport  (SWE Minor Proj II)</v>
      </c>
      <c r="D29" s="216">
        <f t="shared" ca="1" si="0"/>
        <v>2007</v>
      </c>
      <c r="E29" s="665">
        <f t="shared" ca="1" si="0"/>
        <v>18073.015001508498</v>
      </c>
      <c r="F29" s="218">
        <f t="shared" ca="1" si="0"/>
        <v>0</v>
      </c>
      <c r="G29" s="218">
        <f t="shared" ca="1" si="9"/>
        <v>18073.015001508498</v>
      </c>
      <c r="H29" s="219"/>
      <c r="I29" s="221">
        <v>380.56866557009926</v>
      </c>
      <c r="J29" s="221">
        <v>17605.709511132693</v>
      </c>
      <c r="K29" s="221">
        <v>18774.147549521862</v>
      </c>
      <c r="L29" s="217">
        <f t="shared" si="2"/>
        <v>-1168.4380383891694</v>
      </c>
      <c r="M29" s="217"/>
      <c r="N29" s="218">
        <v>0</v>
      </c>
      <c r="O29" s="218">
        <v>0</v>
      </c>
      <c r="P29" s="218">
        <f t="shared" si="10"/>
        <v>0</v>
      </c>
      <c r="Q29" s="217">
        <f t="shared" si="4"/>
        <v>-108.01923847182563</v>
      </c>
      <c r="R29" s="222">
        <f t="shared" si="6"/>
        <v>-895.88861129089571</v>
      </c>
      <c r="S29" s="222"/>
      <c r="T29" s="225">
        <f ca="1">+G29+R29</f>
        <v>17177.126390217603</v>
      </c>
      <c r="V29" s="224">
        <f t="shared" si="7"/>
        <v>-787.86937281907012</v>
      </c>
      <c r="W29" s="183" t="str">
        <f t="shared" si="8"/>
        <v>S.012</v>
      </c>
      <c r="X29" s="183" t="s">
        <v>530</v>
      </c>
      <c r="AA29" s="668"/>
    </row>
    <row r="30" spans="1:27">
      <c r="A30" s="214" t="s">
        <v>203</v>
      </c>
      <c r="B30" s="192" t="s">
        <v>191</v>
      </c>
      <c r="C30" s="226" t="str">
        <f t="shared" ca="1" si="0"/>
        <v xml:space="preserve">Carthage REC - Carthage T 138 kV </v>
      </c>
      <c r="D30" s="216">
        <f t="shared" ca="1" si="0"/>
        <v>2006</v>
      </c>
      <c r="E30" s="665">
        <f t="shared" ca="1" si="0"/>
        <v>552033.32523957</v>
      </c>
      <c r="F30" s="218">
        <f t="shared" ca="1" si="0"/>
        <v>0</v>
      </c>
      <c r="G30" s="218">
        <f t="shared" ca="1" si="9"/>
        <v>552033.32523957</v>
      </c>
      <c r="H30" s="219"/>
      <c r="I30" s="221">
        <v>24835.727739599068</v>
      </c>
      <c r="J30" s="221">
        <v>554724.49639562611</v>
      </c>
      <c r="K30" s="221">
        <v>591539.89437802893</v>
      </c>
      <c r="L30" s="217">
        <f t="shared" si="2"/>
        <v>-36815.397982402821</v>
      </c>
      <c r="M30" s="217"/>
      <c r="N30" s="218">
        <v>0</v>
      </c>
      <c r="O30" s="218">
        <v>0</v>
      </c>
      <c r="P30" s="218">
        <f t="shared" si="10"/>
        <v>0</v>
      </c>
      <c r="Q30" s="217">
        <f t="shared" si="4"/>
        <v>-1642.4484837392197</v>
      </c>
      <c r="R30" s="222">
        <f t="shared" si="6"/>
        <v>-13622.118726542973</v>
      </c>
      <c r="S30" s="222"/>
      <c r="T30" s="225">
        <f t="shared" ca="1" si="5"/>
        <v>538411.20651302708</v>
      </c>
      <c r="V30" s="224">
        <f t="shared" si="7"/>
        <v>-11979.670242803753</v>
      </c>
      <c r="W30" s="183" t="str">
        <f t="shared" si="8"/>
        <v>S.013</v>
      </c>
      <c r="X30" s="183" t="s">
        <v>531</v>
      </c>
      <c r="AA30" s="668"/>
    </row>
    <row r="31" spans="1:27">
      <c r="A31" s="214" t="s">
        <v>204</v>
      </c>
      <c r="B31" s="192" t="s">
        <v>191</v>
      </c>
      <c r="C31" s="229" t="str">
        <f t="shared" ca="1" si="0"/>
        <v>NW Henderson - Oak Hill 138 kV line*</v>
      </c>
      <c r="D31" s="216">
        <f t="shared" ca="1" si="0"/>
        <v>2007</v>
      </c>
      <c r="E31" s="665">
        <f t="shared" ca="1" si="0"/>
        <v>7873.6763229825956</v>
      </c>
      <c r="F31" s="218">
        <f t="shared" ca="1" si="0"/>
        <v>0</v>
      </c>
      <c r="G31" s="218">
        <f t="shared" ca="1" si="9"/>
        <v>7873.6763229825956</v>
      </c>
      <c r="H31" s="219"/>
      <c r="I31" s="221">
        <v>306.77403229211541</v>
      </c>
      <c r="J31" s="221">
        <v>7794.7213129504289</v>
      </c>
      <c r="K31" s="221">
        <v>8312.0335448110636</v>
      </c>
      <c r="L31" s="217">
        <f t="shared" si="2"/>
        <v>-517.31223186063471</v>
      </c>
      <c r="M31" s="217"/>
      <c r="N31" s="218">
        <v>0</v>
      </c>
      <c r="O31" s="218">
        <v>0</v>
      </c>
      <c r="P31" s="218">
        <f t="shared" si="10"/>
        <v>0</v>
      </c>
      <c r="Q31" s="217">
        <f t="shared" si="4"/>
        <v>-28.865414459819746</v>
      </c>
      <c r="R31" s="222">
        <f t="shared" si="6"/>
        <v>-239.40361402833906</v>
      </c>
      <c r="S31" s="228" t="s">
        <v>266</v>
      </c>
      <c r="T31" s="225">
        <f t="shared" ca="1" si="5"/>
        <v>7634.2727089542568</v>
      </c>
      <c r="V31" s="224">
        <f t="shared" si="7"/>
        <v>-210.5381995685193</v>
      </c>
      <c r="W31" s="183" t="str">
        <f t="shared" si="8"/>
        <v>S.014</v>
      </c>
      <c r="X31" s="183" t="s">
        <v>532</v>
      </c>
      <c r="AA31" s="668"/>
    </row>
    <row r="32" spans="1:27">
      <c r="A32" s="214" t="s">
        <v>205</v>
      </c>
      <c r="B32" s="192" t="s">
        <v>191</v>
      </c>
      <c r="C32" s="226" t="str">
        <f t="shared" ca="1" si="0"/>
        <v>Arsenal Hill 138kV Device (Cap. Bank)</v>
      </c>
      <c r="D32" s="216">
        <f t="shared" ca="1" si="0"/>
        <v>2007</v>
      </c>
      <c r="E32" s="665">
        <f t="shared" ca="1" si="0"/>
        <v>34602.180554888044</v>
      </c>
      <c r="F32" s="218">
        <f t="shared" ca="1" si="0"/>
        <v>0</v>
      </c>
      <c r="G32" s="218">
        <f t="shared" ca="1" si="9"/>
        <v>34602.180554888044</v>
      </c>
      <c r="H32" s="219"/>
      <c r="I32" s="221">
        <v>1016.2079877234501</v>
      </c>
      <c r="J32" s="221">
        <v>34054.72400701468</v>
      </c>
      <c r="K32" s="221">
        <v>36314.833711283041</v>
      </c>
      <c r="L32" s="217">
        <f t="shared" si="2"/>
        <v>-2260.1097042683614</v>
      </c>
      <c r="M32" s="217"/>
      <c r="N32" s="218">
        <v>0</v>
      </c>
      <c r="O32" s="218">
        <v>0</v>
      </c>
      <c r="P32" s="218">
        <f t="shared" si="10"/>
        <v>0</v>
      </c>
      <c r="Q32" s="217">
        <f t="shared" si="4"/>
        <v>-170.54263154589495</v>
      </c>
      <c r="R32" s="222">
        <f t="shared" si="6"/>
        <v>-1414.4443480908062</v>
      </c>
      <c r="S32" s="222"/>
      <c r="T32" s="225">
        <f t="shared" ca="1" si="5"/>
        <v>33187.736206797235</v>
      </c>
      <c r="V32" s="224">
        <f t="shared" si="7"/>
        <v>-1243.9017165449113</v>
      </c>
      <c r="W32" s="183" t="str">
        <f t="shared" si="8"/>
        <v>S.015</v>
      </c>
      <c r="X32" s="183" t="s">
        <v>533</v>
      </c>
      <c r="AA32" s="668"/>
    </row>
    <row r="33" spans="1:27">
      <c r="A33" s="214" t="s">
        <v>206</v>
      </c>
      <c r="B33" s="192" t="s">
        <v>191</v>
      </c>
      <c r="C33" s="226" t="str">
        <f t="shared" ca="1" si="0"/>
        <v>Daingerfield - Jenkins REC 69 kV CB Repl**</v>
      </c>
      <c r="D33" s="216">
        <f t="shared" ca="1" si="0"/>
        <v>2008</v>
      </c>
      <c r="E33" s="665">
        <f t="shared" ca="1" si="0"/>
        <v>38414.184048676834</v>
      </c>
      <c r="F33" s="218">
        <f t="shared" ca="1" si="0"/>
        <v>0</v>
      </c>
      <c r="G33" s="218">
        <f t="shared" ca="1" si="9"/>
        <v>38414.184048676834</v>
      </c>
      <c r="H33" s="219"/>
      <c r="I33" s="221">
        <v>2154.2015905798544</v>
      </c>
      <c r="J33" s="221">
        <v>38526.416959113012</v>
      </c>
      <c r="K33" s="221">
        <v>41083.299488011049</v>
      </c>
      <c r="L33" s="217">
        <f t="shared" si="2"/>
        <v>-2556.882528898037</v>
      </c>
      <c r="M33" s="217"/>
      <c r="N33" s="218">
        <v>0</v>
      </c>
      <c r="O33" s="218">
        <v>0</v>
      </c>
      <c r="P33" s="218">
        <f t="shared" si="10"/>
        <v>0</v>
      </c>
      <c r="Q33" s="217">
        <f t="shared" si="4"/>
        <v>-55.208756432062991</v>
      </c>
      <c r="R33" s="222">
        <f t="shared" si="6"/>
        <v>-457.88969475024561</v>
      </c>
      <c r="S33" s="222"/>
      <c r="T33" s="225">
        <f t="shared" ca="1" si="5"/>
        <v>37956.294353926591</v>
      </c>
      <c r="V33" s="224">
        <f t="shared" si="7"/>
        <v>-402.6809383181826</v>
      </c>
      <c r="W33" s="183" t="str">
        <f t="shared" si="8"/>
        <v>S.016</v>
      </c>
      <c r="X33" s="183" t="s">
        <v>534</v>
      </c>
      <c r="AA33" s="670"/>
    </row>
    <row r="34" spans="1:27">
      <c r="A34" s="214" t="s">
        <v>207</v>
      </c>
      <c r="B34" s="192" t="s">
        <v>191</v>
      </c>
      <c r="C34" s="226" t="str">
        <f t="shared" ca="1" si="0"/>
        <v>Linwood-McWillie 138 kV Rebuild</v>
      </c>
      <c r="D34" s="216">
        <f t="shared" ca="1" si="0"/>
        <v>2008</v>
      </c>
      <c r="E34" s="665">
        <f t="shared" ca="1" si="0"/>
        <v>189740.54209168235</v>
      </c>
      <c r="F34" s="218">
        <f t="shared" ca="1" si="0"/>
        <v>0</v>
      </c>
      <c r="G34" s="218">
        <f t="shared" ca="1" si="9"/>
        <v>189740.54209168235</v>
      </c>
      <c r="H34" s="219"/>
      <c r="I34" s="221">
        <v>5628.3901257083926</v>
      </c>
      <c r="J34" s="221">
        <v>186238.82920828936</v>
      </c>
      <c r="K34" s="221">
        <v>198598.94068998951</v>
      </c>
      <c r="L34" s="217">
        <f t="shared" si="2"/>
        <v>-12360.111481700151</v>
      </c>
      <c r="M34" s="217"/>
      <c r="N34" s="218">
        <v>0</v>
      </c>
      <c r="O34" s="218">
        <v>0</v>
      </c>
      <c r="P34" s="218">
        <f t="shared" si="10"/>
        <v>0</v>
      </c>
      <c r="Q34" s="217">
        <f t="shared" si="4"/>
        <v>-922.93905508336388</v>
      </c>
      <c r="R34" s="222">
        <f t="shared" si="6"/>
        <v>-7654.6604110751223</v>
      </c>
      <c r="S34" s="222"/>
      <c r="T34" s="225">
        <f t="shared" ca="1" si="5"/>
        <v>182085.88168060721</v>
      </c>
      <c r="V34" s="224">
        <f t="shared" si="7"/>
        <v>-6731.7213559917582</v>
      </c>
      <c r="W34" s="183" t="str">
        <f t="shared" si="8"/>
        <v>S.017</v>
      </c>
      <c r="X34" s="183" t="s">
        <v>535</v>
      </c>
      <c r="AA34" s="668"/>
    </row>
    <row r="35" spans="1:27">
      <c r="A35" s="214" t="s">
        <v>208</v>
      </c>
      <c r="B35" s="192" t="s">
        <v>191</v>
      </c>
      <c r="C35" s="226" t="str">
        <f t="shared" ca="1" si="0"/>
        <v>Port Robson (SW 138 kV Loop -- 2008)</v>
      </c>
      <c r="D35" s="216">
        <f t="shared" ca="1" si="0"/>
        <v>2009</v>
      </c>
      <c r="E35" s="665">
        <f t="shared" ca="1" si="0"/>
        <v>0</v>
      </c>
      <c r="F35" s="218">
        <f t="shared" ca="1" si="0"/>
        <v>0</v>
      </c>
      <c r="G35" s="218">
        <f t="shared" ca="1" si="9"/>
        <v>0</v>
      </c>
      <c r="H35" s="219"/>
      <c r="I35" s="221">
        <v>0</v>
      </c>
      <c r="J35" s="221">
        <v>0</v>
      </c>
      <c r="K35" s="221">
        <v>0</v>
      </c>
      <c r="L35" s="217">
        <f t="shared" si="2"/>
        <v>0</v>
      </c>
      <c r="M35" s="217"/>
      <c r="N35" s="218">
        <v>0</v>
      </c>
      <c r="O35" s="218">
        <v>0</v>
      </c>
      <c r="P35" s="218">
        <f t="shared" si="10"/>
        <v>0</v>
      </c>
      <c r="Q35" s="217">
        <f t="shared" si="4"/>
        <v>0</v>
      </c>
      <c r="R35" s="222">
        <f t="shared" si="6"/>
        <v>0</v>
      </c>
      <c r="S35" s="222"/>
      <c r="T35" s="225">
        <f t="shared" ca="1" si="5"/>
        <v>0</v>
      </c>
      <c r="V35" s="224">
        <f t="shared" si="7"/>
        <v>0</v>
      </c>
      <c r="W35" s="183" t="str">
        <f t="shared" si="8"/>
        <v>S.018</v>
      </c>
      <c r="X35" s="183" t="s">
        <v>536</v>
      </c>
      <c r="AA35" s="671"/>
    </row>
    <row r="36" spans="1:27">
      <c r="A36" s="214" t="s">
        <v>209</v>
      </c>
      <c r="B36" s="192" t="s">
        <v>191</v>
      </c>
      <c r="C36" s="226" t="str">
        <f t="shared" ca="1" si="0"/>
        <v>Wallace Lake-Prt Robson-Red Point 138 kV Loop</v>
      </c>
      <c r="D36" s="216">
        <f t="shared" ca="1" si="0"/>
        <v>2008</v>
      </c>
      <c r="E36" s="665">
        <f t="shared" ca="1" si="0"/>
        <v>436065.41351434769</v>
      </c>
      <c r="F36" s="218">
        <f t="shared" ca="1" si="0"/>
        <v>0</v>
      </c>
      <c r="G36" s="218">
        <f t="shared" ca="1" si="9"/>
        <v>436065.41351434769</v>
      </c>
      <c r="H36" s="219"/>
      <c r="I36" s="221">
        <v>12377.765514163417</v>
      </c>
      <c r="J36" s="221">
        <v>427543.32974968065</v>
      </c>
      <c r="K36" s="221">
        <v>455918.09585741418</v>
      </c>
      <c r="L36" s="217">
        <f t="shared" si="2"/>
        <v>-28374.766107733536</v>
      </c>
      <c r="M36" s="217"/>
      <c r="N36" s="218">
        <v>0</v>
      </c>
      <c r="O36" s="218">
        <v>0</v>
      </c>
      <c r="P36" s="218">
        <f t="shared" si="10"/>
        <v>0</v>
      </c>
      <c r="Q36" s="217">
        <f t="shared" si="4"/>
        <v>-2193.2364444728946</v>
      </c>
      <c r="R36" s="222">
        <f t="shared" si="6"/>
        <v>-18190.237038043015</v>
      </c>
      <c r="S36" s="222"/>
      <c r="T36" s="225">
        <f t="shared" ca="1" si="5"/>
        <v>417875.17647630465</v>
      </c>
      <c r="V36" s="224">
        <f t="shared" si="7"/>
        <v>-15997.000593570119</v>
      </c>
      <c r="W36" s="183" t="str">
        <f t="shared" si="8"/>
        <v>S.019</v>
      </c>
      <c r="X36" s="183" t="s">
        <v>537</v>
      </c>
      <c r="AA36" s="668"/>
    </row>
    <row r="37" spans="1:27" ht="25.5">
      <c r="A37" s="214" t="s">
        <v>210</v>
      </c>
      <c r="B37" s="192" t="s">
        <v>191</v>
      </c>
      <c r="C37" s="226" t="str">
        <f t="shared" ca="1" si="0"/>
        <v>[NW Ark Area Improve - 2008]  Elm Springs, East Rogers, Shipe Road Stations</v>
      </c>
      <c r="D37" s="216">
        <f t="shared" ca="1" si="0"/>
        <v>2008</v>
      </c>
      <c r="E37" s="665">
        <f t="shared" ca="1" si="0"/>
        <v>0</v>
      </c>
      <c r="F37" s="218">
        <f t="shared" ca="1" si="0"/>
        <v>0</v>
      </c>
      <c r="G37" s="218">
        <f t="shared" ref="G37:G42" ca="1" si="11">+E37+F37</f>
        <v>0</v>
      </c>
      <c r="H37" s="219"/>
      <c r="I37" s="221">
        <v>0</v>
      </c>
      <c r="J37" s="221">
        <v>0</v>
      </c>
      <c r="K37" s="221">
        <v>0</v>
      </c>
      <c r="L37" s="217">
        <f t="shared" si="2"/>
        <v>0</v>
      </c>
      <c r="M37" s="217"/>
      <c r="N37" s="218">
        <v>0</v>
      </c>
      <c r="O37" s="218">
        <v>0</v>
      </c>
      <c r="P37" s="218">
        <f t="shared" ref="P37:P42" si="12">+N37-O37</f>
        <v>0</v>
      </c>
      <c r="Q37" s="217">
        <f t="shared" si="4"/>
        <v>0</v>
      </c>
      <c r="R37" s="222">
        <f t="shared" si="6"/>
        <v>0</v>
      </c>
      <c r="S37" s="222"/>
      <c r="T37" s="225">
        <f t="shared" ca="1" si="5"/>
        <v>0</v>
      </c>
      <c r="V37" s="224">
        <f t="shared" si="7"/>
        <v>0</v>
      </c>
      <c r="W37" s="183" t="str">
        <f t="shared" si="8"/>
        <v>S.020</v>
      </c>
      <c r="X37" s="183" t="s">
        <v>538</v>
      </c>
      <c r="AA37" s="669"/>
    </row>
    <row r="38" spans="1:27">
      <c r="A38" s="214" t="s">
        <v>255</v>
      </c>
      <c r="B38" s="192" t="s">
        <v>191</v>
      </c>
      <c r="C38" s="226" t="str">
        <f t="shared" ref="C38:F57" ca="1" si="13">INDIRECT("'"&amp; $A38 &amp; "'!" &amp;C$103)</f>
        <v>Reconductor 4 mi. of McNabb-Turk</v>
      </c>
      <c r="D38" s="216">
        <f t="shared" ca="1" si="13"/>
        <v>2010</v>
      </c>
      <c r="E38" s="665">
        <f t="shared" ca="1" si="13"/>
        <v>166712.5440494052</v>
      </c>
      <c r="F38" s="218">
        <f t="shared" ca="1" si="13"/>
        <v>0</v>
      </c>
      <c r="G38" s="218">
        <f t="shared" ca="1" si="11"/>
        <v>166712.5440494052</v>
      </c>
      <c r="H38" s="219"/>
      <c r="I38" s="221">
        <v>7549.3731773100735</v>
      </c>
      <c r="J38" s="221">
        <v>165403.4511958771</v>
      </c>
      <c r="K38" s="221">
        <v>176380.78124530806</v>
      </c>
      <c r="L38" s="217">
        <f t="shared" si="2"/>
        <v>-10977.330049430951</v>
      </c>
      <c r="M38" s="217"/>
      <c r="N38" s="218">
        <v>0</v>
      </c>
      <c r="O38" s="218">
        <v>0</v>
      </c>
      <c r="P38" s="218">
        <f t="shared" si="12"/>
        <v>0</v>
      </c>
      <c r="Q38" s="217">
        <f t="shared" si="4"/>
        <v>-469.98310077195066</v>
      </c>
      <c r="R38" s="222">
        <f t="shared" si="6"/>
        <v>-3897.9399728928288</v>
      </c>
      <c r="S38" s="222"/>
      <c r="T38" s="225">
        <f t="shared" ca="1" si="5"/>
        <v>162814.60407651236</v>
      </c>
      <c r="V38" s="224">
        <f t="shared" ref="V38:V43" si="14">+I38+L38+P38</f>
        <v>-3427.956872120878</v>
      </c>
      <c r="W38" s="183" t="str">
        <f t="shared" ref="W38:W43" si="15">A38</f>
        <v>S.021</v>
      </c>
      <c r="X38" s="183" t="s">
        <v>539</v>
      </c>
      <c r="AA38" s="670"/>
    </row>
    <row r="39" spans="1:27">
      <c r="A39" s="214" t="s">
        <v>256</v>
      </c>
      <c r="B39" s="192" t="s">
        <v>191</v>
      </c>
      <c r="C39" s="226" t="str">
        <f t="shared" ca="1" si="13"/>
        <v>Longwood: r&amp;r switches, upgrade bus</v>
      </c>
      <c r="D39" s="216">
        <f t="shared" ca="1" si="13"/>
        <v>2010</v>
      </c>
      <c r="E39" s="665">
        <f t="shared" ca="1" si="13"/>
        <v>21025.43403027673</v>
      </c>
      <c r="F39" s="218">
        <f t="shared" ca="1" si="13"/>
        <v>0</v>
      </c>
      <c r="G39" s="218">
        <f t="shared" ca="1" si="11"/>
        <v>21025.43403027673</v>
      </c>
      <c r="H39" s="219"/>
      <c r="I39" s="221">
        <v>798.3374587180042</v>
      </c>
      <c r="J39" s="221">
        <v>20723.067035343254</v>
      </c>
      <c r="K39" s="221">
        <v>22098.394725537881</v>
      </c>
      <c r="L39" s="217">
        <f t="shared" si="2"/>
        <v>-1375.3276901946265</v>
      </c>
      <c r="M39" s="217"/>
      <c r="N39" s="218">
        <v>0</v>
      </c>
      <c r="O39" s="218">
        <v>0</v>
      </c>
      <c r="P39" s="218">
        <f t="shared" si="12"/>
        <v>0</v>
      </c>
      <c r="Q39" s="217">
        <f t="shared" si="4"/>
        <v>-79.107079878963603</v>
      </c>
      <c r="R39" s="222">
        <f t="shared" si="6"/>
        <v>-656.09731135558593</v>
      </c>
      <c r="S39" s="222"/>
      <c r="T39" s="225">
        <f t="shared" ca="1" si="5"/>
        <v>20369.336718921146</v>
      </c>
      <c r="V39" s="224">
        <f t="shared" si="14"/>
        <v>-576.99023147662228</v>
      </c>
      <c r="W39" s="183" t="str">
        <f t="shared" si="15"/>
        <v>S.022</v>
      </c>
      <c r="X39" s="183" t="s">
        <v>540</v>
      </c>
      <c r="AA39" s="670"/>
    </row>
    <row r="40" spans="1:27" ht="25.5">
      <c r="A40" s="214" t="s">
        <v>257</v>
      </c>
      <c r="B40" s="192" t="s">
        <v>191</v>
      </c>
      <c r="C40" s="226" t="str">
        <f t="shared" ca="1" si="13"/>
        <v>Reconductor: Greggton-Lake Lamond &amp; Quitman-Westwood 69 kV lines</v>
      </c>
      <c r="D40" s="216">
        <f t="shared" ca="1" si="13"/>
        <v>2010</v>
      </c>
      <c r="E40" s="665">
        <f t="shared" ca="1" si="13"/>
        <v>489588.8391092071</v>
      </c>
      <c r="F40" s="218">
        <f t="shared" ca="1" si="13"/>
        <v>0</v>
      </c>
      <c r="G40" s="218">
        <f t="shared" ca="1" si="11"/>
        <v>489588.8391092071</v>
      </c>
      <c r="H40" s="219"/>
      <c r="I40" s="221">
        <v>19000.165557636647</v>
      </c>
      <c r="J40" s="221">
        <v>482899.84147635079</v>
      </c>
      <c r="K40" s="221">
        <v>514948.45293141773</v>
      </c>
      <c r="L40" s="217">
        <f t="shared" si="2"/>
        <v>-32048.611455066944</v>
      </c>
      <c r="M40" s="217"/>
      <c r="N40" s="218">
        <v>0</v>
      </c>
      <c r="O40" s="218">
        <v>0</v>
      </c>
      <c r="P40" s="218">
        <f t="shared" si="12"/>
        <v>0</v>
      </c>
      <c r="Q40" s="217">
        <f t="shared" si="4"/>
        <v>-1788.9808104076642</v>
      </c>
      <c r="R40" s="222">
        <f t="shared" si="6"/>
        <v>-14837.426707837962</v>
      </c>
      <c r="S40" s="222"/>
      <c r="T40" s="225">
        <f t="shared" ca="1" si="5"/>
        <v>474751.41240136913</v>
      </c>
      <c r="V40" s="224">
        <f t="shared" si="14"/>
        <v>-13048.445897430298</v>
      </c>
      <c r="W40" s="183" t="str">
        <f t="shared" si="15"/>
        <v>S.023</v>
      </c>
      <c r="X40" s="183" t="s">
        <v>541</v>
      </c>
      <c r="AA40" s="668"/>
    </row>
    <row r="41" spans="1:27" ht="25.5">
      <c r="A41" s="214" t="s">
        <v>258</v>
      </c>
      <c r="B41" s="192" t="s">
        <v>191</v>
      </c>
      <c r="C41" s="226" t="str">
        <f t="shared" ca="1" si="13"/>
        <v>Rebuild/reconductor Dyess-Elm Springs REC [Dyess Station-Flint Creek]</v>
      </c>
      <c r="D41" s="216">
        <f t="shared" ca="1" si="13"/>
        <v>2010</v>
      </c>
      <c r="E41" s="665">
        <f t="shared" ca="1" si="13"/>
        <v>535832.06805947493</v>
      </c>
      <c r="F41" s="218">
        <f t="shared" ca="1" si="13"/>
        <v>0</v>
      </c>
      <c r="G41" s="218">
        <f t="shared" ca="1" si="11"/>
        <v>535832.06805947493</v>
      </c>
      <c r="H41" s="219"/>
      <c r="I41" s="221">
        <v>21063.208138625254</v>
      </c>
      <c r="J41" s="221">
        <v>528753.30509616586</v>
      </c>
      <c r="K41" s="221">
        <v>563845.07315059658</v>
      </c>
      <c r="L41" s="217">
        <f t="shared" si="2"/>
        <v>-35091.768054430722</v>
      </c>
      <c r="M41" s="217"/>
      <c r="N41" s="218">
        <v>0</v>
      </c>
      <c r="O41" s="218">
        <v>0</v>
      </c>
      <c r="P41" s="218">
        <f t="shared" si="12"/>
        <v>0</v>
      </c>
      <c r="Q41" s="217">
        <f t="shared" si="4"/>
        <v>-1923.357362578527</v>
      </c>
      <c r="R41" s="222">
        <f t="shared" si="6"/>
        <v>-15951.917278383995</v>
      </c>
      <c r="S41" s="222"/>
      <c r="T41" s="225">
        <f t="shared" ca="1" si="5"/>
        <v>519880.15078109095</v>
      </c>
      <c r="V41" s="224">
        <f t="shared" si="14"/>
        <v>-14028.559915805468</v>
      </c>
      <c r="W41" s="183" t="str">
        <f t="shared" si="15"/>
        <v>S.024</v>
      </c>
      <c r="X41" s="183" t="s">
        <v>542</v>
      </c>
      <c r="AA41" s="670"/>
    </row>
    <row r="42" spans="1:27">
      <c r="A42" s="214" t="s">
        <v>259</v>
      </c>
      <c r="B42" s="192" t="s">
        <v>191</v>
      </c>
      <c r="C42" s="226" t="str">
        <f t="shared" ca="1" si="13"/>
        <v>Replace switch at Diana*</v>
      </c>
      <c r="D42" s="216">
        <f t="shared" ca="1" si="13"/>
        <v>2010</v>
      </c>
      <c r="E42" s="665">
        <f t="shared" ca="1" si="13"/>
        <v>9211.8656885441596</v>
      </c>
      <c r="F42" s="218">
        <f t="shared" ca="1" si="13"/>
        <v>0</v>
      </c>
      <c r="G42" s="218">
        <f t="shared" ca="1" si="11"/>
        <v>9211.8656885441596</v>
      </c>
      <c r="H42" s="219"/>
      <c r="I42" s="221">
        <v>346.63771814388201</v>
      </c>
      <c r="J42" s="221">
        <v>9068.555417875441</v>
      </c>
      <c r="K42" s="221">
        <v>9670.4081916466785</v>
      </c>
      <c r="L42" s="217">
        <f t="shared" si="2"/>
        <v>-601.85277377123748</v>
      </c>
      <c r="M42" s="217"/>
      <c r="N42" s="218">
        <v>0</v>
      </c>
      <c r="O42" s="218">
        <v>0</v>
      </c>
      <c r="P42" s="218">
        <f t="shared" si="12"/>
        <v>0</v>
      </c>
      <c r="Q42" s="217">
        <f t="shared" si="4"/>
        <v>-34.990744540265844</v>
      </c>
      <c r="R42" s="222">
        <f t="shared" si="6"/>
        <v>-290.20580016762131</v>
      </c>
      <c r="S42" s="228" t="s">
        <v>266</v>
      </c>
      <c r="T42" s="225">
        <f t="shared" ca="1" si="5"/>
        <v>8921.6598883765382</v>
      </c>
      <c r="V42" s="224">
        <f t="shared" si="14"/>
        <v>-255.21505562735547</v>
      </c>
      <c r="W42" s="183" t="str">
        <f t="shared" si="15"/>
        <v>S.025</v>
      </c>
      <c r="X42" s="183" t="s">
        <v>543</v>
      </c>
      <c r="AA42" s="670"/>
    </row>
    <row r="43" spans="1:27">
      <c r="A43" s="214" t="s">
        <v>274</v>
      </c>
      <c r="B43" s="192" t="s">
        <v>191</v>
      </c>
      <c r="C43" s="226" t="str">
        <f t="shared" ca="1" si="13"/>
        <v>Whitney repl CB and Switches</v>
      </c>
      <c r="D43" s="216">
        <f t="shared" ca="1" si="13"/>
        <v>2011</v>
      </c>
      <c r="E43" s="665">
        <f t="shared" ca="1" si="13"/>
        <v>26559.297712193376</v>
      </c>
      <c r="F43" s="218">
        <f t="shared" ca="1" si="13"/>
        <v>0</v>
      </c>
      <c r="G43" s="218">
        <f ca="1">+E43+F43</f>
        <v>26559.297712193376</v>
      </c>
      <c r="H43" s="219"/>
      <c r="I43" s="221">
        <v>637.17840644624812</v>
      </c>
      <c r="J43" s="221">
        <v>25799.115819205239</v>
      </c>
      <c r="K43" s="221">
        <v>27511.325614607442</v>
      </c>
      <c r="L43" s="217">
        <f>+J43-K43</f>
        <v>-1712.2097954022029</v>
      </c>
      <c r="M43" s="217"/>
      <c r="N43" s="218">
        <v>0</v>
      </c>
      <c r="O43" s="218">
        <v>0</v>
      </c>
      <c r="P43" s="218">
        <f>+N43-O43</f>
        <v>0</v>
      </c>
      <c r="Q43" s="217">
        <f t="shared" si="4"/>
        <v>-147.39000648397899</v>
      </c>
      <c r="R43" s="222">
        <f>I43+L43+P43+Q43</f>
        <v>-1222.4213954399338</v>
      </c>
      <c r="S43" s="228" t="s">
        <v>266</v>
      </c>
      <c r="T43" s="225">
        <f ca="1">+G43+R43</f>
        <v>25336.876316753442</v>
      </c>
      <c r="V43" s="224">
        <f t="shared" si="14"/>
        <v>-1075.0313889559548</v>
      </c>
      <c r="W43" s="183" t="str">
        <f t="shared" si="15"/>
        <v>S.026</v>
      </c>
      <c r="X43" s="183" t="s">
        <v>273</v>
      </c>
      <c r="AA43" s="670"/>
    </row>
    <row r="44" spans="1:27">
      <c r="A44" s="214" t="s">
        <v>288</v>
      </c>
      <c r="B44" s="192" t="s">
        <v>191</v>
      </c>
      <c r="C44" s="226" t="str">
        <f t="shared" ca="1" si="13"/>
        <v>Linwood - Powell Street 138 kV</v>
      </c>
      <c r="D44" s="216">
        <f t="shared" ca="1" si="13"/>
        <v>2012</v>
      </c>
      <c r="E44" s="665">
        <f t="shared" ca="1" si="13"/>
        <v>45445.779236146016</v>
      </c>
      <c r="F44" s="218">
        <f t="shared" ca="1" si="13"/>
        <v>0</v>
      </c>
      <c r="G44" s="218">
        <f t="shared" ref="G44:G50" ca="1" si="16">+E44+F44</f>
        <v>45445.779236146016</v>
      </c>
      <c r="H44" s="219"/>
      <c r="I44" s="221">
        <v>1740.8518427208037</v>
      </c>
      <c r="J44" s="221">
        <v>44663.664764720364</v>
      </c>
      <c r="K44" s="221">
        <v>47627.857989194606</v>
      </c>
      <c r="L44" s="217">
        <f t="shared" ref="L44:L50" si="17">+J44-K44</f>
        <v>-2964.193224474242</v>
      </c>
      <c r="M44" s="217"/>
      <c r="N44" s="218">
        <v>0</v>
      </c>
      <c r="O44" s="218">
        <v>0</v>
      </c>
      <c r="P44" s="218">
        <f t="shared" ref="P44:P50" si="18">+N44-O44</f>
        <v>0</v>
      </c>
      <c r="Q44" s="217">
        <f t="shared" si="4"/>
        <v>-167.72374838642645</v>
      </c>
      <c r="R44" s="222">
        <f t="shared" ref="R44:R50" si="19">I44+L44+P44+Q44</f>
        <v>-1391.0651301398648</v>
      </c>
      <c r="S44" s="228" t="s">
        <v>266</v>
      </c>
      <c r="T44" s="225">
        <f t="shared" ref="T44:T50" ca="1" si="20">+G44+R44</f>
        <v>44054.714106006155</v>
      </c>
      <c r="V44" s="224">
        <f t="shared" ref="V44:V50" si="21">+I44+L44+P44</f>
        <v>-1223.3413817534383</v>
      </c>
      <c r="W44" s="183" t="str">
        <f t="shared" ref="W44:W50" si="22">A44</f>
        <v>S.027</v>
      </c>
      <c r="X44" s="183" t="s">
        <v>279</v>
      </c>
      <c r="AA44" s="670"/>
    </row>
    <row r="45" spans="1:27">
      <c r="A45" s="214" t="s">
        <v>289</v>
      </c>
      <c r="B45" s="192" t="s">
        <v>191</v>
      </c>
      <c r="C45" s="226" t="str">
        <f t="shared" ca="1" si="13"/>
        <v>Bloomburg-Texarkana Plant</v>
      </c>
      <c r="D45" s="216">
        <f t="shared" ca="1" si="13"/>
        <v>2012</v>
      </c>
      <c r="E45" s="665">
        <f t="shared" ca="1" si="13"/>
        <v>568353.29756523797</v>
      </c>
      <c r="F45" s="218">
        <f t="shared" ca="1" si="13"/>
        <v>0</v>
      </c>
      <c r="G45" s="218">
        <f t="shared" ca="1" si="16"/>
        <v>568353.29756523797</v>
      </c>
      <c r="H45" s="219"/>
      <c r="I45" s="221">
        <v>21891.91141044395</v>
      </c>
      <c r="J45" s="221">
        <v>558654.63438537263</v>
      </c>
      <c r="K45" s="221">
        <v>595730.86381682521</v>
      </c>
      <c r="L45" s="217">
        <f t="shared" si="17"/>
        <v>-37076.229431452579</v>
      </c>
      <c r="M45" s="217"/>
      <c r="N45" s="218">
        <v>0</v>
      </c>
      <c r="O45" s="218">
        <v>0</v>
      </c>
      <c r="P45" s="218">
        <f t="shared" si="18"/>
        <v>0</v>
      </c>
      <c r="Q45" s="217">
        <f t="shared" si="4"/>
        <v>-2081.8152423854062</v>
      </c>
      <c r="R45" s="222">
        <f t="shared" si="19"/>
        <v>-17266.133263394033</v>
      </c>
      <c r="S45" s="228" t="s">
        <v>266</v>
      </c>
      <c r="T45" s="225">
        <f t="shared" ca="1" si="20"/>
        <v>551087.16430184396</v>
      </c>
      <c r="V45" s="224">
        <f t="shared" si="21"/>
        <v>-15184.318021008628</v>
      </c>
      <c r="W45" s="183" t="str">
        <f t="shared" si="22"/>
        <v>S.028</v>
      </c>
      <c r="X45" s="183" t="s">
        <v>544</v>
      </c>
      <c r="AA45" s="668"/>
    </row>
    <row r="46" spans="1:27" ht="38.25">
      <c r="A46" s="214" t="s">
        <v>290</v>
      </c>
      <c r="B46" s="192" t="s">
        <v>191</v>
      </c>
      <c r="C46" s="226" t="str">
        <f t="shared" ca="1" si="13"/>
        <v xml:space="preserve">Knox Lee - Pirkey 138 kV / Pirkey - Whitney 138 kV - Replace Breaker,  Wavetraps, and reset relays and CT's </v>
      </c>
      <c r="D46" s="216">
        <f t="shared" ca="1" si="13"/>
        <v>2012</v>
      </c>
      <c r="E46" s="665">
        <f t="shared" ca="1" si="13"/>
        <v>205957.48812840792</v>
      </c>
      <c r="F46" s="218">
        <f t="shared" ca="1" si="13"/>
        <v>0</v>
      </c>
      <c r="G46" s="218">
        <f t="shared" ca="1" si="16"/>
        <v>205957.48812840792</v>
      </c>
      <c r="H46" s="219"/>
      <c r="I46" s="221">
        <v>7682.0627993714879</v>
      </c>
      <c r="J46" s="221">
        <v>202067.42439952269</v>
      </c>
      <c r="K46" s="221">
        <v>215478.0321820965</v>
      </c>
      <c r="L46" s="217">
        <f t="shared" si="17"/>
        <v>-13410.607782573818</v>
      </c>
      <c r="M46" s="217"/>
      <c r="N46" s="218">
        <v>0</v>
      </c>
      <c r="O46" s="218">
        <v>0</v>
      </c>
      <c r="P46" s="218">
        <f t="shared" si="18"/>
        <v>0</v>
      </c>
      <c r="Q46" s="217">
        <f t="shared" si="4"/>
        <v>-785.40058540797622</v>
      </c>
      <c r="R46" s="222">
        <f t="shared" si="19"/>
        <v>-6513.9455686103056</v>
      </c>
      <c r="S46" s="228" t="s">
        <v>266</v>
      </c>
      <c r="T46" s="225">
        <f t="shared" ca="1" si="20"/>
        <v>199443.54255979761</v>
      </c>
      <c r="V46" s="224">
        <f t="shared" si="21"/>
        <v>-5728.5449832023296</v>
      </c>
      <c r="W46" s="183" t="str">
        <f t="shared" si="22"/>
        <v>S.029</v>
      </c>
      <c r="X46" s="183" t="s">
        <v>545</v>
      </c>
      <c r="AA46" s="670"/>
    </row>
    <row r="47" spans="1:27">
      <c r="A47" s="214" t="s">
        <v>291</v>
      </c>
      <c r="B47" s="192" t="s">
        <v>191</v>
      </c>
      <c r="C47" s="226" t="str">
        <f t="shared" ca="1" si="13"/>
        <v>NW Texarkana - Turk 345</v>
      </c>
      <c r="D47" s="216">
        <f t="shared" ca="1" si="13"/>
        <v>2012</v>
      </c>
      <c r="E47" s="665">
        <f t="shared" ca="1" si="13"/>
        <v>5173447.5605440196</v>
      </c>
      <c r="F47" s="218">
        <f t="shared" ca="1" si="13"/>
        <v>0</v>
      </c>
      <c r="G47" s="218">
        <f t="shared" ca="1" si="16"/>
        <v>5173447.5605440196</v>
      </c>
      <c r="H47" s="219"/>
      <c r="I47" s="221">
        <v>191304.65929704625</v>
      </c>
      <c r="J47" s="221">
        <v>5076676.1882873112</v>
      </c>
      <c r="K47" s="221">
        <v>5413599.9324413631</v>
      </c>
      <c r="L47" s="217">
        <f t="shared" si="17"/>
        <v>-336923.74415405188</v>
      </c>
      <c r="M47" s="217"/>
      <c r="N47" s="218">
        <v>0</v>
      </c>
      <c r="O47" s="218">
        <v>0</v>
      </c>
      <c r="P47" s="218">
        <f t="shared" si="18"/>
        <v>0</v>
      </c>
      <c r="Q47" s="217">
        <f t="shared" si="4"/>
        <v>-19964.810406242475</v>
      </c>
      <c r="R47" s="222">
        <f t="shared" si="19"/>
        <v>-165583.89526324809</v>
      </c>
      <c r="S47" s="228" t="s">
        <v>266</v>
      </c>
      <c r="T47" s="225">
        <f t="shared" ca="1" si="20"/>
        <v>5007863.6652807714</v>
      </c>
      <c r="V47" s="224">
        <f t="shared" si="21"/>
        <v>-145619.08485700563</v>
      </c>
      <c r="W47" s="183" t="str">
        <f t="shared" si="22"/>
        <v>S.030</v>
      </c>
      <c r="X47" s="183" t="s">
        <v>283</v>
      </c>
      <c r="AA47" s="670"/>
    </row>
    <row r="48" spans="1:27" ht="25.5">
      <c r="A48" s="214" t="s">
        <v>292</v>
      </c>
      <c r="B48" s="192" t="s">
        <v>191</v>
      </c>
      <c r="C48" s="226" t="str">
        <f t="shared" ca="1" si="13"/>
        <v>Lone Star South - Pittsburg 138 kV - Replace Wavetraps, reset CT's and Relays</v>
      </c>
      <c r="D48" s="216">
        <f t="shared" ca="1" si="13"/>
        <v>2012</v>
      </c>
      <c r="E48" s="665">
        <f t="shared" ca="1" si="13"/>
        <v>24851.183022536876</v>
      </c>
      <c r="F48" s="218">
        <f t="shared" ca="1" si="13"/>
        <v>0</v>
      </c>
      <c r="G48" s="218">
        <f t="shared" ca="1" si="16"/>
        <v>24851.183022536876</v>
      </c>
      <c r="H48" s="219"/>
      <c r="I48" s="221">
        <v>997.99116112893171</v>
      </c>
      <c r="J48" s="221">
        <v>24463.74415469548</v>
      </c>
      <c r="K48" s="221">
        <v>26087.329345266302</v>
      </c>
      <c r="L48" s="217">
        <f t="shared" si="17"/>
        <v>-1623.5851905708223</v>
      </c>
      <c r="M48" s="217"/>
      <c r="N48" s="218">
        <v>0</v>
      </c>
      <c r="O48" s="218">
        <v>0</v>
      </c>
      <c r="P48" s="218">
        <f t="shared" si="18"/>
        <v>0</v>
      </c>
      <c r="Q48" s="217">
        <f t="shared" si="4"/>
        <v>-85.770805395112603</v>
      </c>
      <c r="R48" s="222">
        <f t="shared" si="19"/>
        <v>-711.36483483700317</v>
      </c>
      <c r="S48" s="228" t="s">
        <v>266</v>
      </c>
      <c r="T48" s="225">
        <f t="shared" ca="1" si="20"/>
        <v>24139.818187699871</v>
      </c>
      <c r="V48" s="224">
        <f t="shared" si="21"/>
        <v>-625.5940294418906</v>
      </c>
      <c r="W48" s="183" t="str">
        <f t="shared" si="22"/>
        <v>S.031</v>
      </c>
      <c r="X48" s="183" t="s">
        <v>546</v>
      </c>
      <c r="AA48" s="670"/>
    </row>
    <row r="49" spans="1:27">
      <c r="A49" s="214" t="s">
        <v>293</v>
      </c>
      <c r="B49" s="192" t="s">
        <v>191</v>
      </c>
      <c r="C49" s="226" t="str">
        <f t="shared" ca="1" si="13"/>
        <v>Howell-Kilgore 69 kV rebuild</v>
      </c>
      <c r="D49" s="216">
        <f t="shared" ca="1" si="13"/>
        <v>2012</v>
      </c>
      <c r="E49" s="665">
        <f t="shared" ca="1" si="13"/>
        <v>451256.7914021461</v>
      </c>
      <c r="F49" s="218">
        <f t="shared" ca="1" si="13"/>
        <v>0</v>
      </c>
      <c r="G49" s="218">
        <f t="shared" ca="1" si="16"/>
        <v>451256.7914021461</v>
      </c>
      <c r="H49" s="219"/>
      <c r="I49" s="221">
        <v>16551.718436617171</v>
      </c>
      <c r="J49" s="221">
        <v>442810.30703479663</v>
      </c>
      <c r="K49" s="221">
        <v>472198.29655053158</v>
      </c>
      <c r="L49" s="217">
        <f t="shared" si="17"/>
        <v>-29387.989515734953</v>
      </c>
      <c r="M49" s="217"/>
      <c r="N49" s="218">
        <v>0</v>
      </c>
      <c r="O49" s="218">
        <v>0</v>
      </c>
      <c r="P49" s="218">
        <f t="shared" si="18"/>
        <v>0</v>
      </c>
      <c r="Q49" s="217">
        <f t="shared" si="4"/>
        <v>-1759.8910106417336</v>
      </c>
      <c r="R49" s="222">
        <f t="shared" si="19"/>
        <v>-14596.162089759515</v>
      </c>
      <c r="S49" s="228" t="s">
        <v>266</v>
      </c>
      <c r="T49" s="225">
        <f t="shared" ca="1" si="20"/>
        <v>436660.62931238656</v>
      </c>
      <c r="V49" s="224">
        <f t="shared" si="21"/>
        <v>-12836.271079117781</v>
      </c>
      <c r="W49" s="183" t="str">
        <f t="shared" si="22"/>
        <v>S.032</v>
      </c>
      <c r="X49" s="183" t="s">
        <v>286</v>
      </c>
      <c r="AA49" s="670"/>
    </row>
    <row r="50" spans="1:27">
      <c r="A50" s="214" t="s">
        <v>294</v>
      </c>
      <c r="B50" s="192" t="s">
        <v>191</v>
      </c>
      <c r="C50" s="226" t="str">
        <f t="shared" ca="1" si="13"/>
        <v xml:space="preserve"> Flint Creek-Shipe Road 345 kV Line</v>
      </c>
      <c r="D50" s="216">
        <f t="shared" ca="1" si="13"/>
        <v>2012</v>
      </c>
      <c r="E50" s="665">
        <f t="shared" ca="1" si="13"/>
        <v>6636700.468595529</v>
      </c>
      <c r="F50" s="218">
        <f t="shared" ca="1" si="13"/>
        <v>0</v>
      </c>
      <c r="G50" s="218">
        <f t="shared" ca="1" si="16"/>
        <v>6636700.468595529</v>
      </c>
      <c r="H50" s="219"/>
      <c r="I50" s="221">
        <v>246371.27181392163</v>
      </c>
      <c r="J50" s="221">
        <v>6502319.5005430691</v>
      </c>
      <c r="K50" s="221">
        <v>6933858.9075399861</v>
      </c>
      <c r="L50" s="217">
        <f t="shared" si="17"/>
        <v>-431539.40699691698</v>
      </c>
      <c r="M50" s="217"/>
      <c r="N50" s="218">
        <v>0</v>
      </c>
      <c r="O50" s="218">
        <v>0</v>
      </c>
      <c r="P50" s="218">
        <f t="shared" si="18"/>
        <v>0</v>
      </c>
      <c r="Q50" s="217">
        <f t="shared" ref="Q50:Q81" si="23">+V50/$V$96 * $Q$96</f>
        <v>-25387.103042408151</v>
      </c>
      <c r="R50" s="222">
        <f t="shared" si="19"/>
        <v>-210555.2382254035</v>
      </c>
      <c r="S50" s="228" t="s">
        <v>266</v>
      </c>
      <c r="T50" s="225">
        <f t="shared" ca="1" si="20"/>
        <v>6426145.2303701257</v>
      </c>
      <c r="V50" s="224">
        <f t="shared" si="21"/>
        <v>-185168.13518299535</v>
      </c>
      <c r="W50" s="183" t="str">
        <f t="shared" si="22"/>
        <v>S.033</v>
      </c>
      <c r="X50" s="183" t="s">
        <v>547</v>
      </c>
      <c r="AA50" s="670"/>
    </row>
    <row r="51" spans="1:27">
      <c r="A51" s="214" t="s">
        <v>304</v>
      </c>
      <c r="B51" s="192" t="s">
        <v>191</v>
      </c>
      <c r="C51" s="226" t="str">
        <f t="shared" ca="1" si="13"/>
        <v>Bann - LS Ordnance - Hooks 69 kV - Rebuild 7.1 mi</v>
      </c>
      <c r="D51" s="216">
        <f t="shared" ca="1" si="13"/>
        <v>2013</v>
      </c>
      <c r="E51" s="665">
        <f t="shared" ca="1" si="13"/>
        <v>953985.28720160865</v>
      </c>
      <c r="F51" s="218">
        <f t="shared" ca="1" si="13"/>
        <v>0</v>
      </c>
      <c r="G51" s="218">
        <f t="shared" ref="G51:G60" ca="1" si="24">+E51+F51</f>
        <v>953985.28720160865</v>
      </c>
      <c r="H51" s="219"/>
      <c r="I51" s="221">
        <v>34984.955825252342</v>
      </c>
      <c r="J51" s="221">
        <v>934745.55508782121</v>
      </c>
      <c r="K51" s="221">
        <v>996781.80884340988</v>
      </c>
      <c r="L51" s="217">
        <f t="shared" ref="L51:L60" si="25">+J51-K51</f>
        <v>-62036.253755588667</v>
      </c>
      <c r="M51" s="217"/>
      <c r="N51" s="218">
        <v>0</v>
      </c>
      <c r="O51" s="218">
        <v>0</v>
      </c>
      <c r="P51" s="218">
        <f t="shared" ref="P51:P60" si="26">+N51-O51</f>
        <v>0</v>
      </c>
      <c r="Q51" s="217">
        <f t="shared" si="23"/>
        <v>-3708.81354564399</v>
      </c>
      <c r="R51" s="222">
        <f t="shared" ref="R51:R60" si="27">I51+L51+P51+Q51</f>
        <v>-30760.111475980313</v>
      </c>
      <c r="S51" s="228" t="s">
        <v>266</v>
      </c>
      <c r="T51" s="225">
        <f t="shared" ref="T51:T60" ca="1" si="28">+G51+R51</f>
        <v>923225.17572562839</v>
      </c>
      <c r="V51" s="224">
        <f t="shared" ref="V51:V60" si="29">+I51+L51+P51</f>
        <v>-27051.297930336324</v>
      </c>
      <c r="W51" s="183" t="str">
        <f t="shared" ref="W51:W60" si="30">A51</f>
        <v>S.034</v>
      </c>
      <c r="X51" s="183" t="s">
        <v>548</v>
      </c>
      <c r="AA51" s="670"/>
    </row>
    <row r="52" spans="1:27">
      <c r="A52" s="214" t="s">
        <v>305</v>
      </c>
      <c r="B52" s="192" t="s">
        <v>191</v>
      </c>
      <c r="C52" s="226" t="str">
        <f t="shared" ca="1" si="13"/>
        <v>Diana - Replace North Autotransformer #3</v>
      </c>
      <c r="D52" s="216">
        <f t="shared" ca="1" si="13"/>
        <v>2013</v>
      </c>
      <c r="E52" s="665">
        <f t="shared" ca="1" si="13"/>
        <v>482505.9542817038</v>
      </c>
      <c r="F52" s="218">
        <f t="shared" ca="1" si="13"/>
        <v>0</v>
      </c>
      <c r="G52" s="218">
        <f t="shared" ca="1" si="24"/>
        <v>482505.9542817038</v>
      </c>
      <c r="H52" s="219"/>
      <c r="I52" s="221">
        <v>17229.351057251333</v>
      </c>
      <c r="J52" s="221">
        <v>472332.81178838661</v>
      </c>
      <c r="K52" s="221">
        <v>503680.12123501144</v>
      </c>
      <c r="L52" s="217">
        <f t="shared" si="25"/>
        <v>-31347.309446624829</v>
      </c>
      <c r="M52" s="217"/>
      <c r="N52" s="218">
        <v>0</v>
      </c>
      <c r="O52" s="218">
        <v>0</v>
      </c>
      <c r="P52" s="218">
        <f t="shared" si="26"/>
        <v>0</v>
      </c>
      <c r="Q52" s="217">
        <f t="shared" si="23"/>
        <v>-1935.6141596676298</v>
      </c>
      <c r="R52" s="222">
        <f t="shared" si="27"/>
        <v>-16053.572549041126</v>
      </c>
      <c r="S52" s="228" t="s">
        <v>266</v>
      </c>
      <c r="T52" s="225">
        <f t="shared" ca="1" si="28"/>
        <v>466452.38173266267</v>
      </c>
      <c r="V52" s="224">
        <f t="shared" si="29"/>
        <v>-14117.958389373496</v>
      </c>
      <c r="W52" s="183" t="str">
        <f t="shared" si="30"/>
        <v>S.035</v>
      </c>
      <c r="X52" s="183" t="s">
        <v>549</v>
      </c>
      <c r="AA52" s="670"/>
    </row>
    <row r="53" spans="1:27">
      <c r="A53" s="214" t="s">
        <v>306</v>
      </c>
      <c r="B53" s="192" t="s">
        <v>191</v>
      </c>
      <c r="C53" s="226" t="str">
        <f t="shared" ca="1" si="13"/>
        <v>Osburn 161 kV Line Work</v>
      </c>
      <c r="D53" s="216">
        <f t="shared" ca="1" si="13"/>
        <v>2013</v>
      </c>
      <c r="E53" s="665">
        <f t="shared" ca="1" si="13"/>
        <v>725000.53327762289</v>
      </c>
      <c r="F53" s="218">
        <f t="shared" ca="1" si="13"/>
        <v>0</v>
      </c>
      <c r="G53" s="218">
        <f t="shared" ca="1" si="24"/>
        <v>725000.53327762289</v>
      </c>
      <c r="H53" s="219"/>
      <c r="I53" s="221">
        <v>16241.006549732876</v>
      </c>
      <c r="J53" s="221">
        <v>700722.13592326047</v>
      </c>
      <c r="K53" s="221">
        <v>747226.95854550798</v>
      </c>
      <c r="L53" s="217">
        <f t="shared" si="25"/>
        <v>-46504.822622247506</v>
      </c>
      <c r="M53" s="217"/>
      <c r="N53" s="218">
        <v>0</v>
      </c>
      <c r="O53" s="218">
        <v>0</v>
      </c>
      <c r="P53" s="218">
        <f t="shared" si="26"/>
        <v>0</v>
      </c>
      <c r="Q53" s="217">
        <f t="shared" si="23"/>
        <v>-4149.2593546406988</v>
      </c>
      <c r="R53" s="222">
        <f t="shared" si="27"/>
        <v>-34413.075427155331</v>
      </c>
      <c r="S53" s="228" t="s">
        <v>266</v>
      </c>
      <c r="T53" s="225">
        <f t="shared" ca="1" si="28"/>
        <v>690587.45785046753</v>
      </c>
      <c r="V53" s="224">
        <f t="shared" si="29"/>
        <v>-30263.81607251463</v>
      </c>
      <c r="W53" s="183" t="str">
        <f t="shared" si="30"/>
        <v>S.036</v>
      </c>
      <c r="X53" s="183" t="s">
        <v>299</v>
      </c>
      <c r="AA53" s="670"/>
    </row>
    <row r="54" spans="1:27" ht="25.5">
      <c r="A54" s="214" t="s">
        <v>307</v>
      </c>
      <c r="B54" s="192" t="s">
        <v>191</v>
      </c>
      <c r="C54" s="226" t="str">
        <f t="shared" ca="1" si="13"/>
        <v>SW Shreveport to Spring Ridge REC 138 kV Line Rebuild</v>
      </c>
      <c r="D54" s="216">
        <f t="shared" ca="1" si="13"/>
        <v>2013</v>
      </c>
      <c r="E54" s="665">
        <f t="shared" ca="1" si="13"/>
        <v>560401.97872855526</v>
      </c>
      <c r="F54" s="218">
        <f t="shared" ca="1" si="13"/>
        <v>0</v>
      </c>
      <c r="G54" s="218">
        <f t="shared" ca="1" si="24"/>
        <v>560401.97872855526</v>
      </c>
      <c r="H54" s="219"/>
      <c r="I54" s="221">
        <v>20254.351191456662</v>
      </c>
      <c r="J54" s="221">
        <v>548829.7132365444</v>
      </c>
      <c r="K54" s="221">
        <v>585253.89217340003</v>
      </c>
      <c r="L54" s="217">
        <f t="shared" si="25"/>
        <v>-36424.178936855635</v>
      </c>
      <c r="M54" s="217"/>
      <c r="N54" s="218">
        <v>0</v>
      </c>
      <c r="O54" s="218">
        <v>0</v>
      </c>
      <c r="P54" s="218">
        <f t="shared" si="26"/>
        <v>0</v>
      </c>
      <c r="Q54" s="217">
        <f t="shared" si="23"/>
        <v>-2216.9315619274657</v>
      </c>
      <c r="R54" s="222">
        <f t="shared" si="27"/>
        <v>-18386.759307326436</v>
      </c>
      <c r="S54" s="228" t="s">
        <v>266</v>
      </c>
      <c r="T54" s="225">
        <f t="shared" ca="1" si="28"/>
        <v>542015.21942122886</v>
      </c>
      <c r="V54" s="224">
        <f t="shared" si="29"/>
        <v>-16169.827745398972</v>
      </c>
      <c r="W54" s="183" t="str">
        <f t="shared" si="30"/>
        <v>S.037</v>
      </c>
      <c r="X54" s="183" t="s">
        <v>550</v>
      </c>
      <c r="AA54" s="670"/>
    </row>
    <row r="55" spans="1:27" ht="25.5">
      <c r="A55" s="214" t="s">
        <v>308</v>
      </c>
      <c r="B55" s="192" t="s">
        <v>191</v>
      </c>
      <c r="C55" s="226" t="str">
        <f t="shared" ca="1" si="13"/>
        <v>Eastex Switching Station - Whitney 138 kV Station - Rebuild 2.5 miles of 138 Kv</v>
      </c>
      <c r="D55" s="216">
        <f t="shared" ca="1" si="13"/>
        <v>2013</v>
      </c>
      <c r="E55" s="665">
        <f t="shared" ca="1" si="13"/>
        <v>291633.10820049315</v>
      </c>
      <c r="F55" s="218">
        <f t="shared" ca="1" si="13"/>
        <v>0</v>
      </c>
      <c r="G55" s="218">
        <f t="shared" ca="1" si="24"/>
        <v>291633.10820049315</v>
      </c>
      <c r="H55" s="219"/>
      <c r="I55" s="221">
        <v>11514.615506916947</v>
      </c>
      <c r="J55" s="221">
        <v>286497.96315990621</v>
      </c>
      <c r="K55" s="221">
        <v>305511.97210202675</v>
      </c>
      <c r="L55" s="217">
        <f t="shared" si="25"/>
        <v>-19014.008942120534</v>
      </c>
      <c r="M55" s="217"/>
      <c r="N55" s="218">
        <v>0</v>
      </c>
      <c r="O55" s="218">
        <v>0</v>
      </c>
      <c r="P55" s="218">
        <f t="shared" si="26"/>
        <v>0</v>
      </c>
      <c r="Q55" s="217">
        <f t="shared" si="23"/>
        <v>-1028.1891844237609</v>
      </c>
      <c r="R55" s="222">
        <f t="shared" si="27"/>
        <v>-8527.5826196273483</v>
      </c>
      <c r="S55" s="228" t="s">
        <v>266</v>
      </c>
      <c r="T55" s="225">
        <f t="shared" ca="1" si="28"/>
        <v>283105.5255808658</v>
      </c>
      <c r="V55" s="224">
        <f t="shared" si="29"/>
        <v>-7499.3934352035867</v>
      </c>
      <c r="W55" s="183" t="str">
        <f t="shared" si="30"/>
        <v>S.038</v>
      </c>
      <c r="X55" s="183" t="s">
        <v>551</v>
      </c>
      <c r="AA55" s="670"/>
    </row>
    <row r="56" spans="1:27" ht="25.5">
      <c r="A56" s="230" t="s">
        <v>317</v>
      </c>
      <c r="B56" s="192" t="s">
        <v>191</v>
      </c>
      <c r="C56" s="226" t="str">
        <f t="shared" ca="1" si="13"/>
        <v>Ashdown West - Craig Junction 138KV Rebuild (tie w/PSO)</v>
      </c>
      <c r="D56" s="216">
        <f t="shared" ca="1" si="13"/>
        <v>2013</v>
      </c>
      <c r="E56" s="665">
        <f t="shared" ca="1" si="13"/>
        <v>474506.84810459183</v>
      </c>
      <c r="F56" s="218">
        <f t="shared" ca="1" si="13"/>
        <v>0</v>
      </c>
      <c r="G56" s="218">
        <f t="shared" ca="1" si="24"/>
        <v>474506.84810459183</v>
      </c>
      <c r="H56" s="219"/>
      <c r="I56" s="221">
        <v>17675.704419439426</v>
      </c>
      <c r="J56" s="221">
        <v>465410.3679248066</v>
      </c>
      <c r="K56" s="221">
        <v>496298.25557285489</v>
      </c>
      <c r="L56" s="217">
        <f t="shared" si="25"/>
        <v>-30887.887648048287</v>
      </c>
      <c r="M56" s="217"/>
      <c r="N56" s="218">
        <v>0</v>
      </c>
      <c r="O56" s="218">
        <v>0</v>
      </c>
      <c r="P56" s="218">
        <f t="shared" si="26"/>
        <v>0</v>
      </c>
      <c r="Q56" s="217">
        <f t="shared" si="23"/>
        <v>-1811.4296863679422</v>
      </c>
      <c r="R56" s="222">
        <f t="shared" si="27"/>
        <v>-15023.612914976804</v>
      </c>
      <c r="S56" s="228" t="s">
        <v>266</v>
      </c>
      <c r="T56" s="225">
        <f t="shared" ca="1" si="28"/>
        <v>459483.23518961505</v>
      </c>
      <c r="V56" s="224">
        <f t="shared" si="29"/>
        <v>-13212.183228608861</v>
      </c>
      <c r="W56" s="183" t="str">
        <f t="shared" si="30"/>
        <v>S.039</v>
      </c>
      <c r="X56" s="183" t="s">
        <v>552</v>
      </c>
      <c r="AA56" s="670"/>
    </row>
    <row r="57" spans="1:27">
      <c r="A57" s="230" t="s">
        <v>318</v>
      </c>
      <c r="B57" s="192" t="s">
        <v>191</v>
      </c>
      <c r="C57" s="226" t="str">
        <f t="shared" ca="1" si="13"/>
        <v xml:space="preserve">Rock Hill to Carthage 69 kV Rebuild 11.4 Miles </v>
      </c>
      <c r="D57" s="216">
        <f t="shared" ca="1" si="13"/>
        <v>2014</v>
      </c>
      <c r="E57" s="665">
        <f t="shared" ca="1" si="13"/>
        <v>1091500.1809427028</v>
      </c>
      <c r="F57" s="218">
        <f t="shared" ca="1" si="13"/>
        <v>0</v>
      </c>
      <c r="G57" s="218">
        <f t="shared" ca="1" si="24"/>
        <v>1091500.1809427028</v>
      </c>
      <c r="H57" s="219"/>
      <c r="I57" s="221">
        <v>40651.60157717648</v>
      </c>
      <c r="J57" s="221">
        <v>1068814.6894278091</v>
      </c>
      <c r="K57" s="221">
        <v>1139748.7087768659</v>
      </c>
      <c r="L57" s="217">
        <f t="shared" si="25"/>
        <v>-70934.019349056762</v>
      </c>
      <c r="M57" s="217"/>
      <c r="N57" s="218">
        <v>0</v>
      </c>
      <c r="O57" s="218">
        <v>0</v>
      </c>
      <c r="P57" s="218">
        <f t="shared" si="26"/>
        <v>0</v>
      </c>
      <c r="Q57" s="217">
        <f t="shared" si="23"/>
        <v>-4151.8097030475292</v>
      </c>
      <c r="R57" s="222">
        <f t="shared" si="27"/>
        <v>-34434.227474927815</v>
      </c>
      <c r="S57" s="228" t="s">
        <v>266</v>
      </c>
      <c r="T57" s="225">
        <f t="shared" ca="1" si="28"/>
        <v>1057065.9534677749</v>
      </c>
      <c r="V57" s="224">
        <f t="shared" si="29"/>
        <v>-30282.417771880282</v>
      </c>
      <c r="W57" s="183" t="str">
        <f t="shared" si="30"/>
        <v>S.040</v>
      </c>
      <c r="X57" s="183" t="s">
        <v>553</v>
      </c>
      <c r="AA57" s="670"/>
    </row>
    <row r="58" spans="1:27">
      <c r="A58" s="230" t="s">
        <v>319</v>
      </c>
      <c r="B58" s="192" t="s">
        <v>191</v>
      </c>
      <c r="C58" s="226" t="str">
        <f t="shared" ref="C58:F77" ca="1" si="31">INDIRECT("'"&amp; $A58 &amp; "'!" &amp;C$103)</f>
        <v>Broadmoor to Fern Street 69 kV Rebuild 1 mile</v>
      </c>
      <c r="D58" s="216">
        <f t="shared" ca="1" si="31"/>
        <v>2014</v>
      </c>
      <c r="E58" s="665">
        <f t="shared" ca="1" si="31"/>
        <v>560684.29322186462</v>
      </c>
      <c r="F58" s="218">
        <f t="shared" ca="1" si="31"/>
        <v>0</v>
      </c>
      <c r="G58" s="218">
        <f t="shared" ca="1" si="24"/>
        <v>560684.29322186462</v>
      </c>
      <c r="H58" s="219"/>
      <c r="I58" s="221">
        <v>21143.649764643516</v>
      </c>
      <c r="J58" s="221">
        <v>548756.65861829766</v>
      </c>
      <c r="K58" s="221">
        <v>585175.98913965572</v>
      </c>
      <c r="L58" s="217">
        <f t="shared" si="25"/>
        <v>-36419.330521358061</v>
      </c>
      <c r="M58" s="217"/>
      <c r="N58" s="218">
        <v>0</v>
      </c>
      <c r="O58" s="218">
        <v>0</v>
      </c>
      <c r="P58" s="218">
        <f t="shared" si="26"/>
        <v>0</v>
      </c>
      <c r="Q58" s="217">
        <f t="shared" si="23"/>
        <v>-2094.3413456661365</v>
      </c>
      <c r="R58" s="222">
        <f t="shared" si="27"/>
        <v>-17370.022102380681</v>
      </c>
      <c r="S58" s="228" t="s">
        <v>266</v>
      </c>
      <c r="T58" s="225">
        <f t="shared" ca="1" si="28"/>
        <v>543314.27111948398</v>
      </c>
      <c r="V58" s="224">
        <f t="shared" si="29"/>
        <v>-15275.680756714544</v>
      </c>
      <c r="W58" s="183" t="str">
        <f t="shared" si="30"/>
        <v>S.041</v>
      </c>
      <c r="X58" s="183" t="s">
        <v>554</v>
      </c>
      <c r="AA58" s="670"/>
    </row>
    <row r="59" spans="1:27" ht="25.5" customHeight="1">
      <c r="A59" s="230" t="s">
        <v>320</v>
      </c>
      <c r="B59" s="192" t="s">
        <v>191</v>
      </c>
      <c r="C59" s="226" t="str">
        <f t="shared" ca="1" si="31"/>
        <v>Northwest Henderson to Poynter 69 kV Rebuild 3.2 miles</v>
      </c>
      <c r="D59" s="216">
        <f t="shared" ca="1" si="31"/>
        <v>2014</v>
      </c>
      <c r="E59" s="665">
        <f t="shared" ca="1" si="31"/>
        <v>602572.0900265798</v>
      </c>
      <c r="F59" s="218">
        <f t="shared" ca="1" si="31"/>
        <v>0</v>
      </c>
      <c r="G59" s="218">
        <f t="shared" ca="1" si="24"/>
        <v>602572.0900265798</v>
      </c>
      <c r="H59" s="219"/>
      <c r="I59" s="221">
        <v>21471.874460266437</v>
      </c>
      <c r="J59" s="221">
        <v>589031.66188079072</v>
      </c>
      <c r="K59" s="221">
        <v>628123.9233498273</v>
      </c>
      <c r="L59" s="217">
        <f t="shared" si="25"/>
        <v>-39092.261469036574</v>
      </c>
      <c r="M59" s="217"/>
      <c r="N59" s="218">
        <v>0</v>
      </c>
      <c r="O59" s="218">
        <v>0</v>
      </c>
      <c r="P59" s="218">
        <f t="shared" si="26"/>
        <v>0</v>
      </c>
      <c r="Q59" s="217">
        <f t="shared" si="23"/>
        <v>-2415.8075588798033</v>
      </c>
      <c r="R59" s="222">
        <f t="shared" si="27"/>
        <v>-20036.194567649938</v>
      </c>
      <c r="S59" s="228" t="s">
        <v>266</v>
      </c>
      <c r="T59" s="225">
        <f t="shared" ca="1" si="28"/>
        <v>582535.89545892982</v>
      </c>
      <c r="V59" s="224">
        <f t="shared" si="29"/>
        <v>-17620.387008770136</v>
      </c>
      <c r="W59" s="183" t="str">
        <f t="shared" si="30"/>
        <v>S.042</v>
      </c>
      <c r="X59" s="183" t="s">
        <v>555</v>
      </c>
      <c r="AA59" s="670"/>
    </row>
    <row r="60" spans="1:27" ht="28.5" customHeight="1">
      <c r="A60" s="230" t="s">
        <v>321</v>
      </c>
      <c r="B60" s="192" t="s">
        <v>191</v>
      </c>
      <c r="C60" s="226" t="str">
        <f t="shared" ca="1" si="31"/>
        <v>Diana to Perdue 138 kV Rebuild 21.8 miles; Station Upgrades at Diana and Perdue</v>
      </c>
      <c r="D60" s="216">
        <f t="shared" ca="1" si="31"/>
        <v>2014</v>
      </c>
      <c r="E60" s="665">
        <f t="shared" ca="1" si="31"/>
        <v>1710884.0949343792</v>
      </c>
      <c r="F60" s="218">
        <f t="shared" ca="1" si="31"/>
        <v>0</v>
      </c>
      <c r="G60" s="218">
        <f t="shared" ca="1" si="24"/>
        <v>1710884.0949343792</v>
      </c>
      <c r="H60" s="219"/>
      <c r="I60" s="221">
        <v>64886.056922644842</v>
      </c>
      <c r="J60" s="221">
        <v>1674800.5231423676</v>
      </c>
      <c r="K60" s="221">
        <v>1785952.0014009522</v>
      </c>
      <c r="L60" s="217">
        <f t="shared" si="25"/>
        <v>-111151.47825858463</v>
      </c>
      <c r="M60" s="217"/>
      <c r="N60" s="218">
        <v>0</v>
      </c>
      <c r="O60" s="218">
        <v>0</v>
      </c>
      <c r="P60" s="218">
        <f t="shared" si="26"/>
        <v>0</v>
      </c>
      <c r="Q60" s="217">
        <f t="shared" si="23"/>
        <v>-6343.1271130703408</v>
      </c>
      <c r="R60" s="222">
        <f t="shared" si="27"/>
        <v>-52608.548449010123</v>
      </c>
      <c r="S60" s="228" t="s">
        <v>266</v>
      </c>
      <c r="T60" s="225">
        <f t="shared" ca="1" si="28"/>
        <v>1658275.5464853691</v>
      </c>
      <c r="V60" s="224">
        <f t="shared" si="29"/>
        <v>-46265.421335939784</v>
      </c>
      <c r="W60" s="183" t="str">
        <f t="shared" si="30"/>
        <v>S.043</v>
      </c>
      <c r="X60" s="183" t="s">
        <v>556</v>
      </c>
      <c r="AA60" s="670"/>
    </row>
    <row r="61" spans="1:27" ht="17.25" customHeight="1">
      <c r="A61" s="230" t="s">
        <v>343</v>
      </c>
      <c r="B61" s="192" t="s">
        <v>191</v>
      </c>
      <c r="C61" s="226" t="str">
        <f t="shared" ca="1" si="31"/>
        <v>Pittsburg-Winnsboro-North Mineola</v>
      </c>
      <c r="D61" s="216">
        <f t="shared" ca="1" si="31"/>
        <v>2007</v>
      </c>
      <c r="E61" s="665">
        <f t="shared" ca="1" si="31"/>
        <v>2764698.3712464399</v>
      </c>
      <c r="F61" s="218">
        <f t="shared" ca="1" si="31"/>
        <v>0</v>
      </c>
      <c r="G61" s="218">
        <f t="shared" ref="G61:G71" ca="1" si="32">+E61+F61</f>
        <v>2764698.3712464399</v>
      </c>
      <c r="H61" s="219"/>
      <c r="I61" s="221">
        <v>691281.53845775547</v>
      </c>
      <c r="J61" s="221">
        <v>3230691.425604851</v>
      </c>
      <c r="K61" s="221">
        <v>3445102.7078986694</v>
      </c>
      <c r="L61" s="217">
        <f t="shared" ref="L61:L71" si="33">+J61-K61</f>
        <v>-214411.28229381843</v>
      </c>
      <c r="M61" s="217"/>
      <c r="N61" s="218">
        <v>0</v>
      </c>
      <c r="O61" s="218">
        <v>0</v>
      </c>
      <c r="P61" s="218">
        <f t="shared" ref="P61:P71" si="34">+N61-O61</f>
        <v>0</v>
      </c>
      <c r="Q61" s="217">
        <f t="shared" si="23"/>
        <v>65380.332955932965</v>
      </c>
      <c r="R61" s="222">
        <f t="shared" ref="R61:R71" si="35">I61+L61+P61+Q61</f>
        <v>542250.58911986998</v>
      </c>
      <c r="S61" s="228" t="s">
        <v>266</v>
      </c>
      <c r="T61" s="225">
        <f t="shared" ref="T61:T70" ca="1" si="36">+G61+R61</f>
        <v>3306948.9603663096</v>
      </c>
      <c r="V61" s="224">
        <f t="shared" ref="V61:V71" si="37">+I61+L61+P61</f>
        <v>476870.25616393704</v>
      </c>
      <c r="W61" s="183" t="str">
        <f t="shared" ref="W61:W71" si="38">A61</f>
        <v>S.044</v>
      </c>
      <c r="X61" s="183" t="s">
        <v>328</v>
      </c>
      <c r="AA61" s="670"/>
    </row>
    <row r="62" spans="1:27" ht="17.25" customHeight="1">
      <c r="A62" s="230" t="s">
        <v>344</v>
      </c>
      <c r="B62" s="192" t="s">
        <v>191</v>
      </c>
      <c r="C62" s="226" t="str">
        <f t="shared" ca="1" si="31"/>
        <v>CHAMBER SPRINGS - TONTITOWN 161KV CKT 1</v>
      </c>
      <c r="D62" s="216">
        <f t="shared" ca="1" si="31"/>
        <v>2007</v>
      </c>
      <c r="E62" s="665">
        <f t="shared" ca="1" si="31"/>
        <v>247463.41604259165</v>
      </c>
      <c r="F62" s="218">
        <f t="shared" ca="1" si="31"/>
        <v>0</v>
      </c>
      <c r="G62" s="218">
        <f t="shared" ca="1" si="32"/>
        <v>247463.41604259165</v>
      </c>
      <c r="H62" s="219"/>
      <c r="I62" s="221">
        <v>67999.45057126024</v>
      </c>
      <c r="J62" s="221">
        <v>294647.97522798326</v>
      </c>
      <c r="K62" s="221">
        <v>314202.87598179991</v>
      </c>
      <c r="L62" s="217">
        <f t="shared" si="33"/>
        <v>-19554.900753816648</v>
      </c>
      <c r="M62" s="217"/>
      <c r="N62" s="218">
        <v>0</v>
      </c>
      <c r="O62" s="218">
        <v>0</v>
      </c>
      <c r="P62" s="218">
        <f t="shared" si="34"/>
        <v>0</v>
      </c>
      <c r="Q62" s="217">
        <f t="shared" si="23"/>
        <v>6641.8921206020686</v>
      </c>
      <c r="R62" s="222">
        <f t="shared" si="35"/>
        <v>55086.44193804566</v>
      </c>
      <c r="S62" s="228" t="s">
        <v>266</v>
      </c>
      <c r="T62" s="225">
        <f t="shared" ca="1" si="36"/>
        <v>302549.85798063729</v>
      </c>
      <c r="V62" s="224">
        <f t="shared" si="37"/>
        <v>48444.549817443592</v>
      </c>
      <c r="W62" s="183" t="str">
        <f t="shared" si="38"/>
        <v>S.045</v>
      </c>
      <c r="X62" s="183" t="s">
        <v>330</v>
      </c>
      <c r="AA62" s="670"/>
    </row>
    <row r="63" spans="1:27" ht="17.25" customHeight="1">
      <c r="A63" s="230" t="s">
        <v>345</v>
      </c>
      <c r="B63" s="192" t="s">
        <v>191</v>
      </c>
      <c r="C63" s="226" t="str">
        <f t="shared" ca="1" si="31"/>
        <v>CHAMBER SPRINGS - TONTITOWN 345KV CKT 1</v>
      </c>
      <c r="D63" s="216">
        <f t="shared" ca="1" si="31"/>
        <v>2008</v>
      </c>
      <c r="E63" s="665">
        <f t="shared" ca="1" si="31"/>
        <v>1573230.0538189975</v>
      </c>
      <c r="F63" s="218">
        <f t="shared" ca="1" si="31"/>
        <v>0</v>
      </c>
      <c r="G63" s="218">
        <f t="shared" ca="1" si="32"/>
        <v>1573230.0538189975</v>
      </c>
      <c r="H63" s="219"/>
      <c r="I63" s="221">
        <v>365174.24479515525</v>
      </c>
      <c r="J63" s="221">
        <v>1813196.7915649491</v>
      </c>
      <c r="K63" s="221">
        <v>1933533.2143038346</v>
      </c>
      <c r="L63" s="217">
        <f t="shared" si="33"/>
        <v>-120336.42273888551</v>
      </c>
      <c r="M63" s="217"/>
      <c r="N63" s="218">
        <v>0</v>
      </c>
      <c r="O63" s="218">
        <v>0</v>
      </c>
      <c r="P63" s="218">
        <f t="shared" si="34"/>
        <v>0</v>
      </c>
      <c r="Q63" s="217">
        <f t="shared" si="23"/>
        <v>33567.994898682351</v>
      </c>
      <c r="R63" s="222">
        <f t="shared" si="35"/>
        <v>278405.81695495208</v>
      </c>
      <c r="S63" s="228" t="s">
        <v>266</v>
      </c>
      <c r="T63" s="225">
        <f t="shared" ca="1" si="36"/>
        <v>1851635.8707739497</v>
      </c>
      <c r="V63" s="224">
        <f t="shared" si="37"/>
        <v>244837.82205626974</v>
      </c>
      <c r="W63" s="183" t="str">
        <f t="shared" si="38"/>
        <v>S.046</v>
      </c>
      <c r="X63" s="183" t="s">
        <v>332</v>
      </c>
      <c r="AA63" s="670"/>
    </row>
    <row r="64" spans="1:27" ht="17.25" customHeight="1">
      <c r="A64" s="230" t="s">
        <v>346</v>
      </c>
      <c r="B64" s="192" t="s">
        <v>191</v>
      </c>
      <c r="C64" s="226" t="str">
        <f t="shared" ca="1" si="31"/>
        <v>FULTON - HOPE 115KV CKT 1</v>
      </c>
      <c r="D64" s="216">
        <f t="shared" ca="1" si="31"/>
        <v>2012</v>
      </c>
      <c r="E64" s="665">
        <f t="shared" ca="1" si="31"/>
        <v>84364.452669168837</v>
      </c>
      <c r="F64" s="218">
        <f t="shared" ca="1" si="31"/>
        <v>0</v>
      </c>
      <c r="G64" s="218">
        <f t="shared" ca="1" si="32"/>
        <v>84364.452669168837</v>
      </c>
      <c r="H64" s="219"/>
      <c r="I64" s="221">
        <v>9523.9790114699572</v>
      </c>
      <c r="J64" s="221">
        <v>88241.296817095979</v>
      </c>
      <c r="K64" s="221">
        <v>94097.606538251348</v>
      </c>
      <c r="L64" s="217">
        <f t="shared" si="33"/>
        <v>-5856.3097211553686</v>
      </c>
      <c r="M64" s="217"/>
      <c r="N64" s="218">
        <v>0</v>
      </c>
      <c r="O64" s="218">
        <v>0</v>
      </c>
      <c r="P64" s="218">
        <f t="shared" si="34"/>
        <v>0</v>
      </c>
      <c r="Q64" s="217">
        <f t="shared" si="23"/>
        <v>502.84838752992533</v>
      </c>
      <c r="R64" s="222">
        <f t="shared" si="35"/>
        <v>4170.5176778445139</v>
      </c>
      <c r="S64" s="228" t="s">
        <v>266</v>
      </c>
      <c r="T64" s="225">
        <f t="shared" ca="1" si="36"/>
        <v>88534.970347013354</v>
      </c>
      <c r="V64" s="224">
        <f t="shared" si="37"/>
        <v>3667.6692903145886</v>
      </c>
      <c r="W64" s="183" t="str">
        <f t="shared" si="38"/>
        <v>S.047</v>
      </c>
      <c r="X64" s="183" t="s">
        <v>333</v>
      </c>
      <c r="AA64" s="670"/>
    </row>
    <row r="65" spans="1:27" ht="17.25" customHeight="1">
      <c r="A65" s="230" t="s">
        <v>347</v>
      </c>
      <c r="B65" s="192" t="s">
        <v>191</v>
      </c>
      <c r="C65" s="226" t="str">
        <f t="shared" ca="1" si="31"/>
        <v>MINEOLA - NORTH MINEOLA 69KV CKT 1</v>
      </c>
      <c r="D65" s="216">
        <f t="shared" ca="1" si="31"/>
        <v>2010</v>
      </c>
      <c r="E65" s="665">
        <f t="shared" ca="1" si="31"/>
        <v>16289.799945394194</v>
      </c>
      <c r="F65" s="218">
        <f t="shared" ca="1" si="31"/>
        <v>0</v>
      </c>
      <c r="G65" s="218">
        <f t="shared" ca="1" si="32"/>
        <v>16289.799945394194</v>
      </c>
      <c r="H65" s="219"/>
      <c r="I65" s="221">
        <v>2780.6616623024165</v>
      </c>
      <c r="J65" s="221">
        <v>17880.160084046678</v>
      </c>
      <c r="K65" s="221">
        <v>19066.812582287501</v>
      </c>
      <c r="L65" s="217">
        <f t="shared" si="33"/>
        <v>-1186.6524982408228</v>
      </c>
      <c r="M65" s="217"/>
      <c r="N65" s="218">
        <v>0</v>
      </c>
      <c r="O65" s="218">
        <v>0</v>
      </c>
      <c r="P65" s="218">
        <f t="shared" si="34"/>
        <v>0</v>
      </c>
      <c r="Q65" s="217">
        <f t="shared" si="23"/>
        <v>218.543405746254</v>
      </c>
      <c r="R65" s="222">
        <f t="shared" si="35"/>
        <v>1812.5525698078477</v>
      </c>
      <c r="S65" s="228" t="s">
        <v>266</v>
      </c>
      <c r="T65" s="225">
        <f t="shared" ca="1" si="36"/>
        <v>18102.352515202041</v>
      </c>
      <c r="V65" s="224">
        <f t="shared" si="37"/>
        <v>1594.0091640615938</v>
      </c>
      <c r="W65" s="183" t="str">
        <f t="shared" si="38"/>
        <v>S.048</v>
      </c>
      <c r="X65" s="183" t="s">
        <v>335</v>
      </c>
      <c r="AA65" s="670"/>
    </row>
    <row r="66" spans="1:27" ht="17.25" customHeight="1">
      <c r="A66" s="230" t="s">
        <v>348</v>
      </c>
      <c r="B66" s="192" t="s">
        <v>191</v>
      </c>
      <c r="C66" s="226" t="str">
        <f t="shared" ca="1" si="31"/>
        <v xml:space="preserve">SUGAR HILL 138/69KV TRANSFORMER CKT 1 </v>
      </c>
      <c r="D66" s="216">
        <f t="shared" ca="1" si="31"/>
        <v>2010</v>
      </c>
      <c r="E66" s="665">
        <f t="shared" ca="1" si="31"/>
        <v>2452.8598087506471</v>
      </c>
      <c r="F66" s="218">
        <f t="shared" ca="1" si="31"/>
        <v>0</v>
      </c>
      <c r="G66" s="218">
        <f t="shared" ca="1" si="32"/>
        <v>2452.8598087506471</v>
      </c>
      <c r="H66" s="219"/>
      <c r="I66" s="221">
        <v>248.83804911522748</v>
      </c>
      <c r="J66" s="221">
        <v>2536.8084971772041</v>
      </c>
      <c r="K66" s="221">
        <v>2705.1688544997196</v>
      </c>
      <c r="L66" s="217">
        <f t="shared" si="33"/>
        <v>-168.36035732251548</v>
      </c>
      <c r="M66" s="217"/>
      <c r="N66" s="218">
        <v>0</v>
      </c>
      <c r="O66" s="218">
        <v>0</v>
      </c>
      <c r="P66" s="218">
        <f t="shared" si="34"/>
        <v>0</v>
      </c>
      <c r="Q66" s="217">
        <f t="shared" si="23"/>
        <v>11.033731328220284</v>
      </c>
      <c r="R66" s="222">
        <f t="shared" si="35"/>
        <v>91.511423120932278</v>
      </c>
      <c r="S66" s="228" t="s">
        <v>266</v>
      </c>
      <c r="T66" s="225">
        <f t="shared" ca="1" si="36"/>
        <v>2544.3712318715793</v>
      </c>
      <c r="V66" s="224">
        <f t="shared" si="37"/>
        <v>80.477691792711994</v>
      </c>
      <c r="W66" s="183" t="str">
        <f t="shared" si="38"/>
        <v>S.049</v>
      </c>
      <c r="X66" s="183" t="s">
        <v>557</v>
      </c>
      <c r="AA66" s="670"/>
    </row>
    <row r="67" spans="1:27" ht="17.25" customHeight="1">
      <c r="A67" s="230" t="s">
        <v>349</v>
      </c>
      <c r="B67" s="192" t="s">
        <v>191</v>
      </c>
      <c r="C67" s="226" t="str">
        <f t="shared" ca="1" si="31"/>
        <v>Dekalb-New Boston 69 kV</v>
      </c>
      <c r="D67" s="216">
        <f t="shared" ca="1" si="31"/>
        <v>2015</v>
      </c>
      <c r="E67" s="665">
        <f t="shared" ca="1" si="31"/>
        <v>1856585.3167079764</v>
      </c>
      <c r="F67" s="218">
        <f t="shared" ca="1" si="31"/>
        <v>0</v>
      </c>
      <c r="G67" s="218">
        <f t="shared" ca="1" si="32"/>
        <v>1856585.3167079764</v>
      </c>
      <c r="H67" s="219"/>
      <c r="I67" s="221">
        <v>68681.734321817057</v>
      </c>
      <c r="J67" s="221">
        <v>1770197.1753840244</v>
      </c>
      <c r="K67" s="221">
        <v>1887679.8428027874</v>
      </c>
      <c r="L67" s="217">
        <f t="shared" si="33"/>
        <v>-117482.66741876304</v>
      </c>
      <c r="M67" s="217"/>
      <c r="N67" s="218">
        <v>0</v>
      </c>
      <c r="O67" s="218">
        <v>0</v>
      </c>
      <c r="P67" s="218">
        <f t="shared" si="34"/>
        <v>0</v>
      </c>
      <c r="Q67" s="217">
        <f t="shared" si="23"/>
        <v>-6690.7533300665218</v>
      </c>
      <c r="R67" s="222">
        <f t="shared" si="35"/>
        <v>-55491.686427012508</v>
      </c>
      <c r="S67" s="228" t="s">
        <v>266</v>
      </c>
      <c r="T67" s="225">
        <f t="shared" ca="1" si="36"/>
        <v>1801093.6302809638</v>
      </c>
      <c r="V67" s="224">
        <f t="shared" si="37"/>
        <v>-48800.933096945984</v>
      </c>
      <c r="W67" s="183" t="str">
        <f t="shared" si="38"/>
        <v>S.050</v>
      </c>
      <c r="X67" s="183" t="s">
        <v>338</v>
      </c>
      <c r="AA67" s="670"/>
    </row>
    <row r="68" spans="1:27" ht="17.25" customHeight="1">
      <c r="A68" s="230" t="s">
        <v>350</v>
      </c>
      <c r="B68" s="192" t="s">
        <v>191</v>
      </c>
      <c r="C68" s="226" t="str">
        <f t="shared" ca="1" si="31"/>
        <v>Hardy Street-Waterworks 69 kV</v>
      </c>
      <c r="D68" s="216">
        <f t="shared" ca="1" si="31"/>
        <v>2015</v>
      </c>
      <c r="E68" s="665">
        <f t="shared" ca="1" si="31"/>
        <v>652814.62084982684</v>
      </c>
      <c r="F68" s="218">
        <f t="shared" ca="1" si="31"/>
        <v>0</v>
      </c>
      <c r="G68" s="218">
        <f t="shared" ca="1" si="32"/>
        <v>652814.62084982684</v>
      </c>
      <c r="H68" s="219"/>
      <c r="I68" s="221">
        <v>23643.55073328421</v>
      </c>
      <c r="J68" s="221">
        <v>635107.15445571637</v>
      </c>
      <c r="K68" s="221">
        <v>677257.30791871203</v>
      </c>
      <c r="L68" s="217">
        <f t="shared" si="33"/>
        <v>-42150.153462995659</v>
      </c>
      <c r="M68" s="217"/>
      <c r="N68" s="218">
        <v>0</v>
      </c>
      <c r="O68" s="218">
        <v>0</v>
      </c>
      <c r="P68" s="218">
        <f t="shared" si="34"/>
        <v>0</v>
      </c>
      <c r="Q68" s="217">
        <f t="shared" si="23"/>
        <v>-2537.3103747023242</v>
      </c>
      <c r="R68" s="222">
        <f t="shared" si="35"/>
        <v>-21043.913104413772</v>
      </c>
      <c r="S68" s="228" t="s">
        <v>266</v>
      </c>
      <c r="T68" s="225">
        <f t="shared" ca="1" si="36"/>
        <v>631770.70774541306</v>
      </c>
      <c r="V68" s="224">
        <f t="shared" si="37"/>
        <v>-18506.602729711449</v>
      </c>
      <c r="W68" s="183" t="str">
        <f t="shared" si="38"/>
        <v>S.051</v>
      </c>
      <c r="X68" s="183" t="s">
        <v>339</v>
      </c>
      <c r="AA68" s="670"/>
    </row>
    <row r="69" spans="1:27" ht="17.25" customHeight="1">
      <c r="A69" s="230" t="s">
        <v>351</v>
      </c>
      <c r="B69" s="192" t="s">
        <v>191</v>
      </c>
      <c r="C69" s="226" t="str">
        <f t="shared" ca="1" si="31"/>
        <v>Red Oak (State Line)-North Huntington 69 kV</v>
      </c>
      <c r="D69" s="216">
        <f t="shared" ca="1" si="31"/>
        <v>2015</v>
      </c>
      <c r="E69" s="665">
        <f t="shared" ca="1" si="31"/>
        <v>1400491.7031747443</v>
      </c>
      <c r="F69" s="218">
        <f t="shared" ca="1" si="31"/>
        <v>0</v>
      </c>
      <c r="G69" s="218">
        <f t="shared" ca="1" si="32"/>
        <v>1400491.7031747443</v>
      </c>
      <c r="H69" s="219"/>
      <c r="I69" s="221">
        <v>52903.720842605457</v>
      </c>
      <c r="J69" s="221">
        <v>1370040.9439981405</v>
      </c>
      <c r="K69" s="221">
        <v>1460966.4447344663</v>
      </c>
      <c r="L69" s="217">
        <f t="shared" si="33"/>
        <v>-90925.500736325746</v>
      </c>
      <c r="M69" s="217"/>
      <c r="N69" s="218">
        <v>0</v>
      </c>
      <c r="O69" s="218">
        <v>0</v>
      </c>
      <c r="P69" s="218">
        <f t="shared" si="34"/>
        <v>0</v>
      </c>
      <c r="Q69" s="217">
        <f t="shared" si="23"/>
        <v>-5212.8993093963127</v>
      </c>
      <c r="R69" s="222">
        <f t="shared" si="35"/>
        <v>-43234.679203116604</v>
      </c>
      <c r="S69" s="228" t="s">
        <v>266</v>
      </c>
      <c r="T69" s="225">
        <f t="shared" ca="1" si="36"/>
        <v>1357257.0239716277</v>
      </c>
      <c r="V69" s="224">
        <f t="shared" si="37"/>
        <v>-38021.77989372029</v>
      </c>
      <c r="W69" s="183" t="str">
        <f t="shared" si="38"/>
        <v>S.052</v>
      </c>
      <c r="X69" s="183" t="s">
        <v>340</v>
      </c>
      <c r="AA69" s="670"/>
    </row>
    <row r="70" spans="1:27" ht="17.25" customHeight="1">
      <c r="A70" s="230" t="s">
        <v>352</v>
      </c>
      <c r="B70" s="192" t="s">
        <v>191</v>
      </c>
      <c r="C70" s="226" t="str">
        <f t="shared" ca="1" si="31"/>
        <v>Mt. Pleasant - West Mt. Pleasant 69 kV Ckt 1)</v>
      </c>
      <c r="D70" s="216">
        <f t="shared" ca="1" si="31"/>
        <v>2015</v>
      </c>
      <c r="E70" s="665">
        <f t="shared" ca="1" si="31"/>
        <v>675650.11419007811</v>
      </c>
      <c r="F70" s="218">
        <f t="shared" ca="1" si="31"/>
        <v>0</v>
      </c>
      <c r="G70" s="218">
        <f t="shared" ca="1" si="32"/>
        <v>675650.11419007811</v>
      </c>
      <c r="H70" s="219"/>
      <c r="I70" s="221">
        <v>25384.531796432566</v>
      </c>
      <c r="J70" s="221">
        <v>660484.60522899614</v>
      </c>
      <c r="K70" s="221">
        <v>704318.98384532041</v>
      </c>
      <c r="L70" s="217">
        <f t="shared" si="33"/>
        <v>-43834.378616324277</v>
      </c>
      <c r="M70" s="217"/>
      <c r="N70" s="218">
        <v>0</v>
      </c>
      <c r="O70" s="218">
        <v>0</v>
      </c>
      <c r="P70" s="218">
        <f t="shared" si="34"/>
        <v>0</v>
      </c>
      <c r="Q70" s="217">
        <f t="shared" si="23"/>
        <v>-2529.5289703616941</v>
      </c>
      <c r="R70" s="222">
        <f t="shared" si="35"/>
        <v>-20979.375790253405</v>
      </c>
      <c r="S70" s="228" t="s">
        <v>266</v>
      </c>
      <c r="T70" s="225">
        <f t="shared" ca="1" si="36"/>
        <v>654670.73839982471</v>
      </c>
      <c r="V70" s="224">
        <f t="shared" si="37"/>
        <v>-18449.846819891711</v>
      </c>
      <c r="W70" s="183" t="str">
        <f t="shared" si="38"/>
        <v>S.053</v>
      </c>
      <c r="X70" s="183" t="s">
        <v>558</v>
      </c>
      <c r="AA70" s="670"/>
    </row>
    <row r="71" spans="1:27" ht="17.25" customHeight="1">
      <c r="A71" s="230" t="s">
        <v>353</v>
      </c>
      <c r="B71" s="192" t="s">
        <v>191</v>
      </c>
      <c r="C71" s="226" t="str">
        <f t="shared" ca="1" si="31"/>
        <v>Benteler - Port Robson 138 kV Ckt 1 and 2</v>
      </c>
      <c r="D71" s="216">
        <f t="shared" ca="1" si="31"/>
        <v>2015</v>
      </c>
      <c r="E71" s="665">
        <f t="shared" ca="1" si="31"/>
        <v>1630989.3674118209</v>
      </c>
      <c r="F71" s="218">
        <f t="shared" ca="1" si="31"/>
        <v>0</v>
      </c>
      <c r="G71" s="218">
        <f t="shared" ca="1" si="32"/>
        <v>1630989.3674118209</v>
      </c>
      <c r="H71" s="219"/>
      <c r="I71" s="221">
        <v>61332.152126840316</v>
      </c>
      <c r="J71" s="221">
        <v>1594401.5287722901</v>
      </c>
      <c r="K71" s="221">
        <v>1700217.1673584755</v>
      </c>
      <c r="L71" s="217">
        <f t="shared" si="33"/>
        <v>-105815.63858618541</v>
      </c>
      <c r="M71" s="217"/>
      <c r="N71" s="218">
        <v>0</v>
      </c>
      <c r="O71" s="218">
        <v>0</v>
      </c>
      <c r="P71" s="218">
        <f t="shared" si="34"/>
        <v>0</v>
      </c>
      <c r="Q71" s="217">
        <f t="shared" si="23"/>
        <v>-6098.8185322107729</v>
      </c>
      <c r="R71" s="222">
        <f t="shared" si="35"/>
        <v>-50582.304991555866</v>
      </c>
      <c r="S71" s="228" t="s">
        <v>266</v>
      </c>
      <c r="T71" s="225">
        <f ca="1">+G71+R71</f>
        <v>1580407.0624202651</v>
      </c>
      <c r="V71" s="224">
        <f t="shared" si="37"/>
        <v>-44483.486459345091</v>
      </c>
      <c r="W71" s="183" t="str">
        <f t="shared" si="38"/>
        <v>S.054</v>
      </c>
      <c r="X71" s="183" t="s">
        <v>342</v>
      </c>
      <c r="AA71" s="670"/>
    </row>
    <row r="72" spans="1:27" ht="17.25" customHeight="1">
      <c r="A72" s="230" t="s">
        <v>363</v>
      </c>
      <c r="B72" s="192" t="s">
        <v>191</v>
      </c>
      <c r="C72" s="226" t="str">
        <f t="shared" ca="1" si="31"/>
        <v>Ellerbe Rd-S Shreveport 69 kv Build</v>
      </c>
      <c r="D72" s="216">
        <f t="shared" ca="1" si="31"/>
        <v>2016</v>
      </c>
      <c r="E72" s="665">
        <f t="shared" ca="1" si="31"/>
        <v>1121091.4278100706</v>
      </c>
      <c r="F72" s="218">
        <f t="shared" ca="1" si="31"/>
        <v>0</v>
      </c>
      <c r="G72" s="218">
        <f t="shared" ref="G72:G77" ca="1" si="39">+E72+F72</f>
        <v>1121091.4278100706</v>
      </c>
      <c r="H72" s="219"/>
      <c r="I72" s="221">
        <v>36784.752933781128</v>
      </c>
      <c r="J72" s="221">
        <v>1090053.9745754278</v>
      </c>
      <c r="K72" s="221">
        <v>1162397.5814596519</v>
      </c>
      <c r="L72" s="217">
        <f t="shared" ref="L72:L77" si="40">+J72-K72</f>
        <v>-72343.606884224107</v>
      </c>
      <c r="M72" s="217"/>
      <c r="N72" s="218">
        <v>0</v>
      </c>
      <c r="O72" s="218">
        <v>0</v>
      </c>
      <c r="P72" s="218">
        <f t="shared" ref="P72:P77" si="41">+N72-O72</f>
        <v>0</v>
      </c>
      <c r="Q72" s="217">
        <f t="shared" si="23"/>
        <v>-4875.2248242803471</v>
      </c>
      <c r="R72" s="222">
        <f t="shared" ref="R72:R77" si="42">I72+L72+P72+Q72</f>
        <v>-40434.078774723326</v>
      </c>
      <c r="S72" s="228" t="s">
        <v>266</v>
      </c>
      <c r="T72" s="225">
        <f t="shared" ref="T72:T77" ca="1" si="43">+G72+R72</f>
        <v>1080657.3490353473</v>
      </c>
      <c r="V72" s="224">
        <f>+I72+L72+P72</f>
        <v>-35558.853950442979</v>
      </c>
      <c r="W72" s="183" t="str">
        <f>A72</f>
        <v>S.055</v>
      </c>
      <c r="X72" s="183" t="s">
        <v>559</v>
      </c>
      <c r="AA72" s="670"/>
    </row>
    <row r="73" spans="1:27" ht="17.25" customHeight="1">
      <c r="A73" s="230" t="s">
        <v>364</v>
      </c>
      <c r="B73" s="192" t="s">
        <v>191</v>
      </c>
      <c r="C73" s="226" t="str">
        <f t="shared" ca="1" si="31"/>
        <v>Logansport 138 kv</v>
      </c>
      <c r="D73" s="216">
        <f t="shared" ca="1" si="31"/>
        <v>2016</v>
      </c>
      <c r="E73" s="665">
        <f t="shared" ca="1" si="31"/>
        <v>186716.13800710742</v>
      </c>
      <c r="F73" s="218">
        <f t="shared" ca="1" si="31"/>
        <v>0</v>
      </c>
      <c r="G73" s="218">
        <f t="shared" ca="1" si="39"/>
        <v>186716.13800710742</v>
      </c>
      <c r="H73" s="219"/>
      <c r="I73" s="221">
        <v>7400.2535078425426</v>
      </c>
      <c r="J73" s="221">
        <v>182785.16697078984</v>
      </c>
      <c r="K73" s="221">
        <v>194916.06926739632</v>
      </c>
      <c r="L73" s="217">
        <f t="shared" si="40"/>
        <v>-12130.90229660648</v>
      </c>
      <c r="M73" s="217"/>
      <c r="N73" s="218">
        <v>0</v>
      </c>
      <c r="O73" s="218">
        <v>0</v>
      </c>
      <c r="P73" s="218">
        <f t="shared" si="41"/>
        <v>0</v>
      </c>
      <c r="Q73" s="217">
        <f t="shared" si="23"/>
        <v>-648.58604391681752</v>
      </c>
      <c r="R73" s="222">
        <f t="shared" si="42"/>
        <v>-5379.2348326807551</v>
      </c>
      <c r="S73" s="228" t="s">
        <v>266</v>
      </c>
      <c r="T73" s="225">
        <f t="shared" ca="1" si="43"/>
        <v>181336.90317442667</v>
      </c>
      <c r="V73" s="224">
        <f>+I73+L73+P73</f>
        <v>-4730.6487887639378</v>
      </c>
      <c r="W73" s="183" t="str">
        <f>A73</f>
        <v>S.056</v>
      </c>
      <c r="X73" s="183" t="s">
        <v>560</v>
      </c>
      <c r="AA73" s="670"/>
    </row>
    <row r="74" spans="1:27" ht="17.25" customHeight="1">
      <c r="A74" s="230" t="s">
        <v>365</v>
      </c>
      <c r="B74" s="192" t="s">
        <v>191</v>
      </c>
      <c r="C74" s="226" t="str">
        <f t="shared" ca="1" si="31"/>
        <v>Winnsboro 138 kw</v>
      </c>
      <c r="D74" s="216">
        <f t="shared" ca="1" si="31"/>
        <v>2016</v>
      </c>
      <c r="E74" s="665">
        <f t="shared" ca="1" si="31"/>
        <v>147171.82578238277</v>
      </c>
      <c r="F74" s="218">
        <f t="shared" ca="1" si="31"/>
        <v>0</v>
      </c>
      <c r="G74" s="218">
        <f t="shared" ca="1" si="39"/>
        <v>147171.82578238277</v>
      </c>
      <c r="H74" s="219"/>
      <c r="I74" s="221">
        <v>4805.6608787084697</v>
      </c>
      <c r="J74" s="221">
        <v>143048.26462347739</v>
      </c>
      <c r="K74" s="221">
        <v>152541.94811325328</v>
      </c>
      <c r="L74" s="217">
        <f t="shared" si="40"/>
        <v>-9493.6834897758963</v>
      </c>
      <c r="M74" s="217"/>
      <c r="N74" s="218">
        <v>0</v>
      </c>
      <c r="O74" s="218">
        <v>0</v>
      </c>
      <c r="P74" s="218">
        <f t="shared" si="41"/>
        <v>0</v>
      </c>
      <c r="Q74" s="217">
        <f t="shared" si="23"/>
        <v>-642.74186794984632</v>
      </c>
      <c r="R74" s="222">
        <f t="shared" si="42"/>
        <v>-5330.7644790172726</v>
      </c>
      <c r="S74" s="228" t="s">
        <v>266</v>
      </c>
      <c r="T74" s="225">
        <f t="shared" ca="1" si="43"/>
        <v>141841.06130336551</v>
      </c>
      <c r="V74" s="224">
        <f>+I74+L74+P74</f>
        <v>-4688.0226110674266</v>
      </c>
      <c r="W74" s="183" t="str">
        <f>A74</f>
        <v>S.057</v>
      </c>
      <c r="X74" s="183" t="s">
        <v>561</v>
      </c>
      <c r="AA74" s="670"/>
    </row>
    <row r="75" spans="1:27" ht="17.25" customHeight="1">
      <c r="A75" s="230" t="s">
        <v>366</v>
      </c>
      <c r="B75" s="192" t="s">
        <v>191</v>
      </c>
      <c r="C75" s="226" t="str">
        <f t="shared" ca="1" si="31"/>
        <v>Rock Hill-Springridge Pan-Harr REC 138 kv</v>
      </c>
      <c r="D75" s="216">
        <f t="shared" ca="1" si="31"/>
        <v>2016</v>
      </c>
      <c r="E75" s="665">
        <f t="shared" ca="1" si="31"/>
        <v>3029068.3185003367</v>
      </c>
      <c r="F75" s="218">
        <f t="shared" ca="1" si="31"/>
        <v>0</v>
      </c>
      <c r="G75" s="218">
        <f t="shared" ca="1" si="39"/>
        <v>3029068.3185003367</v>
      </c>
      <c r="H75" s="219"/>
      <c r="I75" s="221">
        <v>126650.65488329949</v>
      </c>
      <c r="J75" s="221">
        <v>2980254.3043902447</v>
      </c>
      <c r="K75" s="221">
        <v>3178044.8274657656</v>
      </c>
      <c r="L75" s="217">
        <f t="shared" si="40"/>
        <v>-197790.52307552099</v>
      </c>
      <c r="M75" s="217"/>
      <c r="N75" s="218">
        <v>0</v>
      </c>
      <c r="O75" s="218">
        <v>0</v>
      </c>
      <c r="P75" s="218">
        <f t="shared" si="41"/>
        <v>0</v>
      </c>
      <c r="Q75" s="217">
        <f t="shared" si="23"/>
        <v>-9753.4878905294299</v>
      </c>
      <c r="R75" s="222">
        <f t="shared" si="42"/>
        <v>-80893.356082750935</v>
      </c>
      <c r="S75" s="228" t="s">
        <v>266</v>
      </c>
      <c r="T75" s="225">
        <f t="shared" ca="1" si="43"/>
        <v>2948174.9624175858</v>
      </c>
      <c r="V75" s="224">
        <f>+I75+L75+P75</f>
        <v>-71139.868192221504</v>
      </c>
      <c r="W75" s="183" t="str">
        <f>A75</f>
        <v>S.058</v>
      </c>
      <c r="X75" s="183" t="s">
        <v>562</v>
      </c>
      <c r="AA75" s="670"/>
    </row>
    <row r="76" spans="1:27" ht="17.25" customHeight="1">
      <c r="A76" s="230" t="s">
        <v>367</v>
      </c>
      <c r="B76" s="192" t="s">
        <v>191</v>
      </c>
      <c r="C76" s="226" t="str">
        <f t="shared" ca="1" si="31"/>
        <v>Brownlee-North Mrket 69 kv Rebuild</v>
      </c>
      <c r="D76" s="216">
        <f t="shared" ca="1" si="31"/>
        <v>2017</v>
      </c>
      <c r="E76" s="665">
        <f t="shared" ca="1" si="31"/>
        <v>2079259.6309567015</v>
      </c>
      <c r="F76" s="218">
        <f t="shared" ca="1" si="31"/>
        <v>0</v>
      </c>
      <c r="G76" s="218">
        <f t="shared" ca="1" si="39"/>
        <v>2079259.6309567015</v>
      </c>
      <c r="H76" s="219"/>
      <c r="I76" s="221">
        <v>80307.183403486386</v>
      </c>
      <c r="J76" s="221">
        <v>2061604.9703921394</v>
      </c>
      <c r="K76" s="221">
        <v>2198427.4975396618</v>
      </c>
      <c r="L76" s="217">
        <f t="shared" si="40"/>
        <v>-136822.52714752243</v>
      </c>
      <c r="M76" s="217"/>
      <c r="N76" s="218">
        <v>0</v>
      </c>
      <c r="O76" s="218">
        <v>0</v>
      </c>
      <c r="P76" s="218">
        <f t="shared" si="41"/>
        <v>0</v>
      </c>
      <c r="Q76" s="217">
        <f t="shared" si="23"/>
        <v>-7748.4220148841205</v>
      </c>
      <c r="R76" s="222">
        <f t="shared" si="42"/>
        <v>-64263.765758920163</v>
      </c>
      <c r="S76" s="228" t="s">
        <v>266</v>
      </c>
      <c r="T76" s="225">
        <f t="shared" ca="1" si="43"/>
        <v>2014995.8651977812</v>
      </c>
      <c r="V76" s="224">
        <f>+I76+L76+P76</f>
        <v>-56515.343744036043</v>
      </c>
      <c r="W76" s="183" t="str">
        <f>A76</f>
        <v>S.059</v>
      </c>
      <c r="X76" s="183" t="s">
        <v>563</v>
      </c>
      <c r="AA76" s="670"/>
    </row>
    <row r="77" spans="1:27" ht="17.25" customHeight="1">
      <c r="A77" s="230" t="s">
        <v>371</v>
      </c>
      <c r="B77" s="192" t="s">
        <v>191</v>
      </c>
      <c r="C77" s="226" t="str">
        <f t="shared" ca="1" si="31"/>
        <v>Valliant-NW Texarkana 345 kV</v>
      </c>
      <c r="D77" s="216">
        <f t="shared" ca="1" si="31"/>
        <v>2016</v>
      </c>
      <c r="E77" s="665">
        <f t="shared" ca="1" si="31"/>
        <v>11743276.985286441</v>
      </c>
      <c r="F77" s="218">
        <f t="shared" ca="1" si="31"/>
        <v>0</v>
      </c>
      <c r="G77" s="218">
        <f t="shared" ca="1" si="39"/>
        <v>11743276.985286441</v>
      </c>
      <c r="H77" s="219"/>
      <c r="I77" s="221">
        <v>458265.54905351624</v>
      </c>
      <c r="J77" s="221">
        <v>11557554.277525121</v>
      </c>
      <c r="K77" s="221">
        <v>12324594.426635191</v>
      </c>
      <c r="L77" s="217">
        <f t="shared" si="40"/>
        <v>-767040.1491100695</v>
      </c>
      <c r="M77" s="217"/>
      <c r="N77" s="218">
        <v>0</v>
      </c>
      <c r="O77" s="218">
        <v>0</v>
      </c>
      <c r="P77" s="218">
        <f t="shared" si="41"/>
        <v>0</v>
      </c>
      <c r="Q77" s="217">
        <f t="shared" si="23"/>
        <v>-42333.917662275824</v>
      </c>
      <c r="R77" s="222">
        <f t="shared" si="42"/>
        <v>-351108.5177188291</v>
      </c>
      <c r="S77" s="228" t="s">
        <v>266</v>
      </c>
      <c r="T77" s="225">
        <f t="shared" ca="1" si="43"/>
        <v>11392168.467567611</v>
      </c>
      <c r="V77" s="224">
        <f t="shared" ref="V77:V84" si="44">+I77+L77+P77</f>
        <v>-308774.60005655326</v>
      </c>
      <c r="W77" s="183" t="str">
        <f t="shared" ref="W77:W84" si="45">A77</f>
        <v>S.060</v>
      </c>
      <c r="X77" s="183" t="s">
        <v>379</v>
      </c>
      <c r="AA77" s="670"/>
    </row>
    <row r="78" spans="1:27" ht="17.25" customHeight="1">
      <c r="A78" s="230" t="s">
        <v>372</v>
      </c>
      <c r="B78" s="192" t="s">
        <v>191</v>
      </c>
      <c r="C78" s="226" t="str">
        <f t="shared" ref="C78:F92" ca="1" si="46">INDIRECT("'"&amp; $A78 &amp; "'!" &amp;C$103)</f>
        <v>Messick 500/230 kV</v>
      </c>
      <c r="D78" s="216">
        <f t="shared" ca="1" si="46"/>
        <v>2016</v>
      </c>
      <c r="E78" s="665">
        <f t="shared" ca="1" si="46"/>
        <v>6960825.5877609951</v>
      </c>
      <c r="F78" s="218">
        <f t="shared" ca="1" si="46"/>
        <v>0</v>
      </c>
      <c r="G78" s="218">
        <f t="shared" ref="G78:G84" ca="1" si="47">+E78+F78</f>
        <v>6960825.5877609951</v>
      </c>
      <c r="H78" s="219"/>
      <c r="I78" s="221">
        <v>274837.35009770282</v>
      </c>
      <c r="J78" s="221">
        <v>6825349.6590976492</v>
      </c>
      <c r="K78" s="221">
        <v>7278327.607072616</v>
      </c>
      <c r="L78" s="217">
        <f t="shared" ref="L78:L84" si="48">+J78-K78</f>
        <v>-452977.94797496684</v>
      </c>
      <c r="M78" s="217"/>
      <c r="N78" s="218">
        <v>0</v>
      </c>
      <c r="O78" s="218">
        <v>0</v>
      </c>
      <c r="P78" s="218">
        <f t="shared" ref="P78:P84" si="49">+N78-O78</f>
        <v>0</v>
      </c>
      <c r="Q78" s="217">
        <f t="shared" si="23"/>
        <v>-24423.606739231294</v>
      </c>
      <c r="R78" s="222">
        <f t="shared" ref="R78:R84" si="50">I78+L78+P78+Q78</f>
        <v>-202564.20461649532</v>
      </c>
      <c r="S78" s="228" t="s">
        <v>266</v>
      </c>
      <c r="T78" s="225">
        <f t="shared" ref="T78:T84" ca="1" si="51">+G78+R78</f>
        <v>6758261.3831444997</v>
      </c>
      <c r="V78" s="224">
        <f t="shared" si="44"/>
        <v>-178140.59787726402</v>
      </c>
      <c r="W78" s="183" t="str">
        <f t="shared" si="45"/>
        <v>S.061</v>
      </c>
      <c r="X78" s="183" t="s">
        <v>564</v>
      </c>
      <c r="AA78" s="670"/>
    </row>
    <row r="79" spans="1:27" ht="17.25" customHeight="1">
      <c r="A79" s="230" t="s">
        <v>373</v>
      </c>
      <c r="B79" s="192" t="s">
        <v>191</v>
      </c>
      <c r="C79" s="226" t="str">
        <f t="shared" ca="1" si="46"/>
        <v>Letourneau 69 kV Capacitor Bank Addition</v>
      </c>
      <c r="D79" s="216">
        <f t="shared" ca="1" si="46"/>
        <v>2017</v>
      </c>
      <c r="E79" s="665">
        <f t="shared" ca="1" si="46"/>
        <v>152897.18174606739</v>
      </c>
      <c r="F79" s="218">
        <f t="shared" ca="1" si="46"/>
        <v>0</v>
      </c>
      <c r="G79" s="218">
        <f t="shared" ca="1" si="47"/>
        <v>152897.18174606739</v>
      </c>
      <c r="H79" s="219"/>
      <c r="I79" s="221">
        <v>5291.9425923468661</v>
      </c>
      <c r="J79" s="221">
        <v>147398.22064236505</v>
      </c>
      <c r="K79" s="221">
        <v>157180.59764231014</v>
      </c>
      <c r="L79" s="217">
        <f t="shared" si="48"/>
        <v>-9782.3769999450888</v>
      </c>
      <c r="M79" s="217"/>
      <c r="N79" s="218">
        <v>0</v>
      </c>
      <c r="O79" s="218">
        <v>0</v>
      </c>
      <c r="P79" s="218">
        <f t="shared" si="49"/>
        <v>0</v>
      </c>
      <c r="Q79" s="217">
        <f t="shared" si="23"/>
        <v>-615.65193653978133</v>
      </c>
      <c r="R79" s="222">
        <f t="shared" si="50"/>
        <v>-5106.0863441380043</v>
      </c>
      <c r="S79" s="228" t="s">
        <v>266</v>
      </c>
      <c r="T79" s="225">
        <f t="shared" ca="1" si="51"/>
        <v>147791.0954019294</v>
      </c>
      <c r="V79" s="224">
        <f t="shared" si="44"/>
        <v>-4490.4344075982226</v>
      </c>
      <c r="W79" s="183" t="str">
        <f t="shared" si="45"/>
        <v>S.062</v>
      </c>
      <c r="X79" s="183" t="s">
        <v>382</v>
      </c>
      <c r="AA79" s="670"/>
    </row>
    <row r="80" spans="1:27" ht="17.25" customHeight="1">
      <c r="A80" s="230" t="s">
        <v>374</v>
      </c>
      <c r="B80" s="192" t="s">
        <v>191</v>
      </c>
      <c r="C80" s="226" t="str">
        <f t="shared" ca="1" si="46"/>
        <v>Brooks Street - Edwards Street 69 kV Line Rebuild</v>
      </c>
      <c r="D80" s="216">
        <f t="shared" ca="1" si="46"/>
        <v>2017</v>
      </c>
      <c r="E80" s="665">
        <f t="shared" ca="1" si="46"/>
        <v>569634.67373494396</v>
      </c>
      <c r="F80" s="218">
        <f t="shared" ca="1" si="46"/>
        <v>0</v>
      </c>
      <c r="G80" s="218">
        <f t="shared" ca="1" si="47"/>
        <v>569634.67373494396</v>
      </c>
      <c r="H80" s="219"/>
      <c r="I80" s="221">
        <v>26419.320058138808</v>
      </c>
      <c r="J80" s="221">
        <v>578407.39592005068</v>
      </c>
      <c r="K80" s="221">
        <v>616794.55678120535</v>
      </c>
      <c r="L80" s="217">
        <f t="shared" si="48"/>
        <v>-38387.160861154669</v>
      </c>
      <c r="M80" s="217"/>
      <c r="N80" s="218">
        <v>0</v>
      </c>
      <c r="O80" s="218">
        <v>0</v>
      </c>
      <c r="P80" s="218">
        <f t="shared" si="49"/>
        <v>0</v>
      </c>
      <c r="Q80" s="217">
        <f t="shared" si="23"/>
        <v>-1640.8266322984609</v>
      </c>
      <c r="R80" s="222">
        <f t="shared" si="50"/>
        <v>-13608.667435314321</v>
      </c>
      <c r="S80" s="228" t="s">
        <v>266</v>
      </c>
      <c r="T80" s="225">
        <f t="shared" ca="1" si="51"/>
        <v>556026.00629962969</v>
      </c>
      <c r="V80" s="224">
        <f t="shared" si="44"/>
        <v>-11967.840803015861</v>
      </c>
      <c r="W80" s="183" t="str">
        <f t="shared" si="45"/>
        <v>S.063</v>
      </c>
      <c r="X80" s="183" t="s">
        <v>383</v>
      </c>
      <c r="AA80" s="670"/>
    </row>
    <row r="81" spans="1:27" ht="17.25" customHeight="1">
      <c r="A81" s="230" t="s">
        <v>375</v>
      </c>
      <c r="B81" s="192" t="s">
        <v>191</v>
      </c>
      <c r="C81" s="226" t="str">
        <f t="shared" ca="1" si="46"/>
        <v>Hallsville - Marshall New 69 kV Circuit</v>
      </c>
      <c r="D81" s="216">
        <f t="shared" ca="1" si="46"/>
        <v>2017</v>
      </c>
      <c r="E81" s="665">
        <f t="shared" ca="1" si="46"/>
        <v>2128591.689881511</v>
      </c>
      <c r="F81" s="218">
        <f t="shared" ca="1" si="46"/>
        <v>0</v>
      </c>
      <c r="G81" s="218">
        <f t="shared" ca="1" si="47"/>
        <v>2128591.689881511</v>
      </c>
      <c r="H81" s="219"/>
      <c r="I81" s="221">
        <v>49146.830854492728</v>
      </c>
      <c r="J81" s="221">
        <v>2003233.7139276816</v>
      </c>
      <c r="K81" s="221">
        <v>2136182.3161783679</v>
      </c>
      <c r="L81" s="217">
        <f t="shared" si="48"/>
        <v>-132948.60225068638</v>
      </c>
      <c r="M81" s="217"/>
      <c r="N81" s="218">
        <v>0</v>
      </c>
      <c r="O81" s="218">
        <v>0</v>
      </c>
      <c r="P81" s="218">
        <f t="shared" si="49"/>
        <v>0</v>
      </c>
      <c r="Q81" s="217">
        <f t="shared" si="23"/>
        <v>-11489.472545959274</v>
      </c>
      <c r="R81" s="222">
        <f t="shared" si="50"/>
        <v>-95291.243942152927</v>
      </c>
      <c r="S81" s="228" t="s">
        <v>266</v>
      </c>
      <c r="T81" s="225">
        <f t="shared" ca="1" si="51"/>
        <v>2033300.4459393581</v>
      </c>
      <c r="V81" s="224">
        <f t="shared" si="44"/>
        <v>-83801.771396193653</v>
      </c>
      <c r="W81" s="183" t="str">
        <f t="shared" si="45"/>
        <v>S.064</v>
      </c>
      <c r="X81" s="183" t="s">
        <v>384</v>
      </c>
      <c r="AA81" s="670"/>
    </row>
    <row r="82" spans="1:27" ht="17.25" customHeight="1">
      <c r="A82" s="230" t="s">
        <v>376</v>
      </c>
      <c r="B82" s="192" t="s">
        <v>191</v>
      </c>
      <c r="C82" s="226" t="str">
        <f t="shared" ca="1" si="46"/>
        <v>Daingerfield - Jenkins Rebuild</v>
      </c>
      <c r="D82" s="216">
        <f t="shared" ca="1" si="46"/>
        <v>2017</v>
      </c>
      <c r="E82" s="665">
        <f t="shared" ca="1" si="46"/>
        <v>298050.82617309887</v>
      </c>
      <c r="F82" s="218">
        <f t="shared" ca="1" si="46"/>
        <v>0</v>
      </c>
      <c r="G82" s="218">
        <f t="shared" ca="1" si="47"/>
        <v>298050.82617309887</v>
      </c>
      <c r="H82" s="219"/>
      <c r="I82" s="221">
        <v>7567.1897334551322</v>
      </c>
      <c r="J82" s="221">
        <v>276408.12378941569</v>
      </c>
      <c r="K82" s="221">
        <v>294752.50041059719</v>
      </c>
      <c r="L82" s="217">
        <f t="shared" si="48"/>
        <v>-18344.376621181495</v>
      </c>
      <c r="M82" s="217"/>
      <c r="N82" s="218">
        <v>0</v>
      </c>
      <c r="O82" s="218">
        <v>0</v>
      </c>
      <c r="P82" s="218">
        <f t="shared" si="49"/>
        <v>0</v>
      </c>
      <c r="Q82" s="217">
        <f t="shared" ref="Q82:Q88" si="52">+V82/$V$96 * $Q$96</f>
        <v>-1477.5844329566107</v>
      </c>
      <c r="R82" s="222">
        <f t="shared" si="50"/>
        <v>-12254.771320682972</v>
      </c>
      <c r="S82" s="228" t="s">
        <v>266</v>
      </c>
      <c r="T82" s="225">
        <f t="shared" ca="1" si="51"/>
        <v>285796.05485241592</v>
      </c>
      <c r="V82" s="224">
        <f t="shared" si="44"/>
        <v>-10777.186887726362</v>
      </c>
      <c r="W82" s="183" t="str">
        <f t="shared" si="45"/>
        <v>S.065</v>
      </c>
      <c r="X82" s="183" t="s">
        <v>385</v>
      </c>
      <c r="AA82" s="670"/>
    </row>
    <row r="83" spans="1:27" ht="17.25" customHeight="1">
      <c r="A83" s="230" t="s">
        <v>377</v>
      </c>
      <c r="B83" s="192" t="s">
        <v>191</v>
      </c>
      <c r="C83" s="226" t="str">
        <f t="shared" ca="1" si="46"/>
        <v>Broadmoor - Fort Humbug Rebuild</v>
      </c>
      <c r="D83" s="216">
        <f t="shared" ca="1" si="46"/>
        <v>2017</v>
      </c>
      <c r="E83" s="665">
        <f t="shared" ca="1" si="46"/>
        <v>806044.03957835271</v>
      </c>
      <c r="F83" s="218">
        <f t="shared" ca="1" si="46"/>
        <v>0</v>
      </c>
      <c r="G83" s="218">
        <f t="shared" ca="1" si="47"/>
        <v>806044.03957835271</v>
      </c>
      <c r="H83" s="219"/>
      <c r="I83" s="221">
        <v>20864.71458734828</v>
      </c>
      <c r="J83" s="221">
        <v>773327.61130128033</v>
      </c>
      <c r="K83" s="221">
        <v>824651.04115849128</v>
      </c>
      <c r="L83" s="217">
        <f t="shared" si="48"/>
        <v>-51323.429857210955</v>
      </c>
      <c r="M83" s="217"/>
      <c r="N83" s="218">
        <v>0</v>
      </c>
      <c r="O83" s="218">
        <v>0</v>
      </c>
      <c r="P83" s="218">
        <f t="shared" si="49"/>
        <v>0</v>
      </c>
      <c r="Q83" s="217">
        <f t="shared" si="52"/>
        <v>-4175.9806152996534</v>
      </c>
      <c r="R83" s="222">
        <f t="shared" si="50"/>
        <v>-34634.695885162328</v>
      </c>
      <c r="S83" s="228" t="s">
        <v>266</v>
      </c>
      <c r="T83" s="225">
        <f t="shared" ca="1" si="51"/>
        <v>771409.34369319037</v>
      </c>
      <c r="V83" s="224">
        <f t="shared" si="44"/>
        <v>-30458.715269862674</v>
      </c>
      <c r="W83" s="183" t="str">
        <f t="shared" si="45"/>
        <v>S.066</v>
      </c>
      <c r="X83" s="183" t="s">
        <v>565</v>
      </c>
      <c r="AA83" s="670"/>
    </row>
    <row r="84" spans="1:27" ht="17.25" customHeight="1">
      <c r="A84" s="230" t="s">
        <v>378</v>
      </c>
      <c r="B84" s="192" t="s">
        <v>191</v>
      </c>
      <c r="C84" s="226" t="str">
        <f t="shared" ca="1" si="46"/>
        <v>Chamber Springs - Farmington 161 kV Line</v>
      </c>
      <c r="D84" s="216">
        <f t="shared" ca="1" si="46"/>
        <v>2017</v>
      </c>
      <c r="E84" s="665">
        <f t="shared" ca="1" si="46"/>
        <v>1308128.3575963045</v>
      </c>
      <c r="F84" s="218">
        <f t="shared" ca="1" si="46"/>
        <v>0</v>
      </c>
      <c r="G84" s="218">
        <f t="shared" ca="1" si="47"/>
        <v>1308128.3575963045</v>
      </c>
      <c r="H84" s="219"/>
      <c r="I84" s="221">
        <v>37691.802940168884</v>
      </c>
      <c r="J84" s="221">
        <v>1235617.3735096883</v>
      </c>
      <c r="K84" s="221">
        <v>1317621.5857903867</v>
      </c>
      <c r="L84" s="217">
        <f t="shared" si="48"/>
        <v>-82004.212280698353</v>
      </c>
      <c r="M84" s="217"/>
      <c r="N84" s="218">
        <v>0</v>
      </c>
      <c r="O84" s="218">
        <v>0</v>
      </c>
      <c r="P84" s="218">
        <f t="shared" si="49"/>
        <v>0</v>
      </c>
      <c r="Q84" s="217">
        <f t="shared" si="52"/>
        <v>-6075.3633494965425</v>
      </c>
      <c r="R84" s="222">
        <f t="shared" si="50"/>
        <v>-50387.77269002601</v>
      </c>
      <c r="S84" s="228" t="s">
        <v>266</v>
      </c>
      <c r="T84" s="225">
        <f t="shared" ca="1" si="51"/>
        <v>1257740.5849062784</v>
      </c>
      <c r="V84" s="224">
        <f t="shared" si="44"/>
        <v>-44312.40934052947</v>
      </c>
      <c r="W84" s="183" t="str">
        <f t="shared" si="45"/>
        <v>S.067</v>
      </c>
      <c r="X84" s="183" t="s">
        <v>387</v>
      </c>
      <c r="AA84" s="668"/>
    </row>
    <row r="85" spans="1:27" ht="17.25" customHeight="1">
      <c r="A85" s="230" t="s">
        <v>428</v>
      </c>
      <c r="B85" s="192" t="s">
        <v>191</v>
      </c>
      <c r="C85" s="226" t="str">
        <f t="shared" ca="1" si="46"/>
        <v>Evenside - Northwest Henderson 69 KV Line Rebuild</v>
      </c>
      <c r="D85" s="216">
        <f t="shared" ca="1" si="46"/>
        <v>2018</v>
      </c>
      <c r="E85" s="665">
        <f t="shared" ca="1" si="46"/>
        <v>1401160.9479644275</v>
      </c>
      <c r="F85" s="218">
        <f t="shared" ca="1" si="46"/>
        <v>0</v>
      </c>
      <c r="G85" s="218">
        <f t="shared" ref="G85:G91" ca="1" si="53">+E85+F85</f>
        <v>1401160.9479644275</v>
      </c>
      <c r="H85" s="219"/>
      <c r="I85" s="221">
        <v>46155.934120633872</v>
      </c>
      <c r="J85" s="221">
        <v>1346570.489643425</v>
      </c>
      <c r="K85" s="221">
        <v>1435938.3268485544</v>
      </c>
      <c r="L85" s="217">
        <f t="shared" ref="L85:L91" si="54">+J85-K85</f>
        <v>-89367.837205129443</v>
      </c>
      <c r="M85" s="217"/>
      <c r="N85" s="218">
        <v>0</v>
      </c>
      <c r="O85" s="218">
        <v>0</v>
      </c>
      <c r="P85" s="218">
        <f t="shared" ref="P85:P91" si="55">+N85-O85</f>
        <v>0</v>
      </c>
      <c r="Q85" s="217">
        <f t="shared" si="52"/>
        <v>-5924.480662833761</v>
      </c>
      <c r="R85" s="222">
        <f t="shared" ref="R85:R91" si="56">I85+L85+P85+Q85</f>
        <v>-49136.383747329332</v>
      </c>
      <c r="S85" s="228" t="s">
        <v>266</v>
      </c>
      <c r="T85" s="225">
        <f t="shared" ref="T85:T91" ca="1" si="57">+G85+R85</f>
        <v>1352024.5642170983</v>
      </c>
      <c r="V85" s="224">
        <f t="shared" ref="V85:V91" si="58">+I85+L85+P85</f>
        <v>-43211.903084495571</v>
      </c>
      <c r="W85" s="183" t="str">
        <f t="shared" ref="W85:W91" si="59">A85</f>
        <v>S.068</v>
      </c>
      <c r="X85" s="183" t="s">
        <v>566</v>
      </c>
      <c r="AA85" s="668"/>
    </row>
    <row r="86" spans="1:27" ht="17.25" customHeight="1">
      <c r="A86" s="230" t="s">
        <v>429</v>
      </c>
      <c r="B86" s="192" t="s">
        <v>191</v>
      </c>
      <c r="C86" s="226" t="str">
        <f t="shared" ca="1" si="46"/>
        <v>Hallsville - Longview Heights 69 KV Line Rebuild</v>
      </c>
      <c r="D86" s="216">
        <f t="shared" ca="1" si="46"/>
        <v>2017</v>
      </c>
      <c r="E86" s="665">
        <f t="shared" ca="1" si="46"/>
        <v>1209735.6216286737</v>
      </c>
      <c r="F86" s="218">
        <f t="shared" ca="1" si="46"/>
        <v>0</v>
      </c>
      <c r="G86" s="218">
        <f t="shared" ca="1" si="53"/>
        <v>1209735.6216286737</v>
      </c>
      <c r="H86" s="219"/>
      <c r="I86" s="221">
        <v>42875.090125296265</v>
      </c>
      <c r="J86" s="221">
        <v>1146383.2214763123</v>
      </c>
      <c r="K86" s="221">
        <v>1222465.2312184949</v>
      </c>
      <c r="L86" s="217">
        <f t="shared" si="54"/>
        <v>-76082.009742182679</v>
      </c>
      <c r="M86" s="217"/>
      <c r="N86" s="218">
        <v>0</v>
      </c>
      <c r="O86" s="218">
        <v>0</v>
      </c>
      <c r="P86" s="218">
        <f t="shared" si="55"/>
        <v>0</v>
      </c>
      <c r="Q86" s="217">
        <f t="shared" si="52"/>
        <v>-4552.7676195568138</v>
      </c>
      <c r="R86" s="222">
        <f t="shared" si="56"/>
        <v>-37759.687236443227</v>
      </c>
      <c r="S86" s="228" t="s">
        <v>266</v>
      </c>
      <c r="T86" s="225">
        <f t="shared" ca="1" si="57"/>
        <v>1171975.9343922306</v>
      </c>
      <c r="V86" s="224">
        <f t="shared" si="58"/>
        <v>-33206.919616886415</v>
      </c>
      <c r="W86" s="183" t="str">
        <f t="shared" si="59"/>
        <v>S.069</v>
      </c>
      <c r="X86" s="183" t="s">
        <v>567</v>
      </c>
      <c r="AA86" s="668"/>
    </row>
    <row r="87" spans="1:27" ht="17.25" customHeight="1">
      <c r="A87" s="230" t="s">
        <v>430</v>
      </c>
      <c r="B87" s="192" t="s">
        <v>191</v>
      </c>
      <c r="C87" s="226" t="str">
        <f t="shared" ca="1" si="46"/>
        <v>Linwood - South Shreveport 138 KV Kine Rebuild</v>
      </c>
      <c r="D87" s="216">
        <f t="shared" ca="1" si="46"/>
        <v>2018</v>
      </c>
      <c r="E87" s="665">
        <f t="shared" ca="1" si="46"/>
        <v>897042.5025772223</v>
      </c>
      <c r="F87" s="218">
        <f t="shared" ca="1" si="46"/>
        <v>0</v>
      </c>
      <c r="G87" s="218">
        <f t="shared" ca="1" si="53"/>
        <v>897042.5025772223</v>
      </c>
      <c r="H87" s="219"/>
      <c r="I87" s="221">
        <v>36628.066057622782</v>
      </c>
      <c r="J87" s="221">
        <v>880238.18704277219</v>
      </c>
      <c r="K87" s="221">
        <v>938656.95056565874</v>
      </c>
      <c r="L87" s="217">
        <f t="shared" si="54"/>
        <v>-58418.763522886555</v>
      </c>
      <c r="M87" s="217"/>
      <c r="N87" s="218">
        <v>0</v>
      </c>
      <c r="O87" s="218">
        <v>0</v>
      </c>
      <c r="P87" s="218">
        <f t="shared" si="55"/>
        <v>0</v>
      </c>
      <c r="Q87" s="217">
        <f t="shared" si="52"/>
        <v>-2987.56954791321</v>
      </c>
      <c r="R87" s="222">
        <f t="shared" si="56"/>
        <v>-24778.267013176985</v>
      </c>
      <c r="S87" s="228" t="s">
        <v>266</v>
      </c>
      <c r="T87" s="225">
        <f t="shared" ca="1" si="57"/>
        <v>872264.23556404538</v>
      </c>
      <c r="V87" s="224">
        <f t="shared" si="58"/>
        <v>-21790.697465263773</v>
      </c>
      <c r="W87" s="183" t="str">
        <f t="shared" si="59"/>
        <v>S.070</v>
      </c>
      <c r="X87" s="183" t="s">
        <v>568</v>
      </c>
      <c r="AA87" s="668"/>
    </row>
    <row r="88" spans="1:27" ht="17.25" customHeight="1">
      <c r="A88" s="230" t="s">
        <v>431</v>
      </c>
      <c r="B88" s="192" t="s">
        <v>191</v>
      </c>
      <c r="C88" s="226" t="str">
        <f t="shared" ca="1" si="46"/>
        <v>IPC 138 KV Capacitor Bank Addition</v>
      </c>
      <c r="D88" s="216">
        <f t="shared" ca="1" si="46"/>
        <v>2018</v>
      </c>
      <c r="E88" s="665">
        <f t="shared" ca="1" si="46"/>
        <v>222109.18721263934</v>
      </c>
      <c r="F88" s="218">
        <f t="shared" ca="1" si="46"/>
        <v>0</v>
      </c>
      <c r="G88" s="218">
        <f t="shared" ca="1" si="53"/>
        <v>222109.18721263934</v>
      </c>
      <c r="H88" s="219"/>
      <c r="I88" s="221">
        <v>6745.4420587948698</v>
      </c>
      <c r="J88" s="221">
        <v>216855.35671509503</v>
      </c>
      <c r="K88" s="221">
        <v>231247.39513048218</v>
      </c>
      <c r="L88" s="217">
        <f t="shared" si="54"/>
        <v>-14392.038415387156</v>
      </c>
      <c r="M88" s="217"/>
      <c r="N88" s="218">
        <v>0</v>
      </c>
      <c r="O88" s="218">
        <v>0</v>
      </c>
      <c r="P88" s="218">
        <f t="shared" si="55"/>
        <v>0</v>
      </c>
      <c r="Q88" s="217">
        <f t="shared" si="52"/>
        <v>-1048.3711435375428</v>
      </c>
      <c r="R88" s="222">
        <f t="shared" si="56"/>
        <v>-8694.9675001298292</v>
      </c>
      <c r="S88" s="228" t="s">
        <v>266</v>
      </c>
      <c r="T88" s="225">
        <f t="shared" ca="1" si="57"/>
        <v>213414.21971250951</v>
      </c>
      <c r="V88" s="224">
        <f t="shared" si="58"/>
        <v>-7646.5963565922866</v>
      </c>
      <c r="W88" s="183" t="str">
        <f t="shared" si="59"/>
        <v>S.071</v>
      </c>
      <c r="X88" s="183" t="s">
        <v>569</v>
      </c>
      <c r="AA88" s="668"/>
    </row>
    <row r="89" spans="1:27" ht="17.25" customHeight="1">
      <c r="A89" s="230" t="s">
        <v>441</v>
      </c>
      <c r="B89" s="192" t="s">
        <v>191</v>
      </c>
      <c r="C89" s="226" t="str">
        <f t="shared" ca="1" si="46"/>
        <v>Ellerbe Road - Lucas 69 kV Rebuild</v>
      </c>
      <c r="D89" s="216">
        <f t="shared" ca="1" si="46"/>
        <v>2019</v>
      </c>
      <c r="E89" s="665">
        <f t="shared" ca="1" si="46"/>
        <v>1251175.7925511589</v>
      </c>
      <c r="F89" s="218">
        <f t="shared" ca="1" si="46"/>
        <v>0</v>
      </c>
      <c r="G89" s="218">
        <f t="shared" ca="1" si="53"/>
        <v>1251175.7925511589</v>
      </c>
      <c r="H89" s="219"/>
      <c r="I89" s="221">
        <v>21067.291151334532</v>
      </c>
      <c r="J89" s="221">
        <v>1413043.5229155682</v>
      </c>
      <c r="K89" s="221">
        <v>1506822.9755999357</v>
      </c>
      <c r="L89" s="217">
        <f t="shared" si="54"/>
        <v>-93779.452684367541</v>
      </c>
      <c r="M89" s="217"/>
      <c r="N89" s="218">
        <v>0</v>
      </c>
      <c r="O89" s="218">
        <v>0</v>
      </c>
      <c r="P89" s="218">
        <f t="shared" si="55"/>
        <v>0</v>
      </c>
      <c r="Q89" s="217">
        <f t="shared" ref="Q89:Q91" si="60">+V89/$V$96 * $Q$96</f>
        <v>-9969.0539922057596</v>
      </c>
      <c r="R89" s="222">
        <f t="shared" si="56"/>
        <v>-82681.215525238775</v>
      </c>
      <c r="S89" s="228" t="s">
        <v>266</v>
      </c>
      <c r="T89" s="225">
        <f t="shared" ca="1" si="57"/>
        <v>1168494.5770259202</v>
      </c>
      <c r="V89" s="224">
        <f t="shared" si="58"/>
        <v>-72712.16153303301</v>
      </c>
      <c r="W89" s="183" t="str">
        <f t="shared" si="59"/>
        <v>S.072</v>
      </c>
      <c r="X89" s="183" t="s">
        <v>443</v>
      </c>
      <c r="AA89" s="670"/>
    </row>
    <row r="90" spans="1:27" ht="17.25" customHeight="1">
      <c r="A90" s="230" t="s">
        <v>440</v>
      </c>
      <c r="B90" s="192" t="s">
        <v>191</v>
      </c>
      <c r="C90" s="226" t="str">
        <f t="shared" ca="1" si="46"/>
        <v>Siloam Springs - Siloam Springs City 161 kV Rebuild</v>
      </c>
      <c r="D90" s="216">
        <f t="shared" ca="1" si="46"/>
        <v>2019</v>
      </c>
      <c r="E90" s="665">
        <f t="shared" ca="1" si="46"/>
        <v>494465.64890946052</v>
      </c>
      <c r="F90" s="218">
        <f t="shared" ca="1" si="46"/>
        <v>0</v>
      </c>
      <c r="G90" s="218">
        <f t="shared" ca="1" si="53"/>
        <v>494465.64890946052</v>
      </c>
      <c r="H90" s="219"/>
      <c r="I90" s="221">
        <v>18114.303295692895</v>
      </c>
      <c r="J90" s="221">
        <v>462664.88260729273</v>
      </c>
      <c r="K90" s="221">
        <v>493370.56064448762</v>
      </c>
      <c r="L90" s="217">
        <f t="shared" si="54"/>
        <v>-30705.678037194884</v>
      </c>
      <c r="M90" s="217"/>
      <c r="N90" s="218">
        <v>0</v>
      </c>
      <c r="O90" s="218">
        <v>0</v>
      </c>
      <c r="P90" s="218">
        <f t="shared" si="55"/>
        <v>0</v>
      </c>
      <c r="Q90" s="217">
        <f t="shared" si="60"/>
        <v>-1726.3149930854936</v>
      </c>
      <c r="R90" s="222">
        <f t="shared" si="56"/>
        <v>-14317.689734587484</v>
      </c>
      <c r="S90" s="228" t="s">
        <v>266</v>
      </c>
      <c r="T90" s="225">
        <f t="shared" ca="1" si="57"/>
        <v>480147.95917487302</v>
      </c>
      <c r="V90" s="224">
        <f t="shared" si="58"/>
        <v>-12591.37474150199</v>
      </c>
      <c r="W90" s="183" t="str">
        <f t="shared" si="59"/>
        <v>S.073</v>
      </c>
      <c r="X90" s="183" t="s">
        <v>442</v>
      </c>
      <c r="AA90" s="670"/>
    </row>
    <row r="91" spans="1:27">
      <c r="A91" s="230" t="s">
        <v>446</v>
      </c>
      <c r="B91" s="192" t="s">
        <v>191</v>
      </c>
      <c r="C91" s="226" t="str">
        <f t="shared" ca="1" si="46"/>
        <v>Figure Five - VBI North 69 kV Rebuild</v>
      </c>
      <c r="D91" s="216">
        <f t="shared" ca="1" si="46"/>
        <v>2019</v>
      </c>
      <c r="E91" s="665">
        <f t="shared" ca="1" si="46"/>
        <v>388601.82821898186</v>
      </c>
      <c r="F91" s="218">
        <f t="shared" ca="1" si="46"/>
        <v>0</v>
      </c>
      <c r="G91" s="218">
        <f t="shared" ca="1" si="53"/>
        <v>388601.82821898186</v>
      </c>
      <c r="H91" s="231"/>
      <c r="I91" s="221">
        <v>10885.67064806493</v>
      </c>
      <c r="J91" s="221">
        <v>495567.93475500762</v>
      </c>
      <c r="K91" s="221">
        <v>528457.28949572775</v>
      </c>
      <c r="L91" s="217">
        <f t="shared" si="54"/>
        <v>-32889.354740720126</v>
      </c>
      <c r="M91" s="231"/>
      <c r="N91" s="218">
        <v>0</v>
      </c>
      <c r="O91" s="218">
        <v>0</v>
      </c>
      <c r="P91" s="218">
        <f t="shared" si="55"/>
        <v>0</v>
      </c>
      <c r="Q91" s="217">
        <f t="shared" si="60"/>
        <v>-3016.7706491226454</v>
      </c>
      <c r="R91" s="222">
        <f t="shared" si="56"/>
        <v>-25020.454741777841</v>
      </c>
      <c r="S91" s="231"/>
      <c r="T91" s="225">
        <f t="shared" ca="1" si="57"/>
        <v>363581.373477204</v>
      </c>
      <c r="U91" s="233"/>
      <c r="V91" s="224">
        <f t="shared" si="58"/>
        <v>-22003.684092655196</v>
      </c>
      <c r="W91" s="183" t="str">
        <f t="shared" si="59"/>
        <v>S.074</v>
      </c>
      <c r="X91" s="183" t="s">
        <v>444</v>
      </c>
      <c r="AA91" s="670"/>
    </row>
    <row r="92" spans="1:27">
      <c r="A92" s="230" t="s">
        <v>518</v>
      </c>
      <c r="B92" s="192" t="s">
        <v>191</v>
      </c>
      <c r="C92" s="226" t="str">
        <f t="shared" ca="1" si="46"/>
        <v>Siloam Springs 161 kV Rebuild</v>
      </c>
      <c r="D92" s="216">
        <f t="shared" ca="1" si="46"/>
        <v>2024</v>
      </c>
      <c r="E92" s="665">
        <f t="shared" ca="1" si="46"/>
        <v>219.09323232184698</v>
      </c>
      <c r="F92" s="218">
        <f t="shared" ca="1" si="46"/>
        <v>0</v>
      </c>
      <c r="G92" s="218">
        <f t="shared" ref="G92" ca="1" si="61">+E92+F92</f>
        <v>219.09323232184698</v>
      </c>
      <c r="H92" s="231"/>
      <c r="I92" s="221">
        <v>0</v>
      </c>
      <c r="J92" s="221">
        <v>0</v>
      </c>
      <c r="K92" s="221">
        <v>0</v>
      </c>
      <c r="L92" s="217">
        <f t="shared" ref="L92" si="62">+J92-K92</f>
        <v>0</v>
      </c>
      <c r="M92" s="231"/>
      <c r="N92" s="218">
        <v>0</v>
      </c>
      <c r="O92" s="218">
        <v>0</v>
      </c>
      <c r="P92" s="218">
        <f t="shared" ref="P92" si="63">+N92-O92</f>
        <v>0</v>
      </c>
      <c r="Q92" s="217">
        <f t="shared" ref="Q92" si="64">+V92/$V$96 * $Q$96</f>
        <v>0</v>
      </c>
      <c r="R92" s="222">
        <f t="shared" ref="R92" si="65">I92+L92+P92+Q92</f>
        <v>0</v>
      </c>
      <c r="S92" s="231"/>
      <c r="T92" s="225">
        <f t="shared" ref="T92" ca="1" si="66">+G92+R92</f>
        <v>219.09323232184698</v>
      </c>
      <c r="U92" s="233"/>
      <c r="V92" s="224">
        <f t="shared" ref="V92" si="67">+I92+L92+P92</f>
        <v>0</v>
      </c>
      <c r="W92" s="183" t="str">
        <f t="shared" ref="W92" si="68">A92</f>
        <v>S.075</v>
      </c>
      <c r="X92" s="183" t="s">
        <v>515</v>
      </c>
      <c r="AA92" s="670"/>
    </row>
    <row r="93" spans="1:27">
      <c r="A93" s="230"/>
      <c r="B93" s="192"/>
      <c r="C93" s="226"/>
      <c r="D93" s="216"/>
      <c r="E93" s="665"/>
      <c r="F93" s="218"/>
      <c r="G93" s="218"/>
      <c r="H93" s="231"/>
      <c r="I93" s="220"/>
      <c r="J93" s="221"/>
      <c r="K93" s="221"/>
      <c r="L93" s="217"/>
      <c r="M93" s="231"/>
      <c r="N93" s="218"/>
      <c r="O93" s="218"/>
      <c r="P93" s="218"/>
      <c r="Q93" s="217"/>
      <c r="R93" s="222"/>
      <c r="S93" s="231"/>
      <c r="T93" s="225"/>
      <c r="U93" s="233"/>
      <c r="V93" s="224"/>
      <c r="AA93"/>
    </row>
    <row r="94" spans="1:27">
      <c r="A94" s="230"/>
      <c r="B94" s="192"/>
      <c r="C94" s="226"/>
      <c r="D94" s="216"/>
      <c r="E94" s="665"/>
      <c r="F94" s="218"/>
      <c r="G94" s="218"/>
      <c r="H94" s="231"/>
      <c r="I94" s="220"/>
      <c r="J94" s="221"/>
      <c r="K94" s="221"/>
      <c r="L94" s="217"/>
      <c r="M94" s="231"/>
      <c r="N94" s="218"/>
      <c r="O94" s="218"/>
      <c r="P94" s="218"/>
      <c r="Q94" s="217"/>
      <c r="R94" s="222"/>
      <c r="S94" s="231"/>
      <c r="T94" s="225"/>
      <c r="U94" s="233"/>
      <c r="V94" s="224"/>
      <c r="AA94"/>
    </row>
    <row r="95" spans="1:27">
      <c r="A95" s="194"/>
      <c r="B95" s="194"/>
      <c r="C95" s="194"/>
      <c r="D95" s="192"/>
      <c r="E95" s="231"/>
      <c r="F95" s="231"/>
      <c r="G95" s="231"/>
      <c r="H95" s="222"/>
      <c r="I95" s="231"/>
      <c r="J95" s="231"/>
      <c r="K95" s="231"/>
      <c r="L95" s="231"/>
      <c r="M95" s="231"/>
      <c r="N95" s="231"/>
      <c r="O95" s="231"/>
      <c r="P95" s="231"/>
      <c r="Q95" s="231"/>
      <c r="R95" s="231"/>
      <c r="S95" s="222"/>
      <c r="T95" s="232"/>
      <c r="V95" s="213"/>
      <c r="AA95"/>
    </row>
    <row r="96" spans="1:27">
      <c r="A96" s="194"/>
      <c r="B96" s="194"/>
      <c r="C96" s="214" t="s">
        <v>247</v>
      </c>
      <c r="D96" s="192"/>
      <c r="E96" s="222">
        <f ca="1">SUM(E18:E93)</f>
        <v>80862461.290840074</v>
      </c>
      <c r="F96" s="222">
        <f ca="1">SUM(F18:F93)</f>
        <v>0</v>
      </c>
      <c r="G96" s="222">
        <f ca="1">SUM(G18:G93)</f>
        <v>80862461.290840074</v>
      </c>
      <c r="H96" s="222"/>
      <c r="I96" s="222">
        <f>ROUND(SUM(I18:I93),0)</f>
        <v>3976858</v>
      </c>
      <c r="J96" s="222">
        <f>SUM(J18:J93)</f>
        <v>80304974.708390981</v>
      </c>
      <c r="K96" s="222">
        <v>85634574.578355402</v>
      </c>
      <c r="L96" s="222">
        <f>SUM(L18:L93)</f>
        <v>-5329599.8699644208</v>
      </c>
      <c r="M96" s="222"/>
      <c r="N96" s="222">
        <f>SUM(N18:N93)</f>
        <v>0</v>
      </c>
      <c r="O96" s="222">
        <f>SUM(O18:O93)</f>
        <v>0</v>
      </c>
      <c r="P96" s="222">
        <f>SUM(P18:P93)</f>
        <v>0</v>
      </c>
      <c r="Q96" s="221">
        <v>-185465.00864054891</v>
      </c>
      <c r="R96" s="222">
        <f>SUM(R18:R93)</f>
        <v>-1538207.372915088</v>
      </c>
      <c r="S96" s="222"/>
      <c r="T96" s="234">
        <f ca="1">SUM(T18:T93)</f>
        <v>79324253.917924985</v>
      </c>
      <c r="V96" s="235">
        <f>SUM(V18:V91)</f>
        <v>-1352742.3642745395</v>
      </c>
      <c r="W96" s="236" t="s">
        <v>368</v>
      </c>
      <c r="AA96"/>
    </row>
    <row r="97" spans="1:27" ht="13.5" thickBot="1">
      <c r="A97" s="194"/>
      <c r="B97" s="194"/>
      <c r="C97" s="237"/>
      <c r="D97" s="194"/>
      <c r="E97" s="238"/>
      <c r="F97" s="222"/>
      <c r="G97" s="222"/>
      <c r="H97" s="194"/>
      <c r="I97" s="239" t="str">
        <f>IF(I96='SWE.WS.G.BPU.ATRR.True-up'!N19,"","Error")</f>
        <v/>
      </c>
      <c r="J97" s="238"/>
      <c r="K97" s="240" t="str">
        <f>IF(K96=SUM(K18:K91),"","Error -- check allocations above).")</f>
        <v/>
      </c>
      <c r="L97" s="241"/>
      <c r="M97" s="241"/>
      <c r="N97" s="241"/>
      <c r="O97" s="241"/>
      <c r="P97" s="241"/>
      <c r="Q97" s="240" t="str">
        <f>IF(ROUND(Q96,0)=ROUND(SUM(Q18:Q94),0),"","Error -- check allocations above).")</f>
        <v/>
      </c>
      <c r="R97" s="222"/>
      <c r="S97" s="222"/>
      <c r="T97" s="222"/>
      <c r="V97" s="242"/>
      <c r="W97" s="236"/>
      <c r="AA97"/>
    </row>
    <row r="98" spans="1:27">
      <c r="A98" s="194"/>
      <c r="B98" s="194"/>
      <c r="C98" s="243" t="s">
        <v>267</v>
      </c>
      <c r="D98" s="194"/>
      <c r="E98" s="222"/>
      <c r="F98" s="222"/>
      <c r="G98" s="222"/>
      <c r="H98" s="194"/>
      <c r="I98" s="244"/>
      <c r="J98" s="244"/>
      <c r="K98" s="241"/>
      <c r="L98" s="194"/>
      <c r="M98" s="194"/>
      <c r="N98" s="241"/>
      <c r="O98" s="241"/>
      <c r="P98" s="241"/>
      <c r="Q98" s="241"/>
      <c r="R98" s="222"/>
      <c r="S98" s="222"/>
      <c r="T98" s="222"/>
      <c r="AA98"/>
    </row>
    <row r="99" spans="1:27">
      <c r="A99" s="194"/>
      <c r="B99" s="194"/>
      <c r="C99" s="243"/>
      <c r="D99" s="194"/>
      <c r="E99" s="222"/>
      <c r="F99" s="222"/>
      <c r="G99" s="222"/>
      <c r="H99" s="194"/>
      <c r="I99" s="245"/>
      <c r="J99" s="245"/>
      <c r="K99" s="221"/>
      <c r="L99" s="194"/>
      <c r="M99" s="194"/>
      <c r="N99" s="241"/>
      <c r="O99" s="241"/>
      <c r="P99" s="241"/>
      <c r="Q99" s="246"/>
      <c r="R99" s="241"/>
      <c r="S99" s="194"/>
      <c r="T99" s="194"/>
      <c r="AA99"/>
    </row>
    <row r="100" spans="1:27">
      <c r="E100" s="247"/>
      <c r="F100" s="247"/>
      <c r="G100" s="247"/>
      <c r="I100" s="247"/>
      <c r="K100" s="247"/>
      <c r="N100" s="248"/>
      <c r="O100" s="248"/>
      <c r="P100" s="248"/>
      <c r="Q100" s="248"/>
      <c r="R100" s="248"/>
      <c r="AA100"/>
    </row>
    <row r="101" spans="1:27">
      <c r="E101" s="247"/>
      <c r="F101" s="247"/>
      <c r="G101" s="247"/>
      <c r="K101" s="249"/>
      <c r="V101" s="183" t="s">
        <v>221</v>
      </c>
      <c r="AA101"/>
    </row>
    <row r="102" spans="1:27">
      <c r="A102" s="250" t="s">
        <v>188</v>
      </c>
      <c r="B102" s="251"/>
      <c r="C102" s="251"/>
      <c r="D102" s="251"/>
      <c r="E102" s="252"/>
      <c r="F102" s="252"/>
      <c r="G102" s="252"/>
      <c r="H102" s="251"/>
      <c r="I102" s="251"/>
      <c r="J102" s="251"/>
      <c r="K102" s="251"/>
      <c r="L102" s="251"/>
      <c r="M102" s="251"/>
      <c r="N102" s="251"/>
      <c r="O102" s="253"/>
      <c r="V102" s="183" t="s">
        <v>222</v>
      </c>
      <c r="AA102"/>
    </row>
    <row r="103" spans="1:27" ht="15.75">
      <c r="A103" s="254" t="s">
        <v>213</v>
      </c>
      <c r="B103" s="233"/>
      <c r="C103" s="255" t="str">
        <f ca="1">RIGHT(CELL("address",S.001!D7),4)</f>
        <v>$D$7</v>
      </c>
      <c r="D103" s="255" t="str">
        <f ca="1">RIGHT(CELL("address",S.001!D11),4)</f>
        <v>D$11</v>
      </c>
      <c r="E103" s="255" t="str">
        <f ca="1">RIGHT(CELL("address",S.001!N5),4)</f>
        <v>$N$5</v>
      </c>
      <c r="F103" s="255" t="str">
        <f ca="1">RIGHT(CELL("address",S.001!N7),4)</f>
        <v>$N$7</v>
      </c>
      <c r="G103" s="233"/>
      <c r="H103" s="256"/>
      <c r="I103" s="255" t="str">
        <f ca="1">RIGHT(CELL("address",S.001!M89),4)</f>
        <v>M$89</v>
      </c>
      <c r="J103" s="255"/>
      <c r="K103" s="233"/>
      <c r="L103" s="233"/>
      <c r="M103" s="233"/>
      <c r="N103" s="255" t="str">
        <f ca="1">RIGHT(CELL("address",S.001!N87),4)</f>
        <v>N$87</v>
      </c>
      <c r="O103" s="257" t="str">
        <f ca="1">RIGHT(CELL("address",S.001!N88),4)</f>
        <v>N$88</v>
      </c>
      <c r="P103" s="212" t="s">
        <v>189</v>
      </c>
      <c r="V103" s="183" t="s">
        <v>223</v>
      </c>
      <c r="AA103"/>
    </row>
    <row r="104" spans="1:27">
      <c r="A104" s="258" t="s">
        <v>214</v>
      </c>
      <c r="B104" s="259"/>
      <c r="C104" s="259"/>
      <c r="D104" s="259"/>
      <c r="E104" s="260"/>
      <c r="F104" s="260"/>
      <c r="G104" s="260"/>
      <c r="H104" s="259"/>
      <c r="I104" s="259"/>
      <c r="J104" s="259"/>
      <c r="K104" s="259"/>
      <c r="L104" s="259"/>
      <c r="M104" s="259"/>
      <c r="N104" s="259"/>
      <c r="O104" s="261"/>
      <c r="V104" s="183" t="s">
        <v>224</v>
      </c>
      <c r="AA104"/>
    </row>
    <row r="105" spans="1:27">
      <c r="E105" s="247"/>
      <c r="F105" s="247"/>
      <c r="G105" s="247"/>
      <c r="V105" s="262" t="s">
        <v>269</v>
      </c>
      <c r="AA105"/>
    </row>
    <row r="106" spans="1:27" ht="12.75" customHeight="1">
      <c r="AA106"/>
    </row>
    <row r="107" spans="1:27" ht="12.75" customHeight="1">
      <c r="AA107"/>
    </row>
    <row r="108" spans="1:27" ht="12.75" customHeight="1">
      <c r="E108" s="195"/>
      <c r="F108" s="195"/>
      <c r="G108" s="195"/>
      <c r="H108" s="195"/>
      <c r="I108" s="263"/>
      <c r="J108" s="263"/>
      <c r="AA108"/>
    </row>
    <row r="109" spans="1:27" ht="12.75" customHeight="1">
      <c r="AA109"/>
    </row>
    <row r="110" spans="1:27" ht="12.75" customHeight="1">
      <c r="E110" s="264"/>
      <c r="F110" s="264"/>
      <c r="G110" s="249"/>
      <c r="H110" s="249"/>
      <c r="I110" s="265"/>
      <c r="J110" s="266"/>
      <c r="AA110"/>
    </row>
    <row r="111" spans="1:27" ht="12.75" customHeight="1">
      <c r="E111" s="264"/>
      <c r="F111" s="264"/>
      <c r="G111" s="249"/>
      <c r="H111" s="249"/>
      <c r="I111" s="265"/>
      <c r="J111" s="266"/>
      <c r="AA111"/>
    </row>
    <row r="112" spans="1:27" ht="12.75" customHeight="1">
      <c r="E112" s="264"/>
      <c r="F112" s="264"/>
      <c r="G112" s="249"/>
      <c r="H112" s="249"/>
      <c r="I112" s="265"/>
      <c r="J112" s="266"/>
      <c r="AA112"/>
    </row>
    <row r="113" spans="5:27" ht="12.75" customHeight="1">
      <c r="E113" s="264"/>
      <c r="F113" s="264"/>
      <c r="G113" s="249"/>
      <c r="H113" s="249"/>
      <c r="I113" s="265"/>
      <c r="J113" s="266"/>
      <c r="AA113"/>
    </row>
    <row r="114" spans="5:27" ht="12.75" customHeight="1">
      <c r="E114" s="264"/>
      <c r="F114" s="264"/>
      <c r="G114" s="249"/>
      <c r="H114" s="249"/>
      <c r="I114" s="265"/>
      <c r="J114" s="266"/>
      <c r="AA114"/>
    </row>
    <row r="115" spans="5:27" ht="12.75" customHeight="1">
      <c r="E115" s="264"/>
      <c r="F115" s="264"/>
      <c r="G115" s="249"/>
      <c r="H115" s="249"/>
      <c r="I115" s="265"/>
      <c r="J115" s="266"/>
      <c r="AA115"/>
    </row>
    <row r="116" spans="5:27" ht="12.75" customHeight="1">
      <c r="E116" s="264"/>
      <c r="F116" s="264"/>
      <c r="G116" s="249"/>
      <c r="H116" s="249"/>
      <c r="I116" s="265"/>
      <c r="J116" s="266"/>
      <c r="AA116"/>
    </row>
    <row r="117" spans="5:27" ht="12.75" customHeight="1">
      <c r="E117" s="264"/>
      <c r="F117" s="264"/>
      <c r="G117" s="249"/>
      <c r="H117" s="249"/>
      <c r="I117" s="265"/>
      <c r="J117" s="266"/>
      <c r="AA117"/>
    </row>
    <row r="118" spans="5:27" ht="12.75" customHeight="1">
      <c r="E118" s="264"/>
      <c r="F118" s="264"/>
      <c r="G118" s="249"/>
      <c r="H118" s="249"/>
      <c r="I118" s="265"/>
      <c r="J118" s="266"/>
      <c r="AA118"/>
    </row>
    <row r="119" spans="5:27" ht="12.75" customHeight="1">
      <c r="E119" s="264"/>
      <c r="F119" s="264"/>
      <c r="G119" s="249"/>
      <c r="H119" s="249"/>
      <c r="I119" s="265"/>
      <c r="J119" s="266"/>
      <c r="AA119"/>
    </row>
    <row r="120" spans="5:27" ht="12.75" customHeight="1">
      <c r="E120" s="264"/>
      <c r="F120" s="264"/>
      <c r="G120" s="249"/>
      <c r="H120" s="249"/>
      <c r="I120" s="265"/>
      <c r="J120" s="266"/>
      <c r="AA120"/>
    </row>
    <row r="121" spans="5:27" ht="12.75" customHeight="1">
      <c r="E121" s="264"/>
      <c r="F121" s="264"/>
      <c r="G121" s="249"/>
      <c r="H121" s="249"/>
      <c r="I121" s="265"/>
      <c r="J121" s="266"/>
      <c r="AA121"/>
    </row>
    <row r="122" spans="5:27" ht="12.75" customHeight="1">
      <c r="E122" s="264"/>
      <c r="F122" s="264"/>
      <c r="G122" s="249"/>
      <c r="H122" s="249"/>
      <c r="I122" s="265"/>
      <c r="J122" s="266"/>
      <c r="AA122"/>
    </row>
    <row r="123" spans="5:27" ht="12.75" customHeight="1">
      <c r="E123" s="264"/>
      <c r="F123" s="264"/>
      <c r="G123" s="249"/>
      <c r="H123" s="249"/>
      <c r="I123" s="265"/>
      <c r="J123" s="266"/>
      <c r="AA123"/>
    </row>
    <row r="124" spans="5:27" ht="12.75" customHeight="1">
      <c r="E124" s="264"/>
      <c r="F124" s="264"/>
      <c r="G124" s="249"/>
      <c r="H124" s="249"/>
      <c r="I124" s="265"/>
      <c r="J124" s="266"/>
      <c r="AA124"/>
    </row>
    <row r="125" spans="5:27" ht="12.75" customHeight="1">
      <c r="E125" s="264"/>
      <c r="F125" s="264"/>
      <c r="G125" s="249"/>
      <c r="H125" s="249"/>
      <c r="I125" s="265"/>
      <c r="J125" s="266"/>
      <c r="AA125"/>
    </row>
    <row r="126" spans="5:27" ht="12.75" customHeight="1">
      <c r="E126" s="264"/>
      <c r="F126" s="264"/>
      <c r="G126" s="249"/>
      <c r="H126" s="249"/>
      <c r="I126" s="265"/>
      <c r="J126" s="266"/>
      <c r="AA126"/>
    </row>
    <row r="127" spans="5:27" ht="12.75" customHeight="1">
      <c r="E127" s="264"/>
      <c r="F127" s="264"/>
      <c r="G127" s="249"/>
      <c r="H127" s="249"/>
      <c r="I127" s="265"/>
      <c r="J127" s="266"/>
      <c r="AA127"/>
    </row>
    <row r="128" spans="5:27" ht="12.75" customHeight="1">
      <c r="E128" s="264"/>
      <c r="F128" s="264"/>
      <c r="G128" s="249"/>
      <c r="H128" s="249"/>
      <c r="I128" s="265"/>
      <c r="J128" s="266"/>
      <c r="AA128"/>
    </row>
    <row r="129" spans="5:27" ht="12.75" customHeight="1">
      <c r="E129" s="264"/>
      <c r="F129" s="264"/>
      <c r="G129" s="249"/>
      <c r="H129" s="249"/>
      <c r="I129" s="265"/>
      <c r="J129" s="266"/>
      <c r="AA129"/>
    </row>
    <row r="130" spans="5:27" ht="12.75" customHeight="1">
      <c r="E130" s="264"/>
      <c r="F130" s="264"/>
      <c r="G130" s="249"/>
      <c r="H130" s="249"/>
      <c r="I130" s="265"/>
      <c r="J130" s="266"/>
      <c r="AA130"/>
    </row>
    <row r="131" spans="5:27" ht="12.75" customHeight="1">
      <c r="E131" s="264"/>
      <c r="F131" s="264"/>
      <c r="G131" s="249"/>
      <c r="H131" s="249"/>
      <c r="I131" s="265"/>
      <c r="J131" s="266"/>
      <c r="AA131"/>
    </row>
    <row r="132" spans="5:27" ht="12.75" customHeight="1">
      <c r="E132" s="264"/>
      <c r="F132" s="264"/>
      <c r="G132" s="249"/>
      <c r="H132" s="249"/>
      <c r="I132" s="265"/>
      <c r="J132" s="266"/>
      <c r="AA132"/>
    </row>
    <row r="133" spans="5:27" ht="12.75" customHeight="1">
      <c r="E133" s="264"/>
      <c r="F133" s="264"/>
      <c r="G133" s="249"/>
      <c r="H133" s="249"/>
      <c r="I133" s="265"/>
      <c r="J133" s="266"/>
      <c r="AA133"/>
    </row>
    <row r="134" spans="5:27" ht="12.75" customHeight="1">
      <c r="E134" s="264"/>
      <c r="F134" s="264"/>
      <c r="G134" s="249"/>
      <c r="H134" s="249"/>
      <c r="I134" s="265"/>
      <c r="J134" s="266"/>
      <c r="AA134"/>
    </row>
    <row r="135" spans="5:27" ht="12.75" customHeight="1">
      <c r="E135" s="264"/>
      <c r="F135" s="264"/>
      <c r="G135" s="249"/>
      <c r="H135" s="249"/>
      <c r="I135" s="265"/>
      <c r="J135" s="266"/>
      <c r="AA135"/>
    </row>
    <row r="136" spans="5:27" ht="12.75" customHeight="1">
      <c r="E136" s="264"/>
      <c r="F136" s="264"/>
      <c r="G136" s="249"/>
      <c r="H136" s="249"/>
      <c r="I136" s="265"/>
      <c r="J136" s="266"/>
      <c r="AA136"/>
    </row>
    <row r="137" spans="5:27" ht="12.75" customHeight="1">
      <c r="E137" s="264"/>
      <c r="F137" s="264"/>
      <c r="G137" s="249"/>
      <c r="H137" s="249"/>
      <c r="I137" s="265"/>
      <c r="J137" s="266"/>
      <c r="AA137"/>
    </row>
    <row r="138" spans="5:27" ht="12.75" customHeight="1">
      <c r="E138" s="264"/>
      <c r="F138" s="264"/>
      <c r="G138" s="249"/>
      <c r="H138" s="249"/>
      <c r="I138" s="265"/>
      <c r="J138" s="266"/>
      <c r="AA138"/>
    </row>
    <row r="139" spans="5:27" ht="12.75" customHeight="1">
      <c r="E139" s="264"/>
      <c r="F139" s="264"/>
      <c r="G139" s="249"/>
      <c r="H139" s="249"/>
      <c r="I139" s="265"/>
      <c r="J139" s="266"/>
      <c r="AA139"/>
    </row>
    <row r="140" spans="5:27" ht="12.75" customHeight="1">
      <c r="E140" s="264"/>
      <c r="F140" s="264"/>
      <c r="G140" s="249"/>
      <c r="H140" s="249"/>
      <c r="I140" s="265"/>
      <c r="J140" s="266"/>
      <c r="AA140"/>
    </row>
    <row r="141" spans="5:27" ht="12.75" customHeight="1">
      <c r="E141" s="264"/>
      <c r="F141" s="264"/>
      <c r="G141" s="249"/>
      <c r="H141" s="249"/>
      <c r="I141" s="265"/>
      <c r="J141" s="266"/>
      <c r="AA141"/>
    </row>
    <row r="142" spans="5:27" ht="12.75" customHeight="1">
      <c r="E142" s="264"/>
      <c r="F142" s="264"/>
      <c r="G142" s="249"/>
      <c r="H142" s="249"/>
      <c r="I142" s="265"/>
      <c r="J142" s="266"/>
      <c r="AA142"/>
    </row>
    <row r="143" spans="5:27" ht="12.75" customHeight="1">
      <c r="E143" s="264"/>
      <c r="F143" s="264"/>
      <c r="G143" s="249"/>
      <c r="H143" s="249"/>
      <c r="I143" s="265"/>
      <c r="J143" s="266"/>
      <c r="AA143"/>
    </row>
    <row r="144" spans="5:27" ht="12.75" customHeight="1">
      <c r="E144" s="264"/>
      <c r="F144" s="264"/>
      <c r="G144" s="249"/>
      <c r="H144" s="249"/>
      <c r="I144" s="265"/>
      <c r="J144" s="266"/>
      <c r="AA144"/>
    </row>
    <row r="145" spans="5:27" ht="12.75" customHeight="1">
      <c r="E145" s="264"/>
      <c r="F145" s="264"/>
      <c r="G145" s="249"/>
      <c r="H145" s="249"/>
      <c r="I145" s="265"/>
      <c r="J145" s="266"/>
      <c r="AA145"/>
    </row>
    <row r="146" spans="5:27" ht="12.75" customHeight="1">
      <c r="E146" s="264"/>
      <c r="F146" s="264"/>
      <c r="G146" s="249"/>
      <c r="H146" s="249"/>
      <c r="I146" s="265"/>
      <c r="J146" s="266"/>
      <c r="AA146"/>
    </row>
    <row r="147" spans="5:27" ht="12.75" customHeight="1">
      <c r="E147" s="264"/>
      <c r="F147" s="264"/>
      <c r="G147" s="249"/>
      <c r="H147" s="249"/>
      <c r="I147" s="265"/>
      <c r="J147" s="266"/>
      <c r="AA147"/>
    </row>
    <row r="148" spans="5:27" ht="12.75" customHeight="1">
      <c r="E148" s="264"/>
      <c r="F148" s="264"/>
      <c r="G148" s="249"/>
      <c r="H148" s="249"/>
      <c r="I148" s="265"/>
      <c r="J148" s="266"/>
      <c r="AA148"/>
    </row>
    <row r="149" spans="5:27" ht="12.75" customHeight="1">
      <c r="E149" s="264"/>
      <c r="F149" s="264"/>
      <c r="G149" s="249"/>
      <c r="H149" s="249"/>
      <c r="I149" s="265"/>
      <c r="J149" s="266"/>
      <c r="AA149"/>
    </row>
    <row r="150" spans="5:27" ht="12.75" customHeight="1">
      <c r="E150" s="264"/>
      <c r="F150" s="264"/>
      <c r="G150" s="249"/>
      <c r="H150" s="249"/>
      <c r="I150" s="265"/>
      <c r="J150" s="266"/>
      <c r="AA150"/>
    </row>
    <row r="151" spans="5:27" ht="12.75" customHeight="1">
      <c r="E151" s="264"/>
      <c r="F151" s="264"/>
      <c r="G151" s="249"/>
      <c r="H151" s="249"/>
      <c r="I151" s="265"/>
      <c r="J151" s="266"/>
      <c r="AA151"/>
    </row>
    <row r="152" spans="5:27" ht="12.75" customHeight="1">
      <c r="E152" s="264"/>
      <c r="F152" s="264"/>
      <c r="G152" s="249"/>
      <c r="H152" s="249"/>
      <c r="I152" s="265"/>
      <c r="J152" s="266"/>
      <c r="AA152"/>
    </row>
    <row r="153" spans="5:27" ht="12.75" customHeight="1">
      <c r="E153" s="264"/>
      <c r="F153" s="264"/>
      <c r="G153" s="249"/>
      <c r="H153" s="249"/>
      <c r="I153" s="265"/>
      <c r="J153" s="266"/>
      <c r="AA153"/>
    </row>
    <row r="154" spans="5:27" ht="12.75" customHeight="1">
      <c r="E154" s="264"/>
      <c r="F154" s="264"/>
      <c r="G154" s="249"/>
      <c r="H154" s="249"/>
      <c r="I154" s="265"/>
      <c r="J154" s="266"/>
      <c r="AA154"/>
    </row>
    <row r="155" spans="5:27" ht="12.75" customHeight="1">
      <c r="E155" s="264"/>
      <c r="F155" s="264"/>
      <c r="G155" s="249"/>
      <c r="H155" s="249"/>
      <c r="I155" s="265"/>
      <c r="J155" s="266"/>
      <c r="AA155"/>
    </row>
    <row r="156" spans="5:27" ht="12.75" customHeight="1">
      <c r="E156" s="264"/>
      <c r="F156" s="264"/>
      <c r="G156" s="249"/>
      <c r="H156" s="249"/>
      <c r="I156" s="265"/>
      <c r="J156" s="266"/>
      <c r="AA156"/>
    </row>
    <row r="157" spans="5:27" ht="12.75" customHeight="1">
      <c r="E157" s="264"/>
      <c r="F157" s="264"/>
      <c r="G157" s="249"/>
      <c r="H157" s="249"/>
      <c r="I157" s="265"/>
      <c r="J157" s="266"/>
      <c r="AA157"/>
    </row>
    <row r="158" spans="5:27" ht="12.75" customHeight="1">
      <c r="E158" s="264"/>
      <c r="F158" s="264"/>
      <c r="G158" s="249"/>
      <c r="H158" s="249"/>
      <c r="I158" s="265"/>
      <c r="J158" s="266"/>
      <c r="AA158"/>
    </row>
    <row r="159" spans="5:27" ht="12.75" customHeight="1">
      <c r="E159" s="264"/>
      <c r="F159" s="264"/>
      <c r="G159" s="249"/>
      <c r="H159" s="249"/>
      <c r="I159" s="265"/>
      <c r="J159" s="266"/>
      <c r="AA159"/>
    </row>
    <row r="160" spans="5:27" ht="12.75" customHeight="1">
      <c r="E160" s="264"/>
      <c r="F160" s="264"/>
      <c r="G160" s="249"/>
      <c r="H160" s="249"/>
      <c r="I160" s="265"/>
      <c r="J160" s="266"/>
      <c r="AA160"/>
    </row>
    <row r="161" spans="5:27" ht="12.75" customHeight="1">
      <c r="E161" s="264"/>
      <c r="F161" s="264"/>
      <c r="G161" s="249"/>
      <c r="H161" s="249"/>
      <c r="I161" s="265"/>
      <c r="J161" s="266"/>
      <c r="AA161"/>
    </row>
    <row r="162" spans="5:27" ht="12.75" customHeight="1">
      <c r="E162" s="264"/>
      <c r="F162" s="264"/>
      <c r="G162" s="249"/>
      <c r="H162" s="249"/>
      <c r="I162" s="265"/>
      <c r="J162" s="266"/>
      <c r="AA162"/>
    </row>
    <row r="163" spans="5:27" ht="12.75" customHeight="1">
      <c r="E163" s="264"/>
      <c r="F163" s="264"/>
      <c r="G163" s="249"/>
      <c r="H163" s="249"/>
      <c r="I163" s="265"/>
      <c r="J163" s="266"/>
      <c r="AA163"/>
    </row>
    <row r="164" spans="5:27" ht="12.75" customHeight="1">
      <c r="E164" s="264"/>
      <c r="F164" s="264"/>
      <c r="G164" s="249"/>
      <c r="H164" s="249"/>
      <c r="I164" s="265"/>
      <c r="J164" s="266"/>
      <c r="AA164"/>
    </row>
    <row r="165" spans="5:27" ht="12.75" customHeight="1">
      <c r="E165" s="264"/>
      <c r="F165" s="264"/>
      <c r="G165" s="249"/>
      <c r="H165" s="249"/>
      <c r="I165" s="265"/>
      <c r="J165" s="266"/>
      <c r="AA165"/>
    </row>
    <row r="166" spans="5:27" ht="12.75" customHeight="1">
      <c r="E166" s="264"/>
      <c r="F166" s="264"/>
      <c r="G166" s="249"/>
      <c r="H166" s="249"/>
      <c r="I166" s="265"/>
      <c r="J166" s="266"/>
      <c r="AA166"/>
    </row>
    <row r="167" spans="5:27" ht="12.75" customHeight="1">
      <c r="E167" s="264"/>
      <c r="F167" s="264"/>
      <c r="G167" s="249"/>
      <c r="H167" s="249"/>
      <c r="I167" s="265"/>
      <c r="J167" s="266"/>
      <c r="AA167"/>
    </row>
    <row r="168" spans="5:27" ht="12.75" customHeight="1">
      <c r="E168" s="264"/>
      <c r="F168" s="264"/>
      <c r="G168" s="249"/>
      <c r="H168" s="249"/>
      <c r="I168" s="265"/>
      <c r="J168" s="266"/>
      <c r="AA168"/>
    </row>
    <row r="169" spans="5:27" ht="12.75" customHeight="1">
      <c r="E169" s="264"/>
      <c r="F169" s="264"/>
      <c r="G169" s="249"/>
      <c r="H169" s="249"/>
      <c r="I169" s="265"/>
      <c r="J169" s="266"/>
      <c r="AA169"/>
    </row>
    <row r="170" spans="5:27" ht="12.75" customHeight="1">
      <c r="E170" s="264"/>
      <c r="F170" s="264"/>
      <c r="G170" s="249"/>
      <c r="H170" s="249"/>
      <c r="I170" s="265"/>
      <c r="J170" s="266"/>
      <c r="AA170"/>
    </row>
    <row r="171" spans="5:27" ht="12.75" customHeight="1">
      <c r="E171" s="264"/>
      <c r="F171" s="264"/>
      <c r="G171" s="249"/>
      <c r="H171" s="249"/>
      <c r="I171" s="265"/>
      <c r="J171" s="266"/>
      <c r="AA171"/>
    </row>
    <row r="172" spans="5:27" ht="12.75" customHeight="1">
      <c r="E172" s="264"/>
      <c r="F172" s="264"/>
      <c r="G172" s="249"/>
      <c r="H172" s="249"/>
      <c r="I172" s="265"/>
      <c r="J172" s="266"/>
      <c r="AA172"/>
    </row>
    <row r="173" spans="5:27" ht="12.75" customHeight="1">
      <c r="E173" s="264"/>
      <c r="F173" s="264"/>
      <c r="G173" s="249"/>
      <c r="H173" s="249"/>
      <c r="I173" s="265"/>
      <c r="J173" s="266"/>
      <c r="AA173"/>
    </row>
    <row r="174" spans="5:27" ht="12.75" customHeight="1">
      <c r="E174" s="264"/>
      <c r="F174" s="264"/>
      <c r="G174" s="249"/>
      <c r="H174" s="249"/>
      <c r="I174" s="265"/>
      <c r="J174" s="266"/>
      <c r="AA174"/>
    </row>
    <row r="175" spans="5:27" ht="12.75" customHeight="1">
      <c r="E175" s="264"/>
      <c r="F175" s="264"/>
      <c r="G175" s="249"/>
      <c r="H175" s="249"/>
      <c r="I175" s="265"/>
      <c r="J175" s="266"/>
      <c r="AA175"/>
    </row>
    <row r="176" spans="5:27" ht="12.75" customHeight="1">
      <c r="E176" s="264"/>
      <c r="F176" s="264"/>
      <c r="G176" s="249"/>
      <c r="H176" s="249"/>
      <c r="I176" s="265"/>
      <c r="J176" s="266"/>
      <c r="AA176"/>
    </row>
    <row r="177" spans="5:27" ht="12.75" customHeight="1">
      <c r="E177" s="264"/>
      <c r="F177" s="264"/>
      <c r="G177" s="249"/>
      <c r="H177" s="249"/>
      <c r="I177" s="265"/>
      <c r="J177" s="266"/>
      <c r="AA177"/>
    </row>
    <row r="178" spans="5:27" ht="12.75" customHeight="1">
      <c r="E178" s="264"/>
      <c r="F178" s="264"/>
      <c r="G178" s="249"/>
      <c r="H178" s="249"/>
      <c r="I178" s="265"/>
      <c r="J178" s="266"/>
      <c r="AA178"/>
    </row>
    <row r="179" spans="5:27" ht="12.75" customHeight="1">
      <c r="E179" s="264"/>
      <c r="F179" s="264"/>
      <c r="G179" s="249"/>
      <c r="H179" s="249"/>
      <c r="I179" s="265"/>
      <c r="J179" s="266"/>
      <c r="AA179"/>
    </row>
    <row r="180" spans="5:27" ht="12.75" customHeight="1">
      <c r="E180" s="264"/>
      <c r="F180" s="264"/>
      <c r="G180" s="249"/>
      <c r="H180" s="249"/>
      <c r="I180" s="265"/>
      <c r="J180" s="266"/>
      <c r="AA180"/>
    </row>
    <row r="181" spans="5:27" ht="12.75" customHeight="1">
      <c r="E181" s="249"/>
      <c r="F181" s="249"/>
      <c r="H181" s="249"/>
      <c r="I181" s="249"/>
      <c r="J181" s="249"/>
      <c r="AA181"/>
    </row>
    <row r="182" spans="5:27" ht="12.75" customHeight="1">
      <c r="E182" s="249"/>
      <c r="F182" s="249"/>
      <c r="G182" s="249"/>
      <c r="H182" s="249"/>
      <c r="I182" s="249"/>
      <c r="J182" s="249"/>
      <c r="AA182"/>
    </row>
    <row r="183" spans="5:27" ht="12.75" customHeight="1">
      <c r="AA183"/>
    </row>
    <row r="184" spans="5:27" ht="12.75" customHeight="1">
      <c r="AA184"/>
    </row>
    <row r="185" spans="5:27" ht="12.75" customHeight="1">
      <c r="AA185"/>
    </row>
    <row r="186" spans="5:27" ht="12.75" customHeight="1">
      <c r="AA186"/>
    </row>
    <row r="187" spans="5:27" ht="12.75" customHeight="1">
      <c r="AA187"/>
    </row>
    <row r="188" spans="5:27" ht="12.75" customHeight="1">
      <c r="AA188"/>
    </row>
    <row r="189" spans="5:27" ht="12.75" customHeight="1">
      <c r="AA189"/>
    </row>
    <row r="190" spans="5:27" ht="12.75" customHeight="1">
      <c r="AA190"/>
    </row>
    <row r="191" spans="5:27" ht="12.75" customHeight="1">
      <c r="AA191"/>
    </row>
    <row r="192" spans="5:27" ht="12.75" customHeight="1">
      <c r="AA192"/>
    </row>
    <row r="193" spans="27:27" ht="12.75" customHeight="1">
      <c r="AA193"/>
    </row>
    <row r="194" spans="27:27" ht="12.75" customHeight="1">
      <c r="AA194"/>
    </row>
    <row r="195" spans="27:27" ht="12.75" customHeight="1">
      <c r="AA195"/>
    </row>
    <row r="196" spans="27:27" ht="12.75" customHeight="1">
      <c r="AA196"/>
    </row>
    <row r="197" spans="27:27" ht="12.75" customHeight="1">
      <c r="AA197"/>
    </row>
    <row r="198" spans="27:27" ht="12.75" customHeight="1">
      <c r="AA198"/>
    </row>
    <row r="199" spans="27:27" ht="12.75" customHeight="1">
      <c r="AA199"/>
    </row>
    <row r="200" spans="27:27" ht="12.75" customHeight="1">
      <c r="AA200"/>
    </row>
    <row r="201" spans="27:27" ht="12.75" customHeight="1">
      <c r="AA201"/>
    </row>
    <row r="202" spans="27:27" ht="12.75" customHeight="1">
      <c r="AA202"/>
    </row>
    <row r="203" spans="27:27" ht="12.75" customHeight="1">
      <c r="AA203"/>
    </row>
    <row r="204" spans="27:27" ht="12.75" customHeight="1">
      <c r="AA204"/>
    </row>
    <row r="205" spans="27:27" ht="12.75" customHeight="1">
      <c r="AA205"/>
    </row>
    <row r="206" spans="27:27" ht="12.75" customHeight="1">
      <c r="AA206"/>
    </row>
    <row r="207" spans="27:27" ht="12.75" customHeight="1">
      <c r="AA207"/>
    </row>
    <row r="208" spans="27:27" ht="12.75" customHeight="1">
      <c r="AA208"/>
    </row>
    <row r="209" spans="27:27" ht="12.75" customHeight="1">
      <c r="AA209"/>
    </row>
    <row r="210" spans="27:27" ht="12.75" customHeight="1">
      <c r="AA210"/>
    </row>
    <row r="211" spans="27:27" ht="12.75" customHeight="1">
      <c r="AA211"/>
    </row>
    <row r="212" spans="27:27" ht="12.75" customHeight="1">
      <c r="AA212"/>
    </row>
    <row r="213" spans="27:27" ht="12.75" customHeight="1">
      <c r="AA213"/>
    </row>
    <row r="214" spans="27:27" ht="12.75" customHeight="1">
      <c r="AA214"/>
    </row>
    <row r="215" spans="27:27" ht="12.75" customHeight="1">
      <c r="AA215"/>
    </row>
    <row r="216" spans="27:27" ht="12.75" customHeight="1">
      <c r="AA216"/>
    </row>
    <row r="217" spans="27:27" ht="12.75" customHeight="1">
      <c r="AA217"/>
    </row>
    <row r="218" spans="27:27" ht="12.75" customHeight="1">
      <c r="AA218"/>
    </row>
    <row r="219" spans="27:27" ht="12.75" customHeight="1">
      <c r="AA219"/>
    </row>
    <row r="220" spans="27:27" ht="12.75" customHeight="1">
      <c r="AA220"/>
    </row>
    <row r="221" spans="27:27" ht="12.75" customHeight="1">
      <c r="AA221"/>
    </row>
    <row r="222" spans="27:27" ht="12.75" customHeight="1">
      <c r="AA222"/>
    </row>
    <row r="223" spans="27:27" ht="12.75" customHeight="1">
      <c r="AA223"/>
    </row>
  </sheetData>
  <mergeCells count="2">
    <mergeCell ref="E13:G13"/>
    <mergeCell ref="T14:T16"/>
  </mergeCells>
  <phoneticPr fontId="62" type="noConversion"/>
  <pageMargins left="0.25" right="0.25" top="1" bottom="1" header="0.65" footer="0.5"/>
  <pageSetup scale="52" fitToHeight="0" orientation="landscape" horizontalDpi="1200" verticalDpi="1200" r:id="rId1"/>
  <headerFooter alignWithMargins="0">
    <oddHeader xml:space="preserve">&amp;R&amp;16AEP - SPP Formula Rate
Schedule 11 Revenue Requirements
Southwestern Electric Power Company
Page: &amp;P of &amp;N
</oddHeader>
    <oddFooter>&amp;L&amp;A</oddFooter>
  </headerFooter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55">
    <tabColor indexed="16"/>
  </sheetPr>
  <dimension ref="A1:Q162"/>
  <sheetViews>
    <sheetView topLeftCell="A92" zoomScaleNormal="100" zoomScaleSheetLayoutView="80" workbookViewId="0">
      <selection activeCell="D99" sqref="D99:I112"/>
    </sheetView>
  </sheetViews>
  <sheetFormatPr defaultColWidth="8.7109375" defaultRowHeight="12.75" customHeight="1"/>
  <cols>
    <col min="1" max="1" width="4.7109375" style="183" customWidth="1"/>
    <col min="2" max="2" width="6.7109375" style="183" customWidth="1"/>
    <col min="3" max="3" width="23.28515625" style="183" customWidth="1"/>
    <col min="4" max="8" width="17.7109375" style="183" customWidth="1"/>
    <col min="9" max="9" width="20.42578125" style="183" customWidth="1"/>
    <col min="10" max="10" width="16.42578125" style="183" customWidth="1"/>
    <col min="11" max="11" width="17.7109375" style="183" customWidth="1"/>
    <col min="12" max="12" width="16.140625" style="183" customWidth="1"/>
    <col min="13" max="13" width="17.7109375" style="183" customWidth="1"/>
    <col min="14" max="14" width="16.140625" style="183" customWidth="1"/>
    <col min="15" max="15" width="16.85546875" style="183" customWidth="1"/>
    <col min="16" max="16" width="24.42578125" style="183" customWidth="1"/>
    <col min="17" max="17" width="4.7109375" style="183" customWidth="1"/>
    <col min="18" max="22" width="8.7109375" style="183"/>
    <col min="23" max="23" width="9.140625" style="183" customWidth="1"/>
    <col min="24" max="16384" width="8.7109375" style="183"/>
  </cols>
  <sheetData>
    <row r="1" spans="1:17" ht="20.25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"&amp;RIGHT(MID(CELL("filename",$A$1),FIND("]",CELL("filename",$A$1))+1,256),1)&amp;" of "&amp;COUNT('S.001:S.xyz - blank'!$P$3)-1</f>
        <v>SWEPCO Project 7 of 75</v>
      </c>
      <c r="Q1" s="594" t="s">
        <v>165</v>
      </c>
    </row>
    <row r="2" spans="1:17" ht="18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454" t="s">
        <v>129</v>
      </c>
    </row>
    <row r="3" spans="1:17" ht="18.75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 t="str">
        <f>RIGHT(N3,3)</f>
        <v/>
      </c>
      <c r="P3" s="455">
        <v>1</v>
      </c>
    </row>
    <row r="4" spans="1:17" ht="15.75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7" ht="1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7679.5085788913384</v>
      </c>
      <c r="P5" s="269"/>
    </row>
    <row r="6" spans="1:17" ht="15.7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7679.5085788913384</v>
      </c>
      <c r="O6" s="269"/>
      <c r="P6" s="269"/>
    </row>
    <row r="7" spans="1:17" ht="13.5" thickBot="1">
      <c r="C7" s="467" t="s">
        <v>48</v>
      </c>
      <c r="D7" s="468" t="s">
        <v>234</v>
      </c>
      <c r="E7" s="269"/>
      <c r="F7" s="269"/>
      <c r="G7" s="269"/>
      <c r="H7" s="595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7" ht="13.5" thickBot="1">
      <c r="C8" s="472"/>
      <c r="D8" s="473" t="str">
        <f>IF(D10&lt;100000,"DOES NOT MEET SPP $100,000 MINIMUM INVESTMENT FOR REGIONAL BPU SHARING.","")</f>
        <v>DOES NOT MEET SPP $100,000 MINIMUM INVESTMENT FOR REGIONAL BPU SHARING.</v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7" ht="13.5" thickBot="1">
      <c r="A9" s="191"/>
      <c r="C9" s="476" t="s">
        <v>50</v>
      </c>
      <c r="D9" s="477" t="s">
        <v>146</v>
      </c>
      <c r="E9" s="666" t="s">
        <v>478</v>
      </c>
      <c r="F9" s="478"/>
      <c r="G9" s="478"/>
      <c r="H9" s="478"/>
      <c r="I9" s="479"/>
      <c r="J9" s="480"/>
      <c r="O9" s="481"/>
      <c r="P9" s="272"/>
    </row>
    <row r="10" spans="1:17">
      <c r="C10" s="482" t="s">
        <v>51</v>
      </c>
      <c r="D10" s="483">
        <v>77750</v>
      </c>
      <c r="E10" s="353" t="s">
        <v>52</v>
      </c>
      <c r="F10" s="481"/>
      <c r="G10" s="484"/>
      <c r="H10" s="484"/>
      <c r="I10" s="485">
        <f>+'SWE.WS.F.BPU.ATRR.Projected'!L19</f>
        <v>2024</v>
      </c>
      <c r="J10" s="480"/>
      <c r="K10" s="375" t="s">
        <v>53</v>
      </c>
      <c r="O10" s="272"/>
      <c r="P10" s="272"/>
    </row>
    <row r="11" spans="1:17">
      <c r="C11" s="486" t="s">
        <v>54</v>
      </c>
      <c r="D11" s="487">
        <v>2009</v>
      </c>
      <c r="E11" s="486" t="s">
        <v>55</v>
      </c>
      <c r="F11" s="484"/>
      <c r="G11" s="233"/>
      <c r="H11" s="233"/>
      <c r="I11" s="488"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7">
      <c r="C12" s="486" t="s">
        <v>56</v>
      </c>
      <c r="D12" s="483">
        <v>5</v>
      </c>
      <c r="E12" s="486" t="s">
        <v>57</v>
      </c>
      <c r="F12" s="484"/>
      <c r="G12" s="233"/>
      <c r="H12" s="233"/>
      <c r="I12" s="490">
        <f>'SWE.WS.F.BPU.ATRR.Projected'!$F$81</f>
        <v>0.11952713165403545</v>
      </c>
      <c r="J12" s="425"/>
      <c r="K12" s="183" t="s">
        <v>58</v>
      </c>
      <c r="O12" s="272"/>
      <c r="P12" s="272"/>
    </row>
    <row r="13" spans="1:17">
      <c r="C13" s="486" t="s">
        <v>59</v>
      </c>
      <c r="D13" s="488">
        <f>+'SWE.WS.F.BPU.ATRR.Projected'!F$93</f>
        <v>44</v>
      </c>
      <c r="E13" s="486" t="s">
        <v>60</v>
      </c>
      <c r="F13" s="484"/>
      <c r="G13" s="233"/>
      <c r="H13" s="233"/>
      <c r="I13" s="490">
        <f>IF(G5="",I12,'SWE.WS.F.BPU.ATRR.Projected'!$F$80)</f>
        <v>0.11952713165403545</v>
      </c>
      <c r="J13" s="425"/>
      <c r="K13" s="375" t="s">
        <v>61</v>
      </c>
      <c r="L13" s="324"/>
      <c r="M13" s="324"/>
      <c r="N13" s="324"/>
      <c r="O13" s="272"/>
      <c r="P13" s="272"/>
    </row>
    <row r="14" spans="1:17" ht="13.5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1767.0454545454545</v>
      </c>
      <c r="J14" s="375"/>
      <c r="K14" s="375"/>
      <c r="L14" s="375"/>
      <c r="M14" s="375"/>
      <c r="N14" s="375"/>
      <c r="O14" s="272"/>
      <c r="P14" s="272"/>
    </row>
    <row r="15" spans="1:17" ht="38.25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388</v>
      </c>
      <c r="H15" s="495" t="s">
        <v>389</v>
      </c>
      <c r="I15" s="496" t="s">
        <v>260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7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>
      <c r="C17" s="507">
        <f>IF(D11= "","-",D11)</f>
        <v>2009</v>
      </c>
      <c r="D17" s="508">
        <v>64397</v>
      </c>
      <c r="E17" s="509">
        <v>1015</v>
      </c>
      <c r="F17" s="508">
        <v>63382</v>
      </c>
      <c r="G17" s="509">
        <v>0</v>
      </c>
      <c r="H17" s="510">
        <v>0</v>
      </c>
      <c r="I17" s="596">
        <f t="shared" ref="I17:I48" si="0">H17-G17</f>
        <v>0</v>
      </c>
      <c r="J17" s="511"/>
      <c r="K17" s="512">
        <v>0</v>
      </c>
      <c r="L17" s="513">
        <f t="shared" ref="L17:L48" si="1">IF(K17&lt;&gt;0,+G17-K17,0)</f>
        <v>0</v>
      </c>
      <c r="M17" s="512">
        <v>0</v>
      </c>
      <c r="N17" s="513">
        <f t="shared" ref="N17:N48" si="2">IF(M17&lt;&gt;0,+H17-M17,0)</f>
        <v>0</v>
      </c>
      <c r="O17" s="514">
        <f t="shared" ref="O17:O48" si="3">+N17-L17</f>
        <v>0</v>
      </c>
      <c r="P17" s="272"/>
    </row>
    <row r="18" spans="2:16">
      <c r="B18" s="195" t="str">
        <f>IF(D18=F17,"","IU")</f>
        <v>IU</v>
      </c>
      <c r="C18" s="507">
        <f>IF(D11="","-",+C17+1)</f>
        <v>2010</v>
      </c>
      <c r="D18" s="515">
        <v>81941</v>
      </c>
      <c r="E18" s="516">
        <v>2183</v>
      </c>
      <c r="F18" s="515">
        <v>79757</v>
      </c>
      <c r="G18" s="516">
        <v>13649</v>
      </c>
      <c r="H18" s="510">
        <v>13649</v>
      </c>
      <c r="I18" s="517">
        <v>0</v>
      </c>
      <c r="J18" s="511"/>
      <c r="K18" s="518">
        <f t="shared" ref="K18:K23" si="4">G18</f>
        <v>13649</v>
      </c>
      <c r="L18" s="519">
        <f t="shared" si="1"/>
        <v>0</v>
      </c>
      <c r="M18" s="518">
        <f t="shared" ref="M18:M23" si="5">H18</f>
        <v>13649</v>
      </c>
      <c r="N18" s="514">
        <f t="shared" si="2"/>
        <v>0</v>
      </c>
      <c r="O18" s="514">
        <f t="shared" si="3"/>
        <v>0</v>
      </c>
      <c r="P18" s="272"/>
    </row>
    <row r="19" spans="2:16">
      <c r="B19" s="195" t="str">
        <f>IF(D19=F18,"","IU")</f>
        <v>IU</v>
      </c>
      <c r="C19" s="507">
        <f>IF(D11="","-",+C18+1)</f>
        <v>2011</v>
      </c>
      <c r="D19" s="515">
        <v>74552</v>
      </c>
      <c r="E19" s="516">
        <v>1896.3414634146341</v>
      </c>
      <c r="F19" s="515">
        <v>72655.658536585368</v>
      </c>
      <c r="G19" s="516">
        <v>13244.587478742107</v>
      </c>
      <c r="H19" s="510">
        <v>13244.587478742107</v>
      </c>
      <c r="I19" s="517">
        <v>0</v>
      </c>
      <c r="J19" s="511"/>
      <c r="K19" s="518">
        <f t="shared" si="4"/>
        <v>13244.587478742107</v>
      </c>
      <c r="L19" s="519">
        <f t="shared" si="1"/>
        <v>0</v>
      </c>
      <c r="M19" s="518">
        <f t="shared" si="5"/>
        <v>13244.587478742107</v>
      </c>
      <c r="N19" s="514">
        <f t="shared" si="2"/>
        <v>0</v>
      </c>
      <c r="O19" s="514">
        <f t="shared" si="3"/>
        <v>0</v>
      </c>
      <c r="P19" s="272"/>
    </row>
    <row r="20" spans="2:16">
      <c r="B20" s="195" t="str">
        <f t="shared" ref="B20:B72" si="6">IF(D20=F19,"","IU")</f>
        <v/>
      </c>
      <c r="C20" s="507">
        <f>IF(D11="","-",+C19+1)</f>
        <v>2012</v>
      </c>
      <c r="D20" s="515">
        <v>72655.658536585368</v>
      </c>
      <c r="E20" s="516">
        <v>1851.1904761904761</v>
      </c>
      <c r="F20" s="515">
        <v>70804.468060394895</v>
      </c>
      <c r="G20" s="516">
        <v>12381.24088352887</v>
      </c>
      <c r="H20" s="510">
        <v>12381.24088352887</v>
      </c>
      <c r="I20" s="517">
        <v>0</v>
      </c>
      <c r="J20" s="511"/>
      <c r="K20" s="518">
        <f t="shared" si="4"/>
        <v>12381.24088352887</v>
      </c>
      <c r="L20" s="519">
        <f t="shared" si="1"/>
        <v>0</v>
      </c>
      <c r="M20" s="518">
        <f t="shared" si="5"/>
        <v>12381.24088352887</v>
      </c>
      <c r="N20" s="514">
        <f t="shared" si="2"/>
        <v>0</v>
      </c>
      <c r="O20" s="514">
        <f t="shared" si="3"/>
        <v>0</v>
      </c>
      <c r="P20" s="272"/>
    </row>
    <row r="21" spans="2:16">
      <c r="B21" s="195" t="str">
        <f t="shared" si="6"/>
        <v/>
      </c>
      <c r="C21" s="507">
        <f>IF(D12="","-",+C20+1)</f>
        <v>2013</v>
      </c>
      <c r="D21" s="515">
        <v>70804.468060394895</v>
      </c>
      <c r="E21" s="516">
        <v>1851.1904761904761</v>
      </c>
      <c r="F21" s="515">
        <v>68953.277584204421</v>
      </c>
      <c r="G21" s="516">
        <v>11503.75860476607</v>
      </c>
      <c r="H21" s="510">
        <v>11503.75860476607</v>
      </c>
      <c r="I21" s="596">
        <v>0</v>
      </c>
      <c r="J21" s="511"/>
      <c r="K21" s="518">
        <f t="shared" si="4"/>
        <v>11503.75860476607</v>
      </c>
      <c r="L21" s="519">
        <f t="shared" ref="L21:L26" si="7">IF(K21&lt;&gt;0,+G21-K21,0)</f>
        <v>0</v>
      </c>
      <c r="M21" s="518">
        <f t="shared" si="5"/>
        <v>11503.75860476607</v>
      </c>
      <c r="N21" s="514">
        <f t="shared" ref="N21:N26" si="8">IF(M21&lt;&gt;0,+H21-M21,0)</f>
        <v>0</v>
      </c>
      <c r="O21" s="514">
        <f t="shared" ref="O21:O26" si="9">+N21-L21</f>
        <v>0</v>
      </c>
      <c r="P21" s="272"/>
    </row>
    <row r="22" spans="2:16">
      <c r="B22" s="195" t="str">
        <f t="shared" si="6"/>
        <v/>
      </c>
      <c r="C22" s="507">
        <f>IF(D11="","-",+C21+1)</f>
        <v>2014</v>
      </c>
      <c r="D22" s="515">
        <v>68953.277584204421</v>
      </c>
      <c r="E22" s="516">
        <v>1851.1904761904761</v>
      </c>
      <c r="F22" s="515">
        <v>67102.087108013948</v>
      </c>
      <c r="G22" s="516">
        <v>10903.96715256805</v>
      </c>
      <c r="H22" s="510">
        <v>10903.96715256805</v>
      </c>
      <c r="I22" s="596">
        <v>0</v>
      </c>
      <c r="J22" s="511"/>
      <c r="K22" s="518">
        <f t="shared" si="4"/>
        <v>10903.96715256805</v>
      </c>
      <c r="L22" s="519">
        <f t="shared" si="7"/>
        <v>0</v>
      </c>
      <c r="M22" s="518">
        <f t="shared" si="5"/>
        <v>10903.96715256805</v>
      </c>
      <c r="N22" s="514">
        <f t="shared" si="8"/>
        <v>0</v>
      </c>
      <c r="O22" s="514">
        <f t="shared" si="9"/>
        <v>0</v>
      </c>
      <c r="P22" s="272"/>
    </row>
    <row r="23" spans="2:16">
      <c r="B23" s="195" t="str">
        <f t="shared" si="6"/>
        <v/>
      </c>
      <c r="C23" s="507">
        <f>IF(D11="","-",+C22+1)</f>
        <v>2015</v>
      </c>
      <c r="D23" s="515">
        <v>67102.087108013948</v>
      </c>
      <c r="E23" s="516">
        <v>1851.1904761904761</v>
      </c>
      <c r="F23" s="515">
        <v>65250.896631823474</v>
      </c>
      <c r="G23" s="516">
        <v>10445.046830532348</v>
      </c>
      <c r="H23" s="510">
        <v>10445.046830532348</v>
      </c>
      <c r="I23" s="511">
        <v>0</v>
      </c>
      <c r="J23" s="511"/>
      <c r="K23" s="518">
        <f t="shared" si="4"/>
        <v>10445.046830532348</v>
      </c>
      <c r="L23" s="519">
        <f t="shared" si="7"/>
        <v>0</v>
      </c>
      <c r="M23" s="518">
        <f t="shared" si="5"/>
        <v>10445.046830532348</v>
      </c>
      <c r="N23" s="514">
        <f t="shared" si="8"/>
        <v>0</v>
      </c>
      <c r="O23" s="514">
        <f t="shared" si="9"/>
        <v>0</v>
      </c>
      <c r="P23" s="272"/>
    </row>
    <row r="24" spans="2:16">
      <c r="B24" s="195" t="str">
        <f t="shared" si="6"/>
        <v/>
      </c>
      <c r="C24" s="507">
        <f>IF(D11="","-",+C23+1)</f>
        <v>2016</v>
      </c>
      <c r="D24" s="515">
        <v>65250.896631823474</v>
      </c>
      <c r="E24" s="516">
        <v>1851.1904761904761</v>
      </c>
      <c r="F24" s="515">
        <v>63399.706155633001</v>
      </c>
      <c r="G24" s="516">
        <v>10098.222669121984</v>
      </c>
      <c r="H24" s="510">
        <v>10098.222669121984</v>
      </c>
      <c r="I24" s="511">
        <f t="shared" si="0"/>
        <v>0</v>
      </c>
      <c r="J24" s="511"/>
      <c r="K24" s="518">
        <f t="shared" ref="K24:K29" si="10">G24</f>
        <v>10098.222669121984</v>
      </c>
      <c r="L24" s="519">
        <f t="shared" si="7"/>
        <v>0</v>
      </c>
      <c r="M24" s="518">
        <f t="shared" ref="M24:M29" si="11">H24</f>
        <v>10098.222669121984</v>
      </c>
      <c r="N24" s="514">
        <f t="shared" si="8"/>
        <v>0</v>
      </c>
      <c r="O24" s="514">
        <f t="shared" si="9"/>
        <v>0</v>
      </c>
      <c r="P24" s="272"/>
    </row>
    <row r="25" spans="2:16">
      <c r="B25" s="195" t="str">
        <f t="shared" si="6"/>
        <v/>
      </c>
      <c r="C25" s="507">
        <f>IF(D11="","-",+C24+1)</f>
        <v>2017</v>
      </c>
      <c r="D25" s="515">
        <v>63399.706155633001</v>
      </c>
      <c r="E25" s="516">
        <v>1808.1395348837209</v>
      </c>
      <c r="F25" s="515">
        <v>61591.566620749283</v>
      </c>
      <c r="G25" s="516">
        <v>9550.8822669869332</v>
      </c>
      <c r="H25" s="510">
        <v>9550.8822669869332</v>
      </c>
      <c r="I25" s="511">
        <f t="shared" si="0"/>
        <v>0</v>
      </c>
      <c r="J25" s="511"/>
      <c r="K25" s="518">
        <f t="shared" si="10"/>
        <v>9550.8822669869332</v>
      </c>
      <c r="L25" s="519">
        <f t="shared" si="7"/>
        <v>0</v>
      </c>
      <c r="M25" s="518">
        <f t="shared" si="11"/>
        <v>9550.8822669869332</v>
      </c>
      <c r="N25" s="514">
        <f t="shared" si="8"/>
        <v>0</v>
      </c>
      <c r="O25" s="514">
        <f t="shared" si="9"/>
        <v>0</v>
      </c>
      <c r="P25" s="272"/>
    </row>
    <row r="26" spans="2:16">
      <c r="B26" s="195" t="str">
        <f t="shared" si="6"/>
        <v/>
      </c>
      <c r="C26" s="507">
        <f>IF(D11="","-",+C25+1)</f>
        <v>2018</v>
      </c>
      <c r="D26" s="515">
        <v>61591.566620749283</v>
      </c>
      <c r="E26" s="516">
        <v>1896.3414634146341</v>
      </c>
      <c r="F26" s="515">
        <v>59695.225157334651</v>
      </c>
      <c r="G26" s="516">
        <v>9603.7592198821312</v>
      </c>
      <c r="H26" s="510">
        <v>9603.7592198821312</v>
      </c>
      <c r="I26" s="511">
        <f t="shared" si="0"/>
        <v>0</v>
      </c>
      <c r="J26" s="511"/>
      <c r="K26" s="518">
        <f t="shared" si="10"/>
        <v>9603.7592198821312</v>
      </c>
      <c r="L26" s="519">
        <f t="shared" si="7"/>
        <v>0</v>
      </c>
      <c r="M26" s="518">
        <f t="shared" si="11"/>
        <v>9603.7592198821312</v>
      </c>
      <c r="N26" s="514">
        <f t="shared" si="8"/>
        <v>0</v>
      </c>
      <c r="O26" s="514">
        <f t="shared" si="9"/>
        <v>0</v>
      </c>
      <c r="P26" s="272"/>
    </row>
    <row r="27" spans="2:16">
      <c r="B27" s="195" t="str">
        <f t="shared" si="6"/>
        <v/>
      </c>
      <c r="C27" s="507">
        <f>IF(D11="","-",+C26+1)</f>
        <v>2019</v>
      </c>
      <c r="D27" s="515">
        <v>59695.225157334651</v>
      </c>
      <c r="E27" s="516">
        <v>1896.3414634146341</v>
      </c>
      <c r="F27" s="515">
        <v>57798.883693920019</v>
      </c>
      <c r="G27" s="516">
        <v>9362.7454103291529</v>
      </c>
      <c r="H27" s="510">
        <v>9362.7454103291529</v>
      </c>
      <c r="I27" s="511">
        <f t="shared" si="0"/>
        <v>0</v>
      </c>
      <c r="J27" s="511"/>
      <c r="K27" s="518">
        <f t="shared" si="10"/>
        <v>9362.7454103291529</v>
      </c>
      <c r="L27" s="519">
        <f t="shared" ref="L27" si="12">IF(K27&lt;&gt;0,+G27-K27,0)</f>
        <v>0</v>
      </c>
      <c r="M27" s="518">
        <f t="shared" si="11"/>
        <v>9362.7454103291529</v>
      </c>
      <c r="N27" s="514">
        <f t="shared" si="2"/>
        <v>0</v>
      </c>
      <c r="O27" s="514">
        <f t="shared" si="3"/>
        <v>0</v>
      </c>
      <c r="P27" s="272"/>
    </row>
    <row r="28" spans="2:16">
      <c r="B28" s="195" t="str">
        <f t="shared" si="6"/>
        <v/>
      </c>
      <c r="C28" s="507">
        <f>IF(D11="","-",+C27+1)</f>
        <v>2020</v>
      </c>
      <c r="D28" s="515">
        <v>57798.883693920019</v>
      </c>
      <c r="E28" s="516">
        <v>1896.3414634146341</v>
      </c>
      <c r="F28" s="515">
        <v>55902.542230505387</v>
      </c>
      <c r="G28" s="516">
        <v>7714.1850577819459</v>
      </c>
      <c r="H28" s="510">
        <v>7714.1850577819459</v>
      </c>
      <c r="I28" s="511">
        <f t="shared" si="0"/>
        <v>0</v>
      </c>
      <c r="J28" s="511"/>
      <c r="K28" s="518">
        <f t="shared" si="10"/>
        <v>7714.1850577819459</v>
      </c>
      <c r="L28" s="519">
        <f t="shared" ref="L28" si="13">IF(K28&lt;&gt;0,+G28-K28,0)</f>
        <v>0</v>
      </c>
      <c r="M28" s="518">
        <f t="shared" si="11"/>
        <v>7714.1850577819459</v>
      </c>
      <c r="N28" s="514">
        <f t="shared" si="2"/>
        <v>0</v>
      </c>
      <c r="O28" s="514">
        <f t="shared" si="3"/>
        <v>0</v>
      </c>
      <c r="P28" s="272"/>
    </row>
    <row r="29" spans="2:16">
      <c r="B29" s="195" t="str">
        <f t="shared" si="6"/>
        <v>IU</v>
      </c>
      <c r="C29" s="507">
        <f>IF(D11="","-",+C28+1)</f>
        <v>2021</v>
      </c>
      <c r="D29" s="515">
        <v>55990.744159036272</v>
      </c>
      <c r="E29" s="516">
        <v>1851.1904761904761</v>
      </c>
      <c r="F29" s="515">
        <v>54139.553682845799</v>
      </c>
      <c r="G29" s="516">
        <v>7688.3465352590638</v>
      </c>
      <c r="H29" s="510">
        <v>7688.3465352590638</v>
      </c>
      <c r="I29" s="511">
        <f t="shared" si="0"/>
        <v>0</v>
      </c>
      <c r="J29" s="511"/>
      <c r="K29" s="518">
        <f t="shared" si="10"/>
        <v>7688.3465352590638</v>
      </c>
      <c r="L29" s="519">
        <f t="shared" ref="L29" si="14">IF(K29&lt;&gt;0,+G29-K29,0)</f>
        <v>0</v>
      </c>
      <c r="M29" s="518">
        <f t="shared" si="11"/>
        <v>7688.3465352590638</v>
      </c>
      <c r="N29" s="514">
        <f t="shared" si="2"/>
        <v>0</v>
      </c>
      <c r="O29" s="514">
        <f t="shared" si="3"/>
        <v>0</v>
      </c>
      <c r="P29" s="272"/>
    </row>
    <row r="30" spans="2:16">
      <c r="B30" s="195" t="str">
        <f t="shared" si="6"/>
        <v>IU</v>
      </c>
      <c r="C30" s="507">
        <f>IF(D11="","-",+C29+1)</f>
        <v>2022</v>
      </c>
      <c r="D30" s="515">
        <v>54051.351754314877</v>
      </c>
      <c r="E30" s="516">
        <v>1851.1904761904761</v>
      </c>
      <c r="F30" s="515">
        <v>52200.161278124404</v>
      </c>
      <c r="G30" s="516">
        <v>7824.8681888866868</v>
      </c>
      <c r="H30" s="510">
        <v>7824.8681888866868</v>
      </c>
      <c r="I30" s="511">
        <f t="shared" si="0"/>
        <v>0</v>
      </c>
      <c r="J30" s="511"/>
      <c r="K30" s="518">
        <f t="shared" ref="K30" si="15">G30</f>
        <v>7824.8681888866868</v>
      </c>
      <c r="L30" s="519">
        <f t="shared" ref="L30" si="16">IF(K30&lt;&gt;0,+G30-K30,0)</f>
        <v>0</v>
      </c>
      <c r="M30" s="518">
        <f t="shared" ref="M30" si="17">H30</f>
        <v>7824.8681888866868</v>
      </c>
      <c r="N30" s="514">
        <f t="shared" si="2"/>
        <v>0</v>
      </c>
      <c r="O30" s="514">
        <f t="shared" si="3"/>
        <v>0</v>
      </c>
      <c r="P30" s="272"/>
    </row>
    <row r="31" spans="2:16">
      <c r="B31" s="195" t="str">
        <f t="shared" si="6"/>
        <v/>
      </c>
      <c r="C31" s="507">
        <f>IF(D11="","-",+C30+1)</f>
        <v>2023</v>
      </c>
      <c r="D31" s="515">
        <v>52200.161278124404</v>
      </c>
      <c r="E31" s="516">
        <v>1851.1904761904761</v>
      </c>
      <c r="F31" s="515">
        <v>50348.97080193393</v>
      </c>
      <c r="G31" s="516">
        <v>8328.5417090766241</v>
      </c>
      <c r="H31" s="510">
        <v>8328.5417090766241</v>
      </c>
      <c r="I31" s="511">
        <f t="shared" si="0"/>
        <v>0</v>
      </c>
      <c r="J31" s="511"/>
      <c r="K31" s="518">
        <f t="shared" ref="K31" si="18">G31</f>
        <v>8328.5417090766241</v>
      </c>
      <c r="L31" s="519">
        <f t="shared" ref="L31" si="19">IF(K31&lt;&gt;0,+G31-K31,0)</f>
        <v>0</v>
      </c>
      <c r="M31" s="518">
        <f t="shared" ref="M31" si="20">H31</f>
        <v>8328.5417090766241</v>
      </c>
      <c r="N31" s="514">
        <f t="shared" ref="N31" si="21">IF(M31&lt;&gt;0,+H31-M31,0)</f>
        <v>0</v>
      </c>
      <c r="O31" s="514">
        <f t="shared" ref="O31" si="22">+N31-L31</f>
        <v>0</v>
      </c>
      <c r="P31" s="272"/>
    </row>
    <row r="32" spans="2:16">
      <c r="B32" s="195" t="str">
        <f t="shared" si="6"/>
        <v/>
      </c>
      <c r="C32" s="673">
        <f>IF(D11="","-",+C31+1)</f>
        <v>2024</v>
      </c>
      <c r="D32" s="523">
        <f>IF(F31+SUM(E$17:E31)=D$10,F31,D$10-SUM(E$17:E31))</f>
        <v>50348.97080193393</v>
      </c>
      <c r="E32" s="522">
        <f>IF(+I14&lt;F31,I14,D32)</f>
        <v>1767.0454545454545</v>
      </c>
      <c r="F32" s="523">
        <f t="shared" ref="F32:F48" si="23">+D32-E32</f>
        <v>48581.925347388475</v>
      </c>
      <c r="G32" s="524">
        <f t="shared" ref="G32:G72" si="24">+I$12*((D32+F32)/2)+E32</f>
        <v>7679.5085788913384</v>
      </c>
      <c r="H32" s="491">
        <f t="shared" ref="H32:H72" si="25">+I$13*((D32+F32)/2)+E32</f>
        <v>7679.5085788913384</v>
      </c>
      <c r="I32" s="511">
        <f t="shared" si="0"/>
        <v>0</v>
      </c>
      <c r="J32" s="511"/>
      <c r="K32" s="525"/>
      <c r="L32" s="514">
        <f t="shared" si="1"/>
        <v>0</v>
      </c>
      <c r="M32" s="525"/>
      <c r="N32" s="514">
        <f t="shared" si="2"/>
        <v>0</v>
      </c>
      <c r="O32" s="514">
        <f t="shared" si="3"/>
        <v>0</v>
      </c>
      <c r="P32" s="272"/>
    </row>
    <row r="33" spans="2:16">
      <c r="B33" s="195" t="str">
        <f t="shared" si="6"/>
        <v/>
      </c>
      <c r="C33" s="507">
        <f>IF(D11="","-",+C32+1)</f>
        <v>2025</v>
      </c>
      <c r="D33" s="523">
        <f>IF(F32+SUM(E$17:E32)=D$10,F32,D$10-SUM(E$17:E32))</f>
        <v>48581.925347388475</v>
      </c>
      <c r="E33" s="522">
        <f>IF(+I14&lt;F32,I14,D33)</f>
        <v>1767.0454545454545</v>
      </c>
      <c r="F33" s="523">
        <f t="shared" si="23"/>
        <v>46814.879892843019</v>
      </c>
      <c r="G33" s="524">
        <f t="shared" si="24"/>
        <v>7468.2987042072182</v>
      </c>
      <c r="H33" s="491">
        <f t="shared" si="25"/>
        <v>7468.2987042072182</v>
      </c>
      <c r="I33" s="511">
        <f t="shared" si="0"/>
        <v>0</v>
      </c>
      <c r="J33" s="511"/>
      <c r="K33" s="525"/>
      <c r="L33" s="514">
        <f t="shared" si="1"/>
        <v>0</v>
      </c>
      <c r="M33" s="525"/>
      <c r="N33" s="514">
        <f t="shared" si="2"/>
        <v>0</v>
      </c>
      <c r="O33" s="514">
        <f t="shared" si="3"/>
        <v>0</v>
      </c>
      <c r="P33" s="272"/>
    </row>
    <row r="34" spans="2:16">
      <c r="B34" s="195" t="str">
        <f t="shared" si="6"/>
        <v/>
      </c>
      <c r="C34" s="507">
        <f>IF(D11="","-",+C33+1)</f>
        <v>2026</v>
      </c>
      <c r="D34" s="523">
        <f>IF(F33+SUM(E$17:E33)=D$10,F33,D$10-SUM(E$17:E33))</f>
        <v>46814.879892843019</v>
      </c>
      <c r="E34" s="522">
        <f>IF(+I14&lt;F33,I14,D34)</f>
        <v>1767.0454545454545</v>
      </c>
      <c r="F34" s="523">
        <f t="shared" si="23"/>
        <v>45047.834438297563</v>
      </c>
      <c r="G34" s="524">
        <f t="shared" si="24"/>
        <v>7257.0888295230998</v>
      </c>
      <c r="H34" s="491">
        <f t="shared" si="25"/>
        <v>7257.0888295230998</v>
      </c>
      <c r="I34" s="511">
        <f t="shared" si="0"/>
        <v>0</v>
      </c>
      <c r="J34" s="511"/>
      <c r="K34" s="525"/>
      <c r="L34" s="514">
        <f t="shared" si="1"/>
        <v>0</v>
      </c>
      <c r="M34" s="525"/>
      <c r="N34" s="514">
        <f t="shared" si="2"/>
        <v>0</v>
      </c>
      <c r="O34" s="514">
        <f t="shared" si="3"/>
        <v>0</v>
      </c>
      <c r="P34" s="272"/>
    </row>
    <row r="35" spans="2:16">
      <c r="B35" s="195" t="str">
        <f t="shared" si="6"/>
        <v/>
      </c>
      <c r="C35" s="507">
        <f>IF(D11="","-",+C34+1)</f>
        <v>2027</v>
      </c>
      <c r="D35" s="523">
        <f>IF(F34+SUM(E$17:E34)=D$10,F34,D$10-SUM(E$17:E34))</f>
        <v>45047.834438297563</v>
      </c>
      <c r="E35" s="522">
        <f>IF(+I14&lt;F34,I14,D35)</f>
        <v>1767.0454545454545</v>
      </c>
      <c r="F35" s="523">
        <f t="shared" si="23"/>
        <v>43280.788983752107</v>
      </c>
      <c r="G35" s="524">
        <f t="shared" si="24"/>
        <v>7045.8789548389796</v>
      </c>
      <c r="H35" s="491">
        <f t="shared" si="25"/>
        <v>7045.8789548389796</v>
      </c>
      <c r="I35" s="511">
        <f t="shared" si="0"/>
        <v>0</v>
      </c>
      <c r="J35" s="511"/>
      <c r="K35" s="525"/>
      <c r="L35" s="514">
        <f t="shared" si="1"/>
        <v>0</v>
      </c>
      <c r="M35" s="525"/>
      <c r="N35" s="514">
        <f t="shared" si="2"/>
        <v>0</v>
      </c>
      <c r="O35" s="514">
        <f t="shared" si="3"/>
        <v>0</v>
      </c>
      <c r="P35" s="272"/>
    </row>
    <row r="36" spans="2:16">
      <c r="B36" s="195" t="str">
        <f t="shared" si="6"/>
        <v/>
      </c>
      <c r="C36" s="507">
        <f>IF(D11="","-",+C35+1)</f>
        <v>2028</v>
      </c>
      <c r="D36" s="523">
        <f>IF(F35+SUM(E$17:E35)=D$10,F35,D$10-SUM(E$17:E35))</f>
        <v>43280.788983752107</v>
      </c>
      <c r="E36" s="522">
        <f>IF(+I14&lt;F35,I14,D36)</f>
        <v>1767.0454545454545</v>
      </c>
      <c r="F36" s="523">
        <f t="shared" si="23"/>
        <v>41513.743529206651</v>
      </c>
      <c r="G36" s="524">
        <f t="shared" si="24"/>
        <v>6834.6690801548593</v>
      </c>
      <c r="H36" s="491">
        <f t="shared" si="25"/>
        <v>6834.6690801548593</v>
      </c>
      <c r="I36" s="511">
        <f t="shared" si="0"/>
        <v>0</v>
      </c>
      <c r="J36" s="511"/>
      <c r="K36" s="525"/>
      <c r="L36" s="514">
        <f t="shared" si="1"/>
        <v>0</v>
      </c>
      <c r="M36" s="525"/>
      <c r="N36" s="514">
        <f t="shared" si="2"/>
        <v>0</v>
      </c>
      <c r="O36" s="514">
        <f t="shared" si="3"/>
        <v>0</v>
      </c>
      <c r="P36" s="272"/>
    </row>
    <row r="37" spans="2:16">
      <c r="B37" s="195" t="str">
        <f t="shared" si="6"/>
        <v/>
      </c>
      <c r="C37" s="507">
        <f>IF(D11="","-",+C36+1)</f>
        <v>2029</v>
      </c>
      <c r="D37" s="523">
        <f>IF(F36+SUM(E$17:E36)=D$10,F36,D$10-SUM(E$17:E36))</f>
        <v>41513.743529206651</v>
      </c>
      <c r="E37" s="522">
        <f>IF(+I14&lt;F36,I14,D37)</f>
        <v>1767.0454545454545</v>
      </c>
      <c r="F37" s="523">
        <f t="shared" si="23"/>
        <v>39746.698074661195</v>
      </c>
      <c r="G37" s="524">
        <f t="shared" si="24"/>
        <v>6623.4592054707409</v>
      </c>
      <c r="H37" s="491">
        <f t="shared" si="25"/>
        <v>6623.4592054707409</v>
      </c>
      <c r="I37" s="511">
        <f t="shared" si="0"/>
        <v>0</v>
      </c>
      <c r="J37" s="511"/>
      <c r="K37" s="525"/>
      <c r="L37" s="514">
        <f t="shared" si="1"/>
        <v>0</v>
      </c>
      <c r="M37" s="525"/>
      <c r="N37" s="514">
        <f t="shared" si="2"/>
        <v>0</v>
      </c>
      <c r="O37" s="514">
        <f t="shared" si="3"/>
        <v>0</v>
      </c>
      <c r="P37" s="272"/>
    </row>
    <row r="38" spans="2:16">
      <c r="B38" s="195" t="str">
        <f t="shared" si="6"/>
        <v/>
      </c>
      <c r="C38" s="507">
        <f>IF(D11="","-",+C37+1)</f>
        <v>2030</v>
      </c>
      <c r="D38" s="523">
        <f>IF(F37+SUM(E$17:E37)=D$10,F37,D$10-SUM(E$17:E37))</f>
        <v>39746.698074661195</v>
      </c>
      <c r="E38" s="522">
        <f>IF(+I14&lt;F37,I14,D38)</f>
        <v>1767.0454545454545</v>
      </c>
      <c r="F38" s="523">
        <f t="shared" si="23"/>
        <v>37979.652620115739</v>
      </c>
      <c r="G38" s="524">
        <f t="shared" si="24"/>
        <v>6412.2493307866207</v>
      </c>
      <c r="H38" s="491">
        <f t="shared" si="25"/>
        <v>6412.2493307866207</v>
      </c>
      <c r="I38" s="511">
        <f t="shared" si="0"/>
        <v>0</v>
      </c>
      <c r="J38" s="511"/>
      <c r="K38" s="525"/>
      <c r="L38" s="514">
        <f t="shared" si="1"/>
        <v>0</v>
      </c>
      <c r="M38" s="525"/>
      <c r="N38" s="514">
        <f t="shared" si="2"/>
        <v>0</v>
      </c>
      <c r="O38" s="514">
        <f t="shared" si="3"/>
        <v>0</v>
      </c>
      <c r="P38" s="272"/>
    </row>
    <row r="39" spans="2:16">
      <c r="B39" s="195" t="str">
        <f t="shared" si="6"/>
        <v/>
      </c>
      <c r="C39" s="507">
        <f>IF(D11="","-",+C38+1)</f>
        <v>2031</v>
      </c>
      <c r="D39" s="523">
        <f>IF(F38+SUM(E$17:E38)=D$10,F38,D$10-SUM(E$17:E38))</f>
        <v>37979.652620115739</v>
      </c>
      <c r="E39" s="522">
        <f>IF(+I14&lt;F38,I14,D39)</f>
        <v>1767.0454545454545</v>
      </c>
      <c r="F39" s="523">
        <f t="shared" si="23"/>
        <v>36212.607165570284</v>
      </c>
      <c r="G39" s="524">
        <f t="shared" si="24"/>
        <v>6201.0394561025005</v>
      </c>
      <c r="H39" s="491">
        <f t="shared" si="25"/>
        <v>6201.0394561025005</v>
      </c>
      <c r="I39" s="511">
        <f t="shared" si="0"/>
        <v>0</v>
      </c>
      <c r="J39" s="511"/>
      <c r="K39" s="525"/>
      <c r="L39" s="514">
        <f t="shared" si="1"/>
        <v>0</v>
      </c>
      <c r="M39" s="525"/>
      <c r="N39" s="514">
        <f t="shared" si="2"/>
        <v>0</v>
      </c>
      <c r="O39" s="514">
        <f t="shared" si="3"/>
        <v>0</v>
      </c>
      <c r="P39" s="272"/>
    </row>
    <row r="40" spans="2:16">
      <c r="B40" s="195" t="str">
        <f t="shared" si="6"/>
        <v/>
      </c>
      <c r="C40" s="507">
        <f>IF(D11="","-",+C39+1)</f>
        <v>2032</v>
      </c>
      <c r="D40" s="523">
        <f>IF(F39+SUM(E$17:E39)=D$10,F39,D$10-SUM(E$17:E39))</f>
        <v>36212.607165570284</v>
      </c>
      <c r="E40" s="522">
        <f>IF(+I14&lt;F39,I14,D40)</f>
        <v>1767.0454545454545</v>
      </c>
      <c r="F40" s="523">
        <f t="shared" si="23"/>
        <v>34445.561711024828</v>
      </c>
      <c r="G40" s="524">
        <f t="shared" si="24"/>
        <v>5989.8295814183821</v>
      </c>
      <c r="H40" s="491">
        <f t="shared" si="25"/>
        <v>5989.8295814183821</v>
      </c>
      <c r="I40" s="511">
        <f t="shared" si="0"/>
        <v>0</v>
      </c>
      <c r="J40" s="511"/>
      <c r="K40" s="525"/>
      <c r="L40" s="514">
        <f t="shared" si="1"/>
        <v>0</v>
      </c>
      <c r="M40" s="525"/>
      <c r="N40" s="514">
        <f t="shared" si="2"/>
        <v>0</v>
      </c>
      <c r="O40" s="514">
        <f t="shared" si="3"/>
        <v>0</v>
      </c>
      <c r="P40" s="272"/>
    </row>
    <row r="41" spans="2:16">
      <c r="B41" s="195" t="str">
        <f t="shared" si="6"/>
        <v/>
      </c>
      <c r="C41" s="507">
        <f>IF(D11="","-",+C40+1)</f>
        <v>2033</v>
      </c>
      <c r="D41" s="523">
        <f>IF(F40+SUM(E$17:E40)=D$10,F40,D$10-SUM(E$17:E40))</f>
        <v>34445.561711024828</v>
      </c>
      <c r="E41" s="522">
        <f>IF(+I14&lt;F40,I14,D41)</f>
        <v>1767.0454545454545</v>
      </c>
      <c r="F41" s="523">
        <f t="shared" si="23"/>
        <v>32678.516256479372</v>
      </c>
      <c r="G41" s="524">
        <f t="shared" si="24"/>
        <v>5778.6197067342619</v>
      </c>
      <c r="H41" s="491">
        <f t="shared" si="25"/>
        <v>5778.6197067342619</v>
      </c>
      <c r="I41" s="511">
        <f t="shared" si="0"/>
        <v>0</v>
      </c>
      <c r="J41" s="511"/>
      <c r="K41" s="525"/>
      <c r="L41" s="514">
        <f t="shared" si="1"/>
        <v>0</v>
      </c>
      <c r="M41" s="525"/>
      <c r="N41" s="514">
        <f t="shared" si="2"/>
        <v>0</v>
      </c>
      <c r="O41" s="514">
        <f t="shared" si="3"/>
        <v>0</v>
      </c>
      <c r="P41" s="272"/>
    </row>
    <row r="42" spans="2:16">
      <c r="B42" s="195" t="str">
        <f t="shared" si="6"/>
        <v/>
      </c>
      <c r="C42" s="507">
        <f>IF(D11="","-",+C41+1)</f>
        <v>2034</v>
      </c>
      <c r="D42" s="523">
        <f>IF(F41+SUM(E$17:E41)=D$10,F41,D$10-SUM(E$17:E41))</f>
        <v>32678.516256479372</v>
      </c>
      <c r="E42" s="522">
        <f>IF(+I14&lt;F41,I14,D42)</f>
        <v>1767.0454545454545</v>
      </c>
      <c r="F42" s="523">
        <f t="shared" si="23"/>
        <v>30911.470801933916</v>
      </c>
      <c r="G42" s="524">
        <f t="shared" si="24"/>
        <v>5567.4098320501416</v>
      </c>
      <c r="H42" s="491">
        <f t="shared" si="25"/>
        <v>5567.4098320501416</v>
      </c>
      <c r="I42" s="511">
        <f t="shared" si="0"/>
        <v>0</v>
      </c>
      <c r="J42" s="511"/>
      <c r="K42" s="525"/>
      <c r="L42" s="514">
        <f t="shared" si="1"/>
        <v>0</v>
      </c>
      <c r="M42" s="525"/>
      <c r="N42" s="514">
        <f t="shared" si="2"/>
        <v>0</v>
      </c>
      <c r="O42" s="514">
        <f t="shared" si="3"/>
        <v>0</v>
      </c>
      <c r="P42" s="272"/>
    </row>
    <row r="43" spans="2:16">
      <c r="B43" s="195" t="str">
        <f t="shared" si="6"/>
        <v/>
      </c>
      <c r="C43" s="507">
        <f>IF(D11="","-",+C42+1)</f>
        <v>2035</v>
      </c>
      <c r="D43" s="523">
        <f>IF(F42+SUM(E$17:E42)=D$10,F42,D$10-SUM(E$17:E42))</f>
        <v>30911.470801933916</v>
      </c>
      <c r="E43" s="522">
        <f>IF(+I14&lt;F42,I14,D43)</f>
        <v>1767.0454545454545</v>
      </c>
      <c r="F43" s="523">
        <f t="shared" si="23"/>
        <v>29144.42534738846</v>
      </c>
      <c r="G43" s="524">
        <f t="shared" si="24"/>
        <v>5356.1999573660223</v>
      </c>
      <c r="H43" s="491">
        <f t="shared" si="25"/>
        <v>5356.1999573660223</v>
      </c>
      <c r="I43" s="511">
        <f t="shared" si="0"/>
        <v>0</v>
      </c>
      <c r="J43" s="511"/>
      <c r="K43" s="525"/>
      <c r="L43" s="514">
        <f t="shared" si="1"/>
        <v>0</v>
      </c>
      <c r="M43" s="525"/>
      <c r="N43" s="514">
        <f t="shared" si="2"/>
        <v>0</v>
      </c>
      <c r="O43" s="514">
        <f t="shared" si="3"/>
        <v>0</v>
      </c>
      <c r="P43" s="272"/>
    </row>
    <row r="44" spans="2:16">
      <c r="B44" s="195" t="str">
        <f t="shared" si="6"/>
        <v/>
      </c>
      <c r="C44" s="507">
        <f>IF(D11="","-",+C43+1)</f>
        <v>2036</v>
      </c>
      <c r="D44" s="523">
        <f>IF(F43+SUM(E$17:E43)=D$10,F43,D$10-SUM(E$17:E43))</f>
        <v>29144.42534738846</v>
      </c>
      <c r="E44" s="522">
        <f>IF(+I14&lt;F43,I14,D44)</f>
        <v>1767.0454545454545</v>
      </c>
      <c r="F44" s="523">
        <f t="shared" si="23"/>
        <v>27377.379892843004</v>
      </c>
      <c r="G44" s="524">
        <f t="shared" si="24"/>
        <v>5144.990082681903</v>
      </c>
      <c r="H44" s="491">
        <f t="shared" si="25"/>
        <v>5144.990082681903</v>
      </c>
      <c r="I44" s="511">
        <f t="shared" si="0"/>
        <v>0</v>
      </c>
      <c r="J44" s="511"/>
      <c r="K44" s="525"/>
      <c r="L44" s="514">
        <f t="shared" si="1"/>
        <v>0</v>
      </c>
      <c r="M44" s="525"/>
      <c r="N44" s="514">
        <f t="shared" si="2"/>
        <v>0</v>
      </c>
      <c r="O44" s="514">
        <f t="shared" si="3"/>
        <v>0</v>
      </c>
      <c r="P44" s="272"/>
    </row>
    <row r="45" spans="2:16">
      <c r="B45" s="195" t="str">
        <f t="shared" si="6"/>
        <v/>
      </c>
      <c r="C45" s="507">
        <f>IF(D11="","-",+C44+1)</f>
        <v>2037</v>
      </c>
      <c r="D45" s="523">
        <f>IF(F44+SUM(E$17:E44)=D$10,F44,D$10-SUM(E$17:E44))</f>
        <v>27377.379892843004</v>
      </c>
      <c r="E45" s="522">
        <f>IF(+I14&lt;F44,I14,D45)</f>
        <v>1767.0454545454545</v>
      </c>
      <c r="F45" s="523">
        <f t="shared" si="23"/>
        <v>25610.334438297548</v>
      </c>
      <c r="G45" s="524">
        <f t="shared" si="24"/>
        <v>4933.7802079977828</v>
      </c>
      <c r="H45" s="491">
        <f t="shared" si="25"/>
        <v>4933.7802079977828</v>
      </c>
      <c r="I45" s="511">
        <f t="shared" si="0"/>
        <v>0</v>
      </c>
      <c r="J45" s="511"/>
      <c r="K45" s="525"/>
      <c r="L45" s="514">
        <f t="shared" si="1"/>
        <v>0</v>
      </c>
      <c r="M45" s="525"/>
      <c r="N45" s="514">
        <f t="shared" si="2"/>
        <v>0</v>
      </c>
      <c r="O45" s="514">
        <f t="shared" si="3"/>
        <v>0</v>
      </c>
      <c r="P45" s="272"/>
    </row>
    <row r="46" spans="2:16">
      <c r="B46" s="195" t="str">
        <f t="shared" si="6"/>
        <v/>
      </c>
      <c r="C46" s="507">
        <f>IF(D11="","-",+C45+1)</f>
        <v>2038</v>
      </c>
      <c r="D46" s="523">
        <f>IF(F45+SUM(E$17:E45)=D$10,F45,D$10-SUM(E$17:E45))</f>
        <v>25610.334438297548</v>
      </c>
      <c r="E46" s="522">
        <f>IF(+I14&lt;F45,I14,D46)</f>
        <v>1767.0454545454545</v>
      </c>
      <c r="F46" s="523">
        <f t="shared" si="23"/>
        <v>23843.288983752092</v>
      </c>
      <c r="G46" s="524">
        <f t="shared" si="24"/>
        <v>4722.5703333136635</v>
      </c>
      <c r="H46" s="491">
        <f t="shared" si="25"/>
        <v>4722.5703333136635</v>
      </c>
      <c r="I46" s="511">
        <f t="shared" si="0"/>
        <v>0</v>
      </c>
      <c r="J46" s="511"/>
      <c r="K46" s="525"/>
      <c r="L46" s="514">
        <f t="shared" si="1"/>
        <v>0</v>
      </c>
      <c r="M46" s="525"/>
      <c r="N46" s="514">
        <f t="shared" si="2"/>
        <v>0</v>
      </c>
      <c r="O46" s="514">
        <f t="shared" si="3"/>
        <v>0</v>
      </c>
      <c r="P46" s="272"/>
    </row>
    <row r="47" spans="2:16">
      <c r="B47" s="195" t="str">
        <f t="shared" si="6"/>
        <v/>
      </c>
      <c r="C47" s="507">
        <f>IF(D11="","-",+C46+1)</f>
        <v>2039</v>
      </c>
      <c r="D47" s="523">
        <f>IF(F46+SUM(E$17:E46)=D$10,F46,D$10-SUM(E$17:E46))</f>
        <v>23843.288983752092</v>
      </c>
      <c r="E47" s="522">
        <f>IF(+I14&lt;F46,I14,D47)</f>
        <v>1767.0454545454545</v>
      </c>
      <c r="F47" s="523">
        <f t="shared" si="23"/>
        <v>22076.243529206637</v>
      </c>
      <c r="G47" s="524">
        <f t="shared" si="24"/>
        <v>4511.3604586295442</v>
      </c>
      <c r="H47" s="491">
        <f t="shared" si="25"/>
        <v>4511.3604586295442</v>
      </c>
      <c r="I47" s="511">
        <f t="shared" si="0"/>
        <v>0</v>
      </c>
      <c r="J47" s="511"/>
      <c r="K47" s="525"/>
      <c r="L47" s="514">
        <f t="shared" si="1"/>
        <v>0</v>
      </c>
      <c r="M47" s="525"/>
      <c r="N47" s="514">
        <f t="shared" si="2"/>
        <v>0</v>
      </c>
      <c r="O47" s="514">
        <f t="shared" si="3"/>
        <v>0</v>
      </c>
      <c r="P47" s="272"/>
    </row>
    <row r="48" spans="2:16">
      <c r="B48" s="195" t="str">
        <f t="shared" si="6"/>
        <v/>
      </c>
      <c r="C48" s="507">
        <f>IF(D11="","-",+C47+1)</f>
        <v>2040</v>
      </c>
      <c r="D48" s="523">
        <f>IF(F47+SUM(E$17:E47)=D$10,F47,D$10-SUM(E$17:E47))</f>
        <v>22076.243529206637</v>
      </c>
      <c r="E48" s="522">
        <f>IF(+I14&lt;F47,I14,D48)</f>
        <v>1767.0454545454545</v>
      </c>
      <c r="F48" s="523">
        <f t="shared" si="23"/>
        <v>20309.198074661181</v>
      </c>
      <c r="G48" s="524">
        <f t="shared" si="24"/>
        <v>4300.1505839454239</v>
      </c>
      <c r="H48" s="491">
        <f t="shared" si="25"/>
        <v>4300.1505839454239</v>
      </c>
      <c r="I48" s="511">
        <f t="shared" si="0"/>
        <v>0</v>
      </c>
      <c r="J48" s="511"/>
      <c r="K48" s="525"/>
      <c r="L48" s="514">
        <f t="shared" si="1"/>
        <v>0</v>
      </c>
      <c r="M48" s="525"/>
      <c r="N48" s="514">
        <f t="shared" si="2"/>
        <v>0</v>
      </c>
      <c r="O48" s="514">
        <f t="shared" si="3"/>
        <v>0</v>
      </c>
      <c r="P48" s="272"/>
    </row>
    <row r="49" spans="2:17">
      <c r="B49" s="195" t="str">
        <f t="shared" si="6"/>
        <v/>
      </c>
      <c r="C49" s="507">
        <f>IF(D11="","-",+C48+1)</f>
        <v>2041</v>
      </c>
      <c r="D49" s="523">
        <f>IF(F48+SUM(E$17:E48)=D$10,F48,D$10-SUM(E$17:E48))</f>
        <v>20309.198074661181</v>
      </c>
      <c r="E49" s="522">
        <f>IF(+I14&lt;F48,I14,D49)</f>
        <v>1767.0454545454545</v>
      </c>
      <c r="F49" s="523">
        <f t="shared" ref="F49:F72" si="26">+D49-E49</f>
        <v>18542.152620115725</v>
      </c>
      <c r="G49" s="524">
        <f t="shared" si="24"/>
        <v>4088.9407092613046</v>
      </c>
      <c r="H49" s="491">
        <f t="shared" si="25"/>
        <v>4088.9407092613046</v>
      </c>
      <c r="I49" s="511">
        <f t="shared" ref="I49:I72" si="27">H49-G49</f>
        <v>0</v>
      </c>
      <c r="J49" s="511"/>
      <c r="K49" s="525"/>
      <c r="L49" s="514">
        <f t="shared" ref="L49:L72" si="28">IF(K49&lt;&gt;0,+G49-K49,0)</f>
        <v>0</v>
      </c>
      <c r="M49" s="525"/>
      <c r="N49" s="514">
        <f t="shared" ref="N49:N72" si="29">IF(M49&lt;&gt;0,+H49-M49,0)</f>
        <v>0</v>
      </c>
      <c r="O49" s="514">
        <f t="shared" ref="O49:O72" si="30">+N49-L49</f>
        <v>0</v>
      </c>
      <c r="P49" s="272"/>
    </row>
    <row r="50" spans="2:17">
      <c r="B50" s="195" t="str">
        <f t="shared" si="6"/>
        <v/>
      </c>
      <c r="C50" s="507">
        <f>IF(D11="","-",+C49+1)</f>
        <v>2042</v>
      </c>
      <c r="D50" s="523">
        <f>IF(F49+SUM(E$17:E49)=D$10,F49,D$10-SUM(E$17:E49))</f>
        <v>18542.152620115725</v>
      </c>
      <c r="E50" s="522">
        <f>IF(+I14&lt;F49,I14,D50)</f>
        <v>1767.0454545454545</v>
      </c>
      <c r="F50" s="523">
        <f t="shared" si="26"/>
        <v>16775.107165570269</v>
      </c>
      <c r="G50" s="524">
        <f t="shared" si="24"/>
        <v>3877.7308345771853</v>
      </c>
      <c r="H50" s="491">
        <f t="shared" si="25"/>
        <v>3877.7308345771853</v>
      </c>
      <c r="I50" s="511">
        <f t="shared" si="27"/>
        <v>0</v>
      </c>
      <c r="J50" s="511"/>
      <c r="K50" s="525"/>
      <c r="L50" s="514">
        <f t="shared" si="28"/>
        <v>0</v>
      </c>
      <c r="M50" s="525"/>
      <c r="N50" s="514">
        <f t="shared" si="29"/>
        <v>0</v>
      </c>
      <c r="O50" s="514">
        <f t="shared" si="30"/>
        <v>0</v>
      </c>
      <c r="P50" s="272"/>
    </row>
    <row r="51" spans="2:17">
      <c r="B51" s="195" t="str">
        <f t="shared" si="6"/>
        <v/>
      </c>
      <c r="C51" s="507">
        <f>IF(D11="","-",+C50+1)</f>
        <v>2043</v>
      </c>
      <c r="D51" s="523">
        <f>IF(F50+SUM(E$17:E50)=D$10,F50,D$10-SUM(E$17:E50))</f>
        <v>16775.107165570269</v>
      </c>
      <c r="E51" s="522">
        <f>IF(+I14&lt;F50,I14,D51)</f>
        <v>1767.0454545454545</v>
      </c>
      <c r="F51" s="523">
        <f t="shared" si="26"/>
        <v>15008.061711024815</v>
      </c>
      <c r="G51" s="524">
        <f t="shared" si="24"/>
        <v>3666.5209598930655</v>
      </c>
      <c r="H51" s="491">
        <f t="shared" si="25"/>
        <v>3666.5209598930655</v>
      </c>
      <c r="I51" s="511">
        <f t="shared" si="27"/>
        <v>0</v>
      </c>
      <c r="J51" s="511"/>
      <c r="K51" s="525"/>
      <c r="L51" s="514">
        <f t="shared" si="28"/>
        <v>0</v>
      </c>
      <c r="M51" s="525"/>
      <c r="N51" s="514">
        <f t="shared" si="29"/>
        <v>0</v>
      </c>
      <c r="O51" s="514">
        <f t="shared" si="30"/>
        <v>0</v>
      </c>
      <c r="P51" s="272"/>
    </row>
    <row r="52" spans="2:17">
      <c r="B52" s="195" t="str">
        <f t="shared" si="6"/>
        <v/>
      </c>
      <c r="C52" s="507">
        <f>IF(D11="","-",+C51+1)</f>
        <v>2044</v>
      </c>
      <c r="D52" s="523">
        <f>IF(F51+SUM(E$17:E51)=D$10,F51,D$10-SUM(E$17:E51))</f>
        <v>15008.061711024815</v>
      </c>
      <c r="E52" s="522">
        <f>IF(+I14&lt;F51,I14,D52)</f>
        <v>1767.0454545454545</v>
      </c>
      <c r="F52" s="523">
        <f t="shared" si="26"/>
        <v>13241.016256479361</v>
      </c>
      <c r="G52" s="524">
        <f t="shared" si="24"/>
        <v>3455.3110852089467</v>
      </c>
      <c r="H52" s="491">
        <f t="shared" si="25"/>
        <v>3455.3110852089467</v>
      </c>
      <c r="I52" s="511">
        <f t="shared" si="27"/>
        <v>0</v>
      </c>
      <c r="J52" s="511"/>
      <c r="K52" s="525"/>
      <c r="L52" s="514">
        <f t="shared" si="28"/>
        <v>0</v>
      </c>
      <c r="M52" s="525"/>
      <c r="N52" s="514">
        <f t="shared" si="29"/>
        <v>0</v>
      </c>
      <c r="O52" s="514">
        <f t="shared" si="30"/>
        <v>0</v>
      </c>
      <c r="P52" s="272"/>
    </row>
    <row r="53" spans="2:17">
      <c r="B53" s="195" t="str">
        <f t="shared" si="6"/>
        <v/>
      </c>
      <c r="C53" s="507">
        <f>IF(D11="","-",+C52+1)</f>
        <v>2045</v>
      </c>
      <c r="D53" s="523">
        <f>IF(F52+SUM(E$17:E52)=D$10,F52,D$10-SUM(E$17:E52))</f>
        <v>13241.016256479361</v>
      </c>
      <c r="E53" s="522">
        <f>IF(+I14&lt;F52,I14,D53)</f>
        <v>1767.0454545454545</v>
      </c>
      <c r="F53" s="523">
        <f t="shared" si="26"/>
        <v>11473.970801933907</v>
      </c>
      <c r="G53" s="524">
        <f t="shared" si="24"/>
        <v>3244.1012105248269</v>
      </c>
      <c r="H53" s="491">
        <f t="shared" si="25"/>
        <v>3244.1012105248269</v>
      </c>
      <c r="I53" s="511">
        <f t="shared" si="27"/>
        <v>0</v>
      </c>
      <c r="J53" s="511"/>
      <c r="K53" s="525"/>
      <c r="L53" s="514">
        <f t="shared" si="28"/>
        <v>0</v>
      </c>
      <c r="M53" s="525"/>
      <c r="N53" s="514">
        <f t="shared" si="29"/>
        <v>0</v>
      </c>
      <c r="O53" s="514">
        <f t="shared" si="30"/>
        <v>0</v>
      </c>
      <c r="P53" s="272"/>
    </row>
    <row r="54" spans="2:17">
      <c r="B54" s="195" t="str">
        <f t="shared" si="6"/>
        <v/>
      </c>
      <c r="C54" s="507">
        <f>IF(D11="","-",+C53+1)</f>
        <v>2046</v>
      </c>
      <c r="D54" s="523">
        <f>IF(F53+SUM(E$17:E53)=D$10,F53,D$10-SUM(E$17:E53))</f>
        <v>11473.970801933907</v>
      </c>
      <c r="E54" s="522">
        <f>IF(+I14&lt;F53,I14,D54)</f>
        <v>1767.0454545454545</v>
      </c>
      <c r="F54" s="523">
        <f t="shared" si="26"/>
        <v>9706.9253473884528</v>
      </c>
      <c r="G54" s="524">
        <f t="shared" si="24"/>
        <v>3032.8913358407076</v>
      </c>
      <c r="H54" s="491">
        <f t="shared" si="25"/>
        <v>3032.8913358407076</v>
      </c>
      <c r="I54" s="511">
        <f t="shared" si="27"/>
        <v>0</v>
      </c>
      <c r="J54" s="511"/>
      <c r="K54" s="525"/>
      <c r="L54" s="514">
        <f t="shared" si="28"/>
        <v>0</v>
      </c>
      <c r="M54" s="525"/>
      <c r="N54" s="514">
        <f t="shared" si="29"/>
        <v>0</v>
      </c>
      <c r="O54" s="514">
        <f t="shared" si="30"/>
        <v>0</v>
      </c>
      <c r="P54" s="272"/>
    </row>
    <row r="55" spans="2:17">
      <c r="B55" s="195" t="str">
        <f t="shared" si="6"/>
        <v/>
      </c>
      <c r="C55" s="507">
        <f>IF(D11="","-",+C54+1)</f>
        <v>2047</v>
      </c>
      <c r="D55" s="523">
        <f>IF(F54+SUM(E$17:E54)=D$10,F54,D$10-SUM(E$17:E54))</f>
        <v>9706.9253473884528</v>
      </c>
      <c r="E55" s="522">
        <f>IF(+I14&lt;F54,I14,D55)</f>
        <v>1767.0454545454545</v>
      </c>
      <c r="F55" s="523">
        <f t="shared" si="26"/>
        <v>7939.8798928429987</v>
      </c>
      <c r="G55" s="524">
        <f t="shared" si="24"/>
        <v>2821.6814611565878</v>
      </c>
      <c r="H55" s="491">
        <f t="shared" si="25"/>
        <v>2821.6814611565878</v>
      </c>
      <c r="I55" s="511">
        <f t="shared" si="27"/>
        <v>0</v>
      </c>
      <c r="J55" s="511"/>
      <c r="K55" s="525"/>
      <c r="L55" s="514">
        <f t="shared" si="28"/>
        <v>0</v>
      </c>
      <c r="M55" s="525"/>
      <c r="N55" s="514">
        <f t="shared" si="29"/>
        <v>0</v>
      </c>
      <c r="O55" s="514">
        <f t="shared" si="30"/>
        <v>0</v>
      </c>
      <c r="P55" s="272"/>
    </row>
    <row r="56" spans="2:17">
      <c r="B56" s="195" t="str">
        <f t="shared" si="6"/>
        <v/>
      </c>
      <c r="C56" s="507">
        <f>IF(D11="","-",+C55+1)</f>
        <v>2048</v>
      </c>
      <c r="D56" s="523">
        <f>IF(F55+SUM(E$17:E55)=D$10,F55,D$10-SUM(E$17:E55))</f>
        <v>7939.8798928429987</v>
      </c>
      <c r="E56" s="522">
        <f>IF(+I14&lt;F55,I14,D56)</f>
        <v>1767.0454545454545</v>
      </c>
      <c r="F56" s="523">
        <f t="shared" si="26"/>
        <v>6172.8344382975447</v>
      </c>
      <c r="G56" s="524">
        <f t="shared" si="24"/>
        <v>2610.4715864724685</v>
      </c>
      <c r="H56" s="491">
        <f t="shared" si="25"/>
        <v>2610.4715864724685</v>
      </c>
      <c r="I56" s="511">
        <f t="shared" si="27"/>
        <v>0</v>
      </c>
      <c r="J56" s="511"/>
      <c r="K56" s="525"/>
      <c r="L56" s="514">
        <f t="shared" si="28"/>
        <v>0</v>
      </c>
      <c r="M56" s="525"/>
      <c r="N56" s="514">
        <f t="shared" si="29"/>
        <v>0</v>
      </c>
      <c r="O56" s="514">
        <f t="shared" si="30"/>
        <v>0</v>
      </c>
      <c r="P56" s="272"/>
    </row>
    <row r="57" spans="2:17">
      <c r="B57" s="195" t="str">
        <f t="shared" si="6"/>
        <v/>
      </c>
      <c r="C57" s="507">
        <f>IF(D11="","-",+C56+1)</f>
        <v>2049</v>
      </c>
      <c r="D57" s="523">
        <f>IF(F56+SUM(E$17:E56)=D$10,F56,D$10-SUM(E$17:E56))</f>
        <v>6172.8344382975447</v>
      </c>
      <c r="E57" s="522">
        <f>IF(+I14&lt;F56,I14,D57)</f>
        <v>1767.0454545454545</v>
      </c>
      <c r="F57" s="523">
        <f t="shared" si="26"/>
        <v>4405.7889837520906</v>
      </c>
      <c r="G57" s="524">
        <f t="shared" si="24"/>
        <v>2399.2617117883492</v>
      </c>
      <c r="H57" s="491">
        <f t="shared" si="25"/>
        <v>2399.2617117883492</v>
      </c>
      <c r="I57" s="511">
        <f t="shared" si="27"/>
        <v>0</v>
      </c>
      <c r="J57" s="511"/>
      <c r="K57" s="525"/>
      <c r="L57" s="514">
        <f t="shared" si="28"/>
        <v>0</v>
      </c>
      <c r="M57" s="525"/>
      <c r="N57" s="514">
        <f t="shared" si="29"/>
        <v>0</v>
      </c>
      <c r="O57" s="514">
        <f t="shared" si="30"/>
        <v>0</v>
      </c>
      <c r="P57" s="272"/>
    </row>
    <row r="58" spans="2:17">
      <c r="B58" s="582" t="str">
        <f t="shared" si="6"/>
        <v/>
      </c>
      <c r="C58" s="507">
        <f>IF(D11="","-",+C57+1)</f>
        <v>2050</v>
      </c>
      <c r="D58" s="523">
        <f>IF(F57+SUM(E$17:E57)=D$10,F57,D$10-SUM(E$17:E57))</f>
        <v>4405.7889837520906</v>
      </c>
      <c r="E58" s="522">
        <f>IF(+I14&lt;F57,I14,D58)</f>
        <v>1767.0454545454545</v>
      </c>
      <c r="F58" s="523">
        <f t="shared" si="26"/>
        <v>2638.7435292066361</v>
      </c>
      <c r="G58" s="524">
        <f t="shared" si="24"/>
        <v>2188.0518371042299</v>
      </c>
      <c r="H58" s="491">
        <f t="shared" si="25"/>
        <v>2188.0518371042299</v>
      </c>
      <c r="I58" s="511">
        <f t="shared" si="27"/>
        <v>0</v>
      </c>
      <c r="J58" s="511"/>
      <c r="K58" s="525"/>
      <c r="L58" s="514">
        <f t="shared" si="28"/>
        <v>0</v>
      </c>
      <c r="M58" s="525"/>
      <c r="N58" s="514">
        <f t="shared" si="29"/>
        <v>0</v>
      </c>
      <c r="O58" s="514">
        <f t="shared" si="30"/>
        <v>0</v>
      </c>
      <c r="P58" s="272"/>
      <c r="Q58" s="183" t="str">
        <f>IF(ROUND(Q57,0)=ROUND(SUM(Q18:Q56),0),"","Error -- check allocations above).")</f>
        <v/>
      </c>
    </row>
    <row r="59" spans="2:17">
      <c r="B59" s="195" t="str">
        <f t="shared" si="6"/>
        <v/>
      </c>
      <c r="C59" s="507">
        <f>IF(D11="","-",+C58+1)</f>
        <v>2051</v>
      </c>
      <c r="D59" s="523">
        <f>IF(F58+SUM(E$17:E58)=D$10,F58,D$10-SUM(E$17:E58))</f>
        <v>2638.7435292066361</v>
      </c>
      <c r="E59" s="522">
        <f>IF(+I14&lt;F58,I14,D59)</f>
        <v>1767.0454545454545</v>
      </c>
      <c r="F59" s="523">
        <f t="shared" si="26"/>
        <v>871.69807466118164</v>
      </c>
      <c r="G59" s="524">
        <f t="shared" si="24"/>
        <v>1976.8419624201106</v>
      </c>
      <c r="H59" s="491">
        <f t="shared" si="25"/>
        <v>1976.8419624201106</v>
      </c>
      <c r="I59" s="511">
        <f t="shared" si="27"/>
        <v>0</v>
      </c>
      <c r="J59" s="511"/>
      <c r="K59" s="525"/>
      <c r="L59" s="514">
        <f t="shared" si="28"/>
        <v>0</v>
      </c>
      <c r="M59" s="525"/>
      <c r="N59" s="514">
        <f t="shared" si="29"/>
        <v>0</v>
      </c>
      <c r="O59" s="514">
        <f t="shared" si="30"/>
        <v>0</v>
      </c>
      <c r="P59" s="272"/>
    </row>
    <row r="60" spans="2:17">
      <c r="B60" s="195" t="str">
        <f t="shared" si="6"/>
        <v/>
      </c>
      <c r="C60" s="507">
        <f>IF(D11="","-",+C59+1)</f>
        <v>2052</v>
      </c>
      <c r="D60" s="523">
        <f>IF(F59+SUM(E$17:E59)=D$10,F59,D$10-SUM(E$17:E59))</f>
        <v>871.69807466118164</v>
      </c>
      <c r="E60" s="522">
        <f>IF(+I14&lt;F59,I14,D60)</f>
        <v>871.69807466118164</v>
      </c>
      <c r="F60" s="523">
        <f t="shared" si="26"/>
        <v>0</v>
      </c>
      <c r="G60" s="524">
        <f t="shared" si="24"/>
        <v>923.79385992747973</v>
      </c>
      <c r="H60" s="491">
        <f t="shared" si="25"/>
        <v>923.79385992747973</v>
      </c>
      <c r="I60" s="511">
        <f t="shared" si="27"/>
        <v>0</v>
      </c>
      <c r="J60" s="511"/>
      <c r="K60" s="525"/>
      <c r="L60" s="514">
        <f t="shared" si="28"/>
        <v>0</v>
      </c>
      <c r="M60" s="525"/>
      <c r="N60" s="514">
        <f t="shared" si="29"/>
        <v>0</v>
      </c>
      <c r="O60" s="514">
        <f t="shared" si="30"/>
        <v>0</v>
      </c>
      <c r="P60" s="272"/>
    </row>
    <row r="61" spans="2:17">
      <c r="B61" s="195" t="str">
        <f t="shared" si="6"/>
        <v/>
      </c>
      <c r="C61" s="507">
        <f>IF(D11="","-",+C60+1)</f>
        <v>2053</v>
      </c>
      <c r="D61" s="523">
        <f>IF(F60+SUM(E$17:E60)=D$10,F60,D$10-SUM(E$17:E60))</f>
        <v>0</v>
      </c>
      <c r="E61" s="522">
        <f>IF(+I14&lt;F60,I14,D61)</f>
        <v>0</v>
      </c>
      <c r="F61" s="523">
        <f t="shared" si="26"/>
        <v>0</v>
      </c>
      <c r="G61" s="526">
        <f t="shared" si="24"/>
        <v>0</v>
      </c>
      <c r="H61" s="491">
        <f t="shared" si="25"/>
        <v>0</v>
      </c>
      <c r="I61" s="511">
        <f t="shared" si="27"/>
        <v>0</v>
      </c>
      <c r="J61" s="511"/>
      <c r="K61" s="525"/>
      <c r="L61" s="514">
        <f t="shared" si="28"/>
        <v>0</v>
      </c>
      <c r="M61" s="525"/>
      <c r="N61" s="514">
        <f t="shared" si="29"/>
        <v>0</v>
      </c>
      <c r="O61" s="514">
        <f t="shared" si="30"/>
        <v>0</v>
      </c>
      <c r="P61" s="272"/>
    </row>
    <row r="62" spans="2:17">
      <c r="B62" s="195" t="str">
        <f t="shared" si="6"/>
        <v/>
      </c>
      <c r="C62" s="507">
        <f>IF(D11="","-",+C61+1)</f>
        <v>2054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26"/>
        <v>0</v>
      </c>
      <c r="G62" s="526">
        <f t="shared" si="24"/>
        <v>0</v>
      </c>
      <c r="H62" s="491">
        <f t="shared" si="25"/>
        <v>0</v>
      </c>
      <c r="I62" s="511">
        <f t="shared" si="27"/>
        <v>0</v>
      </c>
      <c r="J62" s="511"/>
      <c r="K62" s="525"/>
      <c r="L62" s="514">
        <f t="shared" si="28"/>
        <v>0</v>
      </c>
      <c r="M62" s="525"/>
      <c r="N62" s="514">
        <f t="shared" si="29"/>
        <v>0</v>
      </c>
      <c r="O62" s="514">
        <f t="shared" si="30"/>
        <v>0</v>
      </c>
      <c r="P62" s="272"/>
    </row>
    <row r="63" spans="2:17">
      <c r="B63" s="195" t="str">
        <f t="shared" si="6"/>
        <v/>
      </c>
      <c r="C63" s="507">
        <f>IF(D11="","-",+C62+1)</f>
        <v>2055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26"/>
        <v>0</v>
      </c>
      <c r="G63" s="526">
        <f t="shared" si="24"/>
        <v>0</v>
      </c>
      <c r="H63" s="491">
        <f t="shared" si="25"/>
        <v>0</v>
      </c>
      <c r="I63" s="511">
        <f t="shared" si="27"/>
        <v>0</v>
      </c>
      <c r="J63" s="511"/>
      <c r="K63" s="525"/>
      <c r="L63" s="514">
        <f t="shared" si="28"/>
        <v>0</v>
      </c>
      <c r="M63" s="525"/>
      <c r="N63" s="514">
        <f t="shared" si="29"/>
        <v>0</v>
      </c>
      <c r="O63" s="514">
        <f t="shared" si="30"/>
        <v>0</v>
      </c>
      <c r="P63" s="272"/>
    </row>
    <row r="64" spans="2:17">
      <c r="B64" s="195" t="str">
        <f t="shared" si="6"/>
        <v/>
      </c>
      <c r="C64" s="507">
        <f>IF(D11="","-",+C63+1)</f>
        <v>2056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26"/>
        <v>0</v>
      </c>
      <c r="G64" s="526">
        <f t="shared" si="24"/>
        <v>0</v>
      </c>
      <c r="H64" s="491">
        <f t="shared" si="25"/>
        <v>0</v>
      </c>
      <c r="I64" s="511">
        <f t="shared" si="27"/>
        <v>0</v>
      </c>
      <c r="J64" s="511"/>
      <c r="K64" s="525"/>
      <c r="L64" s="514">
        <f t="shared" si="28"/>
        <v>0</v>
      </c>
      <c r="M64" s="525"/>
      <c r="N64" s="514">
        <f t="shared" si="29"/>
        <v>0</v>
      </c>
      <c r="O64" s="514">
        <f t="shared" si="30"/>
        <v>0</v>
      </c>
      <c r="P64" s="272"/>
    </row>
    <row r="65" spans="1:16">
      <c r="B65" s="195" t="str">
        <f t="shared" si="6"/>
        <v/>
      </c>
      <c r="C65" s="507">
        <f>IF(D11="","-",+C64+1)</f>
        <v>2057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26"/>
        <v>0</v>
      </c>
      <c r="G65" s="526">
        <f t="shared" si="24"/>
        <v>0</v>
      </c>
      <c r="H65" s="491">
        <f t="shared" si="25"/>
        <v>0</v>
      </c>
      <c r="I65" s="511">
        <f t="shared" si="27"/>
        <v>0</v>
      </c>
      <c r="J65" s="511"/>
      <c r="K65" s="525"/>
      <c r="L65" s="514">
        <f t="shared" si="28"/>
        <v>0</v>
      </c>
      <c r="M65" s="525"/>
      <c r="N65" s="514">
        <f t="shared" si="29"/>
        <v>0</v>
      </c>
      <c r="O65" s="514">
        <f t="shared" si="30"/>
        <v>0</v>
      </c>
      <c r="P65" s="272"/>
    </row>
    <row r="66" spans="1:16">
      <c r="B66" s="195" t="str">
        <f t="shared" si="6"/>
        <v/>
      </c>
      <c r="C66" s="507">
        <f>IF(D11="","-",+C65+1)</f>
        <v>2058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26"/>
        <v>0</v>
      </c>
      <c r="G66" s="526">
        <f t="shared" si="24"/>
        <v>0</v>
      </c>
      <c r="H66" s="491">
        <f t="shared" si="25"/>
        <v>0</v>
      </c>
      <c r="I66" s="511">
        <f t="shared" si="27"/>
        <v>0</v>
      </c>
      <c r="J66" s="511"/>
      <c r="K66" s="525"/>
      <c r="L66" s="514">
        <f t="shared" si="28"/>
        <v>0</v>
      </c>
      <c r="M66" s="525"/>
      <c r="N66" s="514">
        <f t="shared" si="29"/>
        <v>0</v>
      </c>
      <c r="O66" s="514">
        <f t="shared" si="30"/>
        <v>0</v>
      </c>
      <c r="P66" s="272"/>
    </row>
    <row r="67" spans="1:16">
      <c r="B67" s="195" t="str">
        <f t="shared" si="6"/>
        <v/>
      </c>
      <c r="C67" s="507">
        <f>IF(D11="","-",+C66+1)</f>
        <v>2059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26"/>
        <v>0</v>
      </c>
      <c r="G67" s="526">
        <f t="shared" si="24"/>
        <v>0</v>
      </c>
      <c r="H67" s="491">
        <f t="shared" si="25"/>
        <v>0</v>
      </c>
      <c r="I67" s="511">
        <f t="shared" si="27"/>
        <v>0</v>
      </c>
      <c r="J67" s="511"/>
      <c r="K67" s="525"/>
      <c r="L67" s="514">
        <f t="shared" si="28"/>
        <v>0</v>
      </c>
      <c r="M67" s="525"/>
      <c r="N67" s="514">
        <f t="shared" si="29"/>
        <v>0</v>
      </c>
      <c r="O67" s="514">
        <f t="shared" si="30"/>
        <v>0</v>
      </c>
      <c r="P67" s="272"/>
    </row>
    <row r="68" spans="1:16">
      <c r="B68" s="195" t="str">
        <f t="shared" si="6"/>
        <v/>
      </c>
      <c r="C68" s="507">
        <f>IF(D11="","-",+C67+1)</f>
        <v>2060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26"/>
        <v>0</v>
      </c>
      <c r="G68" s="526">
        <f t="shared" si="24"/>
        <v>0</v>
      </c>
      <c r="H68" s="491">
        <f t="shared" si="25"/>
        <v>0</v>
      </c>
      <c r="I68" s="511">
        <f t="shared" si="27"/>
        <v>0</v>
      </c>
      <c r="J68" s="511"/>
      <c r="K68" s="525"/>
      <c r="L68" s="514">
        <f t="shared" si="28"/>
        <v>0</v>
      </c>
      <c r="M68" s="525"/>
      <c r="N68" s="514">
        <f t="shared" si="29"/>
        <v>0</v>
      </c>
      <c r="O68" s="514">
        <f t="shared" si="30"/>
        <v>0</v>
      </c>
      <c r="P68" s="272"/>
    </row>
    <row r="69" spans="1:16">
      <c r="B69" s="195" t="str">
        <f t="shared" si="6"/>
        <v/>
      </c>
      <c r="C69" s="507">
        <f>IF(D11="","-",+C68+1)</f>
        <v>2061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26"/>
        <v>0</v>
      </c>
      <c r="G69" s="526">
        <f t="shared" si="24"/>
        <v>0</v>
      </c>
      <c r="H69" s="491">
        <f t="shared" si="25"/>
        <v>0</v>
      </c>
      <c r="I69" s="511">
        <f t="shared" si="27"/>
        <v>0</v>
      </c>
      <c r="J69" s="511"/>
      <c r="K69" s="525"/>
      <c r="L69" s="514">
        <f t="shared" si="28"/>
        <v>0</v>
      </c>
      <c r="M69" s="525"/>
      <c r="N69" s="514">
        <f t="shared" si="29"/>
        <v>0</v>
      </c>
      <c r="O69" s="514">
        <f t="shared" si="30"/>
        <v>0</v>
      </c>
      <c r="P69" s="272"/>
    </row>
    <row r="70" spans="1:16">
      <c r="B70" s="195" t="str">
        <f t="shared" si="6"/>
        <v/>
      </c>
      <c r="C70" s="507">
        <f>IF(D11="","-",+C69+1)</f>
        <v>2062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26"/>
        <v>0</v>
      </c>
      <c r="G70" s="526">
        <f t="shared" si="24"/>
        <v>0</v>
      </c>
      <c r="H70" s="491">
        <f t="shared" si="25"/>
        <v>0</v>
      </c>
      <c r="I70" s="511">
        <f t="shared" si="27"/>
        <v>0</v>
      </c>
      <c r="J70" s="511"/>
      <c r="K70" s="525"/>
      <c r="L70" s="514">
        <f t="shared" si="28"/>
        <v>0</v>
      </c>
      <c r="M70" s="525"/>
      <c r="N70" s="514">
        <f t="shared" si="29"/>
        <v>0</v>
      </c>
      <c r="O70" s="514">
        <f t="shared" si="30"/>
        <v>0</v>
      </c>
      <c r="P70" s="272"/>
    </row>
    <row r="71" spans="1:16">
      <c r="B71" s="195" t="str">
        <f t="shared" si="6"/>
        <v/>
      </c>
      <c r="C71" s="507">
        <f>IF(D11="","-",+C70+1)</f>
        <v>2063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26"/>
        <v>0</v>
      </c>
      <c r="G71" s="526">
        <f t="shared" si="24"/>
        <v>0</v>
      </c>
      <c r="H71" s="491">
        <f t="shared" si="25"/>
        <v>0</v>
      </c>
      <c r="I71" s="511">
        <f t="shared" si="27"/>
        <v>0</v>
      </c>
      <c r="J71" s="511"/>
      <c r="K71" s="525"/>
      <c r="L71" s="514">
        <f t="shared" si="28"/>
        <v>0</v>
      </c>
      <c r="M71" s="525"/>
      <c r="N71" s="514">
        <f t="shared" si="29"/>
        <v>0</v>
      </c>
      <c r="O71" s="514">
        <f t="shared" si="30"/>
        <v>0</v>
      </c>
      <c r="P71" s="272"/>
    </row>
    <row r="72" spans="1:16" ht="13.5" thickBot="1">
      <c r="B72" s="195" t="str">
        <f t="shared" si="6"/>
        <v/>
      </c>
      <c r="C72" s="527">
        <f>IF(D11="","-",+C71+1)</f>
        <v>2064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26"/>
        <v>0</v>
      </c>
      <c r="G72" s="530">
        <f t="shared" si="24"/>
        <v>0</v>
      </c>
      <c r="H72" s="471">
        <f t="shared" si="25"/>
        <v>0</v>
      </c>
      <c r="I72" s="531">
        <f t="shared" si="27"/>
        <v>0</v>
      </c>
      <c r="J72" s="511"/>
      <c r="K72" s="532"/>
      <c r="L72" s="533">
        <f t="shared" si="28"/>
        <v>0</v>
      </c>
      <c r="M72" s="532"/>
      <c r="N72" s="533">
        <f t="shared" si="29"/>
        <v>0</v>
      </c>
      <c r="O72" s="533">
        <f t="shared" si="30"/>
        <v>0</v>
      </c>
      <c r="P72" s="272"/>
    </row>
    <row r="73" spans="1:16">
      <c r="C73" s="374" t="s">
        <v>78</v>
      </c>
      <c r="D73" s="375"/>
      <c r="E73" s="375">
        <f>SUM(E17:E72)</f>
        <v>77750.000000000015</v>
      </c>
      <c r="F73" s="375"/>
      <c r="G73" s="375">
        <f>SUM(G17:G72)</f>
        <v>278411.85344574973</v>
      </c>
      <c r="H73" s="375">
        <f>SUM(H17:H72)</f>
        <v>278411.85344574973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1:16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1:16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1:16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1:16" ht="18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535"/>
      <c r="P77" s="272"/>
    </row>
    <row r="78" spans="1:16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1:16" ht="15">
      <c r="A79" s="536"/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</row>
    <row r="80" spans="1:16" ht="18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7">
      <c r="B81" s="269"/>
      <c r="C81" s="537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7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  <c r="Q82" s="269"/>
    </row>
    <row r="83" spans="1:17" ht="20.25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535" t="str">
        <f ca="1">P1</f>
        <v>SWEPCO Project 7 of 75</v>
      </c>
      <c r="Q83" s="269"/>
    </row>
    <row r="84" spans="1:17" ht="18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454" t="s">
        <v>128</v>
      </c>
      <c r="Q84" s="269"/>
    </row>
    <row r="85" spans="1:17" ht="18.7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  <c r="Q85" s="269"/>
    </row>
    <row r="86" spans="1:17" ht="15.75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2022</v>
      </c>
      <c r="M86" s="541" t="s">
        <v>9</v>
      </c>
      <c r="N86" s="542" t="s">
        <v>159</v>
      </c>
      <c r="O86" s="543" t="s">
        <v>11</v>
      </c>
      <c r="P86" s="269"/>
      <c r="Q86" s="269"/>
    </row>
    <row r="87" spans="1:17" ht="1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391</v>
      </c>
      <c r="M87" s="546">
        <f>IF(J92&lt;D11,0,VLOOKUP(J92,C17:O72,9))</f>
        <v>7824.8681888866868</v>
      </c>
      <c r="N87" s="546">
        <f>IF(J92&lt;D11,0,VLOOKUP(J92,C17:O72,11))</f>
        <v>7824.8681888866868</v>
      </c>
      <c r="O87" s="547">
        <f>+N87-M87</f>
        <v>0</v>
      </c>
      <c r="P87" s="269"/>
      <c r="Q87" s="269"/>
    </row>
    <row r="88" spans="1:17" ht="15.7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392</v>
      </c>
      <c r="M88" s="550">
        <f>IF(J92&lt;D11,0,VLOOKUP(J92,C99:P154,6))</f>
        <v>8148.3308381014476</v>
      </c>
      <c r="N88" s="550">
        <f>IF(J92&lt;D11,0,VLOOKUP(J92,C99:P154,7))</f>
        <v>8148.3308381014476</v>
      </c>
      <c r="O88" s="551">
        <f>+N88-M88</f>
        <v>0</v>
      </c>
      <c r="P88" s="269"/>
      <c r="Q88" s="269"/>
    </row>
    <row r="89" spans="1:17" ht="13.5" thickBot="1">
      <c r="C89" s="467" t="s">
        <v>84</v>
      </c>
      <c r="D89" s="552" t="str">
        <f>+D7</f>
        <v>Linwood 138 Station Switch Replacement*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323.46264921476086</v>
      </c>
      <c r="N89" s="555">
        <f>+N88-N87</f>
        <v>323.46264921476086</v>
      </c>
      <c r="O89" s="556">
        <f>+O88-O87</f>
        <v>0</v>
      </c>
      <c r="P89" s="269"/>
      <c r="Q89" s="269"/>
    </row>
    <row r="90" spans="1:17" ht="13.5" thickBot="1">
      <c r="C90" s="534"/>
      <c r="D90" s="557" t="str">
        <f>D8</f>
        <v>DOES NOT MEET SPP $100,000 MINIMUM INVESTMENT FOR REGIONAL BPU SHARING.</v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  <c r="Q90" s="269"/>
    </row>
    <row r="91" spans="1:17" ht="13.5" thickBot="1">
      <c r="A91" s="191"/>
      <c r="C91" s="558" t="s">
        <v>85</v>
      </c>
      <c r="D91" s="559" t="str">
        <f>+D9</f>
        <v>TP2008080</v>
      </c>
      <c r="E91" s="560"/>
      <c r="F91" s="560"/>
      <c r="G91" s="560"/>
      <c r="H91" s="560"/>
      <c r="I91" s="560"/>
      <c r="J91" s="561"/>
      <c r="K91" s="562"/>
      <c r="P91" s="481"/>
      <c r="Q91" s="269"/>
    </row>
    <row r="92" spans="1:17">
      <c r="C92" s="486" t="s">
        <v>51</v>
      </c>
      <c r="D92" s="483">
        <v>77750</v>
      </c>
      <c r="E92" s="340" t="s">
        <v>86</v>
      </c>
      <c r="H92" s="484"/>
      <c r="I92" s="484"/>
      <c r="J92" s="485">
        <f>+'SWE.WS.G.BPU.ATRR.True-up'!M16</f>
        <v>2022</v>
      </c>
      <c r="K92" s="480"/>
      <c r="L92" s="375" t="s">
        <v>87</v>
      </c>
      <c r="P92" s="272"/>
      <c r="Q92" s="269"/>
    </row>
    <row r="93" spans="1:17">
      <c r="C93" s="486" t="s">
        <v>54</v>
      </c>
      <c r="D93" s="563">
        <f>IF(D11=I10,"",D11)</f>
        <v>2009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  <c r="Q93" s="269"/>
    </row>
    <row r="94" spans="1:17">
      <c r="C94" s="486" t="s">
        <v>56</v>
      </c>
      <c r="D94" s="564">
        <f>IF(D11=I10,"",D12)</f>
        <v>5</v>
      </c>
      <c r="E94" s="486" t="s">
        <v>57</v>
      </c>
      <c r="F94" s="484"/>
      <c r="G94" s="484"/>
      <c r="J94" s="490">
        <f>'SWE.WS.G.BPU.ATRR.True-up'!$F$81</f>
        <v>0.11351422637179906</v>
      </c>
      <c r="K94" s="425"/>
      <c r="L94" s="183" t="s">
        <v>88</v>
      </c>
      <c r="P94" s="272"/>
      <c r="Q94" s="269"/>
    </row>
    <row r="95" spans="1:17">
      <c r="C95" s="486" t="s">
        <v>59</v>
      </c>
      <c r="D95" s="488">
        <f>'SWE.WS.G.BPU.ATRR.True-up'!F$93</f>
        <v>41</v>
      </c>
      <c r="E95" s="486" t="s">
        <v>60</v>
      </c>
      <c r="F95" s="484"/>
      <c r="G95" s="484"/>
      <c r="J95" s="490">
        <f>IF(H87="",J94,'SWE.WS.G.BPU.ATRR.True-up'!$F$80)</f>
        <v>0.11351422637179906</v>
      </c>
      <c r="K95" s="324"/>
      <c r="L95" s="375" t="s">
        <v>61</v>
      </c>
      <c r="M95" s="324"/>
      <c r="N95" s="324"/>
      <c r="O95" s="324"/>
      <c r="P95" s="272"/>
      <c r="Q95" s="269"/>
    </row>
    <row r="96" spans="1:17" ht="13.5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1896.3414634146341</v>
      </c>
      <c r="K96" s="375"/>
      <c r="L96" s="375"/>
      <c r="M96" s="375"/>
      <c r="N96" s="375"/>
      <c r="O96" s="375"/>
      <c r="P96" s="272"/>
      <c r="Q96" s="269"/>
    </row>
    <row r="97" spans="1:17" ht="38.25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388</v>
      </c>
      <c r="I97" s="495" t="s">
        <v>389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  <c r="Q97" s="269"/>
    </row>
    <row r="98" spans="1:17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  <c r="Q98" s="269"/>
    </row>
    <row r="99" spans="1:17">
      <c r="C99" s="507">
        <f>IF(D93= "","-",D93)</f>
        <v>2009</v>
      </c>
      <c r="D99" s="508">
        <v>0</v>
      </c>
      <c r="E99" s="516">
        <v>994</v>
      </c>
      <c r="F99" s="515">
        <v>63775</v>
      </c>
      <c r="G99" s="574">
        <v>318887</v>
      </c>
      <c r="H99" s="575">
        <v>5610</v>
      </c>
      <c r="I99" s="576">
        <v>5610</v>
      </c>
      <c r="J99" s="514">
        <f t="shared" ref="J99:J130" si="31">+I99-H99</f>
        <v>0</v>
      </c>
      <c r="K99" s="514"/>
      <c r="L99" s="512">
        <f t="shared" ref="L99:L104" si="32">H99</f>
        <v>5610</v>
      </c>
      <c r="M99" s="597">
        <f t="shared" ref="M99:M130" si="33">IF(L99&lt;&gt;0,+H99-L99,0)</f>
        <v>0</v>
      </c>
      <c r="N99" s="512">
        <f t="shared" ref="N99:N104" si="34">I99</f>
        <v>5610</v>
      </c>
      <c r="O99" s="513">
        <f t="shared" ref="O99:O130" si="35">IF(N99&lt;&gt;0,+I99-N99,0)</f>
        <v>0</v>
      </c>
      <c r="P99" s="513">
        <f t="shared" ref="P99:P130" si="36">+O99-M99</f>
        <v>0</v>
      </c>
      <c r="Q99" s="269"/>
    </row>
    <row r="100" spans="1:17">
      <c r="B100" s="195" t="str">
        <f>IF(D100=F99,"","IU")</f>
        <v>IU</v>
      </c>
      <c r="C100" s="507">
        <f>IF(D93="","-",+C99+1)</f>
        <v>2010</v>
      </c>
      <c r="D100" s="508">
        <v>76756</v>
      </c>
      <c r="E100" s="516">
        <v>1896.3414634146341</v>
      </c>
      <c r="F100" s="515">
        <v>74859.658536585368</v>
      </c>
      <c r="G100" s="515">
        <v>75807.829268292684</v>
      </c>
      <c r="H100" s="516">
        <v>14411.158990782849</v>
      </c>
      <c r="I100" s="510">
        <v>14411.158990782849</v>
      </c>
      <c r="J100" s="514">
        <f t="shared" si="31"/>
        <v>0</v>
      </c>
      <c r="K100" s="514"/>
      <c r="L100" s="518">
        <f t="shared" si="32"/>
        <v>14411.158990782849</v>
      </c>
      <c r="M100" s="519">
        <f t="shared" si="33"/>
        <v>0</v>
      </c>
      <c r="N100" s="518">
        <f t="shared" si="34"/>
        <v>14411.158990782849</v>
      </c>
      <c r="O100" s="514">
        <f t="shared" si="35"/>
        <v>0</v>
      </c>
      <c r="P100" s="514">
        <f t="shared" si="36"/>
        <v>0</v>
      </c>
      <c r="Q100" s="269"/>
    </row>
    <row r="101" spans="1:17">
      <c r="B101" s="195" t="str">
        <f t="shared" ref="B101:B154" si="37">IF(D101=F100,"","IU")</f>
        <v/>
      </c>
      <c r="C101" s="507">
        <f>IF(D93="","-",+C100+1)</f>
        <v>2011</v>
      </c>
      <c r="D101" s="508">
        <v>74859.658536585368</v>
      </c>
      <c r="E101" s="520">
        <v>1851.1904761904761</v>
      </c>
      <c r="F101" s="515">
        <v>73008.468060394895</v>
      </c>
      <c r="G101" s="515">
        <v>73934.063298490131</v>
      </c>
      <c r="H101" s="516">
        <v>12969.387615340562</v>
      </c>
      <c r="I101" s="510">
        <v>12969.387615340562</v>
      </c>
      <c r="J101" s="514">
        <f t="shared" si="31"/>
        <v>0</v>
      </c>
      <c r="K101" s="514"/>
      <c r="L101" s="518">
        <f t="shared" si="32"/>
        <v>12969.387615340562</v>
      </c>
      <c r="M101" s="519">
        <f t="shared" si="33"/>
        <v>0</v>
      </c>
      <c r="N101" s="518">
        <f t="shared" si="34"/>
        <v>12969.387615340562</v>
      </c>
      <c r="O101" s="514">
        <f t="shared" si="35"/>
        <v>0</v>
      </c>
      <c r="P101" s="514">
        <f t="shared" si="36"/>
        <v>0</v>
      </c>
      <c r="Q101" s="269"/>
    </row>
    <row r="102" spans="1:17">
      <c r="B102" s="195" t="str">
        <f t="shared" si="37"/>
        <v/>
      </c>
      <c r="C102" s="507">
        <f>IF(D93="","-",+C101+1)</f>
        <v>2012</v>
      </c>
      <c r="D102" s="508">
        <v>73008.468060394895</v>
      </c>
      <c r="E102" s="516">
        <v>1851.1904761904761</v>
      </c>
      <c r="F102" s="515">
        <v>71157.277584204421</v>
      </c>
      <c r="G102" s="515">
        <v>72082.872822299658</v>
      </c>
      <c r="H102" s="516">
        <v>12458.468627153823</v>
      </c>
      <c r="I102" s="510">
        <v>12458.468627153823</v>
      </c>
      <c r="J102" s="514">
        <f t="shared" si="31"/>
        <v>0</v>
      </c>
      <c r="K102" s="514"/>
      <c r="L102" s="518">
        <f t="shared" si="32"/>
        <v>12458.468627153823</v>
      </c>
      <c r="M102" s="519">
        <f t="shared" si="33"/>
        <v>0</v>
      </c>
      <c r="N102" s="518">
        <f t="shared" si="34"/>
        <v>12458.468627153823</v>
      </c>
      <c r="O102" s="514">
        <f t="shared" si="35"/>
        <v>0</v>
      </c>
      <c r="P102" s="514">
        <f t="shared" si="36"/>
        <v>0</v>
      </c>
      <c r="Q102" s="269"/>
    </row>
    <row r="103" spans="1:17">
      <c r="B103" s="195" t="str">
        <f t="shared" si="37"/>
        <v/>
      </c>
      <c r="C103" s="507">
        <f>IF(D93="","-",+C102+1)</f>
        <v>2013</v>
      </c>
      <c r="D103" s="508">
        <v>71157.277584204421</v>
      </c>
      <c r="E103" s="516">
        <v>1851.1904761904761</v>
      </c>
      <c r="F103" s="515">
        <v>69306.087108013948</v>
      </c>
      <c r="G103" s="515">
        <v>70231.682346109184</v>
      </c>
      <c r="H103" s="516">
        <v>11352.954336851966</v>
      </c>
      <c r="I103" s="510">
        <v>11352.954336851966</v>
      </c>
      <c r="J103" s="514">
        <v>0</v>
      </c>
      <c r="K103" s="514"/>
      <c r="L103" s="518">
        <f t="shared" si="32"/>
        <v>11352.954336851966</v>
      </c>
      <c r="M103" s="519">
        <f t="shared" ref="M103:M108" si="38">IF(L103&lt;&gt;0,+H103-L103,0)</f>
        <v>0</v>
      </c>
      <c r="N103" s="518">
        <f t="shared" si="34"/>
        <v>11352.954336851966</v>
      </c>
      <c r="O103" s="514">
        <f t="shared" ref="O103:O108" si="39">IF(N103&lt;&gt;0,+I103-N103,0)</f>
        <v>0</v>
      </c>
      <c r="P103" s="514">
        <f t="shared" ref="P103:P108" si="40">+O103-M103</f>
        <v>0</v>
      </c>
      <c r="Q103" s="269"/>
    </row>
    <row r="104" spans="1:17">
      <c r="B104" s="195" t="str">
        <f t="shared" si="37"/>
        <v/>
      </c>
      <c r="C104" s="507">
        <f>IF(D93="","-",+C103+1)</f>
        <v>2014</v>
      </c>
      <c r="D104" s="508">
        <v>69306.087108013948</v>
      </c>
      <c r="E104" s="516">
        <v>1851.1904761904761</v>
      </c>
      <c r="F104" s="515">
        <v>67454.896631823474</v>
      </c>
      <c r="G104" s="515">
        <v>68380.491869918711</v>
      </c>
      <c r="H104" s="516">
        <v>11145.703511546504</v>
      </c>
      <c r="I104" s="510">
        <v>11145.703511546504</v>
      </c>
      <c r="J104" s="514">
        <v>0</v>
      </c>
      <c r="K104" s="514"/>
      <c r="L104" s="518">
        <f t="shared" si="32"/>
        <v>11145.703511546504</v>
      </c>
      <c r="M104" s="519">
        <f t="shared" si="38"/>
        <v>0</v>
      </c>
      <c r="N104" s="518">
        <f t="shared" si="34"/>
        <v>11145.703511546504</v>
      </c>
      <c r="O104" s="514">
        <f t="shared" si="39"/>
        <v>0</v>
      </c>
      <c r="P104" s="514">
        <f t="shared" si="40"/>
        <v>0</v>
      </c>
      <c r="Q104" s="269"/>
    </row>
    <row r="105" spans="1:17">
      <c r="B105" s="195" t="str">
        <f t="shared" si="37"/>
        <v/>
      </c>
      <c r="C105" s="507">
        <f>IF(D93="","-",+C104+1)</f>
        <v>2015</v>
      </c>
      <c r="D105" s="508">
        <v>67454.896631823474</v>
      </c>
      <c r="E105" s="516">
        <v>1851.1904761904761</v>
      </c>
      <c r="F105" s="515">
        <v>65603.706155633001</v>
      </c>
      <c r="G105" s="515">
        <v>66529.301393728238</v>
      </c>
      <c r="H105" s="516">
        <v>10617.681866649142</v>
      </c>
      <c r="I105" s="510">
        <v>10617.681866649142</v>
      </c>
      <c r="J105" s="514">
        <f t="shared" si="31"/>
        <v>0</v>
      </c>
      <c r="K105" s="514"/>
      <c r="L105" s="518">
        <f t="shared" ref="L105:L110" si="41">H105</f>
        <v>10617.681866649142</v>
      </c>
      <c r="M105" s="519">
        <f t="shared" si="38"/>
        <v>0</v>
      </c>
      <c r="N105" s="518">
        <f t="shared" ref="N105:N110" si="42">I105</f>
        <v>10617.681866649142</v>
      </c>
      <c r="O105" s="514">
        <f t="shared" si="39"/>
        <v>0</v>
      </c>
      <c r="P105" s="514">
        <f t="shared" si="40"/>
        <v>0</v>
      </c>
      <c r="Q105" s="269"/>
    </row>
    <row r="106" spans="1:17">
      <c r="B106" s="195" t="str">
        <f t="shared" si="37"/>
        <v/>
      </c>
      <c r="C106" s="507">
        <f>IF(D93="","-",+C105+1)</f>
        <v>2016</v>
      </c>
      <c r="D106" s="508">
        <v>65603.706155633001</v>
      </c>
      <c r="E106" s="516">
        <v>1808.1395348837209</v>
      </c>
      <c r="F106" s="515">
        <v>63795.566620749283</v>
      </c>
      <c r="G106" s="515">
        <v>64699.636388191138</v>
      </c>
      <c r="H106" s="516">
        <v>10021.757616625862</v>
      </c>
      <c r="I106" s="510">
        <v>10021.757616625862</v>
      </c>
      <c r="J106" s="514">
        <f t="shared" si="31"/>
        <v>0</v>
      </c>
      <c r="K106" s="514"/>
      <c r="L106" s="518">
        <f t="shared" si="41"/>
        <v>10021.757616625862</v>
      </c>
      <c r="M106" s="519">
        <f t="shared" si="38"/>
        <v>0</v>
      </c>
      <c r="N106" s="518">
        <f t="shared" si="42"/>
        <v>10021.757616625862</v>
      </c>
      <c r="O106" s="514">
        <f t="shared" si="39"/>
        <v>0</v>
      </c>
      <c r="P106" s="514">
        <f t="shared" si="40"/>
        <v>0</v>
      </c>
      <c r="Q106" s="269"/>
    </row>
    <row r="107" spans="1:17">
      <c r="B107" s="195" t="str">
        <f t="shared" si="37"/>
        <v/>
      </c>
      <c r="C107" s="507">
        <f>IF(D93="","-",+C106+1)</f>
        <v>2017</v>
      </c>
      <c r="D107" s="508">
        <v>63795.566620749283</v>
      </c>
      <c r="E107" s="516">
        <v>1851.1904761904761</v>
      </c>
      <c r="F107" s="515">
        <v>61944.37614455881</v>
      </c>
      <c r="G107" s="515">
        <v>62869.971382654046</v>
      </c>
      <c r="H107" s="516">
        <v>9488.0975445916993</v>
      </c>
      <c r="I107" s="510">
        <v>9488.0975445916993</v>
      </c>
      <c r="J107" s="514">
        <f t="shared" si="31"/>
        <v>0</v>
      </c>
      <c r="K107" s="514"/>
      <c r="L107" s="518">
        <f t="shared" si="41"/>
        <v>9488.0975445916993</v>
      </c>
      <c r="M107" s="519">
        <f t="shared" si="38"/>
        <v>0</v>
      </c>
      <c r="N107" s="518">
        <f t="shared" si="42"/>
        <v>9488.0975445916993</v>
      </c>
      <c r="O107" s="514">
        <f t="shared" si="39"/>
        <v>0</v>
      </c>
      <c r="P107" s="514">
        <f t="shared" si="40"/>
        <v>0</v>
      </c>
      <c r="Q107" s="269"/>
    </row>
    <row r="108" spans="1:17">
      <c r="B108" s="195" t="str">
        <f t="shared" si="37"/>
        <v/>
      </c>
      <c r="C108" s="507">
        <f>IF(D93="","-",+C107+1)</f>
        <v>2018</v>
      </c>
      <c r="D108" s="508">
        <v>61944.37614455881</v>
      </c>
      <c r="E108" s="516">
        <v>1851.1904761904761</v>
      </c>
      <c r="F108" s="515">
        <v>60093.185668368336</v>
      </c>
      <c r="G108" s="515">
        <v>61018.780906463573</v>
      </c>
      <c r="H108" s="516">
        <v>8295.0535610460302</v>
      </c>
      <c r="I108" s="510">
        <v>8295.0535610460302</v>
      </c>
      <c r="J108" s="514">
        <f t="shared" si="31"/>
        <v>0</v>
      </c>
      <c r="K108" s="514"/>
      <c r="L108" s="518">
        <f t="shared" si="41"/>
        <v>8295.0535610460302</v>
      </c>
      <c r="M108" s="519">
        <f t="shared" si="38"/>
        <v>0</v>
      </c>
      <c r="N108" s="518">
        <f t="shared" si="42"/>
        <v>8295.0535610460302</v>
      </c>
      <c r="O108" s="514">
        <f t="shared" si="39"/>
        <v>0</v>
      </c>
      <c r="P108" s="514">
        <f t="shared" si="40"/>
        <v>0</v>
      </c>
      <c r="Q108" s="269"/>
    </row>
    <row r="109" spans="1:17">
      <c r="B109" s="195" t="str">
        <f t="shared" si="37"/>
        <v/>
      </c>
      <c r="C109" s="507">
        <f>IF(D93="","-",+C108+1)</f>
        <v>2019</v>
      </c>
      <c r="D109" s="508">
        <v>60093.185668368336</v>
      </c>
      <c r="E109" s="516">
        <v>1808.1395348837209</v>
      </c>
      <c r="F109" s="515">
        <v>58285.046133484619</v>
      </c>
      <c r="G109" s="515">
        <v>59189.115900926481</v>
      </c>
      <c r="H109" s="516">
        <v>8143.7748502603245</v>
      </c>
      <c r="I109" s="510">
        <v>8143.7748502603245</v>
      </c>
      <c r="J109" s="514">
        <f t="shared" si="31"/>
        <v>0</v>
      </c>
      <c r="K109" s="514"/>
      <c r="L109" s="518">
        <f t="shared" si="41"/>
        <v>8143.7748502603245</v>
      </c>
      <c r="M109" s="519">
        <f t="shared" ref="M109:M110" si="43">IF(L109&lt;&gt;0,+H109-L109,0)</f>
        <v>0</v>
      </c>
      <c r="N109" s="518">
        <f t="shared" si="42"/>
        <v>8143.7748502603245</v>
      </c>
      <c r="O109" s="514">
        <f t="shared" si="35"/>
        <v>0</v>
      </c>
      <c r="P109" s="514">
        <f t="shared" si="36"/>
        <v>0</v>
      </c>
      <c r="Q109" s="269"/>
    </row>
    <row r="110" spans="1:17">
      <c r="B110" s="195" t="str">
        <f t="shared" si="37"/>
        <v/>
      </c>
      <c r="C110" s="507">
        <f>IF(D93="","-",+C109+1)</f>
        <v>2020</v>
      </c>
      <c r="D110" s="508">
        <v>58285.046133484619</v>
      </c>
      <c r="E110" s="516">
        <v>1851.1904761904761</v>
      </c>
      <c r="F110" s="515">
        <v>56433.855657294145</v>
      </c>
      <c r="G110" s="515">
        <v>57359.450895389382</v>
      </c>
      <c r="H110" s="516">
        <v>8021.5664391453738</v>
      </c>
      <c r="I110" s="510">
        <v>8021.5664391453738</v>
      </c>
      <c r="J110" s="514">
        <f t="shared" si="31"/>
        <v>0</v>
      </c>
      <c r="K110" s="514"/>
      <c r="L110" s="518">
        <f t="shared" si="41"/>
        <v>8021.5664391453738</v>
      </c>
      <c r="M110" s="519">
        <f t="shared" si="43"/>
        <v>0</v>
      </c>
      <c r="N110" s="518">
        <f t="shared" si="42"/>
        <v>8021.5664391453738</v>
      </c>
      <c r="O110" s="514">
        <f t="shared" si="35"/>
        <v>0</v>
      </c>
      <c r="P110" s="514">
        <f t="shared" si="36"/>
        <v>0</v>
      </c>
      <c r="Q110" s="269"/>
    </row>
    <row r="111" spans="1:17">
      <c r="B111" s="195" t="str">
        <f t="shared" si="37"/>
        <v/>
      </c>
      <c r="C111" s="507">
        <f>IF(D93="","-",+C110+1)</f>
        <v>2021</v>
      </c>
      <c r="D111" s="508">
        <v>56433.855657294145</v>
      </c>
      <c r="E111" s="516">
        <v>1896.3414634146341</v>
      </c>
      <c r="F111" s="515">
        <v>54537.514193879513</v>
      </c>
      <c r="G111" s="515">
        <v>55485.684925586829</v>
      </c>
      <c r="H111" s="516">
        <v>8194.7560624520156</v>
      </c>
      <c r="I111" s="510">
        <v>8194.7560624520156</v>
      </c>
      <c r="J111" s="514">
        <f t="shared" si="31"/>
        <v>0</v>
      </c>
      <c r="K111" s="514"/>
      <c r="L111" s="518">
        <f t="shared" ref="L111" si="44">H111</f>
        <v>8194.7560624520156</v>
      </c>
      <c r="M111" s="519">
        <f t="shared" ref="M111" si="45">IF(L111&lt;&gt;0,+H111-L111,0)</f>
        <v>0</v>
      </c>
      <c r="N111" s="518">
        <f t="shared" ref="N111" si="46">I111</f>
        <v>8194.7560624520156</v>
      </c>
      <c r="O111" s="514">
        <f t="shared" ref="O111" si="47">IF(N111&lt;&gt;0,+I111-N111,0)</f>
        <v>0</v>
      </c>
      <c r="P111" s="514">
        <f t="shared" ref="P111" si="48">+O111-M111</f>
        <v>0</v>
      </c>
      <c r="Q111" s="269"/>
    </row>
    <row r="112" spans="1:17">
      <c r="B112" s="195" t="str">
        <f t="shared" si="37"/>
        <v/>
      </c>
      <c r="C112" s="673">
        <f>IF(D93="","-",+C111+1)</f>
        <v>2022</v>
      </c>
      <c r="D112" s="374">
        <v>54537.514193879513</v>
      </c>
      <c r="E112" s="522">
        <v>1851.1904761904761</v>
      </c>
      <c r="F112" s="523">
        <v>52686.32371768904</v>
      </c>
      <c r="G112" s="523">
        <v>53611.918955784276</v>
      </c>
      <c r="H112" s="526">
        <v>8148.3308381014476</v>
      </c>
      <c r="I112" s="577">
        <v>8148.3308381014476</v>
      </c>
      <c r="J112" s="514">
        <f t="shared" si="31"/>
        <v>0</v>
      </c>
      <c r="K112" s="514"/>
      <c r="L112" s="525"/>
      <c r="M112" s="514">
        <f t="shared" si="33"/>
        <v>0</v>
      </c>
      <c r="N112" s="525"/>
      <c r="O112" s="514">
        <f t="shared" si="35"/>
        <v>0</v>
      </c>
      <c r="P112" s="514">
        <f t="shared" si="36"/>
        <v>0</v>
      </c>
      <c r="Q112" s="269"/>
    </row>
    <row r="113" spans="2:17">
      <c r="B113" s="195" t="str">
        <f t="shared" si="37"/>
        <v/>
      </c>
      <c r="C113" s="507">
        <f>IF(D93="","-",+C112+1)</f>
        <v>2023</v>
      </c>
      <c r="D113" s="374">
        <f>IF(F112+SUM(E$99:E112)=D$92,F112,D$92-SUM(E$99:E112))</f>
        <v>52686.32371768904</v>
      </c>
      <c r="E113" s="522">
        <f>IF(+J96&lt;F112,J96,D113)</f>
        <v>1896.3414634146341</v>
      </c>
      <c r="F113" s="523">
        <f t="shared" ref="F113:F130" si="49">+D113-E113</f>
        <v>50789.982254274408</v>
      </c>
      <c r="G113" s="523">
        <f t="shared" ref="G113:G130" si="50">+(F113+D113)/2</f>
        <v>51738.152985981724</v>
      </c>
      <c r="H113" s="526">
        <f t="shared" ref="H113:H154" si="51">+J$94*G113+E113</f>
        <v>7769.3578735241344</v>
      </c>
      <c r="I113" s="577">
        <f t="shared" ref="I113:I154" si="52">+J$95*G113+E113</f>
        <v>7769.3578735241344</v>
      </c>
      <c r="J113" s="514">
        <f t="shared" si="31"/>
        <v>0</v>
      </c>
      <c r="K113" s="514"/>
      <c r="L113" s="525"/>
      <c r="M113" s="514">
        <f t="shared" si="33"/>
        <v>0</v>
      </c>
      <c r="N113" s="525"/>
      <c r="O113" s="514">
        <f t="shared" si="35"/>
        <v>0</v>
      </c>
      <c r="P113" s="514">
        <f t="shared" si="36"/>
        <v>0</v>
      </c>
      <c r="Q113" s="269"/>
    </row>
    <row r="114" spans="2:17">
      <c r="B114" s="195" t="str">
        <f t="shared" si="37"/>
        <v/>
      </c>
      <c r="C114" s="507">
        <f>IF(D93="","-",+C113+1)</f>
        <v>2024</v>
      </c>
      <c r="D114" s="374">
        <f>IF(F113+SUM(E$99:E113)=D$92,F113,D$92-SUM(E$99:E113))</f>
        <v>50789.982254274408</v>
      </c>
      <c r="E114" s="522">
        <f>IF(+J96&lt;F113,J96,D114)</f>
        <v>1896.3414634146341</v>
      </c>
      <c r="F114" s="523">
        <f t="shared" si="49"/>
        <v>48893.640790859776</v>
      </c>
      <c r="G114" s="523">
        <f t="shared" si="50"/>
        <v>49841.811522567092</v>
      </c>
      <c r="H114" s="526">
        <f t="shared" si="51"/>
        <v>7554.0961393678572</v>
      </c>
      <c r="I114" s="577">
        <f t="shared" si="52"/>
        <v>7554.0961393678572</v>
      </c>
      <c r="J114" s="514">
        <f t="shared" si="31"/>
        <v>0</v>
      </c>
      <c r="K114" s="514"/>
      <c r="L114" s="525"/>
      <c r="M114" s="514">
        <f t="shared" si="33"/>
        <v>0</v>
      </c>
      <c r="N114" s="525"/>
      <c r="O114" s="514">
        <f t="shared" si="35"/>
        <v>0</v>
      </c>
      <c r="P114" s="514">
        <f t="shared" si="36"/>
        <v>0</v>
      </c>
      <c r="Q114" s="269"/>
    </row>
    <row r="115" spans="2:17">
      <c r="B115" s="195" t="str">
        <f t="shared" si="37"/>
        <v>IU</v>
      </c>
      <c r="C115" s="507">
        <f>IF(D93="","-",+C114+1)</f>
        <v>2025</v>
      </c>
      <c r="D115" s="374">
        <f>IF(F114+SUM(E$99:E114)=D$92,F114,D$92-SUM(E$99:E114))</f>
        <v>48893.640790859725</v>
      </c>
      <c r="E115" s="522">
        <f>IF(+J96&lt;F114,J96,D115)</f>
        <v>1896.3414634146341</v>
      </c>
      <c r="F115" s="523">
        <f t="shared" si="49"/>
        <v>46997.299327445093</v>
      </c>
      <c r="G115" s="523">
        <f t="shared" si="50"/>
        <v>47945.470059152409</v>
      </c>
      <c r="H115" s="526">
        <f t="shared" si="51"/>
        <v>7338.8344052115744</v>
      </c>
      <c r="I115" s="577">
        <f t="shared" si="52"/>
        <v>7338.8344052115744</v>
      </c>
      <c r="J115" s="514">
        <f t="shared" si="31"/>
        <v>0</v>
      </c>
      <c r="K115" s="514"/>
      <c r="L115" s="525"/>
      <c r="M115" s="514">
        <f t="shared" si="33"/>
        <v>0</v>
      </c>
      <c r="N115" s="525"/>
      <c r="O115" s="514">
        <f t="shared" si="35"/>
        <v>0</v>
      </c>
      <c r="P115" s="514">
        <f t="shared" si="36"/>
        <v>0</v>
      </c>
      <c r="Q115" s="269"/>
    </row>
    <row r="116" spans="2:17">
      <c r="B116" s="195" t="str">
        <f t="shared" si="37"/>
        <v/>
      </c>
      <c r="C116" s="507">
        <f>IF(D93="","-",+C115+1)</f>
        <v>2026</v>
      </c>
      <c r="D116" s="374">
        <f>IF(F115+SUM(E$99:E115)=D$92,F115,D$92-SUM(E$99:E115))</f>
        <v>46997.299327445093</v>
      </c>
      <c r="E116" s="522">
        <f>IF(+J96&lt;F115,J96,D116)</f>
        <v>1896.3414634146341</v>
      </c>
      <c r="F116" s="523">
        <f t="shared" si="49"/>
        <v>45100.957864030461</v>
      </c>
      <c r="G116" s="523">
        <f t="shared" si="50"/>
        <v>46049.128595737777</v>
      </c>
      <c r="H116" s="526">
        <f t="shared" si="51"/>
        <v>7123.5726710552972</v>
      </c>
      <c r="I116" s="577">
        <f t="shared" si="52"/>
        <v>7123.5726710552972</v>
      </c>
      <c r="J116" s="514">
        <f t="shared" si="31"/>
        <v>0</v>
      </c>
      <c r="K116" s="514"/>
      <c r="L116" s="525"/>
      <c r="M116" s="514">
        <f t="shared" si="33"/>
        <v>0</v>
      </c>
      <c r="N116" s="525"/>
      <c r="O116" s="514">
        <f t="shared" si="35"/>
        <v>0</v>
      </c>
      <c r="P116" s="514">
        <f t="shared" si="36"/>
        <v>0</v>
      </c>
      <c r="Q116" s="269"/>
    </row>
    <row r="117" spans="2:17">
      <c r="B117" s="195" t="str">
        <f t="shared" si="37"/>
        <v/>
      </c>
      <c r="C117" s="507">
        <f>IF(D93="","-",+C116+1)</f>
        <v>2027</v>
      </c>
      <c r="D117" s="374">
        <f>IF(F116+SUM(E$99:E116)=D$92,F116,D$92-SUM(E$99:E116))</f>
        <v>45100.957864030461</v>
      </c>
      <c r="E117" s="522">
        <f>IF(+J96&lt;F116,J96,D117)</f>
        <v>1896.3414634146341</v>
      </c>
      <c r="F117" s="523">
        <f t="shared" si="49"/>
        <v>43204.616400615829</v>
      </c>
      <c r="G117" s="523">
        <f t="shared" si="50"/>
        <v>44152.787132323145</v>
      </c>
      <c r="H117" s="526">
        <f t="shared" si="51"/>
        <v>6908.3109368990199</v>
      </c>
      <c r="I117" s="577">
        <f t="shared" si="52"/>
        <v>6908.3109368990199</v>
      </c>
      <c r="J117" s="514">
        <f t="shared" si="31"/>
        <v>0</v>
      </c>
      <c r="K117" s="514"/>
      <c r="L117" s="525"/>
      <c r="M117" s="514">
        <f t="shared" si="33"/>
        <v>0</v>
      </c>
      <c r="N117" s="525"/>
      <c r="O117" s="514">
        <f t="shared" si="35"/>
        <v>0</v>
      </c>
      <c r="P117" s="514">
        <f t="shared" si="36"/>
        <v>0</v>
      </c>
      <c r="Q117" s="269"/>
    </row>
    <row r="118" spans="2:17">
      <c r="B118" s="195" t="str">
        <f t="shared" si="37"/>
        <v/>
      </c>
      <c r="C118" s="507">
        <f>IF(D93="","-",+C117+1)</f>
        <v>2028</v>
      </c>
      <c r="D118" s="374">
        <f>IF(F117+SUM(E$99:E117)=D$92,F117,D$92-SUM(E$99:E117))</f>
        <v>43204.616400615829</v>
      </c>
      <c r="E118" s="522">
        <f>IF(+J96&lt;F117,J96,D118)</f>
        <v>1896.3414634146341</v>
      </c>
      <c r="F118" s="523">
        <f t="shared" si="49"/>
        <v>41308.274937201197</v>
      </c>
      <c r="G118" s="523">
        <f t="shared" si="50"/>
        <v>42256.445668908513</v>
      </c>
      <c r="H118" s="526">
        <f t="shared" si="51"/>
        <v>6693.0492027427426</v>
      </c>
      <c r="I118" s="577">
        <f t="shared" si="52"/>
        <v>6693.0492027427426</v>
      </c>
      <c r="J118" s="514">
        <f t="shared" si="31"/>
        <v>0</v>
      </c>
      <c r="K118" s="514"/>
      <c r="L118" s="525"/>
      <c r="M118" s="514">
        <f t="shared" si="33"/>
        <v>0</v>
      </c>
      <c r="N118" s="525"/>
      <c r="O118" s="514">
        <f t="shared" si="35"/>
        <v>0</v>
      </c>
      <c r="P118" s="514">
        <f t="shared" si="36"/>
        <v>0</v>
      </c>
      <c r="Q118" s="269"/>
    </row>
    <row r="119" spans="2:17">
      <c r="B119" s="195" t="str">
        <f t="shared" si="37"/>
        <v/>
      </c>
      <c r="C119" s="507">
        <f>IF(D93="","-",+C118+1)</f>
        <v>2029</v>
      </c>
      <c r="D119" s="374">
        <f>IF(F118+SUM(E$99:E118)=D$92,F118,D$92-SUM(E$99:E118))</f>
        <v>41308.274937201197</v>
      </c>
      <c r="E119" s="522">
        <f>IF(+J96&lt;F118,J96,D119)</f>
        <v>1896.3414634146341</v>
      </c>
      <c r="F119" s="523">
        <f t="shared" si="49"/>
        <v>39411.933473786565</v>
      </c>
      <c r="G119" s="523">
        <f t="shared" si="50"/>
        <v>40360.104205493881</v>
      </c>
      <c r="H119" s="526">
        <f t="shared" si="51"/>
        <v>6477.7874685864654</v>
      </c>
      <c r="I119" s="577">
        <f t="shared" si="52"/>
        <v>6477.7874685864654</v>
      </c>
      <c r="J119" s="514">
        <f t="shared" si="31"/>
        <v>0</v>
      </c>
      <c r="K119" s="514"/>
      <c r="L119" s="525"/>
      <c r="M119" s="514">
        <f t="shared" si="33"/>
        <v>0</v>
      </c>
      <c r="N119" s="525"/>
      <c r="O119" s="514">
        <f t="shared" si="35"/>
        <v>0</v>
      </c>
      <c r="P119" s="514">
        <f t="shared" si="36"/>
        <v>0</v>
      </c>
      <c r="Q119" s="269"/>
    </row>
    <row r="120" spans="2:17">
      <c r="B120" s="195" t="str">
        <f t="shared" si="37"/>
        <v/>
      </c>
      <c r="C120" s="507">
        <f>IF(D93="","-",+C119+1)</f>
        <v>2030</v>
      </c>
      <c r="D120" s="374">
        <f>IF(F119+SUM(E$99:E119)=D$92,F119,D$92-SUM(E$99:E119))</f>
        <v>39411.933473786565</v>
      </c>
      <c r="E120" s="522">
        <f>IF(+J96&lt;F119,J96,D120)</f>
        <v>1896.3414634146341</v>
      </c>
      <c r="F120" s="523">
        <f t="shared" si="49"/>
        <v>37515.592010371933</v>
      </c>
      <c r="G120" s="523">
        <f t="shared" si="50"/>
        <v>38463.762742079249</v>
      </c>
      <c r="H120" s="526">
        <f t="shared" si="51"/>
        <v>6262.5257344301881</v>
      </c>
      <c r="I120" s="577">
        <f t="shared" si="52"/>
        <v>6262.5257344301881</v>
      </c>
      <c r="J120" s="514">
        <f t="shared" si="31"/>
        <v>0</v>
      </c>
      <c r="K120" s="514"/>
      <c r="L120" s="525"/>
      <c r="M120" s="514">
        <f t="shared" si="33"/>
        <v>0</v>
      </c>
      <c r="N120" s="525"/>
      <c r="O120" s="514">
        <f t="shared" si="35"/>
        <v>0</v>
      </c>
      <c r="P120" s="514">
        <f t="shared" si="36"/>
        <v>0</v>
      </c>
      <c r="Q120" s="269"/>
    </row>
    <row r="121" spans="2:17">
      <c r="B121" s="195" t="str">
        <f t="shared" si="37"/>
        <v/>
      </c>
      <c r="C121" s="507">
        <f>IF(D93="","-",+C120+1)</f>
        <v>2031</v>
      </c>
      <c r="D121" s="374">
        <f>IF(F120+SUM(E$99:E120)=D$92,F120,D$92-SUM(E$99:E120))</f>
        <v>37515.592010371933</v>
      </c>
      <c r="E121" s="522">
        <f>IF(+J96&lt;F120,J96,D121)</f>
        <v>1896.3414634146341</v>
      </c>
      <c r="F121" s="523">
        <f t="shared" si="49"/>
        <v>35619.250546957301</v>
      </c>
      <c r="G121" s="523">
        <f t="shared" si="50"/>
        <v>36567.421278664617</v>
      </c>
      <c r="H121" s="526">
        <f t="shared" si="51"/>
        <v>6047.2640002739108</v>
      </c>
      <c r="I121" s="577">
        <f t="shared" si="52"/>
        <v>6047.2640002739108</v>
      </c>
      <c r="J121" s="514">
        <f t="shared" si="31"/>
        <v>0</v>
      </c>
      <c r="K121" s="514"/>
      <c r="L121" s="525"/>
      <c r="M121" s="514">
        <f t="shared" si="33"/>
        <v>0</v>
      </c>
      <c r="N121" s="525"/>
      <c r="O121" s="514">
        <f t="shared" si="35"/>
        <v>0</v>
      </c>
      <c r="P121" s="514">
        <f t="shared" si="36"/>
        <v>0</v>
      </c>
      <c r="Q121" s="269"/>
    </row>
    <row r="122" spans="2:17">
      <c r="B122" s="195" t="str">
        <f t="shared" si="37"/>
        <v/>
      </c>
      <c r="C122" s="507">
        <f>IF(D93="","-",+C121+1)</f>
        <v>2032</v>
      </c>
      <c r="D122" s="374">
        <f>IF(F121+SUM(E$99:E121)=D$92,F121,D$92-SUM(E$99:E121))</f>
        <v>35619.250546957301</v>
      </c>
      <c r="E122" s="522">
        <f>IF(+J96&lt;F121,J96,D122)</f>
        <v>1896.3414634146341</v>
      </c>
      <c r="F122" s="523">
        <f t="shared" si="49"/>
        <v>33722.909083542669</v>
      </c>
      <c r="G122" s="523">
        <f t="shared" si="50"/>
        <v>34671.079815249985</v>
      </c>
      <c r="H122" s="526">
        <f t="shared" si="51"/>
        <v>5832.0022661176336</v>
      </c>
      <c r="I122" s="577">
        <f t="shared" si="52"/>
        <v>5832.0022661176336</v>
      </c>
      <c r="J122" s="514">
        <f t="shared" si="31"/>
        <v>0</v>
      </c>
      <c r="K122" s="514"/>
      <c r="L122" s="525"/>
      <c r="M122" s="514">
        <f t="shared" si="33"/>
        <v>0</v>
      </c>
      <c r="N122" s="525"/>
      <c r="O122" s="514">
        <f t="shared" si="35"/>
        <v>0</v>
      </c>
      <c r="P122" s="514">
        <f t="shared" si="36"/>
        <v>0</v>
      </c>
      <c r="Q122" s="269"/>
    </row>
    <row r="123" spans="2:17">
      <c r="B123" s="195" t="str">
        <f t="shared" si="37"/>
        <v/>
      </c>
      <c r="C123" s="507">
        <f>IF(D93="","-",+C122+1)</f>
        <v>2033</v>
      </c>
      <c r="D123" s="374">
        <f>IF(F122+SUM(E$99:E122)=D$92,F122,D$92-SUM(E$99:E122))</f>
        <v>33722.909083542669</v>
      </c>
      <c r="E123" s="522">
        <f>IF(+J96&lt;F122,J96,D123)</f>
        <v>1896.3414634146341</v>
      </c>
      <c r="F123" s="523">
        <f t="shared" si="49"/>
        <v>31826.567620128033</v>
      </c>
      <c r="G123" s="523">
        <f t="shared" si="50"/>
        <v>32774.738351835353</v>
      </c>
      <c r="H123" s="526">
        <f t="shared" si="51"/>
        <v>5616.7405319613563</v>
      </c>
      <c r="I123" s="577">
        <f t="shared" si="52"/>
        <v>5616.7405319613563</v>
      </c>
      <c r="J123" s="514">
        <f t="shared" si="31"/>
        <v>0</v>
      </c>
      <c r="K123" s="514"/>
      <c r="L123" s="525"/>
      <c r="M123" s="514">
        <f t="shared" si="33"/>
        <v>0</v>
      </c>
      <c r="N123" s="525"/>
      <c r="O123" s="514">
        <f t="shared" si="35"/>
        <v>0</v>
      </c>
      <c r="P123" s="514">
        <f t="shared" si="36"/>
        <v>0</v>
      </c>
      <c r="Q123" s="269"/>
    </row>
    <row r="124" spans="2:17">
      <c r="B124" s="195" t="str">
        <f t="shared" si="37"/>
        <v/>
      </c>
      <c r="C124" s="507">
        <f>IF(D93="","-",+C123+1)</f>
        <v>2034</v>
      </c>
      <c r="D124" s="374">
        <f>IF(F123+SUM(E$99:E123)=D$92,F123,D$92-SUM(E$99:E123))</f>
        <v>31826.567620128033</v>
      </c>
      <c r="E124" s="522">
        <f>IF(+J96&lt;F123,J96,D124)</f>
        <v>1896.3414634146341</v>
      </c>
      <c r="F124" s="523">
        <f t="shared" si="49"/>
        <v>29930.226156713397</v>
      </c>
      <c r="G124" s="523">
        <f t="shared" si="50"/>
        <v>30878.396888420713</v>
      </c>
      <c r="H124" s="526">
        <f t="shared" si="51"/>
        <v>5401.478797805079</v>
      </c>
      <c r="I124" s="577">
        <f t="shared" si="52"/>
        <v>5401.478797805079</v>
      </c>
      <c r="J124" s="514">
        <f t="shared" si="31"/>
        <v>0</v>
      </c>
      <c r="K124" s="514"/>
      <c r="L124" s="525"/>
      <c r="M124" s="514">
        <f t="shared" si="33"/>
        <v>0</v>
      </c>
      <c r="N124" s="525"/>
      <c r="O124" s="514">
        <f t="shared" si="35"/>
        <v>0</v>
      </c>
      <c r="P124" s="514">
        <f t="shared" si="36"/>
        <v>0</v>
      </c>
      <c r="Q124" s="269"/>
    </row>
    <row r="125" spans="2:17">
      <c r="B125" s="195" t="str">
        <f t="shared" si="37"/>
        <v/>
      </c>
      <c r="C125" s="507">
        <f>IF(D93="","-",+C124+1)</f>
        <v>2035</v>
      </c>
      <c r="D125" s="374">
        <f>IF(F124+SUM(E$99:E124)=D$92,F124,D$92-SUM(E$99:E124))</f>
        <v>29930.226156713397</v>
      </c>
      <c r="E125" s="522">
        <f>IF(+J96&lt;F124,J96,D125)</f>
        <v>1896.3414634146341</v>
      </c>
      <c r="F125" s="523">
        <f t="shared" si="49"/>
        <v>28033.884693298762</v>
      </c>
      <c r="G125" s="523">
        <f t="shared" si="50"/>
        <v>28982.055425006081</v>
      </c>
      <c r="H125" s="526">
        <f t="shared" si="51"/>
        <v>5186.2170636488017</v>
      </c>
      <c r="I125" s="577">
        <f t="shared" si="52"/>
        <v>5186.2170636488017</v>
      </c>
      <c r="J125" s="514">
        <f t="shared" si="31"/>
        <v>0</v>
      </c>
      <c r="K125" s="514"/>
      <c r="L125" s="525"/>
      <c r="M125" s="514">
        <f t="shared" si="33"/>
        <v>0</v>
      </c>
      <c r="N125" s="525"/>
      <c r="O125" s="514">
        <f t="shared" si="35"/>
        <v>0</v>
      </c>
      <c r="P125" s="514">
        <f t="shared" si="36"/>
        <v>0</v>
      </c>
      <c r="Q125" s="269"/>
    </row>
    <row r="126" spans="2:17">
      <c r="B126" s="195" t="str">
        <f t="shared" si="37"/>
        <v/>
      </c>
      <c r="C126" s="507">
        <f>IF(D93="","-",+C125+1)</f>
        <v>2036</v>
      </c>
      <c r="D126" s="374">
        <f>IF(F125+SUM(E$99:E125)=D$92,F125,D$92-SUM(E$99:E125))</f>
        <v>28033.884693298762</v>
      </c>
      <c r="E126" s="522">
        <f>IF(+J96&lt;F125,J96,D126)</f>
        <v>1896.3414634146341</v>
      </c>
      <c r="F126" s="523">
        <f t="shared" si="49"/>
        <v>26137.543229884126</v>
      </c>
      <c r="G126" s="523">
        <f t="shared" si="50"/>
        <v>27085.713961591442</v>
      </c>
      <c r="H126" s="526">
        <f t="shared" si="51"/>
        <v>4970.9553294925236</v>
      </c>
      <c r="I126" s="577">
        <f t="shared" si="52"/>
        <v>4970.9553294925236</v>
      </c>
      <c r="J126" s="514">
        <f t="shared" si="31"/>
        <v>0</v>
      </c>
      <c r="K126" s="514"/>
      <c r="L126" s="525"/>
      <c r="M126" s="514">
        <f t="shared" si="33"/>
        <v>0</v>
      </c>
      <c r="N126" s="525"/>
      <c r="O126" s="514">
        <f t="shared" si="35"/>
        <v>0</v>
      </c>
      <c r="P126" s="514">
        <f t="shared" si="36"/>
        <v>0</v>
      </c>
      <c r="Q126" s="269"/>
    </row>
    <row r="127" spans="2:17">
      <c r="B127" s="195" t="str">
        <f t="shared" si="37"/>
        <v/>
      </c>
      <c r="C127" s="507">
        <f>IF(D93="","-",+C126+1)</f>
        <v>2037</v>
      </c>
      <c r="D127" s="374">
        <f>IF(F126+SUM(E$99:E126)=D$92,F126,D$92-SUM(E$99:E126))</f>
        <v>26137.543229884126</v>
      </c>
      <c r="E127" s="522">
        <f>IF(+J96&lt;F126,J96,D127)</f>
        <v>1896.3414634146341</v>
      </c>
      <c r="F127" s="523">
        <f t="shared" si="49"/>
        <v>24241.20176646949</v>
      </c>
      <c r="G127" s="523">
        <f t="shared" si="50"/>
        <v>25189.37249817681</v>
      </c>
      <c r="H127" s="526">
        <f t="shared" si="51"/>
        <v>4755.6935953362463</v>
      </c>
      <c r="I127" s="577">
        <f t="shared" si="52"/>
        <v>4755.6935953362463</v>
      </c>
      <c r="J127" s="514">
        <f t="shared" si="31"/>
        <v>0</v>
      </c>
      <c r="K127" s="514"/>
      <c r="L127" s="525"/>
      <c r="M127" s="514">
        <f t="shared" si="33"/>
        <v>0</v>
      </c>
      <c r="N127" s="525"/>
      <c r="O127" s="514">
        <f t="shared" si="35"/>
        <v>0</v>
      </c>
      <c r="P127" s="514">
        <f t="shared" si="36"/>
        <v>0</v>
      </c>
      <c r="Q127" s="269"/>
    </row>
    <row r="128" spans="2:17">
      <c r="B128" s="195" t="str">
        <f t="shared" si="37"/>
        <v/>
      </c>
      <c r="C128" s="507">
        <f>IF(D93="","-",+C127+1)</f>
        <v>2038</v>
      </c>
      <c r="D128" s="374">
        <f>IF(F127+SUM(E$99:E127)=D$92,F127,D$92-SUM(E$99:E127))</f>
        <v>24241.20176646949</v>
      </c>
      <c r="E128" s="522">
        <f>IF(+J96&lt;F127,J96,D128)</f>
        <v>1896.3414634146341</v>
      </c>
      <c r="F128" s="523">
        <f t="shared" si="49"/>
        <v>22344.860303054855</v>
      </c>
      <c r="G128" s="523">
        <f t="shared" si="50"/>
        <v>23293.031034762171</v>
      </c>
      <c r="H128" s="526">
        <f t="shared" si="51"/>
        <v>4540.4318611799681</v>
      </c>
      <c r="I128" s="577">
        <f t="shared" si="52"/>
        <v>4540.4318611799681</v>
      </c>
      <c r="J128" s="514">
        <f t="shared" si="31"/>
        <v>0</v>
      </c>
      <c r="K128" s="514"/>
      <c r="L128" s="525"/>
      <c r="M128" s="514">
        <f t="shared" si="33"/>
        <v>0</v>
      </c>
      <c r="N128" s="525"/>
      <c r="O128" s="514">
        <f t="shared" si="35"/>
        <v>0</v>
      </c>
      <c r="P128" s="514">
        <f t="shared" si="36"/>
        <v>0</v>
      </c>
      <c r="Q128" s="269"/>
    </row>
    <row r="129" spans="2:17">
      <c r="B129" s="195" t="str">
        <f t="shared" si="37"/>
        <v/>
      </c>
      <c r="C129" s="507">
        <f>IF(D93="","-",+C128+1)</f>
        <v>2039</v>
      </c>
      <c r="D129" s="374">
        <f>IF(F128+SUM(E$99:E128)=D$92,F128,D$92-SUM(E$99:E128))</f>
        <v>22344.860303054855</v>
      </c>
      <c r="E129" s="522">
        <f>IF(+J96&lt;F128,J96,D129)</f>
        <v>1896.3414634146341</v>
      </c>
      <c r="F129" s="523">
        <f t="shared" si="49"/>
        <v>20448.518839640219</v>
      </c>
      <c r="G129" s="523">
        <f t="shared" si="50"/>
        <v>21396.689571347539</v>
      </c>
      <c r="H129" s="526">
        <f t="shared" si="51"/>
        <v>4325.1701270236908</v>
      </c>
      <c r="I129" s="577">
        <f t="shared" si="52"/>
        <v>4325.1701270236908</v>
      </c>
      <c r="J129" s="514">
        <f t="shared" si="31"/>
        <v>0</v>
      </c>
      <c r="K129" s="514"/>
      <c r="L129" s="525"/>
      <c r="M129" s="514">
        <f t="shared" si="33"/>
        <v>0</v>
      </c>
      <c r="N129" s="525"/>
      <c r="O129" s="514">
        <f t="shared" si="35"/>
        <v>0</v>
      </c>
      <c r="P129" s="514">
        <f t="shared" si="36"/>
        <v>0</v>
      </c>
      <c r="Q129" s="269"/>
    </row>
    <row r="130" spans="2:17">
      <c r="B130" s="195" t="str">
        <f t="shared" si="37"/>
        <v/>
      </c>
      <c r="C130" s="507">
        <f>IF(D93="","-",+C129+1)</f>
        <v>2040</v>
      </c>
      <c r="D130" s="374">
        <f>IF(F129+SUM(E$99:E129)=D$92,F129,D$92-SUM(E$99:E129))</f>
        <v>20448.518839640219</v>
      </c>
      <c r="E130" s="522">
        <f>IF(+J96&lt;F129,J96,D130)</f>
        <v>1896.3414634146341</v>
      </c>
      <c r="F130" s="523">
        <f t="shared" si="49"/>
        <v>18552.177376225583</v>
      </c>
      <c r="G130" s="523">
        <f t="shared" si="50"/>
        <v>19500.348107932899</v>
      </c>
      <c r="H130" s="526">
        <f t="shared" si="51"/>
        <v>4109.9083928674127</v>
      </c>
      <c r="I130" s="577">
        <f t="shared" si="52"/>
        <v>4109.9083928674127</v>
      </c>
      <c r="J130" s="514">
        <f t="shared" si="31"/>
        <v>0</v>
      </c>
      <c r="K130" s="514"/>
      <c r="L130" s="525"/>
      <c r="M130" s="514">
        <f t="shared" si="33"/>
        <v>0</v>
      </c>
      <c r="N130" s="525"/>
      <c r="O130" s="514">
        <f t="shared" si="35"/>
        <v>0</v>
      </c>
      <c r="P130" s="514">
        <f t="shared" si="36"/>
        <v>0</v>
      </c>
      <c r="Q130" s="269"/>
    </row>
    <row r="131" spans="2:17">
      <c r="B131" s="195" t="str">
        <f t="shared" si="37"/>
        <v/>
      </c>
      <c r="C131" s="507">
        <f>IF(D93="","-",+C130+1)</f>
        <v>2041</v>
      </c>
      <c r="D131" s="374">
        <f>IF(F130+SUM(E$99:E130)=D$92,F130,D$92-SUM(E$99:E130))</f>
        <v>18552.177376225583</v>
      </c>
      <c r="E131" s="522">
        <f>IF(+J96&lt;F130,J96,D131)</f>
        <v>1896.3414634146341</v>
      </c>
      <c r="F131" s="523">
        <f t="shared" ref="F131:F154" si="53">+D131-E131</f>
        <v>16655.835912810948</v>
      </c>
      <c r="G131" s="523">
        <f t="shared" ref="G131:G154" si="54">+(F131+D131)/2</f>
        <v>17604.006644518267</v>
      </c>
      <c r="H131" s="526">
        <f t="shared" si="51"/>
        <v>3894.6466587111354</v>
      </c>
      <c r="I131" s="577">
        <f t="shared" si="52"/>
        <v>3894.6466587111354</v>
      </c>
      <c r="J131" s="514">
        <f t="shared" ref="J131:J154" si="55">+I131-H131</f>
        <v>0</v>
      </c>
      <c r="K131" s="514"/>
      <c r="L131" s="525"/>
      <c r="M131" s="514">
        <f t="shared" ref="M131:M154" si="56">IF(L131&lt;&gt;0,+H131-L131,0)</f>
        <v>0</v>
      </c>
      <c r="N131" s="525"/>
      <c r="O131" s="514">
        <f t="shared" ref="O131:O154" si="57">IF(N131&lt;&gt;0,+I131-N131,0)</f>
        <v>0</v>
      </c>
      <c r="P131" s="514">
        <f t="shared" ref="P131:P154" si="58">+O131-M131</f>
        <v>0</v>
      </c>
      <c r="Q131" s="269"/>
    </row>
    <row r="132" spans="2:17">
      <c r="B132" s="195" t="str">
        <f t="shared" si="37"/>
        <v/>
      </c>
      <c r="C132" s="507">
        <f>IF(D93="","-",+C131+1)</f>
        <v>2042</v>
      </c>
      <c r="D132" s="374">
        <f>IF(F131+SUM(E$99:E131)=D$92,F131,D$92-SUM(E$99:E131))</f>
        <v>16655.835912810948</v>
      </c>
      <c r="E132" s="522">
        <f>IF(+J96&lt;F131,J96,D132)</f>
        <v>1896.3414634146341</v>
      </c>
      <c r="F132" s="523">
        <f t="shared" si="53"/>
        <v>14759.494449396314</v>
      </c>
      <c r="G132" s="523">
        <f t="shared" si="54"/>
        <v>15707.665181103632</v>
      </c>
      <c r="H132" s="526">
        <f t="shared" si="51"/>
        <v>3679.3849245548581</v>
      </c>
      <c r="I132" s="577">
        <f t="shared" si="52"/>
        <v>3679.3849245548581</v>
      </c>
      <c r="J132" s="514">
        <f t="shared" si="55"/>
        <v>0</v>
      </c>
      <c r="K132" s="514"/>
      <c r="L132" s="525"/>
      <c r="M132" s="514">
        <f t="shared" si="56"/>
        <v>0</v>
      </c>
      <c r="N132" s="525"/>
      <c r="O132" s="514">
        <f t="shared" si="57"/>
        <v>0</v>
      </c>
      <c r="P132" s="514">
        <f t="shared" si="58"/>
        <v>0</v>
      </c>
      <c r="Q132" s="269"/>
    </row>
    <row r="133" spans="2:17">
      <c r="B133" s="195" t="str">
        <f t="shared" si="37"/>
        <v/>
      </c>
      <c r="C133" s="507">
        <f>IF(D93="","-",+C132+1)</f>
        <v>2043</v>
      </c>
      <c r="D133" s="374">
        <f>IF(F132+SUM(E$99:E132)=D$92,F132,D$92-SUM(E$99:E132))</f>
        <v>14759.494449396314</v>
      </c>
      <c r="E133" s="522">
        <f>IF(+J96&lt;F132,J96,D133)</f>
        <v>1896.3414634146341</v>
      </c>
      <c r="F133" s="523">
        <f t="shared" si="53"/>
        <v>12863.15298598168</v>
      </c>
      <c r="G133" s="523">
        <f t="shared" si="54"/>
        <v>13811.323717688996</v>
      </c>
      <c r="H133" s="526">
        <f t="shared" si="51"/>
        <v>3464.1231903985799</v>
      </c>
      <c r="I133" s="577">
        <f t="shared" si="52"/>
        <v>3464.1231903985799</v>
      </c>
      <c r="J133" s="514">
        <f t="shared" si="55"/>
        <v>0</v>
      </c>
      <c r="K133" s="514"/>
      <c r="L133" s="525"/>
      <c r="M133" s="514">
        <f t="shared" si="56"/>
        <v>0</v>
      </c>
      <c r="N133" s="525"/>
      <c r="O133" s="514">
        <f t="shared" si="57"/>
        <v>0</v>
      </c>
      <c r="P133" s="514">
        <f t="shared" si="58"/>
        <v>0</v>
      </c>
      <c r="Q133" s="269"/>
    </row>
    <row r="134" spans="2:17">
      <c r="B134" s="195" t="str">
        <f t="shared" si="37"/>
        <v/>
      </c>
      <c r="C134" s="507">
        <f>IF(D93="","-",+C133+1)</f>
        <v>2044</v>
      </c>
      <c r="D134" s="374">
        <f>IF(F133+SUM(E$99:E133)=D$92,F133,D$92-SUM(E$99:E133))</f>
        <v>12863.15298598168</v>
      </c>
      <c r="E134" s="522">
        <f>IF(+J96&lt;F133,J96,D134)</f>
        <v>1896.3414634146341</v>
      </c>
      <c r="F134" s="523">
        <f t="shared" si="53"/>
        <v>10966.811522567046</v>
      </c>
      <c r="G134" s="523">
        <f t="shared" si="54"/>
        <v>11914.982254274364</v>
      </c>
      <c r="H134" s="526">
        <f t="shared" si="51"/>
        <v>3248.8614562423027</v>
      </c>
      <c r="I134" s="577">
        <f t="shared" si="52"/>
        <v>3248.8614562423027</v>
      </c>
      <c r="J134" s="514">
        <f t="shared" si="55"/>
        <v>0</v>
      </c>
      <c r="K134" s="514"/>
      <c r="L134" s="525"/>
      <c r="M134" s="514">
        <f t="shared" si="56"/>
        <v>0</v>
      </c>
      <c r="N134" s="525"/>
      <c r="O134" s="514">
        <f t="shared" si="57"/>
        <v>0</v>
      </c>
      <c r="P134" s="514">
        <f t="shared" si="58"/>
        <v>0</v>
      </c>
      <c r="Q134" s="269"/>
    </row>
    <row r="135" spans="2:17">
      <c r="B135" s="195" t="str">
        <f t="shared" si="37"/>
        <v/>
      </c>
      <c r="C135" s="507">
        <f>IF(D93="","-",+C134+1)</f>
        <v>2045</v>
      </c>
      <c r="D135" s="374">
        <f>IF(F134+SUM(E$99:E134)=D$92,F134,D$92-SUM(E$99:E134))</f>
        <v>10966.811522567046</v>
      </c>
      <c r="E135" s="522">
        <f>IF(+J96&lt;F134,J96,D135)</f>
        <v>1896.3414634146341</v>
      </c>
      <c r="F135" s="523">
        <f t="shared" si="53"/>
        <v>9070.4700591524124</v>
      </c>
      <c r="G135" s="523">
        <f t="shared" si="54"/>
        <v>10018.640790859728</v>
      </c>
      <c r="H135" s="526">
        <f t="shared" si="51"/>
        <v>3033.5997220860254</v>
      </c>
      <c r="I135" s="577">
        <f t="shared" si="52"/>
        <v>3033.5997220860254</v>
      </c>
      <c r="J135" s="514">
        <f t="shared" si="55"/>
        <v>0</v>
      </c>
      <c r="K135" s="514"/>
      <c r="L135" s="525"/>
      <c r="M135" s="514">
        <f t="shared" si="56"/>
        <v>0</v>
      </c>
      <c r="N135" s="525"/>
      <c r="O135" s="514">
        <f t="shared" si="57"/>
        <v>0</v>
      </c>
      <c r="P135" s="514">
        <f t="shared" si="58"/>
        <v>0</v>
      </c>
      <c r="Q135" s="269"/>
    </row>
    <row r="136" spans="2:17">
      <c r="B136" s="195" t="str">
        <f t="shared" si="37"/>
        <v/>
      </c>
      <c r="C136" s="507">
        <f>IF(D93="","-",+C135+1)</f>
        <v>2046</v>
      </c>
      <c r="D136" s="374">
        <f>IF(F135+SUM(E$99:E135)=D$92,F135,D$92-SUM(E$99:E135))</f>
        <v>9070.4700591524124</v>
      </c>
      <c r="E136" s="522">
        <f>IF(+J96&lt;F135,J96,D136)</f>
        <v>1896.3414634146341</v>
      </c>
      <c r="F136" s="523">
        <f t="shared" si="53"/>
        <v>7174.1285957377786</v>
      </c>
      <c r="G136" s="523">
        <f t="shared" si="54"/>
        <v>8122.2993274450955</v>
      </c>
      <c r="H136" s="526">
        <f t="shared" si="51"/>
        <v>2818.3379879297481</v>
      </c>
      <c r="I136" s="577">
        <f t="shared" si="52"/>
        <v>2818.3379879297481</v>
      </c>
      <c r="J136" s="514">
        <f t="shared" si="55"/>
        <v>0</v>
      </c>
      <c r="K136" s="514"/>
      <c r="L136" s="525"/>
      <c r="M136" s="514">
        <f t="shared" si="56"/>
        <v>0</v>
      </c>
      <c r="N136" s="525"/>
      <c r="O136" s="514">
        <f t="shared" si="57"/>
        <v>0</v>
      </c>
      <c r="P136" s="514">
        <f t="shared" si="58"/>
        <v>0</v>
      </c>
      <c r="Q136" s="269"/>
    </row>
    <row r="137" spans="2:17">
      <c r="B137" s="195" t="str">
        <f t="shared" si="37"/>
        <v/>
      </c>
      <c r="C137" s="507">
        <f>IF(D93="","-",+C136+1)</f>
        <v>2047</v>
      </c>
      <c r="D137" s="374">
        <f>IF(F136+SUM(E$99:E136)=D$92,F136,D$92-SUM(E$99:E136))</f>
        <v>7174.1285957377786</v>
      </c>
      <c r="E137" s="522">
        <f>IF(+J96&lt;F136,J96,D137)</f>
        <v>1896.3414634146341</v>
      </c>
      <c r="F137" s="523">
        <f t="shared" si="53"/>
        <v>5277.7871323231448</v>
      </c>
      <c r="G137" s="523">
        <f t="shared" si="54"/>
        <v>6225.9578640304617</v>
      </c>
      <c r="H137" s="526">
        <f t="shared" si="51"/>
        <v>2603.0762537734704</v>
      </c>
      <c r="I137" s="577">
        <f t="shared" si="52"/>
        <v>2603.0762537734704</v>
      </c>
      <c r="J137" s="514">
        <f t="shared" si="55"/>
        <v>0</v>
      </c>
      <c r="K137" s="514"/>
      <c r="L137" s="525"/>
      <c r="M137" s="514">
        <f t="shared" si="56"/>
        <v>0</v>
      </c>
      <c r="N137" s="525"/>
      <c r="O137" s="514">
        <f t="shared" si="57"/>
        <v>0</v>
      </c>
      <c r="P137" s="514">
        <f t="shared" si="58"/>
        <v>0</v>
      </c>
      <c r="Q137" s="269"/>
    </row>
    <row r="138" spans="2:17">
      <c r="B138" s="195" t="str">
        <f t="shared" si="37"/>
        <v/>
      </c>
      <c r="C138" s="507">
        <f>IF(D93="","-",+C137+1)</f>
        <v>2048</v>
      </c>
      <c r="D138" s="374">
        <f>IF(F137+SUM(E$99:E137)=D$92,F137,D$92-SUM(E$99:E137))</f>
        <v>5277.7871323231448</v>
      </c>
      <c r="E138" s="522">
        <f>IF(+J96&lt;F137,J96,D138)</f>
        <v>1896.3414634146341</v>
      </c>
      <c r="F138" s="523">
        <f t="shared" si="53"/>
        <v>3381.4456689085109</v>
      </c>
      <c r="G138" s="523">
        <f t="shared" si="54"/>
        <v>4329.6164006158278</v>
      </c>
      <c r="H138" s="526">
        <f t="shared" si="51"/>
        <v>2387.8145196171931</v>
      </c>
      <c r="I138" s="577">
        <f t="shared" si="52"/>
        <v>2387.8145196171931</v>
      </c>
      <c r="J138" s="514">
        <f t="shared" si="55"/>
        <v>0</v>
      </c>
      <c r="K138" s="514"/>
      <c r="L138" s="525"/>
      <c r="M138" s="514">
        <f t="shared" si="56"/>
        <v>0</v>
      </c>
      <c r="N138" s="525"/>
      <c r="O138" s="514">
        <f t="shared" si="57"/>
        <v>0</v>
      </c>
      <c r="P138" s="514">
        <f t="shared" si="58"/>
        <v>0</v>
      </c>
      <c r="Q138" s="269"/>
    </row>
    <row r="139" spans="2:17">
      <c r="B139" s="195" t="str">
        <f t="shared" si="37"/>
        <v/>
      </c>
      <c r="C139" s="507">
        <f>IF(D93="","-",+C138+1)</f>
        <v>2049</v>
      </c>
      <c r="D139" s="374">
        <f>IF(F138+SUM(E$99:E138)=D$92,F138,D$92-SUM(E$99:E138))</f>
        <v>3381.4456689085109</v>
      </c>
      <c r="E139" s="522">
        <f>IF(+J96&lt;F138,J96,D139)</f>
        <v>1896.3414634146341</v>
      </c>
      <c r="F139" s="523">
        <f t="shared" si="53"/>
        <v>1485.1042054938769</v>
      </c>
      <c r="G139" s="523">
        <f t="shared" si="54"/>
        <v>2433.274937201194</v>
      </c>
      <c r="H139" s="526">
        <f t="shared" si="51"/>
        <v>2172.5527854609154</v>
      </c>
      <c r="I139" s="577">
        <f t="shared" si="52"/>
        <v>2172.5527854609154</v>
      </c>
      <c r="J139" s="514">
        <f t="shared" si="55"/>
        <v>0</v>
      </c>
      <c r="K139" s="514"/>
      <c r="L139" s="525"/>
      <c r="M139" s="514">
        <f t="shared" si="56"/>
        <v>0</v>
      </c>
      <c r="N139" s="525"/>
      <c r="O139" s="514">
        <f t="shared" si="57"/>
        <v>0</v>
      </c>
      <c r="P139" s="514">
        <f t="shared" si="58"/>
        <v>0</v>
      </c>
      <c r="Q139" s="269"/>
    </row>
    <row r="140" spans="2:17">
      <c r="B140" s="582" t="str">
        <f t="shared" si="37"/>
        <v/>
      </c>
      <c r="C140" s="507">
        <f>IF(D93="","-",+C139+1)</f>
        <v>2050</v>
      </c>
      <c r="D140" s="374">
        <f>IF(F139+SUM(E$99:E139)=D$92,F139,D$92-SUM(E$99:E139))</f>
        <v>1485.1042054938769</v>
      </c>
      <c r="E140" s="522">
        <f>IF(+J96&lt;F139,J96,D140)</f>
        <v>1485.1042054938769</v>
      </c>
      <c r="F140" s="523">
        <f t="shared" si="53"/>
        <v>0</v>
      </c>
      <c r="G140" s="523">
        <f t="shared" si="54"/>
        <v>742.55210274693843</v>
      </c>
      <c r="H140" s="526">
        <f t="shared" si="51"/>
        <v>1569.3944329779483</v>
      </c>
      <c r="I140" s="577">
        <f t="shared" si="52"/>
        <v>1569.3944329779483</v>
      </c>
      <c r="J140" s="514">
        <f t="shared" si="55"/>
        <v>0</v>
      </c>
      <c r="K140" s="514"/>
      <c r="L140" s="525"/>
      <c r="M140" s="514">
        <f t="shared" si="56"/>
        <v>0</v>
      </c>
      <c r="N140" s="525"/>
      <c r="O140" s="514">
        <f t="shared" si="57"/>
        <v>0</v>
      </c>
      <c r="P140" s="514">
        <f t="shared" si="58"/>
        <v>0</v>
      </c>
      <c r="Q140" s="269"/>
    </row>
    <row r="141" spans="2:17">
      <c r="B141" s="195" t="str">
        <f t="shared" si="37"/>
        <v/>
      </c>
      <c r="C141" s="507">
        <f>IF(D93="","-",+C140+1)</f>
        <v>2051</v>
      </c>
      <c r="D141" s="374">
        <f>IF(F140+SUM(E$99:E140)=D$92,F140,D$92-SUM(E$99:E140))</f>
        <v>0</v>
      </c>
      <c r="E141" s="522">
        <f>IF(+J96&lt;F140,J96,D141)</f>
        <v>0</v>
      </c>
      <c r="F141" s="523">
        <f t="shared" si="53"/>
        <v>0</v>
      </c>
      <c r="G141" s="523">
        <f t="shared" si="54"/>
        <v>0</v>
      </c>
      <c r="H141" s="526">
        <f t="shared" si="51"/>
        <v>0</v>
      </c>
      <c r="I141" s="577">
        <f t="shared" si="52"/>
        <v>0</v>
      </c>
      <c r="J141" s="514">
        <f t="shared" si="55"/>
        <v>0</v>
      </c>
      <c r="K141" s="514"/>
      <c r="L141" s="525"/>
      <c r="M141" s="514">
        <f t="shared" si="56"/>
        <v>0</v>
      </c>
      <c r="N141" s="525"/>
      <c r="O141" s="514">
        <f t="shared" si="57"/>
        <v>0</v>
      </c>
      <c r="P141" s="514">
        <f t="shared" si="58"/>
        <v>0</v>
      </c>
      <c r="Q141" s="269"/>
    </row>
    <row r="142" spans="2:17">
      <c r="B142" s="195" t="str">
        <f t="shared" si="37"/>
        <v/>
      </c>
      <c r="C142" s="507">
        <f>IF(D93="","-",+C141+1)</f>
        <v>2052</v>
      </c>
      <c r="D142" s="374">
        <f>IF(F141+SUM(E$99:E141)=D$92,F141,D$92-SUM(E$99:E141))</f>
        <v>0</v>
      </c>
      <c r="E142" s="522">
        <f>IF(+J96&lt;F141,J96,D142)</f>
        <v>0</v>
      </c>
      <c r="F142" s="523">
        <f t="shared" si="53"/>
        <v>0</v>
      </c>
      <c r="G142" s="523">
        <f t="shared" si="54"/>
        <v>0</v>
      </c>
      <c r="H142" s="526">
        <f t="shared" si="51"/>
        <v>0</v>
      </c>
      <c r="I142" s="577">
        <f t="shared" si="52"/>
        <v>0</v>
      </c>
      <c r="J142" s="514">
        <f t="shared" si="55"/>
        <v>0</v>
      </c>
      <c r="K142" s="514"/>
      <c r="L142" s="525"/>
      <c r="M142" s="514">
        <f t="shared" si="56"/>
        <v>0</v>
      </c>
      <c r="N142" s="525"/>
      <c r="O142" s="514">
        <f t="shared" si="57"/>
        <v>0</v>
      </c>
      <c r="P142" s="514">
        <f t="shared" si="58"/>
        <v>0</v>
      </c>
      <c r="Q142" s="269"/>
    </row>
    <row r="143" spans="2:17">
      <c r="B143" s="195" t="str">
        <f t="shared" si="37"/>
        <v/>
      </c>
      <c r="C143" s="507">
        <f>IF(D93="","-",+C142+1)</f>
        <v>2053</v>
      </c>
      <c r="D143" s="374">
        <f>IF(F142+SUM(E$99:E142)=D$92,F142,D$92-SUM(E$99:E142))</f>
        <v>0</v>
      </c>
      <c r="E143" s="522">
        <f>IF(+J96&lt;F142,J96,D143)</f>
        <v>0</v>
      </c>
      <c r="F143" s="523">
        <f t="shared" si="53"/>
        <v>0</v>
      </c>
      <c r="G143" s="523">
        <f t="shared" si="54"/>
        <v>0</v>
      </c>
      <c r="H143" s="526">
        <f t="shared" si="51"/>
        <v>0</v>
      </c>
      <c r="I143" s="577">
        <f t="shared" si="52"/>
        <v>0</v>
      </c>
      <c r="J143" s="514">
        <f t="shared" si="55"/>
        <v>0</v>
      </c>
      <c r="K143" s="514"/>
      <c r="L143" s="525"/>
      <c r="M143" s="514">
        <f t="shared" si="56"/>
        <v>0</v>
      </c>
      <c r="N143" s="525"/>
      <c r="O143" s="514">
        <f t="shared" si="57"/>
        <v>0</v>
      </c>
      <c r="P143" s="514">
        <f t="shared" si="58"/>
        <v>0</v>
      </c>
      <c r="Q143" s="269"/>
    </row>
    <row r="144" spans="2:17">
      <c r="B144" s="195" t="str">
        <f t="shared" si="37"/>
        <v/>
      </c>
      <c r="C144" s="507">
        <f>IF(D93="","-",+C143+1)</f>
        <v>2054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53"/>
        <v>0</v>
      </c>
      <c r="G144" s="523">
        <f t="shared" si="54"/>
        <v>0</v>
      </c>
      <c r="H144" s="526">
        <f t="shared" si="51"/>
        <v>0</v>
      </c>
      <c r="I144" s="577">
        <f t="shared" si="52"/>
        <v>0</v>
      </c>
      <c r="J144" s="514">
        <f t="shared" si="55"/>
        <v>0</v>
      </c>
      <c r="K144" s="514"/>
      <c r="L144" s="525"/>
      <c r="M144" s="514">
        <f t="shared" si="56"/>
        <v>0</v>
      </c>
      <c r="N144" s="525"/>
      <c r="O144" s="514">
        <f t="shared" si="57"/>
        <v>0</v>
      </c>
      <c r="P144" s="514">
        <f t="shared" si="58"/>
        <v>0</v>
      </c>
      <c r="Q144" s="269"/>
    </row>
    <row r="145" spans="2:17">
      <c r="B145" s="195" t="str">
        <f t="shared" si="37"/>
        <v/>
      </c>
      <c r="C145" s="507">
        <f>IF(D93="","-",+C144+1)</f>
        <v>2055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53"/>
        <v>0</v>
      </c>
      <c r="G145" s="523">
        <f t="shared" si="54"/>
        <v>0</v>
      </c>
      <c r="H145" s="526">
        <f t="shared" si="51"/>
        <v>0</v>
      </c>
      <c r="I145" s="577">
        <f t="shared" si="52"/>
        <v>0</v>
      </c>
      <c r="J145" s="514">
        <f t="shared" si="55"/>
        <v>0</v>
      </c>
      <c r="K145" s="514"/>
      <c r="L145" s="525"/>
      <c r="M145" s="514">
        <f t="shared" si="56"/>
        <v>0</v>
      </c>
      <c r="N145" s="525"/>
      <c r="O145" s="514">
        <f t="shared" si="57"/>
        <v>0</v>
      </c>
      <c r="P145" s="514">
        <f t="shared" si="58"/>
        <v>0</v>
      </c>
      <c r="Q145" s="269"/>
    </row>
    <row r="146" spans="2:17">
      <c r="B146" s="195" t="str">
        <f t="shared" si="37"/>
        <v/>
      </c>
      <c r="C146" s="507">
        <f>IF(D93="","-",+C145+1)</f>
        <v>2056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53"/>
        <v>0</v>
      </c>
      <c r="G146" s="523">
        <f t="shared" si="54"/>
        <v>0</v>
      </c>
      <c r="H146" s="526">
        <f t="shared" si="51"/>
        <v>0</v>
      </c>
      <c r="I146" s="577">
        <f t="shared" si="52"/>
        <v>0</v>
      </c>
      <c r="J146" s="514">
        <f t="shared" si="55"/>
        <v>0</v>
      </c>
      <c r="K146" s="514"/>
      <c r="L146" s="525"/>
      <c r="M146" s="514">
        <f t="shared" si="56"/>
        <v>0</v>
      </c>
      <c r="N146" s="525"/>
      <c r="O146" s="514">
        <f t="shared" si="57"/>
        <v>0</v>
      </c>
      <c r="P146" s="514">
        <f t="shared" si="58"/>
        <v>0</v>
      </c>
      <c r="Q146" s="269"/>
    </row>
    <row r="147" spans="2:17">
      <c r="B147" s="195" t="str">
        <f t="shared" si="37"/>
        <v/>
      </c>
      <c r="C147" s="507">
        <f>IF(D93="","-",+C146+1)</f>
        <v>2057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53"/>
        <v>0</v>
      </c>
      <c r="G147" s="523">
        <f t="shared" si="54"/>
        <v>0</v>
      </c>
      <c r="H147" s="526">
        <f t="shared" si="51"/>
        <v>0</v>
      </c>
      <c r="I147" s="577">
        <f t="shared" si="52"/>
        <v>0</v>
      </c>
      <c r="J147" s="514">
        <f t="shared" si="55"/>
        <v>0</v>
      </c>
      <c r="K147" s="514"/>
      <c r="L147" s="525"/>
      <c r="M147" s="514">
        <f t="shared" si="56"/>
        <v>0</v>
      </c>
      <c r="N147" s="525"/>
      <c r="O147" s="514">
        <f t="shared" si="57"/>
        <v>0</v>
      </c>
      <c r="P147" s="514">
        <f t="shared" si="58"/>
        <v>0</v>
      </c>
      <c r="Q147" s="269"/>
    </row>
    <row r="148" spans="2:17">
      <c r="B148" s="195" t="str">
        <f t="shared" si="37"/>
        <v/>
      </c>
      <c r="C148" s="507">
        <f>IF(D93="","-",+C147+1)</f>
        <v>2058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53"/>
        <v>0</v>
      </c>
      <c r="G148" s="523">
        <f t="shared" si="54"/>
        <v>0</v>
      </c>
      <c r="H148" s="526">
        <f t="shared" si="51"/>
        <v>0</v>
      </c>
      <c r="I148" s="577">
        <f t="shared" si="52"/>
        <v>0</v>
      </c>
      <c r="J148" s="514">
        <f t="shared" si="55"/>
        <v>0</v>
      </c>
      <c r="K148" s="514"/>
      <c r="L148" s="525"/>
      <c r="M148" s="514">
        <f t="shared" si="56"/>
        <v>0</v>
      </c>
      <c r="N148" s="525"/>
      <c r="O148" s="514">
        <f t="shared" si="57"/>
        <v>0</v>
      </c>
      <c r="P148" s="514">
        <f t="shared" si="58"/>
        <v>0</v>
      </c>
      <c r="Q148" s="269"/>
    </row>
    <row r="149" spans="2:17">
      <c r="B149" s="195" t="str">
        <f t="shared" si="37"/>
        <v/>
      </c>
      <c r="C149" s="507">
        <f>IF(D93="","-",+C148+1)</f>
        <v>2059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53"/>
        <v>0</v>
      </c>
      <c r="G149" s="523">
        <f t="shared" si="54"/>
        <v>0</v>
      </c>
      <c r="H149" s="526">
        <f t="shared" si="51"/>
        <v>0</v>
      </c>
      <c r="I149" s="577">
        <f t="shared" si="52"/>
        <v>0</v>
      </c>
      <c r="J149" s="514">
        <f t="shared" si="55"/>
        <v>0</v>
      </c>
      <c r="K149" s="514"/>
      <c r="L149" s="525"/>
      <c r="M149" s="514">
        <f t="shared" si="56"/>
        <v>0</v>
      </c>
      <c r="N149" s="525"/>
      <c r="O149" s="514">
        <f t="shared" si="57"/>
        <v>0</v>
      </c>
      <c r="P149" s="514">
        <f t="shared" si="58"/>
        <v>0</v>
      </c>
      <c r="Q149" s="269"/>
    </row>
    <row r="150" spans="2:17">
      <c r="B150" s="195" t="str">
        <f t="shared" si="37"/>
        <v/>
      </c>
      <c r="C150" s="507">
        <f>IF(D93="","-",+C149+1)</f>
        <v>2060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53"/>
        <v>0</v>
      </c>
      <c r="G150" s="523">
        <f t="shared" si="54"/>
        <v>0</v>
      </c>
      <c r="H150" s="526">
        <f t="shared" si="51"/>
        <v>0</v>
      </c>
      <c r="I150" s="577">
        <f t="shared" si="52"/>
        <v>0</v>
      </c>
      <c r="J150" s="514">
        <f t="shared" si="55"/>
        <v>0</v>
      </c>
      <c r="K150" s="514"/>
      <c r="L150" s="525"/>
      <c r="M150" s="514">
        <f t="shared" si="56"/>
        <v>0</v>
      </c>
      <c r="N150" s="525"/>
      <c r="O150" s="514">
        <f t="shared" si="57"/>
        <v>0</v>
      </c>
      <c r="P150" s="514">
        <f t="shared" si="58"/>
        <v>0</v>
      </c>
      <c r="Q150" s="269"/>
    </row>
    <row r="151" spans="2:17">
      <c r="B151" s="195" t="str">
        <f t="shared" si="37"/>
        <v/>
      </c>
      <c r="C151" s="507">
        <f>IF(D93="","-",+C150+1)</f>
        <v>2061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53"/>
        <v>0</v>
      </c>
      <c r="G151" s="523">
        <f t="shared" si="54"/>
        <v>0</v>
      </c>
      <c r="H151" s="526">
        <f t="shared" si="51"/>
        <v>0</v>
      </c>
      <c r="I151" s="577">
        <f t="shared" si="52"/>
        <v>0</v>
      </c>
      <c r="J151" s="514">
        <f t="shared" si="55"/>
        <v>0</v>
      </c>
      <c r="K151" s="514"/>
      <c r="L151" s="525"/>
      <c r="M151" s="514">
        <f t="shared" si="56"/>
        <v>0</v>
      </c>
      <c r="N151" s="525"/>
      <c r="O151" s="514">
        <f t="shared" si="57"/>
        <v>0</v>
      </c>
      <c r="P151" s="514">
        <f t="shared" si="58"/>
        <v>0</v>
      </c>
      <c r="Q151" s="269"/>
    </row>
    <row r="152" spans="2:17">
      <c r="B152" s="195" t="str">
        <f t="shared" si="37"/>
        <v/>
      </c>
      <c r="C152" s="507">
        <f>IF(D93="","-",+C151+1)</f>
        <v>2062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53"/>
        <v>0</v>
      </c>
      <c r="G152" s="523">
        <f t="shared" si="54"/>
        <v>0</v>
      </c>
      <c r="H152" s="526">
        <f t="shared" si="51"/>
        <v>0</v>
      </c>
      <c r="I152" s="577">
        <f t="shared" si="52"/>
        <v>0</v>
      </c>
      <c r="J152" s="514">
        <f t="shared" si="55"/>
        <v>0</v>
      </c>
      <c r="K152" s="514"/>
      <c r="L152" s="525"/>
      <c r="M152" s="514">
        <f t="shared" si="56"/>
        <v>0</v>
      </c>
      <c r="N152" s="525"/>
      <c r="O152" s="514">
        <f t="shared" si="57"/>
        <v>0</v>
      </c>
      <c r="P152" s="514">
        <f t="shared" si="58"/>
        <v>0</v>
      </c>
      <c r="Q152" s="269"/>
    </row>
    <row r="153" spans="2:17">
      <c r="B153" s="195" t="str">
        <f t="shared" si="37"/>
        <v/>
      </c>
      <c r="C153" s="507">
        <f>IF(D93="","-",+C152+1)</f>
        <v>2063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53"/>
        <v>0</v>
      </c>
      <c r="G153" s="523">
        <f t="shared" si="54"/>
        <v>0</v>
      </c>
      <c r="H153" s="526">
        <f t="shared" si="51"/>
        <v>0</v>
      </c>
      <c r="I153" s="577">
        <f t="shared" si="52"/>
        <v>0</v>
      </c>
      <c r="J153" s="514">
        <f t="shared" si="55"/>
        <v>0</v>
      </c>
      <c r="K153" s="514"/>
      <c r="L153" s="525"/>
      <c r="M153" s="514">
        <f t="shared" si="56"/>
        <v>0</v>
      </c>
      <c r="N153" s="525"/>
      <c r="O153" s="514">
        <f t="shared" si="57"/>
        <v>0</v>
      </c>
      <c r="P153" s="514">
        <f t="shared" si="58"/>
        <v>0</v>
      </c>
      <c r="Q153" s="269"/>
    </row>
    <row r="154" spans="2:17" ht="13.5" thickBot="1">
      <c r="B154" s="195" t="str">
        <f t="shared" si="37"/>
        <v/>
      </c>
      <c r="C154" s="527">
        <f>IF(D93="","-",+C153+1)</f>
        <v>2064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53"/>
        <v>0</v>
      </c>
      <c r="G154" s="528">
        <f t="shared" si="54"/>
        <v>0</v>
      </c>
      <c r="H154" s="530">
        <f t="shared" si="51"/>
        <v>0</v>
      </c>
      <c r="I154" s="579">
        <f t="shared" si="52"/>
        <v>0</v>
      </c>
      <c r="J154" s="533">
        <f t="shared" si="55"/>
        <v>0</v>
      </c>
      <c r="K154" s="514"/>
      <c r="L154" s="532"/>
      <c r="M154" s="533">
        <f t="shared" si="56"/>
        <v>0</v>
      </c>
      <c r="N154" s="532"/>
      <c r="O154" s="533">
        <f t="shared" si="57"/>
        <v>0</v>
      </c>
      <c r="P154" s="533">
        <f t="shared" si="58"/>
        <v>0</v>
      </c>
      <c r="Q154" s="269"/>
    </row>
    <row r="155" spans="2:17">
      <c r="C155" s="374" t="s">
        <v>78</v>
      </c>
      <c r="D155" s="375"/>
      <c r="E155" s="375">
        <f>SUM(E99:E154)</f>
        <v>77749.999999999956</v>
      </c>
      <c r="F155" s="375"/>
      <c r="G155" s="375"/>
      <c r="H155" s="375">
        <f>SUM(H99:H154)</f>
        <v>274663.88018982369</v>
      </c>
      <c r="I155" s="375">
        <f>SUM(I99:I154)</f>
        <v>274663.88018982369</v>
      </c>
      <c r="J155" s="375">
        <f>SUM(J99:J154)</f>
        <v>0</v>
      </c>
      <c r="K155" s="375"/>
      <c r="L155" s="375"/>
      <c r="M155" s="375"/>
      <c r="N155" s="375"/>
      <c r="O155" s="375"/>
      <c r="P155" s="269"/>
      <c r="Q155" s="269"/>
    </row>
    <row r="156" spans="2:17"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  <c r="Q156" s="269"/>
    </row>
    <row r="157" spans="2:17">
      <c r="C157" s="580" t="s">
        <v>92</v>
      </c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  <c r="Q157" s="269"/>
    </row>
    <row r="158" spans="2:17"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  <c r="Q158" s="269"/>
    </row>
    <row r="159" spans="2:17">
      <c r="C159" s="534" t="s">
        <v>97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  <c r="Q159" s="269"/>
    </row>
    <row r="160" spans="2:17">
      <c r="C160" s="581" t="s">
        <v>79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  <c r="Q160" s="269"/>
    </row>
    <row r="161" spans="3:17">
      <c r="C161" s="581" t="s">
        <v>80</v>
      </c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  <c r="Q161" s="269"/>
    </row>
    <row r="162" spans="3:17" ht="18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454" t="s">
        <v>131</v>
      </c>
      <c r="Q162" s="269"/>
    </row>
  </sheetData>
  <phoneticPr fontId="0" type="noConversion"/>
  <conditionalFormatting sqref="C17:C72">
    <cfRule type="cellIs" dxfId="149" priority="1" stopIfTrue="1" operator="equal">
      <formula>$I$10</formula>
    </cfRule>
  </conditionalFormatting>
  <conditionalFormatting sqref="C99:C154">
    <cfRule type="cellIs" dxfId="148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56"/>
  <dimension ref="A1:Q162"/>
  <sheetViews>
    <sheetView topLeftCell="A95" zoomScaleNormal="100" zoomScaleSheetLayoutView="89" workbookViewId="0">
      <selection activeCell="D99" sqref="D99:I113"/>
    </sheetView>
  </sheetViews>
  <sheetFormatPr defaultColWidth="8.7109375" defaultRowHeight="12.75" customHeight="1"/>
  <cols>
    <col min="1" max="1" width="4.7109375" style="183" customWidth="1"/>
    <col min="2" max="2" width="6.7109375" style="183" customWidth="1"/>
    <col min="3" max="3" width="23.28515625" style="183" customWidth="1"/>
    <col min="4" max="8" width="17.7109375" style="183" customWidth="1"/>
    <col min="9" max="9" width="20.42578125" style="183" customWidth="1"/>
    <col min="10" max="10" width="20.28515625" style="183" customWidth="1"/>
    <col min="11" max="11" width="17.7109375" style="183" customWidth="1"/>
    <col min="12" max="12" width="16.140625" style="183" customWidth="1"/>
    <col min="13" max="13" width="17.7109375" style="183" customWidth="1"/>
    <col min="14" max="14" width="16.140625" style="183" customWidth="1"/>
    <col min="15" max="15" width="16.85546875" style="183" customWidth="1"/>
    <col min="16" max="16" width="24.42578125" style="183" customWidth="1"/>
    <col min="17" max="17" width="4.7109375" style="183" customWidth="1"/>
    <col min="18" max="22" width="8.7109375" style="183"/>
    <col min="23" max="23" width="9.140625" style="183" customWidth="1"/>
    <col min="24" max="16384" width="8.7109375" style="183"/>
  </cols>
  <sheetData>
    <row r="1" spans="1:17" ht="20.25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"&amp;RIGHT(MID(CELL("filename",$A$1),FIND("]",CELL("filename",$A$1))+1,256),1)&amp;" of "&amp;COUNT('S.001:S.xyz - blank'!$P$3)-1</f>
        <v>SWEPCO Project 8 of 75</v>
      </c>
      <c r="Q1" s="453"/>
    </row>
    <row r="2" spans="1:17" ht="18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454" t="s">
        <v>129</v>
      </c>
    </row>
    <row r="3" spans="1:17" ht="18.75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 t="str">
        <f>RIGHT(N3,3)</f>
        <v/>
      </c>
      <c r="P3" s="455">
        <v>1</v>
      </c>
    </row>
    <row r="4" spans="1:17" ht="15.75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7" ht="1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933360.80237017514</v>
      </c>
      <c r="P5" s="269"/>
    </row>
    <row r="6" spans="1:17" ht="15.7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933360.80237017514</v>
      </c>
      <c r="O6" s="269"/>
      <c r="P6" s="269"/>
    </row>
    <row r="7" spans="1:17" ht="13.5" thickBot="1">
      <c r="C7" s="467" t="s">
        <v>48</v>
      </c>
      <c r="D7" s="468" t="s">
        <v>230</v>
      </c>
      <c r="E7" s="269"/>
      <c r="F7" s="269"/>
      <c r="G7" s="269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7" ht="13.5" thickBot="1">
      <c r="C8" s="472"/>
      <c r="D8" s="473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7" ht="13.5" thickBot="1">
      <c r="A9" s="191"/>
      <c r="C9" s="476" t="s">
        <v>50</v>
      </c>
      <c r="D9" s="477" t="s">
        <v>147</v>
      </c>
      <c r="E9" s="666" t="s">
        <v>477</v>
      </c>
      <c r="F9" s="478"/>
      <c r="G9" s="478"/>
      <c r="H9" s="478"/>
      <c r="I9" s="479"/>
      <c r="J9" s="480"/>
      <c r="O9" s="481"/>
      <c r="P9" s="272"/>
    </row>
    <row r="10" spans="1:17">
      <c r="C10" s="482" t="s">
        <v>51</v>
      </c>
      <c r="D10" s="483">
        <v>9655697</v>
      </c>
      <c r="E10" s="353" t="s">
        <v>52</v>
      </c>
      <c r="F10" s="481"/>
      <c r="G10" s="484"/>
      <c r="H10" s="484"/>
      <c r="I10" s="485">
        <f>+'SWE.WS.F.BPU.ATRR.Projected'!L19</f>
        <v>2024</v>
      </c>
      <c r="J10" s="480"/>
      <c r="K10" s="375" t="s">
        <v>53</v>
      </c>
      <c r="O10" s="272"/>
      <c r="P10" s="272"/>
    </row>
    <row r="11" spans="1:17">
      <c r="C11" s="486" t="s">
        <v>54</v>
      </c>
      <c r="D11" s="487">
        <v>2008</v>
      </c>
      <c r="E11" s="486" t="s">
        <v>55</v>
      </c>
      <c r="F11" s="484"/>
      <c r="G11" s="233"/>
      <c r="H11" s="233"/>
      <c r="I11" s="488"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7">
      <c r="C12" s="486" t="s">
        <v>56</v>
      </c>
      <c r="D12" s="483">
        <v>7</v>
      </c>
      <c r="E12" s="486" t="s">
        <v>57</v>
      </c>
      <c r="F12" s="484"/>
      <c r="G12" s="233"/>
      <c r="H12" s="233"/>
      <c r="I12" s="490">
        <f>'SWE.WS.F.BPU.ATRR.Projected'!$F$81</f>
        <v>0.11952713165403545</v>
      </c>
      <c r="J12" s="425"/>
      <c r="K12" s="183" t="s">
        <v>58</v>
      </c>
      <c r="O12" s="272"/>
      <c r="P12" s="272"/>
    </row>
    <row r="13" spans="1:17">
      <c r="C13" s="486" t="s">
        <v>59</v>
      </c>
      <c r="D13" s="488">
        <f>+'SWE.WS.F.BPU.ATRR.Projected'!F$93</f>
        <v>44</v>
      </c>
      <c r="E13" s="486" t="s">
        <v>60</v>
      </c>
      <c r="F13" s="484"/>
      <c r="G13" s="233"/>
      <c r="H13" s="233"/>
      <c r="I13" s="490">
        <f>IF(G5="",I12,'SWE.WS.F.BPU.ATRR.Projected'!$F$80)</f>
        <v>0.11952713165403545</v>
      </c>
      <c r="J13" s="425"/>
      <c r="K13" s="375" t="s">
        <v>61</v>
      </c>
      <c r="L13" s="324"/>
      <c r="M13" s="324"/>
      <c r="N13" s="324"/>
      <c r="O13" s="272"/>
      <c r="P13" s="272"/>
    </row>
    <row r="14" spans="1:17" ht="13.5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219447.65909090909</v>
      </c>
      <c r="J14" s="375"/>
      <c r="K14" s="375"/>
      <c r="L14" s="375"/>
      <c r="M14" s="375"/>
      <c r="N14" s="375"/>
      <c r="O14" s="272"/>
      <c r="P14" s="272"/>
    </row>
    <row r="15" spans="1:17" ht="38.25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388</v>
      </c>
      <c r="H15" s="495" t="s">
        <v>389</v>
      </c>
      <c r="I15" s="496" t="s">
        <v>260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7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>
        <v>1708278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>
      <c r="C17" s="507">
        <f>IF(D11= "","-",D11)</f>
        <v>2008</v>
      </c>
      <c r="D17" s="508">
        <v>16763318</v>
      </c>
      <c r="E17" s="509">
        <v>226531</v>
      </c>
      <c r="F17" s="508">
        <v>16536787</v>
      </c>
      <c r="G17" s="509">
        <v>1708278</v>
      </c>
      <c r="H17" s="510">
        <v>1708278</v>
      </c>
      <c r="I17" s="596">
        <f t="shared" ref="I17:I48" si="0">H17-G17</f>
        <v>0</v>
      </c>
      <c r="J17" s="511"/>
      <c r="K17" s="512">
        <v>1708278</v>
      </c>
      <c r="L17" s="513">
        <f t="shared" ref="L17:L48" si="1">IF(K17&lt;&gt;0,+G17-K17,0)</f>
        <v>0</v>
      </c>
      <c r="M17" s="512">
        <f>K17</f>
        <v>1708278</v>
      </c>
      <c r="N17" s="513">
        <f t="shared" ref="N17:N48" si="2">IF(M17&lt;&gt;0,+H17-M17,0)</f>
        <v>0</v>
      </c>
      <c r="O17" s="514">
        <f t="shared" ref="O17:O48" si="3">+N17-L17</f>
        <v>0</v>
      </c>
      <c r="P17" s="272"/>
    </row>
    <row r="18" spans="2:16">
      <c r="B18" s="195" t="str">
        <f>IF(D18=F17,"","IU")</f>
        <v>IU</v>
      </c>
      <c r="C18" s="507">
        <f>IF(D11="","-",+C17+1)</f>
        <v>2009</v>
      </c>
      <c r="D18" s="515">
        <v>6302584</v>
      </c>
      <c r="E18" s="516">
        <v>172280</v>
      </c>
      <c r="F18" s="515">
        <v>6130304</v>
      </c>
      <c r="G18" s="516">
        <v>1111825</v>
      </c>
      <c r="H18" s="510">
        <v>1111825</v>
      </c>
      <c r="I18" s="596">
        <f t="shared" si="0"/>
        <v>0</v>
      </c>
      <c r="J18" s="511"/>
      <c r="K18" s="518">
        <v>1111825</v>
      </c>
      <c r="L18" s="514">
        <f t="shared" si="1"/>
        <v>0</v>
      </c>
      <c r="M18" s="518">
        <v>1111825</v>
      </c>
      <c r="N18" s="514">
        <f t="shared" si="2"/>
        <v>0</v>
      </c>
      <c r="O18" s="514">
        <f t="shared" si="3"/>
        <v>0</v>
      </c>
      <c r="P18" s="272"/>
    </row>
    <row r="19" spans="2:16">
      <c r="B19" s="195" t="str">
        <f>IF(D19=F18,"","IU")</f>
        <v>IU</v>
      </c>
      <c r="C19" s="507">
        <f>IF(D11="","-",+C18+1)</f>
        <v>2010</v>
      </c>
      <c r="D19" s="515">
        <v>6007971</v>
      </c>
      <c r="E19" s="516">
        <v>168599</v>
      </c>
      <c r="F19" s="515">
        <v>5839371</v>
      </c>
      <c r="G19" s="516">
        <v>1008096</v>
      </c>
      <c r="H19" s="510">
        <v>1008096</v>
      </c>
      <c r="I19" s="517">
        <v>0</v>
      </c>
      <c r="J19" s="511"/>
      <c r="K19" s="518">
        <f t="shared" ref="K19:K24" si="4">G19</f>
        <v>1008096</v>
      </c>
      <c r="L19" s="519">
        <f t="shared" si="1"/>
        <v>0</v>
      </c>
      <c r="M19" s="518">
        <f t="shared" ref="M19:M24" si="5">H19</f>
        <v>1008096</v>
      </c>
      <c r="N19" s="514">
        <f t="shared" si="2"/>
        <v>0</v>
      </c>
      <c r="O19" s="514">
        <f t="shared" si="3"/>
        <v>0</v>
      </c>
      <c r="P19" s="272"/>
    </row>
    <row r="20" spans="2:16">
      <c r="B20" s="195" t="str">
        <f t="shared" ref="B20:B72" si="6">IF(D20=F19,"","IU")</f>
        <v>IU</v>
      </c>
      <c r="C20" s="507">
        <f>IF(D11="","-",+C19+1)</f>
        <v>2011</v>
      </c>
      <c r="D20" s="515">
        <v>9088287</v>
      </c>
      <c r="E20" s="516">
        <v>235504.80487804877</v>
      </c>
      <c r="F20" s="515">
        <v>8852782.1951219514</v>
      </c>
      <c r="G20" s="516">
        <v>1618240.1938879332</v>
      </c>
      <c r="H20" s="510">
        <v>1618240.1938879332</v>
      </c>
      <c r="I20" s="517">
        <v>0</v>
      </c>
      <c r="J20" s="511"/>
      <c r="K20" s="518">
        <f t="shared" si="4"/>
        <v>1618240.1938879332</v>
      </c>
      <c r="L20" s="519">
        <f t="shared" si="1"/>
        <v>0</v>
      </c>
      <c r="M20" s="518">
        <f t="shared" si="5"/>
        <v>1618240.1938879332</v>
      </c>
      <c r="N20" s="514">
        <f t="shared" si="2"/>
        <v>0</v>
      </c>
      <c r="O20" s="514">
        <f t="shared" si="3"/>
        <v>0</v>
      </c>
      <c r="P20" s="272"/>
    </row>
    <row r="21" spans="2:16">
      <c r="B21" s="195" t="str">
        <f t="shared" si="6"/>
        <v/>
      </c>
      <c r="C21" s="507">
        <f>IF(D12="","-",+C20+1)</f>
        <v>2012</v>
      </c>
      <c r="D21" s="515">
        <v>8852782.1951219514</v>
      </c>
      <c r="E21" s="516">
        <v>229897.54761904763</v>
      </c>
      <c r="F21" s="515">
        <v>8622884.6475029029</v>
      </c>
      <c r="G21" s="516">
        <v>1512294.1601805561</v>
      </c>
      <c r="H21" s="510">
        <v>1512294.1601805561</v>
      </c>
      <c r="I21" s="517">
        <v>0</v>
      </c>
      <c r="J21" s="511"/>
      <c r="K21" s="518">
        <f t="shared" si="4"/>
        <v>1512294.1601805561</v>
      </c>
      <c r="L21" s="519">
        <f t="shared" si="1"/>
        <v>0</v>
      </c>
      <c r="M21" s="518">
        <f t="shared" si="5"/>
        <v>1512294.1601805561</v>
      </c>
      <c r="N21" s="514">
        <f t="shared" si="2"/>
        <v>0</v>
      </c>
      <c r="O21" s="514">
        <f t="shared" si="3"/>
        <v>0</v>
      </c>
      <c r="P21" s="272"/>
    </row>
    <row r="22" spans="2:16">
      <c r="B22" s="195" t="str">
        <f t="shared" si="6"/>
        <v/>
      </c>
      <c r="C22" s="507">
        <f>IF(D11="","-",+C21+1)</f>
        <v>2013</v>
      </c>
      <c r="D22" s="515">
        <v>8622884.6475029029</v>
      </c>
      <c r="E22" s="516">
        <v>229897.54761904763</v>
      </c>
      <c r="F22" s="515">
        <v>8392987.0998838544</v>
      </c>
      <c r="G22" s="516">
        <v>1404807.3216316376</v>
      </c>
      <c r="H22" s="510">
        <v>1404807.3216316376</v>
      </c>
      <c r="I22" s="596">
        <v>0</v>
      </c>
      <c r="J22" s="511"/>
      <c r="K22" s="518">
        <f t="shared" si="4"/>
        <v>1404807.3216316376</v>
      </c>
      <c r="L22" s="519">
        <f t="shared" ref="L22:L27" si="7">IF(K22&lt;&gt;0,+G22-K22,0)</f>
        <v>0</v>
      </c>
      <c r="M22" s="518">
        <f t="shared" si="5"/>
        <v>1404807.3216316376</v>
      </c>
      <c r="N22" s="514">
        <f t="shared" ref="N22:N27" si="8">IF(M22&lt;&gt;0,+H22-M22,0)</f>
        <v>0</v>
      </c>
      <c r="O22" s="514">
        <f t="shared" ref="O22:O27" si="9">+N22-L22</f>
        <v>0</v>
      </c>
      <c r="P22" s="272"/>
    </row>
    <row r="23" spans="2:16">
      <c r="B23" s="195" t="str">
        <f t="shared" si="6"/>
        <v/>
      </c>
      <c r="C23" s="507">
        <f>IF(D11="","-",+C22+1)</f>
        <v>2014</v>
      </c>
      <c r="D23" s="515">
        <v>8392987.0998838544</v>
      </c>
      <c r="E23" s="516">
        <v>229897.54761904763</v>
      </c>
      <c r="F23" s="515">
        <v>8163089.5522648068</v>
      </c>
      <c r="G23" s="516">
        <v>1331184.1080053137</v>
      </c>
      <c r="H23" s="510">
        <v>1331184.1080053137</v>
      </c>
      <c r="I23" s="596">
        <v>0</v>
      </c>
      <c r="J23" s="511"/>
      <c r="K23" s="518">
        <f t="shared" si="4"/>
        <v>1331184.1080053137</v>
      </c>
      <c r="L23" s="519">
        <f t="shared" si="7"/>
        <v>0</v>
      </c>
      <c r="M23" s="518">
        <f t="shared" si="5"/>
        <v>1331184.1080053137</v>
      </c>
      <c r="N23" s="514">
        <f t="shared" si="8"/>
        <v>0</v>
      </c>
      <c r="O23" s="514">
        <f t="shared" si="9"/>
        <v>0</v>
      </c>
      <c r="P23" s="272"/>
    </row>
    <row r="24" spans="2:16">
      <c r="B24" s="195" t="str">
        <f t="shared" si="6"/>
        <v/>
      </c>
      <c r="C24" s="507">
        <f>IF(D11="","-",+C23+1)</f>
        <v>2015</v>
      </c>
      <c r="D24" s="515">
        <v>8163089.5522648068</v>
      </c>
      <c r="E24" s="516">
        <v>229897.54761904763</v>
      </c>
      <c r="F24" s="515">
        <v>7933192.0046457592</v>
      </c>
      <c r="G24" s="516">
        <v>1274737.0216882618</v>
      </c>
      <c r="H24" s="510">
        <v>1274737.0216882618</v>
      </c>
      <c r="I24" s="511">
        <v>0</v>
      </c>
      <c r="J24" s="511"/>
      <c r="K24" s="518">
        <f t="shared" si="4"/>
        <v>1274737.0216882618</v>
      </c>
      <c r="L24" s="519">
        <f t="shared" si="7"/>
        <v>0</v>
      </c>
      <c r="M24" s="518">
        <f t="shared" si="5"/>
        <v>1274737.0216882618</v>
      </c>
      <c r="N24" s="514">
        <f t="shared" si="8"/>
        <v>0</v>
      </c>
      <c r="O24" s="514">
        <f t="shared" si="9"/>
        <v>0</v>
      </c>
      <c r="P24" s="272"/>
    </row>
    <row r="25" spans="2:16">
      <c r="B25" s="195" t="str">
        <f t="shared" si="6"/>
        <v/>
      </c>
      <c r="C25" s="507">
        <f>IF(D11="","-",+C24+1)</f>
        <v>2016</v>
      </c>
      <c r="D25" s="515">
        <v>7933192.0046457592</v>
      </c>
      <c r="E25" s="516">
        <v>229897.54761904763</v>
      </c>
      <c r="F25" s="515">
        <v>7703294.4570267117</v>
      </c>
      <c r="G25" s="516">
        <v>1231941.898152455</v>
      </c>
      <c r="H25" s="510">
        <v>1231941.898152455</v>
      </c>
      <c r="I25" s="511">
        <f t="shared" si="0"/>
        <v>0</v>
      </c>
      <c r="J25" s="511"/>
      <c r="K25" s="518">
        <f t="shared" ref="K25:K30" si="10">G25</f>
        <v>1231941.898152455</v>
      </c>
      <c r="L25" s="519">
        <f t="shared" si="7"/>
        <v>0</v>
      </c>
      <c r="M25" s="518">
        <f t="shared" ref="M25:M30" si="11">H25</f>
        <v>1231941.898152455</v>
      </c>
      <c r="N25" s="514">
        <f t="shared" si="8"/>
        <v>0</v>
      </c>
      <c r="O25" s="514">
        <f t="shared" si="9"/>
        <v>0</v>
      </c>
      <c r="P25" s="272"/>
    </row>
    <row r="26" spans="2:16">
      <c r="B26" s="195" t="str">
        <f t="shared" si="6"/>
        <v/>
      </c>
      <c r="C26" s="507">
        <f>IF(D11="","-",+C25+1)</f>
        <v>2017</v>
      </c>
      <c r="D26" s="515">
        <v>7703294.4570267117</v>
      </c>
      <c r="E26" s="516">
        <v>224551.09302325582</v>
      </c>
      <c r="F26" s="515">
        <v>7478743.3640034562</v>
      </c>
      <c r="G26" s="516">
        <v>1165021.6585770869</v>
      </c>
      <c r="H26" s="510">
        <v>1165021.6585770869</v>
      </c>
      <c r="I26" s="511">
        <f t="shared" si="0"/>
        <v>0</v>
      </c>
      <c r="J26" s="511"/>
      <c r="K26" s="518">
        <f t="shared" si="10"/>
        <v>1165021.6585770869</v>
      </c>
      <c r="L26" s="519">
        <f t="shared" si="7"/>
        <v>0</v>
      </c>
      <c r="M26" s="518">
        <f t="shared" si="11"/>
        <v>1165021.6585770869</v>
      </c>
      <c r="N26" s="514">
        <f t="shared" si="8"/>
        <v>0</v>
      </c>
      <c r="O26" s="514">
        <f t="shared" si="9"/>
        <v>0</v>
      </c>
      <c r="P26" s="272"/>
    </row>
    <row r="27" spans="2:16">
      <c r="B27" s="195" t="str">
        <f t="shared" si="6"/>
        <v/>
      </c>
      <c r="C27" s="507">
        <f>IF(D11="","-",+C26+1)</f>
        <v>2018</v>
      </c>
      <c r="D27" s="515">
        <v>7478743.3640034562</v>
      </c>
      <c r="E27" s="516">
        <v>235504.80487804877</v>
      </c>
      <c r="F27" s="515">
        <v>7243238.5591254076</v>
      </c>
      <c r="G27" s="516">
        <v>1171043.3183571417</v>
      </c>
      <c r="H27" s="510">
        <v>1171043.3183571417</v>
      </c>
      <c r="I27" s="511">
        <f t="shared" si="0"/>
        <v>0</v>
      </c>
      <c r="J27" s="511"/>
      <c r="K27" s="518">
        <f t="shared" si="10"/>
        <v>1171043.3183571417</v>
      </c>
      <c r="L27" s="519">
        <f t="shared" si="7"/>
        <v>0</v>
      </c>
      <c r="M27" s="518">
        <f t="shared" si="11"/>
        <v>1171043.3183571417</v>
      </c>
      <c r="N27" s="514">
        <f t="shared" si="8"/>
        <v>0</v>
      </c>
      <c r="O27" s="514">
        <f t="shared" si="9"/>
        <v>0</v>
      </c>
      <c r="P27" s="272"/>
    </row>
    <row r="28" spans="2:16">
      <c r="B28" s="195" t="str">
        <f t="shared" si="6"/>
        <v/>
      </c>
      <c r="C28" s="507">
        <f>IF(D11="","-",+C27+1)</f>
        <v>2019</v>
      </c>
      <c r="D28" s="515">
        <v>7243238.5591254076</v>
      </c>
      <c r="E28" s="516">
        <v>235504.80487804877</v>
      </c>
      <c r="F28" s="515">
        <v>7007733.754247359</v>
      </c>
      <c r="G28" s="516">
        <v>1141112.0473878908</v>
      </c>
      <c r="H28" s="510">
        <v>1141112.0473878908</v>
      </c>
      <c r="I28" s="511">
        <f t="shared" si="0"/>
        <v>0</v>
      </c>
      <c r="J28" s="511"/>
      <c r="K28" s="518">
        <f t="shared" si="10"/>
        <v>1141112.0473878908</v>
      </c>
      <c r="L28" s="519">
        <f t="shared" ref="L28" si="12">IF(K28&lt;&gt;0,+G28-K28,0)</f>
        <v>0</v>
      </c>
      <c r="M28" s="518">
        <f t="shared" si="11"/>
        <v>1141112.0473878908</v>
      </c>
      <c r="N28" s="514">
        <f t="shared" si="2"/>
        <v>0</v>
      </c>
      <c r="O28" s="514">
        <f t="shared" si="3"/>
        <v>0</v>
      </c>
      <c r="P28" s="272"/>
    </row>
    <row r="29" spans="2:16">
      <c r="B29" s="195" t="str">
        <f t="shared" si="6"/>
        <v/>
      </c>
      <c r="C29" s="507">
        <f>IF(D11="","-",+C28+1)</f>
        <v>2020</v>
      </c>
      <c r="D29" s="515">
        <v>7007733.754247359</v>
      </c>
      <c r="E29" s="516">
        <v>235504.80487804877</v>
      </c>
      <c r="F29" s="515">
        <v>6772228.9493693104</v>
      </c>
      <c r="G29" s="516">
        <v>940594.18343292759</v>
      </c>
      <c r="H29" s="510">
        <v>940594.18343292759</v>
      </c>
      <c r="I29" s="511">
        <f t="shared" si="0"/>
        <v>0</v>
      </c>
      <c r="J29" s="511"/>
      <c r="K29" s="518">
        <f t="shared" si="10"/>
        <v>940594.18343292759</v>
      </c>
      <c r="L29" s="519">
        <f t="shared" ref="L29" si="13">IF(K29&lt;&gt;0,+G29-K29,0)</f>
        <v>0</v>
      </c>
      <c r="M29" s="518">
        <f t="shared" si="11"/>
        <v>940594.18343292759</v>
      </c>
      <c r="N29" s="514">
        <f t="shared" si="2"/>
        <v>0</v>
      </c>
      <c r="O29" s="514">
        <f t="shared" si="3"/>
        <v>0</v>
      </c>
      <c r="P29" s="272"/>
    </row>
    <row r="30" spans="2:16">
      <c r="B30" s="195" t="str">
        <f t="shared" si="6"/>
        <v>IU</v>
      </c>
      <c r="C30" s="507">
        <f>IF(D11="","-",+C29+1)</f>
        <v>2021</v>
      </c>
      <c r="D30" s="515">
        <v>6783182.6612241045</v>
      </c>
      <c r="E30" s="516">
        <v>229897.54761904763</v>
      </c>
      <c r="F30" s="515">
        <v>6553285.1136050569</v>
      </c>
      <c r="G30" s="516">
        <v>936760.6470922255</v>
      </c>
      <c r="H30" s="510">
        <v>936760.6470922255</v>
      </c>
      <c r="I30" s="511">
        <f t="shared" si="0"/>
        <v>0</v>
      </c>
      <c r="J30" s="511"/>
      <c r="K30" s="518">
        <f t="shared" si="10"/>
        <v>936760.6470922255</v>
      </c>
      <c r="L30" s="519">
        <f t="shared" ref="L30" si="14">IF(K30&lt;&gt;0,+G30-K30,0)</f>
        <v>0</v>
      </c>
      <c r="M30" s="518">
        <f t="shared" si="11"/>
        <v>936760.6470922255</v>
      </c>
      <c r="N30" s="514">
        <f t="shared" si="2"/>
        <v>0</v>
      </c>
      <c r="O30" s="514">
        <f t="shared" si="3"/>
        <v>0</v>
      </c>
      <c r="P30" s="272"/>
    </row>
    <row r="31" spans="2:16">
      <c r="B31" s="195" t="str">
        <f t="shared" si="6"/>
        <v>IU</v>
      </c>
      <c r="C31" s="507">
        <f>IF(D11="","-",+C30+1)</f>
        <v>2022</v>
      </c>
      <c r="D31" s="515">
        <v>6542331.4017502647</v>
      </c>
      <c r="E31" s="516">
        <v>229897.54761904763</v>
      </c>
      <c r="F31" s="515">
        <v>6312433.8541312171</v>
      </c>
      <c r="G31" s="516">
        <v>952618.78253978002</v>
      </c>
      <c r="H31" s="510">
        <v>952618.78253978002</v>
      </c>
      <c r="I31" s="511">
        <f t="shared" si="0"/>
        <v>0</v>
      </c>
      <c r="J31" s="511"/>
      <c r="K31" s="518">
        <f t="shared" ref="K31" si="15">G31</f>
        <v>952618.78253978002</v>
      </c>
      <c r="L31" s="519">
        <f t="shared" ref="L31" si="16">IF(K31&lt;&gt;0,+G31-K31,0)</f>
        <v>0</v>
      </c>
      <c r="M31" s="518">
        <f t="shared" ref="M31" si="17">H31</f>
        <v>952618.78253978002</v>
      </c>
      <c r="N31" s="514">
        <f t="shared" si="2"/>
        <v>0</v>
      </c>
      <c r="O31" s="514">
        <f t="shared" si="3"/>
        <v>0</v>
      </c>
      <c r="P31" s="272"/>
    </row>
    <row r="32" spans="2:16">
      <c r="B32" s="195" t="str">
        <f t="shared" si="6"/>
        <v/>
      </c>
      <c r="C32" s="507">
        <f>IF(D11="","-",+C31+1)</f>
        <v>2023</v>
      </c>
      <c r="D32" s="515">
        <v>6312433.8541312171</v>
      </c>
      <c r="E32" s="516">
        <v>229897.54761904763</v>
      </c>
      <c r="F32" s="515">
        <v>6082536.3065121695</v>
      </c>
      <c r="G32" s="516">
        <v>1012805.931367748</v>
      </c>
      <c r="H32" s="510">
        <v>1012805.931367748</v>
      </c>
      <c r="I32" s="511">
        <f t="shared" si="0"/>
        <v>0</v>
      </c>
      <c r="J32" s="511"/>
      <c r="K32" s="518">
        <f t="shared" ref="K32" si="18">G32</f>
        <v>1012805.931367748</v>
      </c>
      <c r="L32" s="519">
        <f t="shared" ref="L32" si="19">IF(K32&lt;&gt;0,+G32-K32,0)</f>
        <v>0</v>
      </c>
      <c r="M32" s="518">
        <f t="shared" ref="M32" si="20">H32</f>
        <v>1012805.931367748</v>
      </c>
      <c r="N32" s="514">
        <f t="shared" ref="N32" si="21">IF(M32&lt;&gt;0,+H32-M32,0)</f>
        <v>0</v>
      </c>
      <c r="O32" s="514">
        <f t="shared" ref="O32" si="22">+N32-L32</f>
        <v>0</v>
      </c>
      <c r="P32" s="272"/>
    </row>
    <row r="33" spans="2:16">
      <c r="B33" s="195" t="str">
        <f t="shared" si="6"/>
        <v/>
      </c>
      <c r="C33" s="673">
        <f>IF(D11="","-",+C32+1)</f>
        <v>2024</v>
      </c>
      <c r="D33" s="523">
        <f>IF(F32+SUM(E$17:E32)=D$10,F32,D$10-SUM(E$17:E32))</f>
        <v>6082536.3065121695</v>
      </c>
      <c r="E33" s="522">
        <f>IF(+I14&lt;F32,I14,D33)</f>
        <v>219447.65909090909</v>
      </c>
      <c r="F33" s="523">
        <f t="shared" ref="F33:F48" si="23">+D33-E33</f>
        <v>5863088.6474212604</v>
      </c>
      <c r="G33" s="524">
        <f t="shared" ref="G33:G72" si="24">+I$12*((D33+F33)/2)+E33</f>
        <v>933360.80237017514</v>
      </c>
      <c r="H33" s="491">
        <f t="shared" ref="H33:H72" si="25">+I$13*((D33+F33)/2)+E33</f>
        <v>933360.80237017514</v>
      </c>
      <c r="I33" s="511">
        <f t="shared" si="0"/>
        <v>0</v>
      </c>
      <c r="J33" s="511"/>
      <c r="K33" s="525"/>
      <c r="L33" s="514">
        <f t="shared" si="1"/>
        <v>0</v>
      </c>
      <c r="M33" s="525"/>
      <c r="N33" s="514">
        <f t="shared" si="2"/>
        <v>0</v>
      </c>
      <c r="O33" s="514">
        <f t="shared" si="3"/>
        <v>0</v>
      </c>
      <c r="P33" s="272"/>
    </row>
    <row r="34" spans="2:16">
      <c r="B34" s="195" t="str">
        <f t="shared" si="6"/>
        <v/>
      </c>
      <c r="C34" s="507">
        <f>IF(D11="","-",+C33+1)</f>
        <v>2025</v>
      </c>
      <c r="D34" s="523">
        <f>IF(F33+SUM(E$17:E33)=D$10,F33,D$10-SUM(E$17:E33))</f>
        <v>5863088.6474212604</v>
      </c>
      <c r="E34" s="522">
        <f>IF(+I14&lt;F33,I14,D34)</f>
        <v>219447.65909090909</v>
      </c>
      <c r="F34" s="523">
        <f t="shared" si="23"/>
        <v>5643640.9883303512</v>
      </c>
      <c r="G34" s="524">
        <f t="shared" si="24"/>
        <v>907130.85313084617</v>
      </c>
      <c r="H34" s="491">
        <f t="shared" si="25"/>
        <v>907130.85313084617</v>
      </c>
      <c r="I34" s="511">
        <f t="shared" si="0"/>
        <v>0</v>
      </c>
      <c r="J34" s="511"/>
      <c r="K34" s="525"/>
      <c r="L34" s="514">
        <f t="shared" si="1"/>
        <v>0</v>
      </c>
      <c r="M34" s="525"/>
      <c r="N34" s="514">
        <f t="shared" si="2"/>
        <v>0</v>
      </c>
      <c r="O34" s="514">
        <f t="shared" si="3"/>
        <v>0</v>
      </c>
      <c r="P34" s="272"/>
    </row>
    <row r="35" spans="2:16">
      <c r="B35" s="195" t="str">
        <f t="shared" si="6"/>
        <v/>
      </c>
      <c r="C35" s="507">
        <f>IF(D11="","-",+C34+1)</f>
        <v>2026</v>
      </c>
      <c r="D35" s="523">
        <f>IF(F34+SUM(E$17:E34)=D$10,F34,D$10-SUM(E$17:E34))</f>
        <v>5643640.9883303512</v>
      </c>
      <c r="E35" s="522">
        <f>IF(+I14&lt;F34,I14,D35)</f>
        <v>219447.65909090909</v>
      </c>
      <c r="F35" s="523">
        <f t="shared" si="23"/>
        <v>5424193.329239442</v>
      </c>
      <c r="G35" s="524">
        <f t="shared" si="24"/>
        <v>880900.90389151708</v>
      </c>
      <c r="H35" s="491">
        <f t="shared" si="25"/>
        <v>880900.90389151708</v>
      </c>
      <c r="I35" s="511">
        <f t="shared" si="0"/>
        <v>0</v>
      </c>
      <c r="J35" s="511"/>
      <c r="K35" s="525"/>
      <c r="L35" s="514">
        <f t="shared" si="1"/>
        <v>0</v>
      </c>
      <c r="M35" s="525"/>
      <c r="N35" s="514">
        <f t="shared" si="2"/>
        <v>0</v>
      </c>
      <c r="O35" s="514">
        <f t="shared" si="3"/>
        <v>0</v>
      </c>
      <c r="P35" s="272"/>
    </row>
    <row r="36" spans="2:16">
      <c r="B36" s="195" t="str">
        <f t="shared" si="6"/>
        <v/>
      </c>
      <c r="C36" s="507">
        <f>IF(D11="","-",+C35+1)</f>
        <v>2027</v>
      </c>
      <c r="D36" s="523">
        <f>IF(F35+SUM(E$17:E35)=D$10,F35,D$10-SUM(E$17:E35))</f>
        <v>5424193.329239442</v>
      </c>
      <c r="E36" s="522">
        <f>IF(+I14&lt;F35,I14,D36)</f>
        <v>219447.65909090909</v>
      </c>
      <c r="F36" s="523">
        <f t="shared" si="23"/>
        <v>5204745.6701485328</v>
      </c>
      <c r="G36" s="524">
        <f t="shared" si="24"/>
        <v>854670.95465218823</v>
      </c>
      <c r="H36" s="491">
        <f t="shared" si="25"/>
        <v>854670.95465218823</v>
      </c>
      <c r="I36" s="511">
        <f t="shared" si="0"/>
        <v>0</v>
      </c>
      <c r="J36" s="511"/>
      <c r="K36" s="525"/>
      <c r="L36" s="514">
        <f t="shared" si="1"/>
        <v>0</v>
      </c>
      <c r="M36" s="525"/>
      <c r="N36" s="514">
        <f t="shared" si="2"/>
        <v>0</v>
      </c>
      <c r="O36" s="514">
        <f t="shared" si="3"/>
        <v>0</v>
      </c>
      <c r="P36" s="272"/>
    </row>
    <row r="37" spans="2:16">
      <c r="B37" s="195" t="str">
        <f t="shared" si="6"/>
        <v/>
      </c>
      <c r="C37" s="507">
        <f>IF(D11="","-",+C36+1)</f>
        <v>2028</v>
      </c>
      <c r="D37" s="523">
        <f>IF(F36+SUM(E$17:E36)=D$10,F36,D$10-SUM(E$17:E36))</f>
        <v>5204745.6701485328</v>
      </c>
      <c r="E37" s="522">
        <f>IF(+I14&lt;F36,I14,D37)</f>
        <v>219447.65909090909</v>
      </c>
      <c r="F37" s="523">
        <f t="shared" si="23"/>
        <v>4985298.0110576237</v>
      </c>
      <c r="G37" s="524">
        <f t="shared" si="24"/>
        <v>828441.00541285914</v>
      </c>
      <c r="H37" s="491">
        <f t="shared" si="25"/>
        <v>828441.00541285914</v>
      </c>
      <c r="I37" s="511">
        <f t="shared" si="0"/>
        <v>0</v>
      </c>
      <c r="J37" s="511"/>
      <c r="K37" s="525"/>
      <c r="L37" s="514">
        <f t="shared" si="1"/>
        <v>0</v>
      </c>
      <c r="M37" s="525"/>
      <c r="N37" s="514">
        <f t="shared" si="2"/>
        <v>0</v>
      </c>
      <c r="O37" s="514">
        <f t="shared" si="3"/>
        <v>0</v>
      </c>
      <c r="P37" s="272"/>
    </row>
    <row r="38" spans="2:16">
      <c r="B38" s="195" t="str">
        <f t="shared" si="6"/>
        <v/>
      </c>
      <c r="C38" s="507">
        <f>IF(D11="","-",+C37+1)</f>
        <v>2029</v>
      </c>
      <c r="D38" s="523">
        <f>IF(F37+SUM(E$17:E37)=D$10,F37,D$10-SUM(E$17:E37))</f>
        <v>4985298.0110576237</v>
      </c>
      <c r="E38" s="522">
        <f>IF(+I14&lt;F37,I14,D38)</f>
        <v>219447.65909090909</v>
      </c>
      <c r="F38" s="523">
        <f t="shared" si="23"/>
        <v>4765850.3519667145</v>
      </c>
      <c r="G38" s="524">
        <f t="shared" si="24"/>
        <v>802211.05617353029</v>
      </c>
      <c r="H38" s="491">
        <f t="shared" si="25"/>
        <v>802211.05617353029</v>
      </c>
      <c r="I38" s="511">
        <f t="shared" si="0"/>
        <v>0</v>
      </c>
      <c r="J38" s="511"/>
      <c r="K38" s="525"/>
      <c r="L38" s="514">
        <f t="shared" si="1"/>
        <v>0</v>
      </c>
      <c r="M38" s="525"/>
      <c r="N38" s="514">
        <f t="shared" si="2"/>
        <v>0</v>
      </c>
      <c r="O38" s="514">
        <f t="shared" si="3"/>
        <v>0</v>
      </c>
      <c r="P38" s="272"/>
    </row>
    <row r="39" spans="2:16">
      <c r="B39" s="195" t="str">
        <f t="shared" si="6"/>
        <v/>
      </c>
      <c r="C39" s="507">
        <f>IF(D11="","-",+C38+1)</f>
        <v>2030</v>
      </c>
      <c r="D39" s="523">
        <f>IF(F38+SUM(E$17:E38)=D$10,F38,D$10-SUM(E$17:E38))</f>
        <v>4765850.3519667145</v>
      </c>
      <c r="E39" s="522">
        <f>IF(+I14&lt;F38,I14,D39)</f>
        <v>219447.65909090909</v>
      </c>
      <c r="F39" s="523">
        <f t="shared" si="23"/>
        <v>4546402.6928758053</v>
      </c>
      <c r="G39" s="524">
        <f t="shared" si="24"/>
        <v>775981.10693420121</v>
      </c>
      <c r="H39" s="491">
        <f t="shared" si="25"/>
        <v>775981.10693420121</v>
      </c>
      <c r="I39" s="511">
        <f t="shared" si="0"/>
        <v>0</v>
      </c>
      <c r="J39" s="511"/>
      <c r="K39" s="525"/>
      <c r="L39" s="514">
        <f t="shared" si="1"/>
        <v>0</v>
      </c>
      <c r="M39" s="525"/>
      <c r="N39" s="514">
        <f t="shared" si="2"/>
        <v>0</v>
      </c>
      <c r="O39" s="514">
        <f t="shared" si="3"/>
        <v>0</v>
      </c>
      <c r="P39" s="272"/>
    </row>
    <row r="40" spans="2:16">
      <c r="B40" s="195" t="str">
        <f t="shared" si="6"/>
        <v/>
      </c>
      <c r="C40" s="507">
        <f>IF(D11="","-",+C39+1)</f>
        <v>2031</v>
      </c>
      <c r="D40" s="523">
        <f>IF(F39+SUM(E$17:E39)=D$10,F39,D$10-SUM(E$17:E39))</f>
        <v>4546402.6928758053</v>
      </c>
      <c r="E40" s="522">
        <f>IF(+I14&lt;F39,I14,D40)</f>
        <v>219447.65909090909</v>
      </c>
      <c r="F40" s="523">
        <f t="shared" si="23"/>
        <v>4326955.0337848961</v>
      </c>
      <c r="G40" s="524">
        <f t="shared" si="24"/>
        <v>749751.15769487224</v>
      </c>
      <c r="H40" s="491">
        <f t="shared" si="25"/>
        <v>749751.15769487224</v>
      </c>
      <c r="I40" s="511">
        <f t="shared" si="0"/>
        <v>0</v>
      </c>
      <c r="J40" s="511"/>
      <c r="K40" s="525"/>
      <c r="L40" s="514">
        <f t="shared" si="1"/>
        <v>0</v>
      </c>
      <c r="M40" s="525"/>
      <c r="N40" s="514">
        <f t="shared" si="2"/>
        <v>0</v>
      </c>
      <c r="O40" s="514">
        <f t="shared" si="3"/>
        <v>0</v>
      </c>
      <c r="P40" s="272"/>
    </row>
    <row r="41" spans="2:16">
      <c r="B41" s="195" t="str">
        <f t="shared" si="6"/>
        <v/>
      </c>
      <c r="C41" s="507">
        <f>IF(D11="","-",+C40+1)</f>
        <v>2032</v>
      </c>
      <c r="D41" s="523">
        <f>IF(F40+SUM(E$17:E40)=D$10,F40,D$10-SUM(E$17:E40))</f>
        <v>4326955.0337848961</v>
      </c>
      <c r="E41" s="522">
        <f>IF(+I14&lt;F40,I14,D41)</f>
        <v>219447.65909090909</v>
      </c>
      <c r="F41" s="523">
        <f t="shared" si="23"/>
        <v>4107507.374693987</v>
      </c>
      <c r="G41" s="524">
        <f t="shared" si="24"/>
        <v>723521.20845554315</v>
      </c>
      <c r="H41" s="491">
        <f t="shared" si="25"/>
        <v>723521.20845554315</v>
      </c>
      <c r="I41" s="511">
        <f t="shared" si="0"/>
        <v>0</v>
      </c>
      <c r="J41" s="511"/>
      <c r="K41" s="525"/>
      <c r="L41" s="514">
        <f t="shared" si="1"/>
        <v>0</v>
      </c>
      <c r="M41" s="525"/>
      <c r="N41" s="514">
        <f t="shared" si="2"/>
        <v>0</v>
      </c>
      <c r="O41" s="514">
        <f t="shared" si="3"/>
        <v>0</v>
      </c>
      <c r="P41" s="272"/>
    </row>
    <row r="42" spans="2:16">
      <c r="B42" s="195" t="str">
        <f t="shared" si="6"/>
        <v/>
      </c>
      <c r="C42" s="507">
        <f>IF(D11="","-",+C41+1)</f>
        <v>2033</v>
      </c>
      <c r="D42" s="523">
        <f>IF(F41+SUM(E$17:E41)=D$10,F41,D$10-SUM(E$17:E41))</f>
        <v>4107507.374693987</v>
      </c>
      <c r="E42" s="522">
        <f>IF(+I14&lt;F41,I14,D42)</f>
        <v>219447.65909090909</v>
      </c>
      <c r="F42" s="523">
        <f t="shared" si="23"/>
        <v>3888059.7156030778</v>
      </c>
      <c r="G42" s="524">
        <f t="shared" si="24"/>
        <v>697291.2592162143</v>
      </c>
      <c r="H42" s="491">
        <f t="shared" si="25"/>
        <v>697291.2592162143</v>
      </c>
      <c r="I42" s="511">
        <f t="shared" si="0"/>
        <v>0</v>
      </c>
      <c r="J42" s="511"/>
      <c r="K42" s="525"/>
      <c r="L42" s="514">
        <f t="shared" si="1"/>
        <v>0</v>
      </c>
      <c r="M42" s="525"/>
      <c r="N42" s="514">
        <f t="shared" si="2"/>
        <v>0</v>
      </c>
      <c r="O42" s="514">
        <f t="shared" si="3"/>
        <v>0</v>
      </c>
      <c r="P42" s="272"/>
    </row>
    <row r="43" spans="2:16">
      <c r="B43" s="195" t="str">
        <f t="shared" si="6"/>
        <v/>
      </c>
      <c r="C43" s="507">
        <f>IF(D11="","-",+C42+1)</f>
        <v>2034</v>
      </c>
      <c r="D43" s="523">
        <f>IF(F42+SUM(E$17:E42)=D$10,F42,D$10-SUM(E$17:E42))</f>
        <v>3888059.7156030778</v>
      </c>
      <c r="E43" s="522">
        <f>IF(+I14&lt;F42,I14,D43)</f>
        <v>219447.65909090909</v>
      </c>
      <c r="F43" s="523">
        <f t="shared" si="23"/>
        <v>3668612.0565121686</v>
      </c>
      <c r="G43" s="524">
        <f t="shared" si="24"/>
        <v>671061.30997688533</v>
      </c>
      <c r="H43" s="491">
        <f t="shared" si="25"/>
        <v>671061.30997688533</v>
      </c>
      <c r="I43" s="511">
        <f t="shared" si="0"/>
        <v>0</v>
      </c>
      <c r="J43" s="511"/>
      <c r="K43" s="525"/>
      <c r="L43" s="514">
        <f t="shared" si="1"/>
        <v>0</v>
      </c>
      <c r="M43" s="525"/>
      <c r="N43" s="514">
        <f t="shared" si="2"/>
        <v>0</v>
      </c>
      <c r="O43" s="514">
        <f t="shared" si="3"/>
        <v>0</v>
      </c>
      <c r="P43" s="272"/>
    </row>
    <row r="44" spans="2:16">
      <c r="B44" s="195" t="str">
        <f t="shared" si="6"/>
        <v/>
      </c>
      <c r="C44" s="507">
        <f>IF(D11="","-",+C43+1)</f>
        <v>2035</v>
      </c>
      <c r="D44" s="523">
        <f>IF(F43+SUM(E$17:E43)=D$10,F43,D$10-SUM(E$17:E43))</f>
        <v>3668612.0565121686</v>
      </c>
      <c r="E44" s="522">
        <f>IF(+I14&lt;F43,I14,D44)</f>
        <v>219447.65909090909</v>
      </c>
      <c r="F44" s="523">
        <f t="shared" si="23"/>
        <v>3449164.3974212594</v>
      </c>
      <c r="G44" s="524">
        <f t="shared" si="24"/>
        <v>644831.36073755624</v>
      </c>
      <c r="H44" s="491">
        <f t="shared" si="25"/>
        <v>644831.36073755624</v>
      </c>
      <c r="I44" s="511">
        <f t="shared" si="0"/>
        <v>0</v>
      </c>
      <c r="J44" s="511"/>
      <c r="K44" s="525"/>
      <c r="L44" s="514">
        <f t="shared" si="1"/>
        <v>0</v>
      </c>
      <c r="M44" s="525"/>
      <c r="N44" s="514">
        <f t="shared" si="2"/>
        <v>0</v>
      </c>
      <c r="O44" s="514">
        <f t="shared" si="3"/>
        <v>0</v>
      </c>
      <c r="P44" s="272"/>
    </row>
    <row r="45" spans="2:16">
      <c r="B45" s="195" t="str">
        <f t="shared" si="6"/>
        <v/>
      </c>
      <c r="C45" s="507">
        <f>IF(D11="","-",+C44+1)</f>
        <v>2036</v>
      </c>
      <c r="D45" s="523">
        <f>IF(F44+SUM(E$17:E44)=D$10,F44,D$10-SUM(E$17:E44))</f>
        <v>3449164.3974212594</v>
      </c>
      <c r="E45" s="522">
        <f>IF(+I14&lt;F44,I14,D45)</f>
        <v>219447.65909090909</v>
      </c>
      <c r="F45" s="523">
        <f t="shared" si="23"/>
        <v>3229716.7383303503</v>
      </c>
      <c r="G45" s="524">
        <f t="shared" si="24"/>
        <v>618601.41149822727</v>
      </c>
      <c r="H45" s="491">
        <f t="shared" si="25"/>
        <v>618601.41149822727</v>
      </c>
      <c r="I45" s="511">
        <f t="shared" si="0"/>
        <v>0</v>
      </c>
      <c r="J45" s="511"/>
      <c r="K45" s="525"/>
      <c r="L45" s="514">
        <f t="shared" si="1"/>
        <v>0</v>
      </c>
      <c r="M45" s="525"/>
      <c r="N45" s="514">
        <f t="shared" si="2"/>
        <v>0</v>
      </c>
      <c r="O45" s="514">
        <f t="shared" si="3"/>
        <v>0</v>
      </c>
      <c r="P45" s="272"/>
    </row>
    <row r="46" spans="2:16">
      <c r="B46" s="195" t="str">
        <f t="shared" si="6"/>
        <v/>
      </c>
      <c r="C46" s="507">
        <f>IF(D11="","-",+C45+1)</f>
        <v>2037</v>
      </c>
      <c r="D46" s="523">
        <f>IF(F45+SUM(E$17:E45)=D$10,F45,D$10-SUM(E$17:E45))</f>
        <v>3229716.7383303503</v>
      </c>
      <c r="E46" s="522">
        <f>IF(+I14&lt;F45,I14,D46)</f>
        <v>219447.65909090909</v>
      </c>
      <c r="F46" s="523">
        <f t="shared" si="23"/>
        <v>3010269.0792394411</v>
      </c>
      <c r="G46" s="524">
        <f t="shared" si="24"/>
        <v>592371.4622588983</v>
      </c>
      <c r="H46" s="491">
        <f t="shared" si="25"/>
        <v>592371.4622588983</v>
      </c>
      <c r="I46" s="511">
        <f t="shared" si="0"/>
        <v>0</v>
      </c>
      <c r="J46" s="511"/>
      <c r="K46" s="525"/>
      <c r="L46" s="514">
        <f t="shared" si="1"/>
        <v>0</v>
      </c>
      <c r="M46" s="525"/>
      <c r="N46" s="514">
        <f t="shared" si="2"/>
        <v>0</v>
      </c>
      <c r="O46" s="514">
        <f t="shared" si="3"/>
        <v>0</v>
      </c>
      <c r="P46" s="272"/>
    </row>
    <row r="47" spans="2:16">
      <c r="B47" s="195" t="str">
        <f t="shared" si="6"/>
        <v/>
      </c>
      <c r="C47" s="507">
        <f>IF(D11="","-",+C46+1)</f>
        <v>2038</v>
      </c>
      <c r="D47" s="523">
        <f>IF(F46+SUM(E$17:E46)=D$10,F46,D$10-SUM(E$17:E46))</f>
        <v>3010269.0792394411</v>
      </c>
      <c r="E47" s="522">
        <f>IF(+I14&lt;F46,I14,D47)</f>
        <v>219447.65909090909</v>
      </c>
      <c r="F47" s="523">
        <f t="shared" si="23"/>
        <v>2790821.4201485319</v>
      </c>
      <c r="G47" s="524">
        <f t="shared" si="24"/>
        <v>566141.51301956933</v>
      </c>
      <c r="H47" s="491">
        <f t="shared" si="25"/>
        <v>566141.51301956933</v>
      </c>
      <c r="I47" s="511">
        <f t="shared" si="0"/>
        <v>0</v>
      </c>
      <c r="J47" s="511"/>
      <c r="K47" s="525"/>
      <c r="L47" s="514">
        <f t="shared" si="1"/>
        <v>0</v>
      </c>
      <c r="M47" s="525"/>
      <c r="N47" s="514">
        <f t="shared" si="2"/>
        <v>0</v>
      </c>
      <c r="O47" s="514">
        <f t="shared" si="3"/>
        <v>0</v>
      </c>
      <c r="P47" s="272"/>
    </row>
    <row r="48" spans="2:16">
      <c r="B48" s="195" t="str">
        <f t="shared" si="6"/>
        <v/>
      </c>
      <c r="C48" s="507">
        <f>IF(D11="","-",+C47+1)</f>
        <v>2039</v>
      </c>
      <c r="D48" s="523">
        <f>IF(F47+SUM(E$17:E47)=D$10,F47,D$10-SUM(E$17:E47))</f>
        <v>2790821.4201485319</v>
      </c>
      <c r="E48" s="522">
        <f>IF(+I14&lt;F47,I14,D48)</f>
        <v>219447.65909090909</v>
      </c>
      <c r="F48" s="523">
        <f t="shared" si="23"/>
        <v>2571373.7610576227</v>
      </c>
      <c r="G48" s="524">
        <f t="shared" si="24"/>
        <v>539911.56378024037</v>
      </c>
      <c r="H48" s="491">
        <f t="shared" si="25"/>
        <v>539911.56378024037</v>
      </c>
      <c r="I48" s="511">
        <f t="shared" si="0"/>
        <v>0</v>
      </c>
      <c r="J48" s="511"/>
      <c r="K48" s="525"/>
      <c r="L48" s="514">
        <f t="shared" si="1"/>
        <v>0</v>
      </c>
      <c r="M48" s="525"/>
      <c r="N48" s="514">
        <f t="shared" si="2"/>
        <v>0</v>
      </c>
      <c r="O48" s="514">
        <f t="shared" si="3"/>
        <v>0</v>
      </c>
      <c r="P48" s="272"/>
    </row>
    <row r="49" spans="2:17">
      <c r="B49" s="195" t="str">
        <f t="shared" si="6"/>
        <v/>
      </c>
      <c r="C49" s="507">
        <f>IF(D11="","-",+C48+1)</f>
        <v>2040</v>
      </c>
      <c r="D49" s="523">
        <f>IF(F48+SUM(E$17:E48)=D$10,F48,D$10-SUM(E$17:E48))</f>
        <v>2571373.7610576227</v>
      </c>
      <c r="E49" s="522">
        <f>IF(+I14&lt;F48,I14,D49)</f>
        <v>219447.65909090909</v>
      </c>
      <c r="F49" s="523">
        <f t="shared" ref="F49:F72" si="26">+D49-E49</f>
        <v>2351926.1019667136</v>
      </c>
      <c r="G49" s="524">
        <f t="shared" si="24"/>
        <v>513681.6145409114</v>
      </c>
      <c r="H49" s="491">
        <f t="shared" si="25"/>
        <v>513681.6145409114</v>
      </c>
      <c r="I49" s="511">
        <f t="shared" ref="I49:I72" si="27">H49-G49</f>
        <v>0</v>
      </c>
      <c r="J49" s="511"/>
      <c r="K49" s="525"/>
      <c r="L49" s="514">
        <f t="shared" ref="L49:L72" si="28">IF(K49&lt;&gt;0,+G49-K49,0)</f>
        <v>0</v>
      </c>
      <c r="M49" s="525"/>
      <c r="N49" s="514">
        <f t="shared" ref="N49:N72" si="29">IF(M49&lt;&gt;0,+H49-M49,0)</f>
        <v>0</v>
      </c>
      <c r="O49" s="514">
        <f t="shared" ref="O49:O72" si="30">+N49-L49</f>
        <v>0</v>
      </c>
      <c r="P49" s="272"/>
    </row>
    <row r="50" spans="2:17">
      <c r="B50" s="195" t="str">
        <f t="shared" si="6"/>
        <v/>
      </c>
      <c r="C50" s="507">
        <f>IF(D11="","-",+C49+1)</f>
        <v>2041</v>
      </c>
      <c r="D50" s="523">
        <f>IF(F49+SUM(E$17:E49)=D$10,F49,D$10-SUM(E$17:E49))</f>
        <v>2351926.1019667136</v>
      </c>
      <c r="E50" s="522">
        <f>IF(+I14&lt;F49,I14,D50)</f>
        <v>219447.65909090909</v>
      </c>
      <c r="F50" s="523">
        <f t="shared" si="26"/>
        <v>2132478.4428758044</v>
      </c>
      <c r="G50" s="524">
        <f t="shared" si="24"/>
        <v>487451.66530158231</v>
      </c>
      <c r="H50" s="491">
        <f t="shared" si="25"/>
        <v>487451.66530158231</v>
      </c>
      <c r="I50" s="511">
        <f t="shared" si="27"/>
        <v>0</v>
      </c>
      <c r="J50" s="511"/>
      <c r="K50" s="525"/>
      <c r="L50" s="514">
        <f t="shared" si="28"/>
        <v>0</v>
      </c>
      <c r="M50" s="525"/>
      <c r="N50" s="514">
        <f t="shared" si="29"/>
        <v>0</v>
      </c>
      <c r="O50" s="514">
        <f t="shared" si="30"/>
        <v>0</v>
      </c>
      <c r="P50" s="272"/>
    </row>
    <row r="51" spans="2:17">
      <c r="B51" s="195" t="str">
        <f t="shared" si="6"/>
        <v/>
      </c>
      <c r="C51" s="507">
        <f>IF(D11="","-",+C50+1)</f>
        <v>2042</v>
      </c>
      <c r="D51" s="523">
        <f>IF(F50+SUM(E$17:E50)=D$10,F50,D$10-SUM(E$17:E50))</f>
        <v>2132478.4428758044</v>
      </c>
      <c r="E51" s="522">
        <f>IF(+I14&lt;F50,I14,D51)</f>
        <v>219447.65909090909</v>
      </c>
      <c r="F51" s="523">
        <f t="shared" si="26"/>
        <v>1913030.7837848952</v>
      </c>
      <c r="G51" s="524">
        <f t="shared" si="24"/>
        <v>461221.71606225334</v>
      </c>
      <c r="H51" s="491">
        <f t="shared" si="25"/>
        <v>461221.71606225334</v>
      </c>
      <c r="I51" s="511">
        <f t="shared" si="27"/>
        <v>0</v>
      </c>
      <c r="J51" s="511"/>
      <c r="K51" s="525"/>
      <c r="L51" s="514">
        <f t="shared" si="28"/>
        <v>0</v>
      </c>
      <c r="M51" s="525"/>
      <c r="N51" s="514">
        <f t="shared" si="29"/>
        <v>0</v>
      </c>
      <c r="O51" s="514">
        <f t="shared" si="30"/>
        <v>0</v>
      </c>
      <c r="P51" s="272"/>
    </row>
    <row r="52" spans="2:17">
      <c r="B52" s="195" t="str">
        <f t="shared" si="6"/>
        <v/>
      </c>
      <c r="C52" s="507">
        <f>IF(D11="","-",+C51+1)</f>
        <v>2043</v>
      </c>
      <c r="D52" s="523">
        <f>IF(F51+SUM(E$17:E51)=D$10,F51,D$10-SUM(E$17:E51))</f>
        <v>1913030.7837848952</v>
      </c>
      <c r="E52" s="522">
        <f>IF(+I14&lt;F51,I14,D52)</f>
        <v>219447.65909090909</v>
      </c>
      <c r="F52" s="523">
        <f t="shared" si="26"/>
        <v>1693583.124693986</v>
      </c>
      <c r="G52" s="524">
        <f t="shared" si="24"/>
        <v>434991.76682292437</v>
      </c>
      <c r="H52" s="491">
        <f t="shared" si="25"/>
        <v>434991.76682292437</v>
      </c>
      <c r="I52" s="511">
        <f t="shared" si="27"/>
        <v>0</v>
      </c>
      <c r="J52" s="511"/>
      <c r="K52" s="525"/>
      <c r="L52" s="514">
        <f t="shared" si="28"/>
        <v>0</v>
      </c>
      <c r="M52" s="525"/>
      <c r="N52" s="514">
        <f t="shared" si="29"/>
        <v>0</v>
      </c>
      <c r="O52" s="514">
        <f t="shared" si="30"/>
        <v>0</v>
      </c>
      <c r="P52" s="272"/>
    </row>
    <row r="53" spans="2:17">
      <c r="B53" s="195" t="str">
        <f t="shared" si="6"/>
        <v/>
      </c>
      <c r="C53" s="507">
        <f>IF(D11="","-",+C52+1)</f>
        <v>2044</v>
      </c>
      <c r="D53" s="523">
        <f>IF(F52+SUM(E$17:E52)=D$10,F52,D$10-SUM(E$17:E52))</f>
        <v>1693583.124693986</v>
      </c>
      <c r="E53" s="522">
        <f>IF(+I14&lt;F52,I14,D53)</f>
        <v>219447.65909090909</v>
      </c>
      <c r="F53" s="523">
        <f t="shared" si="26"/>
        <v>1474135.4656030769</v>
      </c>
      <c r="G53" s="524">
        <f t="shared" si="24"/>
        <v>408761.8175835954</v>
      </c>
      <c r="H53" s="491">
        <f t="shared" si="25"/>
        <v>408761.8175835954</v>
      </c>
      <c r="I53" s="511">
        <f t="shared" si="27"/>
        <v>0</v>
      </c>
      <c r="J53" s="511"/>
      <c r="K53" s="525"/>
      <c r="L53" s="514">
        <f t="shared" si="28"/>
        <v>0</v>
      </c>
      <c r="M53" s="525"/>
      <c r="N53" s="514">
        <f t="shared" si="29"/>
        <v>0</v>
      </c>
      <c r="O53" s="514">
        <f t="shared" si="30"/>
        <v>0</v>
      </c>
      <c r="P53" s="272"/>
    </row>
    <row r="54" spans="2:17">
      <c r="B54" s="195" t="str">
        <f t="shared" si="6"/>
        <v/>
      </c>
      <c r="C54" s="507">
        <f>IF(D11="","-",+C53+1)</f>
        <v>2045</v>
      </c>
      <c r="D54" s="523">
        <f>IF(F53+SUM(E$17:E53)=D$10,F53,D$10-SUM(E$17:E53))</f>
        <v>1474135.4656030769</v>
      </c>
      <c r="E54" s="522">
        <f>IF(+I14&lt;F53,I14,D54)</f>
        <v>219447.65909090909</v>
      </c>
      <c r="F54" s="523">
        <f t="shared" si="26"/>
        <v>1254687.8065121677</v>
      </c>
      <c r="G54" s="524">
        <f t="shared" si="24"/>
        <v>382531.86834426643</v>
      </c>
      <c r="H54" s="491">
        <f t="shared" si="25"/>
        <v>382531.86834426643</v>
      </c>
      <c r="I54" s="511">
        <f t="shared" si="27"/>
        <v>0</v>
      </c>
      <c r="J54" s="511"/>
      <c r="K54" s="525"/>
      <c r="L54" s="514">
        <f t="shared" si="28"/>
        <v>0</v>
      </c>
      <c r="M54" s="525"/>
      <c r="N54" s="514">
        <f t="shared" si="29"/>
        <v>0</v>
      </c>
      <c r="O54" s="514">
        <f t="shared" si="30"/>
        <v>0</v>
      </c>
      <c r="P54" s="272"/>
    </row>
    <row r="55" spans="2:17">
      <c r="B55" s="195" t="str">
        <f t="shared" si="6"/>
        <v/>
      </c>
      <c r="C55" s="507">
        <f>IF(D11="","-",+C54+1)</f>
        <v>2046</v>
      </c>
      <c r="D55" s="523">
        <f>IF(F54+SUM(E$17:E54)=D$10,F54,D$10-SUM(E$17:E54))</f>
        <v>1254687.8065121677</v>
      </c>
      <c r="E55" s="522">
        <f>IF(+I14&lt;F54,I14,D55)</f>
        <v>219447.65909090909</v>
      </c>
      <c r="F55" s="523">
        <f t="shared" si="26"/>
        <v>1035240.1474212586</v>
      </c>
      <c r="G55" s="524">
        <f t="shared" si="24"/>
        <v>356301.91910493741</v>
      </c>
      <c r="H55" s="491">
        <f t="shared" si="25"/>
        <v>356301.91910493741</v>
      </c>
      <c r="I55" s="511">
        <f t="shared" si="27"/>
        <v>0</v>
      </c>
      <c r="J55" s="511"/>
      <c r="K55" s="525"/>
      <c r="L55" s="514">
        <f t="shared" si="28"/>
        <v>0</v>
      </c>
      <c r="M55" s="525"/>
      <c r="N55" s="514">
        <f t="shared" si="29"/>
        <v>0</v>
      </c>
      <c r="O55" s="514">
        <f t="shared" si="30"/>
        <v>0</v>
      </c>
      <c r="P55" s="272"/>
    </row>
    <row r="56" spans="2:17">
      <c r="B56" s="195" t="str">
        <f t="shared" si="6"/>
        <v/>
      </c>
      <c r="C56" s="507">
        <f>IF(D11="","-",+C55+1)</f>
        <v>2047</v>
      </c>
      <c r="D56" s="523">
        <f>IF(F55+SUM(E$17:E55)=D$10,F55,D$10-SUM(E$17:E55))</f>
        <v>1035240.1474212586</v>
      </c>
      <c r="E56" s="522">
        <f>IF(+I14&lt;F55,I14,D56)</f>
        <v>219447.65909090909</v>
      </c>
      <c r="F56" s="523">
        <f t="shared" si="26"/>
        <v>815792.48833034956</v>
      </c>
      <c r="G56" s="524">
        <f t="shared" si="24"/>
        <v>330071.96986560844</v>
      </c>
      <c r="H56" s="491">
        <f t="shared" si="25"/>
        <v>330071.96986560844</v>
      </c>
      <c r="I56" s="511">
        <f t="shared" si="27"/>
        <v>0</v>
      </c>
      <c r="J56" s="511"/>
      <c r="K56" s="525"/>
      <c r="L56" s="514">
        <f t="shared" si="28"/>
        <v>0</v>
      </c>
      <c r="M56" s="525"/>
      <c r="N56" s="514">
        <f t="shared" si="29"/>
        <v>0</v>
      </c>
      <c r="O56" s="514">
        <f t="shared" si="30"/>
        <v>0</v>
      </c>
      <c r="P56" s="272"/>
    </row>
    <row r="57" spans="2:17">
      <c r="B57" s="195" t="str">
        <f t="shared" si="6"/>
        <v/>
      </c>
      <c r="C57" s="507">
        <f>IF(D11="","-",+C56+1)</f>
        <v>2048</v>
      </c>
      <c r="D57" s="523">
        <f>IF(F56+SUM(E$17:E56)=D$10,F56,D$10-SUM(E$17:E56))</f>
        <v>815792.48833034956</v>
      </c>
      <c r="E57" s="522">
        <f>IF(+I14&lt;F56,I14,D57)</f>
        <v>219447.65909090909</v>
      </c>
      <c r="F57" s="523">
        <f t="shared" si="26"/>
        <v>596344.8292394405</v>
      </c>
      <c r="G57" s="524">
        <f t="shared" si="24"/>
        <v>303842.02062627947</v>
      </c>
      <c r="H57" s="491">
        <f t="shared" si="25"/>
        <v>303842.02062627947</v>
      </c>
      <c r="I57" s="511">
        <f t="shared" si="27"/>
        <v>0</v>
      </c>
      <c r="J57" s="511"/>
      <c r="K57" s="525"/>
      <c r="L57" s="514">
        <f t="shared" si="28"/>
        <v>0</v>
      </c>
      <c r="M57" s="525"/>
      <c r="N57" s="514">
        <f t="shared" si="29"/>
        <v>0</v>
      </c>
      <c r="O57" s="514">
        <f t="shared" si="30"/>
        <v>0</v>
      </c>
      <c r="P57" s="272"/>
    </row>
    <row r="58" spans="2:17">
      <c r="B58" s="195" t="str">
        <f t="shared" si="6"/>
        <v/>
      </c>
      <c r="C58" s="507">
        <f>IF(D11="","-",+C57+1)</f>
        <v>2049</v>
      </c>
      <c r="D58" s="523">
        <f>IF(F57+SUM(E$17:E57)=D$10,F57,D$10-SUM(E$17:E57))</f>
        <v>596344.8292394405</v>
      </c>
      <c r="E58" s="522">
        <f>IF(+I14&lt;F57,I14,D58)</f>
        <v>219447.65909090909</v>
      </c>
      <c r="F58" s="523">
        <f t="shared" si="26"/>
        <v>376897.17014853144</v>
      </c>
      <c r="G58" s="524">
        <f t="shared" si="24"/>
        <v>277612.0713869505</v>
      </c>
      <c r="H58" s="491">
        <f t="shared" si="25"/>
        <v>277612.0713869505</v>
      </c>
      <c r="I58" s="511">
        <f t="shared" si="27"/>
        <v>0</v>
      </c>
      <c r="J58" s="511"/>
      <c r="K58" s="525"/>
      <c r="L58" s="514">
        <f t="shared" si="28"/>
        <v>0</v>
      </c>
      <c r="M58" s="525"/>
      <c r="N58" s="514">
        <f t="shared" si="29"/>
        <v>0</v>
      </c>
      <c r="O58" s="514">
        <f t="shared" si="30"/>
        <v>0</v>
      </c>
      <c r="P58" s="272"/>
      <c r="Q58" s="183" t="str">
        <f>IF(ROUND(Q57,0)=ROUND(SUM(Q18:Q56),0),"","Error -- check allocations above).")</f>
        <v/>
      </c>
    </row>
    <row r="59" spans="2:17">
      <c r="B59" s="195" t="str">
        <f t="shared" si="6"/>
        <v/>
      </c>
      <c r="C59" s="507">
        <f>IF(D11="","-",+C58+1)</f>
        <v>2050</v>
      </c>
      <c r="D59" s="523">
        <f>IF(F58+SUM(E$17:E58)=D$10,F58,D$10-SUM(E$17:E58))</f>
        <v>376897.17014853144</v>
      </c>
      <c r="E59" s="522">
        <f>IF(+I14&lt;F58,I14,D59)</f>
        <v>219447.65909090909</v>
      </c>
      <c r="F59" s="523">
        <f t="shared" si="26"/>
        <v>157449.51105762235</v>
      </c>
      <c r="G59" s="524">
        <f t="shared" si="24"/>
        <v>251382.12214762153</v>
      </c>
      <c r="H59" s="491">
        <f t="shared" si="25"/>
        <v>251382.12214762153</v>
      </c>
      <c r="I59" s="511">
        <f t="shared" si="27"/>
        <v>0</v>
      </c>
      <c r="J59" s="511"/>
      <c r="K59" s="525"/>
      <c r="L59" s="514">
        <f t="shared" si="28"/>
        <v>0</v>
      </c>
      <c r="M59" s="525"/>
      <c r="N59" s="514">
        <f t="shared" si="29"/>
        <v>0</v>
      </c>
      <c r="O59" s="514">
        <f t="shared" si="30"/>
        <v>0</v>
      </c>
      <c r="P59" s="272"/>
    </row>
    <row r="60" spans="2:17">
      <c r="B60" s="195" t="str">
        <f t="shared" si="6"/>
        <v/>
      </c>
      <c r="C60" s="507">
        <f>IF(D11="","-",+C59+1)</f>
        <v>2051</v>
      </c>
      <c r="D60" s="523">
        <f>IF(F59+SUM(E$17:E59)=D$10,F59,D$10-SUM(E$17:E59))</f>
        <v>157449.51105762235</v>
      </c>
      <c r="E60" s="522">
        <f>IF(+I14&lt;F59,I14,D60)</f>
        <v>157449.51105762235</v>
      </c>
      <c r="F60" s="523">
        <f t="shared" si="26"/>
        <v>0</v>
      </c>
      <c r="G60" s="524">
        <f t="shared" si="24"/>
        <v>166859.25527614632</v>
      </c>
      <c r="H60" s="491">
        <f t="shared" si="25"/>
        <v>166859.25527614632</v>
      </c>
      <c r="I60" s="511">
        <f t="shared" si="27"/>
        <v>0</v>
      </c>
      <c r="J60" s="511"/>
      <c r="K60" s="525"/>
      <c r="L60" s="514">
        <f t="shared" si="28"/>
        <v>0</v>
      </c>
      <c r="M60" s="525"/>
      <c r="N60" s="514">
        <f t="shared" si="29"/>
        <v>0</v>
      </c>
      <c r="O60" s="514">
        <f t="shared" si="30"/>
        <v>0</v>
      </c>
      <c r="P60" s="272"/>
    </row>
    <row r="61" spans="2:17">
      <c r="B61" s="195" t="str">
        <f t="shared" si="6"/>
        <v/>
      </c>
      <c r="C61" s="507">
        <f>IF(D11="","-",+C60+1)</f>
        <v>2052</v>
      </c>
      <c r="D61" s="523">
        <f>IF(F60+SUM(E$17:E60)=D$10,F60,D$10-SUM(E$17:E60))</f>
        <v>0</v>
      </c>
      <c r="E61" s="522">
        <f>IF(+I14&lt;F60,I14,D61)</f>
        <v>0</v>
      </c>
      <c r="F61" s="523">
        <f t="shared" si="26"/>
        <v>0</v>
      </c>
      <c r="G61" s="526">
        <f t="shared" si="24"/>
        <v>0</v>
      </c>
      <c r="H61" s="491">
        <f t="shared" si="25"/>
        <v>0</v>
      </c>
      <c r="I61" s="511">
        <f t="shared" si="27"/>
        <v>0</v>
      </c>
      <c r="J61" s="511"/>
      <c r="K61" s="525"/>
      <c r="L61" s="514">
        <f t="shared" si="28"/>
        <v>0</v>
      </c>
      <c r="M61" s="525"/>
      <c r="N61" s="514">
        <f t="shared" si="29"/>
        <v>0</v>
      </c>
      <c r="O61" s="514">
        <f t="shared" si="30"/>
        <v>0</v>
      </c>
      <c r="P61" s="272"/>
    </row>
    <row r="62" spans="2:17">
      <c r="B62" s="195" t="str">
        <f t="shared" si="6"/>
        <v/>
      </c>
      <c r="C62" s="507">
        <f>IF(D11="","-",+C61+1)</f>
        <v>2053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26"/>
        <v>0</v>
      </c>
      <c r="G62" s="526">
        <f t="shared" si="24"/>
        <v>0</v>
      </c>
      <c r="H62" s="491">
        <f t="shared" si="25"/>
        <v>0</v>
      </c>
      <c r="I62" s="511">
        <f t="shared" si="27"/>
        <v>0</v>
      </c>
      <c r="J62" s="511"/>
      <c r="K62" s="525"/>
      <c r="L62" s="514">
        <f t="shared" si="28"/>
        <v>0</v>
      </c>
      <c r="M62" s="525"/>
      <c r="N62" s="514">
        <f t="shared" si="29"/>
        <v>0</v>
      </c>
      <c r="O62" s="514">
        <f t="shared" si="30"/>
        <v>0</v>
      </c>
      <c r="P62" s="272"/>
    </row>
    <row r="63" spans="2:17">
      <c r="B63" s="195" t="str">
        <f t="shared" si="6"/>
        <v/>
      </c>
      <c r="C63" s="507">
        <f>IF(D11="","-",+C62+1)</f>
        <v>2054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26"/>
        <v>0</v>
      </c>
      <c r="G63" s="526">
        <f t="shared" si="24"/>
        <v>0</v>
      </c>
      <c r="H63" s="491">
        <f t="shared" si="25"/>
        <v>0</v>
      </c>
      <c r="I63" s="511">
        <f t="shared" si="27"/>
        <v>0</v>
      </c>
      <c r="J63" s="511"/>
      <c r="K63" s="525"/>
      <c r="L63" s="514">
        <f t="shared" si="28"/>
        <v>0</v>
      </c>
      <c r="M63" s="525"/>
      <c r="N63" s="514">
        <f t="shared" si="29"/>
        <v>0</v>
      </c>
      <c r="O63" s="514">
        <f t="shared" si="30"/>
        <v>0</v>
      </c>
      <c r="P63" s="272"/>
    </row>
    <row r="64" spans="2:17">
      <c r="B64" s="195" t="str">
        <f t="shared" si="6"/>
        <v/>
      </c>
      <c r="C64" s="507">
        <f>IF(D11="","-",+C63+1)</f>
        <v>2055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26"/>
        <v>0</v>
      </c>
      <c r="G64" s="526">
        <f t="shared" si="24"/>
        <v>0</v>
      </c>
      <c r="H64" s="491">
        <f t="shared" si="25"/>
        <v>0</v>
      </c>
      <c r="I64" s="511">
        <f t="shared" si="27"/>
        <v>0</v>
      </c>
      <c r="J64" s="511"/>
      <c r="K64" s="525"/>
      <c r="L64" s="514">
        <f t="shared" si="28"/>
        <v>0</v>
      </c>
      <c r="M64" s="525"/>
      <c r="N64" s="514">
        <f t="shared" si="29"/>
        <v>0</v>
      </c>
      <c r="O64" s="514">
        <f t="shared" si="30"/>
        <v>0</v>
      </c>
      <c r="P64" s="272"/>
    </row>
    <row r="65" spans="1:16">
      <c r="B65" s="195" t="str">
        <f t="shared" si="6"/>
        <v/>
      </c>
      <c r="C65" s="507">
        <f>IF(D11="","-",+C64+1)</f>
        <v>2056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26"/>
        <v>0</v>
      </c>
      <c r="G65" s="526">
        <f t="shared" si="24"/>
        <v>0</v>
      </c>
      <c r="H65" s="491">
        <f t="shared" si="25"/>
        <v>0</v>
      </c>
      <c r="I65" s="511">
        <f t="shared" si="27"/>
        <v>0</v>
      </c>
      <c r="J65" s="511"/>
      <c r="K65" s="525"/>
      <c r="L65" s="514">
        <f t="shared" si="28"/>
        <v>0</v>
      </c>
      <c r="M65" s="525"/>
      <c r="N65" s="514">
        <f t="shared" si="29"/>
        <v>0</v>
      </c>
      <c r="O65" s="514">
        <f t="shared" si="30"/>
        <v>0</v>
      </c>
      <c r="P65" s="272"/>
    </row>
    <row r="66" spans="1:16">
      <c r="B66" s="195" t="str">
        <f t="shared" si="6"/>
        <v/>
      </c>
      <c r="C66" s="507">
        <f>IF(D11="","-",+C65+1)</f>
        <v>2057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26"/>
        <v>0</v>
      </c>
      <c r="G66" s="526">
        <f t="shared" si="24"/>
        <v>0</v>
      </c>
      <c r="H66" s="491">
        <f t="shared" si="25"/>
        <v>0</v>
      </c>
      <c r="I66" s="511">
        <f t="shared" si="27"/>
        <v>0</v>
      </c>
      <c r="J66" s="511"/>
      <c r="K66" s="525"/>
      <c r="L66" s="514">
        <f t="shared" si="28"/>
        <v>0</v>
      </c>
      <c r="M66" s="525"/>
      <c r="N66" s="514">
        <f t="shared" si="29"/>
        <v>0</v>
      </c>
      <c r="O66" s="514">
        <f t="shared" si="30"/>
        <v>0</v>
      </c>
      <c r="P66" s="272"/>
    </row>
    <row r="67" spans="1:16">
      <c r="B67" s="195" t="str">
        <f t="shared" si="6"/>
        <v/>
      </c>
      <c r="C67" s="507">
        <f>IF(D11="","-",+C66+1)</f>
        <v>2058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26"/>
        <v>0</v>
      </c>
      <c r="G67" s="526">
        <f t="shared" si="24"/>
        <v>0</v>
      </c>
      <c r="H67" s="491">
        <f t="shared" si="25"/>
        <v>0</v>
      </c>
      <c r="I67" s="511">
        <f t="shared" si="27"/>
        <v>0</v>
      </c>
      <c r="J67" s="511"/>
      <c r="K67" s="525"/>
      <c r="L67" s="514">
        <f t="shared" si="28"/>
        <v>0</v>
      </c>
      <c r="M67" s="525"/>
      <c r="N67" s="514">
        <f t="shared" si="29"/>
        <v>0</v>
      </c>
      <c r="O67" s="514">
        <f t="shared" si="30"/>
        <v>0</v>
      </c>
      <c r="P67" s="272"/>
    </row>
    <row r="68" spans="1:16">
      <c r="B68" s="195" t="str">
        <f t="shared" si="6"/>
        <v/>
      </c>
      <c r="C68" s="507">
        <f>IF(D11="","-",+C67+1)</f>
        <v>2059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26"/>
        <v>0</v>
      </c>
      <c r="G68" s="526">
        <f t="shared" si="24"/>
        <v>0</v>
      </c>
      <c r="H68" s="491">
        <f t="shared" si="25"/>
        <v>0</v>
      </c>
      <c r="I68" s="511">
        <f t="shared" si="27"/>
        <v>0</v>
      </c>
      <c r="J68" s="511"/>
      <c r="K68" s="525"/>
      <c r="L68" s="514">
        <f t="shared" si="28"/>
        <v>0</v>
      </c>
      <c r="M68" s="525"/>
      <c r="N68" s="514">
        <f t="shared" si="29"/>
        <v>0</v>
      </c>
      <c r="O68" s="514">
        <f t="shared" si="30"/>
        <v>0</v>
      </c>
      <c r="P68" s="272"/>
    </row>
    <row r="69" spans="1:16">
      <c r="B69" s="195" t="str">
        <f t="shared" si="6"/>
        <v/>
      </c>
      <c r="C69" s="507">
        <f>IF(D11="","-",+C68+1)</f>
        <v>2060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26"/>
        <v>0</v>
      </c>
      <c r="G69" s="526">
        <f t="shared" si="24"/>
        <v>0</v>
      </c>
      <c r="H69" s="491">
        <f t="shared" si="25"/>
        <v>0</v>
      </c>
      <c r="I69" s="511">
        <f t="shared" si="27"/>
        <v>0</v>
      </c>
      <c r="J69" s="511"/>
      <c r="K69" s="525"/>
      <c r="L69" s="514">
        <f t="shared" si="28"/>
        <v>0</v>
      </c>
      <c r="M69" s="525"/>
      <c r="N69" s="514">
        <f t="shared" si="29"/>
        <v>0</v>
      </c>
      <c r="O69" s="514">
        <f t="shared" si="30"/>
        <v>0</v>
      </c>
      <c r="P69" s="272"/>
    </row>
    <row r="70" spans="1:16">
      <c r="B70" s="195" t="str">
        <f t="shared" si="6"/>
        <v/>
      </c>
      <c r="C70" s="507">
        <f>IF(D11="","-",+C69+1)</f>
        <v>2061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26"/>
        <v>0</v>
      </c>
      <c r="G70" s="526">
        <f t="shared" si="24"/>
        <v>0</v>
      </c>
      <c r="H70" s="491">
        <f t="shared" si="25"/>
        <v>0</v>
      </c>
      <c r="I70" s="511">
        <f t="shared" si="27"/>
        <v>0</v>
      </c>
      <c r="J70" s="511"/>
      <c r="K70" s="525"/>
      <c r="L70" s="514">
        <f t="shared" si="28"/>
        <v>0</v>
      </c>
      <c r="M70" s="525"/>
      <c r="N70" s="514">
        <f t="shared" si="29"/>
        <v>0</v>
      </c>
      <c r="O70" s="514">
        <f t="shared" si="30"/>
        <v>0</v>
      </c>
      <c r="P70" s="272"/>
    </row>
    <row r="71" spans="1:16">
      <c r="B71" s="195" t="str">
        <f t="shared" si="6"/>
        <v/>
      </c>
      <c r="C71" s="507">
        <f>IF(D11="","-",+C70+1)</f>
        <v>2062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26"/>
        <v>0</v>
      </c>
      <c r="G71" s="526">
        <f t="shared" si="24"/>
        <v>0</v>
      </c>
      <c r="H71" s="491">
        <f t="shared" si="25"/>
        <v>0</v>
      </c>
      <c r="I71" s="511">
        <f t="shared" si="27"/>
        <v>0</v>
      </c>
      <c r="J71" s="511"/>
      <c r="K71" s="525"/>
      <c r="L71" s="514">
        <f t="shared" si="28"/>
        <v>0</v>
      </c>
      <c r="M71" s="525"/>
      <c r="N71" s="514">
        <f t="shared" si="29"/>
        <v>0</v>
      </c>
      <c r="O71" s="514">
        <f t="shared" si="30"/>
        <v>0</v>
      </c>
      <c r="P71" s="272"/>
    </row>
    <row r="72" spans="1:16" ht="13.5" thickBot="1">
      <c r="B72" s="195" t="str">
        <f t="shared" si="6"/>
        <v/>
      </c>
      <c r="C72" s="527">
        <f>IF(D11="","-",+C71+1)</f>
        <v>2063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26"/>
        <v>0</v>
      </c>
      <c r="G72" s="530">
        <f t="shared" si="24"/>
        <v>0</v>
      </c>
      <c r="H72" s="471">
        <f t="shared" si="25"/>
        <v>0</v>
      </c>
      <c r="I72" s="531">
        <f t="shared" si="27"/>
        <v>0</v>
      </c>
      <c r="J72" s="511"/>
      <c r="K72" s="532"/>
      <c r="L72" s="533">
        <f t="shared" si="28"/>
        <v>0</v>
      </c>
      <c r="M72" s="532"/>
      <c r="N72" s="533">
        <f t="shared" si="29"/>
        <v>0</v>
      </c>
      <c r="O72" s="533">
        <f t="shared" si="30"/>
        <v>0</v>
      </c>
      <c r="P72" s="272"/>
    </row>
    <row r="73" spans="1:16">
      <c r="C73" s="374" t="s">
        <v>78</v>
      </c>
      <c r="D73" s="375"/>
      <c r="E73" s="375">
        <f>SUM(E17:E72)</f>
        <v>9655696.9999999963</v>
      </c>
      <c r="F73" s="375"/>
      <c r="G73" s="375">
        <f>SUM(G17:G72)</f>
        <v>35682249.008567348</v>
      </c>
      <c r="H73" s="375">
        <f>SUM(H17:H72)</f>
        <v>35682249.008567348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1:16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1:16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1:16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1:16" ht="18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535"/>
      <c r="P77" s="272"/>
    </row>
    <row r="78" spans="1:16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1:16" ht="15">
      <c r="A79" s="536"/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</row>
    <row r="80" spans="1:16" ht="18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7">
      <c r="B81" s="269"/>
      <c r="C81" s="537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7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  <c r="Q82" s="269"/>
    </row>
    <row r="83" spans="1:17" ht="20.25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535" t="str">
        <f ca="1">P1</f>
        <v>SWEPCO Project 8 of 75</v>
      </c>
      <c r="Q83" s="269"/>
    </row>
    <row r="84" spans="1:17" ht="18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454" t="s">
        <v>128</v>
      </c>
      <c r="Q84" s="269"/>
    </row>
    <row r="85" spans="1:17" ht="18.7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  <c r="Q85" s="269"/>
    </row>
    <row r="86" spans="1:17" ht="15.75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2022</v>
      </c>
      <c r="M86" s="541" t="s">
        <v>9</v>
      </c>
      <c r="N86" s="542" t="s">
        <v>159</v>
      </c>
      <c r="O86" s="543" t="s">
        <v>11</v>
      </c>
      <c r="P86" s="269"/>
      <c r="Q86" s="269"/>
    </row>
    <row r="87" spans="1:17" ht="1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391</v>
      </c>
      <c r="M87" s="546">
        <f>IF(J92&lt;D11,0,VLOOKUP(J92,C17:O72,9))</f>
        <v>952618.78253978002</v>
      </c>
      <c r="N87" s="546">
        <f>IF(J92&lt;D11,0,VLOOKUP(J92,C17:O72,11))</f>
        <v>952618.78253978002</v>
      </c>
      <c r="O87" s="547">
        <f>+N87-M87</f>
        <v>0</v>
      </c>
      <c r="P87" s="269"/>
      <c r="Q87" s="269"/>
    </row>
    <row r="88" spans="1:17" ht="15.7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392</v>
      </c>
      <c r="M88" s="550">
        <f>IF(J92&lt;D11,0,VLOOKUP(J92,C99:P154,6))</f>
        <v>998197.99664642895</v>
      </c>
      <c r="N88" s="550">
        <f>IF(J92&lt;D11,0,VLOOKUP(J92,C99:P154,7))</f>
        <v>998197.99664642895</v>
      </c>
      <c r="O88" s="551">
        <f>+N88-M88</f>
        <v>0</v>
      </c>
      <c r="P88" s="269"/>
      <c r="Q88" s="269"/>
    </row>
    <row r="89" spans="1:17" ht="13.5" thickBot="1">
      <c r="C89" s="467" t="s">
        <v>84</v>
      </c>
      <c r="D89" s="552" t="str">
        <f>+D7</f>
        <v>Dyess to S. Fayetteville 69 kV Convert to 161 kV (multi-projects)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45579.214106648928</v>
      </c>
      <c r="N89" s="555">
        <f>+N88-N87</f>
        <v>45579.214106648928</v>
      </c>
      <c r="O89" s="556">
        <f>+O88-O87</f>
        <v>0</v>
      </c>
      <c r="P89" s="269"/>
      <c r="Q89" s="269"/>
    </row>
    <row r="90" spans="1:17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  <c r="Q90" s="269"/>
    </row>
    <row r="91" spans="1:17" ht="13.5" thickBot="1">
      <c r="A91" s="191"/>
      <c r="C91" s="558" t="s">
        <v>85</v>
      </c>
      <c r="D91" s="559" t="str">
        <f>+D9</f>
        <v>TP2002085</v>
      </c>
      <c r="E91" s="560"/>
      <c r="F91" s="560"/>
      <c r="G91" s="560"/>
      <c r="H91" s="560"/>
      <c r="I91" s="560"/>
      <c r="J91" s="561"/>
      <c r="K91" s="562"/>
      <c r="P91" s="481"/>
      <c r="Q91" s="269"/>
    </row>
    <row r="92" spans="1:17">
      <c r="C92" s="486" t="s">
        <v>51</v>
      </c>
      <c r="D92" s="483">
        <v>9655697</v>
      </c>
      <c r="E92" s="340" t="s">
        <v>86</v>
      </c>
      <c r="H92" s="484"/>
      <c r="I92" s="484"/>
      <c r="J92" s="485">
        <f>+'SWE.WS.G.BPU.ATRR.True-up'!M16</f>
        <v>2022</v>
      </c>
      <c r="K92" s="480"/>
      <c r="L92" s="375" t="s">
        <v>87</v>
      </c>
      <c r="P92" s="272"/>
      <c r="Q92" s="269"/>
    </row>
    <row r="93" spans="1:17">
      <c r="C93" s="486" t="s">
        <v>54</v>
      </c>
      <c r="D93" s="563">
        <f>IF(D11=I10,"",D11)</f>
        <v>2008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  <c r="Q93" s="269"/>
    </row>
    <row r="94" spans="1:17">
      <c r="C94" s="486" t="s">
        <v>56</v>
      </c>
      <c r="D94" s="564">
        <f>IF(D11=I10,"",D12)</f>
        <v>7</v>
      </c>
      <c r="E94" s="486" t="s">
        <v>57</v>
      </c>
      <c r="F94" s="484"/>
      <c r="G94" s="484"/>
      <c r="J94" s="490">
        <f>'SWE.WS.G.BPU.ATRR.True-up'!$F$81</f>
        <v>0.11351422637179906</v>
      </c>
      <c r="K94" s="425"/>
      <c r="L94" s="183" t="s">
        <v>88</v>
      </c>
      <c r="P94" s="272"/>
      <c r="Q94" s="269"/>
    </row>
    <row r="95" spans="1:17">
      <c r="C95" s="486" t="s">
        <v>59</v>
      </c>
      <c r="D95" s="488">
        <f>'SWE.WS.G.BPU.ATRR.True-up'!F$93</f>
        <v>41</v>
      </c>
      <c r="E95" s="486" t="s">
        <v>60</v>
      </c>
      <c r="F95" s="484"/>
      <c r="G95" s="484"/>
      <c r="J95" s="490">
        <f>IF(H87="",J94,'SWE.WS.G.BPU.ATRR.True-up'!$F$80)</f>
        <v>0.11351422637179906</v>
      </c>
      <c r="K95" s="324"/>
      <c r="L95" s="375" t="s">
        <v>61</v>
      </c>
      <c r="M95" s="324"/>
      <c r="N95" s="324"/>
      <c r="O95" s="324"/>
      <c r="P95" s="272"/>
      <c r="Q95" s="269"/>
    </row>
    <row r="96" spans="1:17" ht="13.5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235504.80487804877</v>
      </c>
      <c r="K96" s="375"/>
      <c r="L96" s="375"/>
      <c r="M96" s="375"/>
      <c r="N96" s="375"/>
      <c r="O96" s="375"/>
      <c r="P96" s="272"/>
      <c r="Q96" s="269"/>
    </row>
    <row r="97" spans="1:17" ht="38.25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388</v>
      </c>
      <c r="I97" s="495" t="s">
        <v>389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  <c r="Q97" s="269"/>
    </row>
    <row r="98" spans="1:17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1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  <c r="Q98" s="269"/>
    </row>
    <row r="99" spans="1:17">
      <c r="C99" s="507">
        <f>IF(D93= "","-",D93)</f>
        <v>2008</v>
      </c>
      <c r="D99" s="508">
        <v>0</v>
      </c>
      <c r="E99" s="516">
        <v>71783</v>
      </c>
      <c r="F99" s="515">
        <v>6302584</v>
      </c>
      <c r="G99" s="574">
        <v>3151292</v>
      </c>
      <c r="H99" s="575">
        <v>574103</v>
      </c>
      <c r="I99" s="576">
        <v>574103</v>
      </c>
      <c r="J99" s="514">
        <f t="shared" ref="J99:J130" si="31">+I99-H99</f>
        <v>0</v>
      </c>
      <c r="K99" s="514"/>
      <c r="L99" s="512">
        <v>574103</v>
      </c>
      <c r="M99" s="597">
        <f t="shared" ref="M99:M130" si="32">IF(L99&lt;&gt;0,+H99-L99,0)</f>
        <v>0</v>
      </c>
      <c r="N99" s="512">
        <v>574103</v>
      </c>
      <c r="O99" s="513">
        <f t="shared" ref="O99:O130" si="33">IF(N99&lt;&gt;0,+I99-N99,0)</f>
        <v>0</v>
      </c>
      <c r="P99" s="513">
        <f t="shared" ref="P99:P130" si="34">+O99-M99</f>
        <v>0</v>
      </c>
      <c r="Q99" s="269"/>
    </row>
    <row r="100" spans="1:17">
      <c r="B100" s="195" t="str">
        <f>IF(D100=F99,"","IU")</f>
        <v>IU</v>
      </c>
      <c r="C100" s="507">
        <f>IF(D93="","-",+C99+1)</f>
        <v>2009</v>
      </c>
      <c r="D100" s="508">
        <v>6334999</v>
      </c>
      <c r="E100" s="516">
        <v>168599</v>
      </c>
      <c r="F100" s="515">
        <v>6166399</v>
      </c>
      <c r="G100" s="515">
        <v>6250699</v>
      </c>
      <c r="H100" s="516">
        <v>1073311</v>
      </c>
      <c r="I100" s="510">
        <v>1073311</v>
      </c>
      <c r="J100" s="514">
        <f t="shared" si="31"/>
        <v>0</v>
      </c>
      <c r="K100" s="514"/>
      <c r="L100" s="518">
        <f t="shared" ref="L100:L105" si="35">H100</f>
        <v>1073311</v>
      </c>
      <c r="M100" s="519">
        <f t="shared" si="32"/>
        <v>0</v>
      </c>
      <c r="N100" s="518">
        <f t="shared" ref="N100:N105" si="36">I100</f>
        <v>1073311</v>
      </c>
      <c r="O100" s="514">
        <f t="shared" si="33"/>
        <v>0</v>
      </c>
      <c r="P100" s="514">
        <f t="shared" si="34"/>
        <v>0</v>
      </c>
      <c r="Q100" s="269"/>
    </row>
    <row r="101" spans="1:17">
      <c r="B101" s="195" t="str">
        <f t="shared" ref="B101:B154" si="37">IF(D101=F100,"","IU")</f>
        <v>IU</v>
      </c>
      <c r="C101" s="507">
        <f>IF(D93="","-",+C100+1)</f>
        <v>2010</v>
      </c>
      <c r="D101" s="508">
        <v>9415315</v>
      </c>
      <c r="E101" s="516">
        <v>235504.80487804877</v>
      </c>
      <c r="F101" s="515">
        <v>9179810.1951219514</v>
      </c>
      <c r="G101" s="515">
        <v>9297562.5975609757</v>
      </c>
      <c r="H101" s="516">
        <v>1770402.9873066382</v>
      </c>
      <c r="I101" s="510">
        <v>1770402.9873066382</v>
      </c>
      <c r="J101" s="514">
        <f t="shared" si="31"/>
        <v>0</v>
      </c>
      <c r="K101" s="514"/>
      <c r="L101" s="518">
        <f t="shared" si="35"/>
        <v>1770402.9873066382</v>
      </c>
      <c r="M101" s="519">
        <f t="shared" si="32"/>
        <v>0</v>
      </c>
      <c r="N101" s="518">
        <f t="shared" si="36"/>
        <v>1770402.9873066382</v>
      </c>
      <c r="O101" s="514">
        <f t="shared" si="33"/>
        <v>0</v>
      </c>
      <c r="P101" s="514">
        <f t="shared" si="34"/>
        <v>0</v>
      </c>
      <c r="Q101" s="269"/>
    </row>
    <row r="102" spans="1:17">
      <c r="B102" s="195" t="str">
        <f t="shared" si="37"/>
        <v/>
      </c>
      <c r="C102" s="507">
        <f>IF(D93="","-",+C101+1)</f>
        <v>2011</v>
      </c>
      <c r="D102" s="508">
        <v>9179810.1951219514</v>
      </c>
      <c r="E102" s="520">
        <v>229897.54761904763</v>
      </c>
      <c r="F102" s="515">
        <v>8949912.6475029029</v>
      </c>
      <c r="G102" s="515">
        <v>9064861.4213124271</v>
      </c>
      <c r="H102" s="516">
        <v>1593070.5131617924</v>
      </c>
      <c r="I102" s="510">
        <v>1593070.5131617924</v>
      </c>
      <c r="J102" s="514">
        <f t="shared" si="31"/>
        <v>0</v>
      </c>
      <c r="K102" s="514"/>
      <c r="L102" s="518">
        <f t="shared" si="35"/>
        <v>1593070.5131617924</v>
      </c>
      <c r="M102" s="519">
        <f t="shared" si="32"/>
        <v>0</v>
      </c>
      <c r="N102" s="518">
        <f t="shared" si="36"/>
        <v>1593070.5131617924</v>
      </c>
      <c r="O102" s="514">
        <f t="shared" si="33"/>
        <v>0</v>
      </c>
      <c r="P102" s="514">
        <f t="shared" si="34"/>
        <v>0</v>
      </c>
      <c r="Q102" s="269"/>
    </row>
    <row r="103" spans="1:17">
      <c r="B103" s="195" t="str">
        <f t="shared" si="37"/>
        <v/>
      </c>
      <c r="C103" s="507">
        <f>IF(D93="","-",+C102+1)</f>
        <v>2012</v>
      </c>
      <c r="D103" s="508">
        <v>8949912.6475029029</v>
      </c>
      <c r="E103" s="516">
        <v>229897.54761904763</v>
      </c>
      <c r="F103" s="515">
        <v>8720015.0998838544</v>
      </c>
      <c r="G103" s="515">
        <v>8834963.8736933786</v>
      </c>
      <c r="H103" s="516">
        <v>1529997.2189099854</v>
      </c>
      <c r="I103" s="510">
        <v>1529997.2189099854</v>
      </c>
      <c r="J103" s="514">
        <f t="shared" si="31"/>
        <v>0</v>
      </c>
      <c r="K103" s="514"/>
      <c r="L103" s="518">
        <f t="shared" si="35"/>
        <v>1529997.2189099854</v>
      </c>
      <c r="M103" s="519">
        <f t="shared" si="32"/>
        <v>0</v>
      </c>
      <c r="N103" s="518">
        <f t="shared" si="36"/>
        <v>1529997.2189099854</v>
      </c>
      <c r="O103" s="514">
        <f t="shared" si="33"/>
        <v>0</v>
      </c>
      <c r="P103" s="514">
        <f t="shared" si="34"/>
        <v>0</v>
      </c>
      <c r="Q103" s="269"/>
    </row>
    <row r="104" spans="1:17">
      <c r="B104" s="195" t="str">
        <f t="shared" si="37"/>
        <v/>
      </c>
      <c r="C104" s="507">
        <f>IF(D93="","-",+C103+1)</f>
        <v>2013</v>
      </c>
      <c r="D104" s="508">
        <v>8720015.0998838544</v>
      </c>
      <c r="E104" s="516">
        <v>229897.54761904763</v>
      </c>
      <c r="F104" s="515">
        <v>8490117.5522648059</v>
      </c>
      <c r="G104" s="515">
        <v>8605066.3260743301</v>
      </c>
      <c r="H104" s="516">
        <v>1394091.6193593477</v>
      </c>
      <c r="I104" s="510">
        <v>1394091.6193593477</v>
      </c>
      <c r="J104" s="514">
        <v>0</v>
      </c>
      <c r="K104" s="514"/>
      <c r="L104" s="518">
        <f t="shared" si="35"/>
        <v>1394091.6193593477</v>
      </c>
      <c r="M104" s="519">
        <f t="shared" ref="M104:M109" si="38">IF(L104&lt;&gt;0,+H104-L104,0)</f>
        <v>0</v>
      </c>
      <c r="N104" s="518">
        <f t="shared" si="36"/>
        <v>1394091.6193593477</v>
      </c>
      <c r="O104" s="514">
        <f t="shared" ref="O104:O109" si="39">IF(N104&lt;&gt;0,+I104-N104,0)</f>
        <v>0</v>
      </c>
      <c r="P104" s="514">
        <f t="shared" ref="P104:P109" si="40">+O104-M104</f>
        <v>0</v>
      </c>
      <c r="Q104" s="269"/>
    </row>
    <row r="105" spans="1:17">
      <c r="B105" s="195" t="str">
        <f t="shared" si="37"/>
        <v/>
      </c>
      <c r="C105" s="507">
        <f>IF(D93="","-",+C104+1)</f>
        <v>2014</v>
      </c>
      <c r="D105" s="508">
        <v>8490117.5522648059</v>
      </c>
      <c r="E105" s="516">
        <v>229897.54761904763</v>
      </c>
      <c r="F105" s="515">
        <v>8260220.0046457583</v>
      </c>
      <c r="G105" s="515">
        <v>8375168.7784552816</v>
      </c>
      <c r="H105" s="516">
        <v>1368279.4640981164</v>
      </c>
      <c r="I105" s="510">
        <v>1368279.4640981164</v>
      </c>
      <c r="J105" s="514">
        <v>0</v>
      </c>
      <c r="K105" s="514"/>
      <c r="L105" s="518">
        <f t="shared" si="35"/>
        <v>1368279.4640981164</v>
      </c>
      <c r="M105" s="519">
        <f t="shared" si="38"/>
        <v>0</v>
      </c>
      <c r="N105" s="518">
        <f t="shared" si="36"/>
        <v>1368279.4640981164</v>
      </c>
      <c r="O105" s="514">
        <f t="shared" si="39"/>
        <v>0</v>
      </c>
      <c r="P105" s="514">
        <f t="shared" si="40"/>
        <v>0</v>
      </c>
      <c r="Q105" s="269"/>
    </row>
    <row r="106" spans="1:17">
      <c r="B106" s="195" t="str">
        <f t="shared" si="37"/>
        <v/>
      </c>
      <c r="C106" s="507">
        <f>IF(D93="","-",+C105+1)</f>
        <v>2015</v>
      </c>
      <c r="D106" s="508">
        <v>8260220.0046457583</v>
      </c>
      <c r="E106" s="516">
        <v>229897.54761904763</v>
      </c>
      <c r="F106" s="515">
        <v>8030322.4570267107</v>
      </c>
      <c r="G106" s="515">
        <v>8145271.230836235</v>
      </c>
      <c r="H106" s="516">
        <v>1303190.7976937878</v>
      </c>
      <c r="I106" s="510">
        <v>1303190.7976937878</v>
      </c>
      <c r="J106" s="514">
        <f t="shared" si="31"/>
        <v>0</v>
      </c>
      <c r="K106" s="514"/>
      <c r="L106" s="518">
        <f t="shared" ref="L106:L111" si="41">H106</f>
        <v>1303190.7976937878</v>
      </c>
      <c r="M106" s="519">
        <f t="shared" si="38"/>
        <v>0</v>
      </c>
      <c r="N106" s="518">
        <f t="shared" ref="N106:N111" si="42">I106</f>
        <v>1303190.7976937878</v>
      </c>
      <c r="O106" s="514">
        <f t="shared" si="39"/>
        <v>0</v>
      </c>
      <c r="P106" s="514">
        <f t="shared" si="40"/>
        <v>0</v>
      </c>
      <c r="Q106" s="269"/>
    </row>
    <row r="107" spans="1:17">
      <c r="B107" s="195" t="str">
        <f t="shared" si="37"/>
        <v/>
      </c>
      <c r="C107" s="507">
        <f>IF(D93="","-",+C106+1)</f>
        <v>2016</v>
      </c>
      <c r="D107" s="508">
        <v>8030322.4570267107</v>
      </c>
      <c r="E107" s="516">
        <v>224551.09302325582</v>
      </c>
      <c r="F107" s="515">
        <v>7805771.3640034553</v>
      </c>
      <c r="G107" s="515">
        <v>7918046.910515083</v>
      </c>
      <c r="H107" s="516">
        <v>1229747.055579846</v>
      </c>
      <c r="I107" s="510">
        <v>1229747.055579846</v>
      </c>
      <c r="J107" s="514">
        <f t="shared" si="31"/>
        <v>0</v>
      </c>
      <c r="K107" s="514"/>
      <c r="L107" s="518">
        <f t="shared" si="41"/>
        <v>1229747.055579846</v>
      </c>
      <c r="M107" s="519">
        <f t="shared" si="38"/>
        <v>0</v>
      </c>
      <c r="N107" s="518">
        <f t="shared" si="42"/>
        <v>1229747.055579846</v>
      </c>
      <c r="O107" s="514">
        <f t="shared" si="39"/>
        <v>0</v>
      </c>
      <c r="P107" s="514">
        <f t="shared" si="40"/>
        <v>0</v>
      </c>
      <c r="Q107" s="269"/>
    </row>
    <row r="108" spans="1:17">
      <c r="B108" s="195" t="str">
        <f t="shared" si="37"/>
        <v/>
      </c>
      <c r="C108" s="507">
        <f>IF(D93="","-",+C107+1)</f>
        <v>2017</v>
      </c>
      <c r="D108" s="508">
        <v>7805771.3640034553</v>
      </c>
      <c r="E108" s="516">
        <v>229897.54761904763</v>
      </c>
      <c r="F108" s="515">
        <v>7575873.8163844077</v>
      </c>
      <c r="G108" s="515">
        <v>7690822.590193931</v>
      </c>
      <c r="H108" s="516">
        <v>1164112.978438803</v>
      </c>
      <c r="I108" s="510">
        <v>1164112.978438803</v>
      </c>
      <c r="J108" s="514">
        <f t="shared" si="31"/>
        <v>0</v>
      </c>
      <c r="K108" s="514"/>
      <c r="L108" s="518">
        <f t="shared" si="41"/>
        <v>1164112.978438803</v>
      </c>
      <c r="M108" s="519">
        <f t="shared" si="38"/>
        <v>0</v>
      </c>
      <c r="N108" s="518">
        <f t="shared" si="42"/>
        <v>1164112.978438803</v>
      </c>
      <c r="O108" s="514">
        <f t="shared" si="39"/>
        <v>0</v>
      </c>
      <c r="P108" s="514">
        <f t="shared" si="40"/>
        <v>0</v>
      </c>
      <c r="Q108" s="269"/>
    </row>
    <row r="109" spans="1:17">
      <c r="B109" s="195" t="str">
        <f t="shared" si="37"/>
        <v/>
      </c>
      <c r="C109" s="507">
        <f>IF(D93="","-",+C108+1)</f>
        <v>2018</v>
      </c>
      <c r="D109" s="508">
        <v>7575873.8163844077</v>
      </c>
      <c r="E109" s="516">
        <v>229897.54761904763</v>
      </c>
      <c r="F109" s="515">
        <v>7345976.2687653601</v>
      </c>
      <c r="G109" s="515">
        <v>7460925.0425748844</v>
      </c>
      <c r="H109" s="516">
        <v>1017805.4465726623</v>
      </c>
      <c r="I109" s="510">
        <v>1017805.4465726623</v>
      </c>
      <c r="J109" s="514">
        <f t="shared" si="31"/>
        <v>0</v>
      </c>
      <c r="K109" s="514"/>
      <c r="L109" s="518">
        <f t="shared" si="41"/>
        <v>1017805.4465726623</v>
      </c>
      <c r="M109" s="519">
        <f t="shared" si="38"/>
        <v>0</v>
      </c>
      <c r="N109" s="518">
        <f t="shared" si="42"/>
        <v>1017805.4465726623</v>
      </c>
      <c r="O109" s="514">
        <f t="shared" si="39"/>
        <v>0</v>
      </c>
      <c r="P109" s="514">
        <f t="shared" si="40"/>
        <v>0</v>
      </c>
      <c r="Q109" s="269"/>
    </row>
    <row r="110" spans="1:17">
      <c r="B110" s="195" t="str">
        <f t="shared" si="37"/>
        <v/>
      </c>
      <c r="C110" s="507">
        <f>IF(D93="","-",+C109+1)</f>
        <v>2019</v>
      </c>
      <c r="D110" s="508">
        <v>7345976.2687653601</v>
      </c>
      <c r="E110" s="516">
        <v>224551.09302325582</v>
      </c>
      <c r="F110" s="515">
        <v>7121425.1757421046</v>
      </c>
      <c r="G110" s="515">
        <v>7233700.7222537324</v>
      </c>
      <c r="H110" s="516">
        <v>998850.37185500155</v>
      </c>
      <c r="I110" s="510">
        <v>998850.37185500155</v>
      </c>
      <c r="J110" s="514">
        <f t="shared" si="31"/>
        <v>0</v>
      </c>
      <c r="K110" s="514"/>
      <c r="L110" s="518">
        <f t="shared" si="41"/>
        <v>998850.37185500155</v>
      </c>
      <c r="M110" s="519">
        <f t="shared" ref="M110:M111" si="43">IF(L110&lt;&gt;0,+H110-L110,0)</f>
        <v>0</v>
      </c>
      <c r="N110" s="518">
        <f t="shared" si="42"/>
        <v>998850.37185500155</v>
      </c>
      <c r="O110" s="514">
        <f t="shared" si="33"/>
        <v>0</v>
      </c>
      <c r="P110" s="514">
        <f t="shared" si="34"/>
        <v>0</v>
      </c>
      <c r="Q110" s="269"/>
    </row>
    <row r="111" spans="1:17">
      <c r="B111" s="195" t="str">
        <f t="shared" si="37"/>
        <v/>
      </c>
      <c r="C111" s="507">
        <f>IF(D93="","-",+C110+1)</f>
        <v>2020</v>
      </c>
      <c r="D111" s="508">
        <v>7121425.1757421046</v>
      </c>
      <c r="E111" s="516">
        <v>229897.54761904763</v>
      </c>
      <c r="F111" s="515">
        <v>6891527.6281230571</v>
      </c>
      <c r="G111" s="515">
        <v>7006476.4019325804</v>
      </c>
      <c r="H111" s="516">
        <v>983611.06650091335</v>
      </c>
      <c r="I111" s="510">
        <v>983611.06650091335</v>
      </c>
      <c r="J111" s="514">
        <f t="shared" si="31"/>
        <v>0</v>
      </c>
      <c r="K111" s="514"/>
      <c r="L111" s="518">
        <f t="shared" si="41"/>
        <v>983611.06650091335</v>
      </c>
      <c r="M111" s="519">
        <f t="shared" si="43"/>
        <v>0</v>
      </c>
      <c r="N111" s="518">
        <f t="shared" si="42"/>
        <v>983611.06650091335</v>
      </c>
      <c r="O111" s="514">
        <f t="shared" si="33"/>
        <v>0</v>
      </c>
      <c r="P111" s="514">
        <f t="shared" si="34"/>
        <v>0</v>
      </c>
      <c r="Q111" s="269"/>
    </row>
    <row r="112" spans="1:17">
      <c r="B112" s="195" t="str">
        <f t="shared" si="37"/>
        <v/>
      </c>
      <c r="C112" s="507">
        <f>IF(D93="","-",+C111+1)</f>
        <v>2021</v>
      </c>
      <c r="D112" s="508">
        <v>6891527.6281230571</v>
      </c>
      <c r="E112" s="516">
        <v>235504.80487804877</v>
      </c>
      <c r="F112" s="515">
        <v>6656022.8232450085</v>
      </c>
      <c r="G112" s="515">
        <v>6773775.2256840328</v>
      </c>
      <c r="H112" s="516">
        <v>1004424.6592380304</v>
      </c>
      <c r="I112" s="510">
        <v>1004424.6592380304</v>
      </c>
      <c r="J112" s="514">
        <f t="shared" si="31"/>
        <v>0</v>
      </c>
      <c r="K112" s="514"/>
      <c r="L112" s="518">
        <f t="shared" ref="L112" si="44">H112</f>
        <v>1004424.6592380304</v>
      </c>
      <c r="M112" s="519">
        <f t="shared" ref="M112" si="45">IF(L112&lt;&gt;0,+H112-L112,0)</f>
        <v>0</v>
      </c>
      <c r="N112" s="518">
        <f t="shared" ref="N112" si="46">I112</f>
        <v>1004424.6592380304</v>
      </c>
      <c r="O112" s="514">
        <f t="shared" ref="O112" si="47">IF(N112&lt;&gt;0,+I112-N112,0)</f>
        <v>0</v>
      </c>
      <c r="P112" s="514">
        <f t="shared" ref="P112" si="48">+O112-M112</f>
        <v>0</v>
      </c>
      <c r="Q112" s="269"/>
    </row>
    <row r="113" spans="2:17">
      <c r="B113" s="195" t="str">
        <f t="shared" si="37"/>
        <v/>
      </c>
      <c r="C113" s="673">
        <f>IF(D93="","-",+C112+1)</f>
        <v>2022</v>
      </c>
      <c r="D113" s="374">
        <v>6656022.8232450085</v>
      </c>
      <c r="E113" s="522">
        <v>229897.54761904763</v>
      </c>
      <c r="F113" s="523">
        <v>6426125.2756259609</v>
      </c>
      <c r="G113" s="523">
        <v>6541074.0494354852</v>
      </c>
      <c r="H113" s="526">
        <v>998197.99664642895</v>
      </c>
      <c r="I113" s="577">
        <v>998197.99664642895</v>
      </c>
      <c r="J113" s="514">
        <f t="shared" si="31"/>
        <v>0</v>
      </c>
      <c r="K113" s="514"/>
      <c r="L113" s="525"/>
      <c r="M113" s="514">
        <f t="shared" si="32"/>
        <v>0</v>
      </c>
      <c r="N113" s="525"/>
      <c r="O113" s="514">
        <f t="shared" si="33"/>
        <v>0</v>
      </c>
      <c r="P113" s="514">
        <f t="shared" si="34"/>
        <v>0</v>
      </c>
      <c r="Q113" s="269"/>
    </row>
    <row r="114" spans="2:17">
      <c r="B114" s="195" t="str">
        <f t="shared" si="37"/>
        <v/>
      </c>
      <c r="C114" s="507">
        <f>IF(D93="","-",+C113+1)</f>
        <v>2023</v>
      </c>
      <c r="D114" s="374">
        <f>IF(F113+SUM(E$99:E113)=D$92,F113,D$92-SUM(E$99:E113))</f>
        <v>6426125.2756259609</v>
      </c>
      <c r="E114" s="522">
        <f>IF(+J96&lt;F113,J96,D114)</f>
        <v>235504.80487804877</v>
      </c>
      <c r="F114" s="523">
        <f t="shared" ref="F114:F130" si="49">+D114-E114</f>
        <v>6190620.4707479123</v>
      </c>
      <c r="G114" s="523">
        <f t="shared" ref="G114:G130" si="50">+(F114+D114)/2</f>
        <v>6308372.8731869366</v>
      </c>
      <c r="H114" s="526">
        <f t="shared" ref="H114:H154" si="51">+J$94*G114+E114</f>
        <v>951594.87124270713</v>
      </c>
      <c r="I114" s="577">
        <f t="shared" ref="I114:I154" si="52">+J$95*G114+E114</f>
        <v>951594.87124270713</v>
      </c>
      <c r="J114" s="514">
        <f t="shared" si="31"/>
        <v>0</v>
      </c>
      <c r="K114" s="514"/>
      <c r="L114" s="525"/>
      <c r="M114" s="514">
        <f t="shared" si="32"/>
        <v>0</v>
      </c>
      <c r="N114" s="525"/>
      <c r="O114" s="514">
        <f t="shared" si="33"/>
        <v>0</v>
      </c>
      <c r="P114" s="514">
        <f t="shared" si="34"/>
        <v>0</v>
      </c>
      <c r="Q114" s="269"/>
    </row>
    <row r="115" spans="2:17">
      <c r="B115" s="195" t="str">
        <f t="shared" si="37"/>
        <v/>
      </c>
      <c r="C115" s="507">
        <f>IF(D93="","-",+C114+1)</f>
        <v>2024</v>
      </c>
      <c r="D115" s="374">
        <f>IF(F114+SUM(E$99:E114)=D$92,F114,D$92-SUM(E$99:E114))</f>
        <v>6190620.4707479123</v>
      </c>
      <c r="E115" s="522">
        <f>IF(+J96&lt;F114,J96,D115)</f>
        <v>235504.80487804877</v>
      </c>
      <c r="F115" s="523">
        <f t="shared" si="49"/>
        <v>5955115.6658698637</v>
      </c>
      <c r="G115" s="523">
        <f t="shared" si="50"/>
        <v>6072868.068308888</v>
      </c>
      <c r="H115" s="526">
        <f t="shared" si="51"/>
        <v>924861.7255101339</v>
      </c>
      <c r="I115" s="577">
        <f t="shared" si="52"/>
        <v>924861.7255101339</v>
      </c>
      <c r="J115" s="514">
        <f t="shared" si="31"/>
        <v>0</v>
      </c>
      <c r="K115" s="514"/>
      <c r="L115" s="525"/>
      <c r="M115" s="514">
        <f t="shared" si="32"/>
        <v>0</v>
      </c>
      <c r="N115" s="525"/>
      <c r="O115" s="514">
        <f t="shared" si="33"/>
        <v>0</v>
      </c>
      <c r="P115" s="514">
        <f t="shared" si="34"/>
        <v>0</v>
      </c>
      <c r="Q115" s="269"/>
    </row>
    <row r="116" spans="2:17">
      <c r="B116" s="195" t="str">
        <f t="shared" si="37"/>
        <v/>
      </c>
      <c r="C116" s="507">
        <f>IF(D93="","-",+C115+1)</f>
        <v>2025</v>
      </c>
      <c r="D116" s="374">
        <f>IF(F115+SUM(E$99:E115)=D$92,F115,D$92-SUM(E$99:E115))</f>
        <v>5955115.6658698637</v>
      </c>
      <c r="E116" s="522">
        <f>IF(+J96&lt;F115,J96,D116)</f>
        <v>235504.80487804877</v>
      </c>
      <c r="F116" s="523">
        <f t="shared" si="49"/>
        <v>5719610.8609918151</v>
      </c>
      <c r="G116" s="523">
        <f t="shared" si="50"/>
        <v>5837363.2634308394</v>
      </c>
      <c r="H116" s="526">
        <f t="shared" si="51"/>
        <v>898128.5797775609</v>
      </c>
      <c r="I116" s="577">
        <f t="shared" si="52"/>
        <v>898128.5797775609</v>
      </c>
      <c r="J116" s="514">
        <f t="shared" si="31"/>
        <v>0</v>
      </c>
      <c r="K116" s="514"/>
      <c r="L116" s="525"/>
      <c r="M116" s="514">
        <f t="shared" si="32"/>
        <v>0</v>
      </c>
      <c r="N116" s="525"/>
      <c r="O116" s="514">
        <f t="shared" si="33"/>
        <v>0</v>
      </c>
      <c r="P116" s="514">
        <f t="shared" si="34"/>
        <v>0</v>
      </c>
      <c r="Q116" s="269"/>
    </row>
    <row r="117" spans="2:17">
      <c r="B117" s="195" t="str">
        <f t="shared" si="37"/>
        <v/>
      </c>
      <c r="C117" s="507">
        <f>IF(D93="","-",+C116+1)</f>
        <v>2026</v>
      </c>
      <c r="D117" s="374">
        <f>IF(F116+SUM(E$99:E116)=D$92,F116,D$92-SUM(E$99:E116))</f>
        <v>5719610.8609918151</v>
      </c>
      <c r="E117" s="522">
        <f>IF(+J96&lt;F116,J96,D117)</f>
        <v>235504.80487804877</v>
      </c>
      <c r="F117" s="523">
        <f t="shared" si="49"/>
        <v>5484106.0561137665</v>
      </c>
      <c r="G117" s="523">
        <f t="shared" si="50"/>
        <v>5601858.4585527908</v>
      </c>
      <c r="H117" s="526">
        <f t="shared" si="51"/>
        <v>871395.43404498766</v>
      </c>
      <c r="I117" s="577">
        <f t="shared" si="52"/>
        <v>871395.43404498766</v>
      </c>
      <c r="J117" s="514">
        <f t="shared" si="31"/>
        <v>0</v>
      </c>
      <c r="K117" s="514"/>
      <c r="L117" s="525"/>
      <c r="M117" s="514">
        <f t="shared" si="32"/>
        <v>0</v>
      </c>
      <c r="N117" s="525"/>
      <c r="O117" s="514">
        <f t="shared" si="33"/>
        <v>0</v>
      </c>
      <c r="P117" s="514">
        <f t="shared" si="34"/>
        <v>0</v>
      </c>
      <c r="Q117" s="269"/>
    </row>
    <row r="118" spans="2:17">
      <c r="B118" s="195" t="str">
        <f t="shared" si="37"/>
        <v/>
      </c>
      <c r="C118" s="507">
        <f>IF(D93="","-",+C117+1)</f>
        <v>2027</v>
      </c>
      <c r="D118" s="374">
        <f>IF(F117+SUM(E$99:E117)=D$92,F117,D$92-SUM(E$99:E117))</f>
        <v>5484106.0561137665</v>
      </c>
      <c r="E118" s="522">
        <f>IF(+J96&lt;F117,J96,D118)</f>
        <v>235504.80487804877</v>
      </c>
      <c r="F118" s="523">
        <f t="shared" si="49"/>
        <v>5248601.2512357179</v>
      </c>
      <c r="G118" s="523">
        <f t="shared" si="50"/>
        <v>5366353.6536747422</v>
      </c>
      <c r="H118" s="526">
        <f t="shared" si="51"/>
        <v>844662.28831241443</v>
      </c>
      <c r="I118" s="577">
        <f t="shared" si="52"/>
        <v>844662.28831241443</v>
      </c>
      <c r="J118" s="514">
        <f t="shared" si="31"/>
        <v>0</v>
      </c>
      <c r="K118" s="514"/>
      <c r="L118" s="525"/>
      <c r="M118" s="514">
        <f t="shared" si="32"/>
        <v>0</v>
      </c>
      <c r="N118" s="525"/>
      <c r="O118" s="514">
        <f t="shared" si="33"/>
        <v>0</v>
      </c>
      <c r="P118" s="514">
        <f t="shared" si="34"/>
        <v>0</v>
      </c>
      <c r="Q118" s="269"/>
    </row>
    <row r="119" spans="2:17">
      <c r="B119" s="195" t="str">
        <f t="shared" si="37"/>
        <v/>
      </c>
      <c r="C119" s="507">
        <f>IF(D93="","-",+C118+1)</f>
        <v>2028</v>
      </c>
      <c r="D119" s="374">
        <f>IF(F118+SUM(E$99:E118)=D$92,F118,D$92-SUM(E$99:E118))</f>
        <v>5248601.2512357179</v>
      </c>
      <c r="E119" s="522">
        <f>IF(+J96&lt;F118,J96,D119)</f>
        <v>235504.80487804877</v>
      </c>
      <c r="F119" s="523">
        <f t="shared" si="49"/>
        <v>5013096.4463576693</v>
      </c>
      <c r="G119" s="523">
        <f t="shared" si="50"/>
        <v>5130848.8487966936</v>
      </c>
      <c r="H119" s="526">
        <f t="shared" si="51"/>
        <v>817929.14257984119</v>
      </c>
      <c r="I119" s="577">
        <f t="shared" si="52"/>
        <v>817929.14257984119</v>
      </c>
      <c r="J119" s="514">
        <f t="shared" si="31"/>
        <v>0</v>
      </c>
      <c r="K119" s="514"/>
      <c r="L119" s="525"/>
      <c r="M119" s="514">
        <f t="shared" si="32"/>
        <v>0</v>
      </c>
      <c r="N119" s="525"/>
      <c r="O119" s="514">
        <f t="shared" si="33"/>
        <v>0</v>
      </c>
      <c r="P119" s="514">
        <f t="shared" si="34"/>
        <v>0</v>
      </c>
      <c r="Q119" s="269"/>
    </row>
    <row r="120" spans="2:17">
      <c r="B120" s="195" t="str">
        <f t="shared" si="37"/>
        <v/>
      </c>
      <c r="C120" s="507">
        <f>IF(D93="","-",+C119+1)</f>
        <v>2029</v>
      </c>
      <c r="D120" s="374">
        <f>IF(F119+SUM(E$99:E119)=D$92,F119,D$92-SUM(E$99:E119))</f>
        <v>5013096.4463576693</v>
      </c>
      <c r="E120" s="522">
        <f>IF(+J96&lt;F119,J96,D120)</f>
        <v>235504.80487804877</v>
      </c>
      <c r="F120" s="523">
        <f t="shared" si="49"/>
        <v>4777591.6414796207</v>
      </c>
      <c r="G120" s="523">
        <f t="shared" si="50"/>
        <v>4895344.043918645</v>
      </c>
      <c r="H120" s="526">
        <f t="shared" si="51"/>
        <v>791195.99684726819</v>
      </c>
      <c r="I120" s="577">
        <f t="shared" si="52"/>
        <v>791195.99684726819</v>
      </c>
      <c r="J120" s="514">
        <f t="shared" si="31"/>
        <v>0</v>
      </c>
      <c r="K120" s="514"/>
      <c r="L120" s="525"/>
      <c r="M120" s="514">
        <f t="shared" si="32"/>
        <v>0</v>
      </c>
      <c r="N120" s="525"/>
      <c r="O120" s="514">
        <f t="shared" si="33"/>
        <v>0</v>
      </c>
      <c r="P120" s="514">
        <f t="shared" si="34"/>
        <v>0</v>
      </c>
      <c r="Q120" s="269"/>
    </row>
    <row r="121" spans="2:17">
      <c r="B121" s="195" t="str">
        <f t="shared" si="37"/>
        <v/>
      </c>
      <c r="C121" s="507">
        <f>IF(D93="","-",+C120+1)</f>
        <v>2030</v>
      </c>
      <c r="D121" s="374">
        <f>IF(F120+SUM(E$99:E120)=D$92,F120,D$92-SUM(E$99:E120))</f>
        <v>4777591.6414796207</v>
      </c>
      <c r="E121" s="522">
        <f>IF(+J96&lt;F120,J96,D121)</f>
        <v>235504.80487804877</v>
      </c>
      <c r="F121" s="523">
        <f t="shared" si="49"/>
        <v>4542086.8366015721</v>
      </c>
      <c r="G121" s="523">
        <f t="shared" si="50"/>
        <v>4659839.2390405964</v>
      </c>
      <c r="H121" s="526">
        <f t="shared" si="51"/>
        <v>764462.85111469496</v>
      </c>
      <c r="I121" s="577">
        <f t="shared" si="52"/>
        <v>764462.85111469496</v>
      </c>
      <c r="J121" s="514">
        <f t="shared" si="31"/>
        <v>0</v>
      </c>
      <c r="K121" s="514"/>
      <c r="L121" s="525"/>
      <c r="M121" s="514">
        <f t="shared" si="32"/>
        <v>0</v>
      </c>
      <c r="N121" s="525"/>
      <c r="O121" s="514">
        <f t="shared" si="33"/>
        <v>0</v>
      </c>
      <c r="P121" s="514">
        <f t="shared" si="34"/>
        <v>0</v>
      </c>
      <c r="Q121" s="269"/>
    </row>
    <row r="122" spans="2:17">
      <c r="B122" s="195" t="str">
        <f t="shared" si="37"/>
        <v/>
      </c>
      <c r="C122" s="507">
        <f>IF(D93="","-",+C121+1)</f>
        <v>2031</v>
      </c>
      <c r="D122" s="374">
        <f>IF(F121+SUM(E$99:E121)=D$92,F121,D$92-SUM(E$99:E121))</f>
        <v>4542086.8366015721</v>
      </c>
      <c r="E122" s="522">
        <f>IF(+J96&lt;F121,J96,D122)</f>
        <v>235504.80487804877</v>
      </c>
      <c r="F122" s="523">
        <f t="shared" si="49"/>
        <v>4306582.0317235235</v>
      </c>
      <c r="G122" s="523">
        <f t="shared" si="50"/>
        <v>4424334.4341625478</v>
      </c>
      <c r="H122" s="526">
        <f t="shared" si="51"/>
        <v>737729.70538212173</v>
      </c>
      <c r="I122" s="577">
        <f t="shared" si="52"/>
        <v>737729.70538212173</v>
      </c>
      <c r="J122" s="514">
        <f t="shared" si="31"/>
        <v>0</v>
      </c>
      <c r="K122" s="514"/>
      <c r="L122" s="525"/>
      <c r="M122" s="514">
        <f t="shared" si="32"/>
        <v>0</v>
      </c>
      <c r="N122" s="525"/>
      <c r="O122" s="514">
        <f t="shared" si="33"/>
        <v>0</v>
      </c>
      <c r="P122" s="514">
        <f t="shared" si="34"/>
        <v>0</v>
      </c>
      <c r="Q122" s="269"/>
    </row>
    <row r="123" spans="2:17">
      <c r="B123" s="195" t="str">
        <f t="shared" si="37"/>
        <v/>
      </c>
      <c r="C123" s="507">
        <f>IF(D93="","-",+C122+1)</f>
        <v>2032</v>
      </c>
      <c r="D123" s="374">
        <f>IF(F122+SUM(E$99:E122)=D$92,F122,D$92-SUM(E$99:E122))</f>
        <v>4306582.0317235235</v>
      </c>
      <c r="E123" s="522">
        <f>IF(+J96&lt;F122,J96,D123)</f>
        <v>235504.80487804877</v>
      </c>
      <c r="F123" s="523">
        <f t="shared" si="49"/>
        <v>4071077.2268454749</v>
      </c>
      <c r="G123" s="523">
        <f t="shared" si="50"/>
        <v>4188829.6292844992</v>
      </c>
      <c r="H123" s="526">
        <f t="shared" si="51"/>
        <v>710996.55964954849</v>
      </c>
      <c r="I123" s="577">
        <f t="shared" si="52"/>
        <v>710996.55964954849</v>
      </c>
      <c r="J123" s="514">
        <f t="shared" si="31"/>
        <v>0</v>
      </c>
      <c r="K123" s="514"/>
      <c r="L123" s="525"/>
      <c r="M123" s="514">
        <f t="shared" si="32"/>
        <v>0</v>
      </c>
      <c r="N123" s="525"/>
      <c r="O123" s="514">
        <f t="shared" si="33"/>
        <v>0</v>
      </c>
      <c r="P123" s="514">
        <f t="shared" si="34"/>
        <v>0</v>
      </c>
      <c r="Q123" s="269"/>
    </row>
    <row r="124" spans="2:17">
      <c r="B124" s="195" t="str">
        <f t="shared" si="37"/>
        <v/>
      </c>
      <c r="C124" s="507">
        <f>IF(D93="","-",+C123+1)</f>
        <v>2033</v>
      </c>
      <c r="D124" s="374">
        <f>IF(F123+SUM(E$99:E123)=D$92,F123,D$92-SUM(E$99:E123))</f>
        <v>4071077.2268454749</v>
      </c>
      <c r="E124" s="522">
        <f>IF(+J96&lt;F123,J96,D124)</f>
        <v>235504.80487804877</v>
      </c>
      <c r="F124" s="523">
        <f t="shared" si="49"/>
        <v>3835572.4219674263</v>
      </c>
      <c r="G124" s="523">
        <f t="shared" si="50"/>
        <v>3953324.8244064506</v>
      </c>
      <c r="H124" s="526">
        <f t="shared" si="51"/>
        <v>684263.41391697538</v>
      </c>
      <c r="I124" s="577">
        <f t="shared" si="52"/>
        <v>684263.41391697538</v>
      </c>
      <c r="J124" s="514">
        <f t="shared" si="31"/>
        <v>0</v>
      </c>
      <c r="K124" s="514"/>
      <c r="L124" s="525"/>
      <c r="M124" s="514">
        <f t="shared" si="32"/>
        <v>0</v>
      </c>
      <c r="N124" s="525"/>
      <c r="O124" s="514">
        <f t="shared" si="33"/>
        <v>0</v>
      </c>
      <c r="P124" s="514">
        <f t="shared" si="34"/>
        <v>0</v>
      </c>
      <c r="Q124" s="269"/>
    </row>
    <row r="125" spans="2:17">
      <c r="B125" s="195" t="str">
        <f t="shared" si="37"/>
        <v/>
      </c>
      <c r="C125" s="507">
        <f>IF(D93="","-",+C124+1)</f>
        <v>2034</v>
      </c>
      <c r="D125" s="374">
        <f>IF(F124+SUM(E$99:E124)=D$92,F124,D$92-SUM(E$99:E124))</f>
        <v>3835572.4219674263</v>
      </c>
      <c r="E125" s="522">
        <f>IF(+J96&lt;F124,J96,D125)</f>
        <v>235504.80487804877</v>
      </c>
      <c r="F125" s="523">
        <f t="shared" si="49"/>
        <v>3600067.6170893777</v>
      </c>
      <c r="G125" s="523">
        <f t="shared" si="50"/>
        <v>3717820.019528402</v>
      </c>
      <c r="H125" s="526">
        <f t="shared" si="51"/>
        <v>657530.26818440226</v>
      </c>
      <c r="I125" s="577">
        <f t="shared" si="52"/>
        <v>657530.26818440226</v>
      </c>
      <c r="J125" s="514">
        <f t="shared" si="31"/>
        <v>0</v>
      </c>
      <c r="K125" s="514"/>
      <c r="L125" s="525"/>
      <c r="M125" s="514">
        <f t="shared" si="32"/>
        <v>0</v>
      </c>
      <c r="N125" s="525"/>
      <c r="O125" s="514">
        <f t="shared" si="33"/>
        <v>0</v>
      </c>
      <c r="P125" s="514">
        <f t="shared" si="34"/>
        <v>0</v>
      </c>
      <c r="Q125" s="269"/>
    </row>
    <row r="126" spans="2:17">
      <c r="B126" s="195" t="str">
        <f t="shared" si="37"/>
        <v/>
      </c>
      <c r="C126" s="507">
        <f>IF(D93="","-",+C125+1)</f>
        <v>2035</v>
      </c>
      <c r="D126" s="374">
        <f>IF(F125+SUM(E$99:E125)=D$92,F125,D$92-SUM(E$99:E125))</f>
        <v>3600067.6170893777</v>
      </c>
      <c r="E126" s="522">
        <f>IF(+J96&lt;F125,J96,D126)</f>
        <v>235504.80487804877</v>
      </c>
      <c r="F126" s="523">
        <f t="shared" si="49"/>
        <v>3364562.8122113291</v>
      </c>
      <c r="G126" s="523">
        <f t="shared" si="50"/>
        <v>3482315.2146503534</v>
      </c>
      <c r="H126" s="526">
        <f t="shared" si="51"/>
        <v>630797.12245182903</v>
      </c>
      <c r="I126" s="577">
        <f t="shared" si="52"/>
        <v>630797.12245182903</v>
      </c>
      <c r="J126" s="514">
        <f t="shared" si="31"/>
        <v>0</v>
      </c>
      <c r="K126" s="514"/>
      <c r="L126" s="525"/>
      <c r="M126" s="514">
        <f t="shared" si="32"/>
        <v>0</v>
      </c>
      <c r="N126" s="525"/>
      <c r="O126" s="514">
        <f t="shared" si="33"/>
        <v>0</v>
      </c>
      <c r="P126" s="514">
        <f t="shared" si="34"/>
        <v>0</v>
      </c>
      <c r="Q126" s="269"/>
    </row>
    <row r="127" spans="2:17">
      <c r="B127" s="195" t="str">
        <f t="shared" si="37"/>
        <v/>
      </c>
      <c r="C127" s="507">
        <f>IF(D93="","-",+C126+1)</f>
        <v>2036</v>
      </c>
      <c r="D127" s="374">
        <f>IF(F126+SUM(E$99:E126)=D$92,F126,D$92-SUM(E$99:E126))</f>
        <v>3364562.8122113291</v>
      </c>
      <c r="E127" s="522">
        <f>IF(+J96&lt;F126,J96,D127)</f>
        <v>235504.80487804877</v>
      </c>
      <c r="F127" s="523">
        <f t="shared" si="49"/>
        <v>3129058.0073332805</v>
      </c>
      <c r="G127" s="523">
        <f t="shared" si="50"/>
        <v>3246810.4097723048</v>
      </c>
      <c r="H127" s="526">
        <f t="shared" si="51"/>
        <v>604063.97671925579</v>
      </c>
      <c r="I127" s="577">
        <f t="shared" si="52"/>
        <v>604063.97671925579</v>
      </c>
      <c r="J127" s="514">
        <f t="shared" si="31"/>
        <v>0</v>
      </c>
      <c r="K127" s="514"/>
      <c r="L127" s="525"/>
      <c r="M127" s="514">
        <f t="shared" si="32"/>
        <v>0</v>
      </c>
      <c r="N127" s="525"/>
      <c r="O127" s="514">
        <f t="shared" si="33"/>
        <v>0</v>
      </c>
      <c r="P127" s="514">
        <f t="shared" si="34"/>
        <v>0</v>
      </c>
      <c r="Q127" s="269"/>
    </row>
    <row r="128" spans="2:17">
      <c r="B128" s="195" t="str">
        <f t="shared" si="37"/>
        <v/>
      </c>
      <c r="C128" s="507">
        <f>IF(D93="","-",+C127+1)</f>
        <v>2037</v>
      </c>
      <c r="D128" s="374">
        <f>IF(F127+SUM(E$99:E127)=D$92,F127,D$92-SUM(E$99:E127))</f>
        <v>3129058.0073332805</v>
      </c>
      <c r="E128" s="522">
        <f>IF(+J96&lt;F127,J96,D128)</f>
        <v>235504.80487804877</v>
      </c>
      <c r="F128" s="523">
        <f t="shared" si="49"/>
        <v>2893553.2024552319</v>
      </c>
      <c r="G128" s="523">
        <f t="shared" si="50"/>
        <v>3011305.6048942562</v>
      </c>
      <c r="H128" s="526">
        <f t="shared" si="51"/>
        <v>577330.83098668267</v>
      </c>
      <c r="I128" s="577">
        <f t="shared" si="52"/>
        <v>577330.83098668267</v>
      </c>
      <c r="J128" s="514">
        <f t="shared" si="31"/>
        <v>0</v>
      </c>
      <c r="K128" s="514"/>
      <c r="L128" s="525"/>
      <c r="M128" s="514">
        <f t="shared" si="32"/>
        <v>0</v>
      </c>
      <c r="N128" s="525"/>
      <c r="O128" s="514">
        <f t="shared" si="33"/>
        <v>0</v>
      </c>
      <c r="P128" s="514">
        <f t="shared" si="34"/>
        <v>0</v>
      </c>
      <c r="Q128" s="269"/>
    </row>
    <row r="129" spans="2:17">
      <c r="B129" s="195" t="str">
        <f t="shared" si="37"/>
        <v/>
      </c>
      <c r="C129" s="507">
        <f>IF(D93="","-",+C128+1)</f>
        <v>2038</v>
      </c>
      <c r="D129" s="374">
        <f>IF(F128+SUM(E$99:E128)=D$92,F128,D$92-SUM(E$99:E128))</f>
        <v>2893553.2024552319</v>
      </c>
      <c r="E129" s="522">
        <f>IF(+J96&lt;F128,J96,D129)</f>
        <v>235504.80487804877</v>
      </c>
      <c r="F129" s="523">
        <f t="shared" si="49"/>
        <v>2658048.3975771833</v>
      </c>
      <c r="G129" s="523">
        <f t="shared" si="50"/>
        <v>2775800.8000162076</v>
      </c>
      <c r="H129" s="526">
        <f t="shared" si="51"/>
        <v>550597.68525410956</v>
      </c>
      <c r="I129" s="577">
        <f t="shared" si="52"/>
        <v>550597.68525410956</v>
      </c>
      <c r="J129" s="514">
        <f t="shared" si="31"/>
        <v>0</v>
      </c>
      <c r="K129" s="514"/>
      <c r="L129" s="525"/>
      <c r="M129" s="514">
        <f t="shared" si="32"/>
        <v>0</v>
      </c>
      <c r="N129" s="525"/>
      <c r="O129" s="514">
        <f t="shared" si="33"/>
        <v>0</v>
      </c>
      <c r="P129" s="514">
        <f t="shared" si="34"/>
        <v>0</v>
      </c>
      <c r="Q129" s="269"/>
    </row>
    <row r="130" spans="2:17">
      <c r="B130" s="195" t="str">
        <f t="shared" si="37"/>
        <v/>
      </c>
      <c r="C130" s="507">
        <f>IF(D93="","-",+C129+1)</f>
        <v>2039</v>
      </c>
      <c r="D130" s="374">
        <f>IF(F129+SUM(E$99:E129)=D$92,F129,D$92-SUM(E$99:E129))</f>
        <v>2658048.3975771833</v>
      </c>
      <c r="E130" s="522">
        <f>IF(+J96&lt;F129,J96,D130)</f>
        <v>235504.80487804877</v>
      </c>
      <c r="F130" s="523">
        <f t="shared" si="49"/>
        <v>2422543.5926991347</v>
      </c>
      <c r="G130" s="523">
        <f t="shared" si="50"/>
        <v>2540295.995138159</v>
      </c>
      <c r="H130" s="526">
        <f t="shared" si="51"/>
        <v>523864.53952153632</v>
      </c>
      <c r="I130" s="577">
        <f t="shared" si="52"/>
        <v>523864.53952153632</v>
      </c>
      <c r="J130" s="514">
        <f t="shared" si="31"/>
        <v>0</v>
      </c>
      <c r="K130" s="514"/>
      <c r="L130" s="525"/>
      <c r="M130" s="514">
        <f t="shared" si="32"/>
        <v>0</v>
      </c>
      <c r="N130" s="525"/>
      <c r="O130" s="514">
        <f t="shared" si="33"/>
        <v>0</v>
      </c>
      <c r="P130" s="514">
        <f t="shared" si="34"/>
        <v>0</v>
      </c>
      <c r="Q130" s="269"/>
    </row>
    <row r="131" spans="2:17">
      <c r="B131" s="195" t="str">
        <f t="shared" si="37"/>
        <v/>
      </c>
      <c r="C131" s="507">
        <f>IF(D93="","-",+C130+1)</f>
        <v>2040</v>
      </c>
      <c r="D131" s="374">
        <f>IF(F130+SUM(E$99:E130)=D$92,F130,D$92-SUM(E$99:E130))</f>
        <v>2422543.5926991347</v>
      </c>
      <c r="E131" s="522">
        <f>IF(+J96&lt;F130,J96,D131)</f>
        <v>235504.80487804877</v>
      </c>
      <c r="F131" s="523">
        <f t="shared" ref="F131:F154" si="53">+D131-E131</f>
        <v>2187038.7878210861</v>
      </c>
      <c r="G131" s="523">
        <f t="shared" ref="G131:G154" si="54">+(F131+D131)/2</f>
        <v>2304791.1902601104</v>
      </c>
      <c r="H131" s="526">
        <f t="shared" si="51"/>
        <v>497131.39378896315</v>
      </c>
      <c r="I131" s="577">
        <f t="shared" si="52"/>
        <v>497131.39378896315</v>
      </c>
      <c r="J131" s="514">
        <f t="shared" ref="J131:J154" si="55">+I131-H131</f>
        <v>0</v>
      </c>
      <c r="K131" s="514"/>
      <c r="L131" s="525"/>
      <c r="M131" s="514">
        <f t="shared" ref="M131:M154" si="56">IF(L131&lt;&gt;0,+H131-L131,0)</f>
        <v>0</v>
      </c>
      <c r="N131" s="525"/>
      <c r="O131" s="514">
        <f t="shared" ref="O131:O154" si="57">IF(N131&lt;&gt;0,+I131-N131,0)</f>
        <v>0</v>
      </c>
      <c r="P131" s="514">
        <f t="shared" ref="P131:P154" si="58">+O131-M131</f>
        <v>0</v>
      </c>
      <c r="Q131" s="269"/>
    </row>
    <row r="132" spans="2:17">
      <c r="B132" s="195" t="str">
        <f t="shared" si="37"/>
        <v/>
      </c>
      <c r="C132" s="507">
        <f>IF(D93="","-",+C131+1)</f>
        <v>2041</v>
      </c>
      <c r="D132" s="374">
        <f>IF(F131+SUM(E$99:E131)=D$92,F131,D$92-SUM(E$99:E131))</f>
        <v>2187038.7878210861</v>
      </c>
      <c r="E132" s="522">
        <f>IF(+J96&lt;F131,J96,D132)</f>
        <v>235504.80487804877</v>
      </c>
      <c r="F132" s="523">
        <f t="shared" si="53"/>
        <v>1951533.9829430373</v>
      </c>
      <c r="G132" s="523">
        <f t="shared" si="54"/>
        <v>2069286.3853820618</v>
      </c>
      <c r="H132" s="526">
        <f t="shared" si="51"/>
        <v>470398.24805638997</v>
      </c>
      <c r="I132" s="577">
        <f t="shared" si="52"/>
        <v>470398.24805638997</v>
      </c>
      <c r="J132" s="514">
        <f t="shared" si="55"/>
        <v>0</v>
      </c>
      <c r="K132" s="514"/>
      <c r="L132" s="525"/>
      <c r="M132" s="514">
        <f t="shared" si="56"/>
        <v>0</v>
      </c>
      <c r="N132" s="525"/>
      <c r="O132" s="514">
        <f t="shared" si="57"/>
        <v>0</v>
      </c>
      <c r="P132" s="514">
        <f t="shared" si="58"/>
        <v>0</v>
      </c>
      <c r="Q132" s="269"/>
    </row>
    <row r="133" spans="2:17">
      <c r="B133" s="195" t="str">
        <f t="shared" si="37"/>
        <v/>
      </c>
      <c r="C133" s="507">
        <f>IF(D93="","-",+C132+1)</f>
        <v>2042</v>
      </c>
      <c r="D133" s="374">
        <f>IF(F132+SUM(E$99:E132)=D$92,F132,D$92-SUM(E$99:E132))</f>
        <v>1951533.9829430373</v>
      </c>
      <c r="E133" s="522">
        <f>IF(+J96&lt;F132,J96,D133)</f>
        <v>235504.80487804877</v>
      </c>
      <c r="F133" s="523">
        <f t="shared" si="53"/>
        <v>1716029.1780649885</v>
      </c>
      <c r="G133" s="523">
        <f t="shared" si="54"/>
        <v>1833781.5805040128</v>
      </c>
      <c r="H133" s="526">
        <f t="shared" si="51"/>
        <v>443665.10232381674</v>
      </c>
      <c r="I133" s="577">
        <f t="shared" si="52"/>
        <v>443665.10232381674</v>
      </c>
      <c r="J133" s="514">
        <f t="shared" si="55"/>
        <v>0</v>
      </c>
      <c r="K133" s="514"/>
      <c r="L133" s="525"/>
      <c r="M133" s="514">
        <f t="shared" si="56"/>
        <v>0</v>
      </c>
      <c r="N133" s="525"/>
      <c r="O133" s="514">
        <f t="shared" si="57"/>
        <v>0</v>
      </c>
      <c r="P133" s="514">
        <f t="shared" si="58"/>
        <v>0</v>
      </c>
      <c r="Q133" s="269"/>
    </row>
    <row r="134" spans="2:17">
      <c r="B134" s="195" t="str">
        <f t="shared" si="37"/>
        <v/>
      </c>
      <c r="C134" s="507">
        <f>IF(D93="","-",+C133+1)</f>
        <v>2043</v>
      </c>
      <c r="D134" s="374">
        <f>IF(F133+SUM(E$99:E133)=D$92,F133,D$92-SUM(E$99:E133))</f>
        <v>1716029.1780649885</v>
      </c>
      <c r="E134" s="522">
        <f>IF(+J96&lt;F133,J96,D134)</f>
        <v>235504.80487804877</v>
      </c>
      <c r="F134" s="523">
        <f t="shared" si="53"/>
        <v>1480524.3731869396</v>
      </c>
      <c r="G134" s="523">
        <f t="shared" si="54"/>
        <v>1598276.7756259642</v>
      </c>
      <c r="H134" s="526">
        <f t="shared" si="51"/>
        <v>416931.95659124356</v>
      </c>
      <c r="I134" s="577">
        <f t="shared" si="52"/>
        <v>416931.95659124356</v>
      </c>
      <c r="J134" s="514">
        <f t="shared" si="55"/>
        <v>0</v>
      </c>
      <c r="K134" s="514"/>
      <c r="L134" s="525"/>
      <c r="M134" s="514">
        <f t="shared" si="56"/>
        <v>0</v>
      </c>
      <c r="N134" s="525"/>
      <c r="O134" s="514">
        <f t="shared" si="57"/>
        <v>0</v>
      </c>
      <c r="P134" s="514">
        <f t="shared" si="58"/>
        <v>0</v>
      </c>
      <c r="Q134" s="269"/>
    </row>
    <row r="135" spans="2:17">
      <c r="B135" s="195" t="str">
        <f t="shared" si="37"/>
        <v/>
      </c>
      <c r="C135" s="507">
        <f>IF(D93="","-",+C134+1)</f>
        <v>2044</v>
      </c>
      <c r="D135" s="374">
        <f>IF(F134+SUM(E$99:E134)=D$92,F134,D$92-SUM(E$99:E134))</f>
        <v>1480524.3731869396</v>
      </c>
      <c r="E135" s="522">
        <f>IF(+J96&lt;F134,J96,D135)</f>
        <v>235504.80487804877</v>
      </c>
      <c r="F135" s="523">
        <f t="shared" si="53"/>
        <v>1245019.5683088908</v>
      </c>
      <c r="G135" s="523">
        <f t="shared" si="54"/>
        <v>1362771.9707479151</v>
      </c>
      <c r="H135" s="526">
        <f t="shared" si="51"/>
        <v>390198.81085867033</v>
      </c>
      <c r="I135" s="577">
        <f t="shared" si="52"/>
        <v>390198.81085867033</v>
      </c>
      <c r="J135" s="514">
        <f t="shared" si="55"/>
        <v>0</v>
      </c>
      <c r="K135" s="514"/>
      <c r="L135" s="525"/>
      <c r="M135" s="514">
        <f t="shared" si="56"/>
        <v>0</v>
      </c>
      <c r="N135" s="525"/>
      <c r="O135" s="514">
        <f t="shared" si="57"/>
        <v>0</v>
      </c>
      <c r="P135" s="514">
        <f t="shared" si="58"/>
        <v>0</v>
      </c>
      <c r="Q135" s="269"/>
    </row>
    <row r="136" spans="2:17">
      <c r="B136" s="195" t="str">
        <f t="shared" si="37"/>
        <v/>
      </c>
      <c r="C136" s="507">
        <f>IF(D93="","-",+C135+1)</f>
        <v>2045</v>
      </c>
      <c r="D136" s="374">
        <f>IF(F135+SUM(E$99:E135)=D$92,F135,D$92-SUM(E$99:E135))</f>
        <v>1245019.5683088908</v>
      </c>
      <c r="E136" s="522">
        <f>IF(+J96&lt;F135,J96,D136)</f>
        <v>235504.80487804877</v>
      </c>
      <c r="F136" s="523">
        <f t="shared" si="53"/>
        <v>1009514.763430842</v>
      </c>
      <c r="G136" s="523">
        <f t="shared" si="54"/>
        <v>1127267.1658698665</v>
      </c>
      <c r="H136" s="526">
        <f t="shared" si="51"/>
        <v>363465.66512609716</v>
      </c>
      <c r="I136" s="577">
        <f t="shared" si="52"/>
        <v>363465.66512609716</v>
      </c>
      <c r="J136" s="514">
        <f t="shared" si="55"/>
        <v>0</v>
      </c>
      <c r="K136" s="514"/>
      <c r="L136" s="525"/>
      <c r="M136" s="514">
        <f t="shared" si="56"/>
        <v>0</v>
      </c>
      <c r="N136" s="525"/>
      <c r="O136" s="514">
        <f t="shared" si="57"/>
        <v>0</v>
      </c>
      <c r="P136" s="514">
        <f t="shared" si="58"/>
        <v>0</v>
      </c>
      <c r="Q136" s="269"/>
    </row>
    <row r="137" spans="2:17">
      <c r="B137" s="195" t="str">
        <f t="shared" si="37"/>
        <v/>
      </c>
      <c r="C137" s="507">
        <f>IF(D93="","-",+C136+1)</f>
        <v>2046</v>
      </c>
      <c r="D137" s="374">
        <f>IF(F136+SUM(E$99:E136)=D$92,F136,D$92-SUM(E$99:E136))</f>
        <v>1009514.763430842</v>
      </c>
      <c r="E137" s="522">
        <f>IF(+J96&lt;F136,J96,D137)</f>
        <v>235504.80487804877</v>
      </c>
      <c r="F137" s="523">
        <f t="shared" si="53"/>
        <v>774009.95855279313</v>
      </c>
      <c r="G137" s="523">
        <f t="shared" si="54"/>
        <v>891762.36099181755</v>
      </c>
      <c r="H137" s="526">
        <f t="shared" si="51"/>
        <v>336732.51939352392</v>
      </c>
      <c r="I137" s="577">
        <f t="shared" si="52"/>
        <v>336732.51939352392</v>
      </c>
      <c r="J137" s="514">
        <f t="shared" si="55"/>
        <v>0</v>
      </c>
      <c r="K137" s="514"/>
      <c r="L137" s="525"/>
      <c r="M137" s="514">
        <f t="shared" si="56"/>
        <v>0</v>
      </c>
      <c r="N137" s="525"/>
      <c r="O137" s="514">
        <f t="shared" si="57"/>
        <v>0</v>
      </c>
      <c r="P137" s="514">
        <f t="shared" si="58"/>
        <v>0</v>
      </c>
      <c r="Q137" s="269"/>
    </row>
    <row r="138" spans="2:17">
      <c r="B138" s="195" t="str">
        <f t="shared" si="37"/>
        <v/>
      </c>
      <c r="C138" s="507">
        <f>IF(D93="","-",+C137+1)</f>
        <v>2047</v>
      </c>
      <c r="D138" s="374">
        <f>IF(F137+SUM(E$99:E137)=D$92,F137,D$92-SUM(E$99:E137))</f>
        <v>774009.95855279313</v>
      </c>
      <c r="E138" s="522">
        <f>IF(+J96&lt;F137,J96,D138)</f>
        <v>235504.80487804877</v>
      </c>
      <c r="F138" s="523">
        <f t="shared" si="53"/>
        <v>538505.1536747443</v>
      </c>
      <c r="G138" s="523">
        <f t="shared" si="54"/>
        <v>656257.55611376872</v>
      </c>
      <c r="H138" s="526">
        <f t="shared" si="51"/>
        <v>309999.37366095075</v>
      </c>
      <c r="I138" s="577">
        <f t="shared" si="52"/>
        <v>309999.37366095075</v>
      </c>
      <c r="J138" s="514">
        <f t="shared" si="55"/>
        <v>0</v>
      </c>
      <c r="K138" s="514"/>
      <c r="L138" s="525"/>
      <c r="M138" s="514">
        <f t="shared" si="56"/>
        <v>0</v>
      </c>
      <c r="N138" s="525"/>
      <c r="O138" s="514">
        <f t="shared" si="57"/>
        <v>0</v>
      </c>
      <c r="P138" s="514">
        <f t="shared" si="58"/>
        <v>0</v>
      </c>
      <c r="Q138" s="269"/>
    </row>
    <row r="139" spans="2:17">
      <c r="B139" s="195" t="str">
        <f t="shared" si="37"/>
        <v/>
      </c>
      <c r="C139" s="507">
        <f>IF(D93="","-",+C138+1)</f>
        <v>2048</v>
      </c>
      <c r="D139" s="374">
        <f>IF(F138+SUM(E$99:E138)=D$92,F138,D$92-SUM(E$99:E138))</f>
        <v>538505.1536747443</v>
      </c>
      <c r="E139" s="522">
        <f>IF(+J96&lt;F138,J96,D139)</f>
        <v>235504.80487804877</v>
      </c>
      <c r="F139" s="523">
        <f t="shared" si="53"/>
        <v>303000.34879669553</v>
      </c>
      <c r="G139" s="523">
        <f t="shared" si="54"/>
        <v>420752.75123571989</v>
      </c>
      <c r="H139" s="526">
        <f t="shared" si="51"/>
        <v>283266.22792837751</v>
      </c>
      <c r="I139" s="577">
        <f t="shared" si="52"/>
        <v>283266.22792837751</v>
      </c>
      <c r="J139" s="514">
        <f t="shared" si="55"/>
        <v>0</v>
      </c>
      <c r="K139" s="514"/>
      <c r="L139" s="525"/>
      <c r="M139" s="514">
        <f t="shared" si="56"/>
        <v>0</v>
      </c>
      <c r="N139" s="525"/>
      <c r="O139" s="514">
        <f t="shared" si="57"/>
        <v>0</v>
      </c>
      <c r="P139" s="514">
        <f t="shared" si="58"/>
        <v>0</v>
      </c>
      <c r="Q139" s="269"/>
    </row>
    <row r="140" spans="2:17">
      <c r="B140" s="195" t="str">
        <f t="shared" si="37"/>
        <v/>
      </c>
      <c r="C140" s="507">
        <f>IF(D93="","-",+C139+1)</f>
        <v>2049</v>
      </c>
      <c r="D140" s="374">
        <f>IF(F139+SUM(E$99:E139)=D$92,F139,D$92-SUM(E$99:E139))</f>
        <v>303000.34879669553</v>
      </c>
      <c r="E140" s="522">
        <f>IF(+J96&lt;F139,J96,D140)</f>
        <v>235504.80487804877</v>
      </c>
      <c r="F140" s="523">
        <f t="shared" si="53"/>
        <v>67495.543918646756</v>
      </c>
      <c r="G140" s="523">
        <f t="shared" si="54"/>
        <v>185247.94635767114</v>
      </c>
      <c r="H140" s="526">
        <f t="shared" si="51"/>
        <v>256533.08219580434</v>
      </c>
      <c r="I140" s="577">
        <f t="shared" si="52"/>
        <v>256533.08219580434</v>
      </c>
      <c r="J140" s="514">
        <f t="shared" si="55"/>
        <v>0</v>
      </c>
      <c r="K140" s="514"/>
      <c r="L140" s="525"/>
      <c r="M140" s="514">
        <f t="shared" si="56"/>
        <v>0</v>
      </c>
      <c r="N140" s="525"/>
      <c r="O140" s="514">
        <f t="shared" si="57"/>
        <v>0</v>
      </c>
      <c r="P140" s="514">
        <f t="shared" si="58"/>
        <v>0</v>
      </c>
      <c r="Q140" s="269"/>
    </row>
    <row r="141" spans="2:17">
      <c r="B141" s="195" t="str">
        <f t="shared" si="37"/>
        <v/>
      </c>
      <c r="C141" s="507">
        <f>IF(D93="","-",+C140+1)</f>
        <v>2050</v>
      </c>
      <c r="D141" s="374">
        <f>IF(F140+SUM(E$99:E140)=D$92,F140,D$92-SUM(E$99:E140))</f>
        <v>67495.543918646756</v>
      </c>
      <c r="E141" s="522">
        <f>IF(+J96&lt;F140,J96,D141)</f>
        <v>67495.543918646756</v>
      </c>
      <c r="F141" s="523">
        <f t="shared" si="53"/>
        <v>0</v>
      </c>
      <c r="G141" s="523">
        <f t="shared" si="54"/>
        <v>33747.771959323378</v>
      </c>
      <c r="H141" s="526">
        <f t="shared" si="51"/>
        <v>71326.396144381244</v>
      </c>
      <c r="I141" s="577">
        <f t="shared" si="52"/>
        <v>71326.396144381244</v>
      </c>
      <c r="J141" s="514">
        <f t="shared" si="55"/>
        <v>0</v>
      </c>
      <c r="K141" s="514"/>
      <c r="L141" s="525"/>
      <c r="M141" s="514">
        <f t="shared" si="56"/>
        <v>0</v>
      </c>
      <c r="N141" s="525"/>
      <c r="O141" s="514">
        <f t="shared" si="57"/>
        <v>0</v>
      </c>
      <c r="P141" s="514">
        <f t="shared" si="58"/>
        <v>0</v>
      </c>
      <c r="Q141" s="269"/>
    </row>
    <row r="142" spans="2:17">
      <c r="B142" s="195" t="str">
        <f t="shared" si="37"/>
        <v/>
      </c>
      <c r="C142" s="507">
        <f>IF(D93="","-",+C141+1)</f>
        <v>2051</v>
      </c>
      <c r="D142" s="374">
        <f>IF(F141+SUM(E$99:E141)=D$92,F141,D$92-SUM(E$99:E141))</f>
        <v>0</v>
      </c>
      <c r="E142" s="522">
        <f>IF(+J96&lt;F141,J96,D142)</f>
        <v>0</v>
      </c>
      <c r="F142" s="523">
        <f t="shared" si="53"/>
        <v>0</v>
      </c>
      <c r="G142" s="523">
        <f t="shared" si="54"/>
        <v>0</v>
      </c>
      <c r="H142" s="526">
        <f t="shared" si="51"/>
        <v>0</v>
      </c>
      <c r="I142" s="577">
        <f t="shared" si="52"/>
        <v>0</v>
      </c>
      <c r="J142" s="514">
        <f t="shared" si="55"/>
        <v>0</v>
      </c>
      <c r="K142" s="514"/>
      <c r="L142" s="525"/>
      <c r="M142" s="514">
        <f t="shared" si="56"/>
        <v>0</v>
      </c>
      <c r="N142" s="525"/>
      <c r="O142" s="514">
        <f t="shared" si="57"/>
        <v>0</v>
      </c>
      <c r="P142" s="514">
        <f t="shared" si="58"/>
        <v>0</v>
      </c>
      <c r="Q142" s="269"/>
    </row>
    <row r="143" spans="2:17">
      <c r="B143" s="195" t="str">
        <f t="shared" si="37"/>
        <v/>
      </c>
      <c r="C143" s="507">
        <f>IF(D93="","-",+C142+1)</f>
        <v>2052</v>
      </c>
      <c r="D143" s="374">
        <f>IF(F142+SUM(E$99:E142)=D$92,F142,D$92-SUM(E$99:E142))</f>
        <v>0</v>
      </c>
      <c r="E143" s="522">
        <f>IF(+J96&lt;F142,J96,D143)</f>
        <v>0</v>
      </c>
      <c r="F143" s="523">
        <f t="shared" si="53"/>
        <v>0</v>
      </c>
      <c r="G143" s="523">
        <f t="shared" si="54"/>
        <v>0</v>
      </c>
      <c r="H143" s="526">
        <f t="shared" si="51"/>
        <v>0</v>
      </c>
      <c r="I143" s="577">
        <f t="shared" si="52"/>
        <v>0</v>
      </c>
      <c r="J143" s="514">
        <f t="shared" si="55"/>
        <v>0</v>
      </c>
      <c r="K143" s="514"/>
      <c r="L143" s="525"/>
      <c r="M143" s="514">
        <f t="shared" si="56"/>
        <v>0</v>
      </c>
      <c r="N143" s="525"/>
      <c r="O143" s="514">
        <f t="shared" si="57"/>
        <v>0</v>
      </c>
      <c r="P143" s="514">
        <f t="shared" si="58"/>
        <v>0</v>
      </c>
      <c r="Q143" s="269"/>
    </row>
    <row r="144" spans="2:17">
      <c r="B144" s="195" t="str">
        <f t="shared" si="37"/>
        <v/>
      </c>
      <c r="C144" s="507">
        <f>IF(D93="","-",+C143+1)</f>
        <v>2053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53"/>
        <v>0</v>
      </c>
      <c r="G144" s="523">
        <f t="shared" si="54"/>
        <v>0</v>
      </c>
      <c r="H144" s="526">
        <f t="shared" si="51"/>
        <v>0</v>
      </c>
      <c r="I144" s="577">
        <f t="shared" si="52"/>
        <v>0</v>
      </c>
      <c r="J144" s="514">
        <f t="shared" si="55"/>
        <v>0</v>
      </c>
      <c r="K144" s="514"/>
      <c r="L144" s="525"/>
      <c r="M144" s="514">
        <f t="shared" si="56"/>
        <v>0</v>
      </c>
      <c r="N144" s="525"/>
      <c r="O144" s="514">
        <f t="shared" si="57"/>
        <v>0</v>
      </c>
      <c r="P144" s="514">
        <f t="shared" si="58"/>
        <v>0</v>
      </c>
      <c r="Q144" s="269"/>
    </row>
    <row r="145" spans="2:17">
      <c r="B145" s="195" t="str">
        <f t="shared" si="37"/>
        <v/>
      </c>
      <c r="C145" s="507">
        <f>IF(D93="","-",+C144+1)</f>
        <v>2054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53"/>
        <v>0</v>
      </c>
      <c r="G145" s="523">
        <f t="shared" si="54"/>
        <v>0</v>
      </c>
      <c r="H145" s="526">
        <f t="shared" si="51"/>
        <v>0</v>
      </c>
      <c r="I145" s="577">
        <f t="shared" si="52"/>
        <v>0</v>
      </c>
      <c r="J145" s="514">
        <f t="shared" si="55"/>
        <v>0</v>
      </c>
      <c r="K145" s="514"/>
      <c r="L145" s="525"/>
      <c r="M145" s="514">
        <f t="shared" si="56"/>
        <v>0</v>
      </c>
      <c r="N145" s="525"/>
      <c r="O145" s="514">
        <f t="shared" si="57"/>
        <v>0</v>
      </c>
      <c r="P145" s="514">
        <f t="shared" si="58"/>
        <v>0</v>
      </c>
      <c r="Q145" s="269"/>
    </row>
    <row r="146" spans="2:17">
      <c r="B146" s="195" t="str">
        <f t="shared" si="37"/>
        <v/>
      </c>
      <c r="C146" s="507">
        <f>IF(D93="","-",+C145+1)</f>
        <v>2055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53"/>
        <v>0</v>
      </c>
      <c r="G146" s="523">
        <f t="shared" si="54"/>
        <v>0</v>
      </c>
      <c r="H146" s="526">
        <f t="shared" si="51"/>
        <v>0</v>
      </c>
      <c r="I146" s="577">
        <f t="shared" si="52"/>
        <v>0</v>
      </c>
      <c r="J146" s="514">
        <f t="shared" si="55"/>
        <v>0</v>
      </c>
      <c r="K146" s="514"/>
      <c r="L146" s="525"/>
      <c r="M146" s="514">
        <f t="shared" si="56"/>
        <v>0</v>
      </c>
      <c r="N146" s="525"/>
      <c r="O146" s="514">
        <f t="shared" si="57"/>
        <v>0</v>
      </c>
      <c r="P146" s="514">
        <f t="shared" si="58"/>
        <v>0</v>
      </c>
      <c r="Q146" s="269"/>
    </row>
    <row r="147" spans="2:17">
      <c r="B147" s="195" t="str">
        <f t="shared" si="37"/>
        <v/>
      </c>
      <c r="C147" s="507">
        <f>IF(D93="","-",+C146+1)</f>
        <v>2056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53"/>
        <v>0</v>
      </c>
      <c r="G147" s="523">
        <f t="shared" si="54"/>
        <v>0</v>
      </c>
      <c r="H147" s="526">
        <f t="shared" si="51"/>
        <v>0</v>
      </c>
      <c r="I147" s="577">
        <f t="shared" si="52"/>
        <v>0</v>
      </c>
      <c r="J147" s="514">
        <f t="shared" si="55"/>
        <v>0</v>
      </c>
      <c r="K147" s="514"/>
      <c r="L147" s="525"/>
      <c r="M147" s="514">
        <f t="shared" si="56"/>
        <v>0</v>
      </c>
      <c r="N147" s="525"/>
      <c r="O147" s="514">
        <f t="shared" si="57"/>
        <v>0</v>
      </c>
      <c r="P147" s="514">
        <f t="shared" si="58"/>
        <v>0</v>
      </c>
      <c r="Q147" s="269"/>
    </row>
    <row r="148" spans="2:17">
      <c r="B148" s="195" t="str">
        <f t="shared" si="37"/>
        <v/>
      </c>
      <c r="C148" s="507">
        <f>IF(D93="","-",+C147+1)</f>
        <v>2057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53"/>
        <v>0</v>
      </c>
      <c r="G148" s="523">
        <f t="shared" si="54"/>
        <v>0</v>
      </c>
      <c r="H148" s="526">
        <f t="shared" si="51"/>
        <v>0</v>
      </c>
      <c r="I148" s="577">
        <f t="shared" si="52"/>
        <v>0</v>
      </c>
      <c r="J148" s="514">
        <f t="shared" si="55"/>
        <v>0</v>
      </c>
      <c r="K148" s="514"/>
      <c r="L148" s="525"/>
      <c r="M148" s="514">
        <f t="shared" si="56"/>
        <v>0</v>
      </c>
      <c r="N148" s="525"/>
      <c r="O148" s="514">
        <f t="shared" si="57"/>
        <v>0</v>
      </c>
      <c r="P148" s="514">
        <f t="shared" si="58"/>
        <v>0</v>
      </c>
      <c r="Q148" s="269"/>
    </row>
    <row r="149" spans="2:17">
      <c r="B149" s="195" t="str">
        <f t="shared" si="37"/>
        <v/>
      </c>
      <c r="C149" s="507">
        <f>IF(D93="","-",+C148+1)</f>
        <v>2058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53"/>
        <v>0</v>
      </c>
      <c r="G149" s="523">
        <f t="shared" si="54"/>
        <v>0</v>
      </c>
      <c r="H149" s="526">
        <f t="shared" si="51"/>
        <v>0</v>
      </c>
      <c r="I149" s="577">
        <f t="shared" si="52"/>
        <v>0</v>
      </c>
      <c r="J149" s="514">
        <f t="shared" si="55"/>
        <v>0</v>
      </c>
      <c r="K149" s="514"/>
      <c r="L149" s="525"/>
      <c r="M149" s="514">
        <f t="shared" si="56"/>
        <v>0</v>
      </c>
      <c r="N149" s="525"/>
      <c r="O149" s="514">
        <f t="shared" si="57"/>
        <v>0</v>
      </c>
      <c r="P149" s="514">
        <f t="shared" si="58"/>
        <v>0</v>
      </c>
      <c r="Q149" s="269"/>
    </row>
    <row r="150" spans="2:17">
      <c r="B150" s="195" t="str">
        <f t="shared" si="37"/>
        <v/>
      </c>
      <c r="C150" s="507">
        <f>IF(D93="","-",+C149+1)</f>
        <v>2059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53"/>
        <v>0</v>
      </c>
      <c r="G150" s="523">
        <f t="shared" si="54"/>
        <v>0</v>
      </c>
      <c r="H150" s="526">
        <f t="shared" si="51"/>
        <v>0</v>
      </c>
      <c r="I150" s="577">
        <f t="shared" si="52"/>
        <v>0</v>
      </c>
      <c r="J150" s="514">
        <f t="shared" si="55"/>
        <v>0</v>
      </c>
      <c r="K150" s="514"/>
      <c r="L150" s="525"/>
      <c r="M150" s="514">
        <f t="shared" si="56"/>
        <v>0</v>
      </c>
      <c r="N150" s="525"/>
      <c r="O150" s="514">
        <f t="shared" si="57"/>
        <v>0</v>
      </c>
      <c r="P150" s="514">
        <f t="shared" si="58"/>
        <v>0</v>
      </c>
      <c r="Q150" s="269"/>
    </row>
    <row r="151" spans="2:17">
      <c r="B151" s="195" t="str">
        <f t="shared" si="37"/>
        <v/>
      </c>
      <c r="C151" s="507">
        <f>IF(D93="","-",+C150+1)</f>
        <v>2060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53"/>
        <v>0</v>
      </c>
      <c r="G151" s="523">
        <f t="shared" si="54"/>
        <v>0</v>
      </c>
      <c r="H151" s="526">
        <f t="shared" si="51"/>
        <v>0</v>
      </c>
      <c r="I151" s="577">
        <f t="shared" si="52"/>
        <v>0</v>
      </c>
      <c r="J151" s="514">
        <f t="shared" si="55"/>
        <v>0</v>
      </c>
      <c r="K151" s="514"/>
      <c r="L151" s="525"/>
      <c r="M151" s="514">
        <f t="shared" si="56"/>
        <v>0</v>
      </c>
      <c r="N151" s="525"/>
      <c r="O151" s="514">
        <f t="shared" si="57"/>
        <v>0</v>
      </c>
      <c r="P151" s="514">
        <f t="shared" si="58"/>
        <v>0</v>
      </c>
      <c r="Q151" s="269"/>
    </row>
    <row r="152" spans="2:17">
      <c r="B152" s="195" t="str">
        <f t="shared" si="37"/>
        <v/>
      </c>
      <c r="C152" s="507">
        <f>IF(D93="","-",+C151+1)</f>
        <v>2061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53"/>
        <v>0</v>
      </c>
      <c r="G152" s="523">
        <f t="shared" si="54"/>
        <v>0</v>
      </c>
      <c r="H152" s="526">
        <f t="shared" si="51"/>
        <v>0</v>
      </c>
      <c r="I152" s="577">
        <f t="shared" si="52"/>
        <v>0</v>
      </c>
      <c r="J152" s="514">
        <f t="shared" si="55"/>
        <v>0</v>
      </c>
      <c r="K152" s="514"/>
      <c r="L152" s="525"/>
      <c r="M152" s="514">
        <f t="shared" si="56"/>
        <v>0</v>
      </c>
      <c r="N152" s="525"/>
      <c r="O152" s="514">
        <f t="shared" si="57"/>
        <v>0</v>
      </c>
      <c r="P152" s="514">
        <f t="shared" si="58"/>
        <v>0</v>
      </c>
      <c r="Q152" s="269"/>
    </row>
    <row r="153" spans="2:17">
      <c r="B153" s="195" t="str">
        <f t="shared" si="37"/>
        <v/>
      </c>
      <c r="C153" s="507">
        <f>IF(D93="","-",+C152+1)</f>
        <v>2062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53"/>
        <v>0</v>
      </c>
      <c r="G153" s="523">
        <f t="shared" si="54"/>
        <v>0</v>
      </c>
      <c r="H153" s="526">
        <f t="shared" si="51"/>
        <v>0</v>
      </c>
      <c r="I153" s="577">
        <f t="shared" si="52"/>
        <v>0</v>
      </c>
      <c r="J153" s="514">
        <f t="shared" si="55"/>
        <v>0</v>
      </c>
      <c r="K153" s="514"/>
      <c r="L153" s="525"/>
      <c r="M153" s="514">
        <f t="shared" si="56"/>
        <v>0</v>
      </c>
      <c r="N153" s="525"/>
      <c r="O153" s="514">
        <f t="shared" si="57"/>
        <v>0</v>
      </c>
      <c r="P153" s="514">
        <f t="shared" si="58"/>
        <v>0</v>
      </c>
      <c r="Q153" s="269"/>
    </row>
    <row r="154" spans="2:17" ht="13.5" thickBot="1">
      <c r="B154" s="195" t="str">
        <f t="shared" si="37"/>
        <v/>
      </c>
      <c r="C154" s="527">
        <f>IF(D93="","-",+C153+1)</f>
        <v>2063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53"/>
        <v>0</v>
      </c>
      <c r="G154" s="528">
        <f t="shared" si="54"/>
        <v>0</v>
      </c>
      <c r="H154" s="530">
        <f t="shared" si="51"/>
        <v>0</v>
      </c>
      <c r="I154" s="579">
        <f t="shared" si="52"/>
        <v>0</v>
      </c>
      <c r="J154" s="533">
        <f t="shared" si="55"/>
        <v>0</v>
      </c>
      <c r="K154" s="514"/>
      <c r="L154" s="532"/>
      <c r="M154" s="533">
        <f t="shared" si="56"/>
        <v>0</v>
      </c>
      <c r="N154" s="532"/>
      <c r="O154" s="533">
        <f t="shared" si="57"/>
        <v>0</v>
      </c>
      <c r="P154" s="533">
        <f t="shared" si="58"/>
        <v>0</v>
      </c>
      <c r="Q154" s="269"/>
    </row>
    <row r="155" spans="2:17">
      <c r="C155" s="374" t="s">
        <v>78</v>
      </c>
      <c r="D155" s="375"/>
      <c r="E155" s="375">
        <f>SUM(E99:E154)</f>
        <v>9655696.9999999963</v>
      </c>
      <c r="F155" s="375"/>
      <c r="G155" s="375"/>
      <c r="H155" s="375">
        <f>SUM(H99:H154)</f>
        <v>34384249.942925639</v>
      </c>
      <c r="I155" s="375">
        <f>SUM(I99:I154)</f>
        <v>34384249.942925639</v>
      </c>
      <c r="J155" s="375">
        <f>SUM(J99:J154)</f>
        <v>0</v>
      </c>
      <c r="K155" s="375"/>
      <c r="L155" s="375"/>
      <c r="M155" s="375"/>
      <c r="N155" s="375"/>
      <c r="O155" s="375"/>
      <c r="P155" s="269"/>
      <c r="Q155" s="269"/>
    </row>
    <row r="156" spans="2:17"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  <c r="Q156" s="269"/>
    </row>
    <row r="157" spans="2:17">
      <c r="C157" s="580" t="s">
        <v>92</v>
      </c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  <c r="Q157" s="269"/>
    </row>
    <row r="158" spans="2:17"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  <c r="Q158" s="269"/>
    </row>
    <row r="159" spans="2:17">
      <c r="C159" s="534" t="s">
        <v>97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  <c r="Q159" s="269"/>
    </row>
    <row r="160" spans="2:17">
      <c r="C160" s="581" t="s">
        <v>79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  <c r="Q160" s="269"/>
    </row>
    <row r="161" spans="3:17">
      <c r="C161" s="581" t="s">
        <v>80</v>
      </c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  <c r="Q161" s="269"/>
    </row>
    <row r="162" spans="3:17" ht="18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454" t="s">
        <v>131</v>
      </c>
      <c r="Q162" s="269"/>
    </row>
  </sheetData>
  <phoneticPr fontId="0" type="noConversion"/>
  <conditionalFormatting sqref="C17:C72">
    <cfRule type="cellIs" dxfId="147" priority="1" stopIfTrue="1" operator="equal">
      <formula>$I$10</formula>
    </cfRule>
  </conditionalFormatting>
  <conditionalFormatting sqref="C99:C154">
    <cfRule type="cellIs" dxfId="146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57"/>
  <dimension ref="A1:Q162"/>
  <sheetViews>
    <sheetView topLeftCell="A89" zoomScaleNormal="100" zoomScaleSheetLayoutView="84" workbookViewId="0">
      <selection activeCell="D99" sqref="D99:I113"/>
    </sheetView>
  </sheetViews>
  <sheetFormatPr defaultColWidth="8.7109375" defaultRowHeight="12.75" customHeight="1"/>
  <cols>
    <col min="1" max="1" width="4.7109375" style="183" customWidth="1"/>
    <col min="2" max="2" width="6.7109375" style="183" customWidth="1"/>
    <col min="3" max="3" width="23.28515625" style="183" customWidth="1"/>
    <col min="4" max="8" width="17.7109375" style="183" customWidth="1"/>
    <col min="9" max="9" width="20.42578125" style="183" customWidth="1"/>
    <col min="10" max="10" width="16.42578125" style="183" customWidth="1"/>
    <col min="11" max="11" width="17.7109375" style="183" customWidth="1"/>
    <col min="12" max="12" width="16.140625" style="183" customWidth="1"/>
    <col min="13" max="13" width="17.7109375" style="183" customWidth="1"/>
    <col min="14" max="14" width="16.140625" style="183" customWidth="1"/>
    <col min="15" max="15" width="16.85546875" style="183" customWidth="1"/>
    <col min="16" max="16" width="24.42578125" style="183" customWidth="1"/>
    <col min="17" max="17" width="4.7109375" style="183" customWidth="1"/>
    <col min="18" max="22" width="8.7109375" style="183"/>
    <col min="23" max="23" width="9.140625" style="183" customWidth="1"/>
    <col min="24" max="16384" width="8.7109375" style="183"/>
  </cols>
  <sheetData>
    <row r="1" spans="1:17" ht="20.25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"&amp;RIGHT(MID(CELL("filename",$A$1),FIND("]",CELL("filename",$A$1))+1,256),1)&amp;" of "&amp;COUNT('S.001:S.xyz - blank'!$P$3)-1</f>
        <v>SWEPCO Project 9 of 75</v>
      </c>
      <c r="Q1" s="453"/>
    </row>
    <row r="2" spans="1:17" ht="18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454" t="s">
        <v>129</v>
      </c>
    </row>
    <row r="3" spans="1:17" ht="18.75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 t="str">
        <f>RIGHT(N3,3)</f>
        <v/>
      </c>
      <c r="P3" s="455">
        <v>1</v>
      </c>
    </row>
    <row r="4" spans="1:17" ht="15.75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7" ht="1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276975.05306550174</v>
      </c>
      <c r="P5" s="269"/>
    </row>
    <row r="6" spans="1:17" ht="15.7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276975.05306550174</v>
      </c>
      <c r="O6" s="269"/>
      <c r="P6" s="269"/>
    </row>
    <row r="7" spans="1:17" ht="13.5" thickBot="1">
      <c r="C7" s="467" t="s">
        <v>48</v>
      </c>
      <c r="D7" s="468" t="s">
        <v>231</v>
      </c>
      <c r="E7" s="269"/>
      <c r="F7" s="269"/>
      <c r="G7" s="269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7" ht="13.5" thickBot="1">
      <c r="C8" s="472"/>
      <c r="D8" s="473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7" ht="13.5" thickBot="1">
      <c r="A9" s="191"/>
      <c r="C9" s="476" t="s">
        <v>50</v>
      </c>
      <c r="D9" s="477" t="s">
        <v>148</v>
      </c>
      <c r="E9" s="666" t="s">
        <v>479</v>
      </c>
      <c r="F9" s="478"/>
      <c r="G9" s="478"/>
      <c r="H9" s="478"/>
      <c r="I9" s="479"/>
      <c r="J9" s="480"/>
      <c r="O9" s="481"/>
      <c r="P9" s="272"/>
    </row>
    <row r="10" spans="1:17">
      <c r="C10" s="482" t="s">
        <v>51</v>
      </c>
      <c r="D10" s="483">
        <v>2820328</v>
      </c>
      <c r="E10" s="353" t="s">
        <v>52</v>
      </c>
      <c r="F10" s="481"/>
      <c r="G10" s="484"/>
      <c r="H10" s="484"/>
      <c r="I10" s="485">
        <f>+'SWE.WS.F.BPU.ATRR.Projected'!L19</f>
        <v>2024</v>
      </c>
      <c r="J10" s="480"/>
      <c r="K10" s="375" t="s">
        <v>53</v>
      </c>
      <c r="O10" s="272"/>
      <c r="P10" s="272"/>
    </row>
    <row r="11" spans="1:17">
      <c r="C11" s="486" t="s">
        <v>54</v>
      </c>
      <c r="D11" s="487">
        <v>2008</v>
      </c>
      <c r="E11" s="486" t="s">
        <v>55</v>
      </c>
      <c r="F11" s="484"/>
      <c r="G11" s="233"/>
      <c r="H11" s="233"/>
      <c r="I11" s="488"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7">
      <c r="C12" s="486" t="s">
        <v>56</v>
      </c>
      <c r="D12" s="483">
        <v>4</v>
      </c>
      <c r="E12" s="486" t="s">
        <v>57</v>
      </c>
      <c r="F12" s="484"/>
      <c r="G12" s="233"/>
      <c r="H12" s="233"/>
      <c r="I12" s="490">
        <f>'SWE.WS.F.BPU.ATRR.Projected'!$F$81</f>
        <v>0.11952713165403545</v>
      </c>
      <c r="J12" s="425"/>
      <c r="K12" s="183" t="s">
        <v>58</v>
      </c>
      <c r="O12" s="272"/>
      <c r="P12" s="272"/>
    </row>
    <row r="13" spans="1:17">
      <c r="C13" s="486" t="s">
        <v>59</v>
      </c>
      <c r="D13" s="488">
        <f>+'SWE.WS.F.BPU.ATRR.Projected'!F$93</f>
        <v>44</v>
      </c>
      <c r="E13" s="486" t="s">
        <v>60</v>
      </c>
      <c r="F13" s="484"/>
      <c r="G13" s="233"/>
      <c r="H13" s="233"/>
      <c r="I13" s="490">
        <f>IF(G5="",I12,'SWE.WS.F.BPU.ATRR.Projected'!$F$80)</f>
        <v>0.11952713165403545</v>
      </c>
      <c r="J13" s="425"/>
      <c r="K13" s="375" t="s">
        <v>61</v>
      </c>
      <c r="L13" s="324"/>
      <c r="M13" s="324"/>
      <c r="N13" s="324"/>
      <c r="O13" s="272"/>
      <c r="P13" s="272"/>
    </row>
    <row r="14" spans="1:17" ht="13.5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64098.36363636364</v>
      </c>
      <c r="J14" s="375"/>
      <c r="K14" s="375"/>
      <c r="L14" s="375"/>
      <c r="M14" s="375"/>
      <c r="N14" s="375"/>
      <c r="O14" s="272"/>
      <c r="P14" s="272"/>
    </row>
    <row r="15" spans="1:17" ht="38.25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388</v>
      </c>
      <c r="H15" s="495" t="s">
        <v>389</v>
      </c>
      <c r="I15" s="496" t="s">
        <v>260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7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>
      <c r="C17" s="507">
        <f>IF(D11= "","-",D11)</f>
        <v>2008</v>
      </c>
      <c r="D17" s="508">
        <v>1475169</v>
      </c>
      <c r="E17" s="509">
        <v>29902</v>
      </c>
      <c r="F17" s="508">
        <v>1445267</v>
      </c>
      <c r="G17" s="509">
        <v>214903</v>
      </c>
      <c r="H17" s="510">
        <v>214903</v>
      </c>
      <c r="I17" s="596">
        <f t="shared" ref="I17:I48" si="0">H17-G17</f>
        <v>0</v>
      </c>
      <c r="J17" s="511"/>
      <c r="K17" s="512">
        <v>214903</v>
      </c>
      <c r="L17" s="513">
        <f t="shared" ref="L17:L48" si="1">IF(K17&lt;&gt;0,+G17-K17,0)</f>
        <v>0</v>
      </c>
      <c r="M17" s="512">
        <f>K17</f>
        <v>214903</v>
      </c>
      <c r="N17" s="513">
        <f t="shared" ref="N17:N48" si="2">IF(M17&lt;&gt;0,+H17-M17,0)</f>
        <v>0</v>
      </c>
      <c r="O17" s="514">
        <f t="shared" ref="O17:O48" si="3">+N17-L17</f>
        <v>0</v>
      </c>
      <c r="P17" s="272"/>
    </row>
    <row r="18" spans="2:16">
      <c r="B18" s="195" t="str">
        <f>IF(D18=F17,"","IU")</f>
        <v>IU</v>
      </c>
      <c r="C18" s="507">
        <f>IF(D11="","-",+C17+1)</f>
        <v>2009</v>
      </c>
      <c r="D18" s="515">
        <v>1831326</v>
      </c>
      <c r="E18" s="516">
        <v>50403</v>
      </c>
      <c r="F18" s="515">
        <v>1780923</v>
      </c>
      <c r="G18" s="516">
        <v>323352</v>
      </c>
      <c r="H18" s="510">
        <v>323352</v>
      </c>
      <c r="I18" s="596">
        <f t="shared" si="0"/>
        <v>0</v>
      </c>
      <c r="J18" s="511"/>
      <c r="K18" s="518">
        <v>323352</v>
      </c>
      <c r="L18" s="514">
        <f t="shared" si="1"/>
        <v>0</v>
      </c>
      <c r="M18" s="518">
        <v>323352</v>
      </c>
      <c r="N18" s="514">
        <f t="shared" si="2"/>
        <v>0</v>
      </c>
      <c r="O18" s="514">
        <f t="shared" si="3"/>
        <v>0</v>
      </c>
      <c r="P18" s="272"/>
    </row>
    <row r="19" spans="2:16">
      <c r="B19" s="195" t="str">
        <f>IF(D19=F18,"","IU")</f>
        <v>IU</v>
      </c>
      <c r="C19" s="507">
        <f>IF(D11="","-",+C18+1)</f>
        <v>2010</v>
      </c>
      <c r="D19" s="515">
        <v>1782801</v>
      </c>
      <c r="E19" s="516">
        <v>49029</v>
      </c>
      <c r="F19" s="515">
        <v>1733771</v>
      </c>
      <c r="G19" s="516">
        <v>298284</v>
      </c>
      <c r="H19" s="510">
        <v>298285</v>
      </c>
      <c r="I19" s="598">
        <v>0</v>
      </c>
      <c r="J19" s="511"/>
      <c r="K19" s="518">
        <f t="shared" ref="K19:K24" si="4">G19</f>
        <v>298284</v>
      </c>
      <c r="L19" s="519">
        <f t="shared" si="1"/>
        <v>0</v>
      </c>
      <c r="M19" s="518">
        <f t="shared" ref="M19:M24" si="5">H19</f>
        <v>298285</v>
      </c>
      <c r="N19" s="514">
        <f t="shared" si="2"/>
        <v>0</v>
      </c>
      <c r="O19" s="514">
        <f t="shared" si="3"/>
        <v>0</v>
      </c>
      <c r="P19" s="272"/>
    </row>
    <row r="20" spans="2:16">
      <c r="B20" s="195" t="str">
        <f t="shared" ref="B20:B72" si="6">IF(D20=F19,"","IU")</f>
        <v>IU</v>
      </c>
      <c r="C20" s="507">
        <f>IF(D11="","-",+C19+1)</f>
        <v>2011</v>
      </c>
      <c r="D20" s="515">
        <v>2691044</v>
      </c>
      <c r="E20" s="516">
        <v>68789.707317073175</v>
      </c>
      <c r="F20" s="515">
        <v>2622254.2926829266</v>
      </c>
      <c r="G20" s="516">
        <v>478365.33332464576</v>
      </c>
      <c r="H20" s="510">
        <v>478365.33332464576</v>
      </c>
      <c r="I20" s="598">
        <v>0</v>
      </c>
      <c r="J20" s="511"/>
      <c r="K20" s="518">
        <f t="shared" si="4"/>
        <v>478365.33332464576</v>
      </c>
      <c r="L20" s="519">
        <f t="shared" si="1"/>
        <v>0</v>
      </c>
      <c r="M20" s="518">
        <f t="shared" si="5"/>
        <v>478365.33332464576</v>
      </c>
      <c r="N20" s="514">
        <f t="shared" si="2"/>
        <v>0</v>
      </c>
      <c r="O20" s="514">
        <f t="shared" si="3"/>
        <v>0</v>
      </c>
      <c r="P20" s="272"/>
    </row>
    <row r="21" spans="2:16">
      <c r="B21" s="195" t="str">
        <f t="shared" si="6"/>
        <v/>
      </c>
      <c r="C21" s="507">
        <f>IF(D12="","-",+C20+1)</f>
        <v>2012</v>
      </c>
      <c r="D21" s="515">
        <v>2622254.2926829266</v>
      </c>
      <c r="E21" s="516">
        <v>67151.857142857145</v>
      </c>
      <c r="F21" s="515">
        <v>2555102.4355400694</v>
      </c>
      <c r="G21" s="516">
        <v>447147.04924288485</v>
      </c>
      <c r="H21" s="510">
        <v>447147.04924288485</v>
      </c>
      <c r="I21" s="517">
        <v>0</v>
      </c>
      <c r="J21" s="511"/>
      <c r="K21" s="518">
        <f t="shared" si="4"/>
        <v>447147.04924288485</v>
      </c>
      <c r="L21" s="519">
        <f t="shared" si="1"/>
        <v>0</v>
      </c>
      <c r="M21" s="518">
        <f t="shared" si="5"/>
        <v>447147.04924288485</v>
      </c>
      <c r="N21" s="514">
        <f t="shared" si="2"/>
        <v>0</v>
      </c>
      <c r="O21" s="514">
        <f t="shared" si="3"/>
        <v>0</v>
      </c>
      <c r="P21" s="272"/>
    </row>
    <row r="22" spans="2:16">
      <c r="B22" s="195" t="str">
        <f t="shared" si="6"/>
        <v/>
      </c>
      <c r="C22" s="507">
        <f>IF(D11="","-",+C21+1)</f>
        <v>2013</v>
      </c>
      <c r="D22" s="515">
        <v>2555102.4355400694</v>
      </c>
      <c r="E22" s="516">
        <v>67151.857142857145</v>
      </c>
      <c r="F22" s="515">
        <v>2487950.5783972121</v>
      </c>
      <c r="G22" s="516">
        <v>415432.79896148719</v>
      </c>
      <c r="H22" s="510">
        <v>415432.79896148719</v>
      </c>
      <c r="I22" s="596">
        <v>0</v>
      </c>
      <c r="J22" s="511"/>
      <c r="K22" s="518">
        <f t="shared" si="4"/>
        <v>415432.79896148719</v>
      </c>
      <c r="L22" s="519">
        <f t="shared" ref="L22:L27" si="7">IF(K22&lt;&gt;0,+G22-K22,0)</f>
        <v>0</v>
      </c>
      <c r="M22" s="518">
        <f t="shared" si="5"/>
        <v>415432.79896148719</v>
      </c>
      <c r="N22" s="514">
        <f t="shared" ref="N22:N27" si="8">IF(M22&lt;&gt;0,+H22-M22,0)</f>
        <v>0</v>
      </c>
      <c r="O22" s="514">
        <f t="shared" ref="O22:O27" si="9">+N22-L22</f>
        <v>0</v>
      </c>
      <c r="P22" s="272"/>
    </row>
    <row r="23" spans="2:16">
      <c r="B23" s="195" t="str">
        <f t="shared" si="6"/>
        <v/>
      </c>
      <c r="C23" s="507">
        <f>IF(D11="","-",+C22+1)</f>
        <v>2014</v>
      </c>
      <c r="D23" s="515">
        <v>2487950.5783972121</v>
      </c>
      <c r="E23" s="516">
        <v>67151.857142857145</v>
      </c>
      <c r="F23" s="515">
        <v>2420798.7212543548</v>
      </c>
      <c r="G23" s="516">
        <v>393743.0429982192</v>
      </c>
      <c r="H23" s="510">
        <v>393743.0429982192</v>
      </c>
      <c r="I23" s="596">
        <v>0</v>
      </c>
      <c r="J23" s="511"/>
      <c r="K23" s="518">
        <f t="shared" si="4"/>
        <v>393743.0429982192</v>
      </c>
      <c r="L23" s="519">
        <f t="shared" si="7"/>
        <v>0</v>
      </c>
      <c r="M23" s="518">
        <f t="shared" si="5"/>
        <v>393743.0429982192</v>
      </c>
      <c r="N23" s="514">
        <f t="shared" si="8"/>
        <v>0</v>
      </c>
      <c r="O23" s="514">
        <f t="shared" si="9"/>
        <v>0</v>
      </c>
      <c r="P23" s="272"/>
    </row>
    <row r="24" spans="2:16">
      <c r="B24" s="195" t="str">
        <f t="shared" si="6"/>
        <v/>
      </c>
      <c r="C24" s="507">
        <f>IF(D11="","-",+C23+1)</f>
        <v>2015</v>
      </c>
      <c r="D24" s="515">
        <v>2420798.7212543548</v>
      </c>
      <c r="E24" s="516">
        <v>67151.857142857145</v>
      </c>
      <c r="F24" s="515">
        <v>2353646.8641114975</v>
      </c>
      <c r="G24" s="516">
        <v>377138.44894635677</v>
      </c>
      <c r="H24" s="510">
        <v>377138.44894635677</v>
      </c>
      <c r="I24" s="511">
        <v>0</v>
      </c>
      <c r="J24" s="511"/>
      <c r="K24" s="518">
        <f t="shared" si="4"/>
        <v>377138.44894635677</v>
      </c>
      <c r="L24" s="519">
        <f t="shared" si="7"/>
        <v>0</v>
      </c>
      <c r="M24" s="518">
        <f t="shared" si="5"/>
        <v>377138.44894635677</v>
      </c>
      <c r="N24" s="514">
        <f t="shared" si="8"/>
        <v>0</v>
      </c>
      <c r="O24" s="514">
        <f t="shared" si="9"/>
        <v>0</v>
      </c>
      <c r="P24" s="272"/>
    </row>
    <row r="25" spans="2:16">
      <c r="B25" s="195" t="str">
        <f t="shared" si="6"/>
        <v>IU</v>
      </c>
      <c r="C25" s="507">
        <f>IF(D11="","-",+C24+1)</f>
        <v>2016</v>
      </c>
      <c r="D25" s="515">
        <v>2353596.864111498</v>
      </c>
      <c r="E25" s="516">
        <v>67150.666666666672</v>
      </c>
      <c r="F25" s="515">
        <v>2286446.1974448315</v>
      </c>
      <c r="G25" s="516">
        <v>364571.53091239138</v>
      </c>
      <c r="H25" s="510">
        <v>364571.53091239138</v>
      </c>
      <c r="I25" s="511">
        <f t="shared" si="0"/>
        <v>0</v>
      </c>
      <c r="J25" s="511"/>
      <c r="K25" s="518">
        <f t="shared" ref="K25:K30" si="10">G25</f>
        <v>364571.53091239138</v>
      </c>
      <c r="L25" s="519">
        <f t="shared" si="7"/>
        <v>0</v>
      </c>
      <c r="M25" s="518">
        <f t="shared" ref="M25:M30" si="11">H25</f>
        <v>364571.53091239138</v>
      </c>
      <c r="N25" s="514">
        <f t="shared" si="8"/>
        <v>0</v>
      </c>
      <c r="O25" s="514">
        <f t="shared" si="9"/>
        <v>0</v>
      </c>
      <c r="P25" s="272"/>
    </row>
    <row r="26" spans="2:16">
      <c r="B26" s="195" t="str">
        <f t="shared" si="6"/>
        <v/>
      </c>
      <c r="C26" s="507">
        <f>IF(D11="","-",+C25+1)</f>
        <v>2017</v>
      </c>
      <c r="D26" s="515">
        <v>2286446.1974448315</v>
      </c>
      <c r="E26" s="516">
        <v>65589.023255813954</v>
      </c>
      <c r="F26" s="515">
        <v>2220857.1741890176</v>
      </c>
      <c r="G26" s="516">
        <v>344799.6405005774</v>
      </c>
      <c r="H26" s="510">
        <v>344799.6405005774</v>
      </c>
      <c r="I26" s="511">
        <f t="shared" si="0"/>
        <v>0</v>
      </c>
      <c r="J26" s="511"/>
      <c r="K26" s="518">
        <f t="shared" si="10"/>
        <v>344799.6405005774</v>
      </c>
      <c r="L26" s="519">
        <f t="shared" si="7"/>
        <v>0</v>
      </c>
      <c r="M26" s="518">
        <f t="shared" si="11"/>
        <v>344799.6405005774</v>
      </c>
      <c r="N26" s="514">
        <f t="shared" si="8"/>
        <v>0</v>
      </c>
      <c r="O26" s="514">
        <f t="shared" si="9"/>
        <v>0</v>
      </c>
      <c r="P26" s="272"/>
    </row>
    <row r="27" spans="2:16">
      <c r="B27" s="195" t="str">
        <f t="shared" si="6"/>
        <v/>
      </c>
      <c r="C27" s="507">
        <f>IF(D11="","-",+C26+1)</f>
        <v>2018</v>
      </c>
      <c r="D27" s="515">
        <v>2220857.1741890176</v>
      </c>
      <c r="E27" s="516">
        <v>68788.487804878052</v>
      </c>
      <c r="F27" s="515">
        <v>2152068.6863841396</v>
      </c>
      <c r="G27" s="516">
        <v>346675.02376969234</v>
      </c>
      <c r="H27" s="510">
        <v>346675.02376969234</v>
      </c>
      <c r="I27" s="511">
        <f t="shared" si="0"/>
        <v>0</v>
      </c>
      <c r="J27" s="511"/>
      <c r="K27" s="518">
        <f t="shared" si="10"/>
        <v>346675.02376969234</v>
      </c>
      <c r="L27" s="519">
        <f t="shared" si="7"/>
        <v>0</v>
      </c>
      <c r="M27" s="518">
        <f t="shared" si="11"/>
        <v>346675.02376969234</v>
      </c>
      <c r="N27" s="514">
        <f t="shared" si="8"/>
        <v>0</v>
      </c>
      <c r="O27" s="514">
        <f t="shared" si="9"/>
        <v>0</v>
      </c>
      <c r="P27" s="272"/>
    </row>
    <row r="28" spans="2:16">
      <c r="B28" s="195" t="str">
        <f t="shared" si="6"/>
        <v/>
      </c>
      <c r="C28" s="507">
        <f>IF(D11="","-",+C27+1)</f>
        <v>2019</v>
      </c>
      <c r="D28" s="515">
        <v>2152068.6863841396</v>
      </c>
      <c r="E28" s="516">
        <v>68788.487804878052</v>
      </c>
      <c r="F28" s="515">
        <v>2083280.1985792615</v>
      </c>
      <c r="G28" s="516">
        <v>337932.41289549379</v>
      </c>
      <c r="H28" s="510">
        <v>337932.41289549379</v>
      </c>
      <c r="I28" s="511">
        <f t="shared" si="0"/>
        <v>0</v>
      </c>
      <c r="J28" s="511"/>
      <c r="K28" s="518">
        <f t="shared" si="10"/>
        <v>337932.41289549379</v>
      </c>
      <c r="L28" s="519">
        <f t="shared" ref="L28" si="12">IF(K28&lt;&gt;0,+G28-K28,0)</f>
        <v>0</v>
      </c>
      <c r="M28" s="518">
        <f t="shared" si="11"/>
        <v>337932.41289549379</v>
      </c>
      <c r="N28" s="514">
        <f t="shared" si="2"/>
        <v>0</v>
      </c>
      <c r="O28" s="514">
        <f t="shared" si="3"/>
        <v>0</v>
      </c>
      <c r="P28" s="272"/>
    </row>
    <row r="29" spans="2:16">
      <c r="B29" s="195" t="str">
        <f t="shared" si="6"/>
        <v/>
      </c>
      <c r="C29" s="507">
        <f>IF(D11="","-",+C28+1)</f>
        <v>2020</v>
      </c>
      <c r="D29" s="515">
        <v>2083280.1985792615</v>
      </c>
      <c r="E29" s="516">
        <v>68788.487804878052</v>
      </c>
      <c r="F29" s="515">
        <v>2014491.7107743835</v>
      </c>
      <c r="G29" s="516">
        <v>278462.16480746388</v>
      </c>
      <c r="H29" s="510">
        <v>278462.16480746388</v>
      </c>
      <c r="I29" s="511">
        <f t="shared" si="0"/>
        <v>0</v>
      </c>
      <c r="J29" s="511"/>
      <c r="K29" s="518">
        <f t="shared" si="10"/>
        <v>278462.16480746388</v>
      </c>
      <c r="L29" s="519">
        <f t="shared" ref="L29" si="13">IF(K29&lt;&gt;0,+G29-K29,0)</f>
        <v>0</v>
      </c>
      <c r="M29" s="518">
        <f t="shared" si="11"/>
        <v>278462.16480746388</v>
      </c>
      <c r="N29" s="514">
        <f t="shared" si="2"/>
        <v>0</v>
      </c>
      <c r="O29" s="514">
        <f t="shared" si="3"/>
        <v>0</v>
      </c>
      <c r="P29" s="272"/>
    </row>
    <row r="30" spans="2:16">
      <c r="B30" s="195" t="str">
        <f t="shared" si="6"/>
        <v>IU</v>
      </c>
      <c r="C30" s="507">
        <f>IF(D11="","-",+C29+1)</f>
        <v>2021</v>
      </c>
      <c r="D30" s="515">
        <v>2017691.1753234474</v>
      </c>
      <c r="E30" s="516">
        <v>67150.666666666672</v>
      </c>
      <c r="F30" s="515">
        <v>1950540.5086567807</v>
      </c>
      <c r="G30" s="516">
        <v>277475.96380868781</v>
      </c>
      <c r="H30" s="510">
        <v>277475.96380868781</v>
      </c>
      <c r="I30" s="511">
        <f t="shared" si="0"/>
        <v>0</v>
      </c>
      <c r="J30" s="511"/>
      <c r="K30" s="518">
        <f t="shared" si="10"/>
        <v>277475.96380868781</v>
      </c>
      <c r="L30" s="519">
        <f t="shared" ref="L30" si="14">IF(K30&lt;&gt;0,+G30-K30,0)</f>
        <v>0</v>
      </c>
      <c r="M30" s="518">
        <f t="shared" si="11"/>
        <v>277475.96380868781</v>
      </c>
      <c r="N30" s="514">
        <f t="shared" si="2"/>
        <v>0</v>
      </c>
      <c r="O30" s="514">
        <f t="shared" si="3"/>
        <v>0</v>
      </c>
      <c r="P30" s="272"/>
    </row>
    <row r="31" spans="2:16">
      <c r="B31" s="195" t="str">
        <f t="shared" si="6"/>
        <v>IU</v>
      </c>
      <c r="C31" s="507">
        <f>IF(D11="","-",+C30+1)</f>
        <v>2022</v>
      </c>
      <c r="D31" s="515">
        <v>1947341.0441077168</v>
      </c>
      <c r="E31" s="516">
        <v>67150.666666666672</v>
      </c>
      <c r="F31" s="515">
        <v>1880190.37744105</v>
      </c>
      <c r="G31" s="516">
        <v>282342.32366047957</v>
      </c>
      <c r="H31" s="510">
        <v>282342.32366047957</v>
      </c>
      <c r="I31" s="511">
        <f t="shared" si="0"/>
        <v>0</v>
      </c>
      <c r="J31" s="511"/>
      <c r="K31" s="518">
        <f t="shared" ref="K31" si="15">G31</f>
        <v>282342.32366047957</v>
      </c>
      <c r="L31" s="519">
        <f t="shared" ref="L31" si="16">IF(K31&lt;&gt;0,+G31-K31,0)</f>
        <v>0</v>
      </c>
      <c r="M31" s="518">
        <f t="shared" ref="M31" si="17">H31</f>
        <v>282342.32366047957</v>
      </c>
      <c r="N31" s="514">
        <f t="shared" si="2"/>
        <v>0</v>
      </c>
      <c r="O31" s="514">
        <f t="shared" si="3"/>
        <v>0</v>
      </c>
      <c r="P31" s="272"/>
    </row>
    <row r="32" spans="2:16">
      <c r="B32" s="195" t="str">
        <f t="shared" si="6"/>
        <v/>
      </c>
      <c r="C32" s="507">
        <f>IF(D11="","-",+C31+1)</f>
        <v>2023</v>
      </c>
      <c r="D32" s="515">
        <v>1880190.37744105</v>
      </c>
      <c r="E32" s="516">
        <v>67150.666666666672</v>
      </c>
      <c r="F32" s="515">
        <v>1813039.7107743833</v>
      </c>
      <c r="G32" s="516">
        <v>300427.61382365174</v>
      </c>
      <c r="H32" s="510">
        <v>300427.61382365174</v>
      </c>
      <c r="I32" s="511">
        <f t="shared" si="0"/>
        <v>0</v>
      </c>
      <c r="J32" s="511"/>
      <c r="K32" s="518">
        <f t="shared" ref="K32" si="18">G32</f>
        <v>300427.61382365174</v>
      </c>
      <c r="L32" s="519">
        <f t="shared" ref="L32" si="19">IF(K32&lt;&gt;0,+G32-K32,0)</f>
        <v>0</v>
      </c>
      <c r="M32" s="518">
        <f t="shared" ref="M32" si="20">H32</f>
        <v>300427.61382365174</v>
      </c>
      <c r="N32" s="514">
        <f t="shared" ref="N32" si="21">IF(M32&lt;&gt;0,+H32-M32,0)</f>
        <v>0</v>
      </c>
      <c r="O32" s="514">
        <f t="shared" ref="O32" si="22">+N32-L32</f>
        <v>0</v>
      </c>
      <c r="P32" s="272"/>
    </row>
    <row r="33" spans="2:16">
      <c r="B33" s="195" t="str">
        <f t="shared" si="6"/>
        <v/>
      </c>
      <c r="C33" s="673">
        <f>IF(D11="","-",+C32+1)</f>
        <v>2024</v>
      </c>
      <c r="D33" s="523">
        <f>IF(F32+SUM(E$17:E32)=D$10,F32,D$10-SUM(E$17:E32))</f>
        <v>1813039.7107743833</v>
      </c>
      <c r="E33" s="522">
        <f>IF(+I14&lt;F32,I14,D33)</f>
        <v>64098.36363636364</v>
      </c>
      <c r="F33" s="523">
        <f t="shared" ref="F33:F48" si="23">+D33-E33</f>
        <v>1748941.3471380197</v>
      </c>
      <c r="G33" s="524">
        <f t="shared" ref="G33:G72" si="24">+I$12*((D33+F33)/2)+E33</f>
        <v>276975.05306550174</v>
      </c>
      <c r="H33" s="491">
        <f t="shared" ref="H33:H72" si="25">+I$13*((D33+F33)/2)+E33</f>
        <v>276975.05306550174</v>
      </c>
      <c r="I33" s="511">
        <f t="shared" si="0"/>
        <v>0</v>
      </c>
      <c r="J33" s="511"/>
      <c r="K33" s="525"/>
      <c r="L33" s="514">
        <f t="shared" si="1"/>
        <v>0</v>
      </c>
      <c r="M33" s="525"/>
      <c r="N33" s="514">
        <f t="shared" si="2"/>
        <v>0</v>
      </c>
      <c r="O33" s="514">
        <f t="shared" si="3"/>
        <v>0</v>
      </c>
      <c r="P33" s="272"/>
    </row>
    <row r="34" spans="2:16">
      <c r="B34" s="195" t="str">
        <f t="shared" si="6"/>
        <v/>
      </c>
      <c r="C34" s="507">
        <f>IF(D11="","-",+C33+1)</f>
        <v>2025</v>
      </c>
      <c r="D34" s="523">
        <f>IF(F33+SUM(E$17:E33)=D$10,F33,D$10-SUM(E$17:E33))</f>
        <v>1748941.3471380197</v>
      </c>
      <c r="E34" s="522">
        <f>IF(+I14&lt;F33,I14,D34)</f>
        <v>64098.36363636364</v>
      </c>
      <c r="F34" s="523">
        <f t="shared" si="23"/>
        <v>1684842.9835016562</v>
      </c>
      <c r="G34" s="524">
        <f t="shared" si="24"/>
        <v>269313.5595163299</v>
      </c>
      <c r="H34" s="491">
        <f t="shared" si="25"/>
        <v>269313.5595163299</v>
      </c>
      <c r="I34" s="511">
        <f t="shared" si="0"/>
        <v>0</v>
      </c>
      <c r="J34" s="511"/>
      <c r="K34" s="525"/>
      <c r="L34" s="514">
        <f t="shared" si="1"/>
        <v>0</v>
      </c>
      <c r="M34" s="525"/>
      <c r="N34" s="514">
        <f t="shared" si="2"/>
        <v>0</v>
      </c>
      <c r="O34" s="514">
        <f t="shared" si="3"/>
        <v>0</v>
      </c>
      <c r="P34" s="272"/>
    </row>
    <row r="35" spans="2:16">
      <c r="B35" s="195" t="str">
        <f t="shared" si="6"/>
        <v/>
      </c>
      <c r="C35" s="507">
        <f>IF(D11="","-",+C34+1)</f>
        <v>2026</v>
      </c>
      <c r="D35" s="523">
        <f>IF(F34+SUM(E$17:E34)=D$10,F34,D$10-SUM(E$17:E34))</f>
        <v>1684842.9835016562</v>
      </c>
      <c r="E35" s="522">
        <f>IF(+I14&lt;F34,I14,D35)</f>
        <v>64098.36363636364</v>
      </c>
      <c r="F35" s="523">
        <f t="shared" si="23"/>
        <v>1620744.6198652927</v>
      </c>
      <c r="G35" s="524">
        <f t="shared" si="24"/>
        <v>261652.06596715804</v>
      </c>
      <c r="H35" s="491">
        <f t="shared" si="25"/>
        <v>261652.06596715804</v>
      </c>
      <c r="I35" s="511">
        <f t="shared" si="0"/>
        <v>0</v>
      </c>
      <c r="J35" s="511"/>
      <c r="K35" s="525"/>
      <c r="L35" s="514">
        <f t="shared" si="1"/>
        <v>0</v>
      </c>
      <c r="M35" s="525"/>
      <c r="N35" s="514">
        <f t="shared" si="2"/>
        <v>0</v>
      </c>
      <c r="O35" s="514">
        <f t="shared" si="3"/>
        <v>0</v>
      </c>
      <c r="P35" s="272"/>
    </row>
    <row r="36" spans="2:16">
      <c r="B36" s="195" t="str">
        <f t="shared" si="6"/>
        <v/>
      </c>
      <c r="C36" s="507">
        <f>IF(D11="","-",+C35+1)</f>
        <v>2027</v>
      </c>
      <c r="D36" s="523">
        <f>IF(F35+SUM(E$17:E35)=D$10,F35,D$10-SUM(E$17:E35))</f>
        <v>1620744.6198652927</v>
      </c>
      <c r="E36" s="522">
        <f>IF(+I14&lt;F35,I14,D36)</f>
        <v>64098.36363636364</v>
      </c>
      <c r="F36" s="523">
        <f t="shared" si="23"/>
        <v>1556646.2562289292</v>
      </c>
      <c r="G36" s="524">
        <f t="shared" si="24"/>
        <v>253990.5724179862</v>
      </c>
      <c r="H36" s="491">
        <f t="shared" si="25"/>
        <v>253990.5724179862</v>
      </c>
      <c r="I36" s="511">
        <f t="shared" si="0"/>
        <v>0</v>
      </c>
      <c r="J36" s="511"/>
      <c r="K36" s="525"/>
      <c r="L36" s="514">
        <f t="shared" si="1"/>
        <v>0</v>
      </c>
      <c r="M36" s="525"/>
      <c r="N36" s="514">
        <f t="shared" si="2"/>
        <v>0</v>
      </c>
      <c r="O36" s="514">
        <f t="shared" si="3"/>
        <v>0</v>
      </c>
      <c r="P36" s="272"/>
    </row>
    <row r="37" spans="2:16">
      <c r="B37" s="195" t="str">
        <f t="shared" si="6"/>
        <v/>
      </c>
      <c r="C37" s="507">
        <f>IF(D11="","-",+C36+1)</f>
        <v>2028</v>
      </c>
      <c r="D37" s="523">
        <f>IF(F36+SUM(E$17:E36)=D$10,F36,D$10-SUM(E$17:E36))</f>
        <v>1556646.2562289292</v>
      </c>
      <c r="E37" s="522">
        <f>IF(+I14&lt;F36,I14,D37)</f>
        <v>64098.36363636364</v>
      </c>
      <c r="F37" s="523">
        <f t="shared" si="23"/>
        <v>1492547.8925925656</v>
      </c>
      <c r="G37" s="524">
        <f t="shared" si="24"/>
        <v>246329.07886881431</v>
      </c>
      <c r="H37" s="491">
        <f t="shared" si="25"/>
        <v>246329.07886881431</v>
      </c>
      <c r="I37" s="511">
        <f t="shared" si="0"/>
        <v>0</v>
      </c>
      <c r="J37" s="511"/>
      <c r="K37" s="525"/>
      <c r="L37" s="514">
        <f t="shared" si="1"/>
        <v>0</v>
      </c>
      <c r="M37" s="525"/>
      <c r="N37" s="514">
        <f t="shared" si="2"/>
        <v>0</v>
      </c>
      <c r="O37" s="514">
        <f t="shared" si="3"/>
        <v>0</v>
      </c>
      <c r="P37" s="272"/>
    </row>
    <row r="38" spans="2:16">
      <c r="B38" s="195" t="str">
        <f t="shared" si="6"/>
        <v/>
      </c>
      <c r="C38" s="507">
        <f>IF(D11="","-",+C37+1)</f>
        <v>2029</v>
      </c>
      <c r="D38" s="523">
        <f>IF(F37+SUM(E$17:E37)=D$10,F37,D$10-SUM(E$17:E37))</f>
        <v>1492547.8925925656</v>
      </c>
      <c r="E38" s="522">
        <f>IF(+I14&lt;F37,I14,D38)</f>
        <v>64098.36363636364</v>
      </c>
      <c r="F38" s="523">
        <f t="shared" si="23"/>
        <v>1428449.5289562021</v>
      </c>
      <c r="G38" s="524">
        <f t="shared" si="24"/>
        <v>238667.58531964247</v>
      </c>
      <c r="H38" s="491">
        <f t="shared" si="25"/>
        <v>238667.58531964247</v>
      </c>
      <c r="I38" s="511">
        <f t="shared" si="0"/>
        <v>0</v>
      </c>
      <c r="J38" s="511"/>
      <c r="K38" s="525"/>
      <c r="L38" s="514">
        <f t="shared" si="1"/>
        <v>0</v>
      </c>
      <c r="M38" s="525"/>
      <c r="N38" s="514">
        <f t="shared" si="2"/>
        <v>0</v>
      </c>
      <c r="O38" s="514">
        <f t="shared" si="3"/>
        <v>0</v>
      </c>
      <c r="P38" s="272"/>
    </row>
    <row r="39" spans="2:16">
      <c r="B39" s="195" t="str">
        <f t="shared" si="6"/>
        <v/>
      </c>
      <c r="C39" s="507">
        <f>IF(D11="","-",+C38+1)</f>
        <v>2030</v>
      </c>
      <c r="D39" s="523">
        <f>IF(F38+SUM(E$17:E38)=D$10,F38,D$10-SUM(E$17:E38))</f>
        <v>1428449.5289562021</v>
      </c>
      <c r="E39" s="522">
        <f>IF(+I14&lt;F38,I14,D39)</f>
        <v>64098.36363636364</v>
      </c>
      <c r="F39" s="523">
        <f t="shared" si="23"/>
        <v>1364351.1653198386</v>
      </c>
      <c r="G39" s="524">
        <f t="shared" si="24"/>
        <v>231006.09177047058</v>
      </c>
      <c r="H39" s="491">
        <f t="shared" si="25"/>
        <v>231006.09177047058</v>
      </c>
      <c r="I39" s="511">
        <f t="shared" si="0"/>
        <v>0</v>
      </c>
      <c r="J39" s="511"/>
      <c r="K39" s="525"/>
      <c r="L39" s="514">
        <f t="shared" si="1"/>
        <v>0</v>
      </c>
      <c r="M39" s="525"/>
      <c r="N39" s="514">
        <f t="shared" si="2"/>
        <v>0</v>
      </c>
      <c r="O39" s="514">
        <f t="shared" si="3"/>
        <v>0</v>
      </c>
      <c r="P39" s="272"/>
    </row>
    <row r="40" spans="2:16">
      <c r="B40" s="195" t="str">
        <f t="shared" si="6"/>
        <v/>
      </c>
      <c r="C40" s="507">
        <f>IF(D11="","-",+C39+1)</f>
        <v>2031</v>
      </c>
      <c r="D40" s="523">
        <f>IF(F39+SUM(E$17:E39)=D$10,F39,D$10-SUM(E$17:E39))</f>
        <v>1364351.1653198386</v>
      </c>
      <c r="E40" s="522">
        <f>IF(+I14&lt;F39,I14,D40)</f>
        <v>64098.36363636364</v>
      </c>
      <c r="F40" s="523">
        <f t="shared" si="23"/>
        <v>1300252.801683475</v>
      </c>
      <c r="G40" s="524">
        <f t="shared" si="24"/>
        <v>223344.59822129874</v>
      </c>
      <c r="H40" s="491">
        <f t="shared" si="25"/>
        <v>223344.59822129874</v>
      </c>
      <c r="I40" s="511">
        <f t="shared" si="0"/>
        <v>0</v>
      </c>
      <c r="J40" s="511"/>
      <c r="K40" s="525"/>
      <c r="L40" s="514">
        <f t="shared" si="1"/>
        <v>0</v>
      </c>
      <c r="M40" s="525"/>
      <c r="N40" s="514">
        <f t="shared" si="2"/>
        <v>0</v>
      </c>
      <c r="O40" s="514">
        <f t="shared" si="3"/>
        <v>0</v>
      </c>
      <c r="P40" s="272"/>
    </row>
    <row r="41" spans="2:16">
      <c r="B41" s="195" t="str">
        <f t="shared" si="6"/>
        <v/>
      </c>
      <c r="C41" s="507">
        <f>IF(D11="","-",+C40+1)</f>
        <v>2032</v>
      </c>
      <c r="D41" s="523">
        <f>IF(F40+SUM(E$17:E40)=D$10,F40,D$10-SUM(E$17:E40))</f>
        <v>1300252.801683475</v>
      </c>
      <c r="E41" s="522">
        <f>IF(+I14&lt;F40,I14,D41)</f>
        <v>64098.36363636364</v>
      </c>
      <c r="F41" s="523">
        <f t="shared" si="23"/>
        <v>1236154.4380471115</v>
      </c>
      <c r="G41" s="524">
        <f t="shared" si="24"/>
        <v>215683.10467212685</v>
      </c>
      <c r="H41" s="491">
        <f t="shared" si="25"/>
        <v>215683.10467212685</v>
      </c>
      <c r="I41" s="511">
        <f t="shared" si="0"/>
        <v>0</v>
      </c>
      <c r="J41" s="511"/>
      <c r="K41" s="525"/>
      <c r="L41" s="514">
        <f t="shared" si="1"/>
        <v>0</v>
      </c>
      <c r="M41" s="525"/>
      <c r="N41" s="514">
        <f t="shared" si="2"/>
        <v>0</v>
      </c>
      <c r="O41" s="514">
        <f t="shared" si="3"/>
        <v>0</v>
      </c>
      <c r="P41" s="272"/>
    </row>
    <row r="42" spans="2:16">
      <c r="B42" s="195" t="str">
        <f t="shared" si="6"/>
        <v/>
      </c>
      <c r="C42" s="507">
        <f>IF(D11="","-",+C41+1)</f>
        <v>2033</v>
      </c>
      <c r="D42" s="523">
        <f>IF(F41+SUM(E$17:E41)=D$10,F41,D$10-SUM(E$17:E41))</f>
        <v>1236154.4380471115</v>
      </c>
      <c r="E42" s="522">
        <f>IF(+I14&lt;F41,I14,D42)</f>
        <v>64098.36363636364</v>
      </c>
      <c r="F42" s="523">
        <f t="shared" si="23"/>
        <v>1172056.074410748</v>
      </c>
      <c r="G42" s="524">
        <f t="shared" si="24"/>
        <v>208021.61112295502</v>
      </c>
      <c r="H42" s="491">
        <f t="shared" si="25"/>
        <v>208021.61112295502</v>
      </c>
      <c r="I42" s="511">
        <f t="shared" si="0"/>
        <v>0</v>
      </c>
      <c r="J42" s="511"/>
      <c r="K42" s="525"/>
      <c r="L42" s="514">
        <f t="shared" si="1"/>
        <v>0</v>
      </c>
      <c r="M42" s="525"/>
      <c r="N42" s="514">
        <f t="shared" si="2"/>
        <v>0</v>
      </c>
      <c r="O42" s="514">
        <f t="shared" si="3"/>
        <v>0</v>
      </c>
      <c r="P42" s="272"/>
    </row>
    <row r="43" spans="2:16">
      <c r="B43" s="195" t="str">
        <f t="shared" si="6"/>
        <v/>
      </c>
      <c r="C43" s="507">
        <f>IF(D11="","-",+C42+1)</f>
        <v>2034</v>
      </c>
      <c r="D43" s="523">
        <f>IF(F42+SUM(E$17:E42)=D$10,F42,D$10-SUM(E$17:E42))</f>
        <v>1172056.074410748</v>
      </c>
      <c r="E43" s="522">
        <f>IF(+I14&lt;F42,I14,D43)</f>
        <v>64098.36363636364</v>
      </c>
      <c r="F43" s="523">
        <f t="shared" si="23"/>
        <v>1107957.7107743844</v>
      </c>
      <c r="G43" s="524">
        <f t="shared" si="24"/>
        <v>200360.11757378315</v>
      </c>
      <c r="H43" s="491">
        <f t="shared" si="25"/>
        <v>200360.11757378315</v>
      </c>
      <c r="I43" s="511">
        <f t="shared" si="0"/>
        <v>0</v>
      </c>
      <c r="J43" s="511"/>
      <c r="K43" s="525"/>
      <c r="L43" s="514">
        <f t="shared" si="1"/>
        <v>0</v>
      </c>
      <c r="M43" s="525"/>
      <c r="N43" s="514">
        <f t="shared" si="2"/>
        <v>0</v>
      </c>
      <c r="O43" s="514">
        <f t="shared" si="3"/>
        <v>0</v>
      </c>
      <c r="P43" s="272"/>
    </row>
    <row r="44" spans="2:16">
      <c r="B44" s="195" t="str">
        <f t="shared" si="6"/>
        <v/>
      </c>
      <c r="C44" s="507">
        <f>IF(D11="","-",+C43+1)</f>
        <v>2035</v>
      </c>
      <c r="D44" s="523">
        <f>IF(F43+SUM(E$17:E43)=D$10,F43,D$10-SUM(E$17:E43))</f>
        <v>1107957.7107743844</v>
      </c>
      <c r="E44" s="522">
        <f>IF(+I14&lt;F43,I14,D44)</f>
        <v>64098.36363636364</v>
      </c>
      <c r="F44" s="523">
        <f t="shared" si="23"/>
        <v>1043859.3471380208</v>
      </c>
      <c r="G44" s="524">
        <f t="shared" si="24"/>
        <v>192698.62402461126</v>
      </c>
      <c r="H44" s="491">
        <f t="shared" si="25"/>
        <v>192698.62402461126</v>
      </c>
      <c r="I44" s="511">
        <f t="shared" si="0"/>
        <v>0</v>
      </c>
      <c r="J44" s="511"/>
      <c r="K44" s="525"/>
      <c r="L44" s="514">
        <f t="shared" si="1"/>
        <v>0</v>
      </c>
      <c r="M44" s="525"/>
      <c r="N44" s="514">
        <f t="shared" si="2"/>
        <v>0</v>
      </c>
      <c r="O44" s="514">
        <f t="shared" si="3"/>
        <v>0</v>
      </c>
      <c r="P44" s="272"/>
    </row>
    <row r="45" spans="2:16">
      <c r="B45" s="195" t="str">
        <f t="shared" si="6"/>
        <v/>
      </c>
      <c r="C45" s="507">
        <f>IF(D11="","-",+C44+1)</f>
        <v>2036</v>
      </c>
      <c r="D45" s="523">
        <f>IF(F44+SUM(E$17:E44)=D$10,F44,D$10-SUM(E$17:E44))</f>
        <v>1043859.3471380208</v>
      </c>
      <c r="E45" s="522">
        <f>IF(+I14&lt;F44,I14,D45)</f>
        <v>64098.36363636364</v>
      </c>
      <c r="F45" s="523">
        <f t="shared" si="23"/>
        <v>979760.98350165715</v>
      </c>
      <c r="G45" s="524">
        <f t="shared" si="24"/>
        <v>185037.13047543942</v>
      </c>
      <c r="H45" s="491">
        <f t="shared" si="25"/>
        <v>185037.13047543942</v>
      </c>
      <c r="I45" s="511">
        <f t="shared" si="0"/>
        <v>0</v>
      </c>
      <c r="J45" s="511"/>
      <c r="K45" s="525"/>
      <c r="L45" s="514">
        <f t="shared" si="1"/>
        <v>0</v>
      </c>
      <c r="M45" s="525"/>
      <c r="N45" s="514">
        <f t="shared" si="2"/>
        <v>0</v>
      </c>
      <c r="O45" s="514">
        <f t="shared" si="3"/>
        <v>0</v>
      </c>
      <c r="P45" s="272"/>
    </row>
    <row r="46" spans="2:16">
      <c r="B46" s="195" t="str">
        <f t="shared" si="6"/>
        <v/>
      </c>
      <c r="C46" s="507">
        <f>IF(D11="","-",+C45+1)</f>
        <v>2037</v>
      </c>
      <c r="D46" s="523">
        <f>IF(F45+SUM(E$17:E45)=D$10,F45,D$10-SUM(E$17:E45))</f>
        <v>979760.98350165715</v>
      </c>
      <c r="E46" s="522">
        <f>IF(+I14&lt;F45,I14,D46)</f>
        <v>64098.36363636364</v>
      </c>
      <c r="F46" s="523">
        <f t="shared" si="23"/>
        <v>915662.6198652935</v>
      </c>
      <c r="G46" s="524">
        <f t="shared" si="24"/>
        <v>177375.63692626753</v>
      </c>
      <c r="H46" s="491">
        <f t="shared" si="25"/>
        <v>177375.63692626753</v>
      </c>
      <c r="I46" s="511">
        <f t="shared" si="0"/>
        <v>0</v>
      </c>
      <c r="J46" s="511"/>
      <c r="K46" s="525"/>
      <c r="L46" s="514">
        <f t="shared" si="1"/>
        <v>0</v>
      </c>
      <c r="M46" s="525"/>
      <c r="N46" s="514">
        <f t="shared" si="2"/>
        <v>0</v>
      </c>
      <c r="O46" s="514">
        <f t="shared" si="3"/>
        <v>0</v>
      </c>
      <c r="P46" s="272"/>
    </row>
    <row r="47" spans="2:16">
      <c r="B47" s="195" t="str">
        <f t="shared" si="6"/>
        <v/>
      </c>
      <c r="C47" s="507">
        <f>IF(D11="","-",+C46+1)</f>
        <v>2038</v>
      </c>
      <c r="D47" s="523">
        <f>IF(F46+SUM(E$17:E46)=D$10,F46,D$10-SUM(E$17:E46))</f>
        <v>915662.6198652935</v>
      </c>
      <c r="E47" s="522">
        <f>IF(+I14&lt;F46,I14,D47)</f>
        <v>64098.36363636364</v>
      </c>
      <c r="F47" s="523">
        <f t="shared" si="23"/>
        <v>851564.25622892985</v>
      </c>
      <c r="G47" s="524">
        <f t="shared" si="24"/>
        <v>169714.14337709566</v>
      </c>
      <c r="H47" s="491">
        <f t="shared" si="25"/>
        <v>169714.14337709566</v>
      </c>
      <c r="I47" s="511">
        <f t="shared" si="0"/>
        <v>0</v>
      </c>
      <c r="J47" s="511"/>
      <c r="K47" s="525"/>
      <c r="L47" s="514">
        <f t="shared" si="1"/>
        <v>0</v>
      </c>
      <c r="M47" s="525"/>
      <c r="N47" s="514">
        <f t="shared" si="2"/>
        <v>0</v>
      </c>
      <c r="O47" s="514">
        <f t="shared" si="3"/>
        <v>0</v>
      </c>
      <c r="P47" s="272"/>
    </row>
    <row r="48" spans="2:16">
      <c r="B48" s="195" t="str">
        <f t="shared" si="6"/>
        <v/>
      </c>
      <c r="C48" s="507">
        <f>IF(D11="","-",+C47+1)</f>
        <v>2039</v>
      </c>
      <c r="D48" s="523">
        <f>IF(F47+SUM(E$17:E47)=D$10,F47,D$10-SUM(E$17:E47))</f>
        <v>851564.25622892985</v>
      </c>
      <c r="E48" s="522">
        <f>IF(+I14&lt;F47,I14,D48)</f>
        <v>64098.36363636364</v>
      </c>
      <c r="F48" s="523">
        <f t="shared" si="23"/>
        <v>787465.8925925662</v>
      </c>
      <c r="G48" s="524">
        <f t="shared" si="24"/>
        <v>162052.64982792377</v>
      </c>
      <c r="H48" s="491">
        <f t="shared" si="25"/>
        <v>162052.64982792377</v>
      </c>
      <c r="I48" s="511">
        <f t="shared" si="0"/>
        <v>0</v>
      </c>
      <c r="J48" s="511"/>
      <c r="K48" s="525"/>
      <c r="L48" s="514">
        <f t="shared" si="1"/>
        <v>0</v>
      </c>
      <c r="M48" s="525"/>
      <c r="N48" s="514">
        <f t="shared" si="2"/>
        <v>0</v>
      </c>
      <c r="O48" s="514">
        <f t="shared" si="3"/>
        <v>0</v>
      </c>
      <c r="P48" s="272"/>
    </row>
    <row r="49" spans="2:17">
      <c r="B49" s="195" t="str">
        <f t="shared" si="6"/>
        <v/>
      </c>
      <c r="C49" s="507">
        <f>IF(D11="","-",+C48+1)</f>
        <v>2040</v>
      </c>
      <c r="D49" s="523">
        <f>IF(F48+SUM(E$17:E48)=D$10,F48,D$10-SUM(E$17:E48))</f>
        <v>787465.8925925662</v>
      </c>
      <c r="E49" s="522">
        <f>IF(+I14&lt;F48,I14,D49)</f>
        <v>64098.36363636364</v>
      </c>
      <c r="F49" s="523">
        <f t="shared" ref="F49:F72" si="26">+D49-E49</f>
        <v>723367.52895620256</v>
      </c>
      <c r="G49" s="524">
        <f t="shared" si="24"/>
        <v>154391.15627875191</v>
      </c>
      <c r="H49" s="491">
        <f t="shared" si="25"/>
        <v>154391.15627875191</v>
      </c>
      <c r="I49" s="511">
        <f t="shared" ref="I49:I72" si="27">H49-G49</f>
        <v>0</v>
      </c>
      <c r="J49" s="511"/>
      <c r="K49" s="525"/>
      <c r="L49" s="514">
        <f t="shared" ref="L49:L72" si="28">IF(K49&lt;&gt;0,+G49-K49,0)</f>
        <v>0</v>
      </c>
      <c r="M49" s="525"/>
      <c r="N49" s="514">
        <f t="shared" ref="N49:N72" si="29">IF(M49&lt;&gt;0,+H49-M49,0)</f>
        <v>0</v>
      </c>
      <c r="O49" s="514">
        <f t="shared" ref="O49:O72" si="30">+N49-L49</f>
        <v>0</v>
      </c>
      <c r="P49" s="272"/>
    </row>
    <row r="50" spans="2:17">
      <c r="B50" s="195" t="str">
        <f t="shared" si="6"/>
        <v/>
      </c>
      <c r="C50" s="507">
        <f>IF(D11="","-",+C49+1)</f>
        <v>2041</v>
      </c>
      <c r="D50" s="523">
        <f>IF(F49+SUM(E$17:E49)=D$10,F49,D$10-SUM(E$17:E49))</f>
        <v>723367.52895620256</v>
      </c>
      <c r="E50" s="522">
        <f>IF(+I14&lt;F49,I14,D50)</f>
        <v>64098.36363636364</v>
      </c>
      <c r="F50" s="523">
        <f t="shared" si="26"/>
        <v>659269.16531983891</v>
      </c>
      <c r="G50" s="524">
        <f t="shared" si="24"/>
        <v>146729.66272958001</v>
      </c>
      <c r="H50" s="491">
        <f t="shared" si="25"/>
        <v>146729.66272958001</v>
      </c>
      <c r="I50" s="511">
        <f t="shared" si="27"/>
        <v>0</v>
      </c>
      <c r="J50" s="511"/>
      <c r="K50" s="525"/>
      <c r="L50" s="514">
        <f t="shared" si="28"/>
        <v>0</v>
      </c>
      <c r="M50" s="525"/>
      <c r="N50" s="514">
        <f t="shared" si="29"/>
        <v>0</v>
      </c>
      <c r="O50" s="514">
        <f t="shared" si="30"/>
        <v>0</v>
      </c>
      <c r="P50" s="272"/>
    </row>
    <row r="51" spans="2:17">
      <c r="B51" s="195" t="str">
        <f t="shared" si="6"/>
        <v/>
      </c>
      <c r="C51" s="507">
        <f>IF(D11="","-",+C50+1)</f>
        <v>2042</v>
      </c>
      <c r="D51" s="523">
        <f>IF(F50+SUM(E$17:E50)=D$10,F50,D$10-SUM(E$17:E50))</f>
        <v>659269.16531983891</v>
      </c>
      <c r="E51" s="522">
        <f>IF(+I14&lt;F50,I14,D51)</f>
        <v>64098.36363636364</v>
      </c>
      <c r="F51" s="523">
        <f t="shared" si="26"/>
        <v>595170.80168347526</v>
      </c>
      <c r="G51" s="524">
        <f t="shared" si="24"/>
        <v>139068.16918040815</v>
      </c>
      <c r="H51" s="491">
        <f t="shared" si="25"/>
        <v>139068.16918040815</v>
      </c>
      <c r="I51" s="511">
        <f t="shared" si="27"/>
        <v>0</v>
      </c>
      <c r="J51" s="511"/>
      <c r="K51" s="525"/>
      <c r="L51" s="514">
        <f t="shared" si="28"/>
        <v>0</v>
      </c>
      <c r="M51" s="525"/>
      <c r="N51" s="514">
        <f t="shared" si="29"/>
        <v>0</v>
      </c>
      <c r="O51" s="514">
        <f t="shared" si="30"/>
        <v>0</v>
      </c>
      <c r="P51" s="272"/>
    </row>
    <row r="52" spans="2:17">
      <c r="B52" s="195" t="str">
        <f t="shared" si="6"/>
        <v/>
      </c>
      <c r="C52" s="507">
        <f>IF(D11="","-",+C51+1)</f>
        <v>2043</v>
      </c>
      <c r="D52" s="523">
        <f>IF(F51+SUM(E$17:E51)=D$10,F51,D$10-SUM(E$17:E51))</f>
        <v>595170.80168347526</v>
      </c>
      <c r="E52" s="522">
        <f>IF(+I14&lt;F51,I14,D52)</f>
        <v>64098.36363636364</v>
      </c>
      <c r="F52" s="523">
        <f t="shared" si="26"/>
        <v>531072.43804711162</v>
      </c>
      <c r="G52" s="524">
        <f t="shared" si="24"/>
        <v>131406.67563123626</v>
      </c>
      <c r="H52" s="491">
        <f t="shared" si="25"/>
        <v>131406.67563123626</v>
      </c>
      <c r="I52" s="511">
        <f t="shared" si="27"/>
        <v>0</v>
      </c>
      <c r="J52" s="511"/>
      <c r="K52" s="525"/>
      <c r="L52" s="514">
        <f t="shared" si="28"/>
        <v>0</v>
      </c>
      <c r="M52" s="525"/>
      <c r="N52" s="514">
        <f t="shared" si="29"/>
        <v>0</v>
      </c>
      <c r="O52" s="514">
        <f t="shared" si="30"/>
        <v>0</v>
      </c>
      <c r="P52" s="272"/>
    </row>
    <row r="53" spans="2:17">
      <c r="B53" s="195" t="str">
        <f t="shared" si="6"/>
        <v/>
      </c>
      <c r="C53" s="507">
        <f>IF(D11="","-",+C52+1)</f>
        <v>2044</v>
      </c>
      <c r="D53" s="523">
        <f>IF(F52+SUM(E$17:E52)=D$10,F52,D$10-SUM(E$17:E52))</f>
        <v>531072.43804711162</v>
      </c>
      <c r="E53" s="522">
        <f>IF(+I14&lt;F52,I14,D53)</f>
        <v>64098.36363636364</v>
      </c>
      <c r="F53" s="523">
        <f t="shared" si="26"/>
        <v>466974.07441074797</v>
      </c>
      <c r="G53" s="524">
        <f t="shared" si="24"/>
        <v>123745.18208206439</v>
      </c>
      <c r="H53" s="491">
        <f t="shared" si="25"/>
        <v>123745.18208206439</v>
      </c>
      <c r="I53" s="511">
        <f t="shared" si="27"/>
        <v>0</v>
      </c>
      <c r="J53" s="511"/>
      <c r="K53" s="525"/>
      <c r="L53" s="514">
        <f t="shared" si="28"/>
        <v>0</v>
      </c>
      <c r="M53" s="525"/>
      <c r="N53" s="514">
        <f t="shared" si="29"/>
        <v>0</v>
      </c>
      <c r="O53" s="514">
        <f t="shared" si="30"/>
        <v>0</v>
      </c>
      <c r="P53" s="272"/>
    </row>
    <row r="54" spans="2:17">
      <c r="B54" s="195" t="str">
        <f t="shared" si="6"/>
        <v/>
      </c>
      <c r="C54" s="507">
        <f>IF(D11="","-",+C53+1)</f>
        <v>2045</v>
      </c>
      <c r="D54" s="523">
        <f>IF(F53+SUM(E$17:E53)=D$10,F53,D$10-SUM(E$17:E53))</f>
        <v>466974.07441074797</v>
      </c>
      <c r="E54" s="522">
        <f>IF(+I14&lt;F53,I14,D54)</f>
        <v>64098.36363636364</v>
      </c>
      <c r="F54" s="523">
        <f t="shared" si="26"/>
        <v>402875.71077438432</v>
      </c>
      <c r="G54" s="524">
        <f t="shared" si="24"/>
        <v>116083.68853289253</v>
      </c>
      <c r="H54" s="491">
        <f t="shared" si="25"/>
        <v>116083.68853289253</v>
      </c>
      <c r="I54" s="511">
        <f t="shared" si="27"/>
        <v>0</v>
      </c>
      <c r="J54" s="511"/>
      <c r="K54" s="525"/>
      <c r="L54" s="514">
        <f t="shared" si="28"/>
        <v>0</v>
      </c>
      <c r="M54" s="525"/>
      <c r="N54" s="514">
        <f t="shared" si="29"/>
        <v>0</v>
      </c>
      <c r="O54" s="514">
        <f t="shared" si="30"/>
        <v>0</v>
      </c>
      <c r="P54" s="272"/>
    </row>
    <row r="55" spans="2:17">
      <c r="B55" s="195" t="str">
        <f t="shared" si="6"/>
        <v/>
      </c>
      <c r="C55" s="507">
        <f>IF(D11="","-",+C54+1)</f>
        <v>2046</v>
      </c>
      <c r="D55" s="523">
        <f>IF(F54+SUM(E$17:E54)=D$10,F54,D$10-SUM(E$17:E54))</f>
        <v>402875.71077438432</v>
      </c>
      <c r="E55" s="522">
        <f>IF(+I14&lt;F54,I14,D55)</f>
        <v>64098.36363636364</v>
      </c>
      <c r="F55" s="523">
        <f t="shared" si="26"/>
        <v>338777.34713802068</v>
      </c>
      <c r="G55" s="524">
        <f t="shared" si="24"/>
        <v>108422.19498372063</v>
      </c>
      <c r="H55" s="491">
        <f t="shared" si="25"/>
        <v>108422.19498372063</v>
      </c>
      <c r="I55" s="511">
        <f t="shared" si="27"/>
        <v>0</v>
      </c>
      <c r="J55" s="511"/>
      <c r="K55" s="525"/>
      <c r="L55" s="514">
        <f t="shared" si="28"/>
        <v>0</v>
      </c>
      <c r="M55" s="525"/>
      <c r="N55" s="514">
        <f t="shared" si="29"/>
        <v>0</v>
      </c>
      <c r="O55" s="514">
        <f t="shared" si="30"/>
        <v>0</v>
      </c>
      <c r="P55" s="272"/>
    </row>
    <row r="56" spans="2:17">
      <c r="B56" s="195" t="str">
        <f t="shared" si="6"/>
        <v/>
      </c>
      <c r="C56" s="507">
        <f>IF(D11="","-",+C55+1)</f>
        <v>2047</v>
      </c>
      <c r="D56" s="523">
        <f>IF(F55+SUM(E$17:E55)=D$10,F55,D$10-SUM(E$17:E55))</f>
        <v>338777.34713802068</v>
      </c>
      <c r="E56" s="522">
        <f>IF(+I14&lt;F55,I14,D56)</f>
        <v>64098.36363636364</v>
      </c>
      <c r="F56" s="523">
        <f t="shared" si="26"/>
        <v>274678.98350165703</v>
      </c>
      <c r="G56" s="524">
        <f t="shared" si="24"/>
        <v>100760.70143454877</v>
      </c>
      <c r="H56" s="491">
        <f t="shared" si="25"/>
        <v>100760.70143454877</v>
      </c>
      <c r="I56" s="511">
        <f t="shared" si="27"/>
        <v>0</v>
      </c>
      <c r="J56" s="511"/>
      <c r="K56" s="525"/>
      <c r="L56" s="514">
        <f t="shared" si="28"/>
        <v>0</v>
      </c>
      <c r="M56" s="525"/>
      <c r="N56" s="514">
        <f t="shared" si="29"/>
        <v>0</v>
      </c>
      <c r="O56" s="514">
        <f t="shared" si="30"/>
        <v>0</v>
      </c>
      <c r="P56" s="272"/>
    </row>
    <row r="57" spans="2:17">
      <c r="B57" s="195" t="str">
        <f t="shared" si="6"/>
        <v/>
      </c>
      <c r="C57" s="507">
        <f>IF(D11="","-",+C56+1)</f>
        <v>2048</v>
      </c>
      <c r="D57" s="523">
        <f>IF(F56+SUM(E$17:E56)=D$10,F56,D$10-SUM(E$17:E56))</f>
        <v>274678.98350165703</v>
      </c>
      <c r="E57" s="522">
        <f>IF(+I14&lt;F56,I14,D57)</f>
        <v>64098.36363636364</v>
      </c>
      <c r="F57" s="523">
        <f t="shared" si="26"/>
        <v>210580.61986529338</v>
      </c>
      <c r="G57" s="524">
        <f t="shared" si="24"/>
        <v>93099.207885376891</v>
      </c>
      <c r="H57" s="491">
        <f t="shared" si="25"/>
        <v>93099.207885376891</v>
      </c>
      <c r="I57" s="511">
        <f t="shared" si="27"/>
        <v>0</v>
      </c>
      <c r="J57" s="511"/>
      <c r="K57" s="525"/>
      <c r="L57" s="514">
        <f t="shared" si="28"/>
        <v>0</v>
      </c>
      <c r="M57" s="525"/>
      <c r="N57" s="514">
        <f t="shared" si="29"/>
        <v>0</v>
      </c>
      <c r="O57" s="514">
        <f t="shared" si="30"/>
        <v>0</v>
      </c>
      <c r="P57" s="272"/>
    </row>
    <row r="58" spans="2:17">
      <c r="B58" s="195" t="str">
        <f t="shared" si="6"/>
        <v/>
      </c>
      <c r="C58" s="507">
        <f>IF(D11="","-",+C57+1)</f>
        <v>2049</v>
      </c>
      <c r="D58" s="523">
        <f>IF(F57+SUM(E$17:E57)=D$10,F57,D$10-SUM(E$17:E57))</f>
        <v>210580.61986529338</v>
      </c>
      <c r="E58" s="522">
        <f>IF(+I14&lt;F57,I14,D58)</f>
        <v>64098.36363636364</v>
      </c>
      <c r="F58" s="523">
        <f t="shared" si="26"/>
        <v>146482.25622892973</v>
      </c>
      <c r="G58" s="524">
        <f t="shared" si="24"/>
        <v>85437.714336205012</v>
      </c>
      <c r="H58" s="491">
        <f t="shared" si="25"/>
        <v>85437.714336205012</v>
      </c>
      <c r="I58" s="511">
        <f t="shared" si="27"/>
        <v>0</v>
      </c>
      <c r="J58" s="511"/>
      <c r="K58" s="525"/>
      <c r="L58" s="514">
        <f t="shared" si="28"/>
        <v>0</v>
      </c>
      <c r="M58" s="525"/>
      <c r="N58" s="514">
        <f t="shared" si="29"/>
        <v>0</v>
      </c>
      <c r="O58" s="514">
        <f t="shared" si="30"/>
        <v>0</v>
      </c>
      <c r="P58" s="272"/>
      <c r="Q58" s="183" t="str">
        <f>IF(ROUND(Q57,0)=ROUND(SUM(Q18:Q56),0),"","Error -- check allocations above).")</f>
        <v/>
      </c>
    </row>
    <row r="59" spans="2:17">
      <c r="B59" s="195" t="str">
        <f t="shared" si="6"/>
        <v/>
      </c>
      <c r="C59" s="507">
        <f>IF(D11="","-",+C58+1)</f>
        <v>2050</v>
      </c>
      <c r="D59" s="523">
        <f>IF(F58+SUM(E$17:E58)=D$10,F58,D$10-SUM(E$17:E58))</f>
        <v>146482.25622892973</v>
      </c>
      <c r="E59" s="522">
        <f>IF(+I14&lt;F58,I14,D59)</f>
        <v>64098.36363636364</v>
      </c>
      <c r="F59" s="523">
        <f t="shared" si="26"/>
        <v>82383.892592566088</v>
      </c>
      <c r="G59" s="524">
        <f t="shared" si="24"/>
        <v>77776.220787033148</v>
      </c>
      <c r="H59" s="491">
        <f t="shared" si="25"/>
        <v>77776.220787033148</v>
      </c>
      <c r="I59" s="511">
        <f t="shared" si="27"/>
        <v>0</v>
      </c>
      <c r="J59" s="511"/>
      <c r="K59" s="525"/>
      <c r="L59" s="514">
        <f t="shared" si="28"/>
        <v>0</v>
      </c>
      <c r="M59" s="525"/>
      <c r="N59" s="514">
        <f t="shared" si="29"/>
        <v>0</v>
      </c>
      <c r="O59" s="514">
        <f t="shared" si="30"/>
        <v>0</v>
      </c>
      <c r="P59" s="272"/>
    </row>
    <row r="60" spans="2:17">
      <c r="B60" s="195" t="str">
        <f t="shared" si="6"/>
        <v/>
      </c>
      <c r="C60" s="507">
        <f>IF(D11="","-",+C59+1)</f>
        <v>2051</v>
      </c>
      <c r="D60" s="523">
        <f>IF(F59+SUM(E$17:E59)=D$10,F59,D$10-SUM(E$17:E59))</f>
        <v>82383.892592566088</v>
      </c>
      <c r="E60" s="522">
        <f>IF(+I14&lt;F59,I14,D60)</f>
        <v>64098.36363636364</v>
      </c>
      <c r="F60" s="523">
        <f t="shared" si="26"/>
        <v>18285.528956202448</v>
      </c>
      <c r="G60" s="524">
        <f t="shared" si="24"/>
        <v>70114.727237861269</v>
      </c>
      <c r="H60" s="491">
        <f t="shared" si="25"/>
        <v>70114.727237861269</v>
      </c>
      <c r="I60" s="511">
        <f t="shared" si="27"/>
        <v>0</v>
      </c>
      <c r="J60" s="511"/>
      <c r="K60" s="525"/>
      <c r="L60" s="514">
        <f t="shared" si="28"/>
        <v>0</v>
      </c>
      <c r="M60" s="525"/>
      <c r="N60" s="514">
        <f t="shared" si="29"/>
        <v>0</v>
      </c>
      <c r="O60" s="514">
        <f t="shared" si="30"/>
        <v>0</v>
      </c>
      <c r="P60" s="272"/>
    </row>
    <row r="61" spans="2:17">
      <c r="B61" s="195" t="str">
        <f t="shared" si="6"/>
        <v/>
      </c>
      <c r="C61" s="507">
        <f>IF(D11="","-",+C60+1)</f>
        <v>2052</v>
      </c>
      <c r="D61" s="523">
        <f>IF(F60+SUM(E$17:E60)=D$10,F60,D$10-SUM(E$17:E60))</f>
        <v>18285.528956202448</v>
      </c>
      <c r="E61" s="522">
        <f>IF(+I14&lt;F60,I14,D61)</f>
        <v>18285.528956202448</v>
      </c>
      <c r="F61" s="523">
        <f t="shared" si="26"/>
        <v>0</v>
      </c>
      <c r="G61" s="526">
        <f t="shared" si="24"/>
        <v>19378.337369658293</v>
      </c>
      <c r="H61" s="491">
        <f t="shared" si="25"/>
        <v>19378.337369658293</v>
      </c>
      <c r="I61" s="511">
        <f t="shared" si="27"/>
        <v>0</v>
      </c>
      <c r="J61" s="511"/>
      <c r="K61" s="525"/>
      <c r="L61" s="514">
        <f t="shared" si="28"/>
        <v>0</v>
      </c>
      <c r="M61" s="525"/>
      <c r="N61" s="514">
        <f t="shared" si="29"/>
        <v>0</v>
      </c>
      <c r="O61" s="514">
        <f t="shared" si="30"/>
        <v>0</v>
      </c>
      <c r="P61" s="272"/>
    </row>
    <row r="62" spans="2:17">
      <c r="B62" s="195" t="str">
        <f t="shared" si="6"/>
        <v/>
      </c>
      <c r="C62" s="507">
        <f>IF(D11="","-",+C61+1)</f>
        <v>2053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26"/>
        <v>0</v>
      </c>
      <c r="G62" s="526">
        <f t="shared" si="24"/>
        <v>0</v>
      </c>
      <c r="H62" s="491">
        <f t="shared" si="25"/>
        <v>0</v>
      </c>
      <c r="I62" s="511">
        <f t="shared" si="27"/>
        <v>0</v>
      </c>
      <c r="J62" s="511"/>
      <c r="K62" s="525"/>
      <c r="L62" s="514">
        <f t="shared" si="28"/>
        <v>0</v>
      </c>
      <c r="M62" s="525"/>
      <c r="N62" s="514">
        <f t="shared" si="29"/>
        <v>0</v>
      </c>
      <c r="O62" s="514">
        <f t="shared" si="30"/>
        <v>0</v>
      </c>
      <c r="P62" s="272"/>
    </row>
    <row r="63" spans="2:17">
      <c r="B63" s="195" t="str">
        <f t="shared" si="6"/>
        <v/>
      </c>
      <c r="C63" s="507">
        <f>IF(D11="","-",+C62+1)</f>
        <v>2054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26"/>
        <v>0</v>
      </c>
      <c r="G63" s="526">
        <f t="shared" si="24"/>
        <v>0</v>
      </c>
      <c r="H63" s="491">
        <f t="shared" si="25"/>
        <v>0</v>
      </c>
      <c r="I63" s="511">
        <f t="shared" si="27"/>
        <v>0</v>
      </c>
      <c r="J63" s="511"/>
      <c r="K63" s="525"/>
      <c r="L63" s="514">
        <f t="shared" si="28"/>
        <v>0</v>
      </c>
      <c r="M63" s="525"/>
      <c r="N63" s="514">
        <f t="shared" si="29"/>
        <v>0</v>
      </c>
      <c r="O63" s="514">
        <f t="shared" si="30"/>
        <v>0</v>
      </c>
      <c r="P63" s="272"/>
    </row>
    <row r="64" spans="2:17">
      <c r="B64" s="195" t="str">
        <f t="shared" si="6"/>
        <v/>
      </c>
      <c r="C64" s="507">
        <f>IF(D11="","-",+C63+1)</f>
        <v>2055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26"/>
        <v>0</v>
      </c>
      <c r="G64" s="526">
        <f t="shared" si="24"/>
        <v>0</v>
      </c>
      <c r="H64" s="491">
        <f t="shared" si="25"/>
        <v>0</v>
      </c>
      <c r="I64" s="511">
        <f t="shared" si="27"/>
        <v>0</v>
      </c>
      <c r="J64" s="511"/>
      <c r="K64" s="525"/>
      <c r="L64" s="514">
        <f t="shared" si="28"/>
        <v>0</v>
      </c>
      <c r="M64" s="525"/>
      <c r="N64" s="514">
        <f t="shared" si="29"/>
        <v>0</v>
      </c>
      <c r="O64" s="514">
        <f t="shared" si="30"/>
        <v>0</v>
      </c>
      <c r="P64" s="272"/>
    </row>
    <row r="65" spans="1:16">
      <c r="B65" s="195" t="str">
        <f t="shared" si="6"/>
        <v/>
      </c>
      <c r="C65" s="507">
        <f>IF(D11="","-",+C64+1)</f>
        <v>2056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26"/>
        <v>0</v>
      </c>
      <c r="G65" s="526">
        <f t="shared" si="24"/>
        <v>0</v>
      </c>
      <c r="H65" s="491">
        <f t="shared" si="25"/>
        <v>0</v>
      </c>
      <c r="I65" s="511">
        <f t="shared" si="27"/>
        <v>0</v>
      </c>
      <c r="J65" s="511"/>
      <c r="K65" s="525"/>
      <c r="L65" s="514">
        <f t="shared" si="28"/>
        <v>0</v>
      </c>
      <c r="M65" s="525"/>
      <c r="N65" s="514">
        <f t="shared" si="29"/>
        <v>0</v>
      </c>
      <c r="O65" s="514">
        <f t="shared" si="30"/>
        <v>0</v>
      </c>
      <c r="P65" s="272"/>
    </row>
    <row r="66" spans="1:16">
      <c r="B66" s="195" t="str">
        <f t="shared" si="6"/>
        <v/>
      </c>
      <c r="C66" s="507">
        <f>IF(D11="","-",+C65+1)</f>
        <v>2057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26"/>
        <v>0</v>
      </c>
      <c r="G66" s="526">
        <f t="shared" si="24"/>
        <v>0</v>
      </c>
      <c r="H66" s="491">
        <f t="shared" si="25"/>
        <v>0</v>
      </c>
      <c r="I66" s="511">
        <f t="shared" si="27"/>
        <v>0</v>
      </c>
      <c r="J66" s="511"/>
      <c r="K66" s="525"/>
      <c r="L66" s="514">
        <f t="shared" si="28"/>
        <v>0</v>
      </c>
      <c r="M66" s="525"/>
      <c r="N66" s="514">
        <f t="shared" si="29"/>
        <v>0</v>
      </c>
      <c r="O66" s="514">
        <f t="shared" si="30"/>
        <v>0</v>
      </c>
      <c r="P66" s="272"/>
    </row>
    <row r="67" spans="1:16">
      <c r="B67" s="195" t="str">
        <f t="shared" si="6"/>
        <v/>
      </c>
      <c r="C67" s="507">
        <f>IF(D11="","-",+C66+1)</f>
        <v>2058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26"/>
        <v>0</v>
      </c>
      <c r="G67" s="526">
        <f t="shared" si="24"/>
        <v>0</v>
      </c>
      <c r="H67" s="491">
        <f t="shared" si="25"/>
        <v>0</v>
      </c>
      <c r="I67" s="511">
        <f t="shared" si="27"/>
        <v>0</v>
      </c>
      <c r="J67" s="511"/>
      <c r="K67" s="525"/>
      <c r="L67" s="514">
        <f t="shared" si="28"/>
        <v>0</v>
      </c>
      <c r="M67" s="525"/>
      <c r="N67" s="514">
        <f t="shared" si="29"/>
        <v>0</v>
      </c>
      <c r="O67" s="514">
        <f t="shared" si="30"/>
        <v>0</v>
      </c>
      <c r="P67" s="272"/>
    </row>
    <row r="68" spans="1:16">
      <c r="B68" s="195" t="str">
        <f t="shared" si="6"/>
        <v/>
      </c>
      <c r="C68" s="507">
        <f>IF(D11="","-",+C67+1)</f>
        <v>2059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26"/>
        <v>0</v>
      </c>
      <c r="G68" s="526">
        <f t="shared" si="24"/>
        <v>0</v>
      </c>
      <c r="H68" s="491">
        <f t="shared" si="25"/>
        <v>0</v>
      </c>
      <c r="I68" s="511">
        <f t="shared" si="27"/>
        <v>0</v>
      </c>
      <c r="J68" s="511"/>
      <c r="K68" s="525"/>
      <c r="L68" s="514">
        <f t="shared" si="28"/>
        <v>0</v>
      </c>
      <c r="M68" s="525"/>
      <c r="N68" s="514">
        <f t="shared" si="29"/>
        <v>0</v>
      </c>
      <c r="O68" s="514">
        <f t="shared" si="30"/>
        <v>0</v>
      </c>
      <c r="P68" s="272"/>
    </row>
    <row r="69" spans="1:16">
      <c r="B69" s="195" t="str">
        <f t="shared" si="6"/>
        <v/>
      </c>
      <c r="C69" s="507">
        <f>IF(D11="","-",+C68+1)</f>
        <v>2060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26"/>
        <v>0</v>
      </c>
      <c r="G69" s="526">
        <f t="shared" si="24"/>
        <v>0</v>
      </c>
      <c r="H69" s="491">
        <f t="shared" si="25"/>
        <v>0</v>
      </c>
      <c r="I69" s="511">
        <f t="shared" si="27"/>
        <v>0</v>
      </c>
      <c r="J69" s="511"/>
      <c r="K69" s="525"/>
      <c r="L69" s="514">
        <f t="shared" si="28"/>
        <v>0</v>
      </c>
      <c r="M69" s="525"/>
      <c r="N69" s="514">
        <f t="shared" si="29"/>
        <v>0</v>
      </c>
      <c r="O69" s="514">
        <f t="shared" si="30"/>
        <v>0</v>
      </c>
      <c r="P69" s="272"/>
    </row>
    <row r="70" spans="1:16">
      <c r="B70" s="195" t="str">
        <f t="shared" si="6"/>
        <v/>
      </c>
      <c r="C70" s="507">
        <f>IF(D11="","-",+C69+1)</f>
        <v>2061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26"/>
        <v>0</v>
      </c>
      <c r="G70" s="526">
        <f t="shared" si="24"/>
        <v>0</v>
      </c>
      <c r="H70" s="491">
        <f t="shared" si="25"/>
        <v>0</v>
      </c>
      <c r="I70" s="511">
        <f t="shared" si="27"/>
        <v>0</v>
      </c>
      <c r="J70" s="511"/>
      <c r="K70" s="525"/>
      <c r="L70" s="514">
        <f t="shared" si="28"/>
        <v>0</v>
      </c>
      <c r="M70" s="525"/>
      <c r="N70" s="514">
        <f t="shared" si="29"/>
        <v>0</v>
      </c>
      <c r="O70" s="514">
        <f t="shared" si="30"/>
        <v>0</v>
      </c>
      <c r="P70" s="272"/>
    </row>
    <row r="71" spans="1:16">
      <c r="B71" s="195" t="str">
        <f t="shared" si="6"/>
        <v/>
      </c>
      <c r="C71" s="507">
        <f>IF(D11="","-",+C70+1)</f>
        <v>2062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26"/>
        <v>0</v>
      </c>
      <c r="G71" s="526">
        <f t="shared" si="24"/>
        <v>0</v>
      </c>
      <c r="H71" s="491">
        <f t="shared" si="25"/>
        <v>0</v>
      </c>
      <c r="I71" s="511">
        <f t="shared" si="27"/>
        <v>0</v>
      </c>
      <c r="J71" s="511"/>
      <c r="K71" s="525"/>
      <c r="L71" s="514">
        <f t="shared" si="28"/>
        <v>0</v>
      </c>
      <c r="M71" s="525"/>
      <c r="N71" s="514">
        <f t="shared" si="29"/>
        <v>0</v>
      </c>
      <c r="O71" s="514">
        <f t="shared" si="30"/>
        <v>0</v>
      </c>
      <c r="P71" s="272"/>
    </row>
    <row r="72" spans="1:16" ht="13.5" thickBot="1">
      <c r="B72" s="195" t="str">
        <f t="shared" si="6"/>
        <v/>
      </c>
      <c r="C72" s="527">
        <f>IF(D11="","-",+C71+1)</f>
        <v>2063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26"/>
        <v>0</v>
      </c>
      <c r="G72" s="530">
        <f t="shared" si="24"/>
        <v>0</v>
      </c>
      <c r="H72" s="471">
        <f t="shared" si="25"/>
        <v>0</v>
      </c>
      <c r="I72" s="531">
        <f t="shared" si="27"/>
        <v>0</v>
      </c>
      <c r="J72" s="511"/>
      <c r="K72" s="532"/>
      <c r="L72" s="533">
        <f t="shared" si="28"/>
        <v>0</v>
      </c>
      <c r="M72" s="532"/>
      <c r="N72" s="533">
        <f t="shared" si="29"/>
        <v>0</v>
      </c>
      <c r="O72" s="533">
        <f t="shared" si="30"/>
        <v>0</v>
      </c>
      <c r="P72" s="272"/>
    </row>
    <row r="73" spans="1:16">
      <c r="C73" s="374" t="s">
        <v>78</v>
      </c>
      <c r="D73" s="375"/>
      <c r="E73" s="375">
        <f>SUM(E17:E72)</f>
        <v>2820328</v>
      </c>
      <c r="F73" s="375"/>
      <c r="G73" s="375">
        <f>SUM(G17:G72)</f>
        <v>10359687.609268775</v>
      </c>
      <c r="H73" s="375">
        <f>SUM(H17:H72)</f>
        <v>10359688.609268775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1:16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1:16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1:16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1:16" ht="18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535"/>
      <c r="P77" s="272"/>
    </row>
    <row r="78" spans="1:16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1:16" ht="15">
      <c r="A79" s="536"/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</row>
    <row r="80" spans="1:16" ht="18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7">
      <c r="B81" s="269"/>
      <c r="C81" s="537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7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  <c r="Q82" s="269"/>
    </row>
    <row r="83" spans="1:17" ht="20.25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535" t="str">
        <f ca="1">P1</f>
        <v>SWEPCO Project 9 of 75</v>
      </c>
      <c r="Q83" s="269"/>
    </row>
    <row r="84" spans="1:17" ht="18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454" t="s">
        <v>128</v>
      </c>
      <c r="Q84" s="269"/>
    </row>
    <row r="85" spans="1:17" ht="18.7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  <c r="Q85" s="269"/>
    </row>
    <row r="86" spans="1:17" ht="15.75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2022</v>
      </c>
      <c r="M86" s="541" t="s">
        <v>9</v>
      </c>
      <c r="N86" s="542" t="s">
        <v>159</v>
      </c>
      <c r="O86" s="543" t="s">
        <v>11</v>
      </c>
      <c r="P86" s="269"/>
      <c r="Q86" s="269"/>
    </row>
    <row r="87" spans="1:17" ht="1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391</v>
      </c>
      <c r="M87" s="546">
        <f>IF(J92&lt;D11,0,VLOOKUP(J92,C17:O72,9))</f>
        <v>282342.32366047957</v>
      </c>
      <c r="N87" s="546">
        <f>IF(J92&lt;D11,0,VLOOKUP(J92,C17:O72,11))</f>
        <v>282342.32366047957</v>
      </c>
      <c r="O87" s="547">
        <f>+N87-M87</f>
        <v>0</v>
      </c>
      <c r="P87" s="269"/>
      <c r="Q87" s="269"/>
    </row>
    <row r="88" spans="1:17" ht="15.7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392</v>
      </c>
      <c r="M88" s="550">
        <f>IF(J92&lt;D11,0,VLOOKUP(J92,C99:P154,6))</f>
        <v>290103.89746384294</v>
      </c>
      <c r="N88" s="550">
        <f>IF(J92&lt;D11,0,VLOOKUP(J92,C99:P154,7))</f>
        <v>290103.89746384294</v>
      </c>
      <c r="O88" s="551">
        <f>+N88-M88</f>
        <v>0</v>
      </c>
      <c r="P88" s="269"/>
      <c r="Q88" s="269"/>
    </row>
    <row r="89" spans="1:17" ht="13.5" thickBot="1">
      <c r="C89" s="467" t="s">
        <v>84</v>
      </c>
      <c r="D89" s="552" t="str">
        <f>+D7</f>
        <v>Northwest Texarkana-Bann-Alumax Tap 138kV -- reconductor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7761.5738033633679</v>
      </c>
      <c r="N89" s="555">
        <f>+N88-N87</f>
        <v>7761.5738033633679</v>
      </c>
      <c r="O89" s="556">
        <f>+O88-O87</f>
        <v>0</v>
      </c>
      <c r="P89" s="269"/>
      <c r="Q89" s="269"/>
    </row>
    <row r="90" spans="1:17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  <c r="Q90" s="269"/>
    </row>
    <row r="91" spans="1:17" ht="13.5" thickBot="1">
      <c r="A91" s="191"/>
      <c r="C91" s="558" t="s">
        <v>85</v>
      </c>
      <c r="D91" s="559" t="str">
        <f>+D9</f>
        <v>TP2006130</v>
      </c>
      <c r="E91" s="560"/>
      <c r="F91" s="560"/>
      <c r="G91" s="560"/>
      <c r="H91" s="560"/>
      <c r="I91" s="560"/>
      <c r="J91" s="561"/>
      <c r="K91" s="562"/>
      <c r="P91" s="481"/>
      <c r="Q91" s="269"/>
    </row>
    <row r="92" spans="1:17">
      <c r="C92" s="486" t="s">
        <v>51</v>
      </c>
      <c r="D92" s="483">
        <v>2820328</v>
      </c>
      <c r="E92" s="340" t="s">
        <v>86</v>
      </c>
      <c r="H92" s="484"/>
      <c r="I92" s="484"/>
      <c r="J92" s="485">
        <f>+'SWE.WS.G.BPU.ATRR.True-up'!M16</f>
        <v>2022</v>
      </c>
      <c r="K92" s="480"/>
      <c r="L92" s="375" t="s">
        <v>87</v>
      </c>
      <c r="P92" s="272"/>
      <c r="Q92" s="269"/>
    </row>
    <row r="93" spans="1:17">
      <c r="C93" s="486" t="s">
        <v>54</v>
      </c>
      <c r="D93" s="563">
        <f>IF(D11=I10,"",D11)</f>
        <v>2008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  <c r="Q93" s="269"/>
    </row>
    <row r="94" spans="1:17">
      <c r="C94" s="486" t="s">
        <v>56</v>
      </c>
      <c r="D94" s="564">
        <f>IF(D11=I10,"",D12)</f>
        <v>4</v>
      </c>
      <c r="E94" s="486" t="s">
        <v>57</v>
      </c>
      <c r="F94" s="484"/>
      <c r="G94" s="484"/>
      <c r="J94" s="490">
        <f>'SWE.WS.G.BPU.ATRR.True-up'!$F$81</f>
        <v>0.11351422637179906</v>
      </c>
      <c r="K94" s="425"/>
      <c r="L94" s="183" t="s">
        <v>88</v>
      </c>
      <c r="P94" s="272"/>
      <c r="Q94" s="269"/>
    </row>
    <row r="95" spans="1:17">
      <c r="C95" s="486" t="s">
        <v>59</v>
      </c>
      <c r="D95" s="488">
        <f>'SWE.WS.G.BPU.ATRR.True-up'!F$93</f>
        <v>41</v>
      </c>
      <c r="E95" s="486" t="s">
        <v>60</v>
      </c>
      <c r="F95" s="484"/>
      <c r="G95" s="484"/>
      <c r="J95" s="490">
        <f>IF(H87="",J94,'SWE.WS.G.BPU.ATRR.True-up'!$F$80)</f>
        <v>0.11351422637179906</v>
      </c>
      <c r="K95" s="324"/>
      <c r="L95" s="375" t="s">
        <v>61</v>
      </c>
      <c r="M95" s="324"/>
      <c r="N95" s="324"/>
      <c r="O95" s="324"/>
      <c r="P95" s="272"/>
      <c r="Q95" s="269"/>
    </row>
    <row r="96" spans="1:17" ht="13.5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68788.487804878052</v>
      </c>
      <c r="K96" s="375"/>
      <c r="L96" s="375"/>
      <c r="M96" s="375"/>
      <c r="N96" s="375"/>
      <c r="O96" s="375"/>
      <c r="P96" s="272"/>
      <c r="Q96" s="269"/>
    </row>
    <row r="97" spans="1:17" ht="38.25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388</v>
      </c>
      <c r="I97" s="495" t="s">
        <v>389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  <c r="Q97" s="269"/>
    </row>
    <row r="98" spans="1:17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  <c r="Q98" s="269"/>
    </row>
    <row r="99" spans="1:17">
      <c r="C99" s="507">
        <f>IF(D93= "","-",D93)</f>
        <v>2008</v>
      </c>
      <c r="D99" s="508">
        <v>0</v>
      </c>
      <c r="E99" s="516">
        <v>33602</v>
      </c>
      <c r="F99" s="515">
        <v>1831326</v>
      </c>
      <c r="G99" s="574">
        <v>915663</v>
      </c>
      <c r="H99" s="575">
        <v>179560</v>
      </c>
      <c r="I99" s="576">
        <v>179560</v>
      </c>
      <c r="J99" s="514">
        <f t="shared" ref="J99:J130" si="31">+I99-H99</f>
        <v>0</v>
      </c>
      <c r="K99" s="514"/>
      <c r="L99" s="512">
        <v>179560</v>
      </c>
      <c r="M99" s="513">
        <f t="shared" ref="M99:M130" si="32">IF(L99&lt;&gt;0,+H99-L99,0)</f>
        <v>0</v>
      </c>
      <c r="N99" s="512">
        <v>179560</v>
      </c>
      <c r="O99" s="513">
        <f t="shared" ref="O99:O130" si="33">IF(N99&lt;&gt;0,+I99-N99,0)</f>
        <v>0</v>
      </c>
      <c r="P99" s="513">
        <f t="shared" ref="P99:P130" si="34">+O99-M99</f>
        <v>0</v>
      </c>
      <c r="Q99" s="269"/>
    </row>
    <row r="100" spans="1:17">
      <c r="B100" s="195" t="str">
        <f>IF(D100=F99,"","IU")</f>
        <v>IU</v>
      </c>
      <c r="C100" s="507">
        <f>IF(D93="","-",+C99+1)</f>
        <v>2009</v>
      </c>
      <c r="D100" s="508">
        <v>1829504</v>
      </c>
      <c r="E100" s="516">
        <v>49029</v>
      </c>
      <c r="F100" s="515">
        <v>1780474</v>
      </c>
      <c r="G100" s="515">
        <v>1804989</v>
      </c>
      <c r="H100" s="516">
        <v>310279</v>
      </c>
      <c r="I100" s="510">
        <v>310279</v>
      </c>
      <c r="J100" s="514">
        <f t="shared" si="31"/>
        <v>0</v>
      </c>
      <c r="K100" s="514"/>
      <c r="L100" s="518">
        <f t="shared" ref="L100:L105" si="35">H100</f>
        <v>310279</v>
      </c>
      <c r="M100" s="519">
        <f t="shared" si="32"/>
        <v>0</v>
      </c>
      <c r="N100" s="518">
        <f t="shared" ref="N100:N105" si="36">I100</f>
        <v>310279</v>
      </c>
      <c r="O100" s="514">
        <f t="shared" si="33"/>
        <v>0</v>
      </c>
      <c r="P100" s="514">
        <f t="shared" si="34"/>
        <v>0</v>
      </c>
      <c r="Q100" s="269"/>
    </row>
    <row r="101" spans="1:17">
      <c r="B101" s="195" t="str">
        <f t="shared" ref="B101:B154" si="37">IF(D101=F100,"","IU")</f>
        <v>IU</v>
      </c>
      <c r="C101" s="507">
        <f>IF(D93="","-",+C100+1)</f>
        <v>2010</v>
      </c>
      <c r="D101" s="508">
        <v>2737747</v>
      </c>
      <c r="E101" s="516">
        <v>68789.707317073175</v>
      </c>
      <c r="F101" s="515">
        <v>2668957.2926829266</v>
      </c>
      <c r="G101" s="515">
        <v>2703352.1463414636</v>
      </c>
      <c r="H101" s="516">
        <v>515075.52172744781</v>
      </c>
      <c r="I101" s="510">
        <v>515075.52172744781</v>
      </c>
      <c r="J101" s="514">
        <f t="shared" si="31"/>
        <v>0</v>
      </c>
      <c r="K101" s="514"/>
      <c r="L101" s="518">
        <f t="shared" si="35"/>
        <v>515075.52172744781</v>
      </c>
      <c r="M101" s="519">
        <f t="shared" si="32"/>
        <v>0</v>
      </c>
      <c r="N101" s="518">
        <f t="shared" si="36"/>
        <v>515075.52172744781</v>
      </c>
      <c r="O101" s="514">
        <f t="shared" si="33"/>
        <v>0</v>
      </c>
      <c r="P101" s="514">
        <f t="shared" si="34"/>
        <v>0</v>
      </c>
      <c r="Q101" s="269"/>
    </row>
    <row r="102" spans="1:17">
      <c r="B102" s="195" t="str">
        <f t="shared" si="37"/>
        <v/>
      </c>
      <c r="C102" s="507">
        <f>IF(D93="","-",+C101+1)</f>
        <v>2011</v>
      </c>
      <c r="D102" s="508">
        <v>2668957.2926829266</v>
      </c>
      <c r="E102" s="520">
        <v>67151.857142857145</v>
      </c>
      <c r="F102" s="515">
        <v>2601805.4355400694</v>
      </c>
      <c r="G102" s="515">
        <v>2635381.364111498</v>
      </c>
      <c r="H102" s="516">
        <v>463460.24648079689</v>
      </c>
      <c r="I102" s="510">
        <v>463460.24648079689</v>
      </c>
      <c r="J102" s="514">
        <f t="shared" si="31"/>
        <v>0</v>
      </c>
      <c r="K102" s="514"/>
      <c r="L102" s="518">
        <f t="shared" si="35"/>
        <v>463460.24648079689</v>
      </c>
      <c r="M102" s="519">
        <f t="shared" si="32"/>
        <v>0</v>
      </c>
      <c r="N102" s="518">
        <f t="shared" si="36"/>
        <v>463460.24648079689</v>
      </c>
      <c r="O102" s="514">
        <f t="shared" si="33"/>
        <v>0</v>
      </c>
      <c r="P102" s="514">
        <f t="shared" si="34"/>
        <v>0</v>
      </c>
      <c r="Q102" s="269"/>
    </row>
    <row r="103" spans="1:17">
      <c r="B103" s="195" t="str">
        <f t="shared" si="37"/>
        <v/>
      </c>
      <c r="C103" s="507">
        <f>IF(D93="","-",+C102+1)</f>
        <v>2012</v>
      </c>
      <c r="D103" s="508">
        <v>2601805.4355400694</v>
      </c>
      <c r="E103" s="516">
        <v>67151.857142857145</v>
      </c>
      <c r="F103" s="515">
        <v>2534653.5783972121</v>
      </c>
      <c r="G103" s="515">
        <v>2568229.5069686407</v>
      </c>
      <c r="H103" s="516">
        <v>445076.92684818432</v>
      </c>
      <c r="I103" s="510">
        <v>445076.92684818432</v>
      </c>
      <c r="J103" s="514">
        <f t="shared" si="31"/>
        <v>0</v>
      </c>
      <c r="K103" s="514"/>
      <c r="L103" s="518">
        <f t="shared" si="35"/>
        <v>445076.92684818432</v>
      </c>
      <c r="M103" s="519">
        <f t="shared" si="32"/>
        <v>0</v>
      </c>
      <c r="N103" s="518">
        <f t="shared" si="36"/>
        <v>445076.92684818432</v>
      </c>
      <c r="O103" s="514">
        <f t="shared" si="33"/>
        <v>0</v>
      </c>
      <c r="P103" s="514">
        <f t="shared" si="34"/>
        <v>0</v>
      </c>
      <c r="Q103" s="269"/>
    </row>
    <row r="104" spans="1:17">
      <c r="B104" s="195" t="str">
        <f t="shared" si="37"/>
        <v/>
      </c>
      <c r="C104" s="507">
        <f>IF(D93="","-",+C103+1)</f>
        <v>2013</v>
      </c>
      <c r="D104" s="508">
        <v>2534653.5783972121</v>
      </c>
      <c r="E104" s="516">
        <v>67151.857142857145</v>
      </c>
      <c r="F104" s="515">
        <v>2467501.7212543548</v>
      </c>
      <c r="G104" s="515">
        <v>2501077.6498257834</v>
      </c>
      <c r="H104" s="516">
        <v>405526.90999589988</v>
      </c>
      <c r="I104" s="510">
        <v>405526.90999589988</v>
      </c>
      <c r="J104" s="514">
        <v>0</v>
      </c>
      <c r="K104" s="514"/>
      <c r="L104" s="518">
        <f t="shared" si="35"/>
        <v>405526.90999589988</v>
      </c>
      <c r="M104" s="519">
        <f t="shared" ref="M104:M109" si="38">IF(L104&lt;&gt;0,+H104-L104,0)</f>
        <v>0</v>
      </c>
      <c r="N104" s="518">
        <f t="shared" si="36"/>
        <v>405526.90999589988</v>
      </c>
      <c r="O104" s="514">
        <f t="shared" ref="O104:O109" si="39">IF(N104&lt;&gt;0,+I104-N104,0)</f>
        <v>0</v>
      </c>
      <c r="P104" s="514">
        <f t="shared" ref="P104:P109" si="40">+O104-M104</f>
        <v>0</v>
      </c>
      <c r="Q104" s="269"/>
    </row>
    <row r="105" spans="1:17">
      <c r="B105" s="195" t="str">
        <f t="shared" si="37"/>
        <v/>
      </c>
      <c r="C105" s="507">
        <f>IF(D93="","-",+C104+1)</f>
        <v>2014</v>
      </c>
      <c r="D105" s="508">
        <v>2467501.7212543548</v>
      </c>
      <c r="E105" s="516">
        <v>67151.857142857145</v>
      </c>
      <c r="F105" s="515">
        <v>2400349.8641114975</v>
      </c>
      <c r="G105" s="515">
        <v>2433925.7926829262</v>
      </c>
      <c r="H105" s="516">
        <v>397979.47169431718</v>
      </c>
      <c r="I105" s="510">
        <v>397979.47169431718</v>
      </c>
      <c r="J105" s="514">
        <v>0</v>
      </c>
      <c r="K105" s="514"/>
      <c r="L105" s="518">
        <f t="shared" si="35"/>
        <v>397979.47169431718</v>
      </c>
      <c r="M105" s="519">
        <f t="shared" si="38"/>
        <v>0</v>
      </c>
      <c r="N105" s="518">
        <f t="shared" si="36"/>
        <v>397979.47169431718</v>
      </c>
      <c r="O105" s="514">
        <f t="shared" si="39"/>
        <v>0</v>
      </c>
      <c r="P105" s="514">
        <f t="shared" si="40"/>
        <v>0</v>
      </c>
      <c r="Q105" s="269"/>
    </row>
    <row r="106" spans="1:17">
      <c r="B106" s="195" t="str">
        <f t="shared" si="37"/>
        <v>IU</v>
      </c>
      <c r="C106" s="507">
        <f>IF(D93="","-",+C105+1)</f>
        <v>2015</v>
      </c>
      <c r="D106" s="508">
        <v>2400299.864111498</v>
      </c>
      <c r="E106" s="516">
        <v>67150.666666666672</v>
      </c>
      <c r="F106" s="515">
        <v>2333149.1974448315</v>
      </c>
      <c r="G106" s="515">
        <v>2366724.530778165</v>
      </c>
      <c r="H106" s="516">
        <v>379011.3023265209</v>
      </c>
      <c r="I106" s="510">
        <v>379011.3023265209</v>
      </c>
      <c r="J106" s="514">
        <f t="shared" si="31"/>
        <v>0</v>
      </c>
      <c r="K106" s="514"/>
      <c r="L106" s="518">
        <f t="shared" ref="L106:L111" si="41">H106</f>
        <v>379011.3023265209</v>
      </c>
      <c r="M106" s="519">
        <f t="shared" si="38"/>
        <v>0</v>
      </c>
      <c r="N106" s="518">
        <f t="shared" ref="N106:N111" si="42">I106</f>
        <v>379011.3023265209</v>
      </c>
      <c r="O106" s="514">
        <f t="shared" si="39"/>
        <v>0</v>
      </c>
      <c r="P106" s="514">
        <f t="shared" si="40"/>
        <v>0</v>
      </c>
      <c r="Q106" s="269"/>
    </row>
    <row r="107" spans="1:17">
      <c r="B107" s="195" t="str">
        <f t="shared" si="37"/>
        <v/>
      </c>
      <c r="C107" s="507">
        <f>IF(D93="","-",+C106+1)</f>
        <v>2016</v>
      </c>
      <c r="D107" s="508">
        <v>2333149.1974448315</v>
      </c>
      <c r="E107" s="516">
        <v>65589.023255813954</v>
      </c>
      <c r="F107" s="515">
        <v>2267560.1741890176</v>
      </c>
      <c r="G107" s="515">
        <v>2300354.6858169246</v>
      </c>
      <c r="H107" s="516">
        <v>357619.02367935097</v>
      </c>
      <c r="I107" s="510">
        <v>357619.02367935097</v>
      </c>
      <c r="J107" s="514">
        <f t="shared" si="31"/>
        <v>0</v>
      </c>
      <c r="K107" s="514"/>
      <c r="L107" s="518">
        <f t="shared" si="41"/>
        <v>357619.02367935097</v>
      </c>
      <c r="M107" s="519">
        <f t="shared" si="38"/>
        <v>0</v>
      </c>
      <c r="N107" s="518">
        <f t="shared" si="42"/>
        <v>357619.02367935097</v>
      </c>
      <c r="O107" s="514">
        <f t="shared" si="39"/>
        <v>0</v>
      </c>
      <c r="P107" s="514">
        <f t="shared" si="40"/>
        <v>0</v>
      </c>
      <c r="Q107" s="269"/>
    </row>
    <row r="108" spans="1:17">
      <c r="B108" s="195" t="str">
        <f t="shared" si="37"/>
        <v/>
      </c>
      <c r="C108" s="507">
        <f>IF(D93="","-",+C107+1)</f>
        <v>2017</v>
      </c>
      <c r="D108" s="508">
        <v>2267560.1741890176</v>
      </c>
      <c r="E108" s="516">
        <v>67150.666666666672</v>
      </c>
      <c r="F108" s="515">
        <v>2200409.5075223511</v>
      </c>
      <c r="G108" s="515">
        <v>2233984.8408556841</v>
      </c>
      <c r="H108" s="516">
        <v>338516.06172932533</v>
      </c>
      <c r="I108" s="510">
        <v>338516.06172932533</v>
      </c>
      <c r="J108" s="514">
        <f t="shared" si="31"/>
        <v>0</v>
      </c>
      <c r="K108" s="514"/>
      <c r="L108" s="518">
        <f t="shared" si="41"/>
        <v>338516.06172932533</v>
      </c>
      <c r="M108" s="519">
        <f t="shared" si="38"/>
        <v>0</v>
      </c>
      <c r="N108" s="518">
        <f t="shared" si="42"/>
        <v>338516.06172932533</v>
      </c>
      <c r="O108" s="514">
        <f t="shared" si="39"/>
        <v>0</v>
      </c>
      <c r="P108" s="514">
        <f t="shared" si="40"/>
        <v>0</v>
      </c>
      <c r="Q108" s="269"/>
    </row>
    <row r="109" spans="1:17">
      <c r="B109" s="195" t="str">
        <f t="shared" si="37"/>
        <v/>
      </c>
      <c r="C109" s="507">
        <f>IF(D93="","-",+C108+1)</f>
        <v>2018</v>
      </c>
      <c r="D109" s="508">
        <v>2200409.5075223511</v>
      </c>
      <c r="E109" s="516">
        <v>67150.666666666672</v>
      </c>
      <c r="F109" s="515">
        <v>2133258.8408556846</v>
      </c>
      <c r="G109" s="515">
        <v>2166834.1741890181</v>
      </c>
      <c r="H109" s="516">
        <v>295978.29217206314</v>
      </c>
      <c r="I109" s="510">
        <v>295978.29217206314</v>
      </c>
      <c r="J109" s="514">
        <f t="shared" si="31"/>
        <v>0</v>
      </c>
      <c r="K109" s="514"/>
      <c r="L109" s="518">
        <f t="shared" si="41"/>
        <v>295978.29217206314</v>
      </c>
      <c r="M109" s="519">
        <f t="shared" si="38"/>
        <v>0</v>
      </c>
      <c r="N109" s="518">
        <f t="shared" si="42"/>
        <v>295978.29217206314</v>
      </c>
      <c r="O109" s="514">
        <f t="shared" si="39"/>
        <v>0</v>
      </c>
      <c r="P109" s="514">
        <f t="shared" si="40"/>
        <v>0</v>
      </c>
      <c r="Q109" s="269"/>
    </row>
    <row r="110" spans="1:17">
      <c r="B110" s="195" t="str">
        <f t="shared" si="37"/>
        <v/>
      </c>
      <c r="C110" s="507">
        <f>IF(D93="","-",+C109+1)</f>
        <v>2019</v>
      </c>
      <c r="D110" s="508">
        <v>2133258.8408556846</v>
      </c>
      <c r="E110" s="516">
        <v>65589.023255813954</v>
      </c>
      <c r="F110" s="515">
        <v>2067669.8175998707</v>
      </c>
      <c r="G110" s="515">
        <v>2100464.3292277777</v>
      </c>
      <c r="H110" s="516">
        <v>290423.87304846023</v>
      </c>
      <c r="I110" s="510">
        <v>290423.87304846023</v>
      </c>
      <c r="J110" s="514">
        <f t="shared" si="31"/>
        <v>0</v>
      </c>
      <c r="K110" s="514"/>
      <c r="L110" s="518">
        <f t="shared" si="41"/>
        <v>290423.87304846023</v>
      </c>
      <c r="M110" s="519">
        <f t="shared" ref="M110:M111" si="43">IF(L110&lt;&gt;0,+H110-L110,0)</f>
        <v>0</v>
      </c>
      <c r="N110" s="518">
        <f t="shared" si="42"/>
        <v>290423.87304846023</v>
      </c>
      <c r="O110" s="514">
        <f t="shared" si="33"/>
        <v>0</v>
      </c>
      <c r="P110" s="514">
        <f t="shared" si="34"/>
        <v>0</v>
      </c>
      <c r="Q110" s="269"/>
    </row>
    <row r="111" spans="1:17">
      <c r="B111" s="195" t="str">
        <f t="shared" si="37"/>
        <v/>
      </c>
      <c r="C111" s="507">
        <f>IF(D93="","-",+C110+1)</f>
        <v>2020</v>
      </c>
      <c r="D111" s="508">
        <v>2067669.8175998707</v>
      </c>
      <c r="E111" s="516">
        <v>67150.666666666672</v>
      </c>
      <c r="F111" s="515">
        <v>2000519.150933204</v>
      </c>
      <c r="G111" s="515">
        <v>2034094.4842665372</v>
      </c>
      <c r="H111" s="516">
        <v>285966.00600782927</v>
      </c>
      <c r="I111" s="510">
        <v>285966.00600782927</v>
      </c>
      <c r="J111" s="514">
        <f t="shared" si="31"/>
        <v>0</v>
      </c>
      <c r="K111" s="514"/>
      <c r="L111" s="518">
        <f t="shared" si="41"/>
        <v>285966.00600782927</v>
      </c>
      <c r="M111" s="519">
        <f t="shared" si="43"/>
        <v>0</v>
      </c>
      <c r="N111" s="518">
        <f t="shared" si="42"/>
        <v>285966.00600782927</v>
      </c>
      <c r="O111" s="514">
        <f t="shared" si="33"/>
        <v>0</v>
      </c>
      <c r="P111" s="514">
        <f t="shared" si="34"/>
        <v>0</v>
      </c>
      <c r="Q111" s="269"/>
    </row>
    <row r="112" spans="1:17">
      <c r="B112" s="195" t="str">
        <f t="shared" si="37"/>
        <v/>
      </c>
      <c r="C112" s="507">
        <f>IF(D93="","-",+C111+1)</f>
        <v>2021</v>
      </c>
      <c r="D112" s="508">
        <v>2000519.150933204</v>
      </c>
      <c r="E112" s="516">
        <v>68788.487804878052</v>
      </c>
      <c r="F112" s="515">
        <v>1931730.6631283259</v>
      </c>
      <c r="G112" s="515">
        <v>1966124.907030765</v>
      </c>
      <c r="H112" s="516">
        <v>291971.63557680068</v>
      </c>
      <c r="I112" s="510">
        <v>291971.63557680068</v>
      </c>
      <c r="J112" s="514">
        <f t="shared" si="31"/>
        <v>0</v>
      </c>
      <c r="K112" s="514"/>
      <c r="L112" s="518">
        <f t="shared" ref="L112" si="44">H112</f>
        <v>291971.63557680068</v>
      </c>
      <c r="M112" s="519">
        <f t="shared" ref="M112" si="45">IF(L112&lt;&gt;0,+H112-L112,0)</f>
        <v>0</v>
      </c>
      <c r="N112" s="518">
        <f t="shared" ref="N112" si="46">I112</f>
        <v>291971.63557680068</v>
      </c>
      <c r="O112" s="514">
        <f t="shared" ref="O112" si="47">IF(N112&lt;&gt;0,+I112-N112,0)</f>
        <v>0</v>
      </c>
      <c r="P112" s="514">
        <f t="shared" ref="P112" si="48">+O112-M112</f>
        <v>0</v>
      </c>
      <c r="Q112" s="269"/>
    </row>
    <row r="113" spans="2:17">
      <c r="B113" s="195" t="str">
        <f t="shared" si="37"/>
        <v/>
      </c>
      <c r="C113" s="673">
        <f>IF(D93="","-",+C112+1)</f>
        <v>2022</v>
      </c>
      <c r="D113" s="374">
        <v>1931730.6631283259</v>
      </c>
      <c r="E113" s="522">
        <v>67150.666666666672</v>
      </c>
      <c r="F113" s="523">
        <v>1864579.9964616592</v>
      </c>
      <c r="G113" s="523">
        <v>1898155.3297949927</v>
      </c>
      <c r="H113" s="526">
        <v>290103.89746384294</v>
      </c>
      <c r="I113" s="577">
        <v>290103.89746384294</v>
      </c>
      <c r="J113" s="514">
        <f t="shared" si="31"/>
        <v>0</v>
      </c>
      <c r="K113" s="514"/>
      <c r="L113" s="525"/>
      <c r="M113" s="514">
        <f t="shared" si="32"/>
        <v>0</v>
      </c>
      <c r="N113" s="525"/>
      <c r="O113" s="514">
        <f t="shared" si="33"/>
        <v>0</v>
      </c>
      <c r="P113" s="514">
        <f t="shared" si="34"/>
        <v>0</v>
      </c>
      <c r="Q113" s="269"/>
    </row>
    <row r="114" spans="2:17">
      <c r="B114" s="195" t="str">
        <f t="shared" si="37"/>
        <v/>
      </c>
      <c r="C114" s="507">
        <f>IF(D93="","-",+C113+1)</f>
        <v>2023</v>
      </c>
      <c r="D114" s="374">
        <f>IF(F113+SUM(E$99:E113)=D$92,F113,D$92-SUM(E$99:E113))</f>
        <v>1864579.9964616592</v>
      </c>
      <c r="E114" s="522">
        <f>IF(+J96&lt;F113,J96,D114)</f>
        <v>68788.487804878052</v>
      </c>
      <c r="F114" s="523">
        <f t="shared" ref="F114:F130" si="49">+D114-E114</f>
        <v>1795791.5086567812</v>
      </c>
      <c r="G114" s="523">
        <f t="shared" ref="G114:G130" si="50">+(F114+D114)/2</f>
        <v>1830185.7525592202</v>
      </c>
      <c r="H114" s="526">
        <f t="shared" ref="H114:H154" si="51">+J$94*G114+E114</f>
        <v>276540.60762332677</v>
      </c>
      <c r="I114" s="577">
        <f t="shared" ref="I114:I154" si="52">+J$95*G114+E114</f>
        <v>276540.60762332677</v>
      </c>
      <c r="J114" s="514">
        <f t="shared" si="31"/>
        <v>0</v>
      </c>
      <c r="K114" s="514"/>
      <c r="L114" s="525"/>
      <c r="M114" s="514">
        <f t="shared" si="32"/>
        <v>0</v>
      </c>
      <c r="N114" s="525"/>
      <c r="O114" s="514">
        <f t="shared" si="33"/>
        <v>0</v>
      </c>
      <c r="P114" s="514">
        <f t="shared" si="34"/>
        <v>0</v>
      </c>
      <c r="Q114" s="269"/>
    </row>
    <row r="115" spans="2:17">
      <c r="B115" s="195" t="str">
        <f t="shared" si="37"/>
        <v/>
      </c>
      <c r="C115" s="507">
        <f>IF(D93="","-",+C114+1)</f>
        <v>2024</v>
      </c>
      <c r="D115" s="374">
        <f>IF(F114+SUM(E$99:E114)=D$92,F114,D$92-SUM(E$99:E114))</f>
        <v>1795791.5086567812</v>
      </c>
      <c r="E115" s="522">
        <f>IF(+J96&lt;F114,J96,D115)</f>
        <v>68788.487804878052</v>
      </c>
      <c r="F115" s="523">
        <f t="shared" si="49"/>
        <v>1727003.0208519031</v>
      </c>
      <c r="G115" s="523">
        <f t="shared" si="50"/>
        <v>1761397.2647543421</v>
      </c>
      <c r="H115" s="526">
        <f t="shared" si="51"/>
        <v>268732.13564687013</v>
      </c>
      <c r="I115" s="577">
        <f t="shared" si="52"/>
        <v>268732.13564687013</v>
      </c>
      <c r="J115" s="514">
        <f t="shared" si="31"/>
        <v>0</v>
      </c>
      <c r="K115" s="514"/>
      <c r="L115" s="525"/>
      <c r="M115" s="514">
        <f t="shared" si="32"/>
        <v>0</v>
      </c>
      <c r="N115" s="525"/>
      <c r="O115" s="514">
        <f t="shared" si="33"/>
        <v>0</v>
      </c>
      <c r="P115" s="514">
        <f t="shared" si="34"/>
        <v>0</v>
      </c>
      <c r="Q115" s="269"/>
    </row>
    <row r="116" spans="2:17">
      <c r="B116" s="195" t="str">
        <f t="shared" si="37"/>
        <v/>
      </c>
      <c r="C116" s="507">
        <f>IF(D93="","-",+C115+1)</f>
        <v>2025</v>
      </c>
      <c r="D116" s="374">
        <f>IF(F115+SUM(E$99:E115)=D$92,F115,D$92-SUM(E$99:E115))</f>
        <v>1727003.0208519031</v>
      </c>
      <c r="E116" s="522">
        <f>IF(+J96&lt;F115,J96,D116)</f>
        <v>68788.487804878052</v>
      </c>
      <c r="F116" s="523">
        <f t="shared" si="49"/>
        <v>1658214.5330470251</v>
      </c>
      <c r="G116" s="523">
        <f t="shared" si="50"/>
        <v>1692608.7769494641</v>
      </c>
      <c r="H116" s="526">
        <f t="shared" si="51"/>
        <v>260923.66367041349</v>
      </c>
      <c r="I116" s="577">
        <f t="shared" si="52"/>
        <v>260923.66367041349</v>
      </c>
      <c r="J116" s="514">
        <f t="shared" si="31"/>
        <v>0</v>
      </c>
      <c r="K116" s="514"/>
      <c r="L116" s="525"/>
      <c r="M116" s="514">
        <f t="shared" si="32"/>
        <v>0</v>
      </c>
      <c r="N116" s="525"/>
      <c r="O116" s="514">
        <f t="shared" si="33"/>
        <v>0</v>
      </c>
      <c r="P116" s="514">
        <f t="shared" si="34"/>
        <v>0</v>
      </c>
      <c r="Q116" s="269"/>
    </row>
    <row r="117" spans="2:17">
      <c r="B117" s="195" t="str">
        <f t="shared" si="37"/>
        <v/>
      </c>
      <c r="C117" s="507">
        <f>IF(D93="","-",+C116+1)</f>
        <v>2026</v>
      </c>
      <c r="D117" s="374">
        <f>IF(F116+SUM(E$99:E116)=D$92,F116,D$92-SUM(E$99:E116))</f>
        <v>1658214.5330470251</v>
      </c>
      <c r="E117" s="522">
        <f>IF(+J96&lt;F116,J96,D117)</f>
        <v>68788.487804878052</v>
      </c>
      <c r="F117" s="523">
        <f t="shared" si="49"/>
        <v>1589426.0452421471</v>
      </c>
      <c r="G117" s="523">
        <f t="shared" si="50"/>
        <v>1623820.2891445861</v>
      </c>
      <c r="H117" s="526">
        <f t="shared" si="51"/>
        <v>253115.19169395679</v>
      </c>
      <c r="I117" s="577">
        <f t="shared" si="52"/>
        <v>253115.19169395679</v>
      </c>
      <c r="J117" s="514">
        <f t="shared" si="31"/>
        <v>0</v>
      </c>
      <c r="K117" s="514"/>
      <c r="L117" s="525"/>
      <c r="M117" s="514">
        <f t="shared" si="32"/>
        <v>0</v>
      </c>
      <c r="N117" s="525"/>
      <c r="O117" s="514">
        <f t="shared" si="33"/>
        <v>0</v>
      </c>
      <c r="P117" s="514">
        <f t="shared" si="34"/>
        <v>0</v>
      </c>
      <c r="Q117" s="269"/>
    </row>
    <row r="118" spans="2:17">
      <c r="B118" s="195" t="str">
        <f t="shared" si="37"/>
        <v/>
      </c>
      <c r="C118" s="507">
        <f>IF(D93="","-",+C117+1)</f>
        <v>2027</v>
      </c>
      <c r="D118" s="374">
        <f>IF(F117+SUM(E$99:E117)=D$92,F117,D$92-SUM(E$99:E117))</f>
        <v>1589426.0452421471</v>
      </c>
      <c r="E118" s="522">
        <f>IF(+J96&lt;F117,J96,D118)</f>
        <v>68788.487804878052</v>
      </c>
      <c r="F118" s="523">
        <f t="shared" si="49"/>
        <v>1520637.557437269</v>
      </c>
      <c r="G118" s="523">
        <f t="shared" si="50"/>
        <v>1555031.801339708</v>
      </c>
      <c r="H118" s="526">
        <f t="shared" si="51"/>
        <v>245306.71971750015</v>
      </c>
      <c r="I118" s="577">
        <f t="shared" si="52"/>
        <v>245306.71971750015</v>
      </c>
      <c r="J118" s="514">
        <f t="shared" si="31"/>
        <v>0</v>
      </c>
      <c r="K118" s="514"/>
      <c r="L118" s="525"/>
      <c r="M118" s="514">
        <f t="shared" si="32"/>
        <v>0</v>
      </c>
      <c r="N118" s="525"/>
      <c r="O118" s="514">
        <f t="shared" si="33"/>
        <v>0</v>
      </c>
      <c r="P118" s="514">
        <f t="shared" si="34"/>
        <v>0</v>
      </c>
      <c r="Q118" s="269"/>
    </row>
    <row r="119" spans="2:17">
      <c r="B119" s="195" t="str">
        <f t="shared" si="37"/>
        <v/>
      </c>
      <c r="C119" s="507">
        <f>IF(D93="","-",+C118+1)</f>
        <v>2028</v>
      </c>
      <c r="D119" s="374">
        <f>IF(F118+SUM(E$99:E118)=D$92,F118,D$92-SUM(E$99:E118))</f>
        <v>1520637.557437269</v>
      </c>
      <c r="E119" s="522">
        <f>IF(+J96&lt;F118,J96,D119)</f>
        <v>68788.487804878052</v>
      </c>
      <c r="F119" s="523">
        <f t="shared" si="49"/>
        <v>1451849.069632391</v>
      </c>
      <c r="G119" s="523">
        <f t="shared" si="50"/>
        <v>1486243.31353483</v>
      </c>
      <c r="H119" s="526">
        <f t="shared" si="51"/>
        <v>237498.24774104345</v>
      </c>
      <c r="I119" s="577">
        <f t="shared" si="52"/>
        <v>237498.24774104345</v>
      </c>
      <c r="J119" s="514">
        <f t="shared" si="31"/>
        <v>0</v>
      </c>
      <c r="K119" s="514"/>
      <c r="L119" s="525"/>
      <c r="M119" s="514">
        <f t="shared" si="32"/>
        <v>0</v>
      </c>
      <c r="N119" s="525"/>
      <c r="O119" s="514">
        <f t="shared" si="33"/>
        <v>0</v>
      </c>
      <c r="P119" s="514">
        <f t="shared" si="34"/>
        <v>0</v>
      </c>
      <c r="Q119" s="269"/>
    </row>
    <row r="120" spans="2:17">
      <c r="B120" s="195" t="str">
        <f t="shared" si="37"/>
        <v/>
      </c>
      <c r="C120" s="507">
        <f>IF(D93="","-",+C119+1)</f>
        <v>2029</v>
      </c>
      <c r="D120" s="374">
        <f>IF(F119+SUM(E$99:E119)=D$92,F119,D$92-SUM(E$99:E119))</f>
        <v>1451849.069632391</v>
      </c>
      <c r="E120" s="522">
        <f>IF(+J96&lt;F119,J96,D120)</f>
        <v>68788.487804878052</v>
      </c>
      <c r="F120" s="523">
        <f t="shared" si="49"/>
        <v>1383060.5818275129</v>
      </c>
      <c r="G120" s="523">
        <f t="shared" si="50"/>
        <v>1417454.825729952</v>
      </c>
      <c r="H120" s="526">
        <f t="shared" si="51"/>
        <v>229689.77576458681</v>
      </c>
      <c r="I120" s="577">
        <f t="shared" si="52"/>
        <v>229689.77576458681</v>
      </c>
      <c r="J120" s="514">
        <f t="shared" si="31"/>
        <v>0</v>
      </c>
      <c r="K120" s="514"/>
      <c r="L120" s="525"/>
      <c r="M120" s="514">
        <f t="shared" si="32"/>
        <v>0</v>
      </c>
      <c r="N120" s="525"/>
      <c r="O120" s="514">
        <f t="shared" si="33"/>
        <v>0</v>
      </c>
      <c r="P120" s="514">
        <f t="shared" si="34"/>
        <v>0</v>
      </c>
      <c r="Q120" s="269"/>
    </row>
    <row r="121" spans="2:17">
      <c r="B121" s="195" t="str">
        <f t="shared" si="37"/>
        <v/>
      </c>
      <c r="C121" s="507">
        <f>IF(D93="","-",+C120+1)</f>
        <v>2030</v>
      </c>
      <c r="D121" s="374">
        <f>IF(F120+SUM(E$99:E120)=D$92,F120,D$92-SUM(E$99:E120))</f>
        <v>1383060.5818275129</v>
      </c>
      <c r="E121" s="522">
        <f>IF(+J96&lt;F120,J96,D121)</f>
        <v>68788.487804878052</v>
      </c>
      <c r="F121" s="523">
        <f t="shared" si="49"/>
        <v>1314272.0940226349</v>
      </c>
      <c r="G121" s="523">
        <f t="shared" si="50"/>
        <v>1348666.3379250739</v>
      </c>
      <c r="H121" s="526">
        <f t="shared" si="51"/>
        <v>221881.30378813011</v>
      </c>
      <c r="I121" s="577">
        <f t="shared" si="52"/>
        <v>221881.30378813011</v>
      </c>
      <c r="J121" s="514">
        <f t="shared" si="31"/>
        <v>0</v>
      </c>
      <c r="K121" s="514"/>
      <c r="L121" s="525"/>
      <c r="M121" s="514">
        <f t="shared" si="32"/>
        <v>0</v>
      </c>
      <c r="N121" s="525"/>
      <c r="O121" s="514">
        <f t="shared" si="33"/>
        <v>0</v>
      </c>
      <c r="P121" s="514">
        <f t="shared" si="34"/>
        <v>0</v>
      </c>
      <c r="Q121" s="269"/>
    </row>
    <row r="122" spans="2:17">
      <c r="B122" s="195" t="str">
        <f t="shared" si="37"/>
        <v/>
      </c>
      <c r="C122" s="507">
        <f>IF(D93="","-",+C121+1)</f>
        <v>2031</v>
      </c>
      <c r="D122" s="374">
        <f>IF(F121+SUM(E$99:E121)=D$92,F121,D$92-SUM(E$99:E121))</f>
        <v>1314272.0940226349</v>
      </c>
      <c r="E122" s="522">
        <f>IF(+J96&lt;F121,J96,D122)</f>
        <v>68788.487804878052</v>
      </c>
      <c r="F122" s="523">
        <f t="shared" si="49"/>
        <v>1245483.6062177569</v>
      </c>
      <c r="G122" s="523">
        <f t="shared" si="50"/>
        <v>1279877.8501201959</v>
      </c>
      <c r="H122" s="526">
        <f t="shared" si="51"/>
        <v>214072.83181167347</v>
      </c>
      <c r="I122" s="577">
        <f t="shared" si="52"/>
        <v>214072.83181167347</v>
      </c>
      <c r="J122" s="514">
        <f t="shared" si="31"/>
        <v>0</v>
      </c>
      <c r="K122" s="514"/>
      <c r="L122" s="525"/>
      <c r="M122" s="514">
        <f t="shared" si="32"/>
        <v>0</v>
      </c>
      <c r="N122" s="525"/>
      <c r="O122" s="514">
        <f t="shared" si="33"/>
        <v>0</v>
      </c>
      <c r="P122" s="514">
        <f t="shared" si="34"/>
        <v>0</v>
      </c>
      <c r="Q122" s="269"/>
    </row>
    <row r="123" spans="2:17">
      <c r="B123" s="195" t="str">
        <f t="shared" si="37"/>
        <v/>
      </c>
      <c r="C123" s="507">
        <f>IF(D93="","-",+C122+1)</f>
        <v>2032</v>
      </c>
      <c r="D123" s="374">
        <f>IF(F122+SUM(E$99:E122)=D$92,F122,D$92-SUM(E$99:E122))</f>
        <v>1245483.6062177569</v>
      </c>
      <c r="E123" s="522">
        <f>IF(+J96&lt;F122,J96,D123)</f>
        <v>68788.487804878052</v>
      </c>
      <c r="F123" s="523">
        <f t="shared" si="49"/>
        <v>1176695.1184128788</v>
      </c>
      <c r="G123" s="523">
        <f t="shared" si="50"/>
        <v>1211089.3623153178</v>
      </c>
      <c r="H123" s="526">
        <f t="shared" si="51"/>
        <v>206264.35983521683</v>
      </c>
      <c r="I123" s="577">
        <f t="shared" si="52"/>
        <v>206264.35983521683</v>
      </c>
      <c r="J123" s="514">
        <f t="shared" si="31"/>
        <v>0</v>
      </c>
      <c r="K123" s="514"/>
      <c r="L123" s="525"/>
      <c r="M123" s="514">
        <f t="shared" si="32"/>
        <v>0</v>
      </c>
      <c r="N123" s="525"/>
      <c r="O123" s="514">
        <f t="shared" si="33"/>
        <v>0</v>
      </c>
      <c r="P123" s="514">
        <f t="shared" si="34"/>
        <v>0</v>
      </c>
      <c r="Q123" s="269"/>
    </row>
    <row r="124" spans="2:17">
      <c r="B124" s="195" t="str">
        <f t="shared" si="37"/>
        <v/>
      </c>
      <c r="C124" s="507">
        <f>IF(D93="","-",+C123+1)</f>
        <v>2033</v>
      </c>
      <c r="D124" s="374">
        <f>IF(F123+SUM(E$99:E123)=D$92,F123,D$92-SUM(E$99:E123))</f>
        <v>1176695.1184128788</v>
      </c>
      <c r="E124" s="522">
        <f>IF(+J96&lt;F123,J96,D124)</f>
        <v>68788.487804878052</v>
      </c>
      <c r="F124" s="523">
        <f t="shared" si="49"/>
        <v>1107906.6306080008</v>
      </c>
      <c r="G124" s="523">
        <f t="shared" si="50"/>
        <v>1142300.8745104398</v>
      </c>
      <c r="H124" s="526">
        <f t="shared" si="51"/>
        <v>198455.88785876014</v>
      </c>
      <c r="I124" s="577">
        <f t="shared" si="52"/>
        <v>198455.88785876014</v>
      </c>
      <c r="J124" s="514">
        <f t="shared" si="31"/>
        <v>0</v>
      </c>
      <c r="K124" s="514"/>
      <c r="L124" s="525"/>
      <c r="M124" s="514">
        <f t="shared" si="32"/>
        <v>0</v>
      </c>
      <c r="N124" s="525"/>
      <c r="O124" s="514">
        <f t="shared" si="33"/>
        <v>0</v>
      </c>
      <c r="P124" s="514">
        <f t="shared" si="34"/>
        <v>0</v>
      </c>
      <c r="Q124" s="269"/>
    </row>
    <row r="125" spans="2:17">
      <c r="B125" s="195" t="str">
        <f t="shared" si="37"/>
        <v/>
      </c>
      <c r="C125" s="507">
        <f>IF(D93="","-",+C124+1)</f>
        <v>2034</v>
      </c>
      <c r="D125" s="374">
        <f>IF(F124+SUM(E$99:E124)=D$92,F124,D$92-SUM(E$99:E124))</f>
        <v>1107906.6306080008</v>
      </c>
      <c r="E125" s="522">
        <f>IF(+J96&lt;F124,J96,D125)</f>
        <v>68788.487804878052</v>
      </c>
      <c r="F125" s="523">
        <f t="shared" si="49"/>
        <v>1039118.1428031228</v>
      </c>
      <c r="G125" s="523">
        <f t="shared" si="50"/>
        <v>1073512.3867055618</v>
      </c>
      <c r="H125" s="526">
        <f t="shared" si="51"/>
        <v>190647.4158823035</v>
      </c>
      <c r="I125" s="577">
        <f t="shared" si="52"/>
        <v>190647.4158823035</v>
      </c>
      <c r="J125" s="514">
        <f t="shared" si="31"/>
        <v>0</v>
      </c>
      <c r="K125" s="514"/>
      <c r="L125" s="525"/>
      <c r="M125" s="514">
        <f t="shared" si="32"/>
        <v>0</v>
      </c>
      <c r="N125" s="525"/>
      <c r="O125" s="514">
        <f t="shared" si="33"/>
        <v>0</v>
      </c>
      <c r="P125" s="514">
        <f t="shared" si="34"/>
        <v>0</v>
      </c>
      <c r="Q125" s="269"/>
    </row>
    <row r="126" spans="2:17">
      <c r="B126" s="195" t="str">
        <f t="shared" si="37"/>
        <v/>
      </c>
      <c r="C126" s="507">
        <f>IF(D93="","-",+C125+1)</f>
        <v>2035</v>
      </c>
      <c r="D126" s="374">
        <f>IF(F125+SUM(E$99:E125)=D$92,F125,D$92-SUM(E$99:E125))</f>
        <v>1039118.1428031228</v>
      </c>
      <c r="E126" s="522">
        <f>IF(+J96&lt;F125,J96,D126)</f>
        <v>68788.487804878052</v>
      </c>
      <c r="F126" s="523">
        <f t="shared" si="49"/>
        <v>970329.65499824472</v>
      </c>
      <c r="G126" s="523">
        <f t="shared" si="50"/>
        <v>1004723.8989006837</v>
      </c>
      <c r="H126" s="526">
        <f t="shared" si="51"/>
        <v>182838.9439058468</v>
      </c>
      <c r="I126" s="577">
        <f t="shared" si="52"/>
        <v>182838.9439058468</v>
      </c>
      <c r="J126" s="514">
        <f t="shared" si="31"/>
        <v>0</v>
      </c>
      <c r="K126" s="514"/>
      <c r="L126" s="525"/>
      <c r="M126" s="514">
        <f t="shared" si="32"/>
        <v>0</v>
      </c>
      <c r="N126" s="525"/>
      <c r="O126" s="514">
        <f t="shared" si="33"/>
        <v>0</v>
      </c>
      <c r="P126" s="514">
        <f t="shared" si="34"/>
        <v>0</v>
      </c>
      <c r="Q126" s="269"/>
    </row>
    <row r="127" spans="2:17">
      <c r="B127" s="195" t="str">
        <f t="shared" si="37"/>
        <v/>
      </c>
      <c r="C127" s="507">
        <f>IF(D93="","-",+C126+1)</f>
        <v>2036</v>
      </c>
      <c r="D127" s="374">
        <f>IF(F126+SUM(E$99:E126)=D$92,F126,D$92-SUM(E$99:E126))</f>
        <v>970329.65499824472</v>
      </c>
      <c r="E127" s="522">
        <f>IF(+J96&lt;F126,J96,D127)</f>
        <v>68788.487804878052</v>
      </c>
      <c r="F127" s="523">
        <f t="shared" si="49"/>
        <v>901541.16719336668</v>
      </c>
      <c r="G127" s="523">
        <f t="shared" si="50"/>
        <v>935935.4110958057</v>
      </c>
      <c r="H127" s="526">
        <f t="shared" si="51"/>
        <v>175030.47192939016</v>
      </c>
      <c r="I127" s="577">
        <f t="shared" si="52"/>
        <v>175030.47192939016</v>
      </c>
      <c r="J127" s="514">
        <f t="shared" si="31"/>
        <v>0</v>
      </c>
      <c r="K127" s="514"/>
      <c r="L127" s="525"/>
      <c r="M127" s="514">
        <f t="shared" si="32"/>
        <v>0</v>
      </c>
      <c r="N127" s="525"/>
      <c r="O127" s="514">
        <f t="shared" si="33"/>
        <v>0</v>
      </c>
      <c r="P127" s="514">
        <f t="shared" si="34"/>
        <v>0</v>
      </c>
      <c r="Q127" s="269"/>
    </row>
    <row r="128" spans="2:17">
      <c r="B128" s="195" t="str">
        <f t="shared" si="37"/>
        <v/>
      </c>
      <c r="C128" s="507">
        <f>IF(D93="","-",+C127+1)</f>
        <v>2037</v>
      </c>
      <c r="D128" s="374">
        <f>IF(F127+SUM(E$99:E127)=D$92,F127,D$92-SUM(E$99:E127))</f>
        <v>901541.16719336668</v>
      </c>
      <c r="E128" s="522">
        <f>IF(+J96&lt;F127,J96,D128)</f>
        <v>68788.487804878052</v>
      </c>
      <c r="F128" s="523">
        <f t="shared" si="49"/>
        <v>832752.67938848864</v>
      </c>
      <c r="G128" s="523">
        <f t="shared" si="50"/>
        <v>867146.92329092766</v>
      </c>
      <c r="H128" s="526">
        <f t="shared" si="51"/>
        <v>167221.99995293349</v>
      </c>
      <c r="I128" s="577">
        <f t="shared" si="52"/>
        <v>167221.99995293349</v>
      </c>
      <c r="J128" s="514">
        <f t="shared" si="31"/>
        <v>0</v>
      </c>
      <c r="K128" s="514"/>
      <c r="L128" s="525"/>
      <c r="M128" s="514">
        <f t="shared" si="32"/>
        <v>0</v>
      </c>
      <c r="N128" s="525"/>
      <c r="O128" s="514">
        <f t="shared" si="33"/>
        <v>0</v>
      </c>
      <c r="P128" s="514">
        <f t="shared" si="34"/>
        <v>0</v>
      </c>
      <c r="Q128" s="269"/>
    </row>
    <row r="129" spans="2:17">
      <c r="B129" s="195" t="str">
        <f t="shared" si="37"/>
        <v/>
      </c>
      <c r="C129" s="507">
        <f>IF(D93="","-",+C128+1)</f>
        <v>2038</v>
      </c>
      <c r="D129" s="374">
        <f>IF(F128+SUM(E$99:E128)=D$92,F128,D$92-SUM(E$99:E128))</f>
        <v>832752.67938848864</v>
      </c>
      <c r="E129" s="522">
        <f>IF(+J96&lt;F128,J96,D129)</f>
        <v>68788.487804878052</v>
      </c>
      <c r="F129" s="523">
        <f t="shared" si="49"/>
        <v>763964.19158361061</v>
      </c>
      <c r="G129" s="523">
        <f t="shared" si="50"/>
        <v>798358.43548604962</v>
      </c>
      <c r="H129" s="526">
        <f t="shared" si="51"/>
        <v>159413.52797647682</v>
      </c>
      <c r="I129" s="577">
        <f t="shared" si="52"/>
        <v>159413.52797647682</v>
      </c>
      <c r="J129" s="514">
        <f t="shared" si="31"/>
        <v>0</v>
      </c>
      <c r="K129" s="514"/>
      <c r="L129" s="525"/>
      <c r="M129" s="514">
        <f t="shared" si="32"/>
        <v>0</v>
      </c>
      <c r="N129" s="525"/>
      <c r="O129" s="514">
        <f t="shared" si="33"/>
        <v>0</v>
      </c>
      <c r="P129" s="514">
        <f t="shared" si="34"/>
        <v>0</v>
      </c>
      <c r="Q129" s="269"/>
    </row>
    <row r="130" spans="2:17">
      <c r="B130" s="195" t="str">
        <f t="shared" si="37"/>
        <v/>
      </c>
      <c r="C130" s="507">
        <f>IF(D93="","-",+C129+1)</f>
        <v>2039</v>
      </c>
      <c r="D130" s="374">
        <f>IF(F129+SUM(E$99:E129)=D$92,F129,D$92-SUM(E$99:E129))</f>
        <v>763964.19158361061</v>
      </c>
      <c r="E130" s="522">
        <f>IF(+J96&lt;F129,J96,D130)</f>
        <v>68788.487804878052</v>
      </c>
      <c r="F130" s="523">
        <f t="shared" si="49"/>
        <v>695175.70377873257</v>
      </c>
      <c r="G130" s="523">
        <f t="shared" si="50"/>
        <v>729569.94768117159</v>
      </c>
      <c r="H130" s="526">
        <f t="shared" si="51"/>
        <v>151605.05600002018</v>
      </c>
      <c r="I130" s="577">
        <f t="shared" si="52"/>
        <v>151605.05600002018</v>
      </c>
      <c r="J130" s="514">
        <f t="shared" si="31"/>
        <v>0</v>
      </c>
      <c r="K130" s="514"/>
      <c r="L130" s="525"/>
      <c r="M130" s="514">
        <f t="shared" si="32"/>
        <v>0</v>
      </c>
      <c r="N130" s="525"/>
      <c r="O130" s="514">
        <f t="shared" si="33"/>
        <v>0</v>
      </c>
      <c r="P130" s="514">
        <f t="shared" si="34"/>
        <v>0</v>
      </c>
      <c r="Q130" s="269"/>
    </row>
    <row r="131" spans="2:17">
      <c r="B131" s="195" t="str">
        <f t="shared" si="37"/>
        <v/>
      </c>
      <c r="C131" s="507">
        <f>IF(D93="","-",+C130+1)</f>
        <v>2040</v>
      </c>
      <c r="D131" s="374">
        <f>IF(F130+SUM(E$99:E130)=D$92,F130,D$92-SUM(E$99:E130))</f>
        <v>695175.70377873257</v>
      </c>
      <c r="E131" s="522">
        <f>IF(+J96&lt;F130,J96,D131)</f>
        <v>68788.487804878052</v>
      </c>
      <c r="F131" s="523">
        <f t="shared" ref="F131:F154" si="53">+D131-E131</f>
        <v>626387.21597385453</v>
      </c>
      <c r="G131" s="523">
        <f t="shared" ref="G131:G154" si="54">+(F131+D131)/2</f>
        <v>660781.45987629355</v>
      </c>
      <c r="H131" s="526">
        <f t="shared" si="51"/>
        <v>143796.58402356348</v>
      </c>
      <c r="I131" s="577">
        <f t="shared" si="52"/>
        <v>143796.58402356348</v>
      </c>
      <c r="J131" s="514">
        <f t="shared" ref="J131:J154" si="55">+I131-H131</f>
        <v>0</v>
      </c>
      <c r="K131" s="514"/>
      <c r="L131" s="525"/>
      <c r="M131" s="514">
        <f t="shared" ref="M131:M154" si="56">IF(L131&lt;&gt;0,+H131-L131,0)</f>
        <v>0</v>
      </c>
      <c r="N131" s="525"/>
      <c r="O131" s="514">
        <f t="shared" ref="O131:O154" si="57">IF(N131&lt;&gt;0,+I131-N131,0)</f>
        <v>0</v>
      </c>
      <c r="P131" s="514">
        <f t="shared" ref="P131:P154" si="58">+O131-M131</f>
        <v>0</v>
      </c>
      <c r="Q131" s="269"/>
    </row>
    <row r="132" spans="2:17">
      <c r="B132" s="195" t="str">
        <f t="shared" si="37"/>
        <v/>
      </c>
      <c r="C132" s="507">
        <f>IF(D93="","-",+C131+1)</f>
        <v>2041</v>
      </c>
      <c r="D132" s="374">
        <f>IF(F131+SUM(E$99:E131)=D$92,F131,D$92-SUM(E$99:E131))</f>
        <v>626387.21597385453</v>
      </c>
      <c r="E132" s="522">
        <f>IF(+J96&lt;F131,J96,D132)</f>
        <v>68788.487804878052</v>
      </c>
      <c r="F132" s="523">
        <f t="shared" si="53"/>
        <v>557598.72816897649</v>
      </c>
      <c r="G132" s="523">
        <f t="shared" si="54"/>
        <v>591992.97207141551</v>
      </c>
      <c r="H132" s="526">
        <f t="shared" si="51"/>
        <v>135988.11204710684</v>
      </c>
      <c r="I132" s="577">
        <f t="shared" si="52"/>
        <v>135988.11204710684</v>
      </c>
      <c r="J132" s="514">
        <f t="shared" si="55"/>
        <v>0</v>
      </c>
      <c r="K132" s="514"/>
      <c r="L132" s="525"/>
      <c r="M132" s="514">
        <f t="shared" si="56"/>
        <v>0</v>
      </c>
      <c r="N132" s="525"/>
      <c r="O132" s="514">
        <f t="shared" si="57"/>
        <v>0</v>
      </c>
      <c r="P132" s="514">
        <f t="shared" si="58"/>
        <v>0</v>
      </c>
      <c r="Q132" s="269"/>
    </row>
    <row r="133" spans="2:17">
      <c r="B133" s="195" t="str">
        <f t="shared" si="37"/>
        <v/>
      </c>
      <c r="C133" s="507">
        <f>IF(D93="","-",+C132+1)</f>
        <v>2042</v>
      </c>
      <c r="D133" s="374">
        <f>IF(F132+SUM(E$99:E132)=D$92,F132,D$92-SUM(E$99:E132))</f>
        <v>557598.72816897649</v>
      </c>
      <c r="E133" s="522">
        <f>IF(+J96&lt;F132,J96,D133)</f>
        <v>68788.487804878052</v>
      </c>
      <c r="F133" s="523">
        <f t="shared" si="53"/>
        <v>488810.24036409846</v>
      </c>
      <c r="G133" s="523">
        <f t="shared" si="54"/>
        <v>523204.48426653747</v>
      </c>
      <c r="H133" s="526">
        <f t="shared" si="51"/>
        <v>128179.64007065017</v>
      </c>
      <c r="I133" s="577">
        <f t="shared" si="52"/>
        <v>128179.64007065017</v>
      </c>
      <c r="J133" s="514">
        <f t="shared" si="55"/>
        <v>0</v>
      </c>
      <c r="K133" s="514"/>
      <c r="L133" s="525"/>
      <c r="M133" s="514">
        <f t="shared" si="56"/>
        <v>0</v>
      </c>
      <c r="N133" s="525"/>
      <c r="O133" s="514">
        <f t="shared" si="57"/>
        <v>0</v>
      </c>
      <c r="P133" s="514">
        <f t="shared" si="58"/>
        <v>0</v>
      </c>
      <c r="Q133" s="269"/>
    </row>
    <row r="134" spans="2:17">
      <c r="B134" s="195" t="str">
        <f t="shared" si="37"/>
        <v/>
      </c>
      <c r="C134" s="507">
        <f>IF(D93="","-",+C133+1)</f>
        <v>2043</v>
      </c>
      <c r="D134" s="374">
        <f>IF(F133+SUM(E$99:E133)=D$92,F133,D$92-SUM(E$99:E133))</f>
        <v>488810.24036409846</v>
      </c>
      <c r="E134" s="522">
        <f>IF(+J96&lt;F133,J96,D134)</f>
        <v>68788.487804878052</v>
      </c>
      <c r="F134" s="523">
        <f t="shared" si="53"/>
        <v>420021.75255922042</v>
      </c>
      <c r="G134" s="523">
        <f t="shared" si="54"/>
        <v>454415.99646165944</v>
      </c>
      <c r="H134" s="526">
        <f t="shared" si="51"/>
        <v>120371.1680941935</v>
      </c>
      <c r="I134" s="577">
        <f t="shared" si="52"/>
        <v>120371.1680941935</v>
      </c>
      <c r="J134" s="514">
        <f t="shared" si="55"/>
        <v>0</v>
      </c>
      <c r="K134" s="514"/>
      <c r="L134" s="525"/>
      <c r="M134" s="514">
        <f t="shared" si="56"/>
        <v>0</v>
      </c>
      <c r="N134" s="525"/>
      <c r="O134" s="514">
        <f t="shared" si="57"/>
        <v>0</v>
      </c>
      <c r="P134" s="514">
        <f t="shared" si="58"/>
        <v>0</v>
      </c>
      <c r="Q134" s="269"/>
    </row>
    <row r="135" spans="2:17">
      <c r="B135" s="195" t="str">
        <f t="shared" si="37"/>
        <v/>
      </c>
      <c r="C135" s="507">
        <f>IF(D93="","-",+C134+1)</f>
        <v>2044</v>
      </c>
      <c r="D135" s="374">
        <f>IF(F134+SUM(E$99:E134)=D$92,F134,D$92-SUM(E$99:E134))</f>
        <v>420021.75255922042</v>
      </c>
      <c r="E135" s="522">
        <f>IF(+J96&lt;F134,J96,D135)</f>
        <v>68788.487804878052</v>
      </c>
      <c r="F135" s="523">
        <f t="shared" si="53"/>
        <v>351233.26475434238</v>
      </c>
      <c r="G135" s="523">
        <f t="shared" si="54"/>
        <v>385627.5086567814</v>
      </c>
      <c r="H135" s="526">
        <f t="shared" si="51"/>
        <v>112562.69611773684</v>
      </c>
      <c r="I135" s="577">
        <f t="shared" si="52"/>
        <v>112562.69611773684</v>
      </c>
      <c r="J135" s="514">
        <f t="shared" si="55"/>
        <v>0</v>
      </c>
      <c r="K135" s="514"/>
      <c r="L135" s="525"/>
      <c r="M135" s="514">
        <f t="shared" si="56"/>
        <v>0</v>
      </c>
      <c r="N135" s="525"/>
      <c r="O135" s="514">
        <f t="shared" si="57"/>
        <v>0</v>
      </c>
      <c r="P135" s="514">
        <f t="shared" si="58"/>
        <v>0</v>
      </c>
      <c r="Q135" s="269"/>
    </row>
    <row r="136" spans="2:17">
      <c r="B136" s="195" t="str">
        <f t="shared" si="37"/>
        <v/>
      </c>
      <c r="C136" s="507">
        <f>IF(D93="","-",+C135+1)</f>
        <v>2045</v>
      </c>
      <c r="D136" s="374">
        <f>IF(F135+SUM(E$99:E135)=D$92,F135,D$92-SUM(E$99:E135))</f>
        <v>351233.26475434238</v>
      </c>
      <c r="E136" s="522">
        <f>IF(+J96&lt;F135,J96,D136)</f>
        <v>68788.487804878052</v>
      </c>
      <c r="F136" s="523">
        <f t="shared" si="53"/>
        <v>282444.77694946434</v>
      </c>
      <c r="G136" s="523">
        <f t="shared" si="54"/>
        <v>316839.02085190336</v>
      </c>
      <c r="H136" s="526">
        <f t="shared" si="51"/>
        <v>104754.22414128017</v>
      </c>
      <c r="I136" s="577">
        <f t="shared" si="52"/>
        <v>104754.22414128017</v>
      </c>
      <c r="J136" s="514">
        <f t="shared" si="55"/>
        <v>0</v>
      </c>
      <c r="K136" s="514"/>
      <c r="L136" s="525"/>
      <c r="M136" s="514">
        <f t="shared" si="56"/>
        <v>0</v>
      </c>
      <c r="N136" s="525"/>
      <c r="O136" s="514">
        <f t="shared" si="57"/>
        <v>0</v>
      </c>
      <c r="P136" s="514">
        <f t="shared" si="58"/>
        <v>0</v>
      </c>
      <c r="Q136" s="269"/>
    </row>
    <row r="137" spans="2:17">
      <c r="B137" s="195" t="str">
        <f t="shared" si="37"/>
        <v/>
      </c>
      <c r="C137" s="507">
        <f>IF(D93="","-",+C136+1)</f>
        <v>2046</v>
      </c>
      <c r="D137" s="374">
        <f>IF(F136+SUM(E$99:E136)=D$92,F136,D$92-SUM(E$99:E136))</f>
        <v>282444.77694946434</v>
      </c>
      <c r="E137" s="522">
        <f>IF(+J96&lt;F136,J96,D137)</f>
        <v>68788.487804878052</v>
      </c>
      <c r="F137" s="523">
        <f t="shared" si="53"/>
        <v>213656.28914458631</v>
      </c>
      <c r="G137" s="523">
        <f t="shared" si="54"/>
        <v>248050.53304702532</v>
      </c>
      <c r="H137" s="526">
        <f t="shared" si="51"/>
        <v>96945.752164823512</v>
      </c>
      <c r="I137" s="577">
        <f t="shared" si="52"/>
        <v>96945.752164823512</v>
      </c>
      <c r="J137" s="514">
        <f t="shared" si="55"/>
        <v>0</v>
      </c>
      <c r="K137" s="514"/>
      <c r="L137" s="525"/>
      <c r="M137" s="514">
        <f t="shared" si="56"/>
        <v>0</v>
      </c>
      <c r="N137" s="525"/>
      <c r="O137" s="514">
        <f t="shared" si="57"/>
        <v>0</v>
      </c>
      <c r="P137" s="514">
        <f t="shared" si="58"/>
        <v>0</v>
      </c>
      <c r="Q137" s="269"/>
    </row>
    <row r="138" spans="2:17">
      <c r="B138" s="195" t="str">
        <f t="shared" si="37"/>
        <v/>
      </c>
      <c r="C138" s="507">
        <f>IF(D93="","-",+C137+1)</f>
        <v>2047</v>
      </c>
      <c r="D138" s="374">
        <f>IF(F137+SUM(E$99:E137)=D$92,F137,D$92-SUM(E$99:E137))</f>
        <v>213656.28914458631</v>
      </c>
      <c r="E138" s="522">
        <f>IF(+J96&lt;F137,J96,D138)</f>
        <v>68788.487804878052</v>
      </c>
      <c r="F138" s="523">
        <f t="shared" si="53"/>
        <v>144867.80133970827</v>
      </c>
      <c r="G138" s="523">
        <f t="shared" si="54"/>
        <v>179262.04524214729</v>
      </c>
      <c r="H138" s="526">
        <f t="shared" si="51"/>
        <v>89137.280188366844</v>
      </c>
      <c r="I138" s="577">
        <f t="shared" si="52"/>
        <v>89137.280188366844</v>
      </c>
      <c r="J138" s="514">
        <f t="shared" si="55"/>
        <v>0</v>
      </c>
      <c r="K138" s="514"/>
      <c r="L138" s="525"/>
      <c r="M138" s="514">
        <f t="shared" si="56"/>
        <v>0</v>
      </c>
      <c r="N138" s="525"/>
      <c r="O138" s="514">
        <f t="shared" si="57"/>
        <v>0</v>
      </c>
      <c r="P138" s="514">
        <f t="shared" si="58"/>
        <v>0</v>
      </c>
      <c r="Q138" s="269"/>
    </row>
    <row r="139" spans="2:17">
      <c r="B139" s="195" t="str">
        <f t="shared" si="37"/>
        <v/>
      </c>
      <c r="C139" s="507">
        <f>IF(D93="","-",+C138+1)</f>
        <v>2048</v>
      </c>
      <c r="D139" s="374">
        <f>IF(F138+SUM(E$99:E138)=D$92,F138,D$92-SUM(E$99:E138))</f>
        <v>144867.80133970827</v>
      </c>
      <c r="E139" s="522">
        <f>IF(+J96&lt;F138,J96,D139)</f>
        <v>68788.487804878052</v>
      </c>
      <c r="F139" s="523">
        <f t="shared" si="53"/>
        <v>76079.313534830217</v>
      </c>
      <c r="G139" s="523">
        <f t="shared" si="54"/>
        <v>110473.55743726925</v>
      </c>
      <c r="H139" s="526">
        <f t="shared" si="51"/>
        <v>81328.808211910175</v>
      </c>
      <c r="I139" s="577">
        <f t="shared" si="52"/>
        <v>81328.808211910175</v>
      </c>
      <c r="J139" s="514">
        <f t="shared" si="55"/>
        <v>0</v>
      </c>
      <c r="K139" s="514"/>
      <c r="L139" s="525"/>
      <c r="M139" s="514">
        <f t="shared" si="56"/>
        <v>0</v>
      </c>
      <c r="N139" s="525"/>
      <c r="O139" s="514">
        <f t="shared" si="57"/>
        <v>0</v>
      </c>
      <c r="P139" s="514">
        <f t="shared" si="58"/>
        <v>0</v>
      </c>
      <c r="Q139" s="269"/>
    </row>
    <row r="140" spans="2:17">
      <c r="B140" s="195" t="str">
        <f t="shared" si="37"/>
        <v/>
      </c>
      <c r="C140" s="507">
        <f>IF(D93="","-",+C139+1)</f>
        <v>2049</v>
      </c>
      <c r="D140" s="374">
        <f>IF(F139+SUM(E$99:E139)=D$92,F139,D$92-SUM(E$99:E139))</f>
        <v>76079.313534830217</v>
      </c>
      <c r="E140" s="522">
        <f>IF(+J96&lt;F139,J96,D140)</f>
        <v>68788.487804878052</v>
      </c>
      <c r="F140" s="523">
        <f t="shared" si="53"/>
        <v>7290.8257299521647</v>
      </c>
      <c r="G140" s="523">
        <f t="shared" si="54"/>
        <v>41685.069632391191</v>
      </c>
      <c r="H140" s="526">
        <f t="shared" si="51"/>
        <v>73520.336235453506</v>
      </c>
      <c r="I140" s="577">
        <f t="shared" si="52"/>
        <v>73520.336235453506</v>
      </c>
      <c r="J140" s="514">
        <f t="shared" si="55"/>
        <v>0</v>
      </c>
      <c r="K140" s="514"/>
      <c r="L140" s="525"/>
      <c r="M140" s="514">
        <f t="shared" si="56"/>
        <v>0</v>
      </c>
      <c r="N140" s="525"/>
      <c r="O140" s="514">
        <f t="shared" si="57"/>
        <v>0</v>
      </c>
      <c r="P140" s="514">
        <f t="shared" si="58"/>
        <v>0</v>
      </c>
      <c r="Q140" s="269"/>
    </row>
    <row r="141" spans="2:17">
      <c r="B141" s="195" t="str">
        <f t="shared" si="37"/>
        <v/>
      </c>
      <c r="C141" s="507">
        <f>IF(D93="","-",+C140+1)</f>
        <v>2050</v>
      </c>
      <c r="D141" s="374">
        <f>IF(F140+SUM(E$99:E140)=D$92,F140,D$92-SUM(E$99:E140))</f>
        <v>7290.8257299521647</v>
      </c>
      <c r="E141" s="522">
        <f>IF(+J96&lt;F140,J96,D141)</f>
        <v>7290.8257299521647</v>
      </c>
      <c r="F141" s="523">
        <f t="shared" si="53"/>
        <v>0</v>
      </c>
      <c r="G141" s="523">
        <f t="shared" si="54"/>
        <v>3645.4128649760823</v>
      </c>
      <c r="H141" s="526">
        <f t="shared" si="51"/>
        <v>7704.6319511257279</v>
      </c>
      <c r="I141" s="577">
        <f t="shared" si="52"/>
        <v>7704.6319511257279</v>
      </c>
      <c r="J141" s="514">
        <f t="shared" si="55"/>
        <v>0</v>
      </c>
      <c r="K141" s="514"/>
      <c r="L141" s="525"/>
      <c r="M141" s="514">
        <f t="shared" si="56"/>
        <v>0</v>
      </c>
      <c r="N141" s="525"/>
      <c r="O141" s="514">
        <f t="shared" si="57"/>
        <v>0</v>
      </c>
      <c r="P141" s="514">
        <f t="shared" si="58"/>
        <v>0</v>
      </c>
      <c r="Q141" s="269"/>
    </row>
    <row r="142" spans="2:17">
      <c r="B142" s="195" t="str">
        <f t="shared" si="37"/>
        <v/>
      </c>
      <c r="C142" s="507">
        <f>IF(D93="","-",+C141+1)</f>
        <v>2051</v>
      </c>
      <c r="D142" s="374">
        <f>IF(F141+SUM(E$99:E141)=D$92,F141,D$92-SUM(E$99:E141))</f>
        <v>0</v>
      </c>
      <c r="E142" s="522">
        <f>IF(+J96&lt;F141,J96,D142)</f>
        <v>0</v>
      </c>
      <c r="F142" s="523">
        <f t="shared" si="53"/>
        <v>0</v>
      </c>
      <c r="G142" s="523">
        <f t="shared" si="54"/>
        <v>0</v>
      </c>
      <c r="H142" s="526">
        <f t="shared" si="51"/>
        <v>0</v>
      </c>
      <c r="I142" s="577">
        <f t="shared" si="52"/>
        <v>0</v>
      </c>
      <c r="J142" s="514">
        <f t="shared" si="55"/>
        <v>0</v>
      </c>
      <c r="K142" s="514"/>
      <c r="L142" s="525"/>
      <c r="M142" s="514">
        <f t="shared" si="56"/>
        <v>0</v>
      </c>
      <c r="N142" s="525"/>
      <c r="O142" s="514">
        <f t="shared" si="57"/>
        <v>0</v>
      </c>
      <c r="P142" s="514">
        <f t="shared" si="58"/>
        <v>0</v>
      </c>
      <c r="Q142" s="269"/>
    </row>
    <row r="143" spans="2:17">
      <c r="B143" s="195" t="str">
        <f t="shared" si="37"/>
        <v/>
      </c>
      <c r="C143" s="507">
        <f>IF(D93="","-",+C142+1)</f>
        <v>2052</v>
      </c>
      <c r="D143" s="374">
        <f>IF(F142+SUM(E$99:E142)=D$92,F142,D$92-SUM(E$99:E142))</f>
        <v>0</v>
      </c>
      <c r="E143" s="522">
        <f>IF(+J96&lt;F142,J96,D143)</f>
        <v>0</v>
      </c>
      <c r="F143" s="523">
        <f t="shared" si="53"/>
        <v>0</v>
      </c>
      <c r="G143" s="523">
        <f t="shared" si="54"/>
        <v>0</v>
      </c>
      <c r="H143" s="526">
        <f t="shared" si="51"/>
        <v>0</v>
      </c>
      <c r="I143" s="577">
        <f t="shared" si="52"/>
        <v>0</v>
      </c>
      <c r="J143" s="514">
        <f t="shared" si="55"/>
        <v>0</v>
      </c>
      <c r="K143" s="514"/>
      <c r="L143" s="525"/>
      <c r="M143" s="514">
        <f t="shared" si="56"/>
        <v>0</v>
      </c>
      <c r="N143" s="525"/>
      <c r="O143" s="514">
        <f t="shared" si="57"/>
        <v>0</v>
      </c>
      <c r="P143" s="514">
        <f t="shared" si="58"/>
        <v>0</v>
      </c>
      <c r="Q143" s="269"/>
    </row>
    <row r="144" spans="2:17">
      <c r="B144" s="195" t="str">
        <f t="shared" si="37"/>
        <v/>
      </c>
      <c r="C144" s="507">
        <f>IF(D93="","-",+C143+1)</f>
        <v>2053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53"/>
        <v>0</v>
      </c>
      <c r="G144" s="523">
        <f t="shared" si="54"/>
        <v>0</v>
      </c>
      <c r="H144" s="526">
        <f t="shared" si="51"/>
        <v>0</v>
      </c>
      <c r="I144" s="577">
        <f t="shared" si="52"/>
        <v>0</v>
      </c>
      <c r="J144" s="514">
        <f t="shared" si="55"/>
        <v>0</v>
      </c>
      <c r="K144" s="514"/>
      <c r="L144" s="525"/>
      <c r="M144" s="514">
        <f t="shared" si="56"/>
        <v>0</v>
      </c>
      <c r="N144" s="525"/>
      <c r="O144" s="514">
        <f t="shared" si="57"/>
        <v>0</v>
      </c>
      <c r="P144" s="514">
        <f t="shared" si="58"/>
        <v>0</v>
      </c>
      <c r="Q144" s="269"/>
    </row>
    <row r="145" spans="2:17">
      <c r="B145" s="195" t="str">
        <f t="shared" si="37"/>
        <v/>
      </c>
      <c r="C145" s="507">
        <f>IF(D93="","-",+C144+1)</f>
        <v>2054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53"/>
        <v>0</v>
      </c>
      <c r="G145" s="523">
        <f t="shared" si="54"/>
        <v>0</v>
      </c>
      <c r="H145" s="526">
        <f t="shared" si="51"/>
        <v>0</v>
      </c>
      <c r="I145" s="577">
        <f t="shared" si="52"/>
        <v>0</v>
      </c>
      <c r="J145" s="514">
        <f t="shared" si="55"/>
        <v>0</v>
      </c>
      <c r="K145" s="514"/>
      <c r="L145" s="525"/>
      <c r="M145" s="514">
        <f t="shared" si="56"/>
        <v>0</v>
      </c>
      <c r="N145" s="525"/>
      <c r="O145" s="514">
        <f t="shared" si="57"/>
        <v>0</v>
      </c>
      <c r="P145" s="514">
        <f t="shared" si="58"/>
        <v>0</v>
      </c>
      <c r="Q145" s="269"/>
    </row>
    <row r="146" spans="2:17">
      <c r="B146" s="195" t="str">
        <f t="shared" si="37"/>
        <v/>
      </c>
      <c r="C146" s="507">
        <f>IF(D93="","-",+C145+1)</f>
        <v>2055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53"/>
        <v>0</v>
      </c>
      <c r="G146" s="523">
        <f t="shared" si="54"/>
        <v>0</v>
      </c>
      <c r="H146" s="526">
        <f t="shared" si="51"/>
        <v>0</v>
      </c>
      <c r="I146" s="577">
        <f t="shared" si="52"/>
        <v>0</v>
      </c>
      <c r="J146" s="514">
        <f t="shared" si="55"/>
        <v>0</v>
      </c>
      <c r="K146" s="514"/>
      <c r="L146" s="525"/>
      <c r="M146" s="514">
        <f t="shared" si="56"/>
        <v>0</v>
      </c>
      <c r="N146" s="525"/>
      <c r="O146" s="514">
        <f t="shared" si="57"/>
        <v>0</v>
      </c>
      <c r="P146" s="514">
        <f t="shared" si="58"/>
        <v>0</v>
      </c>
      <c r="Q146" s="269"/>
    </row>
    <row r="147" spans="2:17">
      <c r="B147" s="195" t="str">
        <f t="shared" si="37"/>
        <v/>
      </c>
      <c r="C147" s="507">
        <f>IF(D93="","-",+C146+1)</f>
        <v>2056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53"/>
        <v>0</v>
      </c>
      <c r="G147" s="523">
        <f t="shared" si="54"/>
        <v>0</v>
      </c>
      <c r="H147" s="526">
        <f t="shared" si="51"/>
        <v>0</v>
      </c>
      <c r="I147" s="577">
        <f t="shared" si="52"/>
        <v>0</v>
      </c>
      <c r="J147" s="514">
        <f t="shared" si="55"/>
        <v>0</v>
      </c>
      <c r="K147" s="514"/>
      <c r="L147" s="525"/>
      <c r="M147" s="514">
        <f t="shared" si="56"/>
        <v>0</v>
      </c>
      <c r="N147" s="525"/>
      <c r="O147" s="514">
        <f t="shared" si="57"/>
        <v>0</v>
      </c>
      <c r="P147" s="514">
        <f t="shared" si="58"/>
        <v>0</v>
      </c>
      <c r="Q147" s="269"/>
    </row>
    <row r="148" spans="2:17">
      <c r="B148" s="195" t="str">
        <f t="shared" si="37"/>
        <v/>
      </c>
      <c r="C148" s="507">
        <f>IF(D93="","-",+C147+1)</f>
        <v>2057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53"/>
        <v>0</v>
      </c>
      <c r="G148" s="523">
        <f t="shared" si="54"/>
        <v>0</v>
      </c>
      <c r="H148" s="526">
        <f t="shared" si="51"/>
        <v>0</v>
      </c>
      <c r="I148" s="577">
        <f t="shared" si="52"/>
        <v>0</v>
      </c>
      <c r="J148" s="514">
        <f t="shared" si="55"/>
        <v>0</v>
      </c>
      <c r="K148" s="514"/>
      <c r="L148" s="525"/>
      <c r="M148" s="514">
        <f t="shared" si="56"/>
        <v>0</v>
      </c>
      <c r="N148" s="525"/>
      <c r="O148" s="514">
        <f t="shared" si="57"/>
        <v>0</v>
      </c>
      <c r="P148" s="514">
        <f t="shared" si="58"/>
        <v>0</v>
      </c>
      <c r="Q148" s="269"/>
    </row>
    <row r="149" spans="2:17">
      <c r="B149" s="195" t="str">
        <f t="shared" si="37"/>
        <v/>
      </c>
      <c r="C149" s="507">
        <f>IF(D93="","-",+C148+1)</f>
        <v>2058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53"/>
        <v>0</v>
      </c>
      <c r="G149" s="523">
        <f t="shared" si="54"/>
        <v>0</v>
      </c>
      <c r="H149" s="526">
        <f t="shared" si="51"/>
        <v>0</v>
      </c>
      <c r="I149" s="577">
        <f t="shared" si="52"/>
        <v>0</v>
      </c>
      <c r="J149" s="514">
        <f t="shared" si="55"/>
        <v>0</v>
      </c>
      <c r="K149" s="514"/>
      <c r="L149" s="525"/>
      <c r="M149" s="514">
        <f t="shared" si="56"/>
        <v>0</v>
      </c>
      <c r="N149" s="525"/>
      <c r="O149" s="514">
        <f t="shared" si="57"/>
        <v>0</v>
      </c>
      <c r="P149" s="514">
        <f t="shared" si="58"/>
        <v>0</v>
      </c>
      <c r="Q149" s="269"/>
    </row>
    <row r="150" spans="2:17">
      <c r="B150" s="195" t="str">
        <f t="shared" si="37"/>
        <v/>
      </c>
      <c r="C150" s="507">
        <f>IF(D93="","-",+C149+1)</f>
        <v>2059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53"/>
        <v>0</v>
      </c>
      <c r="G150" s="523">
        <f t="shared" si="54"/>
        <v>0</v>
      </c>
      <c r="H150" s="526">
        <f t="shared" si="51"/>
        <v>0</v>
      </c>
      <c r="I150" s="577">
        <f t="shared" si="52"/>
        <v>0</v>
      </c>
      <c r="J150" s="514">
        <f t="shared" si="55"/>
        <v>0</v>
      </c>
      <c r="K150" s="514"/>
      <c r="L150" s="525"/>
      <c r="M150" s="514">
        <f t="shared" si="56"/>
        <v>0</v>
      </c>
      <c r="N150" s="525"/>
      <c r="O150" s="514">
        <f t="shared" si="57"/>
        <v>0</v>
      </c>
      <c r="P150" s="514">
        <f t="shared" si="58"/>
        <v>0</v>
      </c>
      <c r="Q150" s="269"/>
    </row>
    <row r="151" spans="2:17">
      <c r="B151" s="195" t="str">
        <f t="shared" si="37"/>
        <v/>
      </c>
      <c r="C151" s="507">
        <f>IF(D93="","-",+C150+1)</f>
        <v>2060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53"/>
        <v>0</v>
      </c>
      <c r="G151" s="523">
        <f t="shared" si="54"/>
        <v>0</v>
      </c>
      <c r="H151" s="526">
        <f t="shared" si="51"/>
        <v>0</v>
      </c>
      <c r="I151" s="577">
        <f t="shared" si="52"/>
        <v>0</v>
      </c>
      <c r="J151" s="514">
        <f t="shared" si="55"/>
        <v>0</v>
      </c>
      <c r="K151" s="514"/>
      <c r="L151" s="525"/>
      <c r="M151" s="514">
        <f t="shared" si="56"/>
        <v>0</v>
      </c>
      <c r="N151" s="525"/>
      <c r="O151" s="514">
        <f t="shared" si="57"/>
        <v>0</v>
      </c>
      <c r="P151" s="514">
        <f t="shared" si="58"/>
        <v>0</v>
      </c>
      <c r="Q151" s="269"/>
    </row>
    <row r="152" spans="2:17">
      <c r="B152" s="195" t="str">
        <f t="shared" si="37"/>
        <v/>
      </c>
      <c r="C152" s="507">
        <f>IF(D93="","-",+C151+1)</f>
        <v>2061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53"/>
        <v>0</v>
      </c>
      <c r="G152" s="523">
        <f t="shared" si="54"/>
        <v>0</v>
      </c>
      <c r="H152" s="526">
        <f t="shared" si="51"/>
        <v>0</v>
      </c>
      <c r="I152" s="577">
        <f t="shared" si="52"/>
        <v>0</v>
      </c>
      <c r="J152" s="514">
        <f t="shared" si="55"/>
        <v>0</v>
      </c>
      <c r="K152" s="514"/>
      <c r="L152" s="525"/>
      <c r="M152" s="514">
        <f t="shared" si="56"/>
        <v>0</v>
      </c>
      <c r="N152" s="525"/>
      <c r="O152" s="514">
        <f t="shared" si="57"/>
        <v>0</v>
      </c>
      <c r="P152" s="514">
        <f t="shared" si="58"/>
        <v>0</v>
      </c>
      <c r="Q152" s="269"/>
    </row>
    <row r="153" spans="2:17">
      <c r="B153" s="195" t="str">
        <f t="shared" si="37"/>
        <v/>
      </c>
      <c r="C153" s="507">
        <f>IF(D93="","-",+C152+1)</f>
        <v>2062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53"/>
        <v>0</v>
      </c>
      <c r="G153" s="523">
        <f t="shared" si="54"/>
        <v>0</v>
      </c>
      <c r="H153" s="526">
        <f t="shared" si="51"/>
        <v>0</v>
      </c>
      <c r="I153" s="577">
        <f t="shared" si="52"/>
        <v>0</v>
      </c>
      <c r="J153" s="514">
        <f t="shared" si="55"/>
        <v>0</v>
      </c>
      <c r="K153" s="514"/>
      <c r="L153" s="525"/>
      <c r="M153" s="514">
        <f t="shared" si="56"/>
        <v>0</v>
      </c>
      <c r="N153" s="525"/>
      <c r="O153" s="514">
        <f t="shared" si="57"/>
        <v>0</v>
      </c>
      <c r="P153" s="514">
        <f t="shared" si="58"/>
        <v>0</v>
      </c>
      <c r="Q153" s="269"/>
    </row>
    <row r="154" spans="2:17" ht="13.5" thickBot="1">
      <c r="B154" s="195" t="str">
        <f t="shared" si="37"/>
        <v/>
      </c>
      <c r="C154" s="527">
        <f>IF(D93="","-",+C153+1)</f>
        <v>2063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53"/>
        <v>0</v>
      </c>
      <c r="G154" s="528">
        <f t="shared" si="54"/>
        <v>0</v>
      </c>
      <c r="H154" s="530">
        <f t="shared" si="51"/>
        <v>0</v>
      </c>
      <c r="I154" s="579">
        <f t="shared" si="52"/>
        <v>0</v>
      </c>
      <c r="J154" s="533">
        <f t="shared" si="55"/>
        <v>0</v>
      </c>
      <c r="K154" s="514"/>
      <c r="L154" s="532"/>
      <c r="M154" s="533">
        <f t="shared" si="56"/>
        <v>0</v>
      </c>
      <c r="N154" s="532"/>
      <c r="O154" s="533">
        <f t="shared" si="57"/>
        <v>0</v>
      </c>
      <c r="P154" s="533">
        <f t="shared" si="58"/>
        <v>0</v>
      </c>
      <c r="Q154" s="269"/>
    </row>
    <row r="155" spans="2:17">
      <c r="C155" s="374" t="s">
        <v>78</v>
      </c>
      <c r="D155" s="375"/>
      <c r="E155" s="375">
        <f>SUM(E99:E154)</f>
        <v>2820328.0000000005</v>
      </c>
      <c r="F155" s="375"/>
      <c r="G155" s="375"/>
      <c r="H155" s="375">
        <f>SUM(H99:H154)</f>
        <v>9980075.5427954979</v>
      </c>
      <c r="I155" s="375">
        <f>SUM(I99:I154)</f>
        <v>9980075.5427954979</v>
      </c>
      <c r="J155" s="375">
        <f>SUM(J99:J154)</f>
        <v>0</v>
      </c>
      <c r="K155" s="375"/>
      <c r="L155" s="375"/>
      <c r="M155" s="375"/>
      <c r="N155" s="375"/>
      <c r="O155" s="375"/>
      <c r="P155" s="269"/>
      <c r="Q155" s="269"/>
    </row>
    <row r="156" spans="2:17"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  <c r="Q156" s="269"/>
    </row>
    <row r="157" spans="2:17">
      <c r="C157" s="580" t="s">
        <v>92</v>
      </c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  <c r="Q157" s="269"/>
    </row>
    <row r="158" spans="2:17"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  <c r="Q158" s="269"/>
    </row>
    <row r="159" spans="2:17">
      <c r="C159" s="534" t="s">
        <v>97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  <c r="Q159" s="269"/>
    </row>
    <row r="160" spans="2:17">
      <c r="C160" s="581" t="s">
        <v>79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  <c r="Q160" s="269"/>
    </row>
    <row r="161" spans="3:17">
      <c r="C161" s="581" t="s">
        <v>80</v>
      </c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  <c r="Q161" s="269"/>
    </row>
    <row r="162" spans="3:17" ht="18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454" t="s">
        <v>131</v>
      </c>
      <c r="Q162" s="269"/>
    </row>
  </sheetData>
  <phoneticPr fontId="0" type="noConversion"/>
  <conditionalFormatting sqref="C17:C72">
    <cfRule type="cellIs" dxfId="145" priority="1" stopIfTrue="1" operator="equal">
      <formula>$I$10</formula>
    </cfRule>
  </conditionalFormatting>
  <conditionalFormatting sqref="C99:C154">
    <cfRule type="cellIs" dxfId="144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59">
    <tabColor indexed="8"/>
  </sheetPr>
  <dimension ref="A1:Q162"/>
  <sheetViews>
    <sheetView topLeftCell="A91" zoomScaleNormal="100" zoomScaleSheetLayoutView="86" workbookViewId="0">
      <selection activeCell="C113" sqref="C113"/>
    </sheetView>
  </sheetViews>
  <sheetFormatPr defaultColWidth="8.7109375" defaultRowHeight="12.75" customHeight="1"/>
  <cols>
    <col min="1" max="1" width="4.7109375" style="183" customWidth="1"/>
    <col min="2" max="2" width="6.7109375" style="183" customWidth="1"/>
    <col min="3" max="3" width="23.28515625" style="183" customWidth="1"/>
    <col min="4" max="8" width="17.7109375" style="183" customWidth="1"/>
    <col min="9" max="9" width="20.42578125" style="183" customWidth="1"/>
    <col min="10" max="10" width="16.42578125" style="183" customWidth="1"/>
    <col min="11" max="11" width="17.7109375" style="183" customWidth="1"/>
    <col min="12" max="12" width="16.140625" style="183" customWidth="1"/>
    <col min="13" max="13" width="17.7109375" style="183" customWidth="1"/>
    <col min="14" max="14" width="16.140625" style="183" customWidth="1"/>
    <col min="15" max="15" width="16.85546875" style="183" customWidth="1"/>
    <col min="16" max="16" width="24.42578125" style="183" customWidth="1"/>
    <col min="17" max="17" width="4.7109375" style="183" customWidth="1"/>
    <col min="18" max="22" width="8.7109375" style="183"/>
    <col min="23" max="23" width="9.140625" style="183" customWidth="1"/>
    <col min="24" max="16384" width="8.7109375" style="183"/>
  </cols>
  <sheetData>
    <row r="1" spans="1:17" ht="20.25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10 of 75</v>
      </c>
      <c r="Q1" s="453" t="s">
        <v>165</v>
      </c>
    </row>
    <row r="2" spans="1:17" ht="18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454" t="s">
        <v>129</v>
      </c>
    </row>
    <row r="3" spans="1:17" ht="18.75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 t="str">
        <f>RIGHT(N3,3)</f>
        <v/>
      </c>
      <c r="P3" s="455">
        <v>1</v>
      </c>
    </row>
    <row r="4" spans="1:17" ht="15.75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7" ht="1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0</v>
      </c>
      <c r="P5" s="269"/>
    </row>
    <row r="6" spans="1:17" ht="15.7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0</v>
      </c>
      <c r="O6" s="269"/>
      <c r="P6" s="269"/>
    </row>
    <row r="7" spans="1:17" ht="13.5" thickBot="1">
      <c r="C7" s="467" t="s">
        <v>48</v>
      </c>
      <c r="D7" s="468" t="s">
        <v>235</v>
      </c>
      <c r="E7" s="269"/>
      <c r="F7" s="269"/>
      <c r="G7" s="534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7" ht="13.5" thickBot="1">
      <c r="C8" s="472"/>
      <c r="D8" s="599" t="str">
        <f>IF(D10&lt;100000,"DOES NOT MEET SPP $100,000 MINIMUM INVESTMENT FOR REGIONAL BPU SHARING.","")</f>
        <v>DOES NOT MEET SPP $100,000 MINIMUM INVESTMENT FOR REGIONAL BPU SHARING.</v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7" ht="13.5" thickBot="1">
      <c r="A9" s="191"/>
      <c r="C9" s="476" t="s">
        <v>50</v>
      </c>
      <c r="D9" s="477" t="s">
        <v>142</v>
      </c>
      <c r="E9" s="478"/>
      <c r="F9" s="478"/>
      <c r="G9" s="478"/>
      <c r="H9" s="478"/>
      <c r="I9" s="479"/>
      <c r="J9" s="480"/>
      <c r="O9" s="481"/>
      <c r="P9" s="272"/>
    </row>
    <row r="10" spans="1:17">
      <c r="C10" s="482" t="s">
        <v>51</v>
      </c>
      <c r="D10" s="483">
        <v>0</v>
      </c>
      <c r="E10" s="353" t="s">
        <v>52</v>
      </c>
      <c r="F10" s="481"/>
      <c r="G10" s="484"/>
      <c r="H10" s="484"/>
      <c r="I10" s="485">
        <f>+'SWE.WS.F.BPU.ATRR.Projected'!L19</f>
        <v>2024</v>
      </c>
      <c r="J10" s="480"/>
      <c r="K10" s="375" t="s">
        <v>53</v>
      </c>
      <c r="O10" s="272"/>
      <c r="P10" s="272"/>
    </row>
    <row r="11" spans="1:17">
      <c r="C11" s="486" t="s">
        <v>54</v>
      </c>
      <c r="D11" s="487">
        <v>2008</v>
      </c>
      <c r="E11" s="486" t="s">
        <v>55</v>
      </c>
      <c r="F11" s="484"/>
      <c r="G11" s="233"/>
      <c r="H11" s="233"/>
      <c r="I11" s="488"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7">
      <c r="C12" s="486" t="s">
        <v>56</v>
      </c>
      <c r="D12" s="483">
        <v>11</v>
      </c>
      <c r="E12" s="486" t="s">
        <v>57</v>
      </c>
      <c r="F12" s="484"/>
      <c r="G12" s="233"/>
      <c r="H12" s="233"/>
      <c r="I12" s="490">
        <f>'SWE.WS.F.BPU.ATRR.Projected'!$F$81</f>
        <v>0.11952713165403545</v>
      </c>
      <c r="J12" s="425"/>
      <c r="K12" s="183" t="s">
        <v>58</v>
      </c>
      <c r="O12" s="272"/>
      <c r="P12" s="272"/>
    </row>
    <row r="13" spans="1:17">
      <c r="C13" s="486" t="s">
        <v>59</v>
      </c>
      <c r="D13" s="488">
        <f>+'SWE.WS.F.BPU.ATRR.Projected'!F$93</f>
        <v>44</v>
      </c>
      <c r="E13" s="486" t="s">
        <v>60</v>
      </c>
      <c r="F13" s="484"/>
      <c r="G13" s="233"/>
      <c r="H13" s="233"/>
      <c r="I13" s="490">
        <f>IF(G5="",I12,'SWE.WS.F.BPU.ATRR.Projected'!$F$80)</f>
        <v>0.11952713165403545</v>
      </c>
      <c r="J13" s="425"/>
      <c r="K13" s="375" t="s">
        <v>61</v>
      </c>
      <c r="L13" s="324"/>
      <c r="M13" s="324"/>
      <c r="N13" s="324"/>
      <c r="O13" s="272"/>
      <c r="P13" s="272"/>
    </row>
    <row r="14" spans="1:17" ht="13.5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0</v>
      </c>
      <c r="J14" s="375"/>
      <c r="K14" s="375"/>
      <c r="L14" s="375"/>
      <c r="M14" s="375"/>
      <c r="N14" s="375"/>
      <c r="O14" s="272"/>
      <c r="P14" s="272"/>
    </row>
    <row r="15" spans="1:17" ht="38.25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388</v>
      </c>
      <c r="H15" s="495" t="s">
        <v>389</v>
      </c>
      <c r="I15" s="496" t="s">
        <v>260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7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600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>
      <c r="C17" s="507">
        <f>IF(D11= "","-",D11)</f>
        <v>2008</v>
      </c>
      <c r="D17" s="374">
        <f>D10</f>
        <v>0</v>
      </c>
      <c r="E17" s="601">
        <f>I14/12*(12-D12)</f>
        <v>0</v>
      </c>
      <c r="F17" s="374">
        <f t="shared" ref="F17:F48" si="0">+D17-E17</f>
        <v>0</v>
      </c>
      <c r="G17" s="524">
        <f>+I$12*((D17+F17)/2)+E17</f>
        <v>0</v>
      </c>
      <c r="H17" s="491">
        <f>+I$13*((D17+F17)/2)+E17</f>
        <v>0</v>
      </c>
      <c r="I17" s="511">
        <f t="shared" ref="I17:I48" si="1">H17-G17</f>
        <v>0</v>
      </c>
      <c r="J17" s="511"/>
      <c r="K17" s="512">
        <v>0</v>
      </c>
      <c r="L17" s="513">
        <f t="shared" ref="L17:L48" si="2">IF(K17&lt;&gt;0,+G17-K17,0)</f>
        <v>0</v>
      </c>
      <c r="M17" s="512">
        <v>0</v>
      </c>
      <c r="N17" s="513">
        <f t="shared" ref="N17:N48" si="3">IF(M17&lt;&gt;0,+H17-M17,0)</f>
        <v>0</v>
      </c>
      <c r="O17" s="514">
        <f t="shared" ref="O17:O48" si="4">+N17-L17</f>
        <v>0</v>
      </c>
      <c r="P17" s="272"/>
    </row>
    <row r="18" spans="2:16">
      <c r="B18" s="195" t="str">
        <f>IF(D18=F17,"","IU")</f>
        <v/>
      </c>
      <c r="C18" s="507">
        <f>IF(D11="","-",+C17+1)</f>
        <v>2009</v>
      </c>
      <c r="D18" s="523">
        <f t="shared" ref="D18:D24" si="5">F17</f>
        <v>0</v>
      </c>
      <c r="E18" s="522">
        <f>IF(+I14&lt;F17,I14,D18)</f>
        <v>0</v>
      </c>
      <c r="F18" s="523">
        <f t="shared" si="0"/>
        <v>0</v>
      </c>
      <c r="G18" s="524">
        <f t="shared" ref="G18:G72" si="6">+I$12*((D18+F18)/2)+E18</f>
        <v>0</v>
      </c>
      <c r="H18" s="491">
        <f t="shared" ref="H18:H72" si="7">+I$13*((D18+F18)/2)+E18</f>
        <v>0</v>
      </c>
      <c r="I18" s="511">
        <f t="shared" si="1"/>
        <v>0</v>
      </c>
      <c r="J18" s="511"/>
      <c r="K18" s="518">
        <v>0</v>
      </c>
      <c r="L18" s="514">
        <f t="shared" si="2"/>
        <v>0</v>
      </c>
      <c r="M18" s="518">
        <v>0</v>
      </c>
      <c r="N18" s="514">
        <f t="shared" si="3"/>
        <v>0</v>
      </c>
      <c r="O18" s="514">
        <f t="shared" si="4"/>
        <v>0</v>
      </c>
      <c r="P18" s="272"/>
    </row>
    <row r="19" spans="2:16">
      <c r="B19" s="195" t="str">
        <f>IF(D19=F18,"","IU")</f>
        <v/>
      </c>
      <c r="C19" s="507">
        <f>IF(D11="","-",+C18+1)</f>
        <v>2010</v>
      </c>
      <c r="D19" s="523">
        <f t="shared" si="5"/>
        <v>0</v>
      </c>
      <c r="E19" s="522">
        <f>IF(+I14&lt;F18,I14,D19)</f>
        <v>0</v>
      </c>
      <c r="F19" s="523">
        <f t="shared" si="0"/>
        <v>0</v>
      </c>
      <c r="G19" s="524">
        <f t="shared" si="6"/>
        <v>0</v>
      </c>
      <c r="H19" s="491">
        <f t="shared" si="7"/>
        <v>0</v>
      </c>
      <c r="I19" s="511">
        <f t="shared" si="1"/>
        <v>0</v>
      </c>
      <c r="J19" s="511"/>
      <c r="K19" s="525"/>
      <c r="L19" s="514">
        <f t="shared" si="2"/>
        <v>0</v>
      </c>
      <c r="M19" s="525"/>
      <c r="N19" s="514">
        <f t="shared" si="3"/>
        <v>0</v>
      </c>
      <c r="O19" s="514">
        <f t="shared" si="4"/>
        <v>0</v>
      </c>
      <c r="P19" s="272"/>
    </row>
    <row r="20" spans="2:16">
      <c r="B20" s="195" t="str">
        <f t="shared" ref="B20:B72" si="8">IF(D20=F19,"","IU")</f>
        <v/>
      </c>
      <c r="C20" s="507">
        <f>IF(D11="","-",+C19+1)</f>
        <v>2011</v>
      </c>
      <c r="D20" s="523">
        <f t="shared" si="5"/>
        <v>0</v>
      </c>
      <c r="E20" s="522">
        <f>IF(+I14&lt;F19,I14,D20)</f>
        <v>0</v>
      </c>
      <c r="F20" s="523">
        <f t="shared" si="0"/>
        <v>0</v>
      </c>
      <c r="G20" s="524">
        <f t="shared" si="6"/>
        <v>0</v>
      </c>
      <c r="H20" s="491">
        <f t="shared" si="7"/>
        <v>0</v>
      </c>
      <c r="I20" s="511">
        <f t="shared" si="1"/>
        <v>0</v>
      </c>
      <c r="J20" s="511"/>
      <c r="K20" s="525"/>
      <c r="L20" s="514">
        <f t="shared" si="2"/>
        <v>0</v>
      </c>
      <c r="M20" s="525"/>
      <c r="N20" s="514">
        <f t="shared" si="3"/>
        <v>0</v>
      </c>
      <c r="O20" s="514">
        <f t="shared" si="4"/>
        <v>0</v>
      </c>
      <c r="P20" s="272"/>
    </row>
    <row r="21" spans="2:16">
      <c r="B21" s="195" t="str">
        <f t="shared" si="8"/>
        <v/>
      </c>
      <c r="C21" s="507">
        <f>IF(D12="","-",+C20+1)</f>
        <v>2012</v>
      </c>
      <c r="D21" s="523">
        <f t="shared" si="5"/>
        <v>0</v>
      </c>
      <c r="E21" s="522">
        <f>IF(+I14&lt;F20,I14,D21)</f>
        <v>0</v>
      </c>
      <c r="F21" s="523">
        <f t="shared" si="0"/>
        <v>0</v>
      </c>
      <c r="G21" s="524">
        <f t="shared" si="6"/>
        <v>0</v>
      </c>
      <c r="H21" s="491">
        <f t="shared" si="7"/>
        <v>0</v>
      </c>
      <c r="I21" s="511">
        <f t="shared" si="1"/>
        <v>0</v>
      </c>
      <c r="J21" s="511"/>
      <c r="K21" s="525"/>
      <c r="L21" s="514">
        <f t="shared" si="2"/>
        <v>0</v>
      </c>
      <c r="M21" s="525"/>
      <c r="N21" s="514">
        <f t="shared" si="3"/>
        <v>0</v>
      </c>
      <c r="O21" s="514">
        <f t="shared" si="4"/>
        <v>0</v>
      </c>
      <c r="P21" s="272"/>
    </row>
    <row r="22" spans="2:16">
      <c r="B22" s="195" t="str">
        <f t="shared" si="8"/>
        <v/>
      </c>
      <c r="C22" s="507">
        <f>IF(D11="","-",+C21+1)</f>
        <v>2013</v>
      </c>
      <c r="D22" s="523">
        <f t="shared" si="5"/>
        <v>0</v>
      </c>
      <c r="E22" s="522">
        <f>IF(+I14&lt;F21,I14,D22)</f>
        <v>0</v>
      </c>
      <c r="F22" s="523">
        <f t="shared" si="0"/>
        <v>0</v>
      </c>
      <c r="G22" s="524">
        <f t="shared" si="6"/>
        <v>0</v>
      </c>
      <c r="H22" s="491">
        <f t="shared" si="7"/>
        <v>0</v>
      </c>
      <c r="I22" s="511">
        <f t="shared" si="1"/>
        <v>0</v>
      </c>
      <c r="J22" s="511"/>
      <c r="K22" s="525"/>
      <c r="L22" s="514">
        <f t="shared" si="2"/>
        <v>0</v>
      </c>
      <c r="M22" s="525"/>
      <c r="N22" s="514">
        <f t="shared" si="3"/>
        <v>0</v>
      </c>
      <c r="O22" s="514">
        <f t="shared" si="4"/>
        <v>0</v>
      </c>
      <c r="P22" s="272"/>
    </row>
    <row r="23" spans="2:16">
      <c r="B23" s="195" t="str">
        <f t="shared" si="8"/>
        <v/>
      </c>
      <c r="C23" s="507">
        <f>IF(D11="","-",+C22+1)</f>
        <v>2014</v>
      </c>
      <c r="D23" s="523">
        <f t="shared" si="5"/>
        <v>0</v>
      </c>
      <c r="E23" s="522">
        <f>IF(+I14&lt;F22,I14,D23)</f>
        <v>0</v>
      </c>
      <c r="F23" s="523">
        <f t="shared" si="0"/>
        <v>0</v>
      </c>
      <c r="G23" s="524">
        <f t="shared" si="6"/>
        <v>0</v>
      </c>
      <c r="H23" s="491">
        <f t="shared" si="7"/>
        <v>0</v>
      </c>
      <c r="I23" s="511">
        <f t="shared" si="1"/>
        <v>0</v>
      </c>
      <c r="J23" s="511"/>
      <c r="K23" s="525"/>
      <c r="L23" s="514">
        <f t="shared" si="2"/>
        <v>0</v>
      </c>
      <c r="M23" s="525"/>
      <c r="N23" s="514">
        <f t="shared" si="3"/>
        <v>0</v>
      </c>
      <c r="O23" s="514">
        <f t="shared" si="4"/>
        <v>0</v>
      </c>
      <c r="P23" s="272"/>
    </row>
    <row r="24" spans="2:16">
      <c r="B24" s="195" t="str">
        <f t="shared" si="8"/>
        <v/>
      </c>
      <c r="C24" s="507">
        <f>IF(D11="","-",+C23+1)</f>
        <v>2015</v>
      </c>
      <c r="D24" s="523">
        <f t="shared" si="5"/>
        <v>0</v>
      </c>
      <c r="E24" s="522">
        <f>IF(+I14&lt;F23,I14,D24)</f>
        <v>0</v>
      </c>
      <c r="F24" s="523">
        <f t="shared" si="0"/>
        <v>0</v>
      </c>
      <c r="G24" s="524">
        <f t="shared" si="6"/>
        <v>0</v>
      </c>
      <c r="H24" s="491">
        <f t="shared" si="7"/>
        <v>0</v>
      </c>
      <c r="I24" s="511">
        <f t="shared" si="1"/>
        <v>0</v>
      </c>
      <c r="J24" s="511"/>
      <c r="K24" s="525"/>
      <c r="L24" s="514">
        <f t="shared" si="2"/>
        <v>0</v>
      </c>
      <c r="M24" s="525"/>
      <c r="N24" s="514">
        <f t="shared" si="3"/>
        <v>0</v>
      </c>
      <c r="O24" s="514">
        <f t="shared" si="4"/>
        <v>0</v>
      </c>
      <c r="P24" s="272"/>
    </row>
    <row r="25" spans="2:16">
      <c r="B25" s="195" t="str">
        <f t="shared" si="8"/>
        <v/>
      </c>
      <c r="C25" s="507">
        <f>IF(D11="","-",+C24+1)</f>
        <v>2016</v>
      </c>
      <c r="D25" s="523">
        <f>IF(F24+SUM(E$17:E24)=D$10,F24,D$10-SUM(E$17:E24))</f>
        <v>0</v>
      </c>
      <c r="E25" s="522">
        <f>IF(+I14&lt;F24,I14,D25)</f>
        <v>0</v>
      </c>
      <c r="F25" s="523">
        <f t="shared" si="0"/>
        <v>0</v>
      </c>
      <c r="G25" s="524">
        <f t="shared" si="6"/>
        <v>0</v>
      </c>
      <c r="H25" s="491">
        <f t="shared" si="7"/>
        <v>0</v>
      </c>
      <c r="I25" s="511">
        <f t="shared" si="1"/>
        <v>0</v>
      </c>
      <c r="J25" s="511"/>
      <c r="K25" s="525"/>
      <c r="L25" s="514">
        <f t="shared" si="2"/>
        <v>0</v>
      </c>
      <c r="M25" s="525"/>
      <c r="N25" s="514">
        <f t="shared" si="3"/>
        <v>0</v>
      </c>
      <c r="O25" s="514">
        <f t="shared" si="4"/>
        <v>0</v>
      </c>
      <c r="P25" s="272"/>
    </row>
    <row r="26" spans="2:16">
      <c r="B26" s="195" t="str">
        <f t="shared" si="8"/>
        <v/>
      </c>
      <c r="C26" s="507">
        <f>IF(D11="","-",+C25+1)</f>
        <v>2017</v>
      </c>
      <c r="D26" s="523">
        <f>IF(F25+SUM(E$17:E25)=D$10,F25,D$10-SUM(E$17:E25))</f>
        <v>0</v>
      </c>
      <c r="E26" s="522">
        <f>IF(+I14&lt;F25,I14,D26)</f>
        <v>0</v>
      </c>
      <c r="F26" s="523">
        <f t="shared" si="0"/>
        <v>0</v>
      </c>
      <c r="G26" s="524">
        <f t="shared" si="6"/>
        <v>0</v>
      </c>
      <c r="H26" s="491">
        <f t="shared" si="7"/>
        <v>0</v>
      </c>
      <c r="I26" s="511">
        <f t="shared" si="1"/>
        <v>0</v>
      </c>
      <c r="J26" s="511"/>
      <c r="K26" s="525"/>
      <c r="L26" s="514">
        <f t="shared" si="2"/>
        <v>0</v>
      </c>
      <c r="M26" s="525"/>
      <c r="N26" s="514">
        <f t="shared" si="3"/>
        <v>0</v>
      </c>
      <c r="O26" s="514">
        <f t="shared" si="4"/>
        <v>0</v>
      </c>
      <c r="P26" s="272"/>
    </row>
    <row r="27" spans="2:16">
      <c r="B27" s="195" t="str">
        <f t="shared" si="8"/>
        <v/>
      </c>
      <c r="C27" s="507">
        <f>IF(D11="","-",+C26+1)</f>
        <v>2018</v>
      </c>
      <c r="D27" s="521">
        <f>IF(F26+SUM(E$17:E26)=D$10,F26,D$10-SUM(E$17:E26))</f>
        <v>0</v>
      </c>
      <c r="E27" s="522">
        <f>IF(+I14&lt;F26,I14,D27)</f>
        <v>0</v>
      </c>
      <c r="F27" s="523">
        <f t="shared" si="0"/>
        <v>0</v>
      </c>
      <c r="G27" s="524">
        <f t="shared" si="6"/>
        <v>0</v>
      </c>
      <c r="H27" s="491">
        <f t="shared" si="7"/>
        <v>0</v>
      </c>
      <c r="I27" s="511">
        <f t="shared" si="1"/>
        <v>0</v>
      </c>
      <c r="J27" s="511"/>
      <c r="K27" s="525"/>
      <c r="L27" s="514">
        <f t="shared" si="2"/>
        <v>0</v>
      </c>
      <c r="M27" s="525"/>
      <c r="N27" s="514">
        <f t="shared" si="3"/>
        <v>0</v>
      </c>
      <c r="O27" s="514">
        <f t="shared" si="4"/>
        <v>0</v>
      </c>
      <c r="P27" s="272"/>
    </row>
    <row r="28" spans="2:16">
      <c r="B28" s="195" t="str">
        <f t="shared" si="8"/>
        <v/>
      </c>
      <c r="C28" s="507">
        <f>IF(D11="","-",+C27+1)</f>
        <v>2019</v>
      </c>
      <c r="D28" s="523">
        <f>IF(F27+SUM(E$17:E27)=D$10,F27,D$10-SUM(E$17:E27))</f>
        <v>0</v>
      </c>
      <c r="E28" s="522">
        <f>IF(+I14&lt;F27,I14,D28)</f>
        <v>0</v>
      </c>
      <c r="F28" s="523">
        <f t="shared" si="0"/>
        <v>0</v>
      </c>
      <c r="G28" s="524">
        <f t="shared" si="6"/>
        <v>0</v>
      </c>
      <c r="H28" s="491">
        <f t="shared" si="7"/>
        <v>0</v>
      </c>
      <c r="I28" s="511">
        <f t="shared" si="1"/>
        <v>0</v>
      </c>
      <c r="J28" s="511"/>
      <c r="K28" s="525"/>
      <c r="L28" s="514">
        <f t="shared" si="2"/>
        <v>0</v>
      </c>
      <c r="M28" s="525"/>
      <c r="N28" s="514">
        <f t="shared" si="3"/>
        <v>0</v>
      </c>
      <c r="O28" s="514">
        <f t="shared" si="4"/>
        <v>0</v>
      </c>
      <c r="P28" s="272"/>
    </row>
    <row r="29" spans="2:16">
      <c r="B29" s="195" t="str">
        <f t="shared" si="8"/>
        <v/>
      </c>
      <c r="C29" s="507">
        <f>IF(D11="","-",+C28+1)</f>
        <v>2020</v>
      </c>
      <c r="D29" s="523">
        <f>IF(F28+SUM(E$17:E28)=D$10,F28,D$10-SUM(E$17:E28))</f>
        <v>0</v>
      </c>
      <c r="E29" s="522">
        <f>IF(+I14&lt;F28,I14,D29)</f>
        <v>0</v>
      </c>
      <c r="F29" s="523">
        <f t="shared" si="0"/>
        <v>0</v>
      </c>
      <c r="G29" s="524">
        <f t="shared" si="6"/>
        <v>0</v>
      </c>
      <c r="H29" s="491">
        <f t="shared" si="7"/>
        <v>0</v>
      </c>
      <c r="I29" s="511">
        <f t="shared" si="1"/>
        <v>0</v>
      </c>
      <c r="J29" s="511"/>
      <c r="K29" s="525"/>
      <c r="L29" s="514">
        <f t="shared" si="2"/>
        <v>0</v>
      </c>
      <c r="M29" s="525"/>
      <c r="N29" s="514">
        <f t="shared" si="3"/>
        <v>0</v>
      </c>
      <c r="O29" s="514">
        <f t="shared" si="4"/>
        <v>0</v>
      </c>
      <c r="P29" s="272"/>
    </row>
    <row r="30" spans="2:16">
      <c r="B30" s="195" t="str">
        <f t="shared" si="8"/>
        <v/>
      </c>
      <c r="C30" s="507">
        <f>IF(D11="","-",+C29+1)</f>
        <v>2021</v>
      </c>
      <c r="D30" s="523">
        <f>IF(F29+SUM(E$17:E29)=D$10,F29,D$10-SUM(E$17:E29))</f>
        <v>0</v>
      </c>
      <c r="E30" s="522">
        <f>IF(+I14&lt;F29,I14,D30)</f>
        <v>0</v>
      </c>
      <c r="F30" s="523">
        <f t="shared" si="0"/>
        <v>0</v>
      </c>
      <c r="G30" s="524">
        <f t="shared" si="6"/>
        <v>0</v>
      </c>
      <c r="H30" s="491">
        <f t="shared" si="7"/>
        <v>0</v>
      </c>
      <c r="I30" s="511">
        <f t="shared" si="1"/>
        <v>0</v>
      </c>
      <c r="J30" s="511"/>
      <c r="K30" s="525"/>
      <c r="L30" s="514">
        <f t="shared" si="2"/>
        <v>0</v>
      </c>
      <c r="M30" s="525"/>
      <c r="N30" s="514">
        <f t="shared" si="3"/>
        <v>0</v>
      </c>
      <c r="O30" s="514">
        <f t="shared" si="4"/>
        <v>0</v>
      </c>
      <c r="P30" s="272"/>
    </row>
    <row r="31" spans="2:16">
      <c r="B31" s="195" t="str">
        <f t="shared" si="8"/>
        <v/>
      </c>
      <c r="C31" s="507">
        <f>IF(D11="","-",+C30+1)</f>
        <v>2022</v>
      </c>
      <c r="D31" s="523">
        <f>IF(F30+SUM(E$17:E30)=D$10,F30,D$10-SUM(E$17:E30))</f>
        <v>0</v>
      </c>
      <c r="E31" s="522">
        <f>IF(+I14&lt;F30,I14,D31)</f>
        <v>0</v>
      </c>
      <c r="F31" s="523">
        <f t="shared" si="0"/>
        <v>0</v>
      </c>
      <c r="G31" s="524">
        <f t="shared" si="6"/>
        <v>0</v>
      </c>
      <c r="H31" s="491">
        <f t="shared" si="7"/>
        <v>0</v>
      </c>
      <c r="I31" s="511">
        <f t="shared" si="1"/>
        <v>0</v>
      </c>
      <c r="J31" s="511"/>
      <c r="K31" s="525"/>
      <c r="L31" s="514">
        <f t="shared" si="2"/>
        <v>0</v>
      </c>
      <c r="M31" s="525"/>
      <c r="N31" s="514">
        <f t="shared" si="3"/>
        <v>0</v>
      </c>
      <c r="O31" s="514">
        <f t="shared" si="4"/>
        <v>0</v>
      </c>
      <c r="P31" s="272"/>
    </row>
    <row r="32" spans="2:16">
      <c r="B32" s="195" t="str">
        <f t="shared" si="8"/>
        <v/>
      </c>
      <c r="C32" s="612">
        <f>IF(D11="","-",+C31+1)</f>
        <v>2023</v>
      </c>
      <c r="D32" s="523">
        <f>IF(F31+SUM(E$17:E31)=D$10,F31,D$10-SUM(E$17:E31))</f>
        <v>0</v>
      </c>
      <c r="E32" s="522">
        <f>IF(+I14&lt;F31,I14,D32)</f>
        <v>0</v>
      </c>
      <c r="F32" s="523">
        <f t="shared" si="0"/>
        <v>0</v>
      </c>
      <c r="G32" s="524">
        <f t="shared" si="6"/>
        <v>0</v>
      </c>
      <c r="H32" s="491">
        <f t="shared" si="7"/>
        <v>0</v>
      </c>
      <c r="I32" s="511">
        <f t="shared" si="1"/>
        <v>0</v>
      </c>
      <c r="J32" s="511"/>
      <c r="K32" s="525"/>
      <c r="L32" s="514">
        <f t="shared" si="2"/>
        <v>0</v>
      </c>
      <c r="M32" s="525"/>
      <c r="N32" s="514">
        <f t="shared" si="3"/>
        <v>0</v>
      </c>
      <c r="O32" s="514">
        <f t="shared" si="4"/>
        <v>0</v>
      </c>
      <c r="P32" s="272"/>
    </row>
    <row r="33" spans="2:16">
      <c r="B33" s="195" t="str">
        <f t="shared" si="8"/>
        <v/>
      </c>
      <c r="C33" s="673">
        <f>IF(D11="","-",+C32+1)</f>
        <v>2024</v>
      </c>
      <c r="D33" s="523">
        <f>IF(F32+SUM(E$17:E32)=D$10,F32,D$10-SUM(E$17:E32))</f>
        <v>0</v>
      </c>
      <c r="E33" s="522">
        <f>IF(+I14&lt;F32,I14,D33)</f>
        <v>0</v>
      </c>
      <c r="F33" s="523">
        <f t="shared" si="0"/>
        <v>0</v>
      </c>
      <c r="G33" s="524">
        <f t="shared" si="6"/>
        <v>0</v>
      </c>
      <c r="H33" s="491">
        <f t="shared" si="7"/>
        <v>0</v>
      </c>
      <c r="I33" s="511">
        <f t="shared" si="1"/>
        <v>0</v>
      </c>
      <c r="J33" s="511"/>
      <c r="K33" s="525"/>
      <c r="L33" s="514">
        <f t="shared" si="2"/>
        <v>0</v>
      </c>
      <c r="M33" s="525"/>
      <c r="N33" s="514">
        <f t="shared" si="3"/>
        <v>0</v>
      </c>
      <c r="O33" s="514">
        <f t="shared" si="4"/>
        <v>0</v>
      </c>
      <c r="P33" s="272"/>
    </row>
    <row r="34" spans="2:16">
      <c r="B34" s="195" t="str">
        <f t="shared" si="8"/>
        <v/>
      </c>
      <c r="C34" s="507">
        <f>IF(D11="","-",+C33+1)</f>
        <v>2025</v>
      </c>
      <c r="D34" s="523">
        <f>IF(F33+SUM(E$17:E33)=D$10,F33,D$10-SUM(E$17:E33))</f>
        <v>0</v>
      </c>
      <c r="E34" s="522">
        <f>IF(+I14&lt;F33,I14,D34)</f>
        <v>0</v>
      </c>
      <c r="F34" s="523">
        <f t="shared" si="0"/>
        <v>0</v>
      </c>
      <c r="G34" s="524">
        <f t="shared" si="6"/>
        <v>0</v>
      </c>
      <c r="H34" s="491">
        <f t="shared" si="7"/>
        <v>0</v>
      </c>
      <c r="I34" s="511">
        <f t="shared" si="1"/>
        <v>0</v>
      </c>
      <c r="J34" s="511"/>
      <c r="K34" s="525"/>
      <c r="L34" s="514">
        <f t="shared" si="2"/>
        <v>0</v>
      </c>
      <c r="M34" s="525"/>
      <c r="N34" s="514">
        <f t="shared" si="3"/>
        <v>0</v>
      </c>
      <c r="O34" s="514">
        <f t="shared" si="4"/>
        <v>0</v>
      </c>
      <c r="P34" s="272"/>
    </row>
    <row r="35" spans="2:16">
      <c r="B35" s="195" t="str">
        <f t="shared" si="8"/>
        <v/>
      </c>
      <c r="C35" s="507">
        <f>IF(D11="","-",+C34+1)</f>
        <v>2026</v>
      </c>
      <c r="D35" s="523">
        <f>IF(F34+SUM(E$17:E34)=D$10,F34,D$10-SUM(E$17:E34))</f>
        <v>0</v>
      </c>
      <c r="E35" s="522">
        <f>IF(+I14&lt;F34,I14,D35)</f>
        <v>0</v>
      </c>
      <c r="F35" s="523">
        <f t="shared" si="0"/>
        <v>0</v>
      </c>
      <c r="G35" s="524">
        <f t="shared" si="6"/>
        <v>0</v>
      </c>
      <c r="H35" s="491">
        <f t="shared" si="7"/>
        <v>0</v>
      </c>
      <c r="I35" s="511">
        <f t="shared" si="1"/>
        <v>0</v>
      </c>
      <c r="J35" s="511"/>
      <c r="K35" s="525"/>
      <c r="L35" s="514">
        <f t="shared" si="2"/>
        <v>0</v>
      </c>
      <c r="M35" s="525"/>
      <c r="N35" s="514">
        <f t="shared" si="3"/>
        <v>0</v>
      </c>
      <c r="O35" s="514">
        <f t="shared" si="4"/>
        <v>0</v>
      </c>
      <c r="P35" s="272"/>
    </row>
    <row r="36" spans="2:16">
      <c r="B36" s="195" t="str">
        <f t="shared" si="8"/>
        <v/>
      </c>
      <c r="C36" s="507">
        <f>IF(D11="","-",+C35+1)</f>
        <v>2027</v>
      </c>
      <c r="D36" s="523">
        <f>IF(F35+SUM(E$17:E35)=D$10,F35,D$10-SUM(E$17:E35))</f>
        <v>0</v>
      </c>
      <c r="E36" s="522">
        <f>IF(+I14&lt;F35,I14,D36)</f>
        <v>0</v>
      </c>
      <c r="F36" s="523">
        <f t="shared" si="0"/>
        <v>0</v>
      </c>
      <c r="G36" s="524">
        <f t="shared" si="6"/>
        <v>0</v>
      </c>
      <c r="H36" s="491">
        <f t="shared" si="7"/>
        <v>0</v>
      </c>
      <c r="I36" s="511">
        <f t="shared" si="1"/>
        <v>0</v>
      </c>
      <c r="J36" s="511"/>
      <c r="K36" s="525"/>
      <c r="L36" s="514">
        <f t="shared" si="2"/>
        <v>0</v>
      </c>
      <c r="M36" s="525"/>
      <c r="N36" s="514">
        <f t="shared" si="3"/>
        <v>0</v>
      </c>
      <c r="O36" s="514">
        <f t="shared" si="4"/>
        <v>0</v>
      </c>
      <c r="P36" s="272"/>
    </row>
    <row r="37" spans="2:16">
      <c r="B37" s="195" t="str">
        <f t="shared" si="8"/>
        <v/>
      </c>
      <c r="C37" s="507">
        <f>IF(D11="","-",+C36+1)</f>
        <v>2028</v>
      </c>
      <c r="D37" s="523">
        <f>IF(F36+SUM(E$17:E36)=D$10,F36,D$10-SUM(E$17:E36))</f>
        <v>0</v>
      </c>
      <c r="E37" s="522">
        <f>IF(+I14&lt;F36,I14,D37)</f>
        <v>0</v>
      </c>
      <c r="F37" s="523">
        <f t="shared" si="0"/>
        <v>0</v>
      </c>
      <c r="G37" s="524">
        <f t="shared" si="6"/>
        <v>0</v>
      </c>
      <c r="H37" s="491">
        <f t="shared" si="7"/>
        <v>0</v>
      </c>
      <c r="I37" s="511">
        <f t="shared" si="1"/>
        <v>0</v>
      </c>
      <c r="J37" s="511"/>
      <c r="K37" s="525"/>
      <c r="L37" s="514">
        <f t="shared" si="2"/>
        <v>0</v>
      </c>
      <c r="M37" s="525"/>
      <c r="N37" s="514">
        <f t="shared" si="3"/>
        <v>0</v>
      </c>
      <c r="O37" s="514">
        <f t="shared" si="4"/>
        <v>0</v>
      </c>
      <c r="P37" s="272"/>
    </row>
    <row r="38" spans="2:16">
      <c r="B38" s="195" t="str">
        <f t="shared" si="8"/>
        <v/>
      </c>
      <c r="C38" s="507">
        <f>IF(D11="","-",+C37+1)</f>
        <v>2029</v>
      </c>
      <c r="D38" s="523">
        <f>IF(F37+SUM(E$17:E37)=D$10,F37,D$10-SUM(E$17:E37))</f>
        <v>0</v>
      </c>
      <c r="E38" s="522">
        <f>IF(+I14&lt;F37,I14,D38)</f>
        <v>0</v>
      </c>
      <c r="F38" s="523">
        <f t="shared" si="0"/>
        <v>0</v>
      </c>
      <c r="G38" s="524">
        <f t="shared" si="6"/>
        <v>0</v>
      </c>
      <c r="H38" s="491">
        <f t="shared" si="7"/>
        <v>0</v>
      </c>
      <c r="I38" s="511">
        <f t="shared" si="1"/>
        <v>0</v>
      </c>
      <c r="J38" s="511"/>
      <c r="K38" s="525"/>
      <c r="L38" s="514">
        <f t="shared" si="2"/>
        <v>0</v>
      </c>
      <c r="M38" s="525"/>
      <c r="N38" s="514">
        <f t="shared" si="3"/>
        <v>0</v>
      </c>
      <c r="O38" s="514">
        <f t="shared" si="4"/>
        <v>0</v>
      </c>
      <c r="P38" s="272"/>
    </row>
    <row r="39" spans="2:16">
      <c r="B39" s="195" t="str">
        <f t="shared" si="8"/>
        <v/>
      </c>
      <c r="C39" s="507">
        <f>IF(D11="","-",+C38+1)</f>
        <v>2030</v>
      </c>
      <c r="D39" s="523">
        <f>IF(F38+SUM(E$17:E38)=D$10,F38,D$10-SUM(E$17:E38))</f>
        <v>0</v>
      </c>
      <c r="E39" s="522">
        <f>IF(+I14&lt;F38,I14,D39)</f>
        <v>0</v>
      </c>
      <c r="F39" s="523">
        <f t="shared" si="0"/>
        <v>0</v>
      </c>
      <c r="G39" s="524">
        <f t="shared" si="6"/>
        <v>0</v>
      </c>
      <c r="H39" s="491">
        <f t="shared" si="7"/>
        <v>0</v>
      </c>
      <c r="I39" s="511">
        <f t="shared" si="1"/>
        <v>0</v>
      </c>
      <c r="J39" s="511"/>
      <c r="K39" s="525"/>
      <c r="L39" s="514">
        <f t="shared" si="2"/>
        <v>0</v>
      </c>
      <c r="M39" s="525"/>
      <c r="N39" s="514">
        <f t="shared" si="3"/>
        <v>0</v>
      </c>
      <c r="O39" s="514">
        <f t="shared" si="4"/>
        <v>0</v>
      </c>
      <c r="P39" s="272"/>
    </row>
    <row r="40" spans="2:16">
      <c r="B40" s="195" t="str">
        <f t="shared" si="8"/>
        <v/>
      </c>
      <c r="C40" s="507">
        <f>IF(D11="","-",+C39+1)</f>
        <v>2031</v>
      </c>
      <c r="D40" s="523">
        <f>IF(F39+SUM(E$17:E39)=D$10,F39,D$10-SUM(E$17:E39))</f>
        <v>0</v>
      </c>
      <c r="E40" s="522">
        <f>IF(+I14&lt;F39,I14,D40)</f>
        <v>0</v>
      </c>
      <c r="F40" s="523">
        <f t="shared" si="0"/>
        <v>0</v>
      </c>
      <c r="G40" s="524">
        <f t="shared" si="6"/>
        <v>0</v>
      </c>
      <c r="H40" s="491">
        <f t="shared" si="7"/>
        <v>0</v>
      </c>
      <c r="I40" s="511">
        <f t="shared" si="1"/>
        <v>0</v>
      </c>
      <c r="J40" s="511"/>
      <c r="K40" s="525"/>
      <c r="L40" s="514">
        <f t="shared" si="2"/>
        <v>0</v>
      </c>
      <c r="M40" s="525"/>
      <c r="N40" s="514">
        <f t="shared" si="3"/>
        <v>0</v>
      </c>
      <c r="O40" s="514">
        <f t="shared" si="4"/>
        <v>0</v>
      </c>
      <c r="P40" s="272"/>
    </row>
    <row r="41" spans="2:16">
      <c r="B41" s="195" t="str">
        <f t="shared" si="8"/>
        <v/>
      </c>
      <c r="C41" s="507">
        <f>IF(D11="","-",+C40+1)</f>
        <v>2032</v>
      </c>
      <c r="D41" s="523">
        <f>IF(F40+SUM(E$17:E40)=D$10,F40,D$10-SUM(E$17:E40))</f>
        <v>0</v>
      </c>
      <c r="E41" s="522">
        <f>IF(+I14&lt;F40,I14,D41)</f>
        <v>0</v>
      </c>
      <c r="F41" s="523">
        <f t="shared" si="0"/>
        <v>0</v>
      </c>
      <c r="G41" s="524">
        <f t="shared" si="6"/>
        <v>0</v>
      </c>
      <c r="H41" s="491">
        <f t="shared" si="7"/>
        <v>0</v>
      </c>
      <c r="I41" s="511">
        <f t="shared" si="1"/>
        <v>0</v>
      </c>
      <c r="J41" s="511"/>
      <c r="K41" s="525"/>
      <c r="L41" s="514">
        <f t="shared" si="2"/>
        <v>0</v>
      </c>
      <c r="M41" s="525"/>
      <c r="N41" s="514">
        <f t="shared" si="3"/>
        <v>0</v>
      </c>
      <c r="O41" s="514">
        <f t="shared" si="4"/>
        <v>0</v>
      </c>
      <c r="P41" s="272"/>
    </row>
    <row r="42" spans="2:16">
      <c r="B42" s="195" t="str">
        <f t="shared" si="8"/>
        <v/>
      </c>
      <c r="C42" s="507">
        <f>IF(D11="","-",+C41+1)</f>
        <v>2033</v>
      </c>
      <c r="D42" s="523">
        <f>IF(F41+SUM(E$17:E41)=D$10,F41,D$10-SUM(E$17:E41))</f>
        <v>0</v>
      </c>
      <c r="E42" s="522">
        <f>IF(+I14&lt;F41,I14,D42)</f>
        <v>0</v>
      </c>
      <c r="F42" s="523">
        <f t="shared" si="0"/>
        <v>0</v>
      </c>
      <c r="G42" s="524">
        <f t="shared" si="6"/>
        <v>0</v>
      </c>
      <c r="H42" s="491">
        <f t="shared" si="7"/>
        <v>0</v>
      </c>
      <c r="I42" s="511">
        <f t="shared" si="1"/>
        <v>0</v>
      </c>
      <c r="J42" s="511"/>
      <c r="K42" s="525"/>
      <c r="L42" s="514">
        <f t="shared" si="2"/>
        <v>0</v>
      </c>
      <c r="M42" s="525"/>
      <c r="N42" s="514">
        <f t="shared" si="3"/>
        <v>0</v>
      </c>
      <c r="O42" s="514">
        <f t="shared" si="4"/>
        <v>0</v>
      </c>
      <c r="P42" s="272"/>
    </row>
    <row r="43" spans="2:16">
      <c r="B43" s="195" t="str">
        <f t="shared" si="8"/>
        <v/>
      </c>
      <c r="C43" s="507">
        <f>IF(D11="","-",+C42+1)</f>
        <v>2034</v>
      </c>
      <c r="D43" s="523">
        <f>IF(F42+SUM(E$17:E42)=D$10,F42,D$10-SUM(E$17:E42))</f>
        <v>0</v>
      </c>
      <c r="E43" s="522">
        <f>IF(+I14&lt;F42,I14,D43)</f>
        <v>0</v>
      </c>
      <c r="F43" s="523">
        <f t="shared" si="0"/>
        <v>0</v>
      </c>
      <c r="G43" s="524">
        <f t="shared" si="6"/>
        <v>0</v>
      </c>
      <c r="H43" s="491">
        <f t="shared" si="7"/>
        <v>0</v>
      </c>
      <c r="I43" s="511">
        <f t="shared" si="1"/>
        <v>0</v>
      </c>
      <c r="J43" s="511"/>
      <c r="K43" s="525"/>
      <c r="L43" s="514">
        <f t="shared" si="2"/>
        <v>0</v>
      </c>
      <c r="M43" s="525"/>
      <c r="N43" s="514">
        <f t="shared" si="3"/>
        <v>0</v>
      </c>
      <c r="O43" s="514">
        <f t="shared" si="4"/>
        <v>0</v>
      </c>
      <c r="P43" s="272"/>
    </row>
    <row r="44" spans="2:16">
      <c r="B44" s="195" t="str">
        <f t="shared" si="8"/>
        <v/>
      </c>
      <c r="C44" s="507">
        <f>IF(D11="","-",+C43+1)</f>
        <v>2035</v>
      </c>
      <c r="D44" s="523">
        <f>IF(F43+SUM(E$17:E43)=D$10,F43,D$10-SUM(E$17:E43))</f>
        <v>0</v>
      </c>
      <c r="E44" s="522">
        <f>IF(+I14&lt;F43,I14,D44)</f>
        <v>0</v>
      </c>
      <c r="F44" s="523">
        <f t="shared" si="0"/>
        <v>0</v>
      </c>
      <c r="G44" s="524">
        <f t="shared" si="6"/>
        <v>0</v>
      </c>
      <c r="H44" s="491">
        <f t="shared" si="7"/>
        <v>0</v>
      </c>
      <c r="I44" s="511">
        <f t="shared" si="1"/>
        <v>0</v>
      </c>
      <c r="J44" s="511"/>
      <c r="K44" s="525"/>
      <c r="L44" s="514">
        <f t="shared" si="2"/>
        <v>0</v>
      </c>
      <c r="M44" s="525"/>
      <c r="N44" s="514">
        <f t="shared" si="3"/>
        <v>0</v>
      </c>
      <c r="O44" s="514">
        <f t="shared" si="4"/>
        <v>0</v>
      </c>
      <c r="P44" s="272"/>
    </row>
    <row r="45" spans="2:16">
      <c r="B45" s="195" t="str">
        <f t="shared" si="8"/>
        <v/>
      </c>
      <c r="C45" s="507">
        <f>IF(D11="","-",+C44+1)</f>
        <v>2036</v>
      </c>
      <c r="D45" s="523">
        <f>IF(F44+SUM(E$17:E44)=D$10,F44,D$10-SUM(E$17:E44))</f>
        <v>0</v>
      </c>
      <c r="E45" s="522">
        <f>IF(+I14&lt;F44,I14,D45)</f>
        <v>0</v>
      </c>
      <c r="F45" s="523">
        <f t="shared" si="0"/>
        <v>0</v>
      </c>
      <c r="G45" s="524">
        <f t="shared" si="6"/>
        <v>0</v>
      </c>
      <c r="H45" s="491">
        <f t="shared" si="7"/>
        <v>0</v>
      </c>
      <c r="I45" s="511">
        <f t="shared" si="1"/>
        <v>0</v>
      </c>
      <c r="J45" s="511"/>
      <c r="K45" s="525"/>
      <c r="L45" s="514">
        <f t="shared" si="2"/>
        <v>0</v>
      </c>
      <c r="M45" s="525"/>
      <c r="N45" s="514">
        <f t="shared" si="3"/>
        <v>0</v>
      </c>
      <c r="O45" s="514">
        <f t="shared" si="4"/>
        <v>0</v>
      </c>
      <c r="P45" s="272"/>
    </row>
    <row r="46" spans="2:16">
      <c r="B46" s="195" t="str">
        <f t="shared" si="8"/>
        <v/>
      </c>
      <c r="C46" s="507">
        <f>IF(D11="","-",+C45+1)</f>
        <v>2037</v>
      </c>
      <c r="D46" s="523">
        <f>IF(F45+SUM(E$17:E45)=D$10,F45,D$10-SUM(E$17:E45))</f>
        <v>0</v>
      </c>
      <c r="E46" s="522">
        <f>IF(+I14&lt;F45,I14,D46)</f>
        <v>0</v>
      </c>
      <c r="F46" s="523">
        <f t="shared" si="0"/>
        <v>0</v>
      </c>
      <c r="G46" s="524">
        <f t="shared" si="6"/>
        <v>0</v>
      </c>
      <c r="H46" s="491">
        <f t="shared" si="7"/>
        <v>0</v>
      </c>
      <c r="I46" s="511">
        <f t="shared" si="1"/>
        <v>0</v>
      </c>
      <c r="J46" s="511"/>
      <c r="K46" s="525"/>
      <c r="L46" s="514">
        <f t="shared" si="2"/>
        <v>0</v>
      </c>
      <c r="M46" s="525"/>
      <c r="N46" s="514">
        <f t="shared" si="3"/>
        <v>0</v>
      </c>
      <c r="O46" s="514">
        <f t="shared" si="4"/>
        <v>0</v>
      </c>
      <c r="P46" s="272"/>
    </row>
    <row r="47" spans="2:16">
      <c r="B47" s="195" t="str">
        <f t="shared" si="8"/>
        <v/>
      </c>
      <c r="C47" s="507">
        <f>IF(D11="","-",+C46+1)</f>
        <v>2038</v>
      </c>
      <c r="D47" s="523">
        <f>IF(F46+SUM(E$17:E46)=D$10,F46,D$10-SUM(E$17:E46))</f>
        <v>0</v>
      </c>
      <c r="E47" s="522">
        <f>IF(+I14&lt;F46,I14,D47)</f>
        <v>0</v>
      </c>
      <c r="F47" s="523">
        <f t="shared" si="0"/>
        <v>0</v>
      </c>
      <c r="G47" s="524">
        <f t="shared" si="6"/>
        <v>0</v>
      </c>
      <c r="H47" s="491">
        <f t="shared" si="7"/>
        <v>0</v>
      </c>
      <c r="I47" s="511">
        <f t="shared" si="1"/>
        <v>0</v>
      </c>
      <c r="J47" s="511"/>
      <c r="K47" s="525"/>
      <c r="L47" s="514">
        <f t="shared" si="2"/>
        <v>0</v>
      </c>
      <c r="M47" s="525"/>
      <c r="N47" s="514">
        <f t="shared" si="3"/>
        <v>0</v>
      </c>
      <c r="O47" s="514">
        <f t="shared" si="4"/>
        <v>0</v>
      </c>
      <c r="P47" s="272"/>
    </row>
    <row r="48" spans="2:16">
      <c r="B48" s="195" t="str">
        <f t="shared" si="8"/>
        <v/>
      </c>
      <c r="C48" s="507">
        <f>IF(D11="","-",+C47+1)</f>
        <v>2039</v>
      </c>
      <c r="D48" s="523">
        <f>IF(F47+SUM(E$17:E47)=D$10,F47,D$10-SUM(E$17:E47))</f>
        <v>0</v>
      </c>
      <c r="E48" s="522">
        <f>IF(+I14&lt;F47,I14,D48)</f>
        <v>0</v>
      </c>
      <c r="F48" s="523">
        <f t="shared" si="0"/>
        <v>0</v>
      </c>
      <c r="G48" s="524">
        <f t="shared" si="6"/>
        <v>0</v>
      </c>
      <c r="H48" s="491">
        <f t="shared" si="7"/>
        <v>0</v>
      </c>
      <c r="I48" s="511">
        <f t="shared" si="1"/>
        <v>0</v>
      </c>
      <c r="J48" s="511"/>
      <c r="K48" s="525"/>
      <c r="L48" s="514">
        <f t="shared" si="2"/>
        <v>0</v>
      </c>
      <c r="M48" s="525"/>
      <c r="N48" s="514">
        <f t="shared" si="3"/>
        <v>0</v>
      </c>
      <c r="O48" s="514">
        <f t="shared" si="4"/>
        <v>0</v>
      </c>
      <c r="P48" s="272"/>
    </row>
    <row r="49" spans="2:17">
      <c r="B49" s="195" t="str">
        <f t="shared" si="8"/>
        <v/>
      </c>
      <c r="C49" s="507">
        <f>IF(D11="","-",+C48+1)</f>
        <v>2040</v>
      </c>
      <c r="D49" s="523">
        <f>IF(F48+SUM(E$17:E48)=D$10,F48,D$10-SUM(E$17:E48))</f>
        <v>0</v>
      </c>
      <c r="E49" s="522">
        <f>IF(+I14&lt;F48,I14,D49)</f>
        <v>0</v>
      </c>
      <c r="F49" s="523">
        <f t="shared" ref="F49:F72" si="9">+D49-E49</f>
        <v>0</v>
      </c>
      <c r="G49" s="524">
        <f t="shared" si="6"/>
        <v>0</v>
      </c>
      <c r="H49" s="491">
        <f t="shared" si="7"/>
        <v>0</v>
      </c>
      <c r="I49" s="511">
        <f t="shared" ref="I49:I72" si="10">H49-G49</f>
        <v>0</v>
      </c>
      <c r="J49" s="511"/>
      <c r="K49" s="525"/>
      <c r="L49" s="514">
        <f t="shared" ref="L49:L72" si="11">IF(K49&lt;&gt;0,+G49-K49,0)</f>
        <v>0</v>
      </c>
      <c r="M49" s="525"/>
      <c r="N49" s="514">
        <f t="shared" ref="N49:N72" si="12">IF(M49&lt;&gt;0,+H49-M49,0)</f>
        <v>0</v>
      </c>
      <c r="O49" s="514">
        <f t="shared" ref="O49:O72" si="13">+N49-L49</f>
        <v>0</v>
      </c>
      <c r="P49" s="272"/>
    </row>
    <row r="50" spans="2:17">
      <c r="B50" s="195" t="str">
        <f t="shared" si="8"/>
        <v/>
      </c>
      <c r="C50" s="507">
        <f>IF(D11="","-",+C49+1)</f>
        <v>2041</v>
      </c>
      <c r="D50" s="523">
        <f>IF(F49+SUM(E$17:E49)=D$10,F49,D$10-SUM(E$17:E49))</f>
        <v>0</v>
      </c>
      <c r="E50" s="522">
        <f>IF(+I14&lt;F49,I14,D50)</f>
        <v>0</v>
      </c>
      <c r="F50" s="523">
        <f t="shared" si="9"/>
        <v>0</v>
      </c>
      <c r="G50" s="524">
        <f t="shared" si="6"/>
        <v>0</v>
      </c>
      <c r="H50" s="491">
        <f t="shared" si="7"/>
        <v>0</v>
      </c>
      <c r="I50" s="511">
        <f t="shared" si="10"/>
        <v>0</v>
      </c>
      <c r="J50" s="511"/>
      <c r="K50" s="525"/>
      <c r="L50" s="514">
        <f t="shared" si="11"/>
        <v>0</v>
      </c>
      <c r="M50" s="525"/>
      <c r="N50" s="514">
        <f t="shared" si="12"/>
        <v>0</v>
      </c>
      <c r="O50" s="514">
        <f t="shared" si="13"/>
        <v>0</v>
      </c>
      <c r="P50" s="272"/>
    </row>
    <row r="51" spans="2:17">
      <c r="B51" s="195" t="str">
        <f t="shared" si="8"/>
        <v/>
      </c>
      <c r="C51" s="507">
        <f>IF(D11="","-",+C50+1)</f>
        <v>2042</v>
      </c>
      <c r="D51" s="523">
        <f>IF(F50+SUM(E$17:E50)=D$10,F50,D$10-SUM(E$17:E50))</f>
        <v>0</v>
      </c>
      <c r="E51" s="522">
        <f>IF(+I14&lt;F50,I14,D51)</f>
        <v>0</v>
      </c>
      <c r="F51" s="523">
        <f t="shared" si="9"/>
        <v>0</v>
      </c>
      <c r="G51" s="524">
        <f t="shared" si="6"/>
        <v>0</v>
      </c>
      <c r="H51" s="491">
        <f t="shared" si="7"/>
        <v>0</v>
      </c>
      <c r="I51" s="511">
        <f t="shared" si="10"/>
        <v>0</v>
      </c>
      <c r="J51" s="511"/>
      <c r="K51" s="525"/>
      <c r="L51" s="514">
        <f t="shared" si="11"/>
        <v>0</v>
      </c>
      <c r="M51" s="525"/>
      <c r="N51" s="514">
        <f t="shared" si="12"/>
        <v>0</v>
      </c>
      <c r="O51" s="514">
        <f t="shared" si="13"/>
        <v>0</v>
      </c>
      <c r="P51" s="272"/>
    </row>
    <row r="52" spans="2:17">
      <c r="B52" s="195" t="str">
        <f t="shared" si="8"/>
        <v/>
      </c>
      <c r="C52" s="507">
        <f>IF(D11="","-",+C51+1)</f>
        <v>2043</v>
      </c>
      <c r="D52" s="523">
        <f>IF(F51+SUM(E$17:E51)=D$10,F51,D$10-SUM(E$17:E51))</f>
        <v>0</v>
      </c>
      <c r="E52" s="522">
        <f>IF(+I14&lt;F51,I14,D52)</f>
        <v>0</v>
      </c>
      <c r="F52" s="523">
        <f t="shared" si="9"/>
        <v>0</v>
      </c>
      <c r="G52" s="524">
        <f t="shared" si="6"/>
        <v>0</v>
      </c>
      <c r="H52" s="491">
        <f t="shared" si="7"/>
        <v>0</v>
      </c>
      <c r="I52" s="511">
        <f t="shared" si="10"/>
        <v>0</v>
      </c>
      <c r="J52" s="511"/>
      <c r="K52" s="525"/>
      <c r="L52" s="514">
        <f t="shared" si="11"/>
        <v>0</v>
      </c>
      <c r="M52" s="525"/>
      <c r="N52" s="514">
        <f t="shared" si="12"/>
        <v>0</v>
      </c>
      <c r="O52" s="514">
        <f t="shared" si="13"/>
        <v>0</v>
      </c>
      <c r="P52" s="272"/>
    </row>
    <row r="53" spans="2:17">
      <c r="B53" s="195" t="str">
        <f t="shared" si="8"/>
        <v/>
      </c>
      <c r="C53" s="507">
        <f>IF(D11="","-",+C52+1)</f>
        <v>2044</v>
      </c>
      <c r="D53" s="523">
        <f>IF(F52+SUM(E$17:E52)=D$10,F52,D$10-SUM(E$17:E52))</f>
        <v>0</v>
      </c>
      <c r="E53" s="522">
        <f>IF(+I14&lt;F52,I14,D53)</f>
        <v>0</v>
      </c>
      <c r="F53" s="523">
        <f t="shared" si="9"/>
        <v>0</v>
      </c>
      <c r="G53" s="524">
        <f t="shared" si="6"/>
        <v>0</v>
      </c>
      <c r="H53" s="491">
        <f t="shared" si="7"/>
        <v>0</v>
      </c>
      <c r="I53" s="511">
        <f t="shared" si="10"/>
        <v>0</v>
      </c>
      <c r="J53" s="511"/>
      <c r="K53" s="525"/>
      <c r="L53" s="514">
        <f t="shared" si="11"/>
        <v>0</v>
      </c>
      <c r="M53" s="525"/>
      <c r="N53" s="514">
        <f t="shared" si="12"/>
        <v>0</v>
      </c>
      <c r="O53" s="514">
        <f t="shared" si="13"/>
        <v>0</v>
      </c>
      <c r="P53" s="272"/>
    </row>
    <row r="54" spans="2:17">
      <c r="B54" s="195" t="str">
        <f t="shared" si="8"/>
        <v/>
      </c>
      <c r="C54" s="507">
        <f>IF(D11="","-",+C53+1)</f>
        <v>2045</v>
      </c>
      <c r="D54" s="523">
        <f>IF(F53+SUM(E$17:E53)=D$10,F53,D$10-SUM(E$17:E53))</f>
        <v>0</v>
      </c>
      <c r="E54" s="522">
        <f>IF(+I14&lt;F53,I14,D54)</f>
        <v>0</v>
      </c>
      <c r="F54" s="523">
        <f t="shared" si="9"/>
        <v>0</v>
      </c>
      <c r="G54" s="524">
        <f t="shared" si="6"/>
        <v>0</v>
      </c>
      <c r="H54" s="491">
        <f t="shared" si="7"/>
        <v>0</v>
      </c>
      <c r="I54" s="511">
        <f t="shared" si="10"/>
        <v>0</v>
      </c>
      <c r="J54" s="511"/>
      <c r="K54" s="525"/>
      <c r="L54" s="514">
        <f t="shared" si="11"/>
        <v>0</v>
      </c>
      <c r="M54" s="525"/>
      <c r="N54" s="514">
        <f t="shared" si="12"/>
        <v>0</v>
      </c>
      <c r="O54" s="514">
        <f t="shared" si="13"/>
        <v>0</v>
      </c>
      <c r="P54" s="272"/>
    </row>
    <row r="55" spans="2:17">
      <c r="B55" s="195" t="str">
        <f t="shared" si="8"/>
        <v/>
      </c>
      <c r="C55" s="507">
        <f>IF(D11="","-",+C54+1)</f>
        <v>2046</v>
      </c>
      <c r="D55" s="523">
        <f>IF(F54+SUM(E$17:E54)=D$10,F54,D$10-SUM(E$17:E54))</f>
        <v>0</v>
      </c>
      <c r="E55" s="522">
        <f>IF(+I14&lt;F54,I14,D55)</f>
        <v>0</v>
      </c>
      <c r="F55" s="523">
        <f t="shared" si="9"/>
        <v>0</v>
      </c>
      <c r="G55" s="524">
        <f t="shared" si="6"/>
        <v>0</v>
      </c>
      <c r="H55" s="491">
        <f t="shared" si="7"/>
        <v>0</v>
      </c>
      <c r="I55" s="511">
        <f t="shared" si="10"/>
        <v>0</v>
      </c>
      <c r="J55" s="511"/>
      <c r="K55" s="525"/>
      <c r="L55" s="514">
        <f t="shared" si="11"/>
        <v>0</v>
      </c>
      <c r="M55" s="525"/>
      <c r="N55" s="514">
        <f t="shared" si="12"/>
        <v>0</v>
      </c>
      <c r="O55" s="514">
        <f t="shared" si="13"/>
        <v>0</v>
      </c>
      <c r="P55" s="272"/>
    </row>
    <row r="56" spans="2:17">
      <c r="B56" s="195" t="str">
        <f t="shared" si="8"/>
        <v/>
      </c>
      <c r="C56" s="507">
        <f>IF(D11="","-",+C55+1)</f>
        <v>2047</v>
      </c>
      <c r="D56" s="523">
        <f>IF(F55+SUM(E$17:E55)=D$10,F55,D$10-SUM(E$17:E55))</f>
        <v>0</v>
      </c>
      <c r="E56" s="522">
        <f>IF(+I14&lt;F55,I14,D56)</f>
        <v>0</v>
      </c>
      <c r="F56" s="523">
        <f t="shared" si="9"/>
        <v>0</v>
      </c>
      <c r="G56" s="524">
        <f t="shared" si="6"/>
        <v>0</v>
      </c>
      <c r="H56" s="491">
        <f t="shared" si="7"/>
        <v>0</v>
      </c>
      <c r="I56" s="511">
        <f t="shared" si="10"/>
        <v>0</v>
      </c>
      <c r="J56" s="511"/>
      <c r="K56" s="525"/>
      <c r="L56" s="514">
        <f t="shared" si="11"/>
        <v>0</v>
      </c>
      <c r="M56" s="525"/>
      <c r="N56" s="514">
        <f t="shared" si="12"/>
        <v>0</v>
      </c>
      <c r="O56" s="514">
        <f t="shared" si="13"/>
        <v>0</v>
      </c>
      <c r="P56" s="272"/>
    </row>
    <row r="57" spans="2:17">
      <c r="B57" s="195" t="str">
        <f t="shared" si="8"/>
        <v/>
      </c>
      <c r="C57" s="507">
        <f>IF(D11="","-",+C56+1)</f>
        <v>2048</v>
      </c>
      <c r="D57" s="523">
        <f>IF(F56+SUM(E$17:E56)=D$10,F56,D$10-SUM(E$17:E56))</f>
        <v>0</v>
      </c>
      <c r="E57" s="522">
        <f>IF(+I14&lt;F56,I14,D57)</f>
        <v>0</v>
      </c>
      <c r="F57" s="523">
        <f t="shared" si="9"/>
        <v>0</v>
      </c>
      <c r="G57" s="524">
        <f t="shared" si="6"/>
        <v>0</v>
      </c>
      <c r="H57" s="491">
        <f t="shared" si="7"/>
        <v>0</v>
      </c>
      <c r="I57" s="511">
        <f t="shared" si="10"/>
        <v>0</v>
      </c>
      <c r="J57" s="511"/>
      <c r="K57" s="525"/>
      <c r="L57" s="514">
        <f t="shared" si="11"/>
        <v>0</v>
      </c>
      <c r="M57" s="525"/>
      <c r="N57" s="514">
        <f t="shared" si="12"/>
        <v>0</v>
      </c>
      <c r="O57" s="514">
        <f t="shared" si="13"/>
        <v>0</v>
      </c>
      <c r="P57" s="272"/>
    </row>
    <row r="58" spans="2:17">
      <c r="B58" s="195" t="str">
        <f t="shared" si="8"/>
        <v/>
      </c>
      <c r="C58" s="507">
        <f>IF(D11="","-",+C57+1)</f>
        <v>2049</v>
      </c>
      <c r="D58" s="523">
        <f>IF(F57+SUM(E$17:E57)=D$10,F57,D$10-SUM(E$17:E57))</f>
        <v>0</v>
      </c>
      <c r="E58" s="522">
        <f>IF(+I14&lt;F57,I14,D58)</f>
        <v>0</v>
      </c>
      <c r="F58" s="523">
        <f t="shared" si="9"/>
        <v>0</v>
      </c>
      <c r="G58" s="524">
        <f t="shared" si="6"/>
        <v>0</v>
      </c>
      <c r="H58" s="491">
        <f t="shared" si="7"/>
        <v>0</v>
      </c>
      <c r="I58" s="511">
        <f t="shared" si="10"/>
        <v>0</v>
      </c>
      <c r="J58" s="511"/>
      <c r="K58" s="525"/>
      <c r="L58" s="514">
        <f t="shared" si="11"/>
        <v>0</v>
      </c>
      <c r="M58" s="525"/>
      <c r="N58" s="514">
        <f t="shared" si="12"/>
        <v>0</v>
      </c>
      <c r="O58" s="514">
        <f t="shared" si="13"/>
        <v>0</v>
      </c>
      <c r="P58" s="272"/>
      <c r="Q58" s="183" t="str">
        <f>IF(ROUND(Q57,0)=ROUND(SUM(Q18:Q56),0),"","Error -- check allocations above).")</f>
        <v/>
      </c>
    </row>
    <row r="59" spans="2:17">
      <c r="B59" s="195" t="str">
        <f t="shared" si="8"/>
        <v/>
      </c>
      <c r="C59" s="507">
        <f>IF(D11="","-",+C58+1)</f>
        <v>2050</v>
      </c>
      <c r="D59" s="523">
        <f>IF(F58+SUM(E$17:E58)=D$10,F58,D$10-SUM(E$17:E58))</f>
        <v>0</v>
      </c>
      <c r="E59" s="522">
        <f>IF(+I14&lt;F58,I14,D59)</f>
        <v>0</v>
      </c>
      <c r="F59" s="523">
        <f t="shared" si="9"/>
        <v>0</v>
      </c>
      <c r="G59" s="524">
        <f t="shared" si="6"/>
        <v>0</v>
      </c>
      <c r="H59" s="491">
        <f t="shared" si="7"/>
        <v>0</v>
      </c>
      <c r="I59" s="511">
        <f t="shared" si="10"/>
        <v>0</v>
      </c>
      <c r="J59" s="511"/>
      <c r="K59" s="525"/>
      <c r="L59" s="514">
        <f t="shared" si="11"/>
        <v>0</v>
      </c>
      <c r="M59" s="525"/>
      <c r="N59" s="514">
        <f t="shared" si="12"/>
        <v>0</v>
      </c>
      <c r="O59" s="514">
        <f t="shared" si="13"/>
        <v>0</v>
      </c>
      <c r="P59" s="272"/>
    </row>
    <row r="60" spans="2:17">
      <c r="B60" s="195" t="str">
        <f t="shared" si="8"/>
        <v/>
      </c>
      <c r="C60" s="507">
        <f>IF(D11="","-",+C59+1)</f>
        <v>2051</v>
      </c>
      <c r="D60" s="523">
        <f>IF(F59+SUM(E$17:E59)=D$10,F59,D$10-SUM(E$17:E59))</f>
        <v>0</v>
      </c>
      <c r="E60" s="522">
        <f>IF(+I14&lt;F59,I14,D60)</f>
        <v>0</v>
      </c>
      <c r="F60" s="523">
        <f t="shared" si="9"/>
        <v>0</v>
      </c>
      <c r="G60" s="524">
        <f t="shared" si="6"/>
        <v>0</v>
      </c>
      <c r="H60" s="491">
        <f t="shared" si="7"/>
        <v>0</v>
      </c>
      <c r="I60" s="511">
        <f t="shared" si="10"/>
        <v>0</v>
      </c>
      <c r="J60" s="511"/>
      <c r="K60" s="525"/>
      <c r="L60" s="514">
        <f t="shared" si="11"/>
        <v>0</v>
      </c>
      <c r="M60" s="525"/>
      <c r="N60" s="514">
        <f t="shared" si="12"/>
        <v>0</v>
      </c>
      <c r="O60" s="514">
        <f t="shared" si="13"/>
        <v>0</v>
      </c>
      <c r="P60" s="272"/>
    </row>
    <row r="61" spans="2:17">
      <c r="B61" s="195" t="str">
        <f t="shared" si="8"/>
        <v/>
      </c>
      <c r="C61" s="507">
        <f>IF(D11="","-",+C60+1)</f>
        <v>2052</v>
      </c>
      <c r="D61" s="523">
        <f>IF(F60+SUM(E$17:E60)=D$10,F60,D$10-SUM(E$17:E60))</f>
        <v>0</v>
      </c>
      <c r="E61" s="522">
        <f>IF(+I14&lt;F60,I14,D61)</f>
        <v>0</v>
      </c>
      <c r="F61" s="523">
        <f t="shared" si="9"/>
        <v>0</v>
      </c>
      <c r="G61" s="526">
        <f t="shared" si="6"/>
        <v>0</v>
      </c>
      <c r="H61" s="491">
        <f t="shared" si="7"/>
        <v>0</v>
      </c>
      <c r="I61" s="511">
        <f t="shared" si="10"/>
        <v>0</v>
      </c>
      <c r="J61" s="511"/>
      <c r="K61" s="525"/>
      <c r="L61" s="514">
        <f t="shared" si="11"/>
        <v>0</v>
      </c>
      <c r="M61" s="525"/>
      <c r="N61" s="514">
        <f t="shared" si="12"/>
        <v>0</v>
      </c>
      <c r="O61" s="514">
        <f t="shared" si="13"/>
        <v>0</v>
      </c>
      <c r="P61" s="272"/>
    </row>
    <row r="62" spans="2:17">
      <c r="B62" s="195" t="str">
        <f t="shared" si="8"/>
        <v/>
      </c>
      <c r="C62" s="507">
        <f>IF(D11="","-",+C61+1)</f>
        <v>2053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9"/>
        <v>0</v>
      </c>
      <c r="G62" s="526">
        <f t="shared" si="6"/>
        <v>0</v>
      </c>
      <c r="H62" s="491">
        <f t="shared" si="7"/>
        <v>0</v>
      </c>
      <c r="I62" s="511">
        <f t="shared" si="10"/>
        <v>0</v>
      </c>
      <c r="J62" s="511"/>
      <c r="K62" s="525"/>
      <c r="L62" s="514">
        <f t="shared" si="11"/>
        <v>0</v>
      </c>
      <c r="M62" s="525"/>
      <c r="N62" s="514">
        <f t="shared" si="12"/>
        <v>0</v>
      </c>
      <c r="O62" s="514">
        <f t="shared" si="13"/>
        <v>0</v>
      </c>
      <c r="P62" s="272"/>
    </row>
    <row r="63" spans="2:17">
      <c r="B63" s="195" t="str">
        <f t="shared" si="8"/>
        <v/>
      </c>
      <c r="C63" s="507">
        <f>IF(D11="","-",+C62+1)</f>
        <v>2054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9"/>
        <v>0</v>
      </c>
      <c r="G63" s="526">
        <f t="shared" si="6"/>
        <v>0</v>
      </c>
      <c r="H63" s="491">
        <f t="shared" si="7"/>
        <v>0</v>
      </c>
      <c r="I63" s="511">
        <f t="shared" si="10"/>
        <v>0</v>
      </c>
      <c r="J63" s="511"/>
      <c r="K63" s="525"/>
      <c r="L63" s="514">
        <f t="shared" si="11"/>
        <v>0</v>
      </c>
      <c r="M63" s="525"/>
      <c r="N63" s="514">
        <f t="shared" si="12"/>
        <v>0</v>
      </c>
      <c r="O63" s="514">
        <f t="shared" si="13"/>
        <v>0</v>
      </c>
      <c r="P63" s="272"/>
    </row>
    <row r="64" spans="2:17">
      <c r="B64" s="195" t="str">
        <f t="shared" si="8"/>
        <v/>
      </c>
      <c r="C64" s="507">
        <f>IF(D11="","-",+C63+1)</f>
        <v>2055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9"/>
        <v>0</v>
      </c>
      <c r="G64" s="526">
        <f t="shared" si="6"/>
        <v>0</v>
      </c>
      <c r="H64" s="491">
        <f t="shared" si="7"/>
        <v>0</v>
      </c>
      <c r="I64" s="511">
        <f t="shared" si="10"/>
        <v>0</v>
      </c>
      <c r="J64" s="511"/>
      <c r="K64" s="525"/>
      <c r="L64" s="514">
        <f t="shared" si="11"/>
        <v>0</v>
      </c>
      <c r="M64" s="525"/>
      <c r="N64" s="514">
        <f t="shared" si="12"/>
        <v>0</v>
      </c>
      <c r="O64" s="514">
        <f t="shared" si="13"/>
        <v>0</v>
      </c>
      <c r="P64" s="272"/>
    </row>
    <row r="65" spans="1:16">
      <c r="B65" s="195" t="str">
        <f t="shared" si="8"/>
        <v/>
      </c>
      <c r="C65" s="507">
        <f>IF(D11="","-",+C64+1)</f>
        <v>2056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9"/>
        <v>0</v>
      </c>
      <c r="G65" s="526">
        <f t="shared" si="6"/>
        <v>0</v>
      </c>
      <c r="H65" s="491">
        <f t="shared" si="7"/>
        <v>0</v>
      </c>
      <c r="I65" s="511">
        <f t="shared" si="10"/>
        <v>0</v>
      </c>
      <c r="J65" s="511"/>
      <c r="K65" s="525"/>
      <c r="L65" s="514">
        <f t="shared" si="11"/>
        <v>0</v>
      </c>
      <c r="M65" s="525"/>
      <c r="N65" s="514">
        <f t="shared" si="12"/>
        <v>0</v>
      </c>
      <c r="O65" s="514">
        <f t="shared" si="13"/>
        <v>0</v>
      </c>
      <c r="P65" s="272"/>
    </row>
    <row r="66" spans="1:16">
      <c r="B66" s="195" t="str">
        <f t="shared" si="8"/>
        <v/>
      </c>
      <c r="C66" s="507">
        <f>IF(D11="","-",+C65+1)</f>
        <v>2057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9"/>
        <v>0</v>
      </c>
      <c r="G66" s="526">
        <f t="shared" si="6"/>
        <v>0</v>
      </c>
      <c r="H66" s="491">
        <f t="shared" si="7"/>
        <v>0</v>
      </c>
      <c r="I66" s="511">
        <f t="shared" si="10"/>
        <v>0</v>
      </c>
      <c r="J66" s="511"/>
      <c r="K66" s="525"/>
      <c r="L66" s="514">
        <f t="shared" si="11"/>
        <v>0</v>
      </c>
      <c r="M66" s="525"/>
      <c r="N66" s="514">
        <f t="shared" si="12"/>
        <v>0</v>
      </c>
      <c r="O66" s="514">
        <f t="shared" si="13"/>
        <v>0</v>
      </c>
      <c r="P66" s="272"/>
    </row>
    <row r="67" spans="1:16">
      <c r="B67" s="195" t="str">
        <f t="shared" si="8"/>
        <v/>
      </c>
      <c r="C67" s="507">
        <f>IF(D11="","-",+C66+1)</f>
        <v>2058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9"/>
        <v>0</v>
      </c>
      <c r="G67" s="526">
        <f t="shared" si="6"/>
        <v>0</v>
      </c>
      <c r="H67" s="491">
        <f t="shared" si="7"/>
        <v>0</v>
      </c>
      <c r="I67" s="511">
        <f t="shared" si="10"/>
        <v>0</v>
      </c>
      <c r="J67" s="511"/>
      <c r="K67" s="525"/>
      <c r="L67" s="514">
        <f t="shared" si="11"/>
        <v>0</v>
      </c>
      <c r="M67" s="525"/>
      <c r="N67" s="514">
        <f t="shared" si="12"/>
        <v>0</v>
      </c>
      <c r="O67" s="514">
        <f t="shared" si="13"/>
        <v>0</v>
      </c>
      <c r="P67" s="272"/>
    </row>
    <row r="68" spans="1:16">
      <c r="B68" s="195" t="str">
        <f t="shared" si="8"/>
        <v/>
      </c>
      <c r="C68" s="507">
        <f>IF(D11="","-",+C67+1)</f>
        <v>2059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9"/>
        <v>0</v>
      </c>
      <c r="G68" s="526">
        <f t="shared" si="6"/>
        <v>0</v>
      </c>
      <c r="H68" s="491">
        <f t="shared" si="7"/>
        <v>0</v>
      </c>
      <c r="I68" s="511">
        <f t="shared" si="10"/>
        <v>0</v>
      </c>
      <c r="J68" s="511"/>
      <c r="K68" s="525"/>
      <c r="L68" s="514">
        <f t="shared" si="11"/>
        <v>0</v>
      </c>
      <c r="M68" s="525"/>
      <c r="N68" s="514">
        <f t="shared" si="12"/>
        <v>0</v>
      </c>
      <c r="O68" s="514">
        <f t="shared" si="13"/>
        <v>0</v>
      </c>
      <c r="P68" s="272"/>
    </row>
    <row r="69" spans="1:16">
      <c r="B69" s="195" t="str">
        <f t="shared" si="8"/>
        <v/>
      </c>
      <c r="C69" s="507">
        <f>IF(D11="","-",+C68+1)</f>
        <v>2060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9"/>
        <v>0</v>
      </c>
      <c r="G69" s="526">
        <f t="shared" si="6"/>
        <v>0</v>
      </c>
      <c r="H69" s="491">
        <f t="shared" si="7"/>
        <v>0</v>
      </c>
      <c r="I69" s="511">
        <f t="shared" si="10"/>
        <v>0</v>
      </c>
      <c r="J69" s="511"/>
      <c r="K69" s="525"/>
      <c r="L69" s="514">
        <f t="shared" si="11"/>
        <v>0</v>
      </c>
      <c r="M69" s="525"/>
      <c r="N69" s="514">
        <f t="shared" si="12"/>
        <v>0</v>
      </c>
      <c r="O69" s="514">
        <f t="shared" si="13"/>
        <v>0</v>
      </c>
      <c r="P69" s="272"/>
    </row>
    <row r="70" spans="1:16">
      <c r="B70" s="195" t="str">
        <f t="shared" si="8"/>
        <v/>
      </c>
      <c r="C70" s="507">
        <f>IF(D11="","-",+C69+1)</f>
        <v>2061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9"/>
        <v>0</v>
      </c>
      <c r="G70" s="526">
        <f t="shared" si="6"/>
        <v>0</v>
      </c>
      <c r="H70" s="491">
        <f t="shared" si="7"/>
        <v>0</v>
      </c>
      <c r="I70" s="511">
        <f t="shared" si="10"/>
        <v>0</v>
      </c>
      <c r="J70" s="511"/>
      <c r="K70" s="525"/>
      <c r="L70" s="514">
        <f t="shared" si="11"/>
        <v>0</v>
      </c>
      <c r="M70" s="525"/>
      <c r="N70" s="514">
        <f t="shared" si="12"/>
        <v>0</v>
      </c>
      <c r="O70" s="514">
        <f t="shared" si="13"/>
        <v>0</v>
      </c>
      <c r="P70" s="272"/>
    </row>
    <row r="71" spans="1:16">
      <c r="B71" s="195" t="str">
        <f t="shared" si="8"/>
        <v/>
      </c>
      <c r="C71" s="507">
        <f>IF(D11="","-",+C70+1)</f>
        <v>2062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9"/>
        <v>0</v>
      </c>
      <c r="G71" s="526">
        <f t="shared" si="6"/>
        <v>0</v>
      </c>
      <c r="H71" s="491">
        <f t="shared" si="7"/>
        <v>0</v>
      </c>
      <c r="I71" s="511">
        <f t="shared" si="10"/>
        <v>0</v>
      </c>
      <c r="J71" s="511"/>
      <c r="K71" s="525"/>
      <c r="L71" s="514">
        <f t="shared" si="11"/>
        <v>0</v>
      </c>
      <c r="M71" s="525"/>
      <c r="N71" s="514">
        <f t="shared" si="12"/>
        <v>0</v>
      </c>
      <c r="O71" s="514">
        <f t="shared" si="13"/>
        <v>0</v>
      </c>
      <c r="P71" s="272"/>
    </row>
    <row r="72" spans="1:16" ht="13.5" thickBot="1">
      <c r="B72" s="195" t="str">
        <f t="shared" si="8"/>
        <v/>
      </c>
      <c r="C72" s="527">
        <f>IF(D11="","-",+C71+1)</f>
        <v>2063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9"/>
        <v>0</v>
      </c>
      <c r="G72" s="530">
        <f t="shared" si="6"/>
        <v>0</v>
      </c>
      <c r="H72" s="471">
        <f t="shared" si="7"/>
        <v>0</v>
      </c>
      <c r="I72" s="531">
        <f t="shared" si="10"/>
        <v>0</v>
      </c>
      <c r="J72" s="511"/>
      <c r="K72" s="532"/>
      <c r="L72" s="533">
        <f t="shared" si="11"/>
        <v>0</v>
      </c>
      <c r="M72" s="532"/>
      <c r="N72" s="533">
        <f t="shared" si="12"/>
        <v>0</v>
      </c>
      <c r="O72" s="533">
        <f t="shared" si="13"/>
        <v>0</v>
      </c>
      <c r="P72" s="272"/>
    </row>
    <row r="73" spans="1:16">
      <c r="C73" s="374" t="s">
        <v>78</v>
      </c>
      <c r="D73" s="375"/>
      <c r="E73" s="375">
        <f>SUM(E17:E72)</f>
        <v>0</v>
      </c>
      <c r="F73" s="375"/>
      <c r="G73" s="375">
        <f>SUM(G17:G72)</f>
        <v>0</v>
      </c>
      <c r="H73" s="375">
        <f>SUM(H17:H72)</f>
        <v>0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1:16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1:16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1:16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1:16" ht="18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535"/>
      <c r="P77" s="272"/>
    </row>
    <row r="78" spans="1:16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1:16" ht="15">
      <c r="A79" s="536"/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</row>
    <row r="80" spans="1:16" ht="18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7">
      <c r="B81" s="269"/>
      <c r="C81" s="537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7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  <c r="Q82" s="269"/>
    </row>
    <row r="83" spans="1:17" ht="20.25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535" t="str">
        <f ca="1">P1</f>
        <v>SWEPCO Project 10 of 75</v>
      </c>
      <c r="Q83" s="269"/>
    </row>
    <row r="84" spans="1:17" ht="18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454" t="s">
        <v>128</v>
      </c>
      <c r="Q84" s="269"/>
    </row>
    <row r="85" spans="1:17" ht="18.7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  <c r="Q85" s="269"/>
    </row>
    <row r="86" spans="1:17" ht="15.75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2022</v>
      </c>
      <c r="M86" s="541" t="s">
        <v>9</v>
      </c>
      <c r="N86" s="542" t="s">
        <v>159</v>
      </c>
      <c r="O86" s="543" t="s">
        <v>11</v>
      </c>
      <c r="P86" s="269"/>
      <c r="Q86" s="269"/>
    </row>
    <row r="87" spans="1:17" ht="1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391</v>
      </c>
      <c r="M87" s="546">
        <f>IF(J92&lt;D11,0,VLOOKUP(J92,C17:O72,9))</f>
        <v>0</v>
      </c>
      <c r="N87" s="546">
        <f>IF(J92&lt;D11,0,VLOOKUP(J92,C17:O72,11))</f>
        <v>0</v>
      </c>
      <c r="O87" s="547">
        <f>+N87-M87</f>
        <v>0</v>
      </c>
      <c r="P87" s="269"/>
      <c r="Q87" s="269"/>
    </row>
    <row r="88" spans="1:17" ht="15.7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392</v>
      </c>
      <c r="M88" s="550">
        <f>IF(J92&lt;D11,0,VLOOKUP(J92,C99:P154,6))</f>
        <v>0</v>
      </c>
      <c r="N88" s="550">
        <f>IF(J92&lt;D11,0,VLOOKUP(J92,C99:P154,7))</f>
        <v>0</v>
      </c>
      <c r="O88" s="551">
        <f>+N88-M88</f>
        <v>0</v>
      </c>
      <c r="P88" s="269"/>
      <c r="Q88" s="269"/>
    </row>
    <row r="89" spans="1:17" ht="13.5" thickBot="1">
      <c r="C89" s="467" t="s">
        <v>84</v>
      </c>
      <c r="D89" s="552" t="str">
        <f>+D7</f>
        <v>Tontitown - Elm Springs REC 161 kV line***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0</v>
      </c>
      <c r="N89" s="555">
        <f>+N88-N87</f>
        <v>0</v>
      </c>
      <c r="O89" s="556">
        <f>+O88-O87</f>
        <v>0</v>
      </c>
      <c r="P89" s="269"/>
      <c r="Q89" s="269"/>
    </row>
    <row r="90" spans="1:17" ht="13.5" thickBot="1">
      <c r="C90" s="534"/>
      <c r="D90" s="557" t="str">
        <f>D8</f>
        <v>DOES NOT MEET SPP $100,000 MINIMUM INVESTMENT FOR REGIONAL BPU SHARING.</v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  <c r="Q90" s="269"/>
    </row>
    <row r="91" spans="1:17" ht="13.5" thickBot="1">
      <c r="A91" s="191"/>
      <c r="C91" s="558" t="s">
        <v>85</v>
      </c>
      <c r="D91" s="559" t="str">
        <f>+D9</f>
        <v>TP2007103</v>
      </c>
      <c r="E91" s="560"/>
      <c r="F91" s="560"/>
      <c r="G91" s="560"/>
      <c r="H91" s="560"/>
      <c r="I91" s="560"/>
      <c r="J91" s="561"/>
      <c r="K91" s="562"/>
      <c r="P91" s="481"/>
      <c r="Q91" s="269"/>
    </row>
    <row r="92" spans="1:17">
      <c r="C92" s="486" t="s">
        <v>51</v>
      </c>
      <c r="D92" s="564">
        <f>IF(D11=I10,0,D10)</f>
        <v>0</v>
      </c>
      <c r="E92" s="340" t="s">
        <v>86</v>
      </c>
      <c r="H92" s="484"/>
      <c r="I92" s="484"/>
      <c r="J92" s="485">
        <f>+'SWE.WS.G.BPU.ATRR.True-up'!M16</f>
        <v>2022</v>
      </c>
      <c r="K92" s="480"/>
      <c r="L92" s="375" t="s">
        <v>87</v>
      </c>
      <c r="P92" s="272"/>
      <c r="Q92" s="269"/>
    </row>
    <row r="93" spans="1:17">
      <c r="C93" s="486" t="s">
        <v>54</v>
      </c>
      <c r="D93" s="563">
        <f>IF(D11=I10,"",D11)</f>
        <v>2008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  <c r="Q93" s="269"/>
    </row>
    <row r="94" spans="1:17">
      <c r="C94" s="486" t="s">
        <v>56</v>
      </c>
      <c r="D94" s="564">
        <f>IF(D11=I10,"",D12)</f>
        <v>11</v>
      </c>
      <c r="E94" s="486" t="s">
        <v>57</v>
      </c>
      <c r="F94" s="484"/>
      <c r="G94" s="484"/>
      <c r="J94" s="490">
        <f>'SWE.WS.G.BPU.ATRR.True-up'!$F$81</f>
        <v>0.11351422637179906</v>
      </c>
      <c r="K94" s="425"/>
      <c r="L94" s="183" t="s">
        <v>88</v>
      </c>
      <c r="P94" s="272"/>
      <c r="Q94" s="269"/>
    </row>
    <row r="95" spans="1:17">
      <c r="C95" s="486" t="s">
        <v>59</v>
      </c>
      <c r="D95" s="488">
        <f>'SWE.WS.G.BPU.ATRR.True-up'!F$93</f>
        <v>41</v>
      </c>
      <c r="E95" s="486" t="s">
        <v>60</v>
      </c>
      <c r="F95" s="484"/>
      <c r="G95" s="484"/>
      <c r="J95" s="490">
        <f>IF(H87="",J94,'SWE.WS.G.BPU.ATRR.True-up'!$F$80)</f>
        <v>0.11351422637179906</v>
      </c>
      <c r="K95" s="324"/>
      <c r="L95" s="375" t="s">
        <v>61</v>
      </c>
      <c r="M95" s="324"/>
      <c r="N95" s="324"/>
      <c r="O95" s="324"/>
      <c r="P95" s="272"/>
      <c r="Q95" s="269"/>
    </row>
    <row r="96" spans="1:17" ht="13.5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0</v>
      </c>
      <c r="K96" s="375"/>
      <c r="L96" s="375"/>
      <c r="M96" s="375"/>
      <c r="N96" s="375"/>
      <c r="O96" s="375"/>
      <c r="P96" s="272"/>
      <c r="Q96" s="269"/>
    </row>
    <row r="97" spans="1:17" ht="38.25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388</v>
      </c>
      <c r="I97" s="495" t="s">
        <v>389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  <c r="Q97" s="269"/>
    </row>
    <row r="98" spans="1:17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602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  <c r="Q98" s="269"/>
    </row>
    <row r="99" spans="1:17">
      <c r="C99" s="507">
        <f>IF(D93= "","-",D93)</f>
        <v>2008</v>
      </c>
      <c r="D99" s="374">
        <f>IF(D93=C99,0,D92)</f>
        <v>0</v>
      </c>
      <c r="E99" s="524">
        <f>IF(D11=I10,0,J96/12*(12-D94))</f>
        <v>0</v>
      </c>
      <c r="F99" s="523">
        <f>IF(D93=C99,+D92-E99,+D99-E99)</f>
        <v>0</v>
      </c>
      <c r="G99" s="603">
        <f t="shared" ref="G99:G130" si="14">+(F99+D99)/2</f>
        <v>0</v>
      </c>
      <c r="H99" s="604">
        <f t="shared" ref="H99:H112" si="15">+J$94*G99+E99</f>
        <v>0</v>
      </c>
      <c r="I99" s="605">
        <f t="shared" ref="I99:I112" si="16">+J$95*G99+E99</f>
        <v>0</v>
      </c>
      <c r="J99" s="514">
        <f t="shared" ref="J99:J130" si="17">+I99-H99</f>
        <v>0</v>
      </c>
      <c r="K99" s="514"/>
      <c r="L99" s="512">
        <v>0</v>
      </c>
      <c r="M99" s="513">
        <f t="shared" ref="M99:M130" si="18">IF(L99&lt;&gt;0,+H99-L99,0)</f>
        <v>0</v>
      </c>
      <c r="N99" s="512">
        <v>0</v>
      </c>
      <c r="O99" s="513">
        <f t="shared" ref="O99:O130" si="19">IF(N99&lt;&gt;0,+I99-N99,0)</f>
        <v>0</v>
      </c>
      <c r="P99" s="513">
        <f t="shared" ref="P99:P130" si="20">+O99-M99</f>
        <v>0</v>
      </c>
      <c r="Q99" s="269"/>
    </row>
    <row r="100" spans="1:17">
      <c r="B100" s="195" t="str">
        <f>IF(D100=F99,"","IU")</f>
        <v/>
      </c>
      <c r="C100" s="507">
        <f>IF(D93="","-",+C99+1)</f>
        <v>2009</v>
      </c>
      <c r="D100" s="374">
        <f t="shared" ref="D100:D109" si="21">F99</f>
        <v>0</v>
      </c>
      <c r="E100" s="522">
        <f>IF(+J96&lt;F99,J96,D100)</f>
        <v>0</v>
      </c>
      <c r="F100" s="523">
        <f t="shared" ref="F100:F130" si="22">+D100-E100</f>
        <v>0</v>
      </c>
      <c r="G100" s="523">
        <f t="shared" si="14"/>
        <v>0</v>
      </c>
      <c r="H100" s="526">
        <f t="shared" si="15"/>
        <v>0</v>
      </c>
      <c r="I100" s="577">
        <f t="shared" si="16"/>
        <v>0</v>
      </c>
      <c r="J100" s="514">
        <f t="shared" si="17"/>
        <v>0</v>
      </c>
      <c r="K100" s="514"/>
      <c r="L100" s="518">
        <v>0</v>
      </c>
      <c r="M100" s="514">
        <f t="shared" si="18"/>
        <v>0</v>
      </c>
      <c r="N100" s="518">
        <v>0</v>
      </c>
      <c r="O100" s="514">
        <f t="shared" si="19"/>
        <v>0</v>
      </c>
      <c r="P100" s="514">
        <f t="shared" si="20"/>
        <v>0</v>
      </c>
      <c r="Q100" s="269"/>
    </row>
    <row r="101" spans="1:17">
      <c r="B101" s="195" t="str">
        <f t="shared" ref="B101:B154" si="23">IF(D101=F100,"","IU")</f>
        <v/>
      </c>
      <c r="C101" s="507">
        <f>IF(D93="","-",+C100+1)</f>
        <v>2010</v>
      </c>
      <c r="D101" s="374">
        <f t="shared" si="21"/>
        <v>0</v>
      </c>
      <c r="E101" s="522">
        <f>IF(+J96&lt;F100,J96,D101)</f>
        <v>0</v>
      </c>
      <c r="F101" s="523">
        <f t="shared" si="22"/>
        <v>0</v>
      </c>
      <c r="G101" s="523">
        <f t="shared" si="14"/>
        <v>0</v>
      </c>
      <c r="H101" s="526">
        <f t="shared" si="15"/>
        <v>0</v>
      </c>
      <c r="I101" s="577">
        <f t="shared" si="16"/>
        <v>0</v>
      </c>
      <c r="J101" s="514">
        <f t="shared" si="17"/>
        <v>0</v>
      </c>
      <c r="K101" s="514"/>
      <c r="L101" s="525"/>
      <c r="M101" s="514">
        <f t="shared" si="18"/>
        <v>0</v>
      </c>
      <c r="N101" s="525"/>
      <c r="O101" s="514">
        <f t="shared" si="19"/>
        <v>0</v>
      </c>
      <c r="P101" s="514">
        <f t="shared" si="20"/>
        <v>0</v>
      </c>
      <c r="Q101" s="269"/>
    </row>
    <row r="102" spans="1:17">
      <c r="B102" s="195" t="str">
        <f t="shared" si="23"/>
        <v/>
      </c>
      <c r="C102" s="507">
        <f>IF(D93="","-",+C101+1)</f>
        <v>2011</v>
      </c>
      <c r="D102" s="374">
        <f t="shared" si="21"/>
        <v>0</v>
      </c>
      <c r="E102" s="522">
        <f>IF(+J96&lt;F101,J96,D102)</f>
        <v>0</v>
      </c>
      <c r="F102" s="523">
        <f t="shared" si="22"/>
        <v>0</v>
      </c>
      <c r="G102" s="523">
        <f t="shared" si="14"/>
        <v>0</v>
      </c>
      <c r="H102" s="526">
        <f t="shared" si="15"/>
        <v>0</v>
      </c>
      <c r="I102" s="577">
        <f t="shared" si="16"/>
        <v>0</v>
      </c>
      <c r="J102" s="514">
        <f t="shared" si="17"/>
        <v>0</v>
      </c>
      <c r="K102" s="514"/>
      <c r="L102" s="525"/>
      <c r="M102" s="514">
        <f t="shared" si="18"/>
        <v>0</v>
      </c>
      <c r="N102" s="525"/>
      <c r="O102" s="514">
        <f t="shared" si="19"/>
        <v>0</v>
      </c>
      <c r="P102" s="514">
        <f t="shared" si="20"/>
        <v>0</v>
      </c>
      <c r="Q102" s="269"/>
    </row>
    <row r="103" spans="1:17">
      <c r="B103" s="195" t="str">
        <f t="shared" si="23"/>
        <v/>
      </c>
      <c r="C103" s="507">
        <f>IF(D93="","-",+C102+1)</f>
        <v>2012</v>
      </c>
      <c r="D103" s="374">
        <f t="shared" si="21"/>
        <v>0</v>
      </c>
      <c r="E103" s="522">
        <f>IF(+J96&lt;F102,J96,D103)</f>
        <v>0</v>
      </c>
      <c r="F103" s="523">
        <f t="shared" si="22"/>
        <v>0</v>
      </c>
      <c r="G103" s="523">
        <f t="shared" si="14"/>
        <v>0</v>
      </c>
      <c r="H103" s="526">
        <f t="shared" si="15"/>
        <v>0</v>
      </c>
      <c r="I103" s="577">
        <f t="shared" si="16"/>
        <v>0</v>
      </c>
      <c r="J103" s="514">
        <f t="shared" si="17"/>
        <v>0</v>
      </c>
      <c r="K103" s="514"/>
      <c r="L103" s="525"/>
      <c r="M103" s="514">
        <f t="shared" si="18"/>
        <v>0</v>
      </c>
      <c r="N103" s="525"/>
      <c r="O103" s="514">
        <f t="shared" si="19"/>
        <v>0</v>
      </c>
      <c r="P103" s="514">
        <f t="shared" si="20"/>
        <v>0</v>
      </c>
      <c r="Q103" s="269"/>
    </row>
    <row r="104" spans="1:17">
      <c r="B104" s="195" t="str">
        <f t="shared" si="23"/>
        <v/>
      </c>
      <c r="C104" s="507">
        <f>IF(D93="","-",+C103+1)</f>
        <v>2013</v>
      </c>
      <c r="D104" s="374">
        <f t="shared" si="21"/>
        <v>0</v>
      </c>
      <c r="E104" s="522">
        <f>IF(+J96&lt;F103,J96,D104)</f>
        <v>0</v>
      </c>
      <c r="F104" s="523">
        <f t="shared" si="22"/>
        <v>0</v>
      </c>
      <c r="G104" s="523">
        <f t="shared" si="14"/>
        <v>0</v>
      </c>
      <c r="H104" s="526">
        <f t="shared" si="15"/>
        <v>0</v>
      </c>
      <c r="I104" s="577">
        <f t="shared" si="16"/>
        <v>0</v>
      </c>
      <c r="J104" s="514">
        <f t="shared" si="17"/>
        <v>0</v>
      </c>
      <c r="K104" s="514"/>
      <c r="L104" s="525"/>
      <c r="M104" s="514">
        <f t="shared" si="18"/>
        <v>0</v>
      </c>
      <c r="N104" s="525"/>
      <c r="O104" s="514">
        <f t="shared" si="19"/>
        <v>0</v>
      </c>
      <c r="P104" s="514">
        <f t="shared" si="20"/>
        <v>0</v>
      </c>
      <c r="Q104" s="269"/>
    </row>
    <row r="105" spans="1:17">
      <c r="B105" s="195" t="str">
        <f t="shared" si="23"/>
        <v/>
      </c>
      <c r="C105" s="507">
        <f>IF(D93="","-",+C104+1)</f>
        <v>2014</v>
      </c>
      <c r="D105" s="374">
        <f t="shared" si="21"/>
        <v>0</v>
      </c>
      <c r="E105" s="522">
        <f>IF(+J96&lt;F104,J96,D105)</f>
        <v>0</v>
      </c>
      <c r="F105" s="523">
        <f t="shared" si="22"/>
        <v>0</v>
      </c>
      <c r="G105" s="523">
        <f t="shared" si="14"/>
        <v>0</v>
      </c>
      <c r="H105" s="526">
        <f t="shared" si="15"/>
        <v>0</v>
      </c>
      <c r="I105" s="577">
        <f t="shared" si="16"/>
        <v>0</v>
      </c>
      <c r="J105" s="514">
        <f t="shared" si="17"/>
        <v>0</v>
      </c>
      <c r="K105" s="514"/>
      <c r="L105" s="525"/>
      <c r="M105" s="514">
        <f t="shared" si="18"/>
        <v>0</v>
      </c>
      <c r="N105" s="525"/>
      <c r="O105" s="514">
        <f t="shared" si="19"/>
        <v>0</v>
      </c>
      <c r="P105" s="514">
        <f t="shared" si="20"/>
        <v>0</v>
      </c>
      <c r="Q105" s="269"/>
    </row>
    <row r="106" spans="1:17">
      <c r="B106" s="195" t="str">
        <f t="shared" si="23"/>
        <v/>
      </c>
      <c r="C106" s="507">
        <f>IF(D93="","-",+C105+1)</f>
        <v>2015</v>
      </c>
      <c r="D106" s="374">
        <f t="shared" si="21"/>
        <v>0</v>
      </c>
      <c r="E106" s="522">
        <f>IF(+J96&lt;F105,J96,D106)</f>
        <v>0</v>
      </c>
      <c r="F106" s="523">
        <f t="shared" si="22"/>
        <v>0</v>
      </c>
      <c r="G106" s="523">
        <f t="shared" si="14"/>
        <v>0</v>
      </c>
      <c r="H106" s="526">
        <f t="shared" si="15"/>
        <v>0</v>
      </c>
      <c r="I106" s="577">
        <f t="shared" si="16"/>
        <v>0</v>
      </c>
      <c r="J106" s="514">
        <f t="shared" si="17"/>
        <v>0</v>
      </c>
      <c r="K106" s="514"/>
      <c r="L106" s="525"/>
      <c r="M106" s="514">
        <f t="shared" si="18"/>
        <v>0</v>
      </c>
      <c r="N106" s="525"/>
      <c r="O106" s="514">
        <f t="shared" si="19"/>
        <v>0</v>
      </c>
      <c r="P106" s="514">
        <f t="shared" si="20"/>
        <v>0</v>
      </c>
      <c r="Q106" s="269"/>
    </row>
    <row r="107" spans="1:17">
      <c r="B107" s="195" t="str">
        <f t="shared" si="23"/>
        <v/>
      </c>
      <c r="C107" s="507">
        <f>IF(D93="","-",+C106+1)</f>
        <v>2016</v>
      </c>
      <c r="D107" s="374">
        <f t="shared" si="21"/>
        <v>0</v>
      </c>
      <c r="E107" s="522">
        <f>IF(+J96&lt;F106,J96,D107)</f>
        <v>0</v>
      </c>
      <c r="F107" s="523">
        <f t="shared" si="22"/>
        <v>0</v>
      </c>
      <c r="G107" s="523">
        <f t="shared" si="14"/>
        <v>0</v>
      </c>
      <c r="H107" s="526">
        <f t="shared" si="15"/>
        <v>0</v>
      </c>
      <c r="I107" s="577">
        <f t="shared" si="16"/>
        <v>0</v>
      </c>
      <c r="J107" s="514">
        <f t="shared" si="17"/>
        <v>0</v>
      </c>
      <c r="K107" s="514"/>
      <c r="L107" s="525"/>
      <c r="M107" s="514">
        <f t="shared" si="18"/>
        <v>0</v>
      </c>
      <c r="N107" s="525"/>
      <c r="O107" s="514">
        <f t="shared" si="19"/>
        <v>0</v>
      </c>
      <c r="P107" s="514">
        <f t="shared" si="20"/>
        <v>0</v>
      </c>
      <c r="Q107" s="269"/>
    </row>
    <row r="108" spans="1:17">
      <c r="B108" s="195" t="str">
        <f t="shared" si="23"/>
        <v/>
      </c>
      <c r="C108" s="507">
        <f>IF(D93="","-",+C107+1)</f>
        <v>2017</v>
      </c>
      <c r="D108" s="374">
        <f t="shared" si="21"/>
        <v>0</v>
      </c>
      <c r="E108" s="522">
        <f>IF(+J96&lt;F107,J96,D108)</f>
        <v>0</v>
      </c>
      <c r="F108" s="523">
        <f t="shared" si="22"/>
        <v>0</v>
      </c>
      <c r="G108" s="523">
        <f t="shared" si="14"/>
        <v>0</v>
      </c>
      <c r="H108" s="526">
        <f t="shared" si="15"/>
        <v>0</v>
      </c>
      <c r="I108" s="577">
        <f t="shared" si="16"/>
        <v>0</v>
      </c>
      <c r="J108" s="514">
        <f t="shared" si="17"/>
        <v>0</v>
      </c>
      <c r="K108" s="514"/>
      <c r="L108" s="525"/>
      <c r="M108" s="514">
        <f t="shared" si="18"/>
        <v>0</v>
      </c>
      <c r="N108" s="525"/>
      <c r="O108" s="514">
        <f t="shared" si="19"/>
        <v>0</v>
      </c>
      <c r="P108" s="514">
        <f t="shared" si="20"/>
        <v>0</v>
      </c>
      <c r="Q108" s="269"/>
    </row>
    <row r="109" spans="1:17">
      <c r="B109" s="195" t="str">
        <f t="shared" si="23"/>
        <v/>
      </c>
      <c r="C109" s="507">
        <f>IF(D93="","-",+C108+1)</f>
        <v>2018</v>
      </c>
      <c r="D109" s="374">
        <f t="shared" si="21"/>
        <v>0</v>
      </c>
      <c r="E109" s="522">
        <f>IF(+J96&lt;F108,J96,D109)</f>
        <v>0</v>
      </c>
      <c r="F109" s="523">
        <f t="shared" si="22"/>
        <v>0</v>
      </c>
      <c r="G109" s="523">
        <f t="shared" si="14"/>
        <v>0</v>
      </c>
      <c r="H109" s="526">
        <f t="shared" si="15"/>
        <v>0</v>
      </c>
      <c r="I109" s="577">
        <f t="shared" si="16"/>
        <v>0</v>
      </c>
      <c r="J109" s="514">
        <f t="shared" si="17"/>
        <v>0</v>
      </c>
      <c r="K109" s="514"/>
      <c r="L109" s="525"/>
      <c r="M109" s="514">
        <f t="shared" si="18"/>
        <v>0</v>
      </c>
      <c r="N109" s="525"/>
      <c r="O109" s="514">
        <f t="shared" si="19"/>
        <v>0</v>
      </c>
      <c r="P109" s="514">
        <f t="shared" si="20"/>
        <v>0</v>
      </c>
      <c r="Q109" s="269"/>
    </row>
    <row r="110" spans="1:17">
      <c r="B110" s="195" t="str">
        <f t="shared" si="23"/>
        <v/>
      </c>
      <c r="C110" s="507">
        <f>IF(D93="","-",+C109+1)</f>
        <v>2019</v>
      </c>
      <c r="D110" s="374">
        <f>IF(F109+SUM(E$99:E109)=D$92,F109,D$92-SUM(E$99:E109))</f>
        <v>0</v>
      </c>
      <c r="E110" s="522">
        <f>IF(+J96&lt;F109,J96,D110)</f>
        <v>0</v>
      </c>
      <c r="F110" s="523">
        <f t="shared" si="22"/>
        <v>0</v>
      </c>
      <c r="G110" s="523">
        <f t="shared" si="14"/>
        <v>0</v>
      </c>
      <c r="H110" s="526">
        <f t="shared" si="15"/>
        <v>0</v>
      </c>
      <c r="I110" s="577">
        <f t="shared" si="16"/>
        <v>0</v>
      </c>
      <c r="J110" s="514">
        <f t="shared" si="17"/>
        <v>0</v>
      </c>
      <c r="K110" s="514"/>
      <c r="L110" s="525"/>
      <c r="M110" s="514">
        <f t="shared" si="18"/>
        <v>0</v>
      </c>
      <c r="N110" s="525"/>
      <c r="O110" s="514">
        <f t="shared" si="19"/>
        <v>0</v>
      </c>
      <c r="P110" s="514">
        <f t="shared" si="20"/>
        <v>0</v>
      </c>
      <c r="Q110" s="269"/>
    </row>
    <row r="111" spans="1:17">
      <c r="B111" s="195" t="str">
        <f t="shared" si="23"/>
        <v/>
      </c>
      <c r="C111" s="507">
        <f>IF(D93="","-",+C110+1)</f>
        <v>2020</v>
      </c>
      <c r="D111" s="374">
        <f>IF(F110+SUM(E$99:E110)=D$92,F110,D$92-SUM(E$99:E110))</f>
        <v>0</v>
      </c>
      <c r="E111" s="522">
        <f>IF(+J96&lt;F110,J96,D111)</f>
        <v>0</v>
      </c>
      <c r="F111" s="523">
        <f t="shared" si="22"/>
        <v>0</v>
      </c>
      <c r="G111" s="523">
        <f t="shared" si="14"/>
        <v>0</v>
      </c>
      <c r="H111" s="526">
        <f t="shared" si="15"/>
        <v>0</v>
      </c>
      <c r="I111" s="577">
        <f t="shared" si="16"/>
        <v>0</v>
      </c>
      <c r="J111" s="514">
        <f t="shared" si="17"/>
        <v>0</v>
      </c>
      <c r="K111" s="514"/>
      <c r="L111" s="525"/>
      <c r="M111" s="514">
        <f t="shared" si="18"/>
        <v>0</v>
      </c>
      <c r="N111" s="525"/>
      <c r="O111" s="514">
        <f t="shared" si="19"/>
        <v>0</v>
      </c>
      <c r="P111" s="514">
        <f t="shared" si="20"/>
        <v>0</v>
      </c>
      <c r="Q111" s="269"/>
    </row>
    <row r="112" spans="1:17">
      <c r="B112" s="195" t="str">
        <f t="shared" si="23"/>
        <v/>
      </c>
      <c r="C112" s="507">
        <f>IF(D93="","-",+C111+1)</f>
        <v>2021</v>
      </c>
      <c r="D112" s="374">
        <f>IF(F111+SUM(E$99:E111)=D$92,F111,D$92-SUM(E$99:E111))</f>
        <v>0</v>
      </c>
      <c r="E112" s="522">
        <f>IF(+J96&lt;F111,J96,D112)</f>
        <v>0</v>
      </c>
      <c r="F112" s="523">
        <f t="shared" si="22"/>
        <v>0</v>
      </c>
      <c r="G112" s="523">
        <f t="shared" si="14"/>
        <v>0</v>
      </c>
      <c r="H112" s="526">
        <f t="shared" si="15"/>
        <v>0</v>
      </c>
      <c r="I112" s="577">
        <f t="shared" si="16"/>
        <v>0</v>
      </c>
      <c r="J112" s="514">
        <f t="shared" si="17"/>
        <v>0</v>
      </c>
      <c r="K112" s="514"/>
      <c r="L112" s="525"/>
      <c r="M112" s="514">
        <f t="shared" si="18"/>
        <v>0</v>
      </c>
      <c r="N112" s="525"/>
      <c r="O112" s="514">
        <f t="shared" si="19"/>
        <v>0</v>
      </c>
      <c r="P112" s="514">
        <f t="shared" si="20"/>
        <v>0</v>
      </c>
      <c r="Q112" s="269"/>
    </row>
    <row r="113" spans="2:17">
      <c r="B113" s="195" t="str">
        <f t="shared" si="23"/>
        <v/>
      </c>
      <c r="C113" s="673">
        <f>IF(D93="","-",+C112+1)</f>
        <v>2022</v>
      </c>
      <c r="D113" s="374">
        <f>IF(F112+SUM(E$99:E112)=D$92,F112,D$92-SUM(E$99:E112))</f>
        <v>0</v>
      </c>
      <c r="E113" s="522">
        <f>IF(+J96&lt;F112,J96,D113)</f>
        <v>0</v>
      </c>
      <c r="F113" s="523">
        <f t="shared" si="22"/>
        <v>0</v>
      </c>
      <c r="G113" s="523">
        <f t="shared" si="14"/>
        <v>0</v>
      </c>
      <c r="H113" s="526">
        <f t="shared" ref="H113:H154" si="24">+J$94*G113+E113</f>
        <v>0</v>
      </c>
      <c r="I113" s="577">
        <f t="shared" ref="I113:I154" si="25">+J$95*G113+E113</f>
        <v>0</v>
      </c>
      <c r="J113" s="514">
        <f t="shared" si="17"/>
        <v>0</v>
      </c>
      <c r="K113" s="514"/>
      <c r="L113" s="525"/>
      <c r="M113" s="514">
        <f t="shared" si="18"/>
        <v>0</v>
      </c>
      <c r="N113" s="525"/>
      <c r="O113" s="514">
        <f t="shared" si="19"/>
        <v>0</v>
      </c>
      <c r="P113" s="514">
        <f t="shared" si="20"/>
        <v>0</v>
      </c>
      <c r="Q113" s="269"/>
    </row>
    <row r="114" spans="2:17">
      <c r="B114" s="195" t="str">
        <f t="shared" si="23"/>
        <v/>
      </c>
      <c r="C114" s="507">
        <f>IF(D93="","-",+C113+1)</f>
        <v>2023</v>
      </c>
      <c r="D114" s="374">
        <f>IF(F113+SUM(E$99:E113)=D$92,F113,D$92-SUM(E$99:E113))</f>
        <v>0</v>
      </c>
      <c r="E114" s="522">
        <f>IF(+J96&lt;F113,J96,D114)</f>
        <v>0</v>
      </c>
      <c r="F114" s="523">
        <f t="shared" si="22"/>
        <v>0</v>
      </c>
      <c r="G114" s="523">
        <f t="shared" si="14"/>
        <v>0</v>
      </c>
      <c r="H114" s="526">
        <f t="shared" si="24"/>
        <v>0</v>
      </c>
      <c r="I114" s="577">
        <f t="shared" si="25"/>
        <v>0</v>
      </c>
      <c r="J114" s="514">
        <f t="shared" si="17"/>
        <v>0</v>
      </c>
      <c r="K114" s="514"/>
      <c r="L114" s="525"/>
      <c r="M114" s="514">
        <f t="shared" si="18"/>
        <v>0</v>
      </c>
      <c r="N114" s="525"/>
      <c r="O114" s="514">
        <f t="shared" si="19"/>
        <v>0</v>
      </c>
      <c r="P114" s="514">
        <f t="shared" si="20"/>
        <v>0</v>
      </c>
      <c r="Q114" s="269"/>
    </row>
    <row r="115" spans="2:17">
      <c r="B115" s="195" t="str">
        <f t="shared" si="23"/>
        <v/>
      </c>
      <c r="C115" s="507">
        <f>IF(D93="","-",+C114+1)</f>
        <v>2024</v>
      </c>
      <c r="D115" s="374">
        <f>IF(F114+SUM(E$99:E114)=D$92,F114,D$92-SUM(E$99:E114))</f>
        <v>0</v>
      </c>
      <c r="E115" s="522">
        <f>IF(+J96&lt;F114,J96,D115)</f>
        <v>0</v>
      </c>
      <c r="F115" s="523">
        <f t="shared" si="22"/>
        <v>0</v>
      </c>
      <c r="G115" s="523">
        <f t="shared" si="14"/>
        <v>0</v>
      </c>
      <c r="H115" s="526">
        <f t="shared" si="24"/>
        <v>0</v>
      </c>
      <c r="I115" s="577">
        <f t="shared" si="25"/>
        <v>0</v>
      </c>
      <c r="J115" s="514">
        <f t="shared" si="17"/>
        <v>0</v>
      </c>
      <c r="K115" s="514"/>
      <c r="L115" s="525"/>
      <c r="M115" s="514">
        <f t="shared" si="18"/>
        <v>0</v>
      </c>
      <c r="N115" s="525"/>
      <c r="O115" s="514">
        <f t="shared" si="19"/>
        <v>0</v>
      </c>
      <c r="P115" s="514">
        <f t="shared" si="20"/>
        <v>0</v>
      </c>
      <c r="Q115" s="269"/>
    </row>
    <row r="116" spans="2:17">
      <c r="B116" s="195" t="str">
        <f t="shared" si="23"/>
        <v/>
      </c>
      <c r="C116" s="507">
        <f>IF(D93="","-",+C115+1)</f>
        <v>2025</v>
      </c>
      <c r="D116" s="374">
        <f>IF(F115+SUM(E$99:E115)=D$92,F115,D$92-SUM(E$99:E115))</f>
        <v>0</v>
      </c>
      <c r="E116" s="522">
        <f>IF(+J96&lt;F115,J96,D116)</f>
        <v>0</v>
      </c>
      <c r="F116" s="523">
        <f t="shared" si="22"/>
        <v>0</v>
      </c>
      <c r="G116" s="523">
        <f t="shared" si="14"/>
        <v>0</v>
      </c>
      <c r="H116" s="526">
        <f t="shared" si="24"/>
        <v>0</v>
      </c>
      <c r="I116" s="577">
        <f t="shared" si="25"/>
        <v>0</v>
      </c>
      <c r="J116" s="514">
        <f t="shared" si="17"/>
        <v>0</v>
      </c>
      <c r="K116" s="514"/>
      <c r="L116" s="525"/>
      <c r="M116" s="514">
        <f t="shared" si="18"/>
        <v>0</v>
      </c>
      <c r="N116" s="525"/>
      <c r="O116" s="514">
        <f t="shared" si="19"/>
        <v>0</v>
      </c>
      <c r="P116" s="514">
        <f t="shared" si="20"/>
        <v>0</v>
      </c>
      <c r="Q116" s="269"/>
    </row>
    <row r="117" spans="2:17">
      <c r="B117" s="195" t="str">
        <f t="shared" si="23"/>
        <v/>
      </c>
      <c r="C117" s="507">
        <f>IF(D93="","-",+C116+1)</f>
        <v>2026</v>
      </c>
      <c r="D117" s="374">
        <f>IF(F116+SUM(E$99:E116)=D$92,F116,D$92-SUM(E$99:E116))</f>
        <v>0</v>
      </c>
      <c r="E117" s="522">
        <f>IF(+J96&lt;F116,J96,D117)</f>
        <v>0</v>
      </c>
      <c r="F117" s="523">
        <f t="shared" si="22"/>
        <v>0</v>
      </c>
      <c r="G117" s="523">
        <f t="shared" si="14"/>
        <v>0</v>
      </c>
      <c r="H117" s="526">
        <f t="shared" si="24"/>
        <v>0</v>
      </c>
      <c r="I117" s="577">
        <f t="shared" si="25"/>
        <v>0</v>
      </c>
      <c r="J117" s="514">
        <f t="shared" si="17"/>
        <v>0</v>
      </c>
      <c r="K117" s="514"/>
      <c r="L117" s="525"/>
      <c r="M117" s="514">
        <f t="shared" si="18"/>
        <v>0</v>
      </c>
      <c r="N117" s="525"/>
      <c r="O117" s="514">
        <f t="shared" si="19"/>
        <v>0</v>
      </c>
      <c r="P117" s="514">
        <f t="shared" si="20"/>
        <v>0</v>
      </c>
      <c r="Q117" s="269"/>
    </row>
    <row r="118" spans="2:17">
      <c r="B118" s="195" t="str">
        <f t="shared" si="23"/>
        <v/>
      </c>
      <c r="C118" s="507">
        <f>IF(D93="","-",+C117+1)</f>
        <v>2027</v>
      </c>
      <c r="D118" s="374">
        <f>IF(F117+SUM(E$99:E117)=D$92,F117,D$92-SUM(E$99:E117))</f>
        <v>0</v>
      </c>
      <c r="E118" s="522">
        <f>IF(+J96&lt;F117,J96,D118)</f>
        <v>0</v>
      </c>
      <c r="F118" s="523">
        <f t="shared" si="22"/>
        <v>0</v>
      </c>
      <c r="G118" s="523">
        <f t="shared" si="14"/>
        <v>0</v>
      </c>
      <c r="H118" s="526">
        <f t="shared" si="24"/>
        <v>0</v>
      </c>
      <c r="I118" s="577">
        <f t="shared" si="25"/>
        <v>0</v>
      </c>
      <c r="J118" s="514">
        <f t="shared" si="17"/>
        <v>0</v>
      </c>
      <c r="K118" s="514"/>
      <c r="L118" s="525"/>
      <c r="M118" s="514">
        <f t="shared" si="18"/>
        <v>0</v>
      </c>
      <c r="N118" s="525"/>
      <c r="O118" s="514">
        <f t="shared" si="19"/>
        <v>0</v>
      </c>
      <c r="P118" s="514">
        <f t="shared" si="20"/>
        <v>0</v>
      </c>
      <c r="Q118" s="269"/>
    </row>
    <row r="119" spans="2:17">
      <c r="B119" s="195" t="str">
        <f t="shared" si="23"/>
        <v/>
      </c>
      <c r="C119" s="507">
        <f>IF(D93="","-",+C118+1)</f>
        <v>2028</v>
      </c>
      <c r="D119" s="374">
        <f>IF(F118+SUM(E$99:E118)=D$92,F118,D$92-SUM(E$99:E118))</f>
        <v>0</v>
      </c>
      <c r="E119" s="522">
        <f>IF(+J96&lt;F118,J96,D119)</f>
        <v>0</v>
      </c>
      <c r="F119" s="523">
        <f t="shared" si="22"/>
        <v>0</v>
      </c>
      <c r="G119" s="523">
        <f t="shared" si="14"/>
        <v>0</v>
      </c>
      <c r="H119" s="526">
        <f t="shared" si="24"/>
        <v>0</v>
      </c>
      <c r="I119" s="577">
        <f t="shared" si="25"/>
        <v>0</v>
      </c>
      <c r="J119" s="514">
        <f t="shared" si="17"/>
        <v>0</v>
      </c>
      <c r="K119" s="514"/>
      <c r="L119" s="525"/>
      <c r="M119" s="514">
        <f t="shared" si="18"/>
        <v>0</v>
      </c>
      <c r="N119" s="525"/>
      <c r="O119" s="514">
        <f t="shared" si="19"/>
        <v>0</v>
      </c>
      <c r="P119" s="514">
        <f t="shared" si="20"/>
        <v>0</v>
      </c>
      <c r="Q119" s="269"/>
    </row>
    <row r="120" spans="2:17">
      <c r="B120" s="195" t="str">
        <f t="shared" si="23"/>
        <v/>
      </c>
      <c r="C120" s="507">
        <f>IF(D93="","-",+C119+1)</f>
        <v>2029</v>
      </c>
      <c r="D120" s="374">
        <f>IF(F119+SUM(E$99:E119)=D$92,F119,D$92-SUM(E$99:E119))</f>
        <v>0</v>
      </c>
      <c r="E120" s="522">
        <f>IF(+J96&lt;F119,J96,D120)</f>
        <v>0</v>
      </c>
      <c r="F120" s="523">
        <f t="shared" si="22"/>
        <v>0</v>
      </c>
      <c r="G120" s="523">
        <f t="shared" si="14"/>
        <v>0</v>
      </c>
      <c r="H120" s="526">
        <f t="shared" si="24"/>
        <v>0</v>
      </c>
      <c r="I120" s="577">
        <f t="shared" si="25"/>
        <v>0</v>
      </c>
      <c r="J120" s="514">
        <f t="shared" si="17"/>
        <v>0</v>
      </c>
      <c r="K120" s="514"/>
      <c r="L120" s="525"/>
      <c r="M120" s="514">
        <f t="shared" si="18"/>
        <v>0</v>
      </c>
      <c r="N120" s="525"/>
      <c r="O120" s="514">
        <f t="shared" si="19"/>
        <v>0</v>
      </c>
      <c r="P120" s="514">
        <f t="shared" si="20"/>
        <v>0</v>
      </c>
      <c r="Q120" s="269"/>
    </row>
    <row r="121" spans="2:17">
      <c r="B121" s="195" t="str">
        <f t="shared" si="23"/>
        <v/>
      </c>
      <c r="C121" s="507">
        <f>IF(D93="","-",+C120+1)</f>
        <v>2030</v>
      </c>
      <c r="D121" s="374">
        <f>IF(F120+SUM(E$99:E120)=D$92,F120,D$92-SUM(E$99:E120))</f>
        <v>0</v>
      </c>
      <c r="E121" s="522">
        <f>IF(+J96&lt;F120,J96,D121)</f>
        <v>0</v>
      </c>
      <c r="F121" s="523">
        <f t="shared" si="22"/>
        <v>0</v>
      </c>
      <c r="G121" s="523">
        <f t="shared" si="14"/>
        <v>0</v>
      </c>
      <c r="H121" s="526">
        <f t="shared" si="24"/>
        <v>0</v>
      </c>
      <c r="I121" s="577">
        <f t="shared" si="25"/>
        <v>0</v>
      </c>
      <c r="J121" s="514">
        <f t="shared" si="17"/>
        <v>0</v>
      </c>
      <c r="K121" s="514"/>
      <c r="L121" s="525"/>
      <c r="M121" s="514">
        <f t="shared" si="18"/>
        <v>0</v>
      </c>
      <c r="N121" s="525"/>
      <c r="O121" s="514">
        <f t="shared" si="19"/>
        <v>0</v>
      </c>
      <c r="P121" s="514">
        <f t="shared" si="20"/>
        <v>0</v>
      </c>
      <c r="Q121" s="269"/>
    </row>
    <row r="122" spans="2:17">
      <c r="B122" s="195" t="str">
        <f t="shared" si="23"/>
        <v/>
      </c>
      <c r="C122" s="507">
        <f>IF(D93="","-",+C121+1)</f>
        <v>2031</v>
      </c>
      <c r="D122" s="374">
        <f>IF(F121+SUM(E$99:E121)=D$92,F121,D$92-SUM(E$99:E121))</f>
        <v>0</v>
      </c>
      <c r="E122" s="522">
        <f>IF(+J96&lt;F121,J96,D122)</f>
        <v>0</v>
      </c>
      <c r="F122" s="523">
        <f t="shared" si="22"/>
        <v>0</v>
      </c>
      <c r="G122" s="523">
        <f t="shared" si="14"/>
        <v>0</v>
      </c>
      <c r="H122" s="526">
        <f t="shared" si="24"/>
        <v>0</v>
      </c>
      <c r="I122" s="577">
        <f t="shared" si="25"/>
        <v>0</v>
      </c>
      <c r="J122" s="514">
        <f t="shared" si="17"/>
        <v>0</v>
      </c>
      <c r="K122" s="514"/>
      <c r="L122" s="525"/>
      <c r="M122" s="514">
        <f t="shared" si="18"/>
        <v>0</v>
      </c>
      <c r="N122" s="525"/>
      <c r="O122" s="514">
        <f t="shared" si="19"/>
        <v>0</v>
      </c>
      <c r="P122" s="514">
        <f t="shared" si="20"/>
        <v>0</v>
      </c>
      <c r="Q122" s="269"/>
    </row>
    <row r="123" spans="2:17">
      <c r="B123" s="195" t="str">
        <f t="shared" si="23"/>
        <v/>
      </c>
      <c r="C123" s="507">
        <f>IF(D93="","-",+C122+1)</f>
        <v>2032</v>
      </c>
      <c r="D123" s="374">
        <f>IF(F122+SUM(E$99:E122)=D$92,F122,D$92-SUM(E$99:E122))</f>
        <v>0</v>
      </c>
      <c r="E123" s="522">
        <f>IF(+J96&lt;F122,J96,D123)</f>
        <v>0</v>
      </c>
      <c r="F123" s="523">
        <f t="shared" si="22"/>
        <v>0</v>
      </c>
      <c r="G123" s="523">
        <f t="shared" si="14"/>
        <v>0</v>
      </c>
      <c r="H123" s="526">
        <f t="shared" si="24"/>
        <v>0</v>
      </c>
      <c r="I123" s="577">
        <f t="shared" si="25"/>
        <v>0</v>
      </c>
      <c r="J123" s="514">
        <f t="shared" si="17"/>
        <v>0</v>
      </c>
      <c r="K123" s="514"/>
      <c r="L123" s="525"/>
      <c r="M123" s="514">
        <f t="shared" si="18"/>
        <v>0</v>
      </c>
      <c r="N123" s="525"/>
      <c r="O123" s="514">
        <f t="shared" si="19"/>
        <v>0</v>
      </c>
      <c r="P123" s="514">
        <f t="shared" si="20"/>
        <v>0</v>
      </c>
      <c r="Q123" s="269"/>
    </row>
    <row r="124" spans="2:17">
      <c r="B124" s="195" t="str">
        <f t="shared" si="23"/>
        <v/>
      </c>
      <c r="C124" s="507">
        <f>IF(D93="","-",+C123+1)</f>
        <v>2033</v>
      </c>
      <c r="D124" s="374">
        <f>IF(F123+SUM(E$99:E123)=D$92,F123,D$92-SUM(E$99:E123))</f>
        <v>0</v>
      </c>
      <c r="E124" s="522">
        <f>IF(+J96&lt;F123,J96,D124)</f>
        <v>0</v>
      </c>
      <c r="F124" s="523">
        <f t="shared" si="22"/>
        <v>0</v>
      </c>
      <c r="G124" s="523">
        <f t="shared" si="14"/>
        <v>0</v>
      </c>
      <c r="H124" s="526">
        <f t="shared" si="24"/>
        <v>0</v>
      </c>
      <c r="I124" s="577">
        <f t="shared" si="25"/>
        <v>0</v>
      </c>
      <c r="J124" s="514">
        <f t="shared" si="17"/>
        <v>0</v>
      </c>
      <c r="K124" s="514"/>
      <c r="L124" s="525"/>
      <c r="M124" s="514">
        <f t="shared" si="18"/>
        <v>0</v>
      </c>
      <c r="N124" s="525"/>
      <c r="O124" s="514">
        <f t="shared" si="19"/>
        <v>0</v>
      </c>
      <c r="P124" s="514">
        <f t="shared" si="20"/>
        <v>0</v>
      </c>
      <c r="Q124" s="269"/>
    </row>
    <row r="125" spans="2:17">
      <c r="B125" s="195" t="str">
        <f t="shared" si="23"/>
        <v/>
      </c>
      <c r="C125" s="507">
        <f>IF(D93="","-",+C124+1)</f>
        <v>2034</v>
      </c>
      <c r="D125" s="374">
        <f>IF(F124+SUM(E$99:E124)=D$92,F124,D$92-SUM(E$99:E124))</f>
        <v>0</v>
      </c>
      <c r="E125" s="522">
        <f>IF(+J96&lt;F124,J96,D125)</f>
        <v>0</v>
      </c>
      <c r="F125" s="523">
        <f t="shared" si="22"/>
        <v>0</v>
      </c>
      <c r="G125" s="523">
        <f t="shared" si="14"/>
        <v>0</v>
      </c>
      <c r="H125" s="526">
        <f t="shared" si="24"/>
        <v>0</v>
      </c>
      <c r="I125" s="577">
        <f t="shared" si="25"/>
        <v>0</v>
      </c>
      <c r="J125" s="514">
        <f t="shared" si="17"/>
        <v>0</v>
      </c>
      <c r="K125" s="514"/>
      <c r="L125" s="525"/>
      <c r="M125" s="514">
        <f t="shared" si="18"/>
        <v>0</v>
      </c>
      <c r="N125" s="525"/>
      <c r="O125" s="514">
        <f t="shared" si="19"/>
        <v>0</v>
      </c>
      <c r="P125" s="514">
        <f t="shared" si="20"/>
        <v>0</v>
      </c>
      <c r="Q125" s="269"/>
    </row>
    <row r="126" spans="2:17">
      <c r="B126" s="195" t="str">
        <f t="shared" si="23"/>
        <v/>
      </c>
      <c r="C126" s="507">
        <f>IF(D93="","-",+C125+1)</f>
        <v>2035</v>
      </c>
      <c r="D126" s="374">
        <f>IF(F125+SUM(E$99:E125)=D$92,F125,D$92-SUM(E$99:E125))</f>
        <v>0</v>
      </c>
      <c r="E126" s="522">
        <f>IF(+J96&lt;F125,J96,D126)</f>
        <v>0</v>
      </c>
      <c r="F126" s="523">
        <f t="shared" si="22"/>
        <v>0</v>
      </c>
      <c r="G126" s="523">
        <f t="shared" si="14"/>
        <v>0</v>
      </c>
      <c r="H126" s="526">
        <f t="shared" si="24"/>
        <v>0</v>
      </c>
      <c r="I126" s="577">
        <f t="shared" si="25"/>
        <v>0</v>
      </c>
      <c r="J126" s="514">
        <f t="shared" si="17"/>
        <v>0</v>
      </c>
      <c r="K126" s="514"/>
      <c r="L126" s="525"/>
      <c r="M126" s="514">
        <f t="shared" si="18"/>
        <v>0</v>
      </c>
      <c r="N126" s="525"/>
      <c r="O126" s="514">
        <f t="shared" si="19"/>
        <v>0</v>
      </c>
      <c r="P126" s="514">
        <f t="shared" si="20"/>
        <v>0</v>
      </c>
      <c r="Q126" s="269"/>
    </row>
    <row r="127" spans="2:17">
      <c r="B127" s="195" t="str">
        <f t="shared" si="23"/>
        <v/>
      </c>
      <c r="C127" s="507">
        <f>IF(D93="","-",+C126+1)</f>
        <v>2036</v>
      </c>
      <c r="D127" s="374">
        <f>IF(F126+SUM(E$99:E126)=D$92,F126,D$92-SUM(E$99:E126))</f>
        <v>0</v>
      </c>
      <c r="E127" s="522">
        <f>IF(+J96&lt;F126,J96,D127)</f>
        <v>0</v>
      </c>
      <c r="F127" s="523">
        <f t="shared" si="22"/>
        <v>0</v>
      </c>
      <c r="G127" s="523">
        <f t="shared" si="14"/>
        <v>0</v>
      </c>
      <c r="H127" s="526">
        <f t="shared" si="24"/>
        <v>0</v>
      </c>
      <c r="I127" s="577">
        <f t="shared" si="25"/>
        <v>0</v>
      </c>
      <c r="J127" s="514">
        <f t="shared" si="17"/>
        <v>0</v>
      </c>
      <c r="K127" s="514"/>
      <c r="L127" s="525"/>
      <c r="M127" s="514">
        <f t="shared" si="18"/>
        <v>0</v>
      </c>
      <c r="N127" s="525"/>
      <c r="O127" s="514">
        <f t="shared" si="19"/>
        <v>0</v>
      </c>
      <c r="P127" s="514">
        <f t="shared" si="20"/>
        <v>0</v>
      </c>
      <c r="Q127" s="269"/>
    </row>
    <row r="128" spans="2:17">
      <c r="B128" s="195" t="str">
        <f t="shared" si="23"/>
        <v/>
      </c>
      <c r="C128" s="507">
        <f>IF(D93="","-",+C127+1)</f>
        <v>2037</v>
      </c>
      <c r="D128" s="374">
        <f>IF(F127+SUM(E$99:E127)=D$92,F127,D$92-SUM(E$99:E127))</f>
        <v>0</v>
      </c>
      <c r="E128" s="522">
        <f>IF(+J96&lt;F127,J96,D128)</f>
        <v>0</v>
      </c>
      <c r="F128" s="523">
        <f t="shared" si="22"/>
        <v>0</v>
      </c>
      <c r="G128" s="523">
        <f t="shared" si="14"/>
        <v>0</v>
      </c>
      <c r="H128" s="526">
        <f t="shared" si="24"/>
        <v>0</v>
      </c>
      <c r="I128" s="577">
        <f t="shared" si="25"/>
        <v>0</v>
      </c>
      <c r="J128" s="514">
        <f t="shared" si="17"/>
        <v>0</v>
      </c>
      <c r="K128" s="514"/>
      <c r="L128" s="525"/>
      <c r="M128" s="514">
        <f t="shared" si="18"/>
        <v>0</v>
      </c>
      <c r="N128" s="525"/>
      <c r="O128" s="514">
        <f t="shared" si="19"/>
        <v>0</v>
      </c>
      <c r="P128" s="514">
        <f t="shared" si="20"/>
        <v>0</v>
      </c>
      <c r="Q128" s="269"/>
    </row>
    <row r="129" spans="2:17">
      <c r="B129" s="195" t="str">
        <f t="shared" si="23"/>
        <v/>
      </c>
      <c r="C129" s="507">
        <f>IF(D93="","-",+C128+1)</f>
        <v>2038</v>
      </c>
      <c r="D129" s="374">
        <f>IF(F128+SUM(E$99:E128)=D$92,F128,D$92-SUM(E$99:E128))</f>
        <v>0</v>
      </c>
      <c r="E129" s="522">
        <f>IF(+J96&lt;F128,J96,D129)</f>
        <v>0</v>
      </c>
      <c r="F129" s="523">
        <f t="shared" si="22"/>
        <v>0</v>
      </c>
      <c r="G129" s="523">
        <f t="shared" si="14"/>
        <v>0</v>
      </c>
      <c r="H129" s="526">
        <f t="shared" si="24"/>
        <v>0</v>
      </c>
      <c r="I129" s="577">
        <f t="shared" si="25"/>
        <v>0</v>
      </c>
      <c r="J129" s="514">
        <f t="shared" si="17"/>
        <v>0</v>
      </c>
      <c r="K129" s="514"/>
      <c r="L129" s="525"/>
      <c r="M129" s="514">
        <f t="shared" si="18"/>
        <v>0</v>
      </c>
      <c r="N129" s="525"/>
      <c r="O129" s="514">
        <f t="shared" si="19"/>
        <v>0</v>
      </c>
      <c r="P129" s="514">
        <f t="shared" si="20"/>
        <v>0</v>
      </c>
      <c r="Q129" s="269"/>
    </row>
    <row r="130" spans="2:17">
      <c r="B130" s="195" t="str">
        <f t="shared" si="23"/>
        <v/>
      </c>
      <c r="C130" s="507">
        <f>IF(D93="","-",+C129+1)</f>
        <v>2039</v>
      </c>
      <c r="D130" s="374">
        <f>IF(F129+SUM(E$99:E129)=D$92,F129,D$92-SUM(E$99:E129))</f>
        <v>0</v>
      </c>
      <c r="E130" s="522">
        <f>IF(+J96&lt;F129,J96,D130)</f>
        <v>0</v>
      </c>
      <c r="F130" s="523">
        <f t="shared" si="22"/>
        <v>0</v>
      </c>
      <c r="G130" s="523">
        <f t="shared" si="14"/>
        <v>0</v>
      </c>
      <c r="H130" s="526">
        <f t="shared" si="24"/>
        <v>0</v>
      </c>
      <c r="I130" s="577">
        <f t="shared" si="25"/>
        <v>0</v>
      </c>
      <c r="J130" s="514">
        <f t="shared" si="17"/>
        <v>0</v>
      </c>
      <c r="K130" s="514"/>
      <c r="L130" s="525"/>
      <c r="M130" s="514">
        <f t="shared" si="18"/>
        <v>0</v>
      </c>
      <c r="N130" s="525"/>
      <c r="O130" s="514">
        <f t="shared" si="19"/>
        <v>0</v>
      </c>
      <c r="P130" s="514">
        <f t="shared" si="20"/>
        <v>0</v>
      </c>
      <c r="Q130" s="269"/>
    </row>
    <row r="131" spans="2:17">
      <c r="B131" s="195" t="str">
        <f t="shared" si="23"/>
        <v/>
      </c>
      <c r="C131" s="507">
        <f>IF(D93="","-",+C130+1)</f>
        <v>2040</v>
      </c>
      <c r="D131" s="374">
        <f>IF(F130+SUM(E$99:E130)=D$92,F130,D$92-SUM(E$99:E130))</f>
        <v>0</v>
      </c>
      <c r="E131" s="522">
        <f>IF(+J96&lt;F130,J96,D131)</f>
        <v>0</v>
      </c>
      <c r="F131" s="523">
        <f t="shared" ref="F131:F154" si="26">+D131-E131</f>
        <v>0</v>
      </c>
      <c r="G131" s="523">
        <f t="shared" ref="G131:G154" si="27">+(F131+D131)/2</f>
        <v>0</v>
      </c>
      <c r="H131" s="526">
        <f t="shared" si="24"/>
        <v>0</v>
      </c>
      <c r="I131" s="577">
        <f t="shared" si="25"/>
        <v>0</v>
      </c>
      <c r="J131" s="514">
        <f t="shared" ref="J131:J154" si="28">+I131-H131</f>
        <v>0</v>
      </c>
      <c r="K131" s="514"/>
      <c r="L131" s="525"/>
      <c r="M131" s="514">
        <f t="shared" ref="M131:M154" si="29">IF(L131&lt;&gt;0,+H131-L131,0)</f>
        <v>0</v>
      </c>
      <c r="N131" s="525"/>
      <c r="O131" s="514">
        <f t="shared" ref="O131:O154" si="30">IF(N131&lt;&gt;0,+I131-N131,0)</f>
        <v>0</v>
      </c>
      <c r="P131" s="514">
        <f t="shared" ref="P131:P154" si="31">+O131-M131</f>
        <v>0</v>
      </c>
      <c r="Q131" s="269"/>
    </row>
    <row r="132" spans="2:17">
      <c r="B132" s="195" t="str">
        <f t="shared" si="23"/>
        <v/>
      </c>
      <c r="C132" s="507">
        <f>IF(D93="","-",+C131+1)</f>
        <v>2041</v>
      </c>
      <c r="D132" s="374">
        <f>IF(F131+SUM(E$99:E131)=D$92,F131,D$92-SUM(E$99:E131))</f>
        <v>0</v>
      </c>
      <c r="E132" s="522">
        <f>IF(+J96&lt;F131,J96,D132)</f>
        <v>0</v>
      </c>
      <c r="F132" s="523">
        <f t="shared" si="26"/>
        <v>0</v>
      </c>
      <c r="G132" s="523">
        <f t="shared" si="27"/>
        <v>0</v>
      </c>
      <c r="H132" s="526">
        <f t="shared" si="24"/>
        <v>0</v>
      </c>
      <c r="I132" s="577">
        <f t="shared" si="25"/>
        <v>0</v>
      </c>
      <c r="J132" s="514">
        <f t="shared" si="28"/>
        <v>0</v>
      </c>
      <c r="K132" s="514"/>
      <c r="L132" s="525"/>
      <c r="M132" s="514">
        <f t="shared" si="29"/>
        <v>0</v>
      </c>
      <c r="N132" s="525"/>
      <c r="O132" s="514">
        <f t="shared" si="30"/>
        <v>0</v>
      </c>
      <c r="P132" s="514">
        <f t="shared" si="31"/>
        <v>0</v>
      </c>
      <c r="Q132" s="269"/>
    </row>
    <row r="133" spans="2:17">
      <c r="B133" s="195" t="str">
        <f t="shared" si="23"/>
        <v/>
      </c>
      <c r="C133" s="507">
        <f>IF(D93="","-",+C132+1)</f>
        <v>2042</v>
      </c>
      <c r="D133" s="374">
        <f>IF(F132+SUM(E$99:E132)=D$92,F132,D$92-SUM(E$99:E132))</f>
        <v>0</v>
      </c>
      <c r="E133" s="522">
        <f>IF(+J96&lt;F132,J96,D133)</f>
        <v>0</v>
      </c>
      <c r="F133" s="523">
        <f t="shared" si="26"/>
        <v>0</v>
      </c>
      <c r="G133" s="523">
        <f t="shared" si="27"/>
        <v>0</v>
      </c>
      <c r="H133" s="526">
        <f t="shared" si="24"/>
        <v>0</v>
      </c>
      <c r="I133" s="577">
        <f t="shared" si="25"/>
        <v>0</v>
      </c>
      <c r="J133" s="514">
        <f t="shared" si="28"/>
        <v>0</v>
      </c>
      <c r="K133" s="514"/>
      <c r="L133" s="525"/>
      <c r="M133" s="514">
        <f t="shared" si="29"/>
        <v>0</v>
      </c>
      <c r="N133" s="525"/>
      <c r="O133" s="514">
        <f t="shared" si="30"/>
        <v>0</v>
      </c>
      <c r="P133" s="514">
        <f t="shared" si="31"/>
        <v>0</v>
      </c>
      <c r="Q133" s="269"/>
    </row>
    <row r="134" spans="2:17">
      <c r="B134" s="195" t="str">
        <f t="shared" si="23"/>
        <v/>
      </c>
      <c r="C134" s="507">
        <f>IF(D93="","-",+C133+1)</f>
        <v>2043</v>
      </c>
      <c r="D134" s="374">
        <f>IF(F133+SUM(E$99:E133)=D$92,F133,D$92-SUM(E$99:E133))</f>
        <v>0</v>
      </c>
      <c r="E134" s="522">
        <f>IF(+J96&lt;F133,J96,D134)</f>
        <v>0</v>
      </c>
      <c r="F134" s="523">
        <f t="shared" si="26"/>
        <v>0</v>
      </c>
      <c r="G134" s="523">
        <f t="shared" si="27"/>
        <v>0</v>
      </c>
      <c r="H134" s="526">
        <f t="shared" si="24"/>
        <v>0</v>
      </c>
      <c r="I134" s="577">
        <f t="shared" si="25"/>
        <v>0</v>
      </c>
      <c r="J134" s="514">
        <f t="shared" si="28"/>
        <v>0</v>
      </c>
      <c r="K134" s="514"/>
      <c r="L134" s="525"/>
      <c r="M134" s="514">
        <f t="shared" si="29"/>
        <v>0</v>
      </c>
      <c r="N134" s="525"/>
      <c r="O134" s="514">
        <f t="shared" si="30"/>
        <v>0</v>
      </c>
      <c r="P134" s="514">
        <f t="shared" si="31"/>
        <v>0</v>
      </c>
      <c r="Q134" s="269"/>
    </row>
    <row r="135" spans="2:17">
      <c r="B135" s="195" t="str">
        <f t="shared" si="23"/>
        <v/>
      </c>
      <c r="C135" s="507">
        <f>IF(D93="","-",+C134+1)</f>
        <v>2044</v>
      </c>
      <c r="D135" s="374">
        <f>IF(F134+SUM(E$99:E134)=D$92,F134,D$92-SUM(E$99:E134))</f>
        <v>0</v>
      </c>
      <c r="E135" s="522">
        <f>IF(+J96&lt;F134,J96,D135)</f>
        <v>0</v>
      </c>
      <c r="F135" s="523">
        <f t="shared" si="26"/>
        <v>0</v>
      </c>
      <c r="G135" s="523">
        <f t="shared" si="27"/>
        <v>0</v>
      </c>
      <c r="H135" s="526">
        <f t="shared" si="24"/>
        <v>0</v>
      </c>
      <c r="I135" s="577">
        <f t="shared" si="25"/>
        <v>0</v>
      </c>
      <c r="J135" s="514">
        <f t="shared" si="28"/>
        <v>0</v>
      </c>
      <c r="K135" s="514"/>
      <c r="L135" s="525"/>
      <c r="M135" s="514">
        <f t="shared" si="29"/>
        <v>0</v>
      </c>
      <c r="N135" s="525"/>
      <c r="O135" s="514">
        <f t="shared" si="30"/>
        <v>0</v>
      </c>
      <c r="P135" s="514">
        <f t="shared" si="31"/>
        <v>0</v>
      </c>
      <c r="Q135" s="269"/>
    </row>
    <row r="136" spans="2:17">
      <c r="B136" s="195" t="str">
        <f t="shared" si="23"/>
        <v/>
      </c>
      <c r="C136" s="507">
        <f>IF(D93="","-",+C135+1)</f>
        <v>2045</v>
      </c>
      <c r="D136" s="374">
        <f>IF(F135+SUM(E$99:E135)=D$92,F135,D$92-SUM(E$99:E135))</f>
        <v>0</v>
      </c>
      <c r="E136" s="522">
        <f>IF(+J96&lt;F135,J96,D136)</f>
        <v>0</v>
      </c>
      <c r="F136" s="523">
        <f t="shared" si="26"/>
        <v>0</v>
      </c>
      <c r="G136" s="523">
        <f t="shared" si="27"/>
        <v>0</v>
      </c>
      <c r="H136" s="526">
        <f t="shared" si="24"/>
        <v>0</v>
      </c>
      <c r="I136" s="577">
        <f t="shared" si="25"/>
        <v>0</v>
      </c>
      <c r="J136" s="514">
        <f t="shared" si="28"/>
        <v>0</v>
      </c>
      <c r="K136" s="514"/>
      <c r="L136" s="525"/>
      <c r="M136" s="514">
        <f t="shared" si="29"/>
        <v>0</v>
      </c>
      <c r="N136" s="525"/>
      <c r="O136" s="514">
        <f t="shared" si="30"/>
        <v>0</v>
      </c>
      <c r="P136" s="514">
        <f t="shared" si="31"/>
        <v>0</v>
      </c>
      <c r="Q136" s="269"/>
    </row>
    <row r="137" spans="2:17">
      <c r="B137" s="195" t="str">
        <f t="shared" si="23"/>
        <v/>
      </c>
      <c r="C137" s="507">
        <f>IF(D93="","-",+C136+1)</f>
        <v>2046</v>
      </c>
      <c r="D137" s="374">
        <f>IF(F136+SUM(E$99:E136)=D$92,F136,D$92-SUM(E$99:E136))</f>
        <v>0</v>
      </c>
      <c r="E137" s="522">
        <f>IF(+J96&lt;F136,J96,D137)</f>
        <v>0</v>
      </c>
      <c r="F137" s="523">
        <f t="shared" si="26"/>
        <v>0</v>
      </c>
      <c r="G137" s="523">
        <f t="shared" si="27"/>
        <v>0</v>
      </c>
      <c r="H137" s="526">
        <f t="shared" si="24"/>
        <v>0</v>
      </c>
      <c r="I137" s="577">
        <f t="shared" si="25"/>
        <v>0</v>
      </c>
      <c r="J137" s="514">
        <f t="shared" si="28"/>
        <v>0</v>
      </c>
      <c r="K137" s="514"/>
      <c r="L137" s="525"/>
      <c r="M137" s="514">
        <f t="shared" si="29"/>
        <v>0</v>
      </c>
      <c r="N137" s="525"/>
      <c r="O137" s="514">
        <f t="shared" si="30"/>
        <v>0</v>
      </c>
      <c r="P137" s="514">
        <f t="shared" si="31"/>
        <v>0</v>
      </c>
      <c r="Q137" s="269"/>
    </row>
    <row r="138" spans="2:17">
      <c r="B138" s="195" t="str">
        <f t="shared" si="23"/>
        <v/>
      </c>
      <c r="C138" s="507">
        <f>IF(D93="","-",+C137+1)</f>
        <v>2047</v>
      </c>
      <c r="D138" s="374">
        <f>IF(F137+SUM(E$99:E137)=D$92,F137,D$92-SUM(E$99:E137))</f>
        <v>0</v>
      </c>
      <c r="E138" s="522">
        <f>IF(+J96&lt;F137,J96,D138)</f>
        <v>0</v>
      </c>
      <c r="F138" s="523">
        <f t="shared" si="26"/>
        <v>0</v>
      </c>
      <c r="G138" s="523">
        <f t="shared" si="27"/>
        <v>0</v>
      </c>
      <c r="H138" s="526">
        <f t="shared" si="24"/>
        <v>0</v>
      </c>
      <c r="I138" s="577">
        <f t="shared" si="25"/>
        <v>0</v>
      </c>
      <c r="J138" s="514">
        <f t="shared" si="28"/>
        <v>0</v>
      </c>
      <c r="K138" s="514"/>
      <c r="L138" s="525"/>
      <c r="M138" s="514">
        <f t="shared" si="29"/>
        <v>0</v>
      </c>
      <c r="N138" s="525"/>
      <c r="O138" s="514">
        <f t="shared" si="30"/>
        <v>0</v>
      </c>
      <c r="P138" s="514">
        <f t="shared" si="31"/>
        <v>0</v>
      </c>
      <c r="Q138" s="269"/>
    </row>
    <row r="139" spans="2:17">
      <c r="B139" s="195" t="str">
        <f t="shared" si="23"/>
        <v/>
      </c>
      <c r="C139" s="507">
        <f>IF(D93="","-",+C138+1)</f>
        <v>2048</v>
      </c>
      <c r="D139" s="374">
        <f>IF(F138+SUM(E$99:E138)=D$92,F138,D$92-SUM(E$99:E138))</f>
        <v>0</v>
      </c>
      <c r="E139" s="522">
        <f>IF(+J96&lt;F138,J96,D139)</f>
        <v>0</v>
      </c>
      <c r="F139" s="523">
        <f t="shared" si="26"/>
        <v>0</v>
      </c>
      <c r="G139" s="523">
        <f t="shared" si="27"/>
        <v>0</v>
      </c>
      <c r="H139" s="526">
        <f t="shared" si="24"/>
        <v>0</v>
      </c>
      <c r="I139" s="577">
        <f t="shared" si="25"/>
        <v>0</v>
      </c>
      <c r="J139" s="514">
        <f t="shared" si="28"/>
        <v>0</v>
      </c>
      <c r="K139" s="514"/>
      <c r="L139" s="525"/>
      <c r="M139" s="514">
        <f t="shared" si="29"/>
        <v>0</v>
      </c>
      <c r="N139" s="525"/>
      <c r="O139" s="514">
        <f t="shared" si="30"/>
        <v>0</v>
      </c>
      <c r="P139" s="514">
        <f t="shared" si="31"/>
        <v>0</v>
      </c>
      <c r="Q139" s="269"/>
    </row>
    <row r="140" spans="2:17">
      <c r="B140" s="195" t="str">
        <f t="shared" si="23"/>
        <v/>
      </c>
      <c r="C140" s="507">
        <f>IF(D93="","-",+C139+1)</f>
        <v>2049</v>
      </c>
      <c r="D140" s="374">
        <f>IF(F139+SUM(E$99:E139)=D$92,F139,D$92-SUM(E$99:E139))</f>
        <v>0</v>
      </c>
      <c r="E140" s="522">
        <f>IF(+J96&lt;F139,J96,D140)</f>
        <v>0</v>
      </c>
      <c r="F140" s="523">
        <f t="shared" si="26"/>
        <v>0</v>
      </c>
      <c r="G140" s="523">
        <f t="shared" si="27"/>
        <v>0</v>
      </c>
      <c r="H140" s="526">
        <f t="shared" si="24"/>
        <v>0</v>
      </c>
      <c r="I140" s="577">
        <f t="shared" si="25"/>
        <v>0</v>
      </c>
      <c r="J140" s="514">
        <f t="shared" si="28"/>
        <v>0</v>
      </c>
      <c r="K140" s="514"/>
      <c r="L140" s="525"/>
      <c r="M140" s="514">
        <f t="shared" si="29"/>
        <v>0</v>
      </c>
      <c r="N140" s="525"/>
      <c r="O140" s="514">
        <f t="shared" si="30"/>
        <v>0</v>
      </c>
      <c r="P140" s="514">
        <f t="shared" si="31"/>
        <v>0</v>
      </c>
      <c r="Q140" s="269"/>
    </row>
    <row r="141" spans="2:17">
      <c r="B141" s="195" t="str">
        <f t="shared" si="23"/>
        <v/>
      </c>
      <c r="C141" s="507">
        <f>IF(D93="","-",+C140+1)</f>
        <v>2050</v>
      </c>
      <c r="D141" s="374">
        <f>IF(F140+SUM(E$99:E140)=D$92,F140,D$92-SUM(E$99:E140))</f>
        <v>0</v>
      </c>
      <c r="E141" s="522">
        <f>IF(+J96&lt;F140,J96,D141)</f>
        <v>0</v>
      </c>
      <c r="F141" s="523">
        <f t="shared" si="26"/>
        <v>0</v>
      </c>
      <c r="G141" s="523">
        <f t="shared" si="27"/>
        <v>0</v>
      </c>
      <c r="H141" s="526">
        <f t="shared" si="24"/>
        <v>0</v>
      </c>
      <c r="I141" s="577">
        <f t="shared" si="25"/>
        <v>0</v>
      </c>
      <c r="J141" s="514">
        <f t="shared" si="28"/>
        <v>0</v>
      </c>
      <c r="K141" s="514"/>
      <c r="L141" s="525"/>
      <c r="M141" s="514">
        <f t="shared" si="29"/>
        <v>0</v>
      </c>
      <c r="N141" s="525"/>
      <c r="O141" s="514">
        <f t="shared" si="30"/>
        <v>0</v>
      </c>
      <c r="P141" s="514">
        <f t="shared" si="31"/>
        <v>0</v>
      </c>
      <c r="Q141" s="269"/>
    </row>
    <row r="142" spans="2:17">
      <c r="B142" s="195" t="str">
        <f t="shared" si="23"/>
        <v/>
      </c>
      <c r="C142" s="507">
        <f>IF(D93="","-",+C141+1)</f>
        <v>2051</v>
      </c>
      <c r="D142" s="374">
        <f>IF(F141+SUM(E$99:E141)=D$92,F141,D$92-SUM(E$99:E141))</f>
        <v>0</v>
      </c>
      <c r="E142" s="522">
        <f>IF(+J96&lt;F141,J96,D142)</f>
        <v>0</v>
      </c>
      <c r="F142" s="523">
        <f t="shared" si="26"/>
        <v>0</v>
      </c>
      <c r="G142" s="523">
        <f t="shared" si="27"/>
        <v>0</v>
      </c>
      <c r="H142" s="526">
        <f t="shared" si="24"/>
        <v>0</v>
      </c>
      <c r="I142" s="577">
        <f t="shared" si="25"/>
        <v>0</v>
      </c>
      <c r="J142" s="514">
        <f t="shared" si="28"/>
        <v>0</v>
      </c>
      <c r="K142" s="514"/>
      <c r="L142" s="525"/>
      <c r="M142" s="514">
        <f t="shared" si="29"/>
        <v>0</v>
      </c>
      <c r="N142" s="525"/>
      <c r="O142" s="514">
        <f t="shared" si="30"/>
        <v>0</v>
      </c>
      <c r="P142" s="514">
        <f t="shared" si="31"/>
        <v>0</v>
      </c>
      <c r="Q142" s="269"/>
    </row>
    <row r="143" spans="2:17">
      <c r="B143" s="195" t="str">
        <f t="shared" si="23"/>
        <v/>
      </c>
      <c r="C143" s="507">
        <f>IF(D93="","-",+C142+1)</f>
        <v>2052</v>
      </c>
      <c r="D143" s="374">
        <f>IF(F142+SUM(E$99:E142)=D$92,F142,D$92-SUM(E$99:E142))</f>
        <v>0</v>
      </c>
      <c r="E143" s="522">
        <f>IF(+J96&lt;F142,J96,D143)</f>
        <v>0</v>
      </c>
      <c r="F143" s="523">
        <f t="shared" si="26"/>
        <v>0</v>
      </c>
      <c r="G143" s="523">
        <f t="shared" si="27"/>
        <v>0</v>
      </c>
      <c r="H143" s="526">
        <f t="shared" si="24"/>
        <v>0</v>
      </c>
      <c r="I143" s="577">
        <f t="shared" si="25"/>
        <v>0</v>
      </c>
      <c r="J143" s="514">
        <f t="shared" si="28"/>
        <v>0</v>
      </c>
      <c r="K143" s="514"/>
      <c r="L143" s="525"/>
      <c r="M143" s="514">
        <f t="shared" si="29"/>
        <v>0</v>
      </c>
      <c r="N143" s="525"/>
      <c r="O143" s="514">
        <f t="shared" si="30"/>
        <v>0</v>
      </c>
      <c r="P143" s="514">
        <f t="shared" si="31"/>
        <v>0</v>
      </c>
      <c r="Q143" s="269"/>
    </row>
    <row r="144" spans="2:17">
      <c r="B144" s="195" t="str">
        <f t="shared" si="23"/>
        <v/>
      </c>
      <c r="C144" s="507">
        <f>IF(D93="","-",+C143+1)</f>
        <v>2053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26"/>
        <v>0</v>
      </c>
      <c r="G144" s="523">
        <f t="shared" si="27"/>
        <v>0</v>
      </c>
      <c r="H144" s="526">
        <f t="shared" si="24"/>
        <v>0</v>
      </c>
      <c r="I144" s="577">
        <f t="shared" si="25"/>
        <v>0</v>
      </c>
      <c r="J144" s="514">
        <f t="shared" si="28"/>
        <v>0</v>
      </c>
      <c r="K144" s="514"/>
      <c r="L144" s="525"/>
      <c r="M144" s="514">
        <f t="shared" si="29"/>
        <v>0</v>
      </c>
      <c r="N144" s="525"/>
      <c r="O144" s="514">
        <f t="shared" si="30"/>
        <v>0</v>
      </c>
      <c r="P144" s="514">
        <f t="shared" si="31"/>
        <v>0</v>
      </c>
      <c r="Q144" s="269"/>
    </row>
    <row r="145" spans="2:17">
      <c r="B145" s="195" t="str">
        <f t="shared" si="23"/>
        <v/>
      </c>
      <c r="C145" s="507">
        <f>IF(D93="","-",+C144+1)</f>
        <v>2054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26"/>
        <v>0</v>
      </c>
      <c r="G145" s="523">
        <f t="shared" si="27"/>
        <v>0</v>
      </c>
      <c r="H145" s="526">
        <f t="shared" si="24"/>
        <v>0</v>
      </c>
      <c r="I145" s="577">
        <f t="shared" si="25"/>
        <v>0</v>
      </c>
      <c r="J145" s="514">
        <f t="shared" si="28"/>
        <v>0</v>
      </c>
      <c r="K145" s="514"/>
      <c r="L145" s="525"/>
      <c r="M145" s="514">
        <f t="shared" si="29"/>
        <v>0</v>
      </c>
      <c r="N145" s="525"/>
      <c r="O145" s="514">
        <f t="shared" si="30"/>
        <v>0</v>
      </c>
      <c r="P145" s="514">
        <f t="shared" si="31"/>
        <v>0</v>
      </c>
      <c r="Q145" s="269"/>
    </row>
    <row r="146" spans="2:17">
      <c r="B146" s="195" t="str">
        <f t="shared" si="23"/>
        <v/>
      </c>
      <c r="C146" s="507">
        <f>IF(D93="","-",+C145+1)</f>
        <v>2055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26"/>
        <v>0</v>
      </c>
      <c r="G146" s="523">
        <f t="shared" si="27"/>
        <v>0</v>
      </c>
      <c r="H146" s="526">
        <f t="shared" si="24"/>
        <v>0</v>
      </c>
      <c r="I146" s="577">
        <f t="shared" si="25"/>
        <v>0</v>
      </c>
      <c r="J146" s="514">
        <f t="shared" si="28"/>
        <v>0</v>
      </c>
      <c r="K146" s="514"/>
      <c r="L146" s="525"/>
      <c r="M146" s="514">
        <f t="shared" si="29"/>
        <v>0</v>
      </c>
      <c r="N146" s="525"/>
      <c r="O146" s="514">
        <f t="shared" si="30"/>
        <v>0</v>
      </c>
      <c r="P146" s="514">
        <f t="shared" si="31"/>
        <v>0</v>
      </c>
      <c r="Q146" s="269"/>
    </row>
    <row r="147" spans="2:17">
      <c r="B147" s="195" t="str">
        <f t="shared" si="23"/>
        <v/>
      </c>
      <c r="C147" s="507">
        <f>IF(D93="","-",+C146+1)</f>
        <v>2056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26"/>
        <v>0</v>
      </c>
      <c r="G147" s="523">
        <f t="shared" si="27"/>
        <v>0</v>
      </c>
      <c r="H147" s="526">
        <f t="shared" si="24"/>
        <v>0</v>
      </c>
      <c r="I147" s="577">
        <f t="shared" si="25"/>
        <v>0</v>
      </c>
      <c r="J147" s="514">
        <f t="shared" si="28"/>
        <v>0</v>
      </c>
      <c r="K147" s="514"/>
      <c r="L147" s="525"/>
      <c r="M147" s="514">
        <f t="shared" si="29"/>
        <v>0</v>
      </c>
      <c r="N147" s="525"/>
      <c r="O147" s="514">
        <f t="shared" si="30"/>
        <v>0</v>
      </c>
      <c r="P147" s="514">
        <f t="shared" si="31"/>
        <v>0</v>
      </c>
      <c r="Q147" s="269"/>
    </row>
    <row r="148" spans="2:17">
      <c r="B148" s="195" t="str">
        <f t="shared" si="23"/>
        <v/>
      </c>
      <c r="C148" s="507">
        <f>IF(D93="","-",+C147+1)</f>
        <v>2057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26"/>
        <v>0</v>
      </c>
      <c r="G148" s="523">
        <f t="shared" si="27"/>
        <v>0</v>
      </c>
      <c r="H148" s="526">
        <f t="shared" si="24"/>
        <v>0</v>
      </c>
      <c r="I148" s="577">
        <f t="shared" si="25"/>
        <v>0</v>
      </c>
      <c r="J148" s="514">
        <f t="shared" si="28"/>
        <v>0</v>
      </c>
      <c r="K148" s="514"/>
      <c r="L148" s="525"/>
      <c r="M148" s="514">
        <f t="shared" si="29"/>
        <v>0</v>
      </c>
      <c r="N148" s="525"/>
      <c r="O148" s="514">
        <f t="shared" si="30"/>
        <v>0</v>
      </c>
      <c r="P148" s="514">
        <f t="shared" si="31"/>
        <v>0</v>
      </c>
      <c r="Q148" s="269"/>
    </row>
    <row r="149" spans="2:17">
      <c r="B149" s="195" t="str">
        <f t="shared" si="23"/>
        <v/>
      </c>
      <c r="C149" s="507">
        <f>IF(D93="","-",+C148+1)</f>
        <v>2058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26"/>
        <v>0</v>
      </c>
      <c r="G149" s="523">
        <f t="shared" si="27"/>
        <v>0</v>
      </c>
      <c r="H149" s="526">
        <f t="shared" si="24"/>
        <v>0</v>
      </c>
      <c r="I149" s="577">
        <f t="shared" si="25"/>
        <v>0</v>
      </c>
      <c r="J149" s="514">
        <f t="shared" si="28"/>
        <v>0</v>
      </c>
      <c r="K149" s="514"/>
      <c r="L149" s="525"/>
      <c r="M149" s="514">
        <f t="shared" si="29"/>
        <v>0</v>
      </c>
      <c r="N149" s="525"/>
      <c r="O149" s="514">
        <f t="shared" si="30"/>
        <v>0</v>
      </c>
      <c r="P149" s="514">
        <f t="shared" si="31"/>
        <v>0</v>
      </c>
      <c r="Q149" s="269"/>
    </row>
    <row r="150" spans="2:17">
      <c r="B150" s="195" t="str">
        <f t="shared" si="23"/>
        <v/>
      </c>
      <c r="C150" s="507">
        <f>IF(D93="","-",+C149+1)</f>
        <v>2059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26"/>
        <v>0</v>
      </c>
      <c r="G150" s="523">
        <f t="shared" si="27"/>
        <v>0</v>
      </c>
      <c r="H150" s="526">
        <f t="shared" si="24"/>
        <v>0</v>
      </c>
      <c r="I150" s="577">
        <f t="shared" si="25"/>
        <v>0</v>
      </c>
      <c r="J150" s="514">
        <f t="shared" si="28"/>
        <v>0</v>
      </c>
      <c r="K150" s="514"/>
      <c r="L150" s="525"/>
      <c r="M150" s="514">
        <f t="shared" si="29"/>
        <v>0</v>
      </c>
      <c r="N150" s="525"/>
      <c r="O150" s="514">
        <f t="shared" si="30"/>
        <v>0</v>
      </c>
      <c r="P150" s="514">
        <f t="shared" si="31"/>
        <v>0</v>
      </c>
      <c r="Q150" s="269"/>
    </row>
    <row r="151" spans="2:17">
      <c r="B151" s="195" t="str">
        <f t="shared" si="23"/>
        <v/>
      </c>
      <c r="C151" s="507">
        <f>IF(D93="","-",+C150+1)</f>
        <v>2060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26"/>
        <v>0</v>
      </c>
      <c r="G151" s="523">
        <f t="shared" si="27"/>
        <v>0</v>
      </c>
      <c r="H151" s="526">
        <f t="shared" si="24"/>
        <v>0</v>
      </c>
      <c r="I151" s="577">
        <f t="shared" si="25"/>
        <v>0</v>
      </c>
      <c r="J151" s="514">
        <f t="shared" si="28"/>
        <v>0</v>
      </c>
      <c r="K151" s="514"/>
      <c r="L151" s="525"/>
      <c r="M151" s="514">
        <f t="shared" si="29"/>
        <v>0</v>
      </c>
      <c r="N151" s="525"/>
      <c r="O151" s="514">
        <f t="shared" si="30"/>
        <v>0</v>
      </c>
      <c r="P151" s="514">
        <f t="shared" si="31"/>
        <v>0</v>
      </c>
      <c r="Q151" s="269"/>
    </row>
    <row r="152" spans="2:17">
      <c r="B152" s="195" t="str">
        <f t="shared" si="23"/>
        <v/>
      </c>
      <c r="C152" s="507">
        <f>IF(D93="","-",+C151+1)</f>
        <v>2061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26"/>
        <v>0</v>
      </c>
      <c r="G152" s="523">
        <f t="shared" si="27"/>
        <v>0</v>
      </c>
      <c r="H152" s="526">
        <f t="shared" si="24"/>
        <v>0</v>
      </c>
      <c r="I152" s="577">
        <f t="shared" si="25"/>
        <v>0</v>
      </c>
      <c r="J152" s="514">
        <f t="shared" si="28"/>
        <v>0</v>
      </c>
      <c r="K152" s="514"/>
      <c r="L152" s="525"/>
      <c r="M152" s="514">
        <f t="shared" si="29"/>
        <v>0</v>
      </c>
      <c r="N152" s="525"/>
      <c r="O152" s="514">
        <f t="shared" si="30"/>
        <v>0</v>
      </c>
      <c r="P152" s="514">
        <f t="shared" si="31"/>
        <v>0</v>
      </c>
      <c r="Q152" s="269"/>
    </row>
    <row r="153" spans="2:17">
      <c r="B153" s="195" t="str">
        <f t="shared" si="23"/>
        <v/>
      </c>
      <c r="C153" s="507">
        <f>IF(D93="","-",+C152+1)</f>
        <v>2062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26"/>
        <v>0</v>
      </c>
      <c r="G153" s="523">
        <f t="shared" si="27"/>
        <v>0</v>
      </c>
      <c r="H153" s="526">
        <f t="shared" si="24"/>
        <v>0</v>
      </c>
      <c r="I153" s="577">
        <f t="shared" si="25"/>
        <v>0</v>
      </c>
      <c r="J153" s="514">
        <f t="shared" si="28"/>
        <v>0</v>
      </c>
      <c r="K153" s="514"/>
      <c r="L153" s="525"/>
      <c r="M153" s="514">
        <f t="shared" si="29"/>
        <v>0</v>
      </c>
      <c r="N153" s="525"/>
      <c r="O153" s="514">
        <f t="shared" si="30"/>
        <v>0</v>
      </c>
      <c r="P153" s="514">
        <f t="shared" si="31"/>
        <v>0</v>
      </c>
      <c r="Q153" s="269"/>
    </row>
    <row r="154" spans="2:17" ht="13.5" thickBot="1">
      <c r="B154" s="195" t="str">
        <f t="shared" si="23"/>
        <v/>
      </c>
      <c r="C154" s="527">
        <f>IF(D93="","-",+C153+1)</f>
        <v>2063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26"/>
        <v>0</v>
      </c>
      <c r="G154" s="528">
        <f t="shared" si="27"/>
        <v>0</v>
      </c>
      <c r="H154" s="530">
        <f t="shared" si="24"/>
        <v>0</v>
      </c>
      <c r="I154" s="579">
        <f t="shared" si="25"/>
        <v>0</v>
      </c>
      <c r="J154" s="533">
        <f t="shared" si="28"/>
        <v>0</v>
      </c>
      <c r="K154" s="514"/>
      <c r="L154" s="532"/>
      <c r="M154" s="533">
        <f t="shared" si="29"/>
        <v>0</v>
      </c>
      <c r="N154" s="532"/>
      <c r="O154" s="533">
        <f t="shared" si="30"/>
        <v>0</v>
      </c>
      <c r="P154" s="533">
        <f t="shared" si="31"/>
        <v>0</v>
      </c>
      <c r="Q154" s="269"/>
    </row>
    <row r="155" spans="2:17">
      <c r="C155" s="374" t="s">
        <v>78</v>
      </c>
      <c r="D155" s="375"/>
      <c r="E155" s="375">
        <f>SUM(E99:E154)</f>
        <v>0</v>
      </c>
      <c r="F155" s="375"/>
      <c r="G155" s="375"/>
      <c r="H155" s="375">
        <f>SUM(H99:H154)</f>
        <v>0</v>
      </c>
      <c r="I155" s="375">
        <f>SUM(I99:I154)</f>
        <v>0</v>
      </c>
      <c r="J155" s="375">
        <f>SUM(J99:J154)</f>
        <v>0</v>
      </c>
      <c r="K155" s="375"/>
      <c r="L155" s="375"/>
      <c r="M155" s="375"/>
      <c r="N155" s="375"/>
      <c r="O155" s="375"/>
      <c r="P155" s="269"/>
      <c r="Q155" s="269"/>
    </row>
    <row r="156" spans="2:17"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  <c r="Q156" s="269"/>
    </row>
    <row r="157" spans="2:17">
      <c r="C157" s="580" t="s">
        <v>92</v>
      </c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  <c r="Q157" s="269"/>
    </row>
    <row r="158" spans="2:17"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  <c r="Q158" s="269"/>
    </row>
    <row r="159" spans="2:17">
      <c r="C159" s="534" t="s">
        <v>97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  <c r="Q159" s="269"/>
    </row>
    <row r="160" spans="2:17">
      <c r="C160" s="581" t="s">
        <v>79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  <c r="Q160" s="269"/>
    </row>
    <row r="161" spans="3:17">
      <c r="C161" s="581" t="s">
        <v>80</v>
      </c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  <c r="Q161" s="269"/>
    </row>
    <row r="162" spans="3:17" ht="18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454" t="s">
        <v>131</v>
      </c>
      <c r="Q162" s="269"/>
    </row>
  </sheetData>
  <phoneticPr fontId="0" type="noConversion"/>
  <conditionalFormatting sqref="C17:C72">
    <cfRule type="cellIs" dxfId="143" priority="1" stopIfTrue="1" operator="equal">
      <formula>$I$10</formula>
    </cfRule>
  </conditionalFormatting>
  <conditionalFormatting sqref="C99:C154">
    <cfRule type="cellIs" dxfId="142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60">
    <tabColor indexed="8"/>
  </sheetPr>
  <dimension ref="A1:Q162"/>
  <sheetViews>
    <sheetView view="pageBreakPreview" topLeftCell="A76" zoomScale="84" zoomScaleNormal="100" zoomScaleSheetLayoutView="84" workbookViewId="0">
      <selection activeCell="C114" sqref="C114"/>
    </sheetView>
  </sheetViews>
  <sheetFormatPr defaultColWidth="8.7109375" defaultRowHeight="12.75" customHeight="1"/>
  <cols>
    <col min="1" max="1" width="4.7109375" style="183" customWidth="1"/>
    <col min="2" max="2" width="6.7109375" style="183" customWidth="1"/>
    <col min="3" max="3" width="23.28515625" style="183" customWidth="1"/>
    <col min="4" max="8" width="17.7109375" style="183" customWidth="1"/>
    <col min="9" max="9" width="20.42578125" style="183" customWidth="1"/>
    <col min="10" max="10" width="16.42578125" style="183" customWidth="1"/>
    <col min="11" max="11" width="17.7109375" style="183" customWidth="1"/>
    <col min="12" max="12" width="16.140625" style="183" customWidth="1"/>
    <col min="13" max="13" width="17.7109375" style="183" customWidth="1"/>
    <col min="14" max="14" width="16.140625" style="183" customWidth="1"/>
    <col min="15" max="15" width="16.85546875" style="183" customWidth="1"/>
    <col min="16" max="16" width="24.42578125" style="183" customWidth="1"/>
    <col min="17" max="17" width="4.7109375" style="183" customWidth="1"/>
    <col min="18" max="22" width="8.7109375" style="183"/>
    <col min="23" max="23" width="9.140625" style="183" customWidth="1"/>
    <col min="24" max="16384" width="8.7109375" style="183"/>
  </cols>
  <sheetData>
    <row r="1" spans="1:17" ht="20.25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11 of 75</v>
      </c>
      <c r="Q1" s="453" t="s">
        <v>165</v>
      </c>
    </row>
    <row r="2" spans="1:17" ht="18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454" t="s">
        <v>129</v>
      </c>
    </row>
    <row r="3" spans="1:17" ht="18.75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 t="str">
        <f>RIGHT(N3,3)</f>
        <v/>
      </c>
      <c r="P3" s="455">
        <v>1</v>
      </c>
    </row>
    <row r="4" spans="1:17" ht="15.75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7" ht="1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0</v>
      </c>
      <c r="P5" s="269"/>
    </row>
    <row r="6" spans="1:17" ht="15.7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0</v>
      </c>
      <c r="O6" s="269"/>
      <c r="P6" s="269"/>
    </row>
    <row r="7" spans="1:17" ht="13.5" thickBot="1">
      <c r="C7" s="467" t="s">
        <v>48</v>
      </c>
      <c r="D7" s="468" t="s">
        <v>236</v>
      </c>
      <c r="E7" s="269"/>
      <c r="F7" s="269"/>
      <c r="G7" s="269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7" ht="13.5" thickBot="1">
      <c r="C8" s="472"/>
      <c r="D8" s="599" t="str">
        <f>IF(D10&lt;100000,"DOES NOT MEET SPP $100,000 MINIMUM INVESTMENT FOR REGIONAL BPU SHARING.","")</f>
        <v>DOES NOT MEET SPP $100,000 MINIMUM INVESTMENT FOR REGIONAL BPU SHARING.</v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7" ht="13.5" thickBot="1">
      <c r="A9" s="191"/>
      <c r="C9" s="476" t="s">
        <v>50</v>
      </c>
      <c r="D9" s="477"/>
      <c r="E9" s="478"/>
      <c r="F9" s="478"/>
      <c r="G9" s="478"/>
      <c r="H9" s="478"/>
      <c r="I9" s="479"/>
      <c r="J9" s="480"/>
      <c r="O9" s="481"/>
      <c r="P9" s="272"/>
    </row>
    <row r="10" spans="1:17">
      <c r="C10" s="482" t="s">
        <v>51</v>
      </c>
      <c r="D10" s="483">
        <v>0</v>
      </c>
      <c r="E10" s="353" t="s">
        <v>52</v>
      </c>
      <c r="F10" s="481"/>
      <c r="G10" s="484"/>
      <c r="H10" s="484"/>
      <c r="I10" s="485">
        <f>+'SWE.WS.F.BPU.ATRR.Projected'!L19</f>
        <v>2024</v>
      </c>
      <c r="J10" s="480"/>
      <c r="K10" s="375" t="s">
        <v>53</v>
      </c>
      <c r="O10" s="272"/>
      <c r="P10" s="272"/>
    </row>
    <row r="11" spans="1:17">
      <c r="C11" s="486" t="s">
        <v>54</v>
      </c>
      <c r="D11" s="487">
        <v>2007</v>
      </c>
      <c r="E11" s="486" t="s">
        <v>55</v>
      </c>
      <c r="F11" s="484"/>
      <c r="G11" s="233"/>
      <c r="H11" s="233"/>
      <c r="I11" s="488"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7">
      <c r="C12" s="486" t="s">
        <v>56</v>
      </c>
      <c r="D12" s="483">
        <v>5</v>
      </c>
      <c r="E12" s="486" t="s">
        <v>57</v>
      </c>
      <c r="F12" s="484"/>
      <c r="G12" s="233"/>
      <c r="H12" s="233"/>
      <c r="I12" s="490">
        <f>'SWE.WS.F.BPU.ATRR.Projected'!$F$81</f>
        <v>0.11952713165403545</v>
      </c>
      <c r="J12" s="425"/>
      <c r="K12" s="183" t="s">
        <v>58</v>
      </c>
      <c r="O12" s="272"/>
      <c r="P12" s="272"/>
    </row>
    <row r="13" spans="1:17">
      <c r="C13" s="486" t="s">
        <v>59</v>
      </c>
      <c r="D13" s="488">
        <f>+'SWE.WS.F.BPU.ATRR.Projected'!F$93</f>
        <v>44</v>
      </c>
      <c r="E13" s="486" t="s">
        <v>60</v>
      </c>
      <c r="F13" s="484"/>
      <c r="G13" s="233"/>
      <c r="H13" s="233"/>
      <c r="I13" s="490">
        <f>IF(G5="",I12,'SWE.WS.F.BPU.ATRR.Projected'!$F$80)</f>
        <v>0.11952713165403545</v>
      </c>
      <c r="J13" s="425"/>
      <c r="K13" s="375" t="s">
        <v>61</v>
      </c>
      <c r="L13" s="324"/>
      <c r="M13" s="324"/>
      <c r="N13" s="324"/>
      <c r="O13" s="272"/>
      <c r="P13" s="272"/>
    </row>
    <row r="14" spans="1:17" ht="13.5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0</v>
      </c>
      <c r="J14" s="375"/>
      <c r="K14" s="375"/>
      <c r="L14" s="375"/>
      <c r="M14" s="375"/>
      <c r="N14" s="375"/>
      <c r="O14" s="272"/>
      <c r="P14" s="272"/>
    </row>
    <row r="15" spans="1:17" ht="38.25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388</v>
      </c>
      <c r="H15" s="495" t="s">
        <v>389</v>
      </c>
      <c r="I15" s="496" t="s">
        <v>260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7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600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>
      <c r="C17" s="507">
        <f>IF(D11= "","-",D11)</f>
        <v>2007</v>
      </c>
      <c r="D17" s="374">
        <f>D10</f>
        <v>0</v>
      </c>
      <c r="E17" s="601">
        <f>I14/12*(12-D12)</f>
        <v>0</v>
      </c>
      <c r="F17" s="374">
        <f t="shared" ref="F17:F48" si="0">+D17-E17</f>
        <v>0</v>
      </c>
      <c r="G17" s="601">
        <f t="shared" ref="G17:G48" si="1">+I$12*((D17+F17)/2)+E17</f>
        <v>0</v>
      </c>
      <c r="H17" s="491">
        <f t="shared" ref="H17:H48" si="2">+I$13*((D17+F17)/2)+E17</f>
        <v>0</v>
      </c>
      <c r="I17" s="511">
        <f t="shared" ref="I17:I48" si="3">H17-G17</f>
        <v>0</v>
      </c>
      <c r="J17" s="511"/>
      <c r="K17" s="512">
        <v>741629</v>
      </c>
      <c r="L17" s="513">
        <f t="shared" ref="L17:L48" si="4">IF(K17&lt;&gt;0,+G17-K17,0)</f>
        <v>-741629</v>
      </c>
      <c r="M17" s="512">
        <f>K17</f>
        <v>741629</v>
      </c>
      <c r="N17" s="513">
        <f t="shared" ref="N17:N48" si="5">IF(M17&lt;&gt;0,+H17-M17,0)</f>
        <v>-741629</v>
      </c>
      <c r="O17" s="514">
        <f t="shared" ref="O17:O48" si="6">+N17-L17</f>
        <v>0</v>
      </c>
      <c r="P17" s="272"/>
    </row>
    <row r="18" spans="2:16">
      <c r="B18" s="195" t="str">
        <f>IF(D18=F17,"","IU")</f>
        <v/>
      </c>
      <c r="C18" s="507">
        <f>IF(D11="","-",+C17+1)</f>
        <v>2008</v>
      </c>
      <c r="D18" s="523">
        <f t="shared" ref="D18:D24" si="7">F17</f>
        <v>0</v>
      </c>
      <c r="E18" s="522">
        <f>IF(+I14&lt;F17,I14,D18)</f>
        <v>0</v>
      </c>
      <c r="F18" s="523">
        <f t="shared" si="0"/>
        <v>0</v>
      </c>
      <c r="G18" s="524">
        <f t="shared" si="1"/>
        <v>0</v>
      </c>
      <c r="H18" s="491">
        <f t="shared" si="2"/>
        <v>0</v>
      </c>
      <c r="I18" s="511">
        <f t="shared" si="3"/>
        <v>0</v>
      </c>
      <c r="J18" s="511"/>
      <c r="K18" s="518">
        <v>0</v>
      </c>
      <c r="L18" s="514">
        <f t="shared" si="4"/>
        <v>0</v>
      </c>
      <c r="M18" s="518">
        <v>0</v>
      </c>
      <c r="N18" s="514">
        <f t="shared" si="5"/>
        <v>0</v>
      </c>
      <c r="O18" s="514">
        <f t="shared" si="6"/>
        <v>0</v>
      </c>
      <c r="P18" s="272"/>
    </row>
    <row r="19" spans="2:16">
      <c r="B19" s="195" t="str">
        <f>IF(D19=F18,"","IU")</f>
        <v/>
      </c>
      <c r="C19" s="507">
        <f>IF(D11="","-",+C18+1)</f>
        <v>2009</v>
      </c>
      <c r="D19" s="523">
        <f t="shared" si="7"/>
        <v>0</v>
      </c>
      <c r="E19" s="522">
        <f>IF(+I14&lt;F18,I14,D19)</f>
        <v>0</v>
      </c>
      <c r="F19" s="523">
        <f t="shared" si="0"/>
        <v>0</v>
      </c>
      <c r="G19" s="524">
        <f t="shared" si="1"/>
        <v>0</v>
      </c>
      <c r="H19" s="491">
        <f t="shared" si="2"/>
        <v>0</v>
      </c>
      <c r="I19" s="511">
        <f t="shared" si="3"/>
        <v>0</v>
      </c>
      <c r="J19" s="511"/>
      <c r="K19" s="518">
        <v>0</v>
      </c>
      <c r="L19" s="514">
        <f t="shared" si="4"/>
        <v>0</v>
      </c>
      <c r="M19" s="518">
        <v>0</v>
      </c>
      <c r="N19" s="514">
        <f t="shared" si="5"/>
        <v>0</v>
      </c>
      <c r="O19" s="514">
        <f t="shared" si="6"/>
        <v>0</v>
      </c>
      <c r="P19" s="272"/>
    </row>
    <row r="20" spans="2:16">
      <c r="B20" s="195" t="str">
        <f t="shared" ref="B20:B72" si="8">IF(D20=F19,"","IU")</f>
        <v/>
      </c>
      <c r="C20" s="507">
        <f>IF(D11="","-",+C19+1)</f>
        <v>2010</v>
      </c>
      <c r="D20" s="523">
        <f t="shared" si="7"/>
        <v>0</v>
      </c>
      <c r="E20" s="522">
        <f>IF(+I14&lt;F19,I14,D20)</f>
        <v>0</v>
      </c>
      <c r="F20" s="523">
        <f t="shared" si="0"/>
        <v>0</v>
      </c>
      <c r="G20" s="524">
        <f t="shared" si="1"/>
        <v>0</v>
      </c>
      <c r="H20" s="491">
        <f t="shared" si="2"/>
        <v>0</v>
      </c>
      <c r="I20" s="511">
        <f t="shared" si="3"/>
        <v>0</v>
      </c>
      <c r="J20" s="511"/>
      <c r="K20" s="525"/>
      <c r="L20" s="514">
        <f t="shared" si="4"/>
        <v>0</v>
      </c>
      <c r="M20" s="525"/>
      <c r="N20" s="514">
        <f t="shared" si="5"/>
        <v>0</v>
      </c>
      <c r="O20" s="514">
        <f t="shared" si="6"/>
        <v>0</v>
      </c>
      <c r="P20" s="272"/>
    </row>
    <row r="21" spans="2:16">
      <c r="B21" s="195" t="str">
        <f t="shared" si="8"/>
        <v/>
      </c>
      <c r="C21" s="507">
        <f>IF(D12="","-",+C20+1)</f>
        <v>2011</v>
      </c>
      <c r="D21" s="523">
        <f t="shared" si="7"/>
        <v>0</v>
      </c>
      <c r="E21" s="522">
        <f>IF(+I14&lt;F20,I14,D21)</f>
        <v>0</v>
      </c>
      <c r="F21" s="523">
        <f t="shared" si="0"/>
        <v>0</v>
      </c>
      <c r="G21" s="524">
        <f t="shared" si="1"/>
        <v>0</v>
      </c>
      <c r="H21" s="491">
        <f t="shared" si="2"/>
        <v>0</v>
      </c>
      <c r="I21" s="511">
        <f t="shared" si="3"/>
        <v>0</v>
      </c>
      <c r="J21" s="511"/>
      <c r="K21" s="525"/>
      <c r="L21" s="514">
        <f t="shared" si="4"/>
        <v>0</v>
      </c>
      <c r="M21" s="525"/>
      <c r="N21" s="514">
        <f t="shared" si="5"/>
        <v>0</v>
      </c>
      <c r="O21" s="514">
        <f t="shared" si="6"/>
        <v>0</v>
      </c>
      <c r="P21" s="272"/>
    </row>
    <row r="22" spans="2:16">
      <c r="B22" s="195" t="str">
        <f t="shared" si="8"/>
        <v/>
      </c>
      <c r="C22" s="507">
        <f>IF(D11="","-",+C21+1)</f>
        <v>2012</v>
      </c>
      <c r="D22" s="523">
        <f t="shared" si="7"/>
        <v>0</v>
      </c>
      <c r="E22" s="522">
        <f>IF(+I14&lt;F21,I14,D22)</f>
        <v>0</v>
      </c>
      <c r="F22" s="523">
        <f t="shared" si="0"/>
        <v>0</v>
      </c>
      <c r="G22" s="524">
        <f t="shared" si="1"/>
        <v>0</v>
      </c>
      <c r="H22" s="491">
        <f t="shared" si="2"/>
        <v>0</v>
      </c>
      <c r="I22" s="511">
        <f t="shared" si="3"/>
        <v>0</v>
      </c>
      <c r="J22" s="511"/>
      <c r="K22" s="525"/>
      <c r="L22" s="514">
        <f t="shared" si="4"/>
        <v>0</v>
      </c>
      <c r="M22" s="525"/>
      <c r="N22" s="514">
        <f t="shared" si="5"/>
        <v>0</v>
      </c>
      <c r="O22" s="514">
        <f t="shared" si="6"/>
        <v>0</v>
      </c>
      <c r="P22" s="272"/>
    </row>
    <row r="23" spans="2:16">
      <c r="B23" s="195" t="str">
        <f t="shared" si="8"/>
        <v/>
      </c>
      <c r="C23" s="507">
        <f>IF(D11="","-",+C22+1)</f>
        <v>2013</v>
      </c>
      <c r="D23" s="523">
        <f t="shared" si="7"/>
        <v>0</v>
      </c>
      <c r="E23" s="522">
        <f>IF(+I14&lt;F22,I14,D23)</f>
        <v>0</v>
      </c>
      <c r="F23" s="523">
        <f t="shared" si="0"/>
        <v>0</v>
      </c>
      <c r="G23" s="524">
        <f t="shared" si="1"/>
        <v>0</v>
      </c>
      <c r="H23" s="491">
        <f t="shared" si="2"/>
        <v>0</v>
      </c>
      <c r="I23" s="511">
        <f t="shared" si="3"/>
        <v>0</v>
      </c>
      <c r="J23" s="511"/>
      <c r="K23" s="525"/>
      <c r="L23" s="514">
        <f t="shared" si="4"/>
        <v>0</v>
      </c>
      <c r="M23" s="525"/>
      <c r="N23" s="514">
        <f t="shared" si="5"/>
        <v>0</v>
      </c>
      <c r="O23" s="514">
        <f t="shared" si="6"/>
        <v>0</v>
      </c>
      <c r="P23" s="272"/>
    </row>
    <row r="24" spans="2:16">
      <c r="B24" s="195" t="str">
        <f t="shared" si="8"/>
        <v/>
      </c>
      <c r="C24" s="507">
        <f>IF(D11="","-",+C23+1)</f>
        <v>2014</v>
      </c>
      <c r="D24" s="523">
        <f t="shared" si="7"/>
        <v>0</v>
      </c>
      <c r="E24" s="522">
        <f>IF(+I14&lt;F23,I14,D24)</f>
        <v>0</v>
      </c>
      <c r="F24" s="523">
        <f t="shared" si="0"/>
        <v>0</v>
      </c>
      <c r="G24" s="524">
        <f t="shared" si="1"/>
        <v>0</v>
      </c>
      <c r="H24" s="491">
        <f t="shared" si="2"/>
        <v>0</v>
      </c>
      <c r="I24" s="511">
        <f t="shared" si="3"/>
        <v>0</v>
      </c>
      <c r="J24" s="511"/>
      <c r="K24" s="525"/>
      <c r="L24" s="514">
        <f t="shared" si="4"/>
        <v>0</v>
      </c>
      <c r="M24" s="525"/>
      <c r="N24" s="514">
        <f t="shared" si="5"/>
        <v>0</v>
      </c>
      <c r="O24" s="514">
        <f t="shared" si="6"/>
        <v>0</v>
      </c>
      <c r="P24" s="272"/>
    </row>
    <row r="25" spans="2:16">
      <c r="B25" s="195" t="str">
        <f t="shared" si="8"/>
        <v/>
      </c>
      <c r="C25" s="507">
        <f>IF(D11="","-",+C24+1)</f>
        <v>2015</v>
      </c>
      <c r="D25" s="523">
        <f>IF(F24+SUM(E$17:E24)=D$10,F24,D$10-SUM(E$17:E24))</f>
        <v>0</v>
      </c>
      <c r="E25" s="522">
        <f>IF(+I14&lt;F24,I14,D25)</f>
        <v>0</v>
      </c>
      <c r="F25" s="523">
        <f t="shared" si="0"/>
        <v>0</v>
      </c>
      <c r="G25" s="524">
        <f t="shared" si="1"/>
        <v>0</v>
      </c>
      <c r="H25" s="491">
        <f t="shared" si="2"/>
        <v>0</v>
      </c>
      <c r="I25" s="511">
        <f t="shared" si="3"/>
        <v>0</v>
      </c>
      <c r="J25" s="511"/>
      <c r="K25" s="525"/>
      <c r="L25" s="514">
        <f t="shared" si="4"/>
        <v>0</v>
      </c>
      <c r="M25" s="525"/>
      <c r="N25" s="514">
        <f t="shared" si="5"/>
        <v>0</v>
      </c>
      <c r="O25" s="514">
        <f t="shared" si="6"/>
        <v>0</v>
      </c>
      <c r="P25" s="272"/>
    </row>
    <row r="26" spans="2:16">
      <c r="B26" s="195" t="str">
        <f t="shared" si="8"/>
        <v/>
      </c>
      <c r="C26" s="507">
        <f>IF(D11="","-",+C25+1)</f>
        <v>2016</v>
      </c>
      <c r="D26" s="523">
        <f>IF(F25+SUM(E$17:E25)=D$10,F25,D$10-SUM(E$17:E25))</f>
        <v>0</v>
      </c>
      <c r="E26" s="522">
        <f>IF(+I14&lt;F25,I14,D26)</f>
        <v>0</v>
      </c>
      <c r="F26" s="523">
        <f t="shared" si="0"/>
        <v>0</v>
      </c>
      <c r="G26" s="524">
        <f t="shared" si="1"/>
        <v>0</v>
      </c>
      <c r="H26" s="491">
        <f t="shared" si="2"/>
        <v>0</v>
      </c>
      <c r="I26" s="511">
        <f t="shared" si="3"/>
        <v>0</v>
      </c>
      <c r="J26" s="511"/>
      <c r="K26" s="525"/>
      <c r="L26" s="514">
        <f t="shared" si="4"/>
        <v>0</v>
      </c>
      <c r="M26" s="525"/>
      <c r="N26" s="514">
        <f t="shared" si="5"/>
        <v>0</v>
      </c>
      <c r="O26" s="514">
        <f t="shared" si="6"/>
        <v>0</v>
      </c>
      <c r="P26" s="272"/>
    </row>
    <row r="27" spans="2:16">
      <c r="B27" s="195" t="str">
        <f t="shared" si="8"/>
        <v/>
      </c>
      <c r="C27" s="507">
        <f>IF(D11="","-",+C26+1)</f>
        <v>2017</v>
      </c>
      <c r="D27" s="521">
        <f>IF(F26+SUM(E$17:E26)=D$10,F26,D$10-SUM(E$17:E26))</f>
        <v>0</v>
      </c>
      <c r="E27" s="522">
        <f>IF(+I14&lt;F26,I14,D27)</f>
        <v>0</v>
      </c>
      <c r="F27" s="523">
        <f t="shared" si="0"/>
        <v>0</v>
      </c>
      <c r="G27" s="524">
        <f t="shared" si="1"/>
        <v>0</v>
      </c>
      <c r="H27" s="491">
        <f t="shared" si="2"/>
        <v>0</v>
      </c>
      <c r="I27" s="511">
        <f t="shared" si="3"/>
        <v>0</v>
      </c>
      <c r="J27" s="511"/>
      <c r="K27" s="525"/>
      <c r="L27" s="514">
        <f t="shared" si="4"/>
        <v>0</v>
      </c>
      <c r="M27" s="525"/>
      <c r="N27" s="514">
        <f t="shared" si="5"/>
        <v>0</v>
      </c>
      <c r="O27" s="514">
        <f t="shared" si="6"/>
        <v>0</v>
      </c>
      <c r="P27" s="272"/>
    </row>
    <row r="28" spans="2:16">
      <c r="B28" s="195" t="str">
        <f t="shared" si="8"/>
        <v/>
      </c>
      <c r="C28" s="507">
        <f>IF(D11="","-",+C27+1)</f>
        <v>2018</v>
      </c>
      <c r="D28" s="523">
        <f>IF(F27+SUM(E$17:E27)=D$10,F27,D$10-SUM(E$17:E27))</f>
        <v>0</v>
      </c>
      <c r="E28" s="522">
        <f>IF(+I14&lt;F27,I14,D28)</f>
        <v>0</v>
      </c>
      <c r="F28" s="523">
        <f t="shared" si="0"/>
        <v>0</v>
      </c>
      <c r="G28" s="524">
        <f t="shared" si="1"/>
        <v>0</v>
      </c>
      <c r="H28" s="491">
        <f t="shared" si="2"/>
        <v>0</v>
      </c>
      <c r="I28" s="511">
        <f t="shared" si="3"/>
        <v>0</v>
      </c>
      <c r="J28" s="511"/>
      <c r="K28" s="525"/>
      <c r="L28" s="514">
        <f t="shared" si="4"/>
        <v>0</v>
      </c>
      <c r="M28" s="525"/>
      <c r="N28" s="514">
        <f t="shared" si="5"/>
        <v>0</v>
      </c>
      <c r="O28" s="514">
        <f t="shared" si="6"/>
        <v>0</v>
      </c>
      <c r="P28" s="272"/>
    </row>
    <row r="29" spans="2:16">
      <c r="B29" s="195" t="str">
        <f t="shared" si="8"/>
        <v/>
      </c>
      <c r="C29" s="507">
        <f>IF(D11="","-",+C28+1)</f>
        <v>2019</v>
      </c>
      <c r="D29" s="523">
        <f>IF(F28+SUM(E$17:E28)=D$10,F28,D$10-SUM(E$17:E28))</f>
        <v>0</v>
      </c>
      <c r="E29" s="522">
        <f>IF(+I14&lt;F28,I14,D29)</f>
        <v>0</v>
      </c>
      <c r="F29" s="523">
        <f t="shared" si="0"/>
        <v>0</v>
      </c>
      <c r="G29" s="524">
        <f t="shared" si="1"/>
        <v>0</v>
      </c>
      <c r="H29" s="491">
        <f t="shared" si="2"/>
        <v>0</v>
      </c>
      <c r="I29" s="511">
        <f t="shared" si="3"/>
        <v>0</v>
      </c>
      <c r="J29" s="511"/>
      <c r="K29" s="525"/>
      <c r="L29" s="514">
        <f t="shared" si="4"/>
        <v>0</v>
      </c>
      <c r="M29" s="525"/>
      <c r="N29" s="514">
        <f t="shared" si="5"/>
        <v>0</v>
      </c>
      <c r="O29" s="514">
        <f t="shared" si="6"/>
        <v>0</v>
      </c>
      <c r="P29" s="272"/>
    </row>
    <row r="30" spans="2:16">
      <c r="B30" s="195" t="str">
        <f t="shared" si="8"/>
        <v/>
      </c>
      <c r="C30" s="507">
        <f>IF(D11="","-",+C29+1)</f>
        <v>2020</v>
      </c>
      <c r="D30" s="523">
        <f>IF(F29+SUM(E$17:E29)=D$10,F29,D$10-SUM(E$17:E29))</f>
        <v>0</v>
      </c>
      <c r="E30" s="522">
        <f>IF(+I14&lt;F29,I14,D30)</f>
        <v>0</v>
      </c>
      <c r="F30" s="523">
        <f t="shared" si="0"/>
        <v>0</v>
      </c>
      <c r="G30" s="524">
        <f t="shared" si="1"/>
        <v>0</v>
      </c>
      <c r="H30" s="491">
        <f t="shared" si="2"/>
        <v>0</v>
      </c>
      <c r="I30" s="511">
        <f t="shared" si="3"/>
        <v>0</v>
      </c>
      <c r="J30" s="511"/>
      <c r="K30" s="525"/>
      <c r="L30" s="514">
        <f t="shared" si="4"/>
        <v>0</v>
      </c>
      <c r="M30" s="525"/>
      <c r="N30" s="514">
        <f t="shared" si="5"/>
        <v>0</v>
      </c>
      <c r="O30" s="514">
        <f t="shared" si="6"/>
        <v>0</v>
      </c>
      <c r="P30" s="272"/>
    </row>
    <row r="31" spans="2:16">
      <c r="B31" s="195" t="str">
        <f t="shared" si="8"/>
        <v/>
      </c>
      <c r="C31" s="507">
        <f>IF(D11="","-",+C30+1)</f>
        <v>2021</v>
      </c>
      <c r="D31" s="523">
        <f>IF(F30+SUM(E$17:E30)=D$10,F30,D$10-SUM(E$17:E30))</f>
        <v>0</v>
      </c>
      <c r="E31" s="522">
        <f>IF(+I14&lt;F30,I14,D31)</f>
        <v>0</v>
      </c>
      <c r="F31" s="523">
        <f t="shared" si="0"/>
        <v>0</v>
      </c>
      <c r="G31" s="524">
        <f t="shared" si="1"/>
        <v>0</v>
      </c>
      <c r="H31" s="491">
        <f t="shared" si="2"/>
        <v>0</v>
      </c>
      <c r="I31" s="511">
        <f t="shared" si="3"/>
        <v>0</v>
      </c>
      <c r="J31" s="511"/>
      <c r="K31" s="525"/>
      <c r="L31" s="514">
        <f t="shared" si="4"/>
        <v>0</v>
      </c>
      <c r="M31" s="525"/>
      <c r="N31" s="514">
        <f t="shared" si="5"/>
        <v>0</v>
      </c>
      <c r="O31" s="514">
        <f t="shared" si="6"/>
        <v>0</v>
      </c>
      <c r="P31" s="272"/>
    </row>
    <row r="32" spans="2:16">
      <c r="B32" s="195" t="str">
        <f t="shared" si="8"/>
        <v/>
      </c>
      <c r="C32" s="507">
        <f>IF(D11="","-",+C31+1)</f>
        <v>2022</v>
      </c>
      <c r="D32" s="523">
        <f>IF(F31+SUM(E$17:E31)=D$10,F31,D$10-SUM(E$17:E31))</f>
        <v>0</v>
      </c>
      <c r="E32" s="522">
        <f>IF(+I14&lt;F31,I14,D32)</f>
        <v>0</v>
      </c>
      <c r="F32" s="523">
        <f t="shared" si="0"/>
        <v>0</v>
      </c>
      <c r="G32" s="524">
        <f t="shared" si="1"/>
        <v>0</v>
      </c>
      <c r="H32" s="491">
        <f t="shared" si="2"/>
        <v>0</v>
      </c>
      <c r="I32" s="511">
        <f t="shared" si="3"/>
        <v>0</v>
      </c>
      <c r="J32" s="511"/>
      <c r="K32" s="525"/>
      <c r="L32" s="514">
        <f t="shared" si="4"/>
        <v>0</v>
      </c>
      <c r="M32" s="525"/>
      <c r="N32" s="514">
        <f t="shared" si="5"/>
        <v>0</v>
      </c>
      <c r="O32" s="514">
        <f t="shared" si="6"/>
        <v>0</v>
      </c>
      <c r="P32" s="272"/>
    </row>
    <row r="33" spans="2:16">
      <c r="B33" s="195" t="str">
        <f t="shared" si="8"/>
        <v/>
      </c>
      <c r="C33" s="507">
        <f>IF(D11="","-",+C32+1)</f>
        <v>2023</v>
      </c>
      <c r="D33" s="523">
        <f>IF(F32+SUM(E$17:E32)=D$10,F32,D$10-SUM(E$17:E32))</f>
        <v>0</v>
      </c>
      <c r="E33" s="522">
        <f>IF(+I14&lt;F32,I14,D33)</f>
        <v>0</v>
      </c>
      <c r="F33" s="523">
        <f t="shared" si="0"/>
        <v>0</v>
      </c>
      <c r="G33" s="524">
        <f t="shared" si="1"/>
        <v>0</v>
      </c>
      <c r="H33" s="491">
        <f t="shared" si="2"/>
        <v>0</v>
      </c>
      <c r="I33" s="511">
        <f t="shared" si="3"/>
        <v>0</v>
      </c>
      <c r="J33" s="511"/>
      <c r="K33" s="525"/>
      <c r="L33" s="514">
        <f t="shared" si="4"/>
        <v>0</v>
      </c>
      <c r="M33" s="525"/>
      <c r="N33" s="514">
        <f t="shared" si="5"/>
        <v>0</v>
      </c>
      <c r="O33" s="514">
        <f t="shared" si="6"/>
        <v>0</v>
      </c>
      <c r="P33" s="272"/>
    </row>
    <row r="34" spans="2:16">
      <c r="B34" s="195" t="str">
        <f t="shared" si="8"/>
        <v/>
      </c>
      <c r="C34" s="673">
        <f>IF(D11="","-",+C33+1)</f>
        <v>2024</v>
      </c>
      <c r="D34" s="523">
        <f>IF(F33+SUM(E$17:E33)=D$10,F33,D$10-SUM(E$17:E33))</f>
        <v>0</v>
      </c>
      <c r="E34" s="522">
        <f>IF(+I14&lt;F33,I14,D34)</f>
        <v>0</v>
      </c>
      <c r="F34" s="523">
        <f t="shared" si="0"/>
        <v>0</v>
      </c>
      <c r="G34" s="524">
        <f t="shared" si="1"/>
        <v>0</v>
      </c>
      <c r="H34" s="491">
        <f t="shared" si="2"/>
        <v>0</v>
      </c>
      <c r="I34" s="511">
        <f t="shared" si="3"/>
        <v>0</v>
      </c>
      <c r="J34" s="511"/>
      <c r="K34" s="525"/>
      <c r="L34" s="514">
        <f t="shared" si="4"/>
        <v>0</v>
      </c>
      <c r="M34" s="525"/>
      <c r="N34" s="514">
        <f t="shared" si="5"/>
        <v>0</v>
      </c>
      <c r="O34" s="514">
        <f t="shared" si="6"/>
        <v>0</v>
      </c>
      <c r="P34" s="272"/>
    </row>
    <row r="35" spans="2:16">
      <c r="B35" s="195" t="str">
        <f t="shared" si="8"/>
        <v/>
      </c>
      <c r="C35" s="507">
        <f>IF(D11="","-",+C34+1)</f>
        <v>2025</v>
      </c>
      <c r="D35" s="523">
        <f>IF(F34+SUM(E$17:E34)=D$10,F34,D$10-SUM(E$17:E34))</f>
        <v>0</v>
      </c>
      <c r="E35" s="522">
        <f>IF(+I14&lt;F34,I14,D35)</f>
        <v>0</v>
      </c>
      <c r="F35" s="523">
        <f t="shared" si="0"/>
        <v>0</v>
      </c>
      <c r="G35" s="524">
        <f t="shared" si="1"/>
        <v>0</v>
      </c>
      <c r="H35" s="491">
        <f t="shared" si="2"/>
        <v>0</v>
      </c>
      <c r="I35" s="511">
        <f t="shared" si="3"/>
        <v>0</v>
      </c>
      <c r="J35" s="511"/>
      <c r="K35" s="525"/>
      <c r="L35" s="514">
        <f t="shared" si="4"/>
        <v>0</v>
      </c>
      <c r="M35" s="525"/>
      <c r="N35" s="514">
        <f t="shared" si="5"/>
        <v>0</v>
      </c>
      <c r="O35" s="514">
        <f t="shared" si="6"/>
        <v>0</v>
      </c>
      <c r="P35" s="272"/>
    </row>
    <row r="36" spans="2:16">
      <c r="B36" s="195" t="str">
        <f t="shared" si="8"/>
        <v/>
      </c>
      <c r="C36" s="507">
        <f>IF(D11="","-",+C35+1)</f>
        <v>2026</v>
      </c>
      <c r="D36" s="523">
        <f>IF(F35+SUM(E$17:E35)=D$10,F35,D$10-SUM(E$17:E35))</f>
        <v>0</v>
      </c>
      <c r="E36" s="522">
        <f>IF(+I14&lt;F35,I14,D36)</f>
        <v>0</v>
      </c>
      <c r="F36" s="523">
        <f t="shared" si="0"/>
        <v>0</v>
      </c>
      <c r="G36" s="524">
        <f t="shared" si="1"/>
        <v>0</v>
      </c>
      <c r="H36" s="491">
        <f t="shared" si="2"/>
        <v>0</v>
      </c>
      <c r="I36" s="511">
        <f t="shared" si="3"/>
        <v>0</v>
      </c>
      <c r="J36" s="511"/>
      <c r="K36" s="525"/>
      <c r="L36" s="514">
        <f t="shared" si="4"/>
        <v>0</v>
      </c>
      <c r="M36" s="525"/>
      <c r="N36" s="514">
        <f t="shared" si="5"/>
        <v>0</v>
      </c>
      <c r="O36" s="514">
        <f t="shared" si="6"/>
        <v>0</v>
      </c>
      <c r="P36" s="272"/>
    </row>
    <row r="37" spans="2:16">
      <c r="B37" s="195" t="str">
        <f t="shared" si="8"/>
        <v/>
      </c>
      <c r="C37" s="507">
        <f>IF(D11="","-",+C36+1)</f>
        <v>2027</v>
      </c>
      <c r="D37" s="523">
        <f>IF(F36+SUM(E$17:E36)=D$10,F36,D$10-SUM(E$17:E36))</f>
        <v>0</v>
      </c>
      <c r="E37" s="522">
        <f>IF(+I14&lt;F36,I14,D37)</f>
        <v>0</v>
      </c>
      <c r="F37" s="523">
        <f t="shared" si="0"/>
        <v>0</v>
      </c>
      <c r="G37" s="524">
        <f t="shared" si="1"/>
        <v>0</v>
      </c>
      <c r="H37" s="491">
        <f t="shared" si="2"/>
        <v>0</v>
      </c>
      <c r="I37" s="511">
        <f t="shared" si="3"/>
        <v>0</v>
      </c>
      <c r="J37" s="511"/>
      <c r="K37" s="525"/>
      <c r="L37" s="514">
        <f t="shared" si="4"/>
        <v>0</v>
      </c>
      <c r="M37" s="525"/>
      <c r="N37" s="514">
        <f t="shared" si="5"/>
        <v>0</v>
      </c>
      <c r="O37" s="514">
        <f t="shared" si="6"/>
        <v>0</v>
      </c>
      <c r="P37" s="272"/>
    </row>
    <row r="38" spans="2:16">
      <c r="B38" s="195" t="str">
        <f t="shared" si="8"/>
        <v/>
      </c>
      <c r="C38" s="507">
        <f>IF(D11="","-",+C37+1)</f>
        <v>2028</v>
      </c>
      <c r="D38" s="523">
        <f>IF(F37+SUM(E$17:E37)=D$10,F37,D$10-SUM(E$17:E37))</f>
        <v>0</v>
      </c>
      <c r="E38" s="522">
        <f>IF(+I14&lt;F37,I14,D38)</f>
        <v>0</v>
      </c>
      <c r="F38" s="523">
        <f t="shared" si="0"/>
        <v>0</v>
      </c>
      <c r="G38" s="524">
        <f t="shared" si="1"/>
        <v>0</v>
      </c>
      <c r="H38" s="491">
        <f t="shared" si="2"/>
        <v>0</v>
      </c>
      <c r="I38" s="511">
        <f t="shared" si="3"/>
        <v>0</v>
      </c>
      <c r="J38" s="511"/>
      <c r="K38" s="525"/>
      <c r="L38" s="514">
        <f t="shared" si="4"/>
        <v>0</v>
      </c>
      <c r="M38" s="525"/>
      <c r="N38" s="514">
        <f t="shared" si="5"/>
        <v>0</v>
      </c>
      <c r="O38" s="514">
        <f t="shared" si="6"/>
        <v>0</v>
      </c>
      <c r="P38" s="272"/>
    </row>
    <row r="39" spans="2:16">
      <c r="B39" s="195" t="str">
        <f t="shared" si="8"/>
        <v/>
      </c>
      <c r="C39" s="507">
        <f>IF(D11="","-",+C38+1)</f>
        <v>2029</v>
      </c>
      <c r="D39" s="523">
        <f>IF(F38+SUM(E$17:E38)=D$10,F38,D$10-SUM(E$17:E38))</f>
        <v>0</v>
      </c>
      <c r="E39" s="522">
        <f>IF(+I14&lt;F38,I14,D39)</f>
        <v>0</v>
      </c>
      <c r="F39" s="523">
        <f t="shared" si="0"/>
        <v>0</v>
      </c>
      <c r="G39" s="524">
        <f t="shared" si="1"/>
        <v>0</v>
      </c>
      <c r="H39" s="491">
        <f t="shared" si="2"/>
        <v>0</v>
      </c>
      <c r="I39" s="511">
        <f t="shared" si="3"/>
        <v>0</v>
      </c>
      <c r="J39" s="511"/>
      <c r="K39" s="525"/>
      <c r="L39" s="514">
        <f t="shared" si="4"/>
        <v>0</v>
      </c>
      <c r="M39" s="525"/>
      <c r="N39" s="514">
        <f t="shared" si="5"/>
        <v>0</v>
      </c>
      <c r="O39" s="514">
        <f t="shared" si="6"/>
        <v>0</v>
      </c>
      <c r="P39" s="272"/>
    </row>
    <row r="40" spans="2:16">
      <c r="B40" s="195" t="str">
        <f t="shared" si="8"/>
        <v/>
      </c>
      <c r="C40" s="507">
        <f>IF(D11="","-",+C39+1)</f>
        <v>2030</v>
      </c>
      <c r="D40" s="523">
        <f>IF(F39+SUM(E$17:E39)=D$10,F39,D$10-SUM(E$17:E39))</f>
        <v>0</v>
      </c>
      <c r="E40" s="522">
        <f>IF(+I14&lt;F39,I14,D40)</f>
        <v>0</v>
      </c>
      <c r="F40" s="523">
        <f t="shared" si="0"/>
        <v>0</v>
      </c>
      <c r="G40" s="524">
        <f t="shared" si="1"/>
        <v>0</v>
      </c>
      <c r="H40" s="491">
        <f t="shared" si="2"/>
        <v>0</v>
      </c>
      <c r="I40" s="511">
        <f t="shared" si="3"/>
        <v>0</v>
      </c>
      <c r="J40" s="511"/>
      <c r="K40" s="525"/>
      <c r="L40" s="514">
        <f t="shared" si="4"/>
        <v>0</v>
      </c>
      <c r="M40" s="525"/>
      <c r="N40" s="514">
        <f t="shared" si="5"/>
        <v>0</v>
      </c>
      <c r="O40" s="514">
        <f t="shared" si="6"/>
        <v>0</v>
      </c>
      <c r="P40" s="272"/>
    </row>
    <row r="41" spans="2:16">
      <c r="B41" s="195" t="str">
        <f t="shared" si="8"/>
        <v/>
      </c>
      <c r="C41" s="507">
        <f>IF(D11="","-",+C40+1)</f>
        <v>2031</v>
      </c>
      <c r="D41" s="523">
        <f>IF(F40+SUM(E$17:E40)=D$10,F40,D$10-SUM(E$17:E40))</f>
        <v>0</v>
      </c>
      <c r="E41" s="522">
        <f>IF(+I14&lt;F40,I14,D41)</f>
        <v>0</v>
      </c>
      <c r="F41" s="523">
        <f t="shared" si="0"/>
        <v>0</v>
      </c>
      <c r="G41" s="524">
        <f t="shared" si="1"/>
        <v>0</v>
      </c>
      <c r="H41" s="491">
        <f t="shared" si="2"/>
        <v>0</v>
      </c>
      <c r="I41" s="511">
        <f t="shared" si="3"/>
        <v>0</v>
      </c>
      <c r="J41" s="511"/>
      <c r="K41" s="525"/>
      <c r="L41" s="514">
        <f t="shared" si="4"/>
        <v>0</v>
      </c>
      <c r="M41" s="525"/>
      <c r="N41" s="514">
        <f t="shared" si="5"/>
        <v>0</v>
      </c>
      <c r="O41" s="514">
        <f t="shared" si="6"/>
        <v>0</v>
      </c>
      <c r="P41" s="272"/>
    </row>
    <row r="42" spans="2:16">
      <c r="B42" s="195" t="str">
        <f t="shared" si="8"/>
        <v/>
      </c>
      <c r="C42" s="507">
        <f>IF(D11="","-",+C41+1)</f>
        <v>2032</v>
      </c>
      <c r="D42" s="523">
        <f>IF(F41+SUM(E$17:E41)=D$10,F41,D$10-SUM(E$17:E41))</f>
        <v>0</v>
      </c>
      <c r="E42" s="522">
        <f>IF(+I14&lt;F41,I14,D42)</f>
        <v>0</v>
      </c>
      <c r="F42" s="523">
        <f t="shared" si="0"/>
        <v>0</v>
      </c>
      <c r="G42" s="524">
        <f t="shared" si="1"/>
        <v>0</v>
      </c>
      <c r="H42" s="491">
        <f t="shared" si="2"/>
        <v>0</v>
      </c>
      <c r="I42" s="511">
        <f t="shared" si="3"/>
        <v>0</v>
      </c>
      <c r="J42" s="511"/>
      <c r="K42" s="525"/>
      <c r="L42" s="514">
        <f t="shared" si="4"/>
        <v>0</v>
      </c>
      <c r="M42" s="525"/>
      <c r="N42" s="514">
        <f t="shared" si="5"/>
        <v>0</v>
      </c>
      <c r="O42" s="514">
        <f t="shared" si="6"/>
        <v>0</v>
      </c>
      <c r="P42" s="272"/>
    </row>
    <row r="43" spans="2:16">
      <c r="B43" s="195" t="str">
        <f t="shared" si="8"/>
        <v/>
      </c>
      <c r="C43" s="507">
        <f>IF(D11="","-",+C42+1)</f>
        <v>2033</v>
      </c>
      <c r="D43" s="523">
        <f>IF(F42+SUM(E$17:E42)=D$10,F42,D$10-SUM(E$17:E42))</f>
        <v>0</v>
      </c>
      <c r="E43" s="522">
        <f>IF(+I14&lt;F42,I14,D43)</f>
        <v>0</v>
      </c>
      <c r="F43" s="523">
        <f t="shared" si="0"/>
        <v>0</v>
      </c>
      <c r="G43" s="524">
        <f t="shared" si="1"/>
        <v>0</v>
      </c>
      <c r="H43" s="491">
        <f t="shared" si="2"/>
        <v>0</v>
      </c>
      <c r="I43" s="511">
        <f t="shared" si="3"/>
        <v>0</v>
      </c>
      <c r="J43" s="511"/>
      <c r="K43" s="525"/>
      <c r="L43" s="514">
        <f t="shared" si="4"/>
        <v>0</v>
      </c>
      <c r="M43" s="525"/>
      <c r="N43" s="514">
        <f t="shared" si="5"/>
        <v>0</v>
      </c>
      <c r="O43" s="514">
        <f t="shared" si="6"/>
        <v>0</v>
      </c>
      <c r="P43" s="272"/>
    </row>
    <row r="44" spans="2:16">
      <c r="B44" s="195" t="str">
        <f t="shared" si="8"/>
        <v/>
      </c>
      <c r="C44" s="507">
        <f>IF(D11="","-",+C43+1)</f>
        <v>2034</v>
      </c>
      <c r="D44" s="523">
        <f>IF(F43+SUM(E$17:E43)=D$10,F43,D$10-SUM(E$17:E43))</f>
        <v>0</v>
      </c>
      <c r="E44" s="522">
        <f>IF(+I14&lt;F43,I14,D44)</f>
        <v>0</v>
      </c>
      <c r="F44" s="523">
        <f t="shared" si="0"/>
        <v>0</v>
      </c>
      <c r="G44" s="524">
        <f t="shared" si="1"/>
        <v>0</v>
      </c>
      <c r="H44" s="491">
        <f t="shared" si="2"/>
        <v>0</v>
      </c>
      <c r="I44" s="511">
        <f t="shared" si="3"/>
        <v>0</v>
      </c>
      <c r="J44" s="511"/>
      <c r="K44" s="525"/>
      <c r="L44" s="514">
        <f t="shared" si="4"/>
        <v>0</v>
      </c>
      <c r="M44" s="525"/>
      <c r="N44" s="514">
        <f t="shared" si="5"/>
        <v>0</v>
      </c>
      <c r="O44" s="514">
        <f t="shared" si="6"/>
        <v>0</v>
      </c>
      <c r="P44" s="272"/>
    </row>
    <row r="45" spans="2:16">
      <c r="B45" s="195" t="str">
        <f t="shared" si="8"/>
        <v/>
      </c>
      <c r="C45" s="507">
        <f>IF(D11="","-",+C44+1)</f>
        <v>2035</v>
      </c>
      <c r="D45" s="523">
        <f>IF(F44+SUM(E$17:E44)=D$10,F44,D$10-SUM(E$17:E44))</f>
        <v>0</v>
      </c>
      <c r="E45" s="522">
        <f>IF(+I14&lt;F44,I14,D45)</f>
        <v>0</v>
      </c>
      <c r="F45" s="523">
        <f t="shared" si="0"/>
        <v>0</v>
      </c>
      <c r="G45" s="524">
        <f t="shared" si="1"/>
        <v>0</v>
      </c>
      <c r="H45" s="491">
        <f t="shared" si="2"/>
        <v>0</v>
      </c>
      <c r="I45" s="511">
        <f t="shared" si="3"/>
        <v>0</v>
      </c>
      <c r="J45" s="511"/>
      <c r="K45" s="525"/>
      <c r="L45" s="514">
        <f t="shared" si="4"/>
        <v>0</v>
      </c>
      <c r="M45" s="525"/>
      <c r="N45" s="514">
        <f t="shared" si="5"/>
        <v>0</v>
      </c>
      <c r="O45" s="514">
        <f t="shared" si="6"/>
        <v>0</v>
      </c>
      <c r="P45" s="272"/>
    </row>
    <row r="46" spans="2:16">
      <c r="B46" s="195" t="str">
        <f t="shared" si="8"/>
        <v/>
      </c>
      <c r="C46" s="507">
        <f>IF(D11="","-",+C45+1)</f>
        <v>2036</v>
      </c>
      <c r="D46" s="523">
        <f>IF(F45+SUM(E$17:E45)=D$10,F45,D$10-SUM(E$17:E45))</f>
        <v>0</v>
      </c>
      <c r="E46" s="522">
        <f>IF(+I14&lt;F45,I14,D46)</f>
        <v>0</v>
      </c>
      <c r="F46" s="523">
        <f t="shared" si="0"/>
        <v>0</v>
      </c>
      <c r="G46" s="524">
        <f t="shared" si="1"/>
        <v>0</v>
      </c>
      <c r="H46" s="491">
        <f t="shared" si="2"/>
        <v>0</v>
      </c>
      <c r="I46" s="511">
        <f t="shared" si="3"/>
        <v>0</v>
      </c>
      <c r="J46" s="511"/>
      <c r="K46" s="525"/>
      <c r="L46" s="514">
        <f t="shared" si="4"/>
        <v>0</v>
      </c>
      <c r="M46" s="525"/>
      <c r="N46" s="514">
        <f t="shared" si="5"/>
        <v>0</v>
      </c>
      <c r="O46" s="514">
        <f t="shared" si="6"/>
        <v>0</v>
      </c>
      <c r="P46" s="272"/>
    </row>
    <row r="47" spans="2:16">
      <c r="B47" s="195" t="str">
        <f t="shared" si="8"/>
        <v/>
      </c>
      <c r="C47" s="507">
        <f>IF(D11="","-",+C46+1)</f>
        <v>2037</v>
      </c>
      <c r="D47" s="523">
        <f>IF(F46+SUM(E$17:E46)=D$10,F46,D$10-SUM(E$17:E46))</f>
        <v>0</v>
      </c>
      <c r="E47" s="522">
        <f>IF(+I14&lt;F46,I14,D47)</f>
        <v>0</v>
      </c>
      <c r="F47" s="523">
        <f t="shared" si="0"/>
        <v>0</v>
      </c>
      <c r="G47" s="524">
        <f t="shared" si="1"/>
        <v>0</v>
      </c>
      <c r="H47" s="491">
        <f t="shared" si="2"/>
        <v>0</v>
      </c>
      <c r="I47" s="511">
        <f t="shared" si="3"/>
        <v>0</v>
      </c>
      <c r="J47" s="511"/>
      <c r="K47" s="525"/>
      <c r="L47" s="514">
        <f t="shared" si="4"/>
        <v>0</v>
      </c>
      <c r="M47" s="525"/>
      <c r="N47" s="514">
        <f t="shared" si="5"/>
        <v>0</v>
      </c>
      <c r="O47" s="514">
        <f t="shared" si="6"/>
        <v>0</v>
      </c>
      <c r="P47" s="272"/>
    </row>
    <row r="48" spans="2:16">
      <c r="B48" s="195" t="str">
        <f t="shared" si="8"/>
        <v/>
      </c>
      <c r="C48" s="507">
        <f>IF(D11="","-",+C47+1)</f>
        <v>2038</v>
      </c>
      <c r="D48" s="523">
        <f>IF(F47+SUM(E$17:E47)=D$10,F47,D$10-SUM(E$17:E47))</f>
        <v>0</v>
      </c>
      <c r="E48" s="522">
        <f>IF(+I14&lt;F47,I14,D48)</f>
        <v>0</v>
      </c>
      <c r="F48" s="523">
        <f t="shared" si="0"/>
        <v>0</v>
      </c>
      <c r="G48" s="524">
        <f t="shared" si="1"/>
        <v>0</v>
      </c>
      <c r="H48" s="491">
        <f t="shared" si="2"/>
        <v>0</v>
      </c>
      <c r="I48" s="511">
        <f t="shared" si="3"/>
        <v>0</v>
      </c>
      <c r="J48" s="511"/>
      <c r="K48" s="525"/>
      <c r="L48" s="514">
        <f t="shared" si="4"/>
        <v>0</v>
      </c>
      <c r="M48" s="525"/>
      <c r="N48" s="514">
        <f t="shared" si="5"/>
        <v>0</v>
      </c>
      <c r="O48" s="514">
        <f t="shared" si="6"/>
        <v>0</v>
      </c>
      <c r="P48" s="272"/>
    </row>
    <row r="49" spans="2:17">
      <c r="B49" s="195" t="str">
        <f t="shared" si="8"/>
        <v/>
      </c>
      <c r="C49" s="507">
        <f>IF(D11="","-",+C48+1)</f>
        <v>2039</v>
      </c>
      <c r="D49" s="523">
        <f>IF(F48+SUM(E$17:E48)=D$10,F48,D$10-SUM(E$17:E48))</f>
        <v>0</v>
      </c>
      <c r="E49" s="522">
        <f>IF(+I14&lt;F48,I14,D49)</f>
        <v>0</v>
      </c>
      <c r="F49" s="523">
        <f t="shared" ref="F49:F72" si="9">+D49-E49</f>
        <v>0</v>
      </c>
      <c r="G49" s="524">
        <f t="shared" ref="G49:G72" si="10">+I$12*((D49+F49)/2)+E49</f>
        <v>0</v>
      </c>
      <c r="H49" s="491">
        <f t="shared" ref="H49:H72" si="11">+I$13*((D49+F49)/2)+E49</f>
        <v>0</v>
      </c>
      <c r="I49" s="511">
        <f t="shared" ref="I49:I72" si="12">H49-G49</f>
        <v>0</v>
      </c>
      <c r="J49" s="511"/>
      <c r="K49" s="525"/>
      <c r="L49" s="514">
        <f t="shared" ref="L49:L72" si="13">IF(K49&lt;&gt;0,+G49-K49,0)</f>
        <v>0</v>
      </c>
      <c r="M49" s="525"/>
      <c r="N49" s="514">
        <f t="shared" ref="N49:N72" si="14">IF(M49&lt;&gt;0,+H49-M49,0)</f>
        <v>0</v>
      </c>
      <c r="O49" s="514">
        <f t="shared" ref="O49:O72" si="15">+N49-L49</f>
        <v>0</v>
      </c>
      <c r="P49" s="272"/>
    </row>
    <row r="50" spans="2:17">
      <c r="B50" s="195" t="str">
        <f t="shared" si="8"/>
        <v/>
      </c>
      <c r="C50" s="507">
        <f>IF(D11="","-",+C49+1)</f>
        <v>2040</v>
      </c>
      <c r="D50" s="523">
        <f>IF(F49+SUM(E$17:E49)=D$10,F49,D$10-SUM(E$17:E49))</f>
        <v>0</v>
      </c>
      <c r="E50" s="522">
        <f>IF(+I14&lt;F49,I14,D50)</f>
        <v>0</v>
      </c>
      <c r="F50" s="523">
        <f t="shared" si="9"/>
        <v>0</v>
      </c>
      <c r="G50" s="524">
        <f t="shared" si="10"/>
        <v>0</v>
      </c>
      <c r="H50" s="491">
        <f t="shared" si="11"/>
        <v>0</v>
      </c>
      <c r="I50" s="511">
        <f t="shared" si="12"/>
        <v>0</v>
      </c>
      <c r="J50" s="511"/>
      <c r="K50" s="525"/>
      <c r="L50" s="514">
        <f t="shared" si="13"/>
        <v>0</v>
      </c>
      <c r="M50" s="525"/>
      <c r="N50" s="514">
        <f t="shared" si="14"/>
        <v>0</v>
      </c>
      <c r="O50" s="514">
        <f t="shared" si="15"/>
        <v>0</v>
      </c>
      <c r="P50" s="272"/>
    </row>
    <row r="51" spans="2:17">
      <c r="B51" s="195" t="str">
        <f t="shared" si="8"/>
        <v/>
      </c>
      <c r="C51" s="507">
        <f>IF(D11="","-",+C50+1)</f>
        <v>2041</v>
      </c>
      <c r="D51" s="523">
        <f>IF(F50+SUM(E$17:E50)=D$10,F50,D$10-SUM(E$17:E50))</f>
        <v>0</v>
      </c>
      <c r="E51" s="522">
        <f>IF(+I14&lt;F50,I14,D51)</f>
        <v>0</v>
      </c>
      <c r="F51" s="523">
        <f t="shared" si="9"/>
        <v>0</v>
      </c>
      <c r="G51" s="524">
        <f t="shared" si="10"/>
        <v>0</v>
      </c>
      <c r="H51" s="491">
        <f t="shared" si="11"/>
        <v>0</v>
      </c>
      <c r="I51" s="511">
        <f t="shared" si="12"/>
        <v>0</v>
      </c>
      <c r="J51" s="511"/>
      <c r="K51" s="525"/>
      <c r="L51" s="514">
        <f t="shared" si="13"/>
        <v>0</v>
      </c>
      <c r="M51" s="525"/>
      <c r="N51" s="514">
        <f t="shared" si="14"/>
        <v>0</v>
      </c>
      <c r="O51" s="514">
        <f t="shared" si="15"/>
        <v>0</v>
      </c>
      <c r="P51" s="272"/>
    </row>
    <row r="52" spans="2:17">
      <c r="B52" s="195" t="str">
        <f t="shared" si="8"/>
        <v/>
      </c>
      <c r="C52" s="507">
        <f>IF(D11="","-",+C51+1)</f>
        <v>2042</v>
      </c>
      <c r="D52" s="523">
        <f>IF(F51+SUM(E$17:E51)=D$10,F51,D$10-SUM(E$17:E51))</f>
        <v>0</v>
      </c>
      <c r="E52" s="522">
        <f>IF(+I14&lt;F51,I14,D52)</f>
        <v>0</v>
      </c>
      <c r="F52" s="523">
        <f t="shared" si="9"/>
        <v>0</v>
      </c>
      <c r="G52" s="524">
        <f t="shared" si="10"/>
        <v>0</v>
      </c>
      <c r="H52" s="491">
        <f t="shared" si="11"/>
        <v>0</v>
      </c>
      <c r="I52" s="511">
        <f t="shared" si="12"/>
        <v>0</v>
      </c>
      <c r="J52" s="511"/>
      <c r="K52" s="525"/>
      <c r="L52" s="514">
        <f t="shared" si="13"/>
        <v>0</v>
      </c>
      <c r="M52" s="525"/>
      <c r="N52" s="514">
        <f t="shared" si="14"/>
        <v>0</v>
      </c>
      <c r="O52" s="514">
        <f t="shared" si="15"/>
        <v>0</v>
      </c>
      <c r="P52" s="272"/>
    </row>
    <row r="53" spans="2:17">
      <c r="B53" s="195" t="str">
        <f t="shared" si="8"/>
        <v/>
      </c>
      <c r="C53" s="507">
        <f>IF(D11="","-",+C52+1)</f>
        <v>2043</v>
      </c>
      <c r="D53" s="523">
        <f>IF(F52+SUM(E$17:E52)=D$10,F52,D$10-SUM(E$17:E52))</f>
        <v>0</v>
      </c>
      <c r="E53" s="522">
        <f>IF(+I14&lt;F52,I14,D53)</f>
        <v>0</v>
      </c>
      <c r="F53" s="523">
        <f t="shared" si="9"/>
        <v>0</v>
      </c>
      <c r="G53" s="524">
        <f t="shared" si="10"/>
        <v>0</v>
      </c>
      <c r="H53" s="491">
        <f t="shared" si="11"/>
        <v>0</v>
      </c>
      <c r="I53" s="511">
        <f t="shared" si="12"/>
        <v>0</v>
      </c>
      <c r="J53" s="511"/>
      <c r="K53" s="525"/>
      <c r="L53" s="514">
        <f t="shared" si="13"/>
        <v>0</v>
      </c>
      <c r="M53" s="525"/>
      <c r="N53" s="514">
        <f t="shared" si="14"/>
        <v>0</v>
      </c>
      <c r="O53" s="514">
        <f t="shared" si="15"/>
        <v>0</v>
      </c>
      <c r="P53" s="272"/>
    </row>
    <row r="54" spans="2:17">
      <c r="B54" s="195" t="str">
        <f t="shared" si="8"/>
        <v/>
      </c>
      <c r="C54" s="507">
        <f>IF(D11="","-",+C53+1)</f>
        <v>2044</v>
      </c>
      <c r="D54" s="523">
        <f>IF(F53+SUM(E$17:E53)=D$10,F53,D$10-SUM(E$17:E53))</f>
        <v>0</v>
      </c>
      <c r="E54" s="522">
        <f>IF(+I14&lt;F53,I14,D54)</f>
        <v>0</v>
      </c>
      <c r="F54" s="523">
        <f t="shared" si="9"/>
        <v>0</v>
      </c>
      <c r="G54" s="524">
        <f t="shared" si="10"/>
        <v>0</v>
      </c>
      <c r="H54" s="491">
        <f t="shared" si="11"/>
        <v>0</v>
      </c>
      <c r="I54" s="511">
        <f t="shared" si="12"/>
        <v>0</v>
      </c>
      <c r="J54" s="511"/>
      <c r="K54" s="525"/>
      <c r="L54" s="514">
        <f t="shared" si="13"/>
        <v>0</v>
      </c>
      <c r="M54" s="525"/>
      <c r="N54" s="514">
        <f t="shared" si="14"/>
        <v>0</v>
      </c>
      <c r="O54" s="514">
        <f t="shared" si="15"/>
        <v>0</v>
      </c>
      <c r="P54" s="272"/>
    </row>
    <row r="55" spans="2:17">
      <c r="B55" s="195" t="str">
        <f t="shared" si="8"/>
        <v/>
      </c>
      <c r="C55" s="507">
        <f>IF(D11="","-",+C54+1)</f>
        <v>2045</v>
      </c>
      <c r="D55" s="523">
        <f>IF(F54+SUM(E$17:E54)=D$10,F54,D$10-SUM(E$17:E54))</f>
        <v>0</v>
      </c>
      <c r="E55" s="522">
        <f>IF(+I14&lt;F54,I14,D55)</f>
        <v>0</v>
      </c>
      <c r="F55" s="523">
        <f t="shared" si="9"/>
        <v>0</v>
      </c>
      <c r="G55" s="524">
        <f t="shared" si="10"/>
        <v>0</v>
      </c>
      <c r="H55" s="491">
        <f t="shared" si="11"/>
        <v>0</v>
      </c>
      <c r="I55" s="511">
        <f t="shared" si="12"/>
        <v>0</v>
      </c>
      <c r="J55" s="511"/>
      <c r="K55" s="525"/>
      <c r="L55" s="514">
        <f t="shared" si="13"/>
        <v>0</v>
      </c>
      <c r="M55" s="525"/>
      <c r="N55" s="514">
        <f t="shared" si="14"/>
        <v>0</v>
      </c>
      <c r="O55" s="514">
        <f t="shared" si="15"/>
        <v>0</v>
      </c>
      <c r="P55" s="272"/>
    </row>
    <row r="56" spans="2:17">
      <c r="B56" s="195" t="str">
        <f t="shared" si="8"/>
        <v/>
      </c>
      <c r="C56" s="507">
        <f>IF(D11="","-",+C55+1)</f>
        <v>2046</v>
      </c>
      <c r="D56" s="523">
        <f>IF(F55+SUM(E$17:E55)=D$10,F55,D$10-SUM(E$17:E55))</f>
        <v>0</v>
      </c>
      <c r="E56" s="522">
        <f>IF(+I14&lt;F55,I14,D56)</f>
        <v>0</v>
      </c>
      <c r="F56" s="523">
        <f t="shared" si="9"/>
        <v>0</v>
      </c>
      <c r="G56" s="524">
        <f t="shared" si="10"/>
        <v>0</v>
      </c>
      <c r="H56" s="491">
        <f t="shared" si="11"/>
        <v>0</v>
      </c>
      <c r="I56" s="511">
        <f t="shared" si="12"/>
        <v>0</v>
      </c>
      <c r="J56" s="511"/>
      <c r="K56" s="525"/>
      <c r="L56" s="514">
        <f t="shared" si="13"/>
        <v>0</v>
      </c>
      <c r="M56" s="525"/>
      <c r="N56" s="514">
        <f t="shared" si="14"/>
        <v>0</v>
      </c>
      <c r="O56" s="514">
        <f t="shared" si="15"/>
        <v>0</v>
      </c>
      <c r="P56" s="272"/>
    </row>
    <row r="57" spans="2:17">
      <c r="B57" s="195" t="str">
        <f t="shared" si="8"/>
        <v/>
      </c>
      <c r="C57" s="507">
        <f>IF(D11="","-",+C56+1)</f>
        <v>2047</v>
      </c>
      <c r="D57" s="523">
        <f>IF(F56+SUM(E$17:E56)=D$10,F56,D$10-SUM(E$17:E56))</f>
        <v>0</v>
      </c>
      <c r="E57" s="522">
        <f>IF(+I14&lt;F56,I14,D57)</f>
        <v>0</v>
      </c>
      <c r="F57" s="523">
        <f t="shared" si="9"/>
        <v>0</v>
      </c>
      <c r="G57" s="524">
        <f t="shared" si="10"/>
        <v>0</v>
      </c>
      <c r="H57" s="491">
        <f t="shared" si="11"/>
        <v>0</v>
      </c>
      <c r="I57" s="511">
        <f t="shared" si="12"/>
        <v>0</v>
      </c>
      <c r="J57" s="511"/>
      <c r="K57" s="525"/>
      <c r="L57" s="514">
        <f t="shared" si="13"/>
        <v>0</v>
      </c>
      <c r="M57" s="525"/>
      <c r="N57" s="514">
        <f t="shared" si="14"/>
        <v>0</v>
      </c>
      <c r="O57" s="514">
        <f t="shared" si="15"/>
        <v>0</v>
      </c>
      <c r="P57" s="272"/>
    </row>
    <row r="58" spans="2:17">
      <c r="B58" s="195" t="str">
        <f t="shared" si="8"/>
        <v/>
      </c>
      <c r="C58" s="507">
        <f>IF(D11="","-",+C57+1)</f>
        <v>2048</v>
      </c>
      <c r="D58" s="523">
        <f>IF(F57+SUM(E$17:E57)=D$10,F57,D$10-SUM(E$17:E57))</f>
        <v>0</v>
      </c>
      <c r="E58" s="522">
        <f>IF(+I14&lt;F57,I14,D58)</f>
        <v>0</v>
      </c>
      <c r="F58" s="523">
        <f t="shared" si="9"/>
        <v>0</v>
      </c>
      <c r="G58" s="524">
        <f t="shared" si="10"/>
        <v>0</v>
      </c>
      <c r="H58" s="491">
        <f t="shared" si="11"/>
        <v>0</v>
      </c>
      <c r="I58" s="511">
        <f t="shared" si="12"/>
        <v>0</v>
      </c>
      <c r="J58" s="511"/>
      <c r="K58" s="525"/>
      <c r="L58" s="514">
        <f t="shared" si="13"/>
        <v>0</v>
      </c>
      <c r="M58" s="525"/>
      <c r="N58" s="514">
        <f t="shared" si="14"/>
        <v>0</v>
      </c>
      <c r="O58" s="514">
        <f t="shared" si="15"/>
        <v>0</v>
      </c>
      <c r="P58" s="272"/>
      <c r="Q58" s="183" t="str">
        <f>IF(ROUND(Q57,0)=ROUND(SUM(Q18:Q56),0),"","Error -- check allocations above).")</f>
        <v/>
      </c>
    </row>
    <row r="59" spans="2:17">
      <c r="B59" s="195" t="str">
        <f t="shared" si="8"/>
        <v/>
      </c>
      <c r="C59" s="507">
        <f>IF(D11="","-",+C58+1)</f>
        <v>2049</v>
      </c>
      <c r="D59" s="523">
        <f>IF(F58+SUM(E$17:E58)=D$10,F58,D$10-SUM(E$17:E58))</f>
        <v>0</v>
      </c>
      <c r="E59" s="522">
        <f>IF(+I14&lt;F58,I14,D59)</f>
        <v>0</v>
      </c>
      <c r="F59" s="523">
        <f t="shared" si="9"/>
        <v>0</v>
      </c>
      <c r="G59" s="524">
        <f t="shared" si="10"/>
        <v>0</v>
      </c>
      <c r="H59" s="491">
        <f t="shared" si="11"/>
        <v>0</v>
      </c>
      <c r="I59" s="511">
        <f t="shared" si="12"/>
        <v>0</v>
      </c>
      <c r="J59" s="511"/>
      <c r="K59" s="525"/>
      <c r="L59" s="514">
        <f t="shared" si="13"/>
        <v>0</v>
      </c>
      <c r="M59" s="525"/>
      <c r="N59" s="514">
        <f t="shared" si="14"/>
        <v>0</v>
      </c>
      <c r="O59" s="514">
        <f t="shared" si="15"/>
        <v>0</v>
      </c>
      <c r="P59" s="272"/>
    </row>
    <row r="60" spans="2:17">
      <c r="B60" s="195" t="str">
        <f t="shared" si="8"/>
        <v/>
      </c>
      <c r="C60" s="507">
        <f>IF(D11="","-",+C59+1)</f>
        <v>2050</v>
      </c>
      <c r="D60" s="523">
        <f>IF(F59+SUM(E$17:E59)=D$10,F59,D$10-SUM(E$17:E59))</f>
        <v>0</v>
      </c>
      <c r="E60" s="522">
        <f>IF(+I14&lt;F59,I14,D60)</f>
        <v>0</v>
      </c>
      <c r="F60" s="523">
        <f t="shared" si="9"/>
        <v>0</v>
      </c>
      <c r="G60" s="524">
        <f t="shared" si="10"/>
        <v>0</v>
      </c>
      <c r="H60" s="491">
        <f t="shared" si="11"/>
        <v>0</v>
      </c>
      <c r="I60" s="511">
        <f t="shared" si="12"/>
        <v>0</v>
      </c>
      <c r="J60" s="511"/>
      <c r="K60" s="525"/>
      <c r="L60" s="514">
        <f t="shared" si="13"/>
        <v>0</v>
      </c>
      <c r="M60" s="525"/>
      <c r="N60" s="514">
        <f t="shared" si="14"/>
        <v>0</v>
      </c>
      <c r="O60" s="514">
        <f t="shared" si="15"/>
        <v>0</v>
      </c>
      <c r="P60" s="272"/>
    </row>
    <row r="61" spans="2:17">
      <c r="B61" s="195" t="str">
        <f t="shared" si="8"/>
        <v/>
      </c>
      <c r="C61" s="507">
        <f>IF(D11="","-",+C60+1)</f>
        <v>2051</v>
      </c>
      <c r="D61" s="523">
        <f>IF(F60+SUM(E$17:E60)=D$10,F60,D$10-SUM(E$17:E60))</f>
        <v>0</v>
      </c>
      <c r="E61" s="522">
        <f>IF(+I14&lt;F60,I14,D61)</f>
        <v>0</v>
      </c>
      <c r="F61" s="523">
        <f t="shared" si="9"/>
        <v>0</v>
      </c>
      <c r="G61" s="526">
        <f t="shared" si="10"/>
        <v>0</v>
      </c>
      <c r="H61" s="491">
        <f t="shared" si="11"/>
        <v>0</v>
      </c>
      <c r="I61" s="511">
        <f t="shared" si="12"/>
        <v>0</v>
      </c>
      <c r="J61" s="511"/>
      <c r="K61" s="525"/>
      <c r="L61" s="514">
        <f t="shared" si="13"/>
        <v>0</v>
      </c>
      <c r="M61" s="525"/>
      <c r="N61" s="514">
        <f t="shared" si="14"/>
        <v>0</v>
      </c>
      <c r="O61" s="514">
        <f t="shared" si="15"/>
        <v>0</v>
      </c>
      <c r="P61" s="272"/>
    </row>
    <row r="62" spans="2:17">
      <c r="B62" s="195" t="str">
        <f t="shared" si="8"/>
        <v/>
      </c>
      <c r="C62" s="507">
        <f>IF(D11="","-",+C61+1)</f>
        <v>2052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9"/>
        <v>0</v>
      </c>
      <c r="G62" s="526">
        <f t="shared" si="10"/>
        <v>0</v>
      </c>
      <c r="H62" s="491">
        <f t="shared" si="11"/>
        <v>0</v>
      </c>
      <c r="I62" s="511">
        <f t="shared" si="12"/>
        <v>0</v>
      </c>
      <c r="J62" s="511"/>
      <c r="K62" s="525"/>
      <c r="L62" s="514">
        <f t="shared" si="13"/>
        <v>0</v>
      </c>
      <c r="M62" s="525"/>
      <c r="N62" s="514">
        <f t="shared" si="14"/>
        <v>0</v>
      </c>
      <c r="O62" s="514">
        <f t="shared" si="15"/>
        <v>0</v>
      </c>
      <c r="P62" s="272"/>
    </row>
    <row r="63" spans="2:17">
      <c r="B63" s="195" t="str">
        <f t="shared" si="8"/>
        <v/>
      </c>
      <c r="C63" s="507">
        <f>IF(D11="","-",+C62+1)</f>
        <v>2053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9"/>
        <v>0</v>
      </c>
      <c r="G63" s="526">
        <f t="shared" si="10"/>
        <v>0</v>
      </c>
      <c r="H63" s="491">
        <f t="shared" si="11"/>
        <v>0</v>
      </c>
      <c r="I63" s="511">
        <f t="shared" si="12"/>
        <v>0</v>
      </c>
      <c r="J63" s="511"/>
      <c r="K63" s="525"/>
      <c r="L63" s="514">
        <f t="shared" si="13"/>
        <v>0</v>
      </c>
      <c r="M63" s="525"/>
      <c r="N63" s="514">
        <f t="shared" si="14"/>
        <v>0</v>
      </c>
      <c r="O63" s="514">
        <f t="shared" si="15"/>
        <v>0</v>
      </c>
      <c r="P63" s="272"/>
    </row>
    <row r="64" spans="2:17">
      <c r="B64" s="195" t="str">
        <f t="shared" si="8"/>
        <v/>
      </c>
      <c r="C64" s="507">
        <f>IF(D11="","-",+C63+1)</f>
        <v>2054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9"/>
        <v>0</v>
      </c>
      <c r="G64" s="526">
        <f t="shared" si="10"/>
        <v>0</v>
      </c>
      <c r="H64" s="491">
        <f t="shared" si="11"/>
        <v>0</v>
      </c>
      <c r="I64" s="511">
        <f t="shared" si="12"/>
        <v>0</v>
      </c>
      <c r="J64" s="511"/>
      <c r="K64" s="525"/>
      <c r="L64" s="514">
        <f t="shared" si="13"/>
        <v>0</v>
      </c>
      <c r="M64" s="525"/>
      <c r="N64" s="514">
        <f t="shared" si="14"/>
        <v>0</v>
      </c>
      <c r="O64" s="514">
        <f t="shared" si="15"/>
        <v>0</v>
      </c>
      <c r="P64" s="272"/>
    </row>
    <row r="65" spans="1:16">
      <c r="B65" s="195" t="str">
        <f t="shared" si="8"/>
        <v/>
      </c>
      <c r="C65" s="507">
        <f>IF(D11="","-",+C64+1)</f>
        <v>2055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9"/>
        <v>0</v>
      </c>
      <c r="G65" s="526">
        <f t="shared" si="10"/>
        <v>0</v>
      </c>
      <c r="H65" s="491">
        <f t="shared" si="11"/>
        <v>0</v>
      </c>
      <c r="I65" s="511">
        <f t="shared" si="12"/>
        <v>0</v>
      </c>
      <c r="J65" s="511"/>
      <c r="K65" s="525"/>
      <c r="L65" s="514">
        <f t="shared" si="13"/>
        <v>0</v>
      </c>
      <c r="M65" s="525"/>
      <c r="N65" s="514">
        <f t="shared" si="14"/>
        <v>0</v>
      </c>
      <c r="O65" s="514">
        <f t="shared" si="15"/>
        <v>0</v>
      </c>
      <c r="P65" s="272"/>
    </row>
    <row r="66" spans="1:16">
      <c r="B66" s="195" t="str">
        <f t="shared" si="8"/>
        <v/>
      </c>
      <c r="C66" s="507">
        <f>IF(D11="","-",+C65+1)</f>
        <v>2056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9"/>
        <v>0</v>
      </c>
      <c r="G66" s="526">
        <f t="shared" si="10"/>
        <v>0</v>
      </c>
      <c r="H66" s="491">
        <f t="shared" si="11"/>
        <v>0</v>
      </c>
      <c r="I66" s="511">
        <f t="shared" si="12"/>
        <v>0</v>
      </c>
      <c r="J66" s="511"/>
      <c r="K66" s="525"/>
      <c r="L66" s="514">
        <f t="shared" si="13"/>
        <v>0</v>
      </c>
      <c r="M66" s="525"/>
      <c r="N66" s="514">
        <f t="shared" si="14"/>
        <v>0</v>
      </c>
      <c r="O66" s="514">
        <f t="shared" si="15"/>
        <v>0</v>
      </c>
      <c r="P66" s="272"/>
    </row>
    <row r="67" spans="1:16">
      <c r="B67" s="195" t="str">
        <f t="shared" si="8"/>
        <v/>
      </c>
      <c r="C67" s="507">
        <f>IF(D11="","-",+C66+1)</f>
        <v>2057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9"/>
        <v>0</v>
      </c>
      <c r="G67" s="526">
        <f t="shared" si="10"/>
        <v>0</v>
      </c>
      <c r="H67" s="491">
        <f t="shared" si="11"/>
        <v>0</v>
      </c>
      <c r="I67" s="511">
        <f t="shared" si="12"/>
        <v>0</v>
      </c>
      <c r="J67" s="511"/>
      <c r="K67" s="525"/>
      <c r="L67" s="514">
        <f t="shared" si="13"/>
        <v>0</v>
      </c>
      <c r="M67" s="525"/>
      <c r="N67" s="514">
        <f t="shared" si="14"/>
        <v>0</v>
      </c>
      <c r="O67" s="514">
        <f t="shared" si="15"/>
        <v>0</v>
      </c>
      <c r="P67" s="272"/>
    </row>
    <row r="68" spans="1:16">
      <c r="B68" s="195" t="str">
        <f t="shared" si="8"/>
        <v/>
      </c>
      <c r="C68" s="507">
        <f>IF(D11="","-",+C67+1)</f>
        <v>2058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9"/>
        <v>0</v>
      </c>
      <c r="G68" s="526">
        <f t="shared" si="10"/>
        <v>0</v>
      </c>
      <c r="H68" s="491">
        <f t="shared" si="11"/>
        <v>0</v>
      </c>
      <c r="I68" s="511">
        <f t="shared" si="12"/>
        <v>0</v>
      </c>
      <c r="J68" s="511"/>
      <c r="K68" s="525"/>
      <c r="L68" s="514">
        <f t="shared" si="13"/>
        <v>0</v>
      </c>
      <c r="M68" s="525"/>
      <c r="N68" s="514">
        <f t="shared" si="14"/>
        <v>0</v>
      </c>
      <c r="O68" s="514">
        <f t="shared" si="15"/>
        <v>0</v>
      </c>
      <c r="P68" s="272"/>
    </row>
    <row r="69" spans="1:16">
      <c r="B69" s="195" t="str">
        <f t="shared" si="8"/>
        <v/>
      </c>
      <c r="C69" s="507">
        <f>IF(D11="","-",+C68+1)</f>
        <v>2059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9"/>
        <v>0</v>
      </c>
      <c r="G69" s="526">
        <f t="shared" si="10"/>
        <v>0</v>
      </c>
      <c r="H69" s="491">
        <f t="shared" si="11"/>
        <v>0</v>
      </c>
      <c r="I69" s="511">
        <f t="shared" si="12"/>
        <v>0</v>
      </c>
      <c r="J69" s="511"/>
      <c r="K69" s="525"/>
      <c r="L69" s="514">
        <f t="shared" si="13"/>
        <v>0</v>
      </c>
      <c r="M69" s="525"/>
      <c r="N69" s="514">
        <f t="shared" si="14"/>
        <v>0</v>
      </c>
      <c r="O69" s="514">
        <f t="shared" si="15"/>
        <v>0</v>
      </c>
      <c r="P69" s="272"/>
    </row>
    <row r="70" spans="1:16">
      <c r="B70" s="195" t="str">
        <f t="shared" si="8"/>
        <v/>
      </c>
      <c r="C70" s="507">
        <f>IF(D11="","-",+C69+1)</f>
        <v>2060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9"/>
        <v>0</v>
      </c>
      <c r="G70" s="526">
        <f t="shared" si="10"/>
        <v>0</v>
      </c>
      <c r="H70" s="491">
        <f t="shared" si="11"/>
        <v>0</v>
      </c>
      <c r="I70" s="511">
        <f t="shared" si="12"/>
        <v>0</v>
      </c>
      <c r="J70" s="511"/>
      <c r="K70" s="525"/>
      <c r="L70" s="514">
        <f t="shared" si="13"/>
        <v>0</v>
      </c>
      <c r="M70" s="525"/>
      <c r="N70" s="514">
        <f t="shared" si="14"/>
        <v>0</v>
      </c>
      <c r="O70" s="514">
        <f t="shared" si="15"/>
        <v>0</v>
      </c>
      <c r="P70" s="272"/>
    </row>
    <row r="71" spans="1:16">
      <c r="B71" s="195" t="str">
        <f t="shared" si="8"/>
        <v/>
      </c>
      <c r="C71" s="507">
        <f>IF(D11="","-",+C70+1)</f>
        <v>2061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9"/>
        <v>0</v>
      </c>
      <c r="G71" s="526">
        <f t="shared" si="10"/>
        <v>0</v>
      </c>
      <c r="H71" s="491">
        <f t="shared" si="11"/>
        <v>0</v>
      </c>
      <c r="I71" s="511">
        <f t="shared" si="12"/>
        <v>0</v>
      </c>
      <c r="J71" s="511"/>
      <c r="K71" s="525"/>
      <c r="L71" s="514">
        <f t="shared" si="13"/>
        <v>0</v>
      </c>
      <c r="M71" s="525"/>
      <c r="N71" s="514">
        <f t="shared" si="14"/>
        <v>0</v>
      </c>
      <c r="O71" s="514">
        <f t="shared" si="15"/>
        <v>0</v>
      </c>
      <c r="P71" s="272"/>
    </row>
    <row r="72" spans="1:16" ht="13.5" thickBot="1">
      <c r="B72" s="195" t="str">
        <f t="shared" si="8"/>
        <v/>
      </c>
      <c r="C72" s="527">
        <f>IF(D11="","-",+C71+1)</f>
        <v>2062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9"/>
        <v>0</v>
      </c>
      <c r="G72" s="530">
        <f t="shared" si="10"/>
        <v>0</v>
      </c>
      <c r="H72" s="471">
        <f t="shared" si="11"/>
        <v>0</v>
      </c>
      <c r="I72" s="531">
        <f t="shared" si="12"/>
        <v>0</v>
      </c>
      <c r="J72" s="511"/>
      <c r="K72" s="532"/>
      <c r="L72" s="533">
        <f t="shared" si="13"/>
        <v>0</v>
      </c>
      <c r="M72" s="532"/>
      <c r="N72" s="533">
        <f t="shared" si="14"/>
        <v>0</v>
      </c>
      <c r="O72" s="533">
        <f t="shared" si="15"/>
        <v>0</v>
      </c>
      <c r="P72" s="272"/>
    </row>
    <row r="73" spans="1:16">
      <c r="C73" s="374" t="s">
        <v>78</v>
      </c>
      <c r="D73" s="375"/>
      <c r="E73" s="375">
        <f>SUM(E17:E72)</f>
        <v>0</v>
      </c>
      <c r="F73" s="375"/>
      <c r="G73" s="375">
        <f>SUM(G17:G72)</f>
        <v>0</v>
      </c>
      <c r="H73" s="375">
        <f>SUM(H17:H72)</f>
        <v>0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1:16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1:16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1:16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1:16" ht="18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535"/>
      <c r="P77" s="272"/>
    </row>
    <row r="78" spans="1:16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1:16" ht="15">
      <c r="A79" s="536"/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</row>
    <row r="80" spans="1:16" ht="18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7">
      <c r="B81" s="269"/>
      <c r="C81" s="537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7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  <c r="Q82" s="269"/>
    </row>
    <row r="83" spans="1:17" ht="20.25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535" t="str">
        <f ca="1">P1</f>
        <v>SWEPCO Project 11 of 75</v>
      </c>
      <c r="Q83" s="269"/>
    </row>
    <row r="84" spans="1:17" ht="18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454" t="s">
        <v>128</v>
      </c>
      <c r="Q84" s="269"/>
    </row>
    <row r="85" spans="1:17" ht="18.7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  <c r="Q85" s="269"/>
    </row>
    <row r="86" spans="1:17" ht="15.75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2022</v>
      </c>
      <c r="M86" s="541" t="s">
        <v>9</v>
      </c>
      <c r="N86" s="542" t="s">
        <v>159</v>
      </c>
      <c r="O86" s="543" t="s">
        <v>11</v>
      </c>
      <c r="P86" s="269"/>
      <c r="Q86" s="269"/>
    </row>
    <row r="87" spans="1:17" ht="1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391</v>
      </c>
      <c r="M87" s="546">
        <f>IF(J92&lt;D11,0,VLOOKUP(J92,C17:O72,9))</f>
        <v>0</v>
      </c>
      <c r="N87" s="546">
        <f>IF(J92&lt;D11,0,VLOOKUP(J92,C17:O72,11))</f>
        <v>0</v>
      </c>
      <c r="O87" s="547">
        <f>+N87-M87</f>
        <v>0</v>
      </c>
      <c r="P87" s="269"/>
      <c r="Q87" s="269"/>
    </row>
    <row r="88" spans="1:17" ht="15.7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392</v>
      </c>
      <c r="M88" s="550">
        <f>IF(J92&lt;D11,0,VLOOKUP(J92,C99:P154,6))</f>
        <v>0</v>
      </c>
      <c r="N88" s="550">
        <f>IF(J92&lt;D11,0,VLOOKUP(J92,C99:P154,7))</f>
        <v>0</v>
      </c>
      <c r="O88" s="551">
        <f>+N88-M88</f>
        <v>0</v>
      </c>
      <c r="P88" s="269"/>
      <c r="Q88" s="269"/>
    </row>
    <row r="89" spans="1:17" ht="13.5" thickBot="1">
      <c r="C89" s="467" t="s">
        <v>84</v>
      </c>
      <c r="D89" s="552" t="str">
        <f>+D7</f>
        <v>Siloam Springs - Chamber Springs 161 kV line***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0</v>
      </c>
      <c r="N89" s="555">
        <f>+N88-N87</f>
        <v>0</v>
      </c>
      <c r="O89" s="556">
        <f>+O88-O87</f>
        <v>0</v>
      </c>
      <c r="P89" s="269"/>
      <c r="Q89" s="269"/>
    </row>
    <row r="90" spans="1:17" ht="13.5" thickBot="1">
      <c r="C90" s="534"/>
      <c r="D90" s="557" t="str">
        <f>D8</f>
        <v>DOES NOT MEET SPP $100,000 MINIMUM INVESTMENT FOR REGIONAL BPU SHARING.</v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  <c r="Q90" s="269"/>
    </row>
    <row r="91" spans="1:17" ht="13.5" thickBot="1">
      <c r="A91" s="191"/>
      <c r="C91" s="558" t="s">
        <v>85</v>
      </c>
      <c r="D91" s="559">
        <f>+D9</f>
        <v>0</v>
      </c>
      <c r="E91" s="560"/>
      <c r="F91" s="560"/>
      <c r="G91" s="560"/>
      <c r="H91" s="560"/>
      <c r="I91" s="560"/>
      <c r="J91" s="561"/>
      <c r="K91" s="562"/>
      <c r="P91" s="481"/>
      <c r="Q91" s="269"/>
    </row>
    <row r="92" spans="1:17">
      <c r="C92" s="486" t="s">
        <v>51</v>
      </c>
      <c r="D92" s="564">
        <f>IF(D11=I10,0,D10)</f>
        <v>0</v>
      </c>
      <c r="E92" s="340" t="s">
        <v>86</v>
      </c>
      <c r="H92" s="484"/>
      <c r="I92" s="484"/>
      <c r="J92" s="485">
        <f>+'SWE.WS.G.BPU.ATRR.True-up'!M16</f>
        <v>2022</v>
      </c>
      <c r="K92" s="480"/>
      <c r="L92" s="375" t="s">
        <v>87</v>
      </c>
      <c r="P92" s="272"/>
      <c r="Q92" s="269"/>
    </row>
    <row r="93" spans="1:17">
      <c r="C93" s="486" t="s">
        <v>54</v>
      </c>
      <c r="D93" s="563">
        <f>IF(D11=I10,"",D11)</f>
        <v>2007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  <c r="Q93" s="269"/>
    </row>
    <row r="94" spans="1:17">
      <c r="C94" s="486" t="s">
        <v>56</v>
      </c>
      <c r="D94" s="564">
        <f>IF(D11=I10,"",D12)</f>
        <v>5</v>
      </c>
      <c r="E94" s="486" t="s">
        <v>57</v>
      </c>
      <c r="F94" s="484"/>
      <c r="G94" s="484"/>
      <c r="J94" s="490">
        <f>'SWE.WS.G.BPU.ATRR.True-up'!$F$81</f>
        <v>0.11351422637179906</v>
      </c>
      <c r="K94" s="425"/>
      <c r="L94" s="183" t="s">
        <v>88</v>
      </c>
      <c r="P94" s="272"/>
      <c r="Q94" s="269"/>
    </row>
    <row r="95" spans="1:17">
      <c r="C95" s="486" t="s">
        <v>59</v>
      </c>
      <c r="D95" s="488">
        <f>'SWE.WS.G.BPU.ATRR.True-up'!F$93</f>
        <v>41</v>
      </c>
      <c r="E95" s="486" t="s">
        <v>60</v>
      </c>
      <c r="F95" s="484"/>
      <c r="G95" s="484"/>
      <c r="J95" s="490">
        <f>IF(H87="",J94,'SWE.WS.G.BPU.ATRR.True-up'!$F$80)</f>
        <v>0.11351422637179906</v>
      </c>
      <c r="K95" s="324"/>
      <c r="L95" s="375" t="s">
        <v>61</v>
      </c>
      <c r="M95" s="324"/>
      <c r="N95" s="324"/>
      <c r="O95" s="324"/>
      <c r="P95" s="272"/>
      <c r="Q95" s="269"/>
    </row>
    <row r="96" spans="1:17" ht="13.5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0</v>
      </c>
      <c r="K96" s="375"/>
      <c r="L96" s="375"/>
      <c r="M96" s="375"/>
      <c r="N96" s="375"/>
      <c r="O96" s="375"/>
      <c r="P96" s="272"/>
      <c r="Q96" s="269"/>
    </row>
    <row r="97" spans="1:17" ht="38.25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388</v>
      </c>
      <c r="I97" s="495" t="s">
        <v>389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  <c r="Q97" s="269"/>
    </row>
    <row r="98" spans="1:17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602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  <c r="Q98" s="269"/>
    </row>
    <row r="99" spans="1:17">
      <c r="C99" s="507">
        <f>IF(D93= "","-",D93)</f>
        <v>2007</v>
      </c>
      <c r="D99" s="374">
        <f>IF(D93=C99,0,D92)</f>
        <v>0</v>
      </c>
      <c r="E99" s="524">
        <f>IF(D11=I10,0,J96/12*(12-D94))</f>
        <v>0</v>
      </c>
      <c r="F99" s="523">
        <f>IF(D93=C99,+D92-E99,+D99-E99)</f>
        <v>0</v>
      </c>
      <c r="G99" s="603">
        <f t="shared" ref="G99:G130" si="16">+(F99+D99)/2</f>
        <v>0</v>
      </c>
      <c r="H99" s="604">
        <f t="shared" ref="H99:H112" si="17">+J$94*G99+E99</f>
        <v>0</v>
      </c>
      <c r="I99" s="605">
        <f t="shared" ref="I99:I112" si="18">+J$95*G99+E99</f>
        <v>0</v>
      </c>
      <c r="J99" s="514">
        <f t="shared" ref="J99:J130" si="19">+I99-H99</f>
        <v>0</v>
      </c>
      <c r="K99" s="514"/>
      <c r="L99" s="512">
        <f>K17</f>
        <v>741629</v>
      </c>
      <c r="M99" s="513">
        <f t="shared" ref="M99:M130" si="20">IF(L99&lt;&gt;0,+H99-L99,0)</f>
        <v>-741629</v>
      </c>
      <c r="N99" s="512">
        <f>M17</f>
        <v>741629</v>
      </c>
      <c r="O99" s="513">
        <f t="shared" ref="O99:O130" si="21">IF(N99&lt;&gt;0,+I99-N99,0)</f>
        <v>-741629</v>
      </c>
      <c r="P99" s="513">
        <f t="shared" ref="P99:P130" si="22">+O99-M99</f>
        <v>0</v>
      </c>
      <c r="Q99" s="269"/>
    </row>
    <row r="100" spans="1:17">
      <c r="B100" s="195" t="str">
        <f>IF(D100=F99,"","IU")</f>
        <v/>
      </c>
      <c r="C100" s="507">
        <f>IF(D93="","-",+C99+1)</f>
        <v>2008</v>
      </c>
      <c r="D100" s="374">
        <f t="shared" ref="D100:D109" si="23">F99</f>
        <v>0</v>
      </c>
      <c r="E100" s="522">
        <f>IF(+J96&lt;F99,J96,D100)</f>
        <v>0</v>
      </c>
      <c r="F100" s="523">
        <f t="shared" ref="F100:F130" si="24">+D100-E100</f>
        <v>0</v>
      </c>
      <c r="G100" s="523">
        <f t="shared" si="16"/>
        <v>0</v>
      </c>
      <c r="H100" s="526">
        <f t="shared" si="17"/>
        <v>0</v>
      </c>
      <c r="I100" s="577">
        <f t="shared" si="18"/>
        <v>0</v>
      </c>
      <c r="J100" s="514">
        <f t="shared" si="19"/>
        <v>0</v>
      </c>
      <c r="K100" s="514"/>
      <c r="L100" s="518">
        <v>0</v>
      </c>
      <c r="M100" s="514">
        <f t="shared" si="20"/>
        <v>0</v>
      </c>
      <c r="N100" s="518">
        <v>0</v>
      </c>
      <c r="O100" s="514">
        <f t="shared" si="21"/>
        <v>0</v>
      </c>
      <c r="P100" s="514">
        <f t="shared" si="22"/>
        <v>0</v>
      </c>
      <c r="Q100" s="269"/>
    </row>
    <row r="101" spans="1:17">
      <c r="B101" s="195" t="str">
        <f t="shared" ref="B101:B154" si="25">IF(D101=F100,"","IU")</f>
        <v/>
      </c>
      <c r="C101" s="507">
        <f>IF(D93="","-",+C100+1)</f>
        <v>2009</v>
      </c>
      <c r="D101" s="374">
        <f t="shared" si="23"/>
        <v>0</v>
      </c>
      <c r="E101" s="522">
        <f>IF(+J96&lt;F100,J96,D101)</f>
        <v>0</v>
      </c>
      <c r="F101" s="523">
        <f t="shared" si="24"/>
        <v>0</v>
      </c>
      <c r="G101" s="523">
        <f t="shared" si="16"/>
        <v>0</v>
      </c>
      <c r="H101" s="526">
        <f t="shared" si="17"/>
        <v>0</v>
      </c>
      <c r="I101" s="577">
        <f t="shared" si="18"/>
        <v>0</v>
      </c>
      <c r="J101" s="514">
        <f t="shared" si="19"/>
        <v>0</v>
      </c>
      <c r="K101" s="514"/>
      <c r="L101" s="518">
        <v>0</v>
      </c>
      <c r="M101" s="514">
        <f t="shared" si="20"/>
        <v>0</v>
      </c>
      <c r="N101" s="518">
        <v>0</v>
      </c>
      <c r="O101" s="514">
        <f t="shared" si="21"/>
        <v>0</v>
      </c>
      <c r="P101" s="514">
        <f t="shared" si="22"/>
        <v>0</v>
      </c>
      <c r="Q101" s="269"/>
    </row>
    <row r="102" spans="1:17">
      <c r="B102" s="195" t="str">
        <f t="shared" si="25"/>
        <v/>
      </c>
      <c r="C102" s="507">
        <f>IF(D93="","-",+C101+1)</f>
        <v>2010</v>
      </c>
      <c r="D102" s="374">
        <f t="shared" si="23"/>
        <v>0</v>
      </c>
      <c r="E102" s="522">
        <f>IF(+J96&lt;F101,J96,D102)</f>
        <v>0</v>
      </c>
      <c r="F102" s="523">
        <f t="shared" si="24"/>
        <v>0</v>
      </c>
      <c r="G102" s="523">
        <f t="shared" si="16"/>
        <v>0</v>
      </c>
      <c r="H102" s="526">
        <f t="shared" si="17"/>
        <v>0</v>
      </c>
      <c r="I102" s="577">
        <f t="shared" si="18"/>
        <v>0</v>
      </c>
      <c r="J102" s="514">
        <f t="shared" si="19"/>
        <v>0</v>
      </c>
      <c r="K102" s="514"/>
      <c r="L102" s="525"/>
      <c r="M102" s="514">
        <f t="shared" si="20"/>
        <v>0</v>
      </c>
      <c r="N102" s="525"/>
      <c r="O102" s="514">
        <f t="shared" si="21"/>
        <v>0</v>
      </c>
      <c r="P102" s="514">
        <f t="shared" si="22"/>
        <v>0</v>
      </c>
      <c r="Q102" s="269"/>
    </row>
    <row r="103" spans="1:17">
      <c r="B103" s="195" t="str">
        <f t="shared" si="25"/>
        <v/>
      </c>
      <c r="C103" s="507">
        <f>IF(D93="","-",+C102+1)</f>
        <v>2011</v>
      </c>
      <c r="D103" s="374">
        <f t="shared" si="23"/>
        <v>0</v>
      </c>
      <c r="E103" s="522">
        <f>IF(+J96&lt;F102,J96,D103)</f>
        <v>0</v>
      </c>
      <c r="F103" s="523">
        <f t="shared" si="24"/>
        <v>0</v>
      </c>
      <c r="G103" s="523">
        <f t="shared" si="16"/>
        <v>0</v>
      </c>
      <c r="H103" s="526">
        <f t="shared" si="17"/>
        <v>0</v>
      </c>
      <c r="I103" s="577">
        <f t="shared" si="18"/>
        <v>0</v>
      </c>
      <c r="J103" s="514">
        <f t="shared" si="19"/>
        <v>0</v>
      </c>
      <c r="K103" s="514"/>
      <c r="L103" s="525"/>
      <c r="M103" s="514">
        <f t="shared" si="20"/>
        <v>0</v>
      </c>
      <c r="N103" s="525"/>
      <c r="O103" s="514">
        <f t="shared" si="21"/>
        <v>0</v>
      </c>
      <c r="P103" s="514">
        <f t="shared" si="22"/>
        <v>0</v>
      </c>
      <c r="Q103" s="269"/>
    </row>
    <row r="104" spans="1:17">
      <c r="B104" s="195" t="str">
        <f t="shared" si="25"/>
        <v/>
      </c>
      <c r="C104" s="507">
        <f>IF(D93="","-",+C103+1)</f>
        <v>2012</v>
      </c>
      <c r="D104" s="374">
        <f t="shared" si="23"/>
        <v>0</v>
      </c>
      <c r="E104" s="522">
        <f>IF(+J96&lt;F103,J96,D104)</f>
        <v>0</v>
      </c>
      <c r="F104" s="523">
        <f t="shared" si="24"/>
        <v>0</v>
      </c>
      <c r="G104" s="523">
        <f t="shared" si="16"/>
        <v>0</v>
      </c>
      <c r="H104" s="526">
        <f t="shared" si="17"/>
        <v>0</v>
      </c>
      <c r="I104" s="577">
        <f t="shared" si="18"/>
        <v>0</v>
      </c>
      <c r="J104" s="514">
        <f t="shared" si="19"/>
        <v>0</v>
      </c>
      <c r="K104" s="514"/>
      <c r="L104" s="525"/>
      <c r="M104" s="514">
        <f t="shared" si="20"/>
        <v>0</v>
      </c>
      <c r="N104" s="525"/>
      <c r="O104" s="514">
        <f t="shared" si="21"/>
        <v>0</v>
      </c>
      <c r="P104" s="514">
        <f t="shared" si="22"/>
        <v>0</v>
      </c>
      <c r="Q104" s="269"/>
    </row>
    <row r="105" spans="1:17">
      <c r="B105" s="195" t="str">
        <f t="shared" si="25"/>
        <v/>
      </c>
      <c r="C105" s="507">
        <f>IF(D93="","-",+C104+1)</f>
        <v>2013</v>
      </c>
      <c r="D105" s="374">
        <f t="shared" si="23"/>
        <v>0</v>
      </c>
      <c r="E105" s="522">
        <f>IF(+J96&lt;F104,J96,D105)</f>
        <v>0</v>
      </c>
      <c r="F105" s="523">
        <f t="shared" si="24"/>
        <v>0</v>
      </c>
      <c r="G105" s="523">
        <f t="shared" si="16"/>
        <v>0</v>
      </c>
      <c r="H105" s="526">
        <f t="shared" si="17"/>
        <v>0</v>
      </c>
      <c r="I105" s="577">
        <f t="shared" si="18"/>
        <v>0</v>
      </c>
      <c r="J105" s="514">
        <f t="shared" si="19"/>
        <v>0</v>
      </c>
      <c r="K105" s="514"/>
      <c r="L105" s="525"/>
      <c r="M105" s="514">
        <f t="shared" si="20"/>
        <v>0</v>
      </c>
      <c r="N105" s="525"/>
      <c r="O105" s="514">
        <f t="shared" si="21"/>
        <v>0</v>
      </c>
      <c r="P105" s="514">
        <f t="shared" si="22"/>
        <v>0</v>
      </c>
      <c r="Q105" s="269"/>
    </row>
    <row r="106" spans="1:17">
      <c r="B106" s="195" t="str">
        <f t="shared" si="25"/>
        <v/>
      </c>
      <c r="C106" s="507">
        <f>IF(D93="","-",+C105+1)</f>
        <v>2014</v>
      </c>
      <c r="D106" s="374">
        <f t="shared" si="23"/>
        <v>0</v>
      </c>
      <c r="E106" s="522">
        <f>IF(+J96&lt;F105,J96,D106)</f>
        <v>0</v>
      </c>
      <c r="F106" s="523">
        <f t="shared" si="24"/>
        <v>0</v>
      </c>
      <c r="G106" s="523">
        <f t="shared" si="16"/>
        <v>0</v>
      </c>
      <c r="H106" s="526">
        <f t="shared" si="17"/>
        <v>0</v>
      </c>
      <c r="I106" s="577">
        <f t="shared" si="18"/>
        <v>0</v>
      </c>
      <c r="J106" s="514">
        <f t="shared" si="19"/>
        <v>0</v>
      </c>
      <c r="K106" s="514"/>
      <c r="L106" s="525"/>
      <c r="M106" s="514">
        <f t="shared" si="20"/>
        <v>0</v>
      </c>
      <c r="N106" s="525"/>
      <c r="O106" s="514">
        <f t="shared" si="21"/>
        <v>0</v>
      </c>
      <c r="P106" s="514">
        <f t="shared" si="22"/>
        <v>0</v>
      </c>
      <c r="Q106" s="269"/>
    </row>
    <row r="107" spans="1:17">
      <c r="B107" s="195" t="str">
        <f t="shared" si="25"/>
        <v/>
      </c>
      <c r="C107" s="507">
        <f>IF(D93="","-",+C106+1)</f>
        <v>2015</v>
      </c>
      <c r="D107" s="374">
        <f t="shared" si="23"/>
        <v>0</v>
      </c>
      <c r="E107" s="522">
        <f>IF(+J96&lt;F106,J96,D107)</f>
        <v>0</v>
      </c>
      <c r="F107" s="523">
        <f t="shared" si="24"/>
        <v>0</v>
      </c>
      <c r="G107" s="523">
        <f t="shared" si="16"/>
        <v>0</v>
      </c>
      <c r="H107" s="526">
        <f t="shared" si="17"/>
        <v>0</v>
      </c>
      <c r="I107" s="577">
        <f t="shared" si="18"/>
        <v>0</v>
      </c>
      <c r="J107" s="514">
        <f t="shared" si="19"/>
        <v>0</v>
      </c>
      <c r="K107" s="514"/>
      <c r="L107" s="525"/>
      <c r="M107" s="514">
        <f t="shared" si="20"/>
        <v>0</v>
      </c>
      <c r="N107" s="525"/>
      <c r="O107" s="514">
        <f t="shared" si="21"/>
        <v>0</v>
      </c>
      <c r="P107" s="514">
        <f t="shared" si="22"/>
        <v>0</v>
      </c>
      <c r="Q107" s="269"/>
    </row>
    <row r="108" spans="1:17">
      <c r="B108" s="195" t="str">
        <f t="shared" si="25"/>
        <v/>
      </c>
      <c r="C108" s="507">
        <f>IF(D93="","-",+C107+1)</f>
        <v>2016</v>
      </c>
      <c r="D108" s="374">
        <f t="shared" si="23"/>
        <v>0</v>
      </c>
      <c r="E108" s="522">
        <f>IF(+J96&lt;F107,J96,D108)</f>
        <v>0</v>
      </c>
      <c r="F108" s="523">
        <f t="shared" si="24"/>
        <v>0</v>
      </c>
      <c r="G108" s="523">
        <f t="shared" si="16"/>
        <v>0</v>
      </c>
      <c r="H108" s="526">
        <f t="shared" si="17"/>
        <v>0</v>
      </c>
      <c r="I108" s="577">
        <f t="shared" si="18"/>
        <v>0</v>
      </c>
      <c r="J108" s="514">
        <f t="shared" si="19"/>
        <v>0</v>
      </c>
      <c r="K108" s="514"/>
      <c r="L108" s="525"/>
      <c r="M108" s="514">
        <f t="shared" si="20"/>
        <v>0</v>
      </c>
      <c r="N108" s="525"/>
      <c r="O108" s="514">
        <f t="shared" si="21"/>
        <v>0</v>
      </c>
      <c r="P108" s="514">
        <f t="shared" si="22"/>
        <v>0</v>
      </c>
      <c r="Q108" s="269"/>
    </row>
    <row r="109" spans="1:17">
      <c r="B109" s="195" t="str">
        <f t="shared" si="25"/>
        <v/>
      </c>
      <c r="C109" s="507">
        <f>IF(D93="","-",+C108+1)</f>
        <v>2017</v>
      </c>
      <c r="D109" s="374">
        <f t="shared" si="23"/>
        <v>0</v>
      </c>
      <c r="E109" s="522">
        <f>IF(+J96&lt;F108,J96,D109)</f>
        <v>0</v>
      </c>
      <c r="F109" s="523">
        <f t="shared" si="24"/>
        <v>0</v>
      </c>
      <c r="G109" s="523">
        <f t="shared" si="16"/>
        <v>0</v>
      </c>
      <c r="H109" s="526">
        <f t="shared" si="17"/>
        <v>0</v>
      </c>
      <c r="I109" s="577">
        <f t="shared" si="18"/>
        <v>0</v>
      </c>
      <c r="J109" s="514">
        <f t="shared" si="19"/>
        <v>0</v>
      </c>
      <c r="K109" s="514"/>
      <c r="L109" s="525"/>
      <c r="M109" s="514">
        <f t="shared" si="20"/>
        <v>0</v>
      </c>
      <c r="N109" s="525"/>
      <c r="O109" s="514">
        <f t="shared" si="21"/>
        <v>0</v>
      </c>
      <c r="P109" s="514">
        <f t="shared" si="22"/>
        <v>0</v>
      </c>
      <c r="Q109" s="269"/>
    </row>
    <row r="110" spans="1:17">
      <c r="B110" s="195" t="str">
        <f t="shared" si="25"/>
        <v/>
      </c>
      <c r="C110" s="507">
        <f>IF(D93="","-",+C109+1)</f>
        <v>2018</v>
      </c>
      <c r="D110" s="374">
        <f>IF(F109+SUM(E$99:E109)=D$92,F109,D$92-SUM(E$99:E109))</f>
        <v>0</v>
      </c>
      <c r="E110" s="522">
        <f>IF(+J96&lt;F109,J96,D110)</f>
        <v>0</v>
      </c>
      <c r="F110" s="523">
        <f t="shared" si="24"/>
        <v>0</v>
      </c>
      <c r="G110" s="523">
        <f t="shared" si="16"/>
        <v>0</v>
      </c>
      <c r="H110" s="526">
        <f t="shared" si="17"/>
        <v>0</v>
      </c>
      <c r="I110" s="577">
        <f t="shared" si="18"/>
        <v>0</v>
      </c>
      <c r="J110" s="514">
        <f t="shared" si="19"/>
        <v>0</v>
      </c>
      <c r="K110" s="514"/>
      <c r="L110" s="525"/>
      <c r="M110" s="514">
        <f t="shared" si="20"/>
        <v>0</v>
      </c>
      <c r="N110" s="525"/>
      <c r="O110" s="514">
        <f t="shared" si="21"/>
        <v>0</v>
      </c>
      <c r="P110" s="514">
        <f t="shared" si="22"/>
        <v>0</v>
      </c>
      <c r="Q110" s="269"/>
    </row>
    <row r="111" spans="1:17">
      <c r="B111" s="195" t="str">
        <f t="shared" si="25"/>
        <v/>
      </c>
      <c r="C111" s="507">
        <f>IF(D93="","-",+C110+1)</f>
        <v>2019</v>
      </c>
      <c r="D111" s="374">
        <f>IF(F110+SUM(E$99:E110)=D$92,F110,D$92-SUM(E$99:E110))</f>
        <v>0</v>
      </c>
      <c r="E111" s="522">
        <f>IF(+J96&lt;F110,J96,D111)</f>
        <v>0</v>
      </c>
      <c r="F111" s="523">
        <f t="shared" si="24"/>
        <v>0</v>
      </c>
      <c r="G111" s="523">
        <f t="shared" si="16"/>
        <v>0</v>
      </c>
      <c r="H111" s="526">
        <f t="shared" si="17"/>
        <v>0</v>
      </c>
      <c r="I111" s="577">
        <f t="shared" si="18"/>
        <v>0</v>
      </c>
      <c r="J111" s="514">
        <f t="shared" si="19"/>
        <v>0</v>
      </c>
      <c r="K111" s="514"/>
      <c r="L111" s="525"/>
      <c r="M111" s="514">
        <f t="shared" si="20"/>
        <v>0</v>
      </c>
      <c r="N111" s="525"/>
      <c r="O111" s="514">
        <f t="shared" si="21"/>
        <v>0</v>
      </c>
      <c r="P111" s="514">
        <f t="shared" si="22"/>
        <v>0</v>
      </c>
      <c r="Q111" s="269"/>
    </row>
    <row r="112" spans="1:17">
      <c r="B112" s="195" t="str">
        <f t="shared" si="25"/>
        <v/>
      </c>
      <c r="C112" s="507">
        <f>IF(D93="","-",+C111+1)</f>
        <v>2020</v>
      </c>
      <c r="D112" s="374">
        <f>IF(F111+SUM(E$99:E111)=D$92,F111,D$92-SUM(E$99:E111))</f>
        <v>0</v>
      </c>
      <c r="E112" s="522">
        <f>IF(+J96&lt;F111,J96,D112)</f>
        <v>0</v>
      </c>
      <c r="F112" s="523">
        <f t="shared" si="24"/>
        <v>0</v>
      </c>
      <c r="G112" s="523">
        <f t="shared" si="16"/>
        <v>0</v>
      </c>
      <c r="H112" s="526">
        <f t="shared" si="17"/>
        <v>0</v>
      </c>
      <c r="I112" s="577">
        <f t="shared" si="18"/>
        <v>0</v>
      </c>
      <c r="J112" s="514">
        <f t="shared" si="19"/>
        <v>0</v>
      </c>
      <c r="K112" s="514"/>
      <c r="L112" s="525"/>
      <c r="M112" s="514">
        <f t="shared" si="20"/>
        <v>0</v>
      </c>
      <c r="N112" s="525"/>
      <c r="O112" s="514">
        <f t="shared" si="21"/>
        <v>0</v>
      </c>
      <c r="P112" s="514">
        <f t="shared" si="22"/>
        <v>0</v>
      </c>
      <c r="Q112" s="269"/>
    </row>
    <row r="113" spans="2:17">
      <c r="B113" s="195" t="str">
        <f t="shared" si="25"/>
        <v/>
      </c>
      <c r="C113" s="507">
        <f>IF(D93="","-",+C112+1)</f>
        <v>2021</v>
      </c>
      <c r="D113" s="374">
        <f>IF(F112+SUM(E$99:E112)=D$92,F112,D$92-SUM(E$99:E112))</f>
        <v>0</v>
      </c>
      <c r="E113" s="522">
        <f>IF(+J96&lt;F112,J96,D113)</f>
        <v>0</v>
      </c>
      <c r="F113" s="523">
        <f t="shared" si="24"/>
        <v>0</v>
      </c>
      <c r="G113" s="523">
        <f t="shared" si="16"/>
        <v>0</v>
      </c>
      <c r="H113" s="526">
        <f t="shared" ref="H113:H154" si="26">+J$94*G113+E113</f>
        <v>0</v>
      </c>
      <c r="I113" s="577">
        <f t="shared" ref="I113:I154" si="27">+J$95*G113+E113</f>
        <v>0</v>
      </c>
      <c r="J113" s="514">
        <f t="shared" si="19"/>
        <v>0</v>
      </c>
      <c r="K113" s="514"/>
      <c r="L113" s="525"/>
      <c r="M113" s="514">
        <f t="shared" si="20"/>
        <v>0</v>
      </c>
      <c r="N113" s="525"/>
      <c r="O113" s="514">
        <f t="shared" si="21"/>
        <v>0</v>
      </c>
      <c r="P113" s="514">
        <f t="shared" si="22"/>
        <v>0</v>
      </c>
      <c r="Q113" s="269"/>
    </row>
    <row r="114" spans="2:17">
      <c r="B114" s="195" t="str">
        <f t="shared" si="25"/>
        <v/>
      </c>
      <c r="C114" s="673">
        <f>IF(D93="","-",+C113+1)</f>
        <v>2022</v>
      </c>
      <c r="D114" s="374">
        <f>IF(F113+SUM(E$99:E113)=D$92,F113,D$92-SUM(E$99:E113))</f>
        <v>0</v>
      </c>
      <c r="E114" s="522">
        <f>IF(+J96&lt;F113,J96,D114)</f>
        <v>0</v>
      </c>
      <c r="F114" s="523">
        <f t="shared" si="24"/>
        <v>0</v>
      </c>
      <c r="G114" s="523">
        <f t="shared" si="16"/>
        <v>0</v>
      </c>
      <c r="H114" s="526">
        <f t="shared" si="26"/>
        <v>0</v>
      </c>
      <c r="I114" s="577">
        <f t="shared" si="27"/>
        <v>0</v>
      </c>
      <c r="J114" s="514">
        <f t="shared" si="19"/>
        <v>0</v>
      </c>
      <c r="K114" s="514"/>
      <c r="L114" s="525"/>
      <c r="M114" s="514">
        <f t="shared" si="20"/>
        <v>0</v>
      </c>
      <c r="N114" s="525"/>
      <c r="O114" s="514">
        <f t="shared" si="21"/>
        <v>0</v>
      </c>
      <c r="P114" s="514">
        <f t="shared" si="22"/>
        <v>0</v>
      </c>
      <c r="Q114" s="269"/>
    </row>
    <row r="115" spans="2:17">
      <c r="B115" s="195" t="str">
        <f t="shared" si="25"/>
        <v/>
      </c>
      <c r="C115" s="507">
        <f>IF(D93="","-",+C114+1)</f>
        <v>2023</v>
      </c>
      <c r="D115" s="374">
        <f>IF(F114+SUM(E$99:E114)=D$92,F114,D$92-SUM(E$99:E114))</f>
        <v>0</v>
      </c>
      <c r="E115" s="522">
        <f>IF(+J96&lt;F114,J96,D115)</f>
        <v>0</v>
      </c>
      <c r="F115" s="523">
        <f t="shared" si="24"/>
        <v>0</v>
      </c>
      <c r="G115" s="523">
        <f t="shared" si="16"/>
        <v>0</v>
      </c>
      <c r="H115" s="526">
        <f t="shared" si="26"/>
        <v>0</v>
      </c>
      <c r="I115" s="577">
        <f t="shared" si="27"/>
        <v>0</v>
      </c>
      <c r="J115" s="514">
        <f t="shared" si="19"/>
        <v>0</v>
      </c>
      <c r="K115" s="514"/>
      <c r="L115" s="525"/>
      <c r="M115" s="514">
        <f t="shared" si="20"/>
        <v>0</v>
      </c>
      <c r="N115" s="525"/>
      <c r="O115" s="514">
        <f t="shared" si="21"/>
        <v>0</v>
      </c>
      <c r="P115" s="514">
        <f t="shared" si="22"/>
        <v>0</v>
      </c>
      <c r="Q115" s="269"/>
    </row>
    <row r="116" spans="2:17">
      <c r="B116" s="195" t="str">
        <f t="shared" si="25"/>
        <v/>
      </c>
      <c r="C116" s="507">
        <f>IF(D93="","-",+C115+1)</f>
        <v>2024</v>
      </c>
      <c r="D116" s="374">
        <f>IF(F115+SUM(E$99:E115)=D$92,F115,D$92-SUM(E$99:E115))</f>
        <v>0</v>
      </c>
      <c r="E116" s="522">
        <f>IF(+J96&lt;F115,J96,D116)</f>
        <v>0</v>
      </c>
      <c r="F116" s="523">
        <f t="shared" si="24"/>
        <v>0</v>
      </c>
      <c r="G116" s="523">
        <f t="shared" si="16"/>
        <v>0</v>
      </c>
      <c r="H116" s="526">
        <f t="shared" si="26"/>
        <v>0</v>
      </c>
      <c r="I116" s="577">
        <f t="shared" si="27"/>
        <v>0</v>
      </c>
      <c r="J116" s="514">
        <f t="shared" si="19"/>
        <v>0</v>
      </c>
      <c r="K116" s="514"/>
      <c r="L116" s="525"/>
      <c r="M116" s="514">
        <f t="shared" si="20"/>
        <v>0</v>
      </c>
      <c r="N116" s="525"/>
      <c r="O116" s="514">
        <f t="shared" si="21"/>
        <v>0</v>
      </c>
      <c r="P116" s="514">
        <f t="shared" si="22"/>
        <v>0</v>
      </c>
      <c r="Q116" s="269"/>
    </row>
    <row r="117" spans="2:17">
      <c r="B117" s="195" t="str">
        <f t="shared" si="25"/>
        <v/>
      </c>
      <c r="C117" s="507">
        <f>IF(D93="","-",+C116+1)</f>
        <v>2025</v>
      </c>
      <c r="D117" s="374">
        <f>IF(F116+SUM(E$99:E116)=D$92,F116,D$92-SUM(E$99:E116))</f>
        <v>0</v>
      </c>
      <c r="E117" s="522">
        <f>IF(+J96&lt;F116,J96,D117)</f>
        <v>0</v>
      </c>
      <c r="F117" s="523">
        <f t="shared" si="24"/>
        <v>0</v>
      </c>
      <c r="G117" s="523">
        <f t="shared" si="16"/>
        <v>0</v>
      </c>
      <c r="H117" s="526">
        <f t="shared" si="26"/>
        <v>0</v>
      </c>
      <c r="I117" s="577">
        <f t="shared" si="27"/>
        <v>0</v>
      </c>
      <c r="J117" s="514">
        <f t="shared" si="19"/>
        <v>0</v>
      </c>
      <c r="K117" s="514"/>
      <c r="L117" s="525"/>
      <c r="M117" s="514">
        <f t="shared" si="20"/>
        <v>0</v>
      </c>
      <c r="N117" s="525"/>
      <c r="O117" s="514">
        <f t="shared" si="21"/>
        <v>0</v>
      </c>
      <c r="P117" s="514">
        <f t="shared" si="22"/>
        <v>0</v>
      </c>
      <c r="Q117" s="269"/>
    </row>
    <row r="118" spans="2:17">
      <c r="B118" s="195" t="str">
        <f t="shared" si="25"/>
        <v/>
      </c>
      <c r="C118" s="507">
        <f>IF(D93="","-",+C117+1)</f>
        <v>2026</v>
      </c>
      <c r="D118" s="374">
        <f>IF(F117+SUM(E$99:E117)=D$92,F117,D$92-SUM(E$99:E117))</f>
        <v>0</v>
      </c>
      <c r="E118" s="522">
        <f>IF(+J96&lt;F117,J96,D118)</f>
        <v>0</v>
      </c>
      <c r="F118" s="523">
        <f t="shared" si="24"/>
        <v>0</v>
      </c>
      <c r="G118" s="523">
        <f t="shared" si="16"/>
        <v>0</v>
      </c>
      <c r="H118" s="526">
        <f t="shared" si="26"/>
        <v>0</v>
      </c>
      <c r="I118" s="577">
        <f t="shared" si="27"/>
        <v>0</v>
      </c>
      <c r="J118" s="514">
        <f t="shared" si="19"/>
        <v>0</v>
      </c>
      <c r="K118" s="514"/>
      <c r="L118" s="525"/>
      <c r="M118" s="514">
        <f t="shared" si="20"/>
        <v>0</v>
      </c>
      <c r="N118" s="525"/>
      <c r="O118" s="514">
        <f t="shared" si="21"/>
        <v>0</v>
      </c>
      <c r="P118" s="514">
        <f t="shared" si="22"/>
        <v>0</v>
      </c>
      <c r="Q118" s="269"/>
    </row>
    <row r="119" spans="2:17">
      <c r="B119" s="195" t="str">
        <f t="shared" si="25"/>
        <v/>
      </c>
      <c r="C119" s="507">
        <f>IF(D93="","-",+C118+1)</f>
        <v>2027</v>
      </c>
      <c r="D119" s="374">
        <f>IF(F118+SUM(E$99:E118)=D$92,F118,D$92-SUM(E$99:E118))</f>
        <v>0</v>
      </c>
      <c r="E119" s="522">
        <f>IF(+J96&lt;F118,J96,D119)</f>
        <v>0</v>
      </c>
      <c r="F119" s="523">
        <f t="shared" si="24"/>
        <v>0</v>
      </c>
      <c r="G119" s="523">
        <f t="shared" si="16"/>
        <v>0</v>
      </c>
      <c r="H119" s="526">
        <f t="shared" si="26"/>
        <v>0</v>
      </c>
      <c r="I119" s="577">
        <f t="shared" si="27"/>
        <v>0</v>
      </c>
      <c r="J119" s="514">
        <f t="shared" si="19"/>
        <v>0</v>
      </c>
      <c r="K119" s="514"/>
      <c r="L119" s="525"/>
      <c r="M119" s="514">
        <f t="shared" si="20"/>
        <v>0</v>
      </c>
      <c r="N119" s="525"/>
      <c r="O119" s="514">
        <f t="shared" si="21"/>
        <v>0</v>
      </c>
      <c r="P119" s="514">
        <f t="shared" si="22"/>
        <v>0</v>
      </c>
      <c r="Q119" s="269"/>
    </row>
    <row r="120" spans="2:17">
      <c r="B120" s="195" t="str">
        <f t="shared" si="25"/>
        <v/>
      </c>
      <c r="C120" s="507">
        <f>IF(D93="","-",+C119+1)</f>
        <v>2028</v>
      </c>
      <c r="D120" s="374">
        <f>IF(F119+SUM(E$99:E119)=D$92,F119,D$92-SUM(E$99:E119))</f>
        <v>0</v>
      </c>
      <c r="E120" s="522">
        <f>IF(+J96&lt;F119,J96,D120)</f>
        <v>0</v>
      </c>
      <c r="F120" s="523">
        <f t="shared" si="24"/>
        <v>0</v>
      </c>
      <c r="G120" s="523">
        <f t="shared" si="16"/>
        <v>0</v>
      </c>
      <c r="H120" s="526">
        <f t="shared" si="26"/>
        <v>0</v>
      </c>
      <c r="I120" s="577">
        <f t="shared" si="27"/>
        <v>0</v>
      </c>
      <c r="J120" s="514">
        <f t="shared" si="19"/>
        <v>0</v>
      </c>
      <c r="K120" s="514"/>
      <c r="L120" s="525"/>
      <c r="M120" s="514">
        <f t="shared" si="20"/>
        <v>0</v>
      </c>
      <c r="N120" s="525"/>
      <c r="O120" s="514">
        <f t="shared" si="21"/>
        <v>0</v>
      </c>
      <c r="P120" s="514">
        <f t="shared" si="22"/>
        <v>0</v>
      </c>
      <c r="Q120" s="269"/>
    </row>
    <row r="121" spans="2:17">
      <c r="B121" s="195" t="str">
        <f t="shared" si="25"/>
        <v/>
      </c>
      <c r="C121" s="507">
        <f>IF(D93="","-",+C120+1)</f>
        <v>2029</v>
      </c>
      <c r="D121" s="374">
        <f>IF(F120+SUM(E$99:E120)=D$92,F120,D$92-SUM(E$99:E120))</f>
        <v>0</v>
      </c>
      <c r="E121" s="522">
        <f>IF(+J96&lt;F120,J96,D121)</f>
        <v>0</v>
      </c>
      <c r="F121" s="523">
        <f t="shared" si="24"/>
        <v>0</v>
      </c>
      <c r="G121" s="523">
        <f t="shared" si="16"/>
        <v>0</v>
      </c>
      <c r="H121" s="526">
        <f t="shared" si="26"/>
        <v>0</v>
      </c>
      <c r="I121" s="577">
        <f t="shared" si="27"/>
        <v>0</v>
      </c>
      <c r="J121" s="514">
        <f t="shared" si="19"/>
        <v>0</v>
      </c>
      <c r="K121" s="514"/>
      <c r="L121" s="525"/>
      <c r="M121" s="514">
        <f t="shared" si="20"/>
        <v>0</v>
      </c>
      <c r="N121" s="525"/>
      <c r="O121" s="514">
        <f t="shared" si="21"/>
        <v>0</v>
      </c>
      <c r="P121" s="514">
        <f t="shared" si="22"/>
        <v>0</v>
      </c>
      <c r="Q121" s="269"/>
    </row>
    <row r="122" spans="2:17">
      <c r="B122" s="195" t="str">
        <f t="shared" si="25"/>
        <v/>
      </c>
      <c r="C122" s="507">
        <f>IF(D93="","-",+C121+1)</f>
        <v>2030</v>
      </c>
      <c r="D122" s="374">
        <f>IF(F121+SUM(E$99:E121)=D$92,F121,D$92-SUM(E$99:E121))</f>
        <v>0</v>
      </c>
      <c r="E122" s="522">
        <f>IF(+J96&lt;F121,J96,D122)</f>
        <v>0</v>
      </c>
      <c r="F122" s="523">
        <f t="shared" si="24"/>
        <v>0</v>
      </c>
      <c r="G122" s="523">
        <f t="shared" si="16"/>
        <v>0</v>
      </c>
      <c r="H122" s="526">
        <f t="shared" si="26"/>
        <v>0</v>
      </c>
      <c r="I122" s="577">
        <f t="shared" si="27"/>
        <v>0</v>
      </c>
      <c r="J122" s="514">
        <f t="shared" si="19"/>
        <v>0</v>
      </c>
      <c r="K122" s="514"/>
      <c r="L122" s="525"/>
      <c r="M122" s="514">
        <f t="shared" si="20"/>
        <v>0</v>
      </c>
      <c r="N122" s="525"/>
      <c r="O122" s="514">
        <f t="shared" si="21"/>
        <v>0</v>
      </c>
      <c r="P122" s="514">
        <f t="shared" si="22"/>
        <v>0</v>
      </c>
      <c r="Q122" s="269"/>
    </row>
    <row r="123" spans="2:17">
      <c r="B123" s="195" t="str">
        <f t="shared" si="25"/>
        <v/>
      </c>
      <c r="C123" s="507">
        <f>IF(D93="","-",+C122+1)</f>
        <v>2031</v>
      </c>
      <c r="D123" s="374">
        <f>IF(F122+SUM(E$99:E122)=D$92,F122,D$92-SUM(E$99:E122))</f>
        <v>0</v>
      </c>
      <c r="E123" s="522">
        <f>IF(+J96&lt;F122,J96,D123)</f>
        <v>0</v>
      </c>
      <c r="F123" s="523">
        <f t="shared" si="24"/>
        <v>0</v>
      </c>
      <c r="G123" s="523">
        <f t="shared" si="16"/>
        <v>0</v>
      </c>
      <c r="H123" s="526">
        <f t="shared" si="26"/>
        <v>0</v>
      </c>
      <c r="I123" s="577">
        <f t="shared" si="27"/>
        <v>0</v>
      </c>
      <c r="J123" s="514">
        <f t="shared" si="19"/>
        <v>0</v>
      </c>
      <c r="K123" s="514"/>
      <c r="L123" s="525"/>
      <c r="M123" s="514">
        <f t="shared" si="20"/>
        <v>0</v>
      </c>
      <c r="N123" s="525"/>
      <c r="O123" s="514">
        <f t="shared" si="21"/>
        <v>0</v>
      </c>
      <c r="P123" s="514">
        <f t="shared" si="22"/>
        <v>0</v>
      </c>
      <c r="Q123" s="269"/>
    </row>
    <row r="124" spans="2:17">
      <c r="B124" s="195" t="str">
        <f t="shared" si="25"/>
        <v/>
      </c>
      <c r="C124" s="507">
        <f>IF(D93="","-",+C123+1)</f>
        <v>2032</v>
      </c>
      <c r="D124" s="374">
        <f>IF(F123+SUM(E$99:E123)=D$92,F123,D$92-SUM(E$99:E123))</f>
        <v>0</v>
      </c>
      <c r="E124" s="522">
        <f>IF(+J96&lt;F123,J96,D124)</f>
        <v>0</v>
      </c>
      <c r="F124" s="523">
        <f t="shared" si="24"/>
        <v>0</v>
      </c>
      <c r="G124" s="523">
        <f t="shared" si="16"/>
        <v>0</v>
      </c>
      <c r="H124" s="526">
        <f t="shared" si="26"/>
        <v>0</v>
      </c>
      <c r="I124" s="577">
        <f t="shared" si="27"/>
        <v>0</v>
      </c>
      <c r="J124" s="514">
        <f t="shared" si="19"/>
        <v>0</v>
      </c>
      <c r="K124" s="514"/>
      <c r="L124" s="525"/>
      <c r="M124" s="514">
        <f t="shared" si="20"/>
        <v>0</v>
      </c>
      <c r="N124" s="525"/>
      <c r="O124" s="514">
        <f t="shared" si="21"/>
        <v>0</v>
      </c>
      <c r="P124" s="514">
        <f t="shared" si="22"/>
        <v>0</v>
      </c>
      <c r="Q124" s="269"/>
    </row>
    <row r="125" spans="2:17">
      <c r="B125" s="195" t="str">
        <f t="shared" si="25"/>
        <v/>
      </c>
      <c r="C125" s="507">
        <f>IF(D93="","-",+C124+1)</f>
        <v>2033</v>
      </c>
      <c r="D125" s="374">
        <f>IF(F124+SUM(E$99:E124)=D$92,F124,D$92-SUM(E$99:E124))</f>
        <v>0</v>
      </c>
      <c r="E125" s="522">
        <f>IF(+J96&lt;F124,J96,D125)</f>
        <v>0</v>
      </c>
      <c r="F125" s="523">
        <f t="shared" si="24"/>
        <v>0</v>
      </c>
      <c r="G125" s="523">
        <f t="shared" si="16"/>
        <v>0</v>
      </c>
      <c r="H125" s="526">
        <f t="shared" si="26"/>
        <v>0</v>
      </c>
      <c r="I125" s="577">
        <f t="shared" si="27"/>
        <v>0</v>
      </c>
      <c r="J125" s="514">
        <f t="shared" si="19"/>
        <v>0</v>
      </c>
      <c r="K125" s="514"/>
      <c r="L125" s="525"/>
      <c r="M125" s="514">
        <f t="shared" si="20"/>
        <v>0</v>
      </c>
      <c r="N125" s="525"/>
      <c r="O125" s="514">
        <f t="shared" si="21"/>
        <v>0</v>
      </c>
      <c r="P125" s="514">
        <f t="shared" si="22"/>
        <v>0</v>
      </c>
      <c r="Q125" s="269"/>
    </row>
    <row r="126" spans="2:17">
      <c r="B126" s="195" t="str">
        <f t="shared" si="25"/>
        <v/>
      </c>
      <c r="C126" s="507">
        <f>IF(D93="","-",+C125+1)</f>
        <v>2034</v>
      </c>
      <c r="D126" s="374">
        <f>IF(F125+SUM(E$99:E125)=D$92,F125,D$92-SUM(E$99:E125))</f>
        <v>0</v>
      </c>
      <c r="E126" s="522">
        <f>IF(+J96&lt;F125,J96,D126)</f>
        <v>0</v>
      </c>
      <c r="F126" s="523">
        <f t="shared" si="24"/>
        <v>0</v>
      </c>
      <c r="G126" s="523">
        <f t="shared" si="16"/>
        <v>0</v>
      </c>
      <c r="H126" s="526">
        <f t="shared" si="26"/>
        <v>0</v>
      </c>
      <c r="I126" s="577">
        <f t="shared" si="27"/>
        <v>0</v>
      </c>
      <c r="J126" s="514">
        <f t="shared" si="19"/>
        <v>0</v>
      </c>
      <c r="K126" s="514"/>
      <c r="L126" s="525"/>
      <c r="M126" s="514">
        <f t="shared" si="20"/>
        <v>0</v>
      </c>
      <c r="N126" s="525"/>
      <c r="O126" s="514">
        <f t="shared" si="21"/>
        <v>0</v>
      </c>
      <c r="P126" s="514">
        <f t="shared" si="22"/>
        <v>0</v>
      </c>
      <c r="Q126" s="269"/>
    </row>
    <row r="127" spans="2:17">
      <c r="B127" s="195" t="str">
        <f t="shared" si="25"/>
        <v/>
      </c>
      <c r="C127" s="507">
        <f>IF(D93="","-",+C126+1)</f>
        <v>2035</v>
      </c>
      <c r="D127" s="374">
        <f>IF(F126+SUM(E$99:E126)=D$92,F126,D$92-SUM(E$99:E126))</f>
        <v>0</v>
      </c>
      <c r="E127" s="522">
        <f>IF(+J96&lt;F126,J96,D127)</f>
        <v>0</v>
      </c>
      <c r="F127" s="523">
        <f t="shared" si="24"/>
        <v>0</v>
      </c>
      <c r="G127" s="523">
        <f t="shared" si="16"/>
        <v>0</v>
      </c>
      <c r="H127" s="526">
        <f t="shared" si="26"/>
        <v>0</v>
      </c>
      <c r="I127" s="577">
        <f t="shared" si="27"/>
        <v>0</v>
      </c>
      <c r="J127" s="514">
        <f t="shared" si="19"/>
        <v>0</v>
      </c>
      <c r="K127" s="514"/>
      <c r="L127" s="525"/>
      <c r="M127" s="514">
        <f t="shared" si="20"/>
        <v>0</v>
      </c>
      <c r="N127" s="525"/>
      <c r="O127" s="514">
        <f t="shared" si="21"/>
        <v>0</v>
      </c>
      <c r="P127" s="514">
        <f t="shared" si="22"/>
        <v>0</v>
      </c>
      <c r="Q127" s="269"/>
    </row>
    <row r="128" spans="2:17">
      <c r="B128" s="195" t="str">
        <f t="shared" si="25"/>
        <v/>
      </c>
      <c r="C128" s="507">
        <f>IF(D93="","-",+C127+1)</f>
        <v>2036</v>
      </c>
      <c r="D128" s="374">
        <f>IF(F127+SUM(E$99:E127)=D$92,F127,D$92-SUM(E$99:E127))</f>
        <v>0</v>
      </c>
      <c r="E128" s="522">
        <f>IF(+J96&lt;F127,J96,D128)</f>
        <v>0</v>
      </c>
      <c r="F128" s="523">
        <f t="shared" si="24"/>
        <v>0</v>
      </c>
      <c r="G128" s="523">
        <f t="shared" si="16"/>
        <v>0</v>
      </c>
      <c r="H128" s="526">
        <f t="shared" si="26"/>
        <v>0</v>
      </c>
      <c r="I128" s="577">
        <f t="shared" si="27"/>
        <v>0</v>
      </c>
      <c r="J128" s="514">
        <f t="shared" si="19"/>
        <v>0</v>
      </c>
      <c r="K128" s="514"/>
      <c r="L128" s="525"/>
      <c r="M128" s="514">
        <f t="shared" si="20"/>
        <v>0</v>
      </c>
      <c r="N128" s="525"/>
      <c r="O128" s="514">
        <f t="shared" si="21"/>
        <v>0</v>
      </c>
      <c r="P128" s="514">
        <f t="shared" si="22"/>
        <v>0</v>
      </c>
      <c r="Q128" s="269"/>
    </row>
    <row r="129" spans="2:17">
      <c r="B129" s="195" t="str">
        <f t="shared" si="25"/>
        <v/>
      </c>
      <c r="C129" s="507">
        <f>IF(D93="","-",+C128+1)</f>
        <v>2037</v>
      </c>
      <c r="D129" s="374">
        <f>IF(F128+SUM(E$99:E128)=D$92,F128,D$92-SUM(E$99:E128))</f>
        <v>0</v>
      </c>
      <c r="E129" s="522">
        <f>IF(+J96&lt;F128,J96,D129)</f>
        <v>0</v>
      </c>
      <c r="F129" s="523">
        <f t="shared" si="24"/>
        <v>0</v>
      </c>
      <c r="G129" s="523">
        <f t="shared" si="16"/>
        <v>0</v>
      </c>
      <c r="H129" s="526">
        <f t="shared" si="26"/>
        <v>0</v>
      </c>
      <c r="I129" s="577">
        <f t="shared" si="27"/>
        <v>0</v>
      </c>
      <c r="J129" s="514">
        <f t="shared" si="19"/>
        <v>0</v>
      </c>
      <c r="K129" s="514"/>
      <c r="L129" s="525"/>
      <c r="M129" s="514">
        <f t="shared" si="20"/>
        <v>0</v>
      </c>
      <c r="N129" s="525"/>
      <c r="O129" s="514">
        <f t="shared" si="21"/>
        <v>0</v>
      </c>
      <c r="P129" s="514">
        <f t="shared" si="22"/>
        <v>0</v>
      </c>
      <c r="Q129" s="269"/>
    </row>
    <row r="130" spans="2:17">
      <c r="B130" s="195" t="str">
        <f t="shared" si="25"/>
        <v/>
      </c>
      <c r="C130" s="507">
        <f>IF(D93="","-",+C129+1)</f>
        <v>2038</v>
      </c>
      <c r="D130" s="374">
        <f>IF(F129+SUM(E$99:E129)=D$92,F129,D$92-SUM(E$99:E129))</f>
        <v>0</v>
      </c>
      <c r="E130" s="522">
        <f>IF(+J96&lt;F129,J96,D130)</f>
        <v>0</v>
      </c>
      <c r="F130" s="523">
        <f t="shared" si="24"/>
        <v>0</v>
      </c>
      <c r="G130" s="523">
        <f t="shared" si="16"/>
        <v>0</v>
      </c>
      <c r="H130" s="526">
        <f t="shared" si="26"/>
        <v>0</v>
      </c>
      <c r="I130" s="577">
        <f t="shared" si="27"/>
        <v>0</v>
      </c>
      <c r="J130" s="514">
        <f t="shared" si="19"/>
        <v>0</v>
      </c>
      <c r="K130" s="514"/>
      <c r="L130" s="525"/>
      <c r="M130" s="514">
        <f t="shared" si="20"/>
        <v>0</v>
      </c>
      <c r="N130" s="525"/>
      <c r="O130" s="514">
        <f t="shared" si="21"/>
        <v>0</v>
      </c>
      <c r="P130" s="514">
        <f t="shared" si="22"/>
        <v>0</v>
      </c>
      <c r="Q130" s="269"/>
    </row>
    <row r="131" spans="2:17">
      <c r="B131" s="195" t="str">
        <f t="shared" si="25"/>
        <v/>
      </c>
      <c r="C131" s="507">
        <f>IF(D93="","-",+C130+1)</f>
        <v>2039</v>
      </c>
      <c r="D131" s="374">
        <f>IF(F130+SUM(E$99:E130)=D$92,F130,D$92-SUM(E$99:E130))</f>
        <v>0</v>
      </c>
      <c r="E131" s="522">
        <f>IF(+J96&lt;F130,J96,D131)</f>
        <v>0</v>
      </c>
      <c r="F131" s="523">
        <f t="shared" ref="F131:F154" si="28">+D131-E131</f>
        <v>0</v>
      </c>
      <c r="G131" s="523">
        <f t="shared" ref="G131:G154" si="29">+(F131+D131)/2</f>
        <v>0</v>
      </c>
      <c r="H131" s="526">
        <f t="shared" si="26"/>
        <v>0</v>
      </c>
      <c r="I131" s="577">
        <f t="shared" si="27"/>
        <v>0</v>
      </c>
      <c r="J131" s="514">
        <f t="shared" ref="J131:J154" si="30">+I131-H131</f>
        <v>0</v>
      </c>
      <c r="K131" s="514"/>
      <c r="L131" s="525"/>
      <c r="M131" s="514">
        <f t="shared" ref="M131:M154" si="31">IF(L131&lt;&gt;0,+H131-L131,0)</f>
        <v>0</v>
      </c>
      <c r="N131" s="525"/>
      <c r="O131" s="514">
        <f t="shared" ref="O131:O154" si="32">IF(N131&lt;&gt;0,+I131-N131,0)</f>
        <v>0</v>
      </c>
      <c r="P131" s="514">
        <f t="shared" ref="P131:P154" si="33">+O131-M131</f>
        <v>0</v>
      </c>
      <c r="Q131" s="269"/>
    </row>
    <row r="132" spans="2:17">
      <c r="B132" s="195" t="str">
        <f t="shared" si="25"/>
        <v/>
      </c>
      <c r="C132" s="507">
        <f>IF(D93="","-",+C131+1)</f>
        <v>2040</v>
      </c>
      <c r="D132" s="374">
        <f>IF(F131+SUM(E$99:E131)=D$92,F131,D$92-SUM(E$99:E131))</f>
        <v>0</v>
      </c>
      <c r="E132" s="522">
        <f>IF(+J96&lt;F131,J96,D132)</f>
        <v>0</v>
      </c>
      <c r="F132" s="523">
        <f t="shared" si="28"/>
        <v>0</v>
      </c>
      <c r="G132" s="523">
        <f t="shared" si="29"/>
        <v>0</v>
      </c>
      <c r="H132" s="526">
        <f t="shared" si="26"/>
        <v>0</v>
      </c>
      <c r="I132" s="577">
        <f t="shared" si="27"/>
        <v>0</v>
      </c>
      <c r="J132" s="514">
        <f t="shared" si="30"/>
        <v>0</v>
      </c>
      <c r="K132" s="514"/>
      <c r="L132" s="525"/>
      <c r="M132" s="514">
        <f t="shared" si="31"/>
        <v>0</v>
      </c>
      <c r="N132" s="525"/>
      <c r="O132" s="514">
        <f t="shared" si="32"/>
        <v>0</v>
      </c>
      <c r="P132" s="514">
        <f t="shared" si="33"/>
        <v>0</v>
      </c>
      <c r="Q132" s="269"/>
    </row>
    <row r="133" spans="2:17">
      <c r="B133" s="195" t="str">
        <f t="shared" si="25"/>
        <v/>
      </c>
      <c r="C133" s="507">
        <f>IF(D93="","-",+C132+1)</f>
        <v>2041</v>
      </c>
      <c r="D133" s="374">
        <f>IF(F132+SUM(E$99:E132)=D$92,F132,D$92-SUM(E$99:E132))</f>
        <v>0</v>
      </c>
      <c r="E133" s="522">
        <f>IF(+J96&lt;F132,J96,D133)</f>
        <v>0</v>
      </c>
      <c r="F133" s="523">
        <f t="shared" si="28"/>
        <v>0</v>
      </c>
      <c r="G133" s="523">
        <f t="shared" si="29"/>
        <v>0</v>
      </c>
      <c r="H133" s="526">
        <f t="shared" si="26"/>
        <v>0</v>
      </c>
      <c r="I133" s="577">
        <f t="shared" si="27"/>
        <v>0</v>
      </c>
      <c r="J133" s="514">
        <f t="shared" si="30"/>
        <v>0</v>
      </c>
      <c r="K133" s="514"/>
      <c r="L133" s="525"/>
      <c r="M133" s="514">
        <f t="shared" si="31"/>
        <v>0</v>
      </c>
      <c r="N133" s="525"/>
      <c r="O133" s="514">
        <f t="shared" si="32"/>
        <v>0</v>
      </c>
      <c r="P133" s="514">
        <f t="shared" si="33"/>
        <v>0</v>
      </c>
      <c r="Q133" s="269"/>
    </row>
    <row r="134" spans="2:17">
      <c r="B134" s="195" t="str">
        <f t="shared" si="25"/>
        <v/>
      </c>
      <c r="C134" s="507">
        <f>IF(D93="","-",+C133+1)</f>
        <v>2042</v>
      </c>
      <c r="D134" s="374">
        <f>IF(F133+SUM(E$99:E133)=D$92,F133,D$92-SUM(E$99:E133))</f>
        <v>0</v>
      </c>
      <c r="E134" s="522">
        <f>IF(+J96&lt;F133,J96,D134)</f>
        <v>0</v>
      </c>
      <c r="F134" s="523">
        <f t="shared" si="28"/>
        <v>0</v>
      </c>
      <c r="G134" s="523">
        <f t="shared" si="29"/>
        <v>0</v>
      </c>
      <c r="H134" s="526">
        <f t="shared" si="26"/>
        <v>0</v>
      </c>
      <c r="I134" s="577">
        <f t="shared" si="27"/>
        <v>0</v>
      </c>
      <c r="J134" s="514">
        <f t="shared" si="30"/>
        <v>0</v>
      </c>
      <c r="K134" s="514"/>
      <c r="L134" s="525"/>
      <c r="M134" s="514">
        <f t="shared" si="31"/>
        <v>0</v>
      </c>
      <c r="N134" s="525"/>
      <c r="O134" s="514">
        <f t="shared" si="32"/>
        <v>0</v>
      </c>
      <c r="P134" s="514">
        <f t="shared" si="33"/>
        <v>0</v>
      </c>
      <c r="Q134" s="269"/>
    </row>
    <row r="135" spans="2:17">
      <c r="B135" s="195" t="str">
        <f t="shared" si="25"/>
        <v/>
      </c>
      <c r="C135" s="507">
        <f>IF(D93="","-",+C134+1)</f>
        <v>2043</v>
      </c>
      <c r="D135" s="374">
        <f>IF(F134+SUM(E$99:E134)=D$92,F134,D$92-SUM(E$99:E134))</f>
        <v>0</v>
      </c>
      <c r="E135" s="522">
        <f>IF(+J96&lt;F134,J96,D135)</f>
        <v>0</v>
      </c>
      <c r="F135" s="523">
        <f t="shared" si="28"/>
        <v>0</v>
      </c>
      <c r="G135" s="523">
        <f t="shared" si="29"/>
        <v>0</v>
      </c>
      <c r="H135" s="526">
        <f t="shared" si="26"/>
        <v>0</v>
      </c>
      <c r="I135" s="577">
        <f t="shared" si="27"/>
        <v>0</v>
      </c>
      <c r="J135" s="514">
        <f t="shared" si="30"/>
        <v>0</v>
      </c>
      <c r="K135" s="514"/>
      <c r="L135" s="525"/>
      <c r="M135" s="514">
        <f t="shared" si="31"/>
        <v>0</v>
      </c>
      <c r="N135" s="525"/>
      <c r="O135" s="514">
        <f t="shared" si="32"/>
        <v>0</v>
      </c>
      <c r="P135" s="514">
        <f t="shared" si="33"/>
        <v>0</v>
      </c>
      <c r="Q135" s="269"/>
    </row>
    <row r="136" spans="2:17">
      <c r="B136" s="195" t="str">
        <f t="shared" si="25"/>
        <v/>
      </c>
      <c r="C136" s="507">
        <f>IF(D93="","-",+C135+1)</f>
        <v>2044</v>
      </c>
      <c r="D136" s="374">
        <f>IF(F135+SUM(E$99:E135)=D$92,F135,D$92-SUM(E$99:E135))</f>
        <v>0</v>
      </c>
      <c r="E136" s="522">
        <f>IF(+J96&lt;F135,J96,D136)</f>
        <v>0</v>
      </c>
      <c r="F136" s="523">
        <f t="shared" si="28"/>
        <v>0</v>
      </c>
      <c r="G136" s="523">
        <f t="shared" si="29"/>
        <v>0</v>
      </c>
      <c r="H136" s="526">
        <f t="shared" si="26"/>
        <v>0</v>
      </c>
      <c r="I136" s="577">
        <f t="shared" si="27"/>
        <v>0</v>
      </c>
      <c r="J136" s="514">
        <f t="shared" si="30"/>
        <v>0</v>
      </c>
      <c r="K136" s="514"/>
      <c r="L136" s="525"/>
      <c r="M136" s="514">
        <f t="shared" si="31"/>
        <v>0</v>
      </c>
      <c r="N136" s="525"/>
      <c r="O136" s="514">
        <f t="shared" si="32"/>
        <v>0</v>
      </c>
      <c r="P136" s="514">
        <f t="shared" si="33"/>
        <v>0</v>
      </c>
      <c r="Q136" s="269"/>
    </row>
    <row r="137" spans="2:17">
      <c r="B137" s="195" t="str">
        <f t="shared" si="25"/>
        <v/>
      </c>
      <c r="C137" s="507">
        <f>IF(D93="","-",+C136+1)</f>
        <v>2045</v>
      </c>
      <c r="D137" s="374">
        <f>IF(F136+SUM(E$99:E136)=D$92,F136,D$92-SUM(E$99:E136))</f>
        <v>0</v>
      </c>
      <c r="E137" s="522">
        <f>IF(+J96&lt;F136,J96,D137)</f>
        <v>0</v>
      </c>
      <c r="F137" s="523">
        <f t="shared" si="28"/>
        <v>0</v>
      </c>
      <c r="G137" s="523">
        <f t="shared" si="29"/>
        <v>0</v>
      </c>
      <c r="H137" s="526">
        <f t="shared" si="26"/>
        <v>0</v>
      </c>
      <c r="I137" s="577">
        <f t="shared" si="27"/>
        <v>0</v>
      </c>
      <c r="J137" s="514">
        <f t="shared" si="30"/>
        <v>0</v>
      </c>
      <c r="K137" s="514"/>
      <c r="L137" s="525"/>
      <c r="M137" s="514">
        <f t="shared" si="31"/>
        <v>0</v>
      </c>
      <c r="N137" s="525"/>
      <c r="O137" s="514">
        <f t="shared" si="32"/>
        <v>0</v>
      </c>
      <c r="P137" s="514">
        <f t="shared" si="33"/>
        <v>0</v>
      </c>
      <c r="Q137" s="269"/>
    </row>
    <row r="138" spans="2:17">
      <c r="B138" s="195" t="str">
        <f t="shared" si="25"/>
        <v/>
      </c>
      <c r="C138" s="507">
        <f>IF(D93="","-",+C137+1)</f>
        <v>2046</v>
      </c>
      <c r="D138" s="374">
        <f>IF(F137+SUM(E$99:E137)=D$92,F137,D$92-SUM(E$99:E137))</f>
        <v>0</v>
      </c>
      <c r="E138" s="522">
        <f>IF(+J96&lt;F137,J96,D138)</f>
        <v>0</v>
      </c>
      <c r="F138" s="523">
        <f t="shared" si="28"/>
        <v>0</v>
      </c>
      <c r="G138" s="523">
        <f t="shared" si="29"/>
        <v>0</v>
      </c>
      <c r="H138" s="526">
        <f t="shared" si="26"/>
        <v>0</v>
      </c>
      <c r="I138" s="577">
        <f t="shared" si="27"/>
        <v>0</v>
      </c>
      <c r="J138" s="514">
        <f t="shared" si="30"/>
        <v>0</v>
      </c>
      <c r="K138" s="514"/>
      <c r="L138" s="525"/>
      <c r="M138" s="514">
        <f t="shared" si="31"/>
        <v>0</v>
      </c>
      <c r="N138" s="525"/>
      <c r="O138" s="514">
        <f t="shared" si="32"/>
        <v>0</v>
      </c>
      <c r="P138" s="514">
        <f t="shared" si="33"/>
        <v>0</v>
      </c>
      <c r="Q138" s="269"/>
    </row>
    <row r="139" spans="2:17">
      <c r="B139" s="195" t="str">
        <f t="shared" si="25"/>
        <v/>
      </c>
      <c r="C139" s="507">
        <f>IF(D93="","-",+C138+1)</f>
        <v>2047</v>
      </c>
      <c r="D139" s="374">
        <f>IF(F138+SUM(E$99:E138)=D$92,F138,D$92-SUM(E$99:E138))</f>
        <v>0</v>
      </c>
      <c r="E139" s="522">
        <f>IF(+J96&lt;F138,J96,D139)</f>
        <v>0</v>
      </c>
      <c r="F139" s="523">
        <f t="shared" si="28"/>
        <v>0</v>
      </c>
      <c r="G139" s="523">
        <f t="shared" si="29"/>
        <v>0</v>
      </c>
      <c r="H139" s="526">
        <f t="shared" si="26"/>
        <v>0</v>
      </c>
      <c r="I139" s="577">
        <f t="shared" si="27"/>
        <v>0</v>
      </c>
      <c r="J139" s="514">
        <f t="shared" si="30"/>
        <v>0</v>
      </c>
      <c r="K139" s="514"/>
      <c r="L139" s="525"/>
      <c r="M139" s="514">
        <f t="shared" si="31"/>
        <v>0</v>
      </c>
      <c r="N139" s="525"/>
      <c r="O139" s="514">
        <f t="shared" si="32"/>
        <v>0</v>
      </c>
      <c r="P139" s="514">
        <f t="shared" si="33"/>
        <v>0</v>
      </c>
      <c r="Q139" s="269"/>
    </row>
    <row r="140" spans="2:17">
      <c r="B140" s="195" t="str">
        <f t="shared" si="25"/>
        <v/>
      </c>
      <c r="C140" s="507">
        <f>IF(D93="","-",+C139+1)</f>
        <v>2048</v>
      </c>
      <c r="D140" s="374">
        <f>IF(F139+SUM(E$99:E139)=D$92,F139,D$92-SUM(E$99:E139))</f>
        <v>0</v>
      </c>
      <c r="E140" s="522">
        <f>IF(+J96&lt;F139,J96,D140)</f>
        <v>0</v>
      </c>
      <c r="F140" s="523">
        <f t="shared" si="28"/>
        <v>0</v>
      </c>
      <c r="G140" s="523">
        <f t="shared" si="29"/>
        <v>0</v>
      </c>
      <c r="H140" s="526">
        <f t="shared" si="26"/>
        <v>0</v>
      </c>
      <c r="I140" s="577">
        <f t="shared" si="27"/>
        <v>0</v>
      </c>
      <c r="J140" s="514">
        <f t="shared" si="30"/>
        <v>0</v>
      </c>
      <c r="K140" s="514"/>
      <c r="L140" s="525"/>
      <c r="M140" s="514">
        <f t="shared" si="31"/>
        <v>0</v>
      </c>
      <c r="N140" s="525"/>
      <c r="O140" s="514">
        <f t="shared" si="32"/>
        <v>0</v>
      </c>
      <c r="P140" s="514">
        <f t="shared" si="33"/>
        <v>0</v>
      </c>
      <c r="Q140" s="269"/>
    </row>
    <row r="141" spans="2:17">
      <c r="B141" s="195" t="str">
        <f t="shared" si="25"/>
        <v/>
      </c>
      <c r="C141" s="507">
        <f>IF(D93="","-",+C140+1)</f>
        <v>2049</v>
      </c>
      <c r="D141" s="374">
        <f>IF(F140+SUM(E$99:E140)=D$92,F140,D$92-SUM(E$99:E140))</f>
        <v>0</v>
      </c>
      <c r="E141" s="522">
        <f>IF(+J96&lt;F140,J96,D141)</f>
        <v>0</v>
      </c>
      <c r="F141" s="523">
        <f t="shared" si="28"/>
        <v>0</v>
      </c>
      <c r="G141" s="523">
        <f t="shared" si="29"/>
        <v>0</v>
      </c>
      <c r="H141" s="526">
        <f t="shared" si="26"/>
        <v>0</v>
      </c>
      <c r="I141" s="577">
        <f t="shared" si="27"/>
        <v>0</v>
      </c>
      <c r="J141" s="514">
        <f t="shared" si="30"/>
        <v>0</v>
      </c>
      <c r="K141" s="514"/>
      <c r="L141" s="525"/>
      <c r="M141" s="514">
        <f t="shared" si="31"/>
        <v>0</v>
      </c>
      <c r="N141" s="525"/>
      <c r="O141" s="514">
        <f t="shared" si="32"/>
        <v>0</v>
      </c>
      <c r="P141" s="514">
        <f t="shared" si="33"/>
        <v>0</v>
      </c>
      <c r="Q141" s="269"/>
    </row>
    <row r="142" spans="2:17">
      <c r="B142" s="195" t="str">
        <f t="shared" si="25"/>
        <v/>
      </c>
      <c r="C142" s="507">
        <f>IF(D93="","-",+C141+1)</f>
        <v>2050</v>
      </c>
      <c r="D142" s="374">
        <f>IF(F141+SUM(E$99:E141)=D$92,F141,D$92-SUM(E$99:E141))</f>
        <v>0</v>
      </c>
      <c r="E142" s="522">
        <f>IF(+J96&lt;F141,J96,D142)</f>
        <v>0</v>
      </c>
      <c r="F142" s="523">
        <f t="shared" si="28"/>
        <v>0</v>
      </c>
      <c r="G142" s="523">
        <f t="shared" si="29"/>
        <v>0</v>
      </c>
      <c r="H142" s="526">
        <f t="shared" si="26"/>
        <v>0</v>
      </c>
      <c r="I142" s="577">
        <f t="shared" si="27"/>
        <v>0</v>
      </c>
      <c r="J142" s="514">
        <f t="shared" si="30"/>
        <v>0</v>
      </c>
      <c r="K142" s="514"/>
      <c r="L142" s="525"/>
      <c r="M142" s="514">
        <f t="shared" si="31"/>
        <v>0</v>
      </c>
      <c r="N142" s="525"/>
      <c r="O142" s="514">
        <f t="shared" si="32"/>
        <v>0</v>
      </c>
      <c r="P142" s="514">
        <f t="shared" si="33"/>
        <v>0</v>
      </c>
      <c r="Q142" s="269"/>
    </row>
    <row r="143" spans="2:17">
      <c r="B143" s="195" t="str">
        <f t="shared" si="25"/>
        <v/>
      </c>
      <c r="C143" s="507">
        <f>IF(D93="","-",+C142+1)</f>
        <v>2051</v>
      </c>
      <c r="D143" s="374">
        <f>IF(F142+SUM(E$99:E142)=D$92,F142,D$92-SUM(E$99:E142))</f>
        <v>0</v>
      </c>
      <c r="E143" s="522">
        <f>IF(+J96&lt;F142,J96,D143)</f>
        <v>0</v>
      </c>
      <c r="F143" s="523">
        <f t="shared" si="28"/>
        <v>0</v>
      </c>
      <c r="G143" s="523">
        <f t="shared" si="29"/>
        <v>0</v>
      </c>
      <c r="H143" s="526">
        <f t="shared" si="26"/>
        <v>0</v>
      </c>
      <c r="I143" s="577">
        <f t="shared" si="27"/>
        <v>0</v>
      </c>
      <c r="J143" s="514">
        <f t="shared" si="30"/>
        <v>0</v>
      </c>
      <c r="K143" s="514"/>
      <c r="L143" s="525"/>
      <c r="M143" s="514">
        <f t="shared" si="31"/>
        <v>0</v>
      </c>
      <c r="N143" s="525"/>
      <c r="O143" s="514">
        <f t="shared" si="32"/>
        <v>0</v>
      </c>
      <c r="P143" s="514">
        <f t="shared" si="33"/>
        <v>0</v>
      </c>
      <c r="Q143" s="269"/>
    </row>
    <row r="144" spans="2:17">
      <c r="B144" s="195" t="str">
        <f t="shared" si="25"/>
        <v/>
      </c>
      <c r="C144" s="507">
        <f>IF(D93="","-",+C143+1)</f>
        <v>2052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28"/>
        <v>0</v>
      </c>
      <c r="G144" s="523">
        <f t="shared" si="29"/>
        <v>0</v>
      </c>
      <c r="H144" s="526">
        <f t="shared" si="26"/>
        <v>0</v>
      </c>
      <c r="I144" s="577">
        <f t="shared" si="27"/>
        <v>0</v>
      </c>
      <c r="J144" s="514">
        <f t="shared" si="30"/>
        <v>0</v>
      </c>
      <c r="K144" s="514"/>
      <c r="L144" s="525"/>
      <c r="M144" s="514">
        <f t="shared" si="31"/>
        <v>0</v>
      </c>
      <c r="N144" s="525"/>
      <c r="O144" s="514">
        <f t="shared" si="32"/>
        <v>0</v>
      </c>
      <c r="P144" s="514">
        <f t="shared" si="33"/>
        <v>0</v>
      </c>
      <c r="Q144" s="269"/>
    </row>
    <row r="145" spans="2:17">
      <c r="B145" s="195" t="str">
        <f t="shared" si="25"/>
        <v/>
      </c>
      <c r="C145" s="507">
        <f>IF(D93="","-",+C144+1)</f>
        <v>2053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28"/>
        <v>0</v>
      </c>
      <c r="G145" s="523">
        <f t="shared" si="29"/>
        <v>0</v>
      </c>
      <c r="H145" s="526">
        <f t="shared" si="26"/>
        <v>0</v>
      </c>
      <c r="I145" s="577">
        <f t="shared" si="27"/>
        <v>0</v>
      </c>
      <c r="J145" s="514">
        <f t="shared" si="30"/>
        <v>0</v>
      </c>
      <c r="K145" s="514"/>
      <c r="L145" s="525"/>
      <c r="M145" s="514">
        <f t="shared" si="31"/>
        <v>0</v>
      </c>
      <c r="N145" s="525"/>
      <c r="O145" s="514">
        <f t="shared" si="32"/>
        <v>0</v>
      </c>
      <c r="P145" s="514">
        <f t="shared" si="33"/>
        <v>0</v>
      </c>
      <c r="Q145" s="269"/>
    </row>
    <row r="146" spans="2:17">
      <c r="B146" s="195" t="str">
        <f t="shared" si="25"/>
        <v/>
      </c>
      <c r="C146" s="507">
        <f>IF(D93="","-",+C145+1)</f>
        <v>2054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28"/>
        <v>0</v>
      </c>
      <c r="G146" s="523">
        <f t="shared" si="29"/>
        <v>0</v>
      </c>
      <c r="H146" s="526">
        <f t="shared" si="26"/>
        <v>0</v>
      </c>
      <c r="I146" s="577">
        <f t="shared" si="27"/>
        <v>0</v>
      </c>
      <c r="J146" s="514">
        <f t="shared" si="30"/>
        <v>0</v>
      </c>
      <c r="K146" s="514"/>
      <c r="L146" s="525"/>
      <c r="M146" s="514">
        <f t="shared" si="31"/>
        <v>0</v>
      </c>
      <c r="N146" s="525"/>
      <c r="O146" s="514">
        <f t="shared" si="32"/>
        <v>0</v>
      </c>
      <c r="P146" s="514">
        <f t="shared" si="33"/>
        <v>0</v>
      </c>
      <c r="Q146" s="269"/>
    </row>
    <row r="147" spans="2:17">
      <c r="B147" s="195" t="str">
        <f t="shared" si="25"/>
        <v/>
      </c>
      <c r="C147" s="507">
        <f>IF(D93="","-",+C146+1)</f>
        <v>2055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28"/>
        <v>0</v>
      </c>
      <c r="G147" s="523">
        <f t="shared" si="29"/>
        <v>0</v>
      </c>
      <c r="H147" s="526">
        <f t="shared" si="26"/>
        <v>0</v>
      </c>
      <c r="I147" s="577">
        <f t="shared" si="27"/>
        <v>0</v>
      </c>
      <c r="J147" s="514">
        <f t="shared" si="30"/>
        <v>0</v>
      </c>
      <c r="K147" s="514"/>
      <c r="L147" s="525"/>
      <c r="M147" s="514">
        <f t="shared" si="31"/>
        <v>0</v>
      </c>
      <c r="N147" s="525"/>
      <c r="O147" s="514">
        <f t="shared" si="32"/>
        <v>0</v>
      </c>
      <c r="P147" s="514">
        <f t="shared" si="33"/>
        <v>0</v>
      </c>
      <c r="Q147" s="269"/>
    </row>
    <row r="148" spans="2:17">
      <c r="B148" s="195" t="str">
        <f t="shared" si="25"/>
        <v/>
      </c>
      <c r="C148" s="507">
        <f>IF(D93="","-",+C147+1)</f>
        <v>2056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28"/>
        <v>0</v>
      </c>
      <c r="G148" s="523">
        <f t="shared" si="29"/>
        <v>0</v>
      </c>
      <c r="H148" s="526">
        <f t="shared" si="26"/>
        <v>0</v>
      </c>
      <c r="I148" s="577">
        <f t="shared" si="27"/>
        <v>0</v>
      </c>
      <c r="J148" s="514">
        <f t="shared" si="30"/>
        <v>0</v>
      </c>
      <c r="K148" s="514"/>
      <c r="L148" s="525"/>
      <c r="M148" s="514">
        <f t="shared" si="31"/>
        <v>0</v>
      </c>
      <c r="N148" s="525"/>
      <c r="O148" s="514">
        <f t="shared" si="32"/>
        <v>0</v>
      </c>
      <c r="P148" s="514">
        <f t="shared" si="33"/>
        <v>0</v>
      </c>
      <c r="Q148" s="269"/>
    </row>
    <row r="149" spans="2:17">
      <c r="B149" s="195" t="str">
        <f t="shared" si="25"/>
        <v/>
      </c>
      <c r="C149" s="507">
        <f>IF(D93="","-",+C148+1)</f>
        <v>2057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28"/>
        <v>0</v>
      </c>
      <c r="G149" s="523">
        <f t="shared" si="29"/>
        <v>0</v>
      </c>
      <c r="H149" s="526">
        <f t="shared" si="26"/>
        <v>0</v>
      </c>
      <c r="I149" s="577">
        <f t="shared" si="27"/>
        <v>0</v>
      </c>
      <c r="J149" s="514">
        <f t="shared" si="30"/>
        <v>0</v>
      </c>
      <c r="K149" s="514"/>
      <c r="L149" s="525"/>
      <c r="M149" s="514">
        <f t="shared" si="31"/>
        <v>0</v>
      </c>
      <c r="N149" s="525"/>
      <c r="O149" s="514">
        <f t="shared" si="32"/>
        <v>0</v>
      </c>
      <c r="P149" s="514">
        <f t="shared" si="33"/>
        <v>0</v>
      </c>
      <c r="Q149" s="269"/>
    </row>
    <row r="150" spans="2:17">
      <c r="B150" s="195" t="str">
        <f t="shared" si="25"/>
        <v/>
      </c>
      <c r="C150" s="507">
        <f>IF(D93="","-",+C149+1)</f>
        <v>2058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28"/>
        <v>0</v>
      </c>
      <c r="G150" s="523">
        <f t="shared" si="29"/>
        <v>0</v>
      </c>
      <c r="H150" s="526">
        <f t="shared" si="26"/>
        <v>0</v>
      </c>
      <c r="I150" s="577">
        <f t="shared" si="27"/>
        <v>0</v>
      </c>
      <c r="J150" s="514">
        <f t="shared" si="30"/>
        <v>0</v>
      </c>
      <c r="K150" s="514"/>
      <c r="L150" s="525"/>
      <c r="M150" s="514">
        <f t="shared" si="31"/>
        <v>0</v>
      </c>
      <c r="N150" s="525"/>
      <c r="O150" s="514">
        <f t="shared" si="32"/>
        <v>0</v>
      </c>
      <c r="P150" s="514">
        <f t="shared" si="33"/>
        <v>0</v>
      </c>
      <c r="Q150" s="269"/>
    </row>
    <row r="151" spans="2:17">
      <c r="B151" s="195" t="str">
        <f t="shared" si="25"/>
        <v/>
      </c>
      <c r="C151" s="507">
        <f>IF(D93="","-",+C150+1)</f>
        <v>2059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28"/>
        <v>0</v>
      </c>
      <c r="G151" s="523">
        <f t="shared" si="29"/>
        <v>0</v>
      </c>
      <c r="H151" s="526">
        <f t="shared" si="26"/>
        <v>0</v>
      </c>
      <c r="I151" s="577">
        <f t="shared" si="27"/>
        <v>0</v>
      </c>
      <c r="J151" s="514">
        <f t="shared" si="30"/>
        <v>0</v>
      </c>
      <c r="K151" s="514"/>
      <c r="L151" s="525"/>
      <c r="M151" s="514">
        <f t="shared" si="31"/>
        <v>0</v>
      </c>
      <c r="N151" s="525"/>
      <c r="O151" s="514">
        <f t="shared" si="32"/>
        <v>0</v>
      </c>
      <c r="P151" s="514">
        <f t="shared" si="33"/>
        <v>0</v>
      </c>
      <c r="Q151" s="269"/>
    </row>
    <row r="152" spans="2:17">
      <c r="B152" s="195" t="str">
        <f t="shared" si="25"/>
        <v/>
      </c>
      <c r="C152" s="507">
        <f>IF(D93="","-",+C151+1)</f>
        <v>2060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28"/>
        <v>0</v>
      </c>
      <c r="G152" s="523">
        <f t="shared" si="29"/>
        <v>0</v>
      </c>
      <c r="H152" s="526">
        <f t="shared" si="26"/>
        <v>0</v>
      </c>
      <c r="I152" s="577">
        <f t="shared" si="27"/>
        <v>0</v>
      </c>
      <c r="J152" s="514">
        <f t="shared" si="30"/>
        <v>0</v>
      </c>
      <c r="K152" s="514"/>
      <c r="L152" s="525"/>
      <c r="M152" s="514">
        <f t="shared" si="31"/>
        <v>0</v>
      </c>
      <c r="N152" s="525"/>
      <c r="O152" s="514">
        <f t="shared" si="32"/>
        <v>0</v>
      </c>
      <c r="P152" s="514">
        <f t="shared" si="33"/>
        <v>0</v>
      </c>
      <c r="Q152" s="269"/>
    </row>
    <row r="153" spans="2:17">
      <c r="B153" s="195" t="str">
        <f t="shared" si="25"/>
        <v/>
      </c>
      <c r="C153" s="507">
        <f>IF(D93="","-",+C152+1)</f>
        <v>2061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28"/>
        <v>0</v>
      </c>
      <c r="G153" s="523">
        <f t="shared" si="29"/>
        <v>0</v>
      </c>
      <c r="H153" s="526">
        <f t="shared" si="26"/>
        <v>0</v>
      </c>
      <c r="I153" s="577">
        <f t="shared" si="27"/>
        <v>0</v>
      </c>
      <c r="J153" s="514">
        <f t="shared" si="30"/>
        <v>0</v>
      </c>
      <c r="K153" s="514"/>
      <c r="L153" s="525"/>
      <c r="M153" s="514">
        <f t="shared" si="31"/>
        <v>0</v>
      </c>
      <c r="N153" s="525"/>
      <c r="O153" s="514">
        <f t="shared" si="32"/>
        <v>0</v>
      </c>
      <c r="P153" s="514">
        <f t="shared" si="33"/>
        <v>0</v>
      </c>
      <c r="Q153" s="269"/>
    </row>
    <row r="154" spans="2:17" ht="13.5" thickBot="1">
      <c r="B154" s="195" t="str">
        <f t="shared" si="25"/>
        <v/>
      </c>
      <c r="C154" s="527">
        <f>IF(D93="","-",+C153+1)</f>
        <v>2062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28"/>
        <v>0</v>
      </c>
      <c r="G154" s="528">
        <f t="shared" si="29"/>
        <v>0</v>
      </c>
      <c r="H154" s="530">
        <f t="shared" si="26"/>
        <v>0</v>
      </c>
      <c r="I154" s="579">
        <f t="shared" si="27"/>
        <v>0</v>
      </c>
      <c r="J154" s="533">
        <f t="shared" si="30"/>
        <v>0</v>
      </c>
      <c r="K154" s="514"/>
      <c r="L154" s="532"/>
      <c r="M154" s="533">
        <f t="shared" si="31"/>
        <v>0</v>
      </c>
      <c r="N154" s="532"/>
      <c r="O154" s="533">
        <f t="shared" si="32"/>
        <v>0</v>
      </c>
      <c r="P154" s="533">
        <f t="shared" si="33"/>
        <v>0</v>
      </c>
      <c r="Q154" s="269"/>
    </row>
    <row r="155" spans="2:17">
      <c r="C155" s="374" t="s">
        <v>78</v>
      </c>
      <c r="D155" s="375"/>
      <c r="E155" s="375">
        <f>SUM(E99:E154)</f>
        <v>0</v>
      </c>
      <c r="F155" s="375"/>
      <c r="G155" s="375"/>
      <c r="H155" s="375">
        <f>SUM(H99:H154)</f>
        <v>0</v>
      </c>
      <c r="I155" s="375">
        <f>SUM(I99:I154)</f>
        <v>0</v>
      </c>
      <c r="J155" s="375">
        <f>SUM(J99:J154)</f>
        <v>0</v>
      </c>
      <c r="K155" s="375"/>
      <c r="L155" s="375"/>
      <c r="M155" s="375"/>
      <c r="N155" s="375"/>
      <c r="O155" s="375"/>
      <c r="P155" s="269"/>
      <c r="Q155" s="269"/>
    </row>
    <row r="156" spans="2:17"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  <c r="Q156" s="269"/>
    </row>
    <row r="157" spans="2:17">
      <c r="C157" s="580" t="s">
        <v>92</v>
      </c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  <c r="Q157" s="269"/>
    </row>
    <row r="158" spans="2:17"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  <c r="Q158" s="269"/>
    </row>
    <row r="159" spans="2:17">
      <c r="C159" s="534" t="s">
        <v>97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  <c r="Q159" s="269"/>
    </row>
    <row r="160" spans="2:17">
      <c r="C160" s="581" t="s">
        <v>79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  <c r="Q160" s="269"/>
    </row>
    <row r="161" spans="3:17">
      <c r="C161" s="581" t="s">
        <v>80</v>
      </c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  <c r="Q161" s="269"/>
    </row>
    <row r="162" spans="3:17" ht="18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454" t="s">
        <v>131</v>
      </c>
      <c r="Q162" s="269"/>
    </row>
  </sheetData>
  <phoneticPr fontId="0" type="noConversion"/>
  <conditionalFormatting sqref="C17:C72">
    <cfRule type="cellIs" dxfId="141" priority="1" stopIfTrue="1" operator="equal">
      <formula>$I$10</formula>
    </cfRule>
  </conditionalFormatting>
  <conditionalFormatting sqref="C99:C154">
    <cfRule type="cellIs" dxfId="140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61"/>
  <dimension ref="A1:Q162"/>
  <sheetViews>
    <sheetView topLeftCell="A95" zoomScaleNormal="100" zoomScaleSheetLayoutView="75" workbookViewId="0">
      <selection activeCell="D99" sqref="D99:I114"/>
    </sheetView>
  </sheetViews>
  <sheetFormatPr defaultColWidth="8.7109375" defaultRowHeight="12.75" customHeight="1"/>
  <cols>
    <col min="1" max="1" width="4.7109375" style="183" customWidth="1"/>
    <col min="2" max="2" width="6.7109375" style="183" customWidth="1"/>
    <col min="3" max="3" width="23.28515625" style="183" customWidth="1"/>
    <col min="4" max="8" width="17.7109375" style="183" customWidth="1"/>
    <col min="9" max="9" width="20.42578125" style="183" customWidth="1"/>
    <col min="10" max="10" width="17.5703125" style="183" customWidth="1"/>
    <col min="11" max="11" width="17.7109375" style="183" customWidth="1"/>
    <col min="12" max="12" width="16.140625" style="183" customWidth="1"/>
    <col min="13" max="13" width="17.7109375" style="183" customWidth="1"/>
    <col min="14" max="14" width="16.140625" style="183" customWidth="1"/>
    <col min="15" max="15" width="16.85546875" style="183" customWidth="1"/>
    <col min="16" max="16" width="24.42578125" style="183" customWidth="1"/>
    <col min="17" max="17" width="4.7109375" style="183" customWidth="1"/>
    <col min="18" max="22" width="8.7109375" style="183"/>
    <col min="23" max="23" width="9.140625" style="183" customWidth="1"/>
    <col min="24" max="16384" width="8.7109375" style="183"/>
  </cols>
  <sheetData>
    <row r="1" spans="1:17" ht="20.25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12 of 75</v>
      </c>
      <c r="Q1" s="453"/>
    </row>
    <row r="2" spans="1:17" ht="18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454" t="s">
        <v>129</v>
      </c>
    </row>
    <row r="3" spans="1:17" ht="18.75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 t="str">
        <f>RIGHT(N3,3)</f>
        <v/>
      </c>
      <c r="P3" s="455">
        <v>1</v>
      </c>
    </row>
    <row r="4" spans="1:17" ht="15.75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7" ht="1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18073.015001508498</v>
      </c>
      <c r="P5" s="269"/>
    </row>
    <row r="6" spans="1:17" ht="15.7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18073.015001508498</v>
      </c>
      <c r="O6" s="269"/>
      <c r="P6" s="269"/>
    </row>
    <row r="7" spans="1:17" ht="13.5" thickBot="1">
      <c r="C7" s="467" t="s">
        <v>48</v>
      </c>
      <c r="D7" s="468" t="s">
        <v>164</v>
      </c>
      <c r="E7" s="269"/>
      <c r="F7" s="269"/>
      <c r="G7" s="269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7" ht="13.5" thickBot="1">
      <c r="C8" s="472"/>
      <c r="D8" s="599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7" ht="13.5" thickBot="1">
      <c r="A9" s="191"/>
      <c r="C9" s="476" t="s">
        <v>50</v>
      </c>
      <c r="D9" s="477" t="s">
        <v>149</v>
      </c>
      <c r="E9" s="666" t="s">
        <v>480</v>
      </c>
      <c r="F9" s="478"/>
      <c r="G9" s="478"/>
      <c r="H9" s="478"/>
      <c r="I9" s="479"/>
      <c r="J9" s="480"/>
      <c r="O9" s="481"/>
      <c r="P9" s="272"/>
    </row>
    <row r="10" spans="1:17">
      <c r="C10" s="482" t="s">
        <v>51</v>
      </c>
      <c r="D10" s="483">
        <v>185247</v>
      </c>
      <c r="E10" s="353" t="s">
        <v>52</v>
      </c>
      <c r="F10" s="481"/>
      <c r="G10" s="484"/>
      <c r="H10" s="484"/>
      <c r="I10" s="485">
        <f>+'SWE.WS.F.BPU.ATRR.Projected'!L19</f>
        <v>2024</v>
      </c>
      <c r="J10" s="480"/>
      <c r="K10" s="375" t="s">
        <v>53</v>
      </c>
      <c r="O10" s="272"/>
      <c r="P10" s="272"/>
    </row>
    <row r="11" spans="1:17">
      <c r="C11" s="486" t="s">
        <v>54</v>
      </c>
      <c r="D11" s="487">
        <v>2007</v>
      </c>
      <c r="E11" s="486" t="s">
        <v>55</v>
      </c>
      <c r="F11" s="484"/>
      <c r="G11" s="233"/>
      <c r="H11" s="233"/>
      <c r="I11" s="488"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7">
      <c r="C12" s="486" t="s">
        <v>56</v>
      </c>
      <c r="D12" s="483">
        <v>7</v>
      </c>
      <c r="E12" s="486" t="s">
        <v>57</v>
      </c>
      <c r="F12" s="484"/>
      <c r="G12" s="233"/>
      <c r="H12" s="233"/>
      <c r="I12" s="490">
        <f>'SWE.WS.F.BPU.ATRR.Projected'!$F$81</f>
        <v>0.11952713165403545</v>
      </c>
      <c r="J12" s="425"/>
      <c r="K12" s="183" t="s">
        <v>58</v>
      </c>
      <c r="O12" s="272"/>
      <c r="P12" s="272"/>
    </row>
    <row r="13" spans="1:17">
      <c r="C13" s="486" t="s">
        <v>59</v>
      </c>
      <c r="D13" s="488">
        <f>+'SWE.WS.F.BPU.ATRR.Projected'!F$93</f>
        <v>44</v>
      </c>
      <c r="E13" s="486" t="s">
        <v>60</v>
      </c>
      <c r="F13" s="484"/>
      <c r="G13" s="233"/>
      <c r="H13" s="233"/>
      <c r="I13" s="490">
        <f>IF(G5="",I12,'SWE.WS.F.BPU.ATRR.Projected'!$F$80)</f>
        <v>0.11952713165403545</v>
      </c>
      <c r="J13" s="425"/>
      <c r="K13" s="375" t="s">
        <v>61</v>
      </c>
      <c r="L13" s="324"/>
      <c r="M13" s="324"/>
      <c r="N13" s="324"/>
      <c r="O13" s="272"/>
      <c r="P13" s="272"/>
    </row>
    <row r="14" spans="1:17" ht="13.5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4210.159090909091</v>
      </c>
      <c r="J14" s="375"/>
      <c r="K14" s="375"/>
      <c r="L14" s="375"/>
      <c r="M14" s="375"/>
      <c r="N14" s="375"/>
      <c r="O14" s="272"/>
      <c r="P14" s="272"/>
    </row>
    <row r="15" spans="1:17" ht="38.25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388</v>
      </c>
      <c r="H15" s="495" t="s">
        <v>389</v>
      </c>
      <c r="I15" s="496" t="s">
        <v>260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7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>
      <c r="C17" s="507">
        <f>IF(D11= "","-",D11)</f>
        <v>2007</v>
      </c>
      <c r="D17" s="508">
        <v>77090</v>
      </c>
      <c r="E17" s="509">
        <v>868</v>
      </c>
      <c r="F17" s="508">
        <v>75730</v>
      </c>
      <c r="G17" s="509">
        <v>0</v>
      </c>
      <c r="H17" s="510">
        <v>0</v>
      </c>
      <c r="I17" s="596">
        <f t="shared" ref="I17:I48" si="0">H17-G17</f>
        <v>0</v>
      </c>
      <c r="J17" s="511"/>
      <c r="K17" s="512">
        <v>0</v>
      </c>
      <c r="L17" s="597">
        <f t="shared" ref="L17:L48" si="1">IF(K17&lt;&gt;0,+G17-K17,0)</f>
        <v>0</v>
      </c>
      <c r="M17" s="512">
        <v>0</v>
      </c>
      <c r="N17" s="597">
        <f t="shared" ref="N17:N48" si="2">IF(M17&lt;&gt;0,+H17-M17,0)</f>
        <v>0</v>
      </c>
      <c r="O17" s="519">
        <f t="shared" ref="O17:O48" si="3">+N17-L17</f>
        <v>0</v>
      </c>
      <c r="P17" s="272"/>
    </row>
    <row r="18" spans="2:16">
      <c r="B18" s="195" t="str">
        <f>IF(D18=F17,"","IU")</f>
        <v/>
      </c>
      <c r="C18" s="507">
        <f>IF(D11="","-",+C17+1)</f>
        <v>2008</v>
      </c>
      <c r="D18" s="515">
        <v>75730</v>
      </c>
      <c r="E18" s="606">
        <v>2010</v>
      </c>
      <c r="F18" s="607">
        <v>73720</v>
      </c>
      <c r="G18" s="516">
        <v>0</v>
      </c>
      <c r="H18" s="510">
        <v>0</v>
      </c>
      <c r="I18" s="596">
        <f t="shared" si="0"/>
        <v>0</v>
      </c>
      <c r="J18" s="511"/>
      <c r="K18" s="518">
        <v>0</v>
      </c>
      <c r="L18" s="514">
        <f t="shared" si="1"/>
        <v>0</v>
      </c>
      <c r="M18" s="518">
        <v>0</v>
      </c>
      <c r="N18" s="514">
        <f t="shared" si="2"/>
        <v>0</v>
      </c>
      <c r="O18" s="514">
        <f t="shared" si="3"/>
        <v>0</v>
      </c>
      <c r="P18" s="272"/>
    </row>
    <row r="19" spans="2:16">
      <c r="B19" s="195" t="str">
        <f>IF(D19=F18,"","IU")</f>
        <v>IU</v>
      </c>
      <c r="C19" s="507">
        <f>IF(D11="","-",+C18+1)</f>
        <v>2009</v>
      </c>
      <c r="D19" s="515">
        <v>119297</v>
      </c>
      <c r="E19" s="516">
        <v>3353</v>
      </c>
      <c r="F19" s="515">
        <v>115944</v>
      </c>
      <c r="G19" s="516">
        <v>21123</v>
      </c>
      <c r="H19" s="510">
        <v>21123</v>
      </c>
      <c r="I19" s="596">
        <f t="shared" si="0"/>
        <v>0</v>
      </c>
      <c r="J19" s="511"/>
      <c r="K19" s="518">
        <v>21123</v>
      </c>
      <c r="L19" s="514">
        <f t="shared" si="1"/>
        <v>0</v>
      </c>
      <c r="M19" s="518">
        <v>21123</v>
      </c>
      <c r="N19" s="514">
        <f t="shared" si="2"/>
        <v>0</v>
      </c>
      <c r="O19" s="514">
        <f t="shared" si="3"/>
        <v>0</v>
      </c>
      <c r="P19" s="272"/>
    </row>
    <row r="20" spans="2:16">
      <c r="B20" s="195"/>
      <c r="C20" s="507">
        <f>IF(D11="","-",+C19+1)</f>
        <v>2010</v>
      </c>
      <c r="D20" s="515">
        <v>117816</v>
      </c>
      <c r="E20" s="516">
        <v>3264</v>
      </c>
      <c r="F20" s="515">
        <v>114552</v>
      </c>
      <c r="G20" s="516">
        <v>19733</v>
      </c>
      <c r="H20" s="510">
        <v>19733</v>
      </c>
      <c r="I20" s="517">
        <v>0</v>
      </c>
      <c r="J20" s="511"/>
      <c r="K20" s="518">
        <f t="shared" ref="K20:K25" si="4">G20</f>
        <v>19733</v>
      </c>
      <c r="L20" s="519">
        <f t="shared" si="1"/>
        <v>0</v>
      </c>
      <c r="M20" s="518">
        <f t="shared" ref="M20:M25" si="5">H20</f>
        <v>19733</v>
      </c>
      <c r="N20" s="514">
        <f t="shared" si="2"/>
        <v>0</v>
      </c>
      <c r="O20" s="514">
        <f t="shared" si="3"/>
        <v>0</v>
      </c>
      <c r="P20" s="272"/>
    </row>
    <row r="21" spans="2:16">
      <c r="B21" s="195" t="str">
        <f t="shared" ref="B21:B72" si="6">IF(D21=F20,"","IU")</f>
        <v>IU</v>
      </c>
      <c r="C21" s="507">
        <f>IF(D12="","-",+C20+1)</f>
        <v>2011</v>
      </c>
      <c r="D21" s="515">
        <v>175752</v>
      </c>
      <c r="E21" s="516">
        <v>4518.2195121951218</v>
      </c>
      <c r="F21" s="515">
        <v>171233.78048780488</v>
      </c>
      <c r="G21" s="516">
        <v>31263.597728424509</v>
      </c>
      <c r="H21" s="510">
        <v>31263.597728424509</v>
      </c>
      <c r="I21" s="517">
        <v>0</v>
      </c>
      <c r="J21" s="511"/>
      <c r="K21" s="518">
        <f t="shared" si="4"/>
        <v>31263.597728424509</v>
      </c>
      <c r="L21" s="519">
        <f t="shared" si="1"/>
        <v>0</v>
      </c>
      <c r="M21" s="518">
        <f t="shared" si="5"/>
        <v>31263.597728424509</v>
      </c>
      <c r="N21" s="514">
        <f t="shared" si="2"/>
        <v>0</v>
      </c>
      <c r="O21" s="514">
        <f t="shared" si="3"/>
        <v>0</v>
      </c>
      <c r="P21" s="272"/>
    </row>
    <row r="22" spans="2:16">
      <c r="B22" s="195" t="str">
        <f t="shared" si="6"/>
        <v/>
      </c>
      <c r="C22" s="507">
        <f>IF(D11="","-",+C21+1)</f>
        <v>2012</v>
      </c>
      <c r="D22" s="515">
        <v>171233.78048780488</v>
      </c>
      <c r="E22" s="520">
        <v>4410.6428571428569</v>
      </c>
      <c r="F22" s="515">
        <v>166823.13763066201</v>
      </c>
      <c r="G22" s="516">
        <v>29220.603252055036</v>
      </c>
      <c r="H22" s="510">
        <v>29220.603252055036</v>
      </c>
      <c r="I22" s="517">
        <v>0</v>
      </c>
      <c r="J22" s="511"/>
      <c r="K22" s="518">
        <f t="shared" si="4"/>
        <v>29220.603252055036</v>
      </c>
      <c r="L22" s="519">
        <f t="shared" si="1"/>
        <v>0</v>
      </c>
      <c r="M22" s="518">
        <f t="shared" si="5"/>
        <v>29220.603252055036</v>
      </c>
      <c r="N22" s="514">
        <f t="shared" si="2"/>
        <v>0</v>
      </c>
      <c r="O22" s="514">
        <f t="shared" si="3"/>
        <v>0</v>
      </c>
      <c r="P22" s="272"/>
    </row>
    <row r="23" spans="2:16">
      <c r="B23" s="195" t="str">
        <f t="shared" si="6"/>
        <v/>
      </c>
      <c r="C23" s="507">
        <f>IF(D11="","-",+C22+1)</f>
        <v>2013</v>
      </c>
      <c r="D23" s="608">
        <v>166823.13763066201</v>
      </c>
      <c r="E23" s="609">
        <v>4410.6428571428569</v>
      </c>
      <c r="F23" s="608">
        <v>162412.49477351914</v>
      </c>
      <c r="G23" s="609">
        <v>27146.294093139273</v>
      </c>
      <c r="H23" s="610">
        <v>27146.294093139273</v>
      </c>
      <c r="I23" s="596">
        <v>0</v>
      </c>
      <c r="J23" s="511"/>
      <c r="K23" s="518">
        <f t="shared" si="4"/>
        <v>27146.294093139273</v>
      </c>
      <c r="L23" s="519">
        <f t="shared" ref="L23:L28" si="7">IF(K23&lt;&gt;0,+G23-K23,0)</f>
        <v>0</v>
      </c>
      <c r="M23" s="518">
        <f t="shared" si="5"/>
        <v>27146.294093139273</v>
      </c>
      <c r="N23" s="514">
        <f t="shared" ref="N23:N28" si="8">IF(M23&lt;&gt;0,+H23-M23,0)</f>
        <v>0</v>
      </c>
      <c r="O23" s="514">
        <f t="shared" ref="O23:O28" si="9">+N23-L23</f>
        <v>0</v>
      </c>
      <c r="P23" s="272"/>
    </row>
    <row r="24" spans="2:16">
      <c r="B24" s="195" t="str">
        <f t="shared" si="6"/>
        <v/>
      </c>
      <c r="C24" s="507">
        <f>IF(D11="","-",+C23+1)</f>
        <v>2014</v>
      </c>
      <c r="D24" s="608">
        <v>162412.49477351914</v>
      </c>
      <c r="E24" s="609">
        <v>4410.6428571428569</v>
      </c>
      <c r="F24" s="608">
        <v>158001.85191637627</v>
      </c>
      <c r="G24" s="609">
        <v>25726.753003621568</v>
      </c>
      <c r="H24" s="610">
        <v>25726.753003621568</v>
      </c>
      <c r="I24" s="596">
        <v>0</v>
      </c>
      <c r="J24" s="511"/>
      <c r="K24" s="518">
        <f t="shared" si="4"/>
        <v>25726.753003621568</v>
      </c>
      <c r="L24" s="519">
        <f t="shared" si="7"/>
        <v>0</v>
      </c>
      <c r="M24" s="518">
        <f t="shared" si="5"/>
        <v>25726.753003621568</v>
      </c>
      <c r="N24" s="514">
        <f t="shared" si="8"/>
        <v>0</v>
      </c>
      <c r="O24" s="514">
        <f t="shared" si="9"/>
        <v>0</v>
      </c>
      <c r="P24" s="272"/>
    </row>
    <row r="25" spans="2:16">
      <c r="B25" s="195" t="str">
        <f t="shared" si="6"/>
        <v/>
      </c>
      <c r="C25" s="507">
        <f>IF(D11="","-",+C24+1)</f>
        <v>2015</v>
      </c>
      <c r="D25" s="608">
        <v>158001.85191637627</v>
      </c>
      <c r="E25" s="609">
        <v>4410.6428571428569</v>
      </c>
      <c r="F25" s="608">
        <v>153591.2090592334</v>
      </c>
      <c r="G25" s="609">
        <v>24639.342477815902</v>
      </c>
      <c r="H25" s="610">
        <v>24639.342477815902</v>
      </c>
      <c r="I25" s="511">
        <v>0</v>
      </c>
      <c r="J25" s="511"/>
      <c r="K25" s="518">
        <f t="shared" si="4"/>
        <v>24639.342477815902</v>
      </c>
      <c r="L25" s="519">
        <f t="shared" si="7"/>
        <v>0</v>
      </c>
      <c r="M25" s="518">
        <f t="shared" si="5"/>
        <v>24639.342477815902</v>
      </c>
      <c r="N25" s="514">
        <f t="shared" si="8"/>
        <v>0</v>
      </c>
      <c r="O25" s="514">
        <f t="shared" si="9"/>
        <v>0</v>
      </c>
      <c r="P25" s="272"/>
    </row>
    <row r="26" spans="2:16">
      <c r="B26" s="195" t="str">
        <f t="shared" si="6"/>
        <v/>
      </c>
      <c r="C26" s="507">
        <f>IF(D11="","-",+C25+1)</f>
        <v>2016</v>
      </c>
      <c r="D26" s="608">
        <v>153591.2090592334</v>
      </c>
      <c r="E26" s="609">
        <v>4410.6428571428569</v>
      </c>
      <c r="F26" s="608">
        <v>149180.56620209053</v>
      </c>
      <c r="G26" s="609">
        <v>23816.047182018898</v>
      </c>
      <c r="H26" s="610">
        <v>23816.047182018898</v>
      </c>
      <c r="I26" s="511">
        <f t="shared" si="0"/>
        <v>0</v>
      </c>
      <c r="J26" s="511"/>
      <c r="K26" s="518">
        <f t="shared" ref="K26:K31" si="10">G26</f>
        <v>23816.047182018898</v>
      </c>
      <c r="L26" s="519">
        <f t="shared" si="7"/>
        <v>0</v>
      </c>
      <c r="M26" s="518">
        <f t="shared" ref="M26:M31" si="11">H26</f>
        <v>23816.047182018898</v>
      </c>
      <c r="N26" s="514">
        <f t="shared" si="8"/>
        <v>0</v>
      </c>
      <c r="O26" s="514">
        <f t="shared" si="9"/>
        <v>0</v>
      </c>
      <c r="P26" s="272"/>
    </row>
    <row r="27" spans="2:16">
      <c r="B27" s="195" t="str">
        <f t="shared" si="6"/>
        <v/>
      </c>
      <c r="C27" s="507">
        <f>IF(D11="","-",+C26+1)</f>
        <v>2017</v>
      </c>
      <c r="D27" s="608">
        <v>149180.56620209053</v>
      </c>
      <c r="E27" s="609">
        <v>4308.0697674418607</v>
      </c>
      <c r="F27" s="608">
        <v>144872.49643464867</v>
      </c>
      <c r="G27" s="609">
        <v>22523.559241307841</v>
      </c>
      <c r="H27" s="610">
        <v>22523.559241307841</v>
      </c>
      <c r="I27" s="511">
        <f t="shared" si="0"/>
        <v>0</v>
      </c>
      <c r="J27" s="511"/>
      <c r="K27" s="518">
        <f t="shared" si="10"/>
        <v>22523.559241307841</v>
      </c>
      <c r="L27" s="519">
        <f t="shared" si="7"/>
        <v>0</v>
      </c>
      <c r="M27" s="518">
        <f t="shared" si="11"/>
        <v>22523.559241307841</v>
      </c>
      <c r="N27" s="514">
        <f t="shared" si="8"/>
        <v>0</v>
      </c>
      <c r="O27" s="514">
        <f t="shared" si="9"/>
        <v>0</v>
      </c>
      <c r="P27" s="272"/>
    </row>
    <row r="28" spans="2:16">
      <c r="B28" s="195" t="str">
        <f t="shared" si="6"/>
        <v/>
      </c>
      <c r="C28" s="507">
        <f>IF(D11="","-",+C27+1)</f>
        <v>2018</v>
      </c>
      <c r="D28" s="608">
        <v>144872.49643464867</v>
      </c>
      <c r="E28" s="609">
        <v>4518.2195121951218</v>
      </c>
      <c r="F28" s="608">
        <v>140354.27692245354</v>
      </c>
      <c r="G28" s="609">
        <v>22643.539387213004</v>
      </c>
      <c r="H28" s="610">
        <v>22643.539387213004</v>
      </c>
      <c r="I28" s="511">
        <f t="shared" si="0"/>
        <v>0</v>
      </c>
      <c r="J28" s="511"/>
      <c r="K28" s="518">
        <f t="shared" si="10"/>
        <v>22643.539387213004</v>
      </c>
      <c r="L28" s="519">
        <f t="shared" si="7"/>
        <v>0</v>
      </c>
      <c r="M28" s="518">
        <f t="shared" si="11"/>
        <v>22643.539387213004</v>
      </c>
      <c r="N28" s="514">
        <f t="shared" si="8"/>
        <v>0</v>
      </c>
      <c r="O28" s="514">
        <f t="shared" si="9"/>
        <v>0</v>
      </c>
      <c r="P28" s="272"/>
    </row>
    <row r="29" spans="2:16">
      <c r="B29" s="195" t="str">
        <f t="shared" si="6"/>
        <v/>
      </c>
      <c r="C29" s="507">
        <f>IF(D11="","-",+C28+1)</f>
        <v>2019</v>
      </c>
      <c r="D29" s="608">
        <v>140354.27692245354</v>
      </c>
      <c r="E29" s="609">
        <v>4518.2195121951218</v>
      </c>
      <c r="F29" s="608">
        <v>135836.05741025842</v>
      </c>
      <c r="G29" s="609">
        <v>22069.300349550489</v>
      </c>
      <c r="H29" s="610">
        <v>22069.300349550489</v>
      </c>
      <c r="I29" s="511">
        <f t="shared" si="0"/>
        <v>0</v>
      </c>
      <c r="J29" s="511"/>
      <c r="K29" s="518">
        <f t="shared" si="10"/>
        <v>22069.300349550489</v>
      </c>
      <c r="L29" s="519">
        <f t="shared" ref="L29" si="12">IF(K29&lt;&gt;0,+G29-K29,0)</f>
        <v>0</v>
      </c>
      <c r="M29" s="518">
        <f t="shared" si="11"/>
        <v>22069.300349550489</v>
      </c>
      <c r="N29" s="514">
        <f t="shared" si="2"/>
        <v>0</v>
      </c>
      <c r="O29" s="514">
        <f t="shared" si="3"/>
        <v>0</v>
      </c>
      <c r="P29" s="272"/>
    </row>
    <row r="30" spans="2:16">
      <c r="B30" s="195" t="str">
        <f t="shared" si="6"/>
        <v/>
      </c>
      <c r="C30" s="507">
        <f>IF(D11="","-",+C29+1)</f>
        <v>2020</v>
      </c>
      <c r="D30" s="608">
        <v>135836.05741025842</v>
      </c>
      <c r="E30" s="609">
        <v>4518.2195121951218</v>
      </c>
      <c r="F30" s="608">
        <v>131317.8378980633</v>
      </c>
      <c r="G30" s="609">
        <v>18187.877266204941</v>
      </c>
      <c r="H30" s="610">
        <v>18187.877266204941</v>
      </c>
      <c r="I30" s="511">
        <f t="shared" si="0"/>
        <v>0</v>
      </c>
      <c r="J30" s="511"/>
      <c r="K30" s="518">
        <f t="shared" si="10"/>
        <v>18187.877266204941</v>
      </c>
      <c r="L30" s="519">
        <f t="shared" ref="L30" si="13">IF(K30&lt;&gt;0,+G30-K30,0)</f>
        <v>0</v>
      </c>
      <c r="M30" s="518">
        <f t="shared" si="11"/>
        <v>18187.877266204941</v>
      </c>
      <c r="N30" s="514">
        <f t="shared" si="2"/>
        <v>0</v>
      </c>
      <c r="O30" s="514">
        <f t="shared" si="3"/>
        <v>0</v>
      </c>
      <c r="P30" s="272"/>
    </row>
    <row r="31" spans="2:16">
      <c r="B31" s="195" t="str">
        <f t="shared" si="6"/>
        <v>IU</v>
      </c>
      <c r="C31" s="507">
        <f>IF(D11="","-",+C30+1)</f>
        <v>2021</v>
      </c>
      <c r="D31" s="608">
        <v>131527.98764281662</v>
      </c>
      <c r="E31" s="609">
        <v>4410.6428571428569</v>
      </c>
      <c r="F31" s="608">
        <v>127117.34478567376</v>
      </c>
      <c r="G31" s="609">
        <v>18119.433252882794</v>
      </c>
      <c r="H31" s="610">
        <v>18119.433252882794</v>
      </c>
      <c r="I31" s="511">
        <f t="shared" si="0"/>
        <v>0</v>
      </c>
      <c r="J31" s="511"/>
      <c r="K31" s="518">
        <f t="shared" si="10"/>
        <v>18119.433252882794</v>
      </c>
      <c r="L31" s="519">
        <f t="shared" ref="L31" si="14">IF(K31&lt;&gt;0,+G31-K31,0)</f>
        <v>0</v>
      </c>
      <c r="M31" s="518">
        <f t="shared" si="11"/>
        <v>18119.433252882794</v>
      </c>
      <c r="N31" s="514">
        <f t="shared" si="2"/>
        <v>0</v>
      </c>
      <c r="O31" s="514">
        <f t="shared" si="3"/>
        <v>0</v>
      </c>
      <c r="P31" s="272"/>
    </row>
    <row r="32" spans="2:16">
      <c r="B32" s="195" t="str">
        <f t="shared" si="6"/>
        <v>IU</v>
      </c>
      <c r="C32" s="507">
        <f>IF(D11="","-",+C31+1)</f>
        <v>2022</v>
      </c>
      <c r="D32" s="608">
        <v>126907.19504092052</v>
      </c>
      <c r="E32" s="609">
        <v>4410.6428571428569</v>
      </c>
      <c r="F32" s="608">
        <v>122496.55218377766</v>
      </c>
      <c r="G32" s="609">
        <v>18432.632415110242</v>
      </c>
      <c r="H32" s="610">
        <v>18432.632415110242</v>
      </c>
      <c r="I32" s="511">
        <f t="shared" si="0"/>
        <v>0</v>
      </c>
      <c r="J32" s="511"/>
      <c r="K32" s="518">
        <f t="shared" ref="K32" si="15">G32</f>
        <v>18432.632415110242</v>
      </c>
      <c r="L32" s="519">
        <f t="shared" ref="L32" si="16">IF(K32&lt;&gt;0,+G32-K32,0)</f>
        <v>0</v>
      </c>
      <c r="M32" s="518">
        <f t="shared" ref="M32" si="17">H32</f>
        <v>18432.632415110242</v>
      </c>
      <c r="N32" s="514">
        <f t="shared" si="2"/>
        <v>0</v>
      </c>
      <c r="O32" s="514">
        <f t="shared" si="3"/>
        <v>0</v>
      </c>
      <c r="P32" s="272"/>
    </row>
    <row r="33" spans="2:16">
      <c r="B33" s="195" t="str">
        <f t="shared" si="6"/>
        <v/>
      </c>
      <c r="C33" s="507">
        <f>IF(D11="","-",+C32+1)</f>
        <v>2023</v>
      </c>
      <c r="D33" s="608">
        <v>122496.55218377766</v>
      </c>
      <c r="E33" s="609">
        <v>4410.6428571428569</v>
      </c>
      <c r="F33" s="608">
        <v>118085.90932663481</v>
      </c>
      <c r="G33" s="609">
        <v>19606.64766056418</v>
      </c>
      <c r="H33" s="610">
        <v>19606.64766056418</v>
      </c>
      <c r="I33" s="511">
        <f t="shared" si="0"/>
        <v>0</v>
      </c>
      <c r="J33" s="511"/>
      <c r="K33" s="518">
        <f t="shared" ref="K33" si="18">G33</f>
        <v>19606.64766056418</v>
      </c>
      <c r="L33" s="519">
        <f t="shared" ref="L33" si="19">IF(K33&lt;&gt;0,+G33-K33,0)</f>
        <v>0</v>
      </c>
      <c r="M33" s="518">
        <f t="shared" ref="M33" si="20">H33</f>
        <v>19606.64766056418</v>
      </c>
      <c r="N33" s="514">
        <f t="shared" ref="N33" si="21">IF(M33&lt;&gt;0,+H33-M33,0)</f>
        <v>0</v>
      </c>
      <c r="O33" s="514">
        <f t="shared" ref="O33" si="22">+N33-L33</f>
        <v>0</v>
      </c>
      <c r="P33" s="272"/>
    </row>
    <row r="34" spans="2:16">
      <c r="B34" s="195" t="str">
        <f t="shared" si="6"/>
        <v/>
      </c>
      <c r="C34" s="673">
        <f>IF(D11="","-",+C33+1)</f>
        <v>2024</v>
      </c>
      <c r="D34" s="523">
        <f>IF(F33+SUM(E$17:E33)=D$10,F33,D$10-SUM(E$17:E33))</f>
        <v>118085.90932663481</v>
      </c>
      <c r="E34" s="522">
        <f>IF(+I14&lt;F33,I14,D34)</f>
        <v>4210.159090909091</v>
      </c>
      <c r="F34" s="523">
        <f t="shared" ref="F34:F48" si="23">+D34-E34</f>
        <v>113875.75023572572</v>
      </c>
      <c r="G34" s="524">
        <f t="shared" ref="G34:G72" si="24">+I$12*((D34+F34)/2)+E34</f>
        <v>18073.015001508498</v>
      </c>
      <c r="H34" s="491">
        <f t="shared" ref="H34:H72" si="25">+I$13*((D34+F34)/2)+E34</f>
        <v>18073.015001508498</v>
      </c>
      <c r="I34" s="511">
        <f t="shared" si="0"/>
        <v>0</v>
      </c>
      <c r="J34" s="511"/>
      <c r="K34" s="525"/>
      <c r="L34" s="514">
        <f t="shared" si="1"/>
        <v>0</v>
      </c>
      <c r="M34" s="525"/>
      <c r="N34" s="514">
        <f t="shared" si="2"/>
        <v>0</v>
      </c>
      <c r="O34" s="514">
        <f t="shared" si="3"/>
        <v>0</v>
      </c>
      <c r="P34" s="272"/>
    </row>
    <row r="35" spans="2:16">
      <c r="B35" s="195" t="str">
        <f t="shared" si="6"/>
        <v/>
      </c>
      <c r="C35" s="507">
        <f>IF(D11="","-",+C34+1)</f>
        <v>2025</v>
      </c>
      <c r="D35" s="523">
        <f>IF(F34+SUM(E$17:E34)=D$10,F34,D$10-SUM(E$17:E34))</f>
        <v>113875.75023572572</v>
      </c>
      <c r="E35" s="522">
        <f>IF(+I14&lt;F34,I14,D35)</f>
        <v>4210.159090909091</v>
      </c>
      <c r="F35" s="523">
        <f t="shared" si="23"/>
        <v>109665.59114481663</v>
      </c>
      <c r="G35" s="524">
        <f t="shared" si="24"/>
        <v>17569.786761564974</v>
      </c>
      <c r="H35" s="491">
        <f t="shared" si="25"/>
        <v>17569.786761564974</v>
      </c>
      <c r="I35" s="511">
        <f t="shared" si="0"/>
        <v>0</v>
      </c>
      <c r="J35" s="511"/>
      <c r="K35" s="525"/>
      <c r="L35" s="514">
        <f t="shared" si="1"/>
        <v>0</v>
      </c>
      <c r="M35" s="525"/>
      <c r="N35" s="514">
        <f t="shared" si="2"/>
        <v>0</v>
      </c>
      <c r="O35" s="514">
        <f t="shared" si="3"/>
        <v>0</v>
      </c>
      <c r="P35" s="272"/>
    </row>
    <row r="36" spans="2:16">
      <c r="B36" s="195" t="str">
        <f t="shared" si="6"/>
        <v/>
      </c>
      <c r="C36" s="507">
        <f>IF(D11="","-",+C35+1)</f>
        <v>2026</v>
      </c>
      <c r="D36" s="523">
        <f>IF(F35+SUM(E$17:E35)=D$10,F35,D$10-SUM(E$17:E35))</f>
        <v>109665.59114481663</v>
      </c>
      <c r="E36" s="522">
        <f>IF(+I14&lt;F35,I14,D36)</f>
        <v>4210.159090909091</v>
      </c>
      <c r="F36" s="523">
        <f t="shared" si="23"/>
        <v>105455.43205390754</v>
      </c>
      <c r="G36" s="524">
        <f t="shared" si="24"/>
        <v>17066.558521621449</v>
      </c>
      <c r="H36" s="491">
        <f t="shared" si="25"/>
        <v>17066.558521621449</v>
      </c>
      <c r="I36" s="511">
        <f t="shared" si="0"/>
        <v>0</v>
      </c>
      <c r="J36" s="511"/>
      <c r="K36" s="525"/>
      <c r="L36" s="514">
        <f t="shared" si="1"/>
        <v>0</v>
      </c>
      <c r="M36" s="525"/>
      <c r="N36" s="514">
        <f t="shared" si="2"/>
        <v>0</v>
      </c>
      <c r="O36" s="514">
        <f t="shared" si="3"/>
        <v>0</v>
      </c>
      <c r="P36" s="272"/>
    </row>
    <row r="37" spans="2:16">
      <c r="B37" s="195" t="str">
        <f t="shared" si="6"/>
        <v/>
      </c>
      <c r="C37" s="507">
        <f>IF(D11="","-",+C36+1)</f>
        <v>2027</v>
      </c>
      <c r="D37" s="523">
        <f>IF(F36+SUM(E$17:E36)=D$10,F36,D$10-SUM(E$17:E36))</f>
        <v>105455.43205390754</v>
      </c>
      <c r="E37" s="522">
        <f>IF(+I14&lt;F36,I14,D37)</f>
        <v>4210.159090909091</v>
      </c>
      <c r="F37" s="523">
        <f t="shared" si="23"/>
        <v>101245.27296299845</v>
      </c>
      <c r="G37" s="524">
        <f t="shared" si="24"/>
        <v>16563.330281677925</v>
      </c>
      <c r="H37" s="491">
        <f t="shared" si="25"/>
        <v>16563.330281677925</v>
      </c>
      <c r="I37" s="511">
        <f t="shared" si="0"/>
        <v>0</v>
      </c>
      <c r="J37" s="511"/>
      <c r="K37" s="525"/>
      <c r="L37" s="514">
        <f t="shared" si="1"/>
        <v>0</v>
      </c>
      <c r="M37" s="525"/>
      <c r="N37" s="514">
        <f t="shared" si="2"/>
        <v>0</v>
      </c>
      <c r="O37" s="514">
        <f t="shared" si="3"/>
        <v>0</v>
      </c>
      <c r="P37" s="272"/>
    </row>
    <row r="38" spans="2:16">
      <c r="B38" s="195" t="str">
        <f t="shared" si="6"/>
        <v/>
      </c>
      <c r="C38" s="507">
        <f>IF(D11="","-",+C37+1)</f>
        <v>2028</v>
      </c>
      <c r="D38" s="523">
        <f>IF(F37+SUM(E$17:E37)=D$10,F37,D$10-SUM(E$17:E37))</f>
        <v>101245.27296299845</v>
      </c>
      <c r="E38" s="522">
        <f>IF(+I14&lt;F37,I14,D38)</f>
        <v>4210.159090909091</v>
      </c>
      <c r="F38" s="523">
        <f t="shared" si="23"/>
        <v>97035.113872089365</v>
      </c>
      <c r="G38" s="524">
        <f t="shared" si="24"/>
        <v>16060.102041734401</v>
      </c>
      <c r="H38" s="491">
        <f t="shared" si="25"/>
        <v>16060.102041734401</v>
      </c>
      <c r="I38" s="511">
        <f t="shared" si="0"/>
        <v>0</v>
      </c>
      <c r="J38" s="511"/>
      <c r="K38" s="525"/>
      <c r="L38" s="514">
        <f t="shared" si="1"/>
        <v>0</v>
      </c>
      <c r="M38" s="525"/>
      <c r="N38" s="514">
        <f t="shared" si="2"/>
        <v>0</v>
      </c>
      <c r="O38" s="514">
        <f t="shared" si="3"/>
        <v>0</v>
      </c>
      <c r="P38" s="272"/>
    </row>
    <row r="39" spans="2:16">
      <c r="B39" s="195" t="str">
        <f t="shared" si="6"/>
        <v/>
      </c>
      <c r="C39" s="507">
        <f>IF(D11="","-",+C38+1)</f>
        <v>2029</v>
      </c>
      <c r="D39" s="523">
        <f>IF(F38+SUM(E$17:E38)=D$10,F38,D$10-SUM(E$17:E38))</f>
        <v>97035.113872089365</v>
      </c>
      <c r="E39" s="522">
        <f>IF(+I14&lt;F38,I14,D39)</f>
        <v>4210.159090909091</v>
      </c>
      <c r="F39" s="523">
        <f t="shared" si="23"/>
        <v>92824.954781180277</v>
      </c>
      <c r="G39" s="524">
        <f t="shared" si="24"/>
        <v>15556.873801790876</v>
      </c>
      <c r="H39" s="491">
        <f t="shared" si="25"/>
        <v>15556.873801790876</v>
      </c>
      <c r="I39" s="511">
        <f t="shared" si="0"/>
        <v>0</v>
      </c>
      <c r="J39" s="511"/>
      <c r="K39" s="525"/>
      <c r="L39" s="514">
        <f t="shared" si="1"/>
        <v>0</v>
      </c>
      <c r="M39" s="525"/>
      <c r="N39" s="514">
        <f t="shared" si="2"/>
        <v>0</v>
      </c>
      <c r="O39" s="514">
        <f t="shared" si="3"/>
        <v>0</v>
      </c>
      <c r="P39" s="272"/>
    </row>
    <row r="40" spans="2:16">
      <c r="B40" s="195" t="str">
        <f t="shared" si="6"/>
        <v/>
      </c>
      <c r="C40" s="507">
        <f>IF(D11="","-",+C39+1)</f>
        <v>2030</v>
      </c>
      <c r="D40" s="523">
        <f>IF(F39+SUM(E$17:E39)=D$10,F39,D$10-SUM(E$17:E39))</f>
        <v>92824.954781180277</v>
      </c>
      <c r="E40" s="522">
        <f>IF(+I14&lt;F39,I14,D40)</f>
        <v>4210.159090909091</v>
      </c>
      <c r="F40" s="523">
        <f t="shared" si="23"/>
        <v>88614.795690271189</v>
      </c>
      <c r="G40" s="524">
        <f t="shared" si="24"/>
        <v>15053.645561847352</v>
      </c>
      <c r="H40" s="491">
        <f t="shared" si="25"/>
        <v>15053.645561847352</v>
      </c>
      <c r="I40" s="511">
        <f t="shared" si="0"/>
        <v>0</v>
      </c>
      <c r="J40" s="511"/>
      <c r="K40" s="525"/>
      <c r="L40" s="514">
        <f t="shared" si="1"/>
        <v>0</v>
      </c>
      <c r="M40" s="525"/>
      <c r="N40" s="514">
        <f t="shared" si="2"/>
        <v>0</v>
      </c>
      <c r="O40" s="514">
        <f t="shared" si="3"/>
        <v>0</v>
      </c>
      <c r="P40" s="272"/>
    </row>
    <row r="41" spans="2:16">
      <c r="B41" s="195" t="str">
        <f t="shared" si="6"/>
        <v/>
      </c>
      <c r="C41" s="507">
        <f>IF(D11="","-",+C40+1)</f>
        <v>2031</v>
      </c>
      <c r="D41" s="523">
        <f>IF(F40+SUM(E$17:E40)=D$10,F40,D$10-SUM(E$17:E40))</f>
        <v>88614.795690271189</v>
      </c>
      <c r="E41" s="522">
        <f>IF(+I14&lt;F40,I14,D41)</f>
        <v>4210.159090909091</v>
      </c>
      <c r="F41" s="523">
        <f t="shared" si="23"/>
        <v>84404.6365993621</v>
      </c>
      <c r="G41" s="524">
        <f t="shared" si="24"/>
        <v>14550.417321903828</v>
      </c>
      <c r="H41" s="491">
        <f t="shared" si="25"/>
        <v>14550.417321903828</v>
      </c>
      <c r="I41" s="511">
        <f t="shared" si="0"/>
        <v>0</v>
      </c>
      <c r="J41" s="511"/>
      <c r="K41" s="525"/>
      <c r="L41" s="514">
        <f t="shared" si="1"/>
        <v>0</v>
      </c>
      <c r="M41" s="525"/>
      <c r="N41" s="514">
        <f t="shared" si="2"/>
        <v>0</v>
      </c>
      <c r="O41" s="514">
        <f t="shared" si="3"/>
        <v>0</v>
      </c>
      <c r="P41" s="272"/>
    </row>
    <row r="42" spans="2:16">
      <c r="B42" s="195" t="str">
        <f t="shared" si="6"/>
        <v/>
      </c>
      <c r="C42" s="507">
        <f>IF(D11="","-",+C41+1)</f>
        <v>2032</v>
      </c>
      <c r="D42" s="523">
        <f>IF(F41+SUM(E$17:E41)=D$10,F41,D$10-SUM(E$17:E41))</f>
        <v>84404.6365993621</v>
      </c>
      <c r="E42" s="522">
        <f>IF(+I14&lt;F41,I14,D42)</f>
        <v>4210.159090909091</v>
      </c>
      <c r="F42" s="523">
        <f t="shared" si="23"/>
        <v>80194.477508453012</v>
      </c>
      <c r="G42" s="524">
        <f t="shared" si="24"/>
        <v>14047.1890819603</v>
      </c>
      <c r="H42" s="491">
        <f t="shared" si="25"/>
        <v>14047.1890819603</v>
      </c>
      <c r="I42" s="511">
        <f t="shared" si="0"/>
        <v>0</v>
      </c>
      <c r="J42" s="511"/>
      <c r="K42" s="525"/>
      <c r="L42" s="514">
        <f t="shared" si="1"/>
        <v>0</v>
      </c>
      <c r="M42" s="525"/>
      <c r="N42" s="514">
        <f t="shared" si="2"/>
        <v>0</v>
      </c>
      <c r="O42" s="514">
        <f t="shared" si="3"/>
        <v>0</v>
      </c>
      <c r="P42" s="272"/>
    </row>
    <row r="43" spans="2:16">
      <c r="B43" s="195" t="str">
        <f t="shared" si="6"/>
        <v/>
      </c>
      <c r="C43" s="507">
        <f>IF(D11="","-",+C42+1)</f>
        <v>2033</v>
      </c>
      <c r="D43" s="523">
        <f>IF(F42+SUM(E$17:E42)=D$10,F42,D$10-SUM(E$17:E42))</f>
        <v>80194.477508453012</v>
      </c>
      <c r="E43" s="522">
        <f>IF(+I14&lt;F42,I14,D43)</f>
        <v>4210.159090909091</v>
      </c>
      <c r="F43" s="523">
        <f t="shared" si="23"/>
        <v>75984.318417543924</v>
      </c>
      <c r="G43" s="524">
        <f t="shared" si="24"/>
        <v>13543.960842016775</v>
      </c>
      <c r="H43" s="491">
        <f t="shared" si="25"/>
        <v>13543.960842016775</v>
      </c>
      <c r="I43" s="511">
        <f t="shared" si="0"/>
        <v>0</v>
      </c>
      <c r="J43" s="511"/>
      <c r="K43" s="525"/>
      <c r="L43" s="514">
        <f t="shared" si="1"/>
        <v>0</v>
      </c>
      <c r="M43" s="525"/>
      <c r="N43" s="514">
        <f t="shared" si="2"/>
        <v>0</v>
      </c>
      <c r="O43" s="514">
        <f t="shared" si="3"/>
        <v>0</v>
      </c>
      <c r="P43" s="272"/>
    </row>
    <row r="44" spans="2:16">
      <c r="B44" s="195" t="str">
        <f t="shared" si="6"/>
        <v/>
      </c>
      <c r="C44" s="507">
        <f>IF(D11="","-",+C43+1)</f>
        <v>2034</v>
      </c>
      <c r="D44" s="523">
        <f>IF(F43+SUM(E$17:E43)=D$10,F43,D$10-SUM(E$17:E43))</f>
        <v>75984.318417543924</v>
      </c>
      <c r="E44" s="522">
        <f>IF(+I14&lt;F43,I14,D44)</f>
        <v>4210.159090909091</v>
      </c>
      <c r="F44" s="523">
        <f t="shared" si="23"/>
        <v>71774.159326634835</v>
      </c>
      <c r="G44" s="524">
        <f t="shared" si="24"/>
        <v>13040.732602073251</v>
      </c>
      <c r="H44" s="491">
        <f t="shared" si="25"/>
        <v>13040.732602073251</v>
      </c>
      <c r="I44" s="511">
        <f t="shared" si="0"/>
        <v>0</v>
      </c>
      <c r="J44" s="511"/>
      <c r="K44" s="525"/>
      <c r="L44" s="514">
        <f t="shared" si="1"/>
        <v>0</v>
      </c>
      <c r="M44" s="525"/>
      <c r="N44" s="514">
        <f t="shared" si="2"/>
        <v>0</v>
      </c>
      <c r="O44" s="514">
        <f t="shared" si="3"/>
        <v>0</v>
      </c>
      <c r="P44" s="272"/>
    </row>
    <row r="45" spans="2:16">
      <c r="B45" s="195" t="str">
        <f t="shared" si="6"/>
        <v/>
      </c>
      <c r="C45" s="507">
        <f>IF(D11="","-",+C44+1)</f>
        <v>2035</v>
      </c>
      <c r="D45" s="523">
        <f>IF(F44+SUM(E$17:E44)=D$10,F44,D$10-SUM(E$17:E44))</f>
        <v>71774.159326634835</v>
      </c>
      <c r="E45" s="522">
        <f>IF(+I14&lt;F44,I14,D45)</f>
        <v>4210.159090909091</v>
      </c>
      <c r="F45" s="523">
        <f t="shared" si="23"/>
        <v>67564.000235725747</v>
      </c>
      <c r="G45" s="524">
        <f t="shared" si="24"/>
        <v>12537.504362129726</v>
      </c>
      <c r="H45" s="491">
        <f t="shared" si="25"/>
        <v>12537.504362129726</v>
      </c>
      <c r="I45" s="511">
        <f t="shared" si="0"/>
        <v>0</v>
      </c>
      <c r="J45" s="511"/>
      <c r="K45" s="525"/>
      <c r="L45" s="514">
        <f t="shared" si="1"/>
        <v>0</v>
      </c>
      <c r="M45" s="525"/>
      <c r="N45" s="514">
        <f t="shared" si="2"/>
        <v>0</v>
      </c>
      <c r="O45" s="514">
        <f t="shared" si="3"/>
        <v>0</v>
      </c>
      <c r="P45" s="272"/>
    </row>
    <row r="46" spans="2:16">
      <c r="B46" s="195" t="str">
        <f t="shared" si="6"/>
        <v/>
      </c>
      <c r="C46" s="507">
        <f>IF(D11="","-",+C45+1)</f>
        <v>2036</v>
      </c>
      <c r="D46" s="523">
        <f>IF(F45+SUM(E$17:E45)=D$10,F45,D$10-SUM(E$17:E45))</f>
        <v>67564.000235725747</v>
      </c>
      <c r="E46" s="522">
        <f>IF(+I14&lt;F45,I14,D46)</f>
        <v>4210.159090909091</v>
      </c>
      <c r="F46" s="523">
        <f t="shared" si="23"/>
        <v>63353.841144816659</v>
      </c>
      <c r="G46" s="524">
        <f t="shared" si="24"/>
        <v>12034.276122186202</v>
      </c>
      <c r="H46" s="491">
        <f t="shared" si="25"/>
        <v>12034.276122186202</v>
      </c>
      <c r="I46" s="511">
        <f t="shared" si="0"/>
        <v>0</v>
      </c>
      <c r="J46" s="511"/>
      <c r="K46" s="525"/>
      <c r="L46" s="514">
        <f t="shared" si="1"/>
        <v>0</v>
      </c>
      <c r="M46" s="525"/>
      <c r="N46" s="514">
        <f t="shared" si="2"/>
        <v>0</v>
      </c>
      <c r="O46" s="514">
        <f t="shared" si="3"/>
        <v>0</v>
      </c>
      <c r="P46" s="272"/>
    </row>
    <row r="47" spans="2:16">
      <c r="B47" s="195" t="str">
        <f t="shared" si="6"/>
        <v/>
      </c>
      <c r="C47" s="507">
        <f>IF(D11="","-",+C46+1)</f>
        <v>2037</v>
      </c>
      <c r="D47" s="523">
        <f>IF(F46+SUM(E$17:E46)=D$10,F46,D$10-SUM(E$17:E46))</f>
        <v>63353.841144816659</v>
      </c>
      <c r="E47" s="522">
        <f>IF(+I14&lt;F46,I14,D47)</f>
        <v>4210.159090909091</v>
      </c>
      <c r="F47" s="523">
        <f t="shared" si="23"/>
        <v>59143.682053907571</v>
      </c>
      <c r="G47" s="524">
        <f t="shared" si="24"/>
        <v>11531.047882242678</v>
      </c>
      <c r="H47" s="491">
        <f t="shared" si="25"/>
        <v>11531.047882242678</v>
      </c>
      <c r="I47" s="511">
        <f t="shared" si="0"/>
        <v>0</v>
      </c>
      <c r="J47" s="511"/>
      <c r="K47" s="525"/>
      <c r="L47" s="514">
        <f t="shared" si="1"/>
        <v>0</v>
      </c>
      <c r="M47" s="525"/>
      <c r="N47" s="514">
        <f t="shared" si="2"/>
        <v>0</v>
      </c>
      <c r="O47" s="514">
        <f t="shared" si="3"/>
        <v>0</v>
      </c>
      <c r="P47" s="272"/>
    </row>
    <row r="48" spans="2:16">
      <c r="B48" s="195" t="str">
        <f t="shared" si="6"/>
        <v/>
      </c>
      <c r="C48" s="507">
        <f>IF(D11="","-",+C47+1)</f>
        <v>2038</v>
      </c>
      <c r="D48" s="523">
        <f>IF(F47+SUM(E$17:E47)=D$10,F47,D$10-SUM(E$17:E47))</f>
        <v>59143.682053907571</v>
      </c>
      <c r="E48" s="522">
        <f>IF(+I14&lt;F47,I14,D48)</f>
        <v>4210.159090909091</v>
      </c>
      <c r="F48" s="523">
        <f t="shared" si="23"/>
        <v>54933.522962998482</v>
      </c>
      <c r="G48" s="524">
        <f t="shared" si="24"/>
        <v>11027.819642299153</v>
      </c>
      <c r="H48" s="491">
        <f t="shared" si="25"/>
        <v>11027.819642299153</v>
      </c>
      <c r="I48" s="511">
        <f t="shared" si="0"/>
        <v>0</v>
      </c>
      <c r="J48" s="511"/>
      <c r="K48" s="525"/>
      <c r="L48" s="514">
        <f t="shared" si="1"/>
        <v>0</v>
      </c>
      <c r="M48" s="525"/>
      <c r="N48" s="514">
        <f t="shared" si="2"/>
        <v>0</v>
      </c>
      <c r="O48" s="514">
        <f t="shared" si="3"/>
        <v>0</v>
      </c>
      <c r="P48" s="272"/>
    </row>
    <row r="49" spans="2:17">
      <c r="B49" s="195" t="str">
        <f t="shared" si="6"/>
        <v/>
      </c>
      <c r="C49" s="507">
        <f>IF(D11="","-",+C48+1)</f>
        <v>2039</v>
      </c>
      <c r="D49" s="523">
        <f>IF(F48+SUM(E$17:E48)=D$10,F48,D$10-SUM(E$17:E48))</f>
        <v>54933.522962998482</v>
      </c>
      <c r="E49" s="522">
        <f>IF(+I14&lt;F48,I14,D49)</f>
        <v>4210.159090909091</v>
      </c>
      <c r="F49" s="523">
        <f t="shared" ref="F49:F72" si="26">+D49-E49</f>
        <v>50723.363872089394</v>
      </c>
      <c r="G49" s="524">
        <f t="shared" si="24"/>
        <v>10524.591402355629</v>
      </c>
      <c r="H49" s="491">
        <f t="shared" si="25"/>
        <v>10524.591402355629</v>
      </c>
      <c r="I49" s="511">
        <f t="shared" ref="I49:I72" si="27">H49-G49</f>
        <v>0</v>
      </c>
      <c r="J49" s="511"/>
      <c r="K49" s="525"/>
      <c r="L49" s="514">
        <f t="shared" ref="L49:L72" si="28">IF(K49&lt;&gt;0,+G49-K49,0)</f>
        <v>0</v>
      </c>
      <c r="M49" s="525"/>
      <c r="N49" s="514">
        <f t="shared" ref="N49:N72" si="29">IF(M49&lt;&gt;0,+H49-M49,0)</f>
        <v>0</v>
      </c>
      <c r="O49" s="514">
        <f t="shared" ref="O49:O72" si="30">+N49-L49</f>
        <v>0</v>
      </c>
      <c r="P49" s="272"/>
    </row>
    <row r="50" spans="2:17">
      <c r="B50" s="195" t="str">
        <f t="shared" si="6"/>
        <v/>
      </c>
      <c r="C50" s="507">
        <f>IF(D11="","-",+C49+1)</f>
        <v>2040</v>
      </c>
      <c r="D50" s="523">
        <f>IF(F49+SUM(E$17:E49)=D$10,F49,D$10-SUM(E$17:E49))</f>
        <v>50723.363872089394</v>
      </c>
      <c r="E50" s="522">
        <f>IF(+I14&lt;F49,I14,D50)</f>
        <v>4210.159090909091</v>
      </c>
      <c r="F50" s="523">
        <f t="shared" si="26"/>
        <v>46513.204781180306</v>
      </c>
      <c r="G50" s="524">
        <f t="shared" si="24"/>
        <v>10021.363162412103</v>
      </c>
      <c r="H50" s="491">
        <f t="shared" si="25"/>
        <v>10021.363162412103</v>
      </c>
      <c r="I50" s="511">
        <f t="shared" si="27"/>
        <v>0</v>
      </c>
      <c r="J50" s="511"/>
      <c r="K50" s="525"/>
      <c r="L50" s="514">
        <f t="shared" si="28"/>
        <v>0</v>
      </c>
      <c r="M50" s="525"/>
      <c r="N50" s="514">
        <f t="shared" si="29"/>
        <v>0</v>
      </c>
      <c r="O50" s="514">
        <f t="shared" si="30"/>
        <v>0</v>
      </c>
      <c r="P50" s="272"/>
    </row>
    <row r="51" spans="2:17">
      <c r="B51" s="195" t="str">
        <f t="shared" si="6"/>
        <v/>
      </c>
      <c r="C51" s="507">
        <f>IF(D11="","-",+C50+1)</f>
        <v>2041</v>
      </c>
      <c r="D51" s="523">
        <f>IF(F50+SUM(E$17:E50)=D$10,F50,D$10-SUM(E$17:E50))</f>
        <v>46513.204781180306</v>
      </c>
      <c r="E51" s="522">
        <f>IF(+I14&lt;F50,I14,D51)</f>
        <v>4210.159090909091</v>
      </c>
      <c r="F51" s="523">
        <f t="shared" si="26"/>
        <v>42303.045690271218</v>
      </c>
      <c r="G51" s="524">
        <f t="shared" si="24"/>
        <v>9518.1349224685782</v>
      </c>
      <c r="H51" s="491">
        <f t="shared" si="25"/>
        <v>9518.1349224685782</v>
      </c>
      <c r="I51" s="511">
        <f t="shared" si="27"/>
        <v>0</v>
      </c>
      <c r="J51" s="511"/>
      <c r="K51" s="525"/>
      <c r="L51" s="514">
        <f t="shared" si="28"/>
        <v>0</v>
      </c>
      <c r="M51" s="525"/>
      <c r="N51" s="514">
        <f t="shared" si="29"/>
        <v>0</v>
      </c>
      <c r="O51" s="514">
        <f t="shared" si="30"/>
        <v>0</v>
      </c>
      <c r="P51" s="272"/>
    </row>
    <row r="52" spans="2:17">
      <c r="B52" s="195" t="str">
        <f t="shared" si="6"/>
        <v/>
      </c>
      <c r="C52" s="507">
        <f>IF(D11="","-",+C51+1)</f>
        <v>2042</v>
      </c>
      <c r="D52" s="523">
        <f>IF(F51+SUM(E$17:E51)=D$10,F51,D$10-SUM(E$17:E51))</f>
        <v>42303.045690271218</v>
      </c>
      <c r="E52" s="522">
        <f>IF(+I14&lt;F51,I14,D52)</f>
        <v>4210.159090909091</v>
      </c>
      <c r="F52" s="523">
        <f t="shared" si="26"/>
        <v>38092.886599362129</v>
      </c>
      <c r="G52" s="524">
        <f t="shared" si="24"/>
        <v>9014.906682525052</v>
      </c>
      <c r="H52" s="491">
        <f t="shared" si="25"/>
        <v>9014.906682525052</v>
      </c>
      <c r="I52" s="511">
        <f t="shared" si="27"/>
        <v>0</v>
      </c>
      <c r="J52" s="511"/>
      <c r="K52" s="525"/>
      <c r="L52" s="514">
        <f t="shared" si="28"/>
        <v>0</v>
      </c>
      <c r="M52" s="525"/>
      <c r="N52" s="514">
        <f t="shared" si="29"/>
        <v>0</v>
      </c>
      <c r="O52" s="514">
        <f t="shared" si="30"/>
        <v>0</v>
      </c>
      <c r="P52" s="272"/>
    </row>
    <row r="53" spans="2:17">
      <c r="B53" s="195" t="str">
        <f t="shared" si="6"/>
        <v/>
      </c>
      <c r="C53" s="507">
        <f>IF(D11="","-",+C52+1)</f>
        <v>2043</v>
      </c>
      <c r="D53" s="523">
        <f>IF(F52+SUM(E$17:E52)=D$10,F52,D$10-SUM(E$17:E52))</f>
        <v>38092.886599362129</v>
      </c>
      <c r="E53" s="522">
        <f>IF(+I14&lt;F52,I14,D53)</f>
        <v>4210.159090909091</v>
      </c>
      <c r="F53" s="523">
        <f t="shared" si="26"/>
        <v>33882.727508453041</v>
      </c>
      <c r="G53" s="524">
        <f t="shared" si="24"/>
        <v>8511.6784425815276</v>
      </c>
      <c r="H53" s="491">
        <f t="shared" si="25"/>
        <v>8511.6784425815276</v>
      </c>
      <c r="I53" s="511">
        <f t="shared" si="27"/>
        <v>0</v>
      </c>
      <c r="J53" s="511"/>
      <c r="K53" s="525"/>
      <c r="L53" s="514">
        <f t="shared" si="28"/>
        <v>0</v>
      </c>
      <c r="M53" s="525"/>
      <c r="N53" s="514">
        <f t="shared" si="29"/>
        <v>0</v>
      </c>
      <c r="O53" s="514">
        <f t="shared" si="30"/>
        <v>0</v>
      </c>
      <c r="P53" s="272"/>
    </row>
    <row r="54" spans="2:17">
      <c r="B54" s="195" t="str">
        <f t="shared" si="6"/>
        <v/>
      </c>
      <c r="C54" s="507">
        <f>IF(D11="","-",+C53+1)</f>
        <v>2044</v>
      </c>
      <c r="D54" s="523">
        <f>IF(F53+SUM(E$17:E53)=D$10,F53,D$10-SUM(E$17:E53))</f>
        <v>33882.727508453041</v>
      </c>
      <c r="E54" s="522">
        <f>IF(+I14&lt;F53,I14,D54)</f>
        <v>4210.159090909091</v>
      </c>
      <c r="F54" s="523">
        <f t="shared" si="26"/>
        <v>29672.568417543949</v>
      </c>
      <c r="G54" s="524">
        <f t="shared" si="24"/>
        <v>8008.4502026380032</v>
      </c>
      <c r="H54" s="491">
        <f t="shared" si="25"/>
        <v>8008.4502026380032</v>
      </c>
      <c r="I54" s="511">
        <f t="shared" si="27"/>
        <v>0</v>
      </c>
      <c r="J54" s="511"/>
      <c r="K54" s="525"/>
      <c r="L54" s="514">
        <f t="shared" si="28"/>
        <v>0</v>
      </c>
      <c r="M54" s="525"/>
      <c r="N54" s="514">
        <f t="shared" si="29"/>
        <v>0</v>
      </c>
      <c r="O54" s="514">
        <f t="shared" si="30"/>
        <v>0</v>
      </c>
      <c r="P54" s="272"/>
    </row>
    <row r="55" spans="2:17">
      <c r="B55" s="195" t="str">
        <f t="shared" si="6"/>
        <v/>
      </c>
      <c r="C55" s="507">
        <f>IF(D11="","-",+C54+1)</f>
        <v>2045</v>
      </c>
      <c r="D55" s="523">
        <f>IF(F54+SUM(E$17:E54)=D$10,F54,D$10-SUM(E$17:E54))</f>
        <v>29672.568417543949</v>
      </c>
      <c r="E55" s="522">
        <f>IF(+I14&lt;F54,I14,D55)</f>
        <v>4210.159090909091</v>
      </c>
      <c r="F55" s="523">
        <f t="shared" si="26"/>
        <v>25462.409326634857</v>
      </c>
      <c r="G55" s="524">
        <f t="shared" si="24"/>
        <v>7505.221962694478</v>
      </c>
      <c r="H55" s="491">
        <f t="shared" si="25"/>
        <v>7505.221962694478</v>
      </c>
      <c r="I55" s="511">
        <f t="shared" si="27"/>
        <v>0</v>
      </c>
      <c r="J55" s="511"/>
      <c r="K55" s="525"/>
      <c r="L55" s="514">
        <f t="shared" si="28"/>
        <v>0</v>
      </c>
      <c r="M55" s="525"/>
      <c r="N55" s="514">
        <f t="shared" si="29"/>
        <v>0</v>
      </c>
      <c r="O55" s="514">
        <f t="shared" si="30"/>
        <v>0</v>
      </c>
      <c r="P55" s="272"/>
    </row>
    <row r="56" spans="2:17">
      <c r="B56" s="195" t="str">
        <f t="shared" si="6"/>
        <v/>
      </c>
      <c r="C56" s="507">
        <f>IF(D11="","-",+C55+1)</f>
        <v>2046</v>
      </c>
      <c r="D56" s="523">
        <f>IF(F55+SUM(E$17:E55)=D$10,F55,D$10-SUM(E$17:E55))</f>
        <v>25462.409326634857</v>
      </c>
      <c r="E56" s="522">
        <f>IF(+I14&lt;F55,I14,D56)</f>
        <v>4210.159090909091</v>
      </c>
      <c r="F56" s="523">
        <f t="shared" si="26"/>
        <v>21252.250235725765</v>
      </c>
      <c r="G56" s="524">
        <f t="shared" si="24"/>
        <v>7001.9937227509527</v>
      </c>
      <c r="H56" s="491">
        <f t="shared" si="25"/>
        <v>7001.9937227509527</v>
      </c>
      <c r="I56" s="511">
        <f t="shared" si="27"/>
        <v>0</v>
      </c>
      <c r="J56" s="511"/>
      <c r="K56" s="525"/>
      <c r="L56" s="514">
        <f t="shared" si="28"/>
        <v>0</v>
      </c>
      <c r="M56" s="525"/>
      <c r="N56" s="514">
        <f t="shared" si="29"/>
        <v>0</v>
      </c>
      <c r="O56" s="514">
        <f t="shared" si="30"/>
        <v>0</v>
      </c>
      <c r="P56" s="272"/>
    </row>
    <row r="57" spans="2:17">
      <c r="B57" s="195" t="str">
        <f t="shared" si="6"/>
        <v/>
      </c>
      <c r="C57" s="507">
        <f>IF(D11="","-",+C56+1)</f>
        <v>2047</v>
      </c>
      <c r="D57" s="523">
        <f>IF(F56+SUM(E$17:E56)=D$10,F56,D$10-SUM(E$17:E56))</f>
        <v>21252.250235725765</v>
      </c>
      <c r="E57" s="522">
        <f>IF(+I14&lt;F56,I14,D57)</f>
        <v>4210.159090909091</v>
      </c>
      <c r="F57" s="523">
        <f t="shared" si="26"/>
        <v>17042.091144816673</v>
      </c>
      <c r="G57" s="524">
        <f t="shared" si="24"/>
        <v>6498.7654828074274</v>
      </c>
      <c r="H57" s="491">
        <f t="shared" si="25"/>
        <v>6498.7654828074274</v>
      </c>
      <c r="I57" s="511">
        <f t="shared" si="27"/>
        <v>0</v>
      </c>
      <c r="J57" s="511"/>
      <c r="K57" s="525"/>
      <c r="L57" s="514">
        <f t="shared" si="28"/>
        <v>0</v>
      </c>
      <c r="M57" s="525"/>
      <c r="N57" s="514">
        <f t="shared" si="29"/>
        <v>0</v>
      </c>
      <c r="O57" s="514">
        <f t="shared" si="30"/>
        <v>0</v>
      </c>
      <c r="P57" s="272"/>
    </row>
    <row r="58" spans="2:17">
      <c r="B58" s="195" t="str">
        <f t="shared" si="6"/>
        <v/>
      </c>
      <c r="C58" s="507">
        <f>IF(D11="","-",+C57+1)</f>
        <v>2048</v>
      </c>
      <c r="D58" s="523">
        <f>IF(F57+SUM(E$17:E57)=D$10,F57,D$10-SUM(E$17:E57))</f>
        <v>17042.091144816673</v>
      </c>
      <c r="E58" s="522">
        <f>IF(+I14&lt;F57,I14,D58)</f>
        <v>4210.159090909091</v>
      </c>
      <c r="F58" s="523">
        <f t="shared" si="26"/>
        <v>12831.932053907582</v>
      </c>
      <c r="G58" s="524">
        <f t="shared" si="24"/>
        <v>5995.5372428639021</v>
      </c>
      <c r="H58" s="491">
        <f t="shared" si="25"/>
        <v>5995.5372428639021</v>
      </c>
      <c r="I58" s="511">
        <f t="shared" si="27"/>
        <v>0</v>
      </c>
      <c r="J58" s="511"/>
      <c r="K58" s="525"/>
      <c r="L58" s="514">
        <f t="shared" si="28"/>
        <v>0</v>
      </c>
      <c r="M58" s="525"/>
      <c r="N58" s="514">
        <f t="shared" si="29"/>
        <v>0</v>
      </c>
      <c r="O58" s="514">
        <f t="shared" si="30"/>
        <v>0</v>
      </c>
      <c r="P58" s="272"/>
      <c r="Q58" s="183" t="str">
        <f>IF(ROUND(Q57,0)=ROUND(SUM(Q18:Q56),0),"","Error -- check allocations above).")</f>
        <v/>
      </c>
    </row>
    <row r="59" spans="2:17">
      <c r="B59" s="195" t="str">
        <f t="shared" si="6"/>
        <v/>
      </c>
      <c r="C59" s="507">
        <f>IF(D11="","-",+C58+1)</f>
        <v>2049</v>
      </c>
      <c r="D59" s="523">
        <f>IF(F58+SUM(E$17:E58)=D$10,F58,D$10-SUM(E$17:E58))</f>
        <v>12831.932053907582</v>
      </c>
      <c r="E59" s="522">
        <f>IF(+I14&lt;F58,I14,D59)</f>
        <v>4210.159090909091</v>
      </c>
      <c r="F59" s="523">
        <f t="shared" si="26"/>
        <v>8621.7729629984897</v>
      </c>
      <c r="G59" s="524">
        <f t="shared" si="24"/>
        <v>5492.3090029203777</v>
      </c>
      <c r="H59" s="491">
        <f t="shared" si="25"/>
        <v>5492.3090029203777</v>
      </c>
      <c r="I59" s="511">
        <f t="shared" si="27"/>
        <v>0</v>
      </c>
      <c r="J59" s="511"/>
      <c r="K59" s="525"/>
      <c r="L59" s="514">
        <f t="shared" si="28"/>
        <v>0</v>
      </c>
      <c r="M59" s="525"/>
      <c r="N59" s="514">
        <f t="shared" si="29"/>
        <v>0</v>
      </c>
      <c r="O59" s="514">
        <f t="shared" si="30"/>
        <v>0</v>
      </c>
      <c r="P59" s="272"/>
    </row>
    <row r="60" spans="2:17">
      <c r="B60" s="195" t="str">
        <f t="shared" si="6"/>
        <v/>
      </c>
      <c r="C60" s="507">
        <f>IF(D11="","-",+C59+1)</f>
        <v>2050</v>
      </c>
      <c r="D60" s="523">
        <f>IF(F59+SUM(E$17:E59)=D$10,F59,D$10-SUM(E$17:E59))</f>
        <v>8621.7729629984897</v>
      </c>
      <c r="E60" s="522">
        <f>IF(+I14&lt;F59,I14,D60)</f>
        <v>4210.159090909091</v>
      </c>
      <c r="F60" s="523">
        <f t="shared" si="26"/>
        <v>4411.6138720893987</v>
      </c>
      <c r="G60" s="524">
        <f t="shared" si="24"/>
        <v>4989.0807629768524</v>
      </c>
      <c r="H60" s="491">
        <f t="shared" si="25"/>
        <v>4989.0807629768524</v>
      </c>
      <c r="I60" s="511">
        <f t="shared" si="27"/>
        <v>0</v>
      </c>
      <c r="J60" s="511"/>
      <c r="K60" s="525"/>
      <c r="L60" s="514">
        <f t="shared" si="28"/>
        <v>0</v>
      </c>
      <c r="M60" s="525"/>
      <c r="N60" s="514">
        <f t="shared" si="29"/>
        <v>0</v>
      </c>
      <c r="O60" s="514">
        <f t="shared" si="30"/>
        <v>0</v>
      </c>
      <c r="P60" s="272"/>
    </row>
    <row r="61" spans="2:17">
      <c r="B61" s="195" t="str">
        <f t="shared" si="6"/>
        <v/>
      </c>
      <c r="C61" s="507">
        <f>IF(D11="","-",+C60+1)</f>
        <v>2051</v>
      </c>
      <c r="D61" s="523">
        <f>IF(F60+SUM(E$17:E60)=D$10,F60,D$10-SUM(E$17:E60))</f>
        <v>4411.6138720893987</v>
      </c>
      <c r="E61" s="522">
        <f>IF(+I14&lt;F60,I14,D61)</f>
        <v>4210.159090909091</v>
      </c>
      <c r="F61" s="523">
        <f t="shared" si="26"/>
        <v>201.45478118030769</v>
      </c>
      <c r="G61" s="526">
        <f t="shared" si="24"/>
        <v>4485.8525230333271</v>
      </c>
      <c r="H61" s="491">
        <f t="shared" si="25"/>
        <v>4485.8525230333271</v>
      </c>
      <c r="I61" s="511">
        <f t="shared" si="27"/>
        <v>0</v>
      </c>
      <c r="J61" s="511"/>
      <c r="K61" s="525"/>
      <c r="L61" s="514">
        <f t="shared" si="28"/>
        <v>0</v>
      </c>
      <c r="M61" s="525"/>
      <c r="N61" s="514">
        <f t="shared" si="29"/>
        <v>0</v>
      </c>
      <c r="O61" s="514">
        <f t="shared" si="30"/>
        <v>0</v>
      </c>
      <c r="P61" s="272"/>
    </row>
    <row r="62" spans="2:17">
      <c r="B62" s="195" t="str">
        <f t="shared" si="6"/>
        <v/>
      </c>
      <c r="C62" s="507">
        <f>IF(D11="","-",+C61+1)</f>
        <v>2052</v>
      </c>
      <c r="D62" s="523">
        <f>IF(F61+SUM(E$17:E61)=D$10,F61,D$10-SUM(E$17:E61))</f>
        <v>201.45478118030769</v>
      </c>
      <c r="E62" s="522">
        <f>IF(+I14&lt;F61,I14,D62)</f>
        <v>201.45478118030769</v>
      </c>
      <c r="F62" s="523">
        <f t="shared" si="26"/>
        <v>0</v>
      </c>
      <c r="G62" s="526">
        <f t="shared" si="24"/>
        <v>213.49443725654447</v>
      </c>
      <c r="H62" s="491">
        <f t="shared" si="25"/>
        <v>213.49443725654447</v>
      </c>
      <c r="I62" s="511">
        <f t="shared" si="27"/>
        <v>0</v>
      </c>
      <c r="J62" s="511"/>
      <c r="K62" s="525"/>
      <c r="L62" s="514">
        <f t="shared" si="28"/>
        <v>0</v>
      </c>
      <c r="M62" s="525"/>
      <c r="N62" s="514">
        <f t="shared" si="29"/>
        <v>0</v>
      </c>
      <c r="O62" s="514">
        <f t="shared" si="30"/>
        <v>0</v>
      </c>
      <c r="P62" s="272"/>
    </row>
    <row r="63" spans="2:17">
      <c r="B63" s="195" t="str">
        <f t="shared" si="6"/>
        <v/>
      </c>
      <c r="C63" s="507">
        <f>IF(D11="","-",+C62+1)</f>
        <v>2053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26"/>
        <v>0</v>
      </c>
      <c r="G63" s="526">
        <f t="shared" si="24"/>
        <v>0</v>
      </c>
      <c r="H63" s="491">
        <f t="shared" si="25"/>
        <v>0</v>
      </c>
      <c r="I63" s="511">
        <f t="shared" si="27"/>
        <v>0</v>
      </c>
      <c r="J63" s="511"/>
      <c r="K63" s="525"/>
      <c r="L63" s="514">
        <f t="shared" si="28"/>
        <v>0</v>
      </c>
      <c r="M63" s="525"/>
      <c r="N63" s="514">
        <f t="shared" si="29"/>
        <v>0</v>
      </c>
      <c r="O63" s="514">
        <f t="shared" si="30"/>
        <v>0</v>
      </c>
      <c r="P63" s="272"/>
    </row>
    <row r="64" spans="2:17">
      <c r="B64" s="195" t="str">
        <f t="shared" si="6"/>
        <v/>
      </c>
      <c r="C64" s="507">
        <f>IF(D11="","-",+C63+1)</f>
        <v>2054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26"/>
        <v>0</v>
      </c>
      <c r="G64" s="526">
        <f t="shared" si="24"/>
        <v>0</v>
      </c>
      <c r="H64" s="491">
        <f t="shared" si="25"/>
        <v>0</v>
      </c>
      <c r="I64" s="511">
        <f t="shared" si="27"/>
        <v>0</v>
      </c>
      <c r="J64" s="511"/>
      <c r="K64" s="525"/>
      <c r="L64" s="514">
        <f t="shared" si="28"/>
        <v>0</v>
      </c>
      <c r="M64" s="525"/>
      <c r="N64" s="514">
        <f t="shared" si="29"/>
        <v>0</v>
      </c>
      <c r="O64" s="514">
        <f t="shared" si="30"/>
        <v>0</v>
      </c>
      <c r="P64" s="272"/>
    </row>
    <row r="65" spans="1:16">
      <c r="B65" s="195" t="str">
        <f t="shared" si="6"/>
        <v/>
      </c>
      <c r="C65" s="507">
        <f>IF(D11="","-",+C64+1)</f>
        <v>2055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26"/>
        <v>0</v>
      </c>
      <c r="G65" s="526">
        <f t="shared" si="24"/>
        <v>0</v>
      </c>
      <c r="H65" s="491">
        <f t="shared" si="25"/>
        <v>0</v>
      </c>
      <c r="I65" s="511">
        <f t="shared" si="27"/>
        <v>0</v>
      </c>
      <c r="J65" s="511"/>
      <c r="K65" s="525"/>
      <c r="L65" s="514">
        <f t="shared" si="28"/>
        <v>0</v>
      </c>
      <c r="M65" s="525"/>
      <c r="N65" s="514">
        <f t="shared" si="29"/>
        <v>0</v>
      </c>
      <c r="O65" s="514">
        <f t="shared" si="30"/>
        <v>0</v>
      </c>
      <c r="P65" s="272"/>
    </row>
    <row r="66" spans="1:16">
      <c r="B66" s="195" t="str">
        <f t="shared" si="6"/>
        <v/>
      </c>
      <c r="C66" s="507">
        <f>IF(D11="","-",+C65+1)</f>
        <v>2056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26"/>
        <v>0</v>
      </c>
      <c r="G66" s="526">
        <f t="shared" si="24"/>
        <v>0</v>
      </c>
      <c r="H66" s="491">
        <f t="shared" si="25"/>
        <v>0</v>
      </c>
      <c r="I66" s="511">
        <f t="shared" si="27"/>
        <v>0</v>
      </c>
      <c r="J66" s="511"/>
      <c r="K66" s="525"/>
      <c r="L66" s="514">
        <f t="shared" si="28"/>
        <v>0</v>
      </c>
      <c r="M66" s="525"/>
      <c r="N66" s="514">
        <f t="shared" si="29"/>
        <v>0</v>
      </c>
      <c r="O66" s="514">
        <f t="shared" si="30"/>
        <v>0</v>
      </c>
      <c r="P66" s="272"/>
    </row>
    <row r="67" spans="1:16">
      <c r="B67" s="195" t="str">
        <f t="shared" si="6"/>
        <v/>
      </c>
      <c r="C67" s="507">
        <f>IF(D11="","-",+C66+1)</f>
        <v>2057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26"/>
        <v>0</v>
      </c>
      <c r="G67" s="526">
        <f t="shared" si="24"/>
        <v>0</v>
      </c>
      <c r="H67" s="491">
        <f t="shared" si="25"/>
        <v>0</v>
      </c>
      <c r="I67" s="511">
        <f t="shared" si="27"/>
        <v>0</v>
      </c>
      <c r="J67" s="511"/>
      <c r="K67" s="525"/>
      <c r="L67" s="514">
        <f t="shared" si="28"/>
        <v>0</v>
      </c>
      <c r="M67" s="525"/>
      <c r="N67" s="514">
        <f t="shared" si="29"/>
        <v>0</v>
      </c>
      <c r="O67" s="514">
        <f t="shared" si="30"/>
        <v>0</v>
      </c>
      <c r="P67" s="272"/>
    </row>
    <row r="68" spans="1:16">
      <c r="B68" s="195" t="str">
        <f t="shared" si="6"/>
        <v/>
      </c>
      <c r="C68" s="507">
        <f>IF(D11="","-",+C67+1)</f>
        <v>2058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26"/>
        <v>0</v>
      </c>
      <c r="G68" s="526">
        <f t="shared" si="24"/>
        <v>0</v>
      </c>
      <c r="H68" s="491">
        <f t="shared" si="25"/>
        <v>0</v>
      </c>
      <c r="I68" s="511">
        <f t="shared" si="27"/>
        <v>0</v>
      </c>
      <c r="J68" s="511"/>
      <c r="K68" s="525"/>
      <c r="L68" s="514">
        <f t="shared" si="28"/>
        <v>0</v>
      </c>
      <c r="M68" s="525"/>
      <c r="N68" s="514">
        <f t="shared" si="29"/>
        <v>0</v>
      </c>
      <c r="O68" s="514">
        <f t="shared" si="30"/>
        <v>0</v>
      </c>
      <c r="P68" s="272"/>
    </row>
    <row r="69" spans="1:16">
      <c r="B69" s="195" t="str">
        <f t="shared" si="6"/>
        <v/>
      </c>
      <c r="C69" s="507">
        <f>IF(D11="","-",+C68+1)</f>
        <v>2059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26"/>
        <v>0</v>
      </c>
      <c r="G69" s="526">
        <f t="shared" si="24"/>
        <v>0</v>
      </c>
      <c r="H69" s="491">
        <f t="shared" si="25"/>
        <v>0</v>
      </c>
      <c r="I69" s="511">
        <f t="shared" si="27"/>
        <v>0</v>
      </c>
      <c r="J69" s="511"/>
      <c r="K69" s="525"/>
      <c r="L69" s="514">
        <f t="shared" si="28"/>
        <v>0</v>
      </c>
      <c r="M69" s="525"/>
      <c r="N69" s="514">
        <f t="shared" si="29"/>
        <v>0</v>
      </c>
      <c r="O69" s="514">
        <f t="shared" si="30"/>
        <v>0</v>
      </c>
      <c r="P69" s="272"/>
    </row>
    <row r="70" spans="1:16">
      <c r="B70" s="195" t="str">
        <f t="shared" si="6"/>
        <v/>
      </c>
      <c r="C70" s="507">
        <f>IF(D11="","-",+C69+1)</f>
        <v>2060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26"/>
        <v>0</v>
      </c>
      <c r="G70" s="526">
        <f t="shared" si="24"/>
        <v>0</v>
      </c>
      <c r="H70" s="491">
        <f t="shared" si="25"/>
        <v>0</v>
      </c>
      <c r="I70" s="511">
        <f t="shared" si="27"/>
        <v>0</v>
      </c>
      <c r="J70" s="511"/>
      <c r="K70" s="525"/>
      <c r="L70" s="514">
        <f t="shared" si="28"/>
        <v>0</v>
      </c>
      <c r="M70" s="525"/>
      <c r="N70" s="514">
        <f t="shared" si="29"/>
        <v>0</v>
      </c>
      <c r="O70" s="514">
        <f t="shared" si="30"/>
        <v>0</v>
      </c>
      <c r="P70" s="272"/>
    </row>
    <row r="71" spans="1:16">
      <c r="B71" s="195" t="str">
        <f t="shared" si="6"/>
        <v/>
      </c>
      <c r="C71" s="507">
        <f>IF(D11="","-",+C70+1)</f>
        <v>2061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26"/>
        <v>0</v>
      </c>
      <c r="G71" s="526">
        <f t="shared" si="24"/>
        <v>0</v>
      </c>
      <c r="H71" s="491">
        <f t="shared" si="25"/>
        <v>0</v>
      </c>
      <c r="I71" s="511">
        <f t="shared" si="27"/>
        <v>0</v>
      </c>
      <c r="J71" s="511"/>
      <c r="K71" s="525"/>
      <c r="L71" s="514">
        <f t="shared" si="28"/>
        <v>0</v>
      </c>
      <c r="M71" s="525"/>
      <c r="N71" s="514">
        <f t="shared" si="29"/>
        <v>0</v>
      </c>
      <c r="O71" s="514">
        <f t="shared" si="30"/>
        <v>0</v>
      </c>
      <c r="P71" s="272"/>
    </row>
    <row r="72" spans="1:16" ht="13.5" thickBot="1">
      <c r="B72" s="195" t="str">
        <f t="shared" si="6"/>
        <v/>
      </c>
      <c r="C72" s="527">
        <f>IF(D11="","-",+C71+1)</f>
        <v>2062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26"/>
        <v>0</v>
      </c>
      <c r="G72" s="530">
        <f t="shared" si="24"/>
        <v>0</v>
      </c>
      <c r="H72" s="471">
        <f t="shared" si="25"/>
        <v>0</v>
      </c>
      <c r="I72" s="531">
        <f t="shared" si="27"/>
        <v>0</v>
      </c>
      <c r="J72" s="511"/>
      <c r="K72" s="532"/>
      <c r="L72" s="533">
        <f t="shared" si="28"/>
        <v>0</v>
      </c>
      <c r="M72" s="532"/>
      <c r="N72" s="533">
        <f t="shared" si="29"/>
        <v>0</v>
      </c>
      <c r="O72" s="533">
        <f t="shared" si="30"/>
        <v>0</v>
      </c>
      <c r="P72" s="272"/>
    </row>
    <row r="73" spans="1:16">
      <c r="C73" s="374" t="s">
        <v>78</v>
      </c>
      <c r="D73" s="375"/>
      <c r="E73" s="375">
        <f>SUM(E17:E72)</f>
        <v>185246.99999999997</v>
      </c>
      <c r="F73" s="375"/>
      <c r="G73" s="375">
        <f>SUM(G17:G72)</f>
        <v>660289.26709075086</v>
      </c>
      <c r="H73" s="375">
        <f>SUM(H17:H72)</f>
        <v>660289.26709075086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1:16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1:16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1:16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1:16" ht="18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535"/>
      <c r="P77" s="272"/>
    </row>
    <row r="78" spans="1:16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1:16" ht="15">
      <c r="A79" s="536"/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</row>
    <row r="80" spans="1:16" ht="18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7">
      <c r="B81" s="269"/>
      <c r="C81" s="537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7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  <c r="Q82" s="269"/>
    </row>
    <row r="83" spans="1:17" ht="20.25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535" t="str">
        <f ca="1">P1</f>
        <v>SWEPCO Project 12 of 75</v>
      </c>
      <c r="Q83" s="269"/>
    </row>
    <row r="84" spans="1:17" ht="18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454" t="s">
        <v>128</v>
      </c>
      <c r="Q84" s="269"/>
    </row>
    <row r="85" spans="1:17" ht="18.7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  <c r="Q85" s="269"/>
    </row>
    <row r="86" spans="1:17" ht="15.75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2022</v>
      </c>
      <c r="M86" s="541" t="s">
        <v>9</v>
      </c>
      <c r="N86" s="542" t="s">
        <v>159</v>
      </c>
      <c r="O86" s="543" t="s">
        <v>11</v>
      </c>
      <c r="P86" s="269"/>
      <c r="Q86" s="269"/>
    </row>
    <row r="87" spans="1:17" ht="1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391</v>
      </c>
      <c r="M87" s="546">
        <f>IF(J92&lt;D11,0,VLOOKUP(J92,C17:O72,9))</f>
        <v>18432.632415110242</v>
      </c>
      <c r="N87" s="546">
        <f>IF(J92&lt;D11,0,VLOOKUP(J92,C17:O72,11))</f>
        <v>18432.632415110242</v>
      </c>
      <c r="O87" s="547">
        <f>+N87-M87</f>
        <v>0</v>
      </c>
      <c r="P87" s="269"/>
      <c r="Q87" s="269"/>
    </row>
    <row r="88" spans="1:17" ht="15.7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392</v>
      </c>
      <c r="M88" s="550">
        <f>IF(J92&lt;D11,0,VLOOKUP(J92,C99:P154,6))</f>
        <v>18813.201080680341</v>
      </c>
      <c r="N88" s="550">
        <f>IF(J92&lt;D11,0,VLOOKUP(J92,C99:P154,7))</f>
        <v>18813.201080680341</v>
      </c>
      <c r="O88" s="551">
        <f>+N88-M88</f>
        <v>0</v>
      </c>
      <c r="P88" s="269"/>
      <c r="Q88" s="269"/>
    </row>
    <row r="89" spans="1:17" ht="13.5" thickBot="1">
      <c r="C89" s="467" t="s">
        <v>84</v>
      </c>
      <c r="D89" s="552" t="str">
        <f>+D7</f>
        <v>Knox Lee - Oak Hill #2 138 kV line, S. Shreveport  (SWE Minor Proj II)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380.56866557009926</v>
      </c>
      <c r="N89" s="555">
        <f>+N88-N87</f>
        <v>380.56866557009926</v>
      </c>
      <c r="O89" s="556">
        <f>+O88-O87</f>
        <v>0</v>
      </c>
      <c r="P89" s="269"/>
      <c r="Q89" s="269"/>
    </row>
    <row r="90" spans="1:17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  <c r="Q90" s="269"/>
    </row>
    <row r="91" spans="1:17" ht="13.5" thickBot="1">
      <c r="A91" s="191"/>
      <c r="C91" s="558" t="s">
        <v>85</v>
      </c>
      <c r="D91" s="559" t="str">
        <f>+D9</f>
        <v>TP2004036</v>
      </c>
      <c r="E91" s="560"/>
      <c r="F91" s="560"/>
      <c r="G91" s="560"/>
      <c r="H91" s="560"/>
      <c r="I91" s="560"/>
      <c r="J91" s="561"/>
      <c r="K91" s="562"/>
      <c r="P91" s="481"/>
      <c r="Q91" s="269"/>
    </row>
    <row r="92" spans="1:17">
      <c r="C92" s="486" t="s">
        <v>51</v>
      </c>
      <c r="D92" s="483">
        <v>185247</v>
      </c>
      <c r="E92" s="340" t="s">
        <v>86</v>
      </c>
      <c r="H92" s="484"/>
      <c r="I92" s="484"/>
      <c r="J92" s="485">
        <f>+'SWE.WS.G.BPU.ATRR.True-up'!M16</f>
        <v>2022</v>
      </c>
      <c r="K92" s="480"/>
      <c r="L92" s="375" t="s">
        <v>87</v>
      </c>
      <c r="P92" s="272"/>
      <c r="Q92" s="269"/>
    </row>
    <row r="93" spans="1:17">
      <c r="C93" s="486" t="s">
        <v>54</v>
      </c>
      <c r="D93" s="563">
        <f>IF(D11=I10,"",D11)</f>
        <v>2007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  <c r="Q93" s="269"/>
    </row>
    <row r="94" spans="1:17">
      <c r="C94" s="486" t="s">
        <v>56</v>
      </c>
      <c r="D94" s="564">
        <f>IF(D11=I10,"",D12)</f>
        <v>7</v>
      </c>
      <c r="E94" s="486" t="s">
        <v>57</v>
      </c>
      <c r="F94" s="484"/>
      <c r="G94" s="484"/>
      <c r="J94" s="490">
        <f>'SWE.WS.G.BPU.ATRR.True-up'!$F$81</f>
        <v>0.11351422637179906</v>
      </c>
      <c r="K94" s="425"/>
      <c r="L94" s="183" t="s">
        <v>88</v>
      </c>
      <c r="P94" s="272"/>
      <c r="Q94" s="269"/>
    </row>
    <row r="95" spans="1:17">
      <c r="C95" s="486" t="s">
        <v>59</v>
      </c>
      <c r="D95" s="488">
        <f>'SWE.WS.G.BPU.ATRR.True-up'!F$93</f>
        <v>41</v>
      </c>
      <c r="E95" s="486" t="s">
        <v>60</v>
      </c>
      <c r="F95" s="484"/>
      <c r="G95" s="484"/>
      <c r="J95" s="490">
        <f>IF(H87="",J94,'SWE.WS.G.BPU.ATRR.True-up'!$F$80)</f>
        <v>0.11351422637179906</v>
      </c>
      <c r="K95" s="324"/>
      <c r="L95" s="375" t="s">
        <v>61</v>
      </c>
      <c r="M95" s="324"/>
      <c r="N95" s="324"/>
      <c r="O95" s="324"/>
      <c r="P95" s="272"/>
      <c r="Q95" s="269"/>
    </row>
    <row r="96" spans="1:17" ht="13.5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4518.2195121951218</v>
      </c>
      <c r="K96" s="375"/>
      <c r="L96" s="375"/>
      <c r="M96" s="375"/>
      <c r="N96" s="375"/>
      <c r="O96" s="375"/>
      <c r="P96" s="272"/>
      <c r="Q96" s="269"/>
    </row>
    <row r="97" spans="1:17" ht="38.25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388</v>
      </c>
      <c r="I97" s="495" t="s">
        <v>389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  <c r="Q97" s="269"/>
    </row>
    <row r="98" spans="1:17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  <c r="Q98" s="269"/>
    </row>
    <row r="99" spans="1:17">
      <c r="C99" s="507">
        <f>IF(D93= "","-",D93)</f>
        <v>2007</v>
      </c>
      <c r="D99" s="508">
        <v>0</v>
      </c>
      <c r="E99" s="516">
        <v>868</v>
      </c>
      <c r="F99" s="515">
        <v>76222</v>
      </c>
      <c r="G99" s="574">
        <v>38111</v>
      </c>
      <c r="H99" s="575">
        <v>0</v>
      </c>
      <c r="I99" s="576">
        <v>0</v>
      </c>
      <c r="J99" s="514">
        <f t="shared" ref="J99:J130" si="31">+I99-H99</f>
        <v>0</v>
      </c>
      <c r="K99" s="514"/>
      <c r="L99" s="512">
        <v>0</v>
      </c>
      <c r="M99" s="597">
        <f t="shared" ref="M99:M130" si="32">IF(L99&lt;&gt;0,+H99-L99,0)</f>
        <v>0</v>
      </c>
      <c r="N99" s="512">
        <v>0</v>
      </c>
      <c r="O99" s="597">
        <f t="shared" ref="O99:O130" si="33">IF(N99&lt;&gt;0,+I99-N99,0)</f>
        <v>0</v>
      </c>
      <c r="P99" s="597">
        <f t="shared" ref="P99:P130" si="34">+O99-M99</f>
        <v>0</v>
      </c>
      <c r="Q99" s="269"/>
    </row>
    <row r="100" spans="1:17">
      <c r="B100" s="195" t="str">
        <f>IF(D100=F99,"","IU")</f>
        <v>IU</v>
      </c>
      <c r="C100" s="507">
        <f>IF(D93="","-",+C99+1)</f>
        <v>2008</v>
      </c>
      <c r="D100" s="508">
        <v>122650</v>
      </c>
      <c r="E100" s="516">
        <v>3353</v>
      </c>
      <c r="F100" s="515">
        <v>119297</v>
      </c>
      <c r="G100" s="515">
        <v>120973.5</v>
      </c>
      <c r="H100" s="516">
        <v>22636</v>
      </c>
      <c r="I100" s="510">
        <v>22636</v>
      </c>
      <c r="J100" s="514">
        <f t="shared" si="31"/>
        <v>0</v>
      </c>
      <c r="K100" s="514"/>
      <c r="L100" s="518">
        <v>22636</v>
      </c>
      <c r="M100" s="514">
        <f t="shared" si="32"/>
        <v>0</v>
      </c>
      <c r="N100" s="518">
        <v>22636</v>
      </c>
      <c r="O100" s="514">
        <f t="shared" si="33"/>
        <v>0</v>
      </c>
      <c r="P100" s="514">
        <f t="shared" si="34"/>
        <v>0</v>
      </c>
      <c r="Q100" s="269"/>
    </row>
    <row r="101" spans="1:17">
      <c r="B101" s="195"/>
      <c r="C101" s="507">
        <f>IF(D93="","-",+C100+1)</f>
        <v>2009</v>
      </c>
      <c r="D101" s="508">
        <v>119826</v>
      </c>
      <c r="E101" s="516">
        <v>3264</v>
      </c>
      <c r="F101" s="515">
        <v>116561</v>
      </c>
      <c r="G101" s="515">
        <v>118193</v>
      </c>
      <c r="H101" s="516">
        <v>20371</v>
      </c>
      <c r="I101" s="510">
        <v>20371</v>
      </c>
      <c r="J101" s="514">
        <f t="shared" si="31"/>
        <v>0</v>
      </c>
      <c r="K101" s="514"/>
      <c r="L101" s="518">
        <f t="shared" ref="L101:L106" si="35">H101</f>
        <v>20371</v>
      </c>
      <c r="M101" s="519">
        <f t="shared" si="32"/>
        <v>0</v>
      </c>
      <c r="N101" s="518">
        <f t="shared" ref="N101:N106" si="36">I101</f>
        <v>20371</v>
      </c>
      <c r="O101" s="514">
        <f t="shared" si="33"/>
        <v>0</v>
      </c>
      <c r="P101" s="514">
        <f t="shared" si="34"/>
        <v>0</v>
      </c>
      <c r="Q101" s="269"/>
    </row>
    <row r="102" spans="1:17">
      <c r="B102" s="195" t="str">
        <f t="shared" ref="B102:B154" si="37">IF(D102=F101,"","IU")</f>
        <v>IU</v>
      </c>
      <c r="C102" s="507">
        <f>IF(D93="","-",+C101+1)</f>
        <v>2010</v>
      </c>
      <c r="D102" s="508">
        <v>177762</v>
      </c>
      <c r="E102" s="516">
        <v>4518.2195121951218</v>
      </c>
      <c r="F102" s="515">
        <v>173243.78048780488</v>
      </c>
      <c r="G102" s="515">
        <v>175502.89024390245</v>
      </c>
      <c r="H102" s="516">
        <v>33491.304062009942</v>
      </c>
      <c r="I102" s="510">
        <v>33491.304062009942</v>
      </c>
      <c r="J102" s="514">
        <f t="shared" si="31"/>
        <v>0</v>
      </c>
      <c r="K102" s="514"/>
      <c r="L102" s="518">
        <f t="shared" si="35"/>
        <v>33491.304062009942</v>
      </c>
      <c r="M102" s="519">
        <f t="shared" si="32"/>
        <v>0</v>
      </c>
      <c r="N102" s="518">
        <f t="shared" si="36"/>
        <v>33491.304062009942</v>
      </c>
      <c r="O102" s="514">
        <f t="shared" si="33"/>
        <v>0</v>
      </c>
      <c r="P102" s="514">
        <f t="shared" si="34"/>
        <v>0</v>
      </c>
      <c r="Q102" s="269"/>
    </row>
    <row r="103" spans="1:17">
      <c r="B103" s="195" t="str">
        <f t="shared" si="37"/>
        <v/>
      </c>
      <c r="C103" s="507">
        <f>IF(D93="","-",+C102+1)</f>
        <v>2011</v>
      </c>
      <c r="D103" s="508">
        <v>173243.78048780488</v>
      </c>
      <c r="E103" s="520">
        <v>4410.6428571428569</v>
      </c>
      <c r="F103" s="515">
        <v>168833.13763066201</v>
      </c>
      <c r="G103" s="515">
        <v>171038.45905923343</v>
      </c>
      <c r="H103" s="516">
        <v>30131.389443457461</v>
      </c>
      <c r="I103" s="510">
        <v>30131.389443457461</v>
      </c>
      <c r="J103" s="514">
        <f t="shared" si="31"/>
        <v>0</v>
      </c>
      <c r="K103" s="514"/>
      <c r="L103" s="518">
        <f t="shared" si="35"/>
        <v>30131.389443457461</v>
      </c>
      <c r="M103" s="519">
        <f t="shared" si="32"/>
        <v>0</v>
      </c>
      <c r="N103" s="518">
        <f t="shared" si="36"/>
        <v>30131.389443457461</v>
      </c>
      <c r="O103" s="514">
        <f t="shared" si="33"/>
        <v>0</v>
      </c>
      <c r="P103" s="514">
        <f t="shared" si="34"/>
        <v>0</v>
      </c>
      <c r="Q103" s="269"/>
    </row>
    <row r="104" spans="1:17">
      <c r="B104" s="195" t="str">
        <f t="shared" si="37"/>
        <v/>
      </c>
      <c r="C104" s="507">
        <f>IF(D93="","-",+C103+1)</f>
        <v>2012</v>
      </c>
      <c r="D104" s="508">
        <v>168833.13763066201</v>
      </c>
      <c r="E104" s="516">
        <v>4410.6428571428569</v>
      </c>
      <c r="F104" s="515">
        <v>164422.49477351914</v>
      </c>
      <c r="G104" s="515">
        <v>166627.81620209059</v>
      </c>
      <c r="H104" s="516">
        <v>28930.581157886962</v>
      </c>
      <c r="I104" s="510">
        <v>28930.581157886962</v>
      </c>
      <c r="J104" s="514">
        <f t="shared" si="31"/>
        <v>0</v>
      </c>
      <c r="K104" s="514"/>
      <c r="L104" s="518">
        <f t="shared" si="35"/>
        <v>28930.581157886962</v>
      </c>
      <c r="M104" s="519">
        <f t="shared" si="32"/>
        <v>0</v>
      </c>
      <c r="N104" s="518">
        <f t="shared" si="36"/>
        <v>28930.581157886962</v>
      </c>
      <c r="O104" s="514">
        <f t="shared" si="33"/>
        <v>0</v>
      </c>
      <c r="P104" s="514">
        <f t="shared" si="34"/>
        <v>0</v>
      </c>
      <c r="Q104" s="269"/>
    </row>
    <row r="105" spans="1:17">
      <c r="B105" s="195" t="str">
        <f t="shared" si="37"/>
        <v/>
      </c>
      <c r="C105" s="507">
        <f>IF(D93="","-",+C104+1)</f>
        <v>2013</v>
      </c>
      <c r="D105" s="508">
        <v>164422.49477351914</v>
      </c>
      <c r="E105" s="516">
        <v>4410.6428571428569</v>
      </c>
      <c r="F105" s="515">
        <v>160011.85191637627</v>
      </c>
      <c r="G105" s="515">
        <v>162217.17334494769</v>
      </c>
      <c r="H105" s="516">
        <v>26357.280382807578</v>
      </c>
      <c r="I105" s="510">
        <v>26357.280382807578</v>
      </c>
      <c r="J105" s="514">
        <v>0</v>
      </c>
      <c r="K105" s="514"/>
      <c r="L105" s="518">
        <f t="shared" si="35"/>
        <v>26357.280382807578</v>
      </c>
      <c r="M105" s="519">
        <f t="shared" ref="M105:M110" si="38">IF(L105&lt;&gt;0,+H105-L105,0)</f>
        <v>0</v>
      </c>
      <c r="N105" s="518">
        <f t="shared" si="36"/>
        <v>26357.280382807578</v>
      </c>
      <c r="O105" s="514">
        <f t="shared" ref="O105:O110" si="39">IF(N105&lt;&gt;0,+I105-N105,0)</f>
        <v>0</v>
      </c>
      <c r="P105" s="514">
        <f t="shared" ref="P105:P110" si="40">+O105-M105</f>
        <v>0</v>
      </c>
      <c r="Q105" s="269"/>
    </row>
    <row r="106" spans="1:17">
      <c r="B106" s="195" t="str">
        <f t="shared" si="37"/>
        <v/>
      </c>
      <c r="C106" s="507">
        <f>IF(D93="","-",+C105+1)</f>
        <v>2014</v>
      </c>
      <c r="D106" s="508">
        <v>160011.85191637627</v>
      </c>
      <c r="E106" s="516">
        <v>4410.6428571428569</v>
      </c>
      <c r="F106" s="515">
        <v>155601.2090592334</v>
      </c>
      <c r="G106" s="515">
        <v>157806.53048780485</v>
      </c>
      <c r="H106" s="516">
        <v>25860.252454473681</v>
      </c>
      <c r="I106" s="510">
        <v>25860.252454473681</v>
      </c>
      <c r="J106" s="514">
        <v>0</v>
      </c>
      <c r="K106" s="514"/>
      <c r="L106" s="518">
        <f t="shared" si="35"/>
        <v>25860.252454473681</v>
      </c>
      <c r="M106" s="519">
        <f t="shared" si="38"/>
        <v>0</v>
      </c>
      <c r="N106" s="518">
        <f t="shared" si="36"/>
        <v>25860.252454473681</v>
      </c>
      <c r="O106" s="514">
        <f t="shared" si="39"/>
        <v>0</v>
      </c>
      <c r="P106" s="514">
        <f t="shared" si="40"/>
        <v>0</v>
      </c>
      <c r="Q106" s="269"/>
    </row>
    <row r="107" spans="1:17">
      <c r="B107" s="195" t="str">
        <f t="shared" si="37"/>
        <v/>
      </c>
      <c r="C107" s="507">
        <f>IF(D93="","-",+C106+1)</f>
        <v>2015</v>
      </c>
      <c r="D107" s="508">
        <v>155601.2090592334</v>
      </c>
      <c r="E107" s="516">
        <v>4410.6428571428569</v>
      </c>
      <c r="F107" s="515">
        <v>151190.56620209053</v>
      </c>
      <c r="G107" s="515">
        <v>153395.88763066195</v>
      </c>
      <c r="H107" s="516">
        <v>24623.446840873446</v>
      </c>
      <c r="I107" s="510">
        <v>24623.446840873446</v>
      </c>
      <c r="J107" s="514">
        <f t="shared" si="31"/>
        <v>0</v>
      </c>
      <c r="K107" s="514"/>
      <c r="L107" s="518">
        <f t="shared" ref="L107:L112" si="41">H107</f>
        <v>24623.446840873446</v>
      </c>
      <c r="M107" s="519">
        <f t="shared" si="38"/>
        <v>0</v>
      </c>
      <c r="N107" s="518">
        <f t="shared" ref="N107:N112" si="42">I107</f>
        <v>24623.446840873446</v>
      </c>
      <c r="O107" s="514">
        <f t="shared" si="39"/>
        <v>0</v>
      </c>
      <c r="P107" s="514">
        <f t="shared" si="40"/>
        <v>0</v>
      </c>
      <c r="Q107" s="269"/>
    </row>
    <row r="108" spans="1:17">
      <c r="B108" s="195" t="str">
        <f t="shared" si="37"/>
        <v/>
      </c>
      <c r="C108" s="507">
        <f>IF(D93="","-",+C107+1)</f>
        <v>2016</v>
      </c>
      <c r="D108" s="508">
        <v>151190.56620209053</v>
      </c>
      <c r="E108" s="516">
        <v>4308.0697674418607</v>
      </c>
      <c r="F108" s="515">
        <v>146882.49643464867</v>
      </c>
      <c r="G108" s="515">
        <v>149036.53131836961</v>
      </c>
      <c r="H108" s="516">
        <v>23228.255672846972</v>
      </c>
      <c r="I108" s="510">
        <v>23228.255672846972</v>
      </c>
      <c r="J108" s="514">
        <f t="shared" si="31"/>
        <v>0</v>
      </c>
      <c r="K108" s="514"/>
      <c r="L108" s="518">
        <f t="shared" si="41"/>
        <v>23228.255672846972</v>
      </c>
      <c r="M108" s="519">
        <f t="shared" si="38"/>
        <v>0</v>
      </c>
      <c r="N108" s="518">
        <f t="shared" si="42"/>
        <v>23228.255672846972</v>
      </c>
      <c r="O108" s="514">
        <f t="shared" si="39"/>
        <v>0</v>
      </c>
      <c r="P108" s="514">
        <f t="shared" si="40"/>
        <v>0</v>
      </c>
      <c r="Q108" s="269"/>
    </row>
    <row r="109" spans="1:17">
      <c r="B109" s="195" t="str">
        <f t="shared" si="37"/>
        <v/>
      </c>
      <c r="C109" s="507">
        <f>IF(D93="","-",+C108+1)</f>
        <v>2017</v>
      </c>
      <c r="D109" s="508">
        <v>146882.49643464867</v>
      </c>
      <c r="E109" s="516">
        <v>4410.6428571428569</v>
      </c>
      <c r="F109" s="515">
        <v>142471.8535775058</v>
      </c>
      <c r="G109" s="515">
        <v>144677.17500607722</v>
      </c>
      <c r="H109" s="516">
        <v>21984.790198731629</v>
      </c>
      <c r="I109" s="510">
        <v>21984.790198731629</v>
      </c>
      <c r="J109" s="514">
        <f t="shared" si="31"/>
        <v>0</v>
      </c>
      <c r="K109" s="514"/>
      <c r="L109" s="518">
        <f t="shared" si="41"/>
        <v>21984.790198731629</v>
      </c>
      <c r="M109" s="519">
        <f t="shared" si="38"/>
        <v>0</v>
      </c>
      <c r="N109" s="518">
        <f t="shared" si="42"/>
        <v>21984.790198731629</v>
      </c>
      <c r="O109" s="514">
        <f t="shared" si="39"/>
        <v>0</v>
      </c>
      <c r="P109" s="514">
        <f t="shared" si="40"/>
        <v>0</v>
      </c>
      <c r="Q109" s="269"/>
    </row>
    <row r="110" spans="1:17">
      <c r="B110" s="195" t="str">
        <f t="shared" si="37"/>
        <v/>
      </c>
      <c r="C110" s="507">
        <f>IF(D93="","-",+C109+1)</f>
        <v>2018</v>
      </c>
      <c r="D110" s="508">
        <v>142471.8535775058</v>
      </c>
      <c r="E110" s="516">
        <v>4410.6428571428569</v>
      </c>
      <c r="F110" s="515">
        <v>138061.21072036293</v>
      </c>
      <c r="G110" s="515">
        <v>140266.53214893438</v>
      </c>
      <c r="H110" s="516">
        <v>19223.431889109233</v>
      </c>
      <c r="I110" s="510">
        <v>19223.431889109233</v>
      </c>
      <c r="J110" s="514">
        <f t="shared" si="31"/>
        <v>0</v>
      </c>
      <c r="K110" s="514"/>
      <c r="L110" s="518">
        <f t="shared" si="41"/>
        <v>19223.431889109233</v>
      </c>
      <c r="M110" s="519">
        <f t="shared" si="38"/>
        <v>0</v>
      </c>
      <c r="N110" s="518">
        <f t="shared" si="42"/>
        <v>19223.431889109233</v>
      </c>
      <c r="O110" s="514">
        <f t="shared" si="39"/>
        <v>0</v>
      </c>
      <c r="P110" s="514">
        <f t="shared" si="40"/>
        <v>0</v>
      </c>
      <c r="Q110" s="269"/>
    </row>
    <row r="111" spans="1:17">
      <c r="B111" s="195" t="str">
        <f t="shared" si="37"/>
        <v/>
      </c>
      <c r="C111" s="507">
        <f>IF(D93="","-",+C110+1)</f>
        <v>2019</v>
      </c>
      <c r="D111" s="508">
        <v>138061.21072036293</v>
      </c>
      <c r="E111" s="516">
        <v>4308.0697674418607</v>
      </c>
      <c r="F111" s="515">
        <v>133753.14095292107</v>
      </c>
      <c r="G111" s="515">
        <v>135907.17583664198</v>
      </c>
      <c r="H111" s="516">
        <v>18855.648147984095</v>
      </c>
      <c r="I111" s="510">
        <v>18855.648147984095</v>
      </c>
      <c r="J111" s="514">
        <f t="shared" si="31"/>
        <v>0</v>
      </c>
      <c r="K111" s="514"/>
      <c r="L111" s="518">
        <f t="shared" si="41"/>
        <v>18855.648147984095</v>
      </c>
      <c r="M111" s="519">
        <f t="shared" ref="M111:M112" si="43">IF(L111&lt;&gt;0,+H111-L111,0)</f>
        <v>0</v>
      </c>
      <c r="N111" s="518">
        <f t="shared" si="42"/>
        <v>18855.648147984095</v>
      </c>
      <c r="O111" s="514">
        <f t="shared" si="33"/>
        <v>0</v>
      </c>
      <c r="P111" s="514">
        <f t="shared" si="34"/>
        <v>0</v>
      </c>
      <c r="Q111" s="269"/>
    </row>
    <row r="112" spans="1:17">
      <c r="B112" s="195" t="str">
        <f t="shared" si="37"/>
        <v/>
      </c>
      <c r="C112" s="507">
        <f>IF(D93="","-",+C111+1)</f>
        <v>2020</v>
      </c>
      <c r="D112" s="508">
        <v>133753.14095292107</v>
      </c>
      <c r="E112" s="516">
        <v>4410.6428571428569</v>
      </c>
      <c r="F112" s="515">
        <v>129342.49809577821</v>
      </c>
      <c r="G112" s="515">
        <v>131547.81952434964</v>
      </c>
      <c r="H112" s="516">
        <v>18561.745960492495</v>
      </c>
      <c r="I112" s="510">
        <v>18561.745960492495</v>
      </c>
      <c r="J112" s="514">
        <f t="shared" si="31"/>
        <v>0</v>
      </c>
      <c r="K112" s="514"/>
      <c r="L112" s="518">
        <f t="shared" si="41"/>
        <v>18561.745960492495</v>
      </c>
      <c r="M112" s="519">
        <f t="shared" si="43"/>
        <v>0</v>
      </c>
      <c r="N112" s="518">
        <f t="shared" si="42"/>
        <v>18561.745960492495</v>
      </c>
      <c r="O112" s="514">
        <f t="shared" si="33"/>
        <v>0</v>
      </c>
      <c r="P112" s="514">
        <f t="shared" si="34"/>
        <v>0</v>
      </c>
      <c r="Q112" s="269"/>
    </row>
    <row r="113" spans="2:17">
      <c r="B113" s="195" t="str">
        <f t="shared" si="37"/>
        <v/>
      </c>
      <c r="C113" s="507">
        <f>IF(D93="","-",+C112+1)</f>
        <v>2021</v>
      </c>
      <c r="D113" s="508">
        <v>129342.49809577821</v>
      </c>
      <c r="E113" s="516">
        <v>4518.2195121951218</v>
      </c>
      <c r="F113" s="515">
        <v>124824.27858358309</v>
      </c>
      <c r="G113" s="515">
        <v>127083.38833968065</v>
      </c>
      <c r="H113" s="516">
        <v>18943.99202428088</v>
      </c>
      <c r="I113" s="510">
        <v>18943.99202428088</v>
      </c>
      <c r="J113" s="514">
        <f t="shared" si="31"/>
        <v>0</v>
      </c>
      <c r="K113" s="514"/>
      <c r="L113" s="518">
        <f t="shared" ref="L113" si="44">H113</f>
        <v>18943.99202428088</v>
      </c>
      <c r="M113" s="519">
        <f t="shared" ref="M113" si="45">IF(L113&lt;&gt;0,+H113-L113,0)</f>
        <v>0</v>
      </c>
      <c r="N113" s="518">
        <f t="shared" ref="N113" si="46">I113</f>
        <v>18943.99202428088</v>
      </c>
      <c r="O113" s="514">
        <f t="shared" ref="O113" si="47">IF(N113&lt;&gt;0,+I113-N113,0)</f>
        <v>0</v>
      </c>
      <c r="P113" s="514">
        <f t="shared" ref="P113" si="48">+O113-M113</f>
        <v>0</v>
      </c>
      <c r="Q113" s="269"/>
    </row>
    <row r="114" spans="2:17">
      <c r="B114" s="195" t="str">
        <f t="shared" si="37"/>
        <v/>
      </c>
      <c r="C114" s="673">
        <f>IF(D93="","-",+C113+1)</f>
        <v>2022</v>
      </c>
      <c r="D114" s="374">
        <v>124824.27858358309</v>
      </c>
      <c r="E114" s="522">
        <v>4410.6428571428569</v>
      </c>
      <c r="F114" s="523">
        <v>120413.63572644023</v>
      </c>
      <c r="G114" s="523">
        <v>122618.95715501165</v>
      </c>
      <c r="H114" s="526">
        <v>18813.201080680341</v>
      </c>
      <c r="I114" s="577">
        <v>18813.201080680341</v>
      </c>
      <c r="J114" s="514">
        <f t="shared" si="31"/>
        <v>0</v>
      </c>
      <c r="K114" s="514"/>
      <c r="L114" s="525"/>
      <c r="M114" s="514">
        <f t="shared" si="32"/>
        <v>0</v>
      </c>
      <c r="N114" s="525"/>
      <c r="O114" s="514">
        <f t="shared" si="33"/>
        <v>0</v>
      </c>
      <c r="P114" s="514">
        <f t="shared" si="34"/>
        <v>0</v>
      </c>
      <c r="Q114" s="269"/>
    </row>
    <row r="115" spans="2:17">
      <c r="B115" s="195" t="str">
        <f t="shared" si="37"/>
        <v/>
      </c>
      <c r="C115" s="507">
        <f>IF(D93="","-",+C114+1)</f>
        <v>2023</v>
      </c>
      <c r="D115" s="374">
        <f>IF(F114+SUM(E$99:E114)=D$92,F114,D$92-SUM(E$99:E114))</f>
        <v>120413.63572644023</v>
      </c>
      <c r="E115" s="522">
        <f>IF(+J96&lt;F114,J96,D115)</f>
        <v>4518.2195121951218</v>
      </c>
      <c r="F115" s="523">
        <f t="shared" ref="F115:F130" si="49">+D115-E115</f>
        <v>115895.41621424511</v>
      </c>
      <c r="G115" s="523">
        <f t="shared" ref="G115:G130" si="50">+(F115+D115)/2</f>
        <v>118154.52597034267</v>
      </c>
      <c r="H115" s="526">
        <f t="shared" ref="H115:H154" si="51">+J$94*G115+E115</f>
        <v>17930.439120045212</v>
      </c>
      <c r="I115" s="577">
        <f t="shared" ref="I115:I154" si="52">+J$95*G115+E115</f>
        <v>17930.439120045212</v>
      </c>
      <c r="J115" s="514">
        <f t="shared" si="31"/>
        <v>0</v>
      </c>
      <c r="K115" s="514"/>
      <c r="L115" s="525"/>
      <c r="M115" s="514">
        <f t="shared" si="32"/>
        <v>0</v>
      </c>
      <c r="N115" s="525"/>
      <c r="O115" s="514">
        <f t="shared" si="33"/>
        <v>0</v>
      </c>
      <c r="P115" s="514">
        <f t="shared" si="34"/>
        <v>0</v>
      </c>
      <c r="Q115" s="269"/>
    </row>
    <row r="116" spans="2:17">
      <c r="B116" s="195" t="str">
        <f t="shared" si="37"/>
        <v/>
      </c>
      <c r="C116" s="507">
        <f>IF(D93="","-",+C115+1)</f>
        <v>2024</v>
      </c>
      <c r="D116" s="374">
        <f>IF(F115+SUM(E$99:E115)=D$92,F115,D$92-SUM(E$99:E115))</f>
        <v>115895.41621424511</v>
      </c>
      <c r="E116" s="522">
        <f>IF(+J96&lt;F115,J96,D116)</f>
        <v>4518.2195121951218</v>
      </c>
      <c r="F116" s="523">
        <f t="shared" si="49"/>
        <v>111377.19670204999</v>
      </c>
      <c r="G116" s="523">
        <f t="shared" si="50"/>
        <v>113636.30645814755</v>
      </c>
      <c r="H116" s="526">
        <f t="shared" si="51"/>
        <v>17417.556927540412</v>
      </c>
      <c r="I116" s="577">
        <f t="shared" si="52"/>
        <v>17417.556927540412</v>
      </c>
      <c r="J116" s="514">
        <f t="shared" si="31"/>
        <v>0</v>
      </c>
      <c r="K116" s="514"/>
      <c r="L116" s="525"/>
      <c r="M116" s="514">
        <f t="shared" si="32"/>
        <v>0</v>
      </c>
      <c r="N116" s="525"/>
      <c r="O116" s="514">
        <f t="shared" si="33"/>
        <v>0</v>
      </c>
      <c r="P116" s="514">
        <f t="shared" si="34"/>
        <v>0</v>
      </c>
      <c r="Q116" s="269"/>
    </row>
    <row r="117" spans="2:17">
      <c r="B117" s="195" t="str">
        <f t="shared" si="37"/>
        <v/>
      </c>
      <c r="C117" s="507">
        <f>IF(D93="","-",+C116+1)</f>
        <v>2025</v>
      </c>
      <c r="D117" s="374">
        <f>IF(F116+SUM(E$99:E116)=D$92,F116,D$92-SUM(E$99:E116))</f>
        <v>111377.19670204999</v>
      </c>
      <c r="E117" s="522">
        <f>IF(+J96&lt;F116,J96,D117)</f>
        <v>4518.2195121951218</v>
      </c>
      <c r="F117" s="523">
        <f t="shared" si="49"/>
        <v>106858.97718985486</v>
      </c>
      <c r="G117" s="523">
        <f t="shared" si="50"/>
        <v>109118.08694595243</v>
      </c>
      <c r="H117" s="526">
        <f t="shared" si="51"/>
        <v>16904.674735035616</v>
      </c>
      <c r="I117" s="577">
        <f t="shared" si="52"/>
        <v>16904.674735035616</v>
      </c>
      <c r="J117" s="514">
        <f t="shared" si="31"/>
        <v>0</v>
      </c>
      <c r="K117" s="514"/>
      <c r="L117" s="525"/>
      <c r="M117" s="514">
        <f t="shared" si="32"/>
        <v>0</v>
      </c>
      <c r="N117" s="525"/>
      <c r="O117" s="514">
        <f t="shared" si="33"/>
        <v>0</v>
      </c>
      <c r="P117" s="514">
        <f t="shared" si="34"/>
        <v>0</v>
      </c>
      <c r="Q117" s="269"/>
    </row>
    <row r="118" spans="2:17">
      <c r="B118" s="195" t="str">
        <f t="shared" si="37"/>
        <v/>
      </c>
      <c r="C118" s="507">
        <f>IF(D93="","-",+C117+1)</f>
        <v>2026</v>
      </c>
      <c r="D118" s="374">
        <f>IF(F117+SUM(E$99:E117)=D$92,F117,D$92-SUM(E$99:E117))</f>
        <v>106858.97718985486</v>
      </c>
      <c r="E118" s="522">
        <f>IF(+J96&lt;F117,J96,D118)</f>
        <v>4518.2195121951218</v>
      </c>
      <c r="F118" s="523">
        <f t="shared" si="49"/>
        <v>102340.75767765974</v>
      </c>
      <c r="G118" s="523">
        <f t="shared" si="50"/>
        <v>104599.8674337573</v>
      </c>
      <c r="H118" s="526">
        <f t="shared" si="51"/>
        <v>16391.79254253082</v>
      </c>
      <c r="I118" s="577">
        <f t="shared" si="52"/>
        <v>16391.79254253082</v>
      </c>
      <c r="J118" s="514">
        <f t="shared" si="31"/>
        <v>0</v>
      </c>
      <c r="K118" s="514"/>
      <c r="L118" s="525"/>
      <c r="M118" s="514">
        <f t="shared" si="32"/>
        <v>0</v>
      </c>
      <c r="N118" s="525"/>
      <c r="O118" s="514">
        <f t="shared" si="33"/>
        <v>0</v>
      </c>
      <c r="P118" s="514">
        <f t="shared" si="34"/>
        <v>0</v>
      </c>
      <c r="Q118" s="269"/>
    </row>
    <row r="119" spans="2:17">
      <c r="B119" s="195" t="str">
        <f t="shared" si="37"/>
        <v/>
      </c>
      <c r="C119" s="507">
        <f>IF(D93="","-",+C118+1)</f>
        <v>2027</v>
      </c>
      <c r="D119" s="374">
        <f>IF(F118+SUM(E$99:E118)=D$92,F118,D$92-SUM(E$99:E118))</f>
        <v>102340.75767765974</v>
      </c>
      <c r="E119" s="522">
        <f>IF(+J96&lt;F118,J96,D119)</f>
        <v>4518.2195121951218</v>
      </c>
      <c r="F119" s="523">
        <f t="shared" si="49"/>
        <v>97822.538165464619</v>
      </c>
      <c r="G119" s="523">
        <f t="shared" si="50"/>
        <v>100081.64792156218</v>
      </c>
      <c r="H119" s="526">
        <f t="shared" si="51"/>
        <v>15878.910350026024</v>
      </c>
      <c r="I119" s="577">
        <f t="shared" si="52"/>
        <v>15878.910350026024</v>
      </c>
      <c r="J119" s="514">
        <f t="shared" si="31"/>
        <v>0</v>
      </c>
      <c r="K119" s="514"/>
      <c r="L119" s="525"/>
      <c r="M119" s="514">
        <f t="shared" si="32"/>
        <v>0</v>
      </c>
      <c r="N119" s="525"/>
      <c r="O119" s="514">
        <f t="shared" si="33"/>
        <v>0</v>
      </c>
      <c r="P119" s="514">
        <f t="shared" si="34"/>
        <v>0</v>
      </c>
      <c r="Q119" s="269"/>
    </row>
    <row r="120" spans="2:17">
      <c r="B120" s="195" t="str">
        <f t="shared" si="37"/>
        <v/>
      </c>
      <c r="C120" s="507">
        <f>IF(D93="","-",+C119+1)</f>
        <v>2028</v>
      </c>
      <c r="D120" s="374">
        <f>IF(F119+SUM(E$99:E119)=D$92,F119,D$92-SUM(E$99:E119))</f>
        <v>97822.538165464619</v>
      </c>
      <c r="E120" s="522">
        <f>IF(+J96&lt;F119,J96,D120)</f>
        <v>4518.2195121951218</v>
      </c>
      <c r="F120" s="523">
        <f t="shared" si="49"/>
        <v>93304.318653269496</v>
      </c>
      <c r="G120" s="523">
        <f t="shared" si="50"/>
        <v>95563.428409367058</v>
      </c>
      <c r="H120" s="526">
        <f t="shared" si="51"/>
        <v>15366.028157521228</v>
      </c>
      <c r="I120" s="577">
        <f t="shared" si="52"/>
        <v>15366.028157521228</v>
      </c>
      <c r="J120" s="514">
        <f t="shared" si="31"/>
        <v>0</v>
      </c>
      <c r="K120" s="514"/>
      <c r="L120" s="525"/>
      <c r="M120" s="514">
        <f t="shared" si="32"/>
        <v>0</v>
      </c>
      <c r="N120" s="525"/>
      <c r="O120" s="514">
        <f t="shared" si="33"/>
        <v>0</v>
      </c>
      <c r="P120" s="514">
        <f t="shared" si="34"/>
        <v>0</v>
      </c>
      <c r="Q120" s="269"/>
    </row>
    <row r="121" spans="2:17">
      <c r="B121" s="195" t="str">
        <f t="shared" si="37"/>
        <v/>
      </c>
      <c r="C121" s="507">
        <f>IF(D93="","-",+C120+1)</f>
        <v>2029</v>
      </c>
      <c r="D121" s="374">
        <f>IF(F120+SUM(E$99:E120)=D$92,F120,D$92-SUM(E$99:E120))</f>
        <v>93304.318653269496</v>
      </c>
      <c r="E121" s="522">
        <f>IF(+J96&lt;F120,J96,D121)</f>
        <v>4518.2195121951218</v>
      </c>
      <c r="F121" s="523">
        <f t="shared" si="49"/>
        <v>88786.099141074374</v>
      </c>
      <c r="G121" s="523">
        <f t="shared" si="50"/>
        <v>91045.208897171935</v>
      </c>
      <c r="H121" s="526">
        <f t="shared" si="51"/>
        <v>14853.145965016429</v>
      </c>
      <c r="I121" s="577">
        <f t="shared" si="52"/>
        <v>14853.145965016429</v>
      </c>
      <c r="J121" s="514">
        <f t="shared" si="31"/>
        <v>0</v>
      </c>
      <c r="K121" s="514"/>
      <c r="L121" s="525"/>
      <c r="M121" s="514">
        <f t="shared" si="32"/>
        <v>0</v>
      </c>
      <c r="N121" s="525"/>
      <c r="O121" s="514">
        <f t="shared" si="33"/>
        <v>0</v>
      </c>
      <c r="P121" s="514">
        <f t="shared" si="34"/>
        <v>0</v>
      </c>
      <c r="Q121" s="269"/>
    </row>
    <row r="122" spans="2:17">
      <c r="B122" s="195" t="str">
        <f t="shared" si="37"/>
        <v/>
      </c>
      <c r="C122" s="507">
        <f>IF(D93="","-",+C121+1)</f>
        <v>2030</v>
      </c>
      <c r="D122" s="374">
        <f>IF(F121+SUM(E$99:E121)=D$92,F121,D$92-SUM(E$99:E121))</f>
        <v>88786.099141074374</v>
      </c>
      <c r="E122" s="522">
        <f>IF(+J96&lt;F121,J96,D122)</f>
        <v>4518.2195121951218</v>
      </c>
      <c r="F122" s="523">
        <f t="shared" si="49"/>
        <v>84267.879628879251</v>
      </c>
      <c r="G122" s="523">
        <f t="shared" si="50"/>
        <v>86526.989384976812</v>
      </c>
      <c r="H122" s="526">
        <f t="shared" si="51"/>
        <v>14340.263772511633</v>
      </c>
      <c r="I122" s="577">
        <f t="shared" si="52"/>
        <v>14340.263772511633</v>
      </c>
      <c r="J122" s="514">
        <f t="shared" si="31"/>
        <v>0</v>
      </c>
      <c r="K122" s="514"/>
      <c r="L122" s="525"/>
      <c r="M122" s="514">
        <f t="shared" si="32"/>
        <v>0</v>
      </c>
      <c r="N122" s="525"/>
      <c r="O122" s="514">
        <f t="shared" si="33"/>
        <v>0</v>
      </c>
      <c r="P122" s="514">
        <f t="shared" si="34"/>
        <v>0</v>
      </c>
      <c r="Q122" s="269"/>
    </row>
    <row r="123" spans="2:17">
      <c r="B123" s="195" t="str">
        <f t="shared" si="37"/>
        <v/>
      </c>
      <c r="C123" s="507">
        <f>IF(D93="","-",+C122+1)</f>
        <v>2031</v>
      </c>
      <c r="D123" s="374">
        <f>IF(F122+SUM(E$99:E122)=D$92,F122,D$92-SUM(E$99:E122))</f>
        <v>84267.879628879251</v>
      </c>
      <c r="E123" s="522">
        <f>IF(+J96&lt;F122,J96,D123)</f>
        <v>4518.2195121951218</v>
      </c>
      <c r="F123" s="523">
        <f t="shared" si="49"/>
        <v>79749.660116684128</v>
      </c>
      <c r="G123" s="523">
        <f t="shared" si="50"/>
        <v>82008.76987278169</v>
      </c>
      <c r="H123" s="526">
        <f t="shared" si="51"/>
        <v>13827.381580006837</v>
      </c>
      <c r="I123" s="577">
        <f t="shared" si="52"/>
        <v>13827.381580006837</v>
      </c>
      <c r="J123" s="514">
        <f t="shared" si="31"/>
        <v>0</v>
      </c>
      <c r="K123" s="514"/>
      <c r="L123" s="525"/>
      <c r="M123" s="514">
        <f t="shared" si="32"/>
        <v>0</v>
      </c>
      <c r="N123" s="525"/>
      <c r="O123" s="514">
        <f t="shared" si="33"/>
        <v>0</v>
      </c>
      <c r="P123" s="514">
        <f t="shared" si="34"/>
        <v>0</v>
      </c>
      <c r="Q123" s="269"/>
    </row>
    <row r="124" spans="2:17">
      <c r="B124" s="195" t="str">
        <f t="shared" si="37"/>
        <v/>
      </c>
      <c r="C124" s="507">
        <f>IF(D93="","-",+C123+1)</f>
        <v>2032</v>
      </c>
      <c r="D124" s="374">
        <f>IF(F123+SUM(E$99:E123)=D$92,F123,D$92-SUM(E$99:E123))</f>
        <v>79749.660116684128</v>
      </c>
      <c r="E124" s="522">
        <f>IF(+J96&lt;F123,J96,D124)</f>
        <v>4518.2195121951218</v>
      </c>
      <c r="F124" s="523">
        <f t="shared" si="49"/>
        <v>75231.440604489006</v>
      </c>
      <c r="G124" s="523">
        <f t="shared" si="50"/>
        <v>77490.550360586567</v>
      </c>
      <c r="H124" s="526">
        <f t="shared" si="51"/>
        <v>13314.499387502041</v>
      </c>
      <c r="I124" s="577">
        <f t="shared" si="52"/>
        <v>13314.499387502041</v>
      </c>
      <c r="J124" s="514">
        <f t="shared" si="31"/>
        <v>0</v>
      </c>
      <c r="K124" s="514"/>
      <c r="L124" s="525"/>
      <c r="M124" s="514">
        <f t="shared" si="32"/>
        <v>0</v>
      </c>
      <c r="N124" s="525"/>
      <c r="O124" s="514">
        <f t="shared" si="33"/>
        <v>0</v>
      </c>
      <c r="P124" s="514">
        <f t="shared" si="34"/>
        <v>0</v>
      </c>
      <c r="Q124" s="269"/>
    </row>
    <row r="125" spans="2:17">
      <c r="B125" s="195" t="str">
        <f t="shared" si="37"/>
        <v/>
      </c>
      <c r="C125" s="507">
        <f>IF(D93="","-",+C124+1)</f>
        <v>2033</v>
      </c>
      <c r="D125" s="374">
        <f>IF(F124+SUM(E$99:E124)=D$92,F124,D$92-SUM(E$99:E124))</f>
        <v>75231.440604489006</v>
      </c>
      <c r="E125" s="522">
        <f>IF(+J96&lt;F124,J96,D125)</f>
        <v>4518.2195121951218</v>
      </c>
      <c r="F125" s="523">
        <f t="shared" si="49"/>
        <v>70713.221092293883</v>
      </c>
      <c r="G125" s="523">
        <f t="shared" si="50"/>
        <v>72972.330848391444</v>
      </c>
      <c r="H125" s="526">
        <f t="shared" si="51"/>
        <v>12801.617194997245</v>
      </c>
      <c r="I125" s="577">
        <f t="shared" si="52"/>
        <v>12801.617194997245</v>
      </c>
      <c r="J125" s="514">
        <f t="shared" si="31"/>
        <v>0</v>
      </c>
      <c r="K125" s="514"/>
      <c r="L125" s="525"/>
      <c r="M125" s="514">
        <f t="shared" si="32"/>
        <v>0</v>
      </c>
      <c r="N125" s="525"/>
      <c r="O125" s="514">
        <f t="shared" si="33"/>
        <v>0</v>
      </c>
      <c r="P125" s="514">
        <f t="shared" si="34"/>
        <v>0</v>
      </c>
      <c r="Q125" s="269"/>
    </row>
    <row r="126" spans="2:17">
      <c r="B126" s="195" t="str">
        <f t="shared" si="37"/>
        <v/>
      </c>
      <c r="C126" s="507">
        <f>IF(D93="","-",+C125+1)</f>
        <v>2034</v>
      </c>
      <c r="D126" s="374">
        <f>IF(F125+SUM(E$99:E125)=D$92,F125,D$92-SUM(E$99:E125))</f>
        <v>70713.221092293883</v>
      </c>
      <c r="E126" s="522">
        <f>IF(+J96&lt;F125,J96,D126)</f>
        <v>4518.2195121951218</v>
      </c>
      <c r="F126" s="523">
        <f t="shared" si="49"/>
        <v>66195.00158009876</v>
      </c>
      <c r="G126" s="523">
        <f t="shared" si="50"/>
        <v>68454.111336196322</v>
      </c>
      <c r="H126" s="526">
        <f t="shared" si="51"/>
        <v>12288.735002492447</v>
      </c>
      <c r="I126" s="577">
        <f t="shared" si="52"/>
        <v>12288.735002492447</v>
      </c>
      <c r="J126" s="514">
        <f t="shared" si="31"/>
        <v>0</v>
      </c>
      <c r="K126" s="514"/>
      <c r="L126" s="525"/>
      <c r="M126" s="514">
        <f t="shared" si="32"/>
        <v>0</v>
      </c>
      <c r="N126" s="525"/>
      <c r="O126" s="514">
        <f t="shared" si="33"/>
        <v>0</v>
      </c>
      <c r="P126" s="514">
        <f t="shared" si="34"/>
        <v>0</v>
      </c>
      <c r="Q126" s="269"/>
    </row>
    <row r="127" spans="2:17">
      <c r="B127" s="195" t="str">
        <f t="shared" si="37"/>
        <v/>
      </c>
      <c r="C127" s="507">
        <f>IF(D93="","-",+C126+1)</f>
        <v>2035</v>
      </c>
      <c r="D127" s="374">
        <f>IF(F126+SUM(E$99:E126)=D$92,F126,D$92-SUM(E$99:E126))</f>
        <v>66195.00158009876</v>
      </c>
      <c r="E127" s="522">
        <f>IF(+J96&lt;F126,J96,D127)</f>
        <v>4518.2195121951218</v>
      </c>
      <c r="F127" s="523">
        <f t="shared" si="49"/>
        <v>61676.782067903638</v>
      </c>
      <c r="G127" s="523">
        <f t="shared" si="50"/>
        <v>63935.891824001199</v>
      </c>
      <c r="H127" s="526">
        <f t="shared" si="51"/>
        <v>11775.852809987649</v>
      </c>
      <c r="I127" s="577">
        <f t="shared" si="52"/>
        <v>11775.852809987649</v>
      </c>
      <c r="J127" s="514">
        <f t="shared" si="31"/>
        <v>0</v>
      </c>
      <c r="K127" s="514"/>
      <c r="L127" s="525"/>
      <c r="M127" s="514">
        <f t="shared" si="32"/>
        <v>0</v>
      </c>
      <c r="N127" s="525"/>
      <c r="O127" s="514">
        <f t="shared" si="33"/>
        <v>0</v>
      </c>
      <c r="P127" s="514">
        <f t="shared" si="34"/>
        <v>0</v>
      </c>
      <c r="Q127" s="269"/>
    </row>
    <row r="128" spans="2:17">
      <c r="B128" s="195" t="str">
        <f t="shared" si="37"/>
        <v/>
      </c>
      <c r="C128" s="507">
        <f>IF(D93="","-",+C127+1)</f>
        <v>2036</v>
      </c>
      <c r="D128" s="374">
        <f>IF(F127+SUM(E$99:E127)=D$92,F127,D$92-SUM(E$99:E127))</f>
        <v>61676.782067903638</v>
      </c>
      <c r="E128" s="522">
        <f>IF(+J96&lt;F127,J96,D128)</f>
        <v>4518.2195121951218</v>
      </c>
      <c r="F128" s="523">
        <f t="shared" si="49"/>
        <v>57158.562555708515</v>
      </c>
      <c r="G128" s="523">
        <f t="shared" si="50"/>
        <v>59417.672311806076</v>
      </c>
      <c r="H128" s="526">
        <f t="shared" si="51"/>
        <v>11262.970617482853</v>
      </c>
      <c r="I128" s="577">
        <f t="shared" si="52"/>
        <v>11262.970617482853</v>
      </c>
      <c r="J128" s="514">
        <f t="shared" si="31"/>
        <v>0</v>
      </c>
      <c r="K128" s="514"/>
      <c r="L128" s="525"/>
      <c r="M128" s="514">
        <f t="shared" si="32"/>
        <v>0</v>
      </c>
      <c r="N128" s="525"/>
      <c r="O128" s="514">
        <f t="shared" si="33"/>
        <v>0</v>
      </c>
      <c r="P128" s="514">
        <f t="shared" si="34"/>
        <v>0</v>
      </c>
      <c r="Q128" s="269"/>
    </row>
    <row r="129" spans="2:17">
      <c r="B129" s="195" t="str">
        <f t="shared" si="37"/>
        <v/>
      </c>
      <c r="C129" s="507">
        <f>IF(D93="","-",+C128+1)</f>
        <v>2037</v>
      </c>
      <c r="D129" s="374">
        <f>IF(F128+SUM(E$99:E128)=D$92,F128,D$92-SUM(E$99:E128))</f>
        <v>57158.562555708515</v>
      </c>
      <c r="E129" s="522">
        <f>IF(+J96&lt;F128,J96,D129)</f>
        <v>4518.2195121951218</v>
      </c>
      <c r="F129" s="523">
        <f t="shared" si="49"/>
        <v>52640.343043513392</v>
      </c>
      <c r="G129" s="523">
        <f t="shared" si="50"/>
        <v>54899.452799610954</v>
      </c>
      <c r="H129" s="526">
        <f t="shared" si="51"/>
        <v>10750.088424978057</v>
      </c>
      <c r="I129" s="577">
        <f t="shared" si="52"/>
        <v>10750.088424978057</v>
      </c>
      <c r="J129" s="514">
        <f t="shared" si="31"/>
        <v>0</v>
      </c>
      <c r="K129" s="514"/>
      <c r="L129" s="525"/>
      <c r="M129" s="514">
        <f t="shared" si="32"/>
        <v>0</v>
      </c>
      <c r="N129" s="525"/>
      <c r="O129" s="514">
        <f t="shared" si="33"/>
        <v>0</v>
      </c>
      <c r="P129" s="514">
        <f t="shared" si="34"/>
        <v>0</v>
      </c>
      <c r="Q129" s="269"/>
    </row>
    <row r="130" spans="2:17">
      <c r="B130" s="195" t="str">
        <f t="shared" si="37"/>
        <v/>
      </c>
      <c r="C130" s="507">
        <f>IF(D93="","-",+C129+1)</f>
        <v>2038</v>
      </c>
      <c r="D130" s="374">
        <f>IF(F129+SUM(E$99:E129)=D$92,F129,D$92-SUM(E$99:E129))</f>
        <v>52640.343043513392</v>
      </c>
      <c r="E130" s="522">
        <f>IF(+J96&lt;F129,J96,D130)</f>
        <v>4518.2195121951218</v>
      </c>
      <c r="F130" s="523">
        <f t="shared" si="49"/>
        <v>48122.12353131827</v>
      </c>
      <c r="G130" s="523">
        <f t="shared" si="50"/>
        <v>50381.233287415831</v>
      </c>
      <c r="H130" s="526">
        <f t="shared" si="51"/>
        <v>10237.206232473261</v>
      </c>
      <c r="I130" s="577">
        <f t="shared" si="52"/>
        <v>10237.206232473261</v>
      </c>
      <c r="J130" s="514">
        <f t="shared" si="31"/>
        <v>0</v>
      </c>
      <c r="K130" s="514"/>
      <c r="L130" s="525"/>
      <c r="M130" s="514">
        <f t="shared" si="32"/>
        <v>0</v>
      </c>
      <c r="N130" s="525"/>
      <c r="O130" s="514">
        <f t="shared" si="33"/>
        <v>0</v>
      </c>
      <c r="P130" s="514">
        <f t="shared" si="34"/>
        <v>0</v>
      </c>
      <c r="Q130" s="269"/>
    </row>
    <row r="131" spans="2:17">
      <c r="B131" s="195" t="str">
        <f t="shared" si="37"/>
        <v/>
      </c>
      <c r="C131" s="507">
        <f>IF(D93="","-",+C130+1)</f>
        <v>2039</v>
      </c>
      <c r="D131" s="374">
        <f>IF(F130+SUM(E$99:E130)=D$92,F130,D$92-SUM(E$99:E130))</f>
        <v>48122.12353131827</v>
      </c>
      <c r="E131" s="522">
        <f>IF(+J96&lt;F130,J96,D131)</f>
        <v>4518.2195121951218</v>
      </c>
      <c r="F131" s="523">
        <f t="shared" ref="F131:F154" si="53">+D131-E131</f>
        <v>43603.904019123147</v>
      </c>
      <c r="G131" s="523">
        <f t="shared" ref="G131:G154" si="54">+(F131+D131)/2</f>
        <v>45863.013775220708</v>
      </c>
      <c r="H131" s="526">
        <f t="shared" si="51"/>
        <v>9724.3240399684637</v>
      </c>
      <c r="I131" s="577">
        <f t="shared" si="52"/>
        <v>9724.3240399684637</v>
      </c>
      <c r="J131" s="514">
        <f t="shared" ref="J131:J154" si="55">+I131-H131</f>
        <v>0</v>
      </c>
      <c r="K131" s="514"/>
      <c r="L131" s="525"/>
      <c r="M131" s="514">
        <f t="shared" ref="M131:M154" si="56">IF(L131&lt;&gt;0,+H131-L131,0)</f>
        <v>0</v>
      </c>
      <c r="N131" s="525"/>
      <c r="O131" s="514">
        <f t="shared" ref="O131:O154" si="57">IF(N131&lt;&gt;0,+I131-N131,0)</f>
        <v>0</v>
      </c>
      <c r="P131" s="514">
        <f t="shared" ref="P131:P154" si="58">+O131-M131</f>
        <v>0</v>
      </c>
      <c r="Q131" s="269"/>
    </row>
    <row r="132" spans="2:17">
      <c r="B132" s="195" t="str">
        <f t="shared" si="37"/>
        <v/>
      </c>
      <c r="C132" s="507">
        <f>IF(D93="","-",+C131+1)</f>
        <v>2040</v>
      </c>
      <c r="D132" s="374">
        <f>IF(F131+SUM(E$99:E131)=D$92,F131,D$92-SUM(E$99:E131))</f>
        <v>43603.904019123147</v>
      </c>
      <c r="E132" s="522">
        <f>IF(+J96&lt;F131,J96,D132)</f>
        <v>4518.2195121951218</v>
      </c>
      <c r="F132" s="523">
        <f t="shared" si="53"/>
        <v>39085.684506928024</v>
      </c>
      <c r="G132" s="523">
        <f t="shared" si="54"/>
        <v>41344.794263025586</v>
      </c>
      <c r="H132" s="526">
        <f t="shared" si="51"/>
        <v>9211.4418474636659</v>
      </c>
      <c r="I132" s="577">
        <f t="shared" si="52"/>
        <v>9211.4418474636659</v>
      </c>
      <c r="J132" s="514">
        <f t="shared" si="55"/>
        <v>0</v>
      </c>
      <c r="K132" s="514"/>
      <c r="L132" s="525"/>
      <c r="M132" s="514">
        <f t="shared" si="56"/>
        <v>0</v>
      </c>
      <c r="N132" s="525"/>
      <c r="O132" s="514">
        <f t="shared" si="57"/>
        <v>0</v>
      </c>
      <c r="P132" s="514">
        <f t="shared" si="58"/>
        <v>0</v>
      </c>
      <c r="Q132" s="269"/>
    </row>
    <row r="133" spans="2:17">
      <c r="B133" s="195" t="str">
        <f t="shared" si="37"/>
        <v/>
      </c>
      <c r="C133" s="507">
        <f>IF(D93="","-",+C132+1)</f>
        <v>2041</v>
      </c>
      <c r="D133" s="374">
        <f>IF(F132+SUM(E$99:E132)=D$92,F132,D$92-SUM(E$99:E132))</f>
        <v>39085.684506928024</v>
      </c>
      <c r="E133" s="522">
        <f>IF(+J96&lt;F132,J96,D133)</f>
        <v>4518.2195121951218</v>
      </c>
      <c r="F133" s="523">
        <f t="shared" si="53"/>
        <v>34567.464994732902</v>
      </c>
      <c r="G133" s="523">
        <f t="shared" si="54"/>
        <v>36826.574750830463</v>
      </c>
      <c r="H133" s="526">
        <f t="shared" si="51"/>
        <v>8698.5596549588699</v>
      </c>
      <c r="I133" s="577">
        <f t="shared" si="52"/>
        <v>8698.5596549588699</v>
      </c>
      <c r="J133" s="514">
        <f t="shared" si="55"/>
        <v>0</v>
      </c>
      <c r="K133" s="514"/>
      <c r="L133" s="525"/>
      <c r="M133" s="514">
        <f t="shared" si="56"/>
        <v>0</v>
      </c>
      <c r="N133" s="525"/>
      <c r="O133" s="514">
        <f t="shared" si="57"/>
        <v>0</v>
      </c>
      <c r="P133" s="514">
        <f t="shared" si="58"/>
        <v>0</v>
      </c>
      <c r="Q133" s="269"/>
    </row>
    <row r="134" spans="2:17">
      <c r="B134" s="195" t="str">
        <f t="shared" si="37"/>
        <v/>
      </c>
      <c r="C134" s="507">
        <f>IF(D93="","-",+C133+1)</f>
        <v>2042</v>
      </c>
      <c r="D134" s="374">
        <f>IF(F133+SUM(E$99:E133)=D$92,F133,D$92-SUM(E$99:E133))</f>
        <v>34567.464994732902</v>
      </c>
      <c r="E134" s="522">
        <f>IF(+J96&lt;F133,J96,D134)</f>
        <v>4518.2195121951218</v>
      </c>
      <c r="F134" s="523">
        <f t="shared" si="53"/>
        <v>30049.245482537779</v>
      </c>
      <c r="G134" s="523">
        <f t="shared" si="54"/>
        <v>32308.35523863534</v>
      </c>
      <c r="H134" s="526">
        <f t="shared" si="51"/>
        <v>8185.677462454074</v>
      </c>
      <c r="I134" s="577">
        <f t="shared" si="52"/>
        <v>8185.677462454074</v>
      </c>
      <c r="J134" s="514">
        <f t="shared" si="55"/>
        <v>0</v>
      </c>
      <c r="K134" s="514"/>
      <c r="L134" s="525"/>
      <c r="M134" s="514">
        <f t="shared" si="56"/>
        <v>0</v>
      </c>
      <c r="N134" s="525"/>
      <c r="O134" s="514">
        <f t="shared" si="57"/>
        <v>0</v>
      </c>
      <c r="P134" s="514">
        <f t="shared" si="58"/>
        <v>0</v>
      </c>
      <c r="Q134" s="269"/>
    </row>
    <row r="135" spans="2:17">
      <c r="B135" s="195" t="str">
        <f t="shared" si="37"/>
        <v/>
      </c>
      <c r="C135" s="507">
        <f>IF(D93="","-",+C134+1)</f>
        <v>2043</v>
      </c>
      <c r="D135" s="374">
        <f>IF(F134+SUM(E$99:E134)=D$92,F134,D$92-SUM(E$99:E134))</f>
        <v>30049.245482537779</v>
      </c>
      <c r="E135" s="522">
        <f>IF(+J96&lt;F134,J96,D135)</f>
        <v>4518.2195121951218</v>
      </c>
      <c r="F135" s="523">
        <f t="shared" si="53"/>
        <v>25531.025970342656</v>
      </c>
      <c r="G135" s="523">
        <f t="shared" si="54"/>
        <v>27790.135726440218</v>
      </c>
      <c r="H135" s="526">
        <f t="shared" si="51"/>
        <v>7672.7952699492771</v>
      </c>
      <c r="I135" s="577">
        <f t="shared" si="52"/>
        <v>7672.7952699492771</v>
      </c>
      <c r="J135" s="514">
        <f t="shared" si="55"/>
        <v>0</v>
      </c>
      <c r="K135" s="514"/>
      <c r="L135" s="525"/>
      <c r="M135" s="514">
        <f t="shared" si="56"/>
        <v>0</v>
      </c>
      <c r="N135" s="525"/>
      <c r="O135" s="514">
        <f t="shared" si="57"/>
        <v>0</v>
      </c>
      <c r="P135" s="514">
        <f t="shared" si="58"/>
        <v>0</v>
      </c>
      <c r="Q135" s="269"/>
    </row>
    <row r="136" spans="2:17">
      <c r="B136" s="195" t="str">
        <f t="shared" si="37"/>
        <v/>
      </c>
      <c r="C136" s="507">
        <f>IF(D93="","-",+C135+1)</f>
        <v>2044</v>
      </c>
      <c r="D136" s="374">
        <f>IF(F135+SUM(E$99:E135)=D$92,F135,D$92-SUM(E$99:E135))</f>
        <v>25531.025970342656</v>
      </c>
      <c r="E136" s="522">
        <f>IF(+J96&lt;F135,J96,D136)</f>
        <v>4518.2195121951218</v>
      </c>
      <c r="F136" s="523">
        <f t="shared" si="53"/>
        <v>21012.806458147534</v>
      </c>
      <c r="G136" s="523">
        <f t="shared" si="54"/>
        <v>23271.916214245095</v>
      </c>
      <c r="H136" s="526">
        <f t="shared" si="51"/>
        <v>7159.9130774444802</v>
      </c>
      <c r="I136" s="577">
        <f t="shared" si="52"/>
        <v>7159.9130774444802</v>
      </c>
      <c r="J136" s="514">
        <f t="shared" si="55"/>
        <v>0</v>
      </c>
      <c r="K136" s="514"/>
      <c r="L136" s="525"/>
      <c r="M136" s="514">
        <f t="shared" si="56"/>
        <v>0</v>
      </c>
      <c r="N136" s="525"/>
      <c r="O136" s="514">
        <f t="shared" si="57"/>
        <v>0</v>
      </c>
      <c r="P136" s="514">
        <f t="shared" si="58"/>
        <v>0</v>
      </c>
      <c r="Q136" s="269"/>
    </row>
    <row r="137" spans="2:17">
      <c r="B137" s="195" t="str">
        <f t="shared" si="37"/>
        <v/>
      </c>
      <c r="C137" s="507">
        <f>IF(D93="","-",+C136+1)</f>
        <v>2045</v>
      </c>
      <c r="D137" s="374">
        <f>IF(F136+SUM(E$99:E136)=D$92,F136,D$92-SUM(E$99:E136))</f>
        <v>21012.806458147534</v>
      </c>
      <c r="E137" s="522">
        <f>IF(+J96&lt;F136,J96,D137)</f>
        <v>4518.2195121951218</v>
      </c>
      <c r="F137" s="523">
        <f t="shared" si="53"/>
        <v>16494.586945952411</v>
      </c>
      <c r="G137" s="523">
        <f t="shared" si="54"/>
        <v>18753.696702049972</v>
      </c>
      <c r="H137" s="526">
        <f t="shared" si="51"/>
        <v>6647.0308849396843</v>
      </c>
      <c r="I137" s="577">
        <f t="shared" si="52"/>
        <v>6647.0308849396843</v>
      </c>
      <c r="J137" s="514">
        <f t="shared" si="55"/>
        <v>0</v>
      </c>
      <c r="K137" s="514"/>
      <c r="L137" s="525"/>
      <c r="M137" s="514">
        <f t="shared" si="56"/>
        <v>0</v>
      </c>
      <c r="N137" s="525"/>
      <c r="O137" s="514">
        <f t="shared" si="57"/>
        <v>0</v>
      </c>
      <c r="P137" s="514">
        <f t="shared" si="58"/>
        <v>0</v>
      </c>
      <c r="Q137" s="269"/>
    </row>
    <row r="138" spans="2:17">
      <c r="B138" s="195" t="str">
        <f t="shared" si="37"/>
        <v/>
      </c>
      <c r="C138" s="507">
        <f>IF(D93="","-",+C137+1)</f>
        <v>2046</v>
      </c>
      <c r="D138" s="374">
        <f>IF(F137+SUM(E$99:E137)=D$92,F137,D$92-SUM(E$99:E137))</f>
        <v>16494.586945952411</v>
      </c>
      <c r="E138" s="522">
        <f>IF(+J96&lt;F137,J96,D138)</f>
        <v>4518.2195121951218</v>
      </c>
      <c r="F138" s="523">
        <f t="shared" si="53"/>
        <v>11976.367433757288</v>
      </c>
      <c r="G138" s="523">
        <f t="shared" si="54"/>
        <v>14235.47718985485</v>
      </c>
      <c r="H138" s="526">
        <f t="shared" si="51"/>
        <v>6134.1486924348874</v>
      </c>
      <c r="I138" s="577">
        <f t="shared" si="52"/>
        <v>6134.1486924348874</v>
      </c>
      <c r="J138" s="514">
        <f t="shared" si="55"/>
        <v>0</v>
      </c>
      <c r="K138" s="514"/>
      <c r="L138" s="525"/>
      <c r="M138" s="514">
        <f t="shared" si="56"/>
        <v>0</v>
      </c>
      <c r="N138" s="525"/>
      <c r="O138" s="514">
        <f t="shared" si="57"/>
        <v>0</v>
      </c>
      <c r="P138" s="514">
        <f t="shared" si="58"/>
        <v>0</v>
      </c>
      <c r="Q138" s="269"/>
    </row>
    <row r="139" spans="2:17">
      <c r="B139" s="195" t="str">
        <f t="shared" si="37"/>
        <v/>
      </c>
      <c r="C139" s="507">
        <f>IF(D93="","-",+C138+1)</f>
        <v>2047</v>
      </c>
      <c r="D139" s="374">
        <f>IF(F138+SUM(E$99:E138)=D$92,F138,D$92-SUM(E$99:E138))</f>
        <v>11976.367433757288</v>
      </c>
      <c r="E139" s="522">
        <f>IF(+J96&lt;F138,J96,D139)</f>
        <v>4518.2195121951218</v>
      </c>
      <c r="F139" s="523">
        <f t="shared" si="53"/>
        <v>7458.1479215621666</v>
      </c>
      <c r="G139" s="523">
        <f t="shared" si="54"/>
        <v>9717.2576776597271</v>
      </c>
      <c r="H139" s="526">
        <f t="shared" si="51"/>
        <v>5621.2664999300905</v>
      </c>
      <c r="I139" s="577">
        <f t="shared" si="52"/>
        <v>5621.2664999300905</v>
      </c>
      <c r="J139" s="514">
        <f t="shared" si="55"/>
        <v>0</v>
      </c>
      <c r="K139" s="514"/>
      <c r="L139" s="525"/>
      <c r="M139" s="514">
        <f t="shared" si="56"/>
        <v>0</v>
      </c>
      <c r="N139" s="525"/>
      <c r="O139" s="514">
        <f t="shared" si="57"/>
        <v>0</v>
      </c>
      <c r="P139" s="514">
        <f t="shared" si="58"/>
        <v>0</v>
      </c>
      <c r="Q139" s="269"/>
    </row>
    <row r="140" spans="2:17">
      <c r="B140" s="195" t="str">
        <f t="shared" si="37"/>
        <v/>
      </c>
      <c r="C140" s="507">
        <f>IF(D93="","-",+C139+1)</f>
        <v>2048</v>
      </c>
      <c r="D140" s="374">
        <f>IF(F139+SUM(E$99:E139)=D$92,F139,D$92-SUM(E$99:E139))</f>
        <v>7458.1479215621666</v>
      </c>
      <c r="E140" s="522">
        <f>IF(+J96&lt;F139,J96,D140)</f>
        <v>4518.2195121951218</v>
      </c>
      <c r="F140" s="523">
        <f t="shared" si="53"/>
        <v>2939.9284093670449</v>
      </c>
      <c r="G140" s="523">
        <f t="shared" si="54"/>
        <v>5199.0381654646062</v>
      </c>
      <c r="H140" s="526">
        <f t="shared" si="51"/>
        <v>5108.3843074252936</v>
      </c>
      <c r="I140" s="577">
        <f t="shared" si="52"/>
        <v>5108.3843074252936</v>
      </c>
      <c r="J140" s="514">
        <f t="shared" si="55"/>
        <v>0</v>
      </c>
      <c r="K140" s="514"/>
      <c r="L140" s="525"/>
      <c r="M140" s="514">
        <f t="shared" si="56"/>
        <v>0</v>
      </c>
      <c r="N140" s="525"/>
      <c r="O140" s="514">
        <f t="shared" si="57"/>
        <v>0</v>
      </c>
      <c r="P140" s="514">
        <f t="shared" si="58"/>
        <v>0</v>
      </c>
      <c r="Q140" s="269"/>
    </row>
    <row r="141" spans="2:17">
      <c r="B141" s="195" t="str">
        <f t="shared" si="37"/>
        <v/>
      </c>
      <c r="C141" s="507">
        <f>IF(D93="","-",+C140+1)</f>
        <v>2049</v>
      </c>
      <c r="D141" s="374">
        <f>IF(F140+SUM(E$99:E140)=D$92,F140,D$92-SUM(E$99:E140))</f>
        <v>2939.9284093670449</v>
      </c>
      <c r="E141" s="522">
        <f>IF(+J96&lt;F140,J96,D141)</f>
        <v>2939.9284093670449</v>
      </c>
      <c r="F141" s="523">
        <f t="shared" si="53"/>
        <v>0</v>
      </c>
      <c r="G141" s="523">
        <f t="shared" si="54"/>
        <v>1469.9642046835224</v>
      </c>
      <c r="H141" s="526">
        <f t="shared" si="51"/>
        <v>3106.7902588559318</v>
      </c>
      <c r="I141" s="577">
        <f t="shared" si="52"/>
        <v>3106.7902588559318</v>
      </c>
      <c r="J141" s="514">
        <f t="shared" si="55"/>
        <v>0</v>
      </c>
      <c r="K141" s="514"/>
      <c r="L141" s="525"/>
      <c r="M141" s="514">
        <f t="shared" si="56"/>
        <v>0</v>
      </c>
      <c r="N141" s="525"/>
      <c r="O141" s="514">
        <f t="shared" si="57"/>
        <v>0</v>
      </c>
      <c r="P141" s="514">
        <f t="shared" si="58"/>
        <v>0</v>
      </c>
      <c r="Q141" s="269"/>
    </row>
    <row r="142" spans="2:17">
      <c r="B142" s="195" t="str">
        <f t="shared" si="37"/>
        <v/>
      </c>
      <c r="C142" s="507">
        <f>IF(D93="","-",+C141+1)</f>
        <v>2050</v>
      </c>
      <c r="D142" s="374">
        <f>IF(F141+SUM(E$99:E141)=D$92,F141,D$92-SUM(E$99:E141))</f>
        <v>0</v>
      </c>
      <c r="E142" s="522">
        <f>IF(+J96&lt;F141,J96,D142)</f>
        <v>0</v>
      </c>
      <c r="F142" s="523">
        <f t="shared" si="53"/>
        <v>0</v>
      </c>
      <c r="G142" s="523">
        <f t="shared" si="54"/>
        <v>0</v>
      </c>
      <c r="H142" s="526">
        <f t="shared" si="51"/>
        <v>0</v>
      </c>
      <c r="I142" s="577">
        <f t="shared" si="52"/>
        <v>0</v>
      </c>
      <c r="J142" s="514">
        <f t="shared" si="55"/>
        <v>0</v>
      </c>
      <c r="K142" s="514"/>
      <c r="L142" s="525"/>
      <c r="M142" s="514">
        <f t="shared" si="56"/>
        <v>0</v>
      </c>
      <c r="N142" s="525"/>
      <c r="O142" s="514">
        <f t="shared" si="57"/>
        <v>0</v>
      </c>
      <c r="P142" s="514">
        <f t="shared" si="58"/>
        <v>0</v>
      </c>
      <c r="Q142" s="269"/>
    </row>
    <row r="143" spans="2:17">
      <c r="B143" s="195" t="str">
        <f t="shared" si="37"/>
        <v/>
      </c>
      <c r="C143" s="507">
        <f>IF(D93="","-",+C142+1)</f>
        <v>2051</v>
      </c>
      <c r="D143" s="374">
        <f>IF(F142+SUM(E$99:E142)=D$92,F142,D$92-SUM(E$99:E142))</f>
        <v>0</v>
      </c>
      <c r="E143" s="522">
        <f>IF(+J96&lt;F142,J96,D143)</f>
        <v>0</v>
      </c>
      <c r="F143" s="523">
        <f t="shared" si="53"/>
        <v>0</v>
      </c>
      <c r="G143" s="523">
        <f t="shared" si="54"/>
        <v>0</v>
      </c>
      <c r="H143" s="526">
        <f t="shared" si="51"/>
        <v>0</v>
      </c>
      <c r="I143" s="577">
        <f t="shared" si="52"/>
        <v>0</v>
      </c>
      <c r="J143" s="514">
        <f t="shared" si="55"/>
        <v>0</v>
      </c>
      <c r="K143" s="514"/>
      <c r="L143" s="525"/>
      <c r="M143" s="514">
        <f t="shared" si="56"/>
        <v>0</v>
      </c>
      <c r="N143" s="525"/>
      <c r="O143" s="514">
        <f t="shared" si="57"/>
        <v>0</v>
      </c>
      <c r="P143" s="514">
        <f t="shared" si="58"/>
        <v>0</v>
      </c>
      <c r="Q143" s="269"/>
    </row>
    <row r="144" spans="2:17">
      <c r="B144" s="195" t="str">
        <f t="shared" si="37"/>
        <v/>
      </c>
      <c r="C144" s="507">
        <f>IF(D93="","-",+C143+1)</f>
        <v>2052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53"/>
        <v>0</v>
      </c>
      <c r="G144" s="523">
        <f t="shared" si="54"/>
        <v>0</v>
      </c>
      <c r="H144" s="526">
        <f t="shared" si="51"/>
        <v>0</v>
      </c>
      <c r="I144" s="577">
        <f t="shared" si="52"/>
        <v>0</v>
      </c>
      <c r="J144" s="514">
        <f t="shared" si="55"/>
        <v>0</v>
      </c>
      <c r="K144" s="514"/>
      <c r="L144" s="525"/>
      <c r="M144" s="514">
        <f t="shared" si="56"/>
        <v>0</v>
      </c>
      <c r="N144" s="525"/>
      <c r="O144" s="514">
        <f t="shared" si="57"/>
        <v>0</v>
      </c>
      <c r="P144" s="514">
        <f t="shared" si="58"/>
        <v>0</v>
      </c>
      <c r="Q144" s="269"/>
    </row>
    <row r="145" spans="2:17">
      <c r="B145" s="195" t="str">
        <f t="shared" si="37"/>
        <v/>
      </c>
      <c r="C145" s="507">
        <f>IF(D93="","-",+C144+1)</f>
        <v>2053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53"/>
        <v>0</v>
      </c>
      <c r="G145" s="523">
        <f t="shared" si="54"/>
        <v>0</v>
      </c>
      <c r="H145" s="526">
        <f t="shared" si="51"/>
        <v>0</v>
      </c>
      <c r="I145" s="577">
        <f t="shared" si="52"/>
        <v>0</v>
      </c>
      <c r="J145" s="514">
        <f t="shared" si="55"/>
        <v>0</v>
      </c>
      <c r="K145" s="514"/>
      <c r="L145" s="525"/>
      <c r="M145" s="514">
        <f t="shared" si="56"/>
        <v>0</v>
      </c>
      <c r="N145" s="525"/>
      <c r="O145" s="514">
        <f t="shared" si="57"/>
        <v>0</v>
      </c>
      <c r="P145" s="514">
        <f t="shared" si="58"/>
        <v>0</v>
      </c>
      <c r="Q145" s="269"/>
    </row>
    <row r="146" spans="2:17">
      <c r="B146" s="195" t="str">
        <f t="shared" si="37"/>
        <v/>
      </c>
      <c r="C146" s="507">
        <f>IF(D93="","-",+C145+1)</f>
        <v>2054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53"/>
        <v>0</v>
      </c>
      <c r="G146" s="523">
        <f t="shared" si="54"/>
        <v>0</v>
      </c>
      <c r="H146" s="526">
        <f t="shared" si="51"/>
        <v>0</v>
      </c>
      <c r="I146" s="577">
        <f t="shared" si="52"/>
        <v>0</v>
      </c>
      <c r="J146" s="514">
        <f t="shared" si="55"/>
        <v>0</v>
      </c>
      <c r="K146" s="514"/>
      <c r="L146" s="525"/>
      <c r="M146" s="514">
        <f t="shared" si="56"/>
        <v>0</v>
      </c>
      <c r="N146" s="525"/>
      <c r="O146" s="514">
        <f t="shared" si="57"/>
        <v>0</v>
      </c>
      <c r="P146" s="514">
        <f t="shared" si="58"/>
        <v>0</v>
      </c>
      <c r="Q146" s="269"/>
    </row>
    <row r="147" spans="2:17">
      <c r="B147" s="195" t="str">
        <f t="shared" si="37"/>
        <v/>
      </c>
      <c r="C147" s="507">
        <f>IF(D93="","-",+C146+1)</f>
        <v>2055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53"/>
        <v>0</v>
      </c>
      <c r="G147" s="523">
        <f t="shared" si="54"/>
        <v>0</v>
      </c>
      <c r="H147" s="526">
        <f t="shared" si="51"/>
        <v>0</v>
      </c>
      <c r="I147" s="577">
        <f t="shared" si="52"/>
        <v>0</v>
      </c>
      <c r="J147" s="514">
        <f t="shared" si="55"/>
        <v>0</v>
      </c>
      <c r="K147" s="514"/>
      <c r="L147" s="525"/>
      <c r="M147" s="514">
        <f t="shared" si="56"/>
        <v>0</v>
      </c>
      <c r="N147" s="525"/>
      <c r="O147" s="514">
        <f t="shared" si="57"/>
        <v>0</v>
      </c>
      <c r="P147" s="514">
        <f t="shared" si="58"/>
        <v>0</v>
      </c>
      <c r="Q147" s="269"/>
    </row>
    <row r="148" spans="2:17">
      <c r="B148" s="195" t="str">
        <f t="shared" si="37"/>
        <v/>
      </c>
      <c r="C148" s="507">
        <f>IF(D93="","-",+C147+1)</f>
        <v>2056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53"/>
        <v>0</v>
      </c>
      <c r="G148" s="523">
        <f t="shared" si="54"/>
        <v>0</v>
      </c>
      <c r="H148" s="526">
        <f t="shared" si="51"/>
        <v>0</v>
      </c>
      <c r="I148" s="577">
        <f t="shared" si="52"/>
        <v>0</v>
      </c>
      <c r="J148" s="514">
        <f t="shared" si="55"/>
        <v>0</v>
      </c>
      <c r="K148" s="514"/>
      <c r="L148" s="525"/>
      <c r="M148" s="514">
        <f t="shared" si="56"/>
        <v>0</v>
      </c>
      <c r="N148" s="525"/>
      <c r="O148" s="514">
        <f t="shared" si="57"/>
        <v>0</v>
      </c>
      <c r="P148" s="514">
        <f t="shared" si="58"/>
        <v>0</v>
      </c>
      <c r="Q148" s="269"/>
    </row>
    <row r="149" spans="2:17">
      <c r="B149" s="195" t="str">
        <f t="shared" si="37"/>
        <v/>
      </c>
      <c r="C149" s="507">
        <f>IF(D93="","-",+C148+1)</f>
        <v>2057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53"/>
        <v>0</v>
      </c>
      <c r="G149" s="523">
        <f t="shared" si="54"/>
        <v>0</v>
      </c>
      <c r="H149" s="526">
        <f t="shared" si="51"/>
        <v>0</v>
      </c>
      <c r="I149" s="577">
        <f t="shared" si="52"/>
        <v>0</v>
      </c>
      <c r="J149" s="514">
        <f t="shared" si="55"/>
        <v>0</v>
      </c>
      <c r="K149" s="514"/>
      <c r="L149" s="525"/>
      <c r="M149" s="514">
        <f t="shared" si="56"/>
        <v>0</v>
      </c>
      <c r="N149" s="525"/>
      <c r="O149" s="514">
        <f t="shared" si="57"/>
        <v>0</v>
      </c>
      <c r="P149" s="514">
        <f t="shared" si="58"/>
        <v>0</v>
      </c>
      <c r="Q149" s="269"/>
    </row>
    <row r="150" spans="2:17">
      <c r="B150" s="195" t="str">
        <f t="shared" si="37"/>
        <v/>
      </c>
      <c r="C150" s="507">
        <f>IF(D93="","-",+C149+1)</f>
        <v>2058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53"/>
        <v>0</v>
      </c>
      <c r="G150" s="523">
        <f t="shared" si="54"/>
        <v>0</v>
      </c>
      <c r="H150" s="526">
        <f t="shared" si="51"/>
        <v>0</v>
      </c>
      <c r="I150" s="577">
        <f t="shared" si="52"/>
        <v>0</v>
      </c>
      <c r="J150" s="514">
        <f t="shared" si="55"/>
        <v>0</v>
      </c>
      <c r="K150" s="514"/>
      <c r="L150" s="525"/>
      <c r="M150" s="514">
        <f t="shared" si="56"/>
        <v>0</v>
      </c>
      <c r="N150" s="525"/>
      <c r="O150" s="514">
        <f t="shared" si="57"/>
        <v>0</v>
      </c>
      <c r="P150" s="514">
        <f t="shared" si="58"/>
        <v>0</v>
      </c>
      <c r="Q150" s="269"/>
    </row>
    <row r="151" spans="2:17">
      <c r="B151" s="195" t="str">
        <f t="shared" si="37"/>
        <v/>
      </c>
      <c r="C151" s="507">
        <f>IF(D93="","-",+C150+1)</f>
        <v>2059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53"/>
        <v>0</v>
      </c>
      <c r="G151" s="523">
        <f t="shared" si="54"/>
        <v>0</v>
      </c>
      <c r="H151" s="526">
        <f t="shared" si="51"/>
        <v>0</v>
      </c>
      <c r="I151" s="577">
        <f t="shared" si="52"/>
        <v>0</v>
      </c>
      <c r="J151" s="514">
        <f t="shared" si="55"/>
        <v>0</v>
      </c>
      <c r="K151" s="514"/>
      <c r="L151" s="525"/>
      <c r="M151" s="514">
        <f t="shared" si="56"/>
        <v>0</v>
      </c>
      <c r="N151" s="525"/>
      <c r="O151" s="514">
        <f t="shared" si="57"/>
        <v>0</v>
      </c>
      <c r="P151" s="514">
        <f t="shared" si="58"/>
        <v>0</v>
      </c>
      <c r="Q151" s="269"/>
    </row>
    <row r="152" spans="2:17">
      <c r="B152" s="195" t="str">
        <f t="shared" si="37"/>
        <v/>
      </c>
      <c r="C152" s="507">
        <f>IF(D93="","-",+C151+1)</f>
        <v>2060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53"/>
        <v>0</v>
      </c>
      <c r="G152" s="523">
        <f t="shared" si="54"/>
        <v>0</v>
      </c>
      <c r="H152" s="526">
        <f t="shared" si="51"/>
        <v>0</v>
      </c>
      <c r="I152" s="577">
        <f t="shared" si="52"/>
        <v>0</v>
      </c>
      <c r="J152" s="514">
        <f t="shared" si="55"/>
        <v>0</v>
      </c>
      <c r="K152" s="514"/>
      <c r="L152" s="525"/>
      <c r="M152" s="514">
        <f t="shared" si="56"/>
        <v>0</v>
      </c>
      <c r="N152" s="525"/>
      <c r="O152" s="514">
        <f t="shared" si="57"/>
        <v>0</v>
      </c>
      <c r="P152" s="514">
        <f t="shared" si="58"/>
        <v>0</v>
      </c>
      <c r="Q152" s="269"/>
    </row>
    <row r="153" spans="2:17">
      <c r="B153" s="195" t="str">
        <f t="shared" si="37"/>
        <v/>
      </c>
      <c r="C153" s="507">
        <f>IF(D93="","-",+C152+1)</f>
        <v>2061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53"/>
        <v>0</v>
      </c>
      <c r="G153" s="523">
        <f t="shared" si="54"/>
        <v>0</v>
      </c>
      <c r="H153" s="526">
        <f t="shared" si="51"/>
        <v>0</v>
      </c>
      <c r="I153" s="577">
        <f t="shared" si="52"/>
        <v>0</v>
      </c>
      <c r="J153" s="514">
        <f t="shared" si="55"/>
        <v>0</v>
      </c>
      <c r="K153" s="514"/>
      <c r="L153" s="525"/>
      <c r="M153" s="514">
        <f t="shared" si="56"/>
        <v>0</v>
      </c>
      <c r="N153" s="525"/>
      <c r="O153" s="514">
        <f t="shared" si="57"/>
        <v>0</v>
      </c>
      <c r="P153" s="514">
        <f t="shared" si="58"/>
        <v>0</v>
      </c>
      <c r="Q153" s="269"/>
    </row>
    <row r="154" spans="2:17" ht="13.5" thickBot="1">
      <c r="B154" s="195" t="str">
        <f t="shared" si="37"/>
        <v/>
      </c>
      <c r="C154" s="527">
        <f>IF(D93="","-",+C153+1)</f>
        <v>2062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53"/>
        <v>0</v>
      </c>
      <c r="G154" s="528">
        <f t="shared" si="54"/>
        <v>0</v>
      </c>
      <c r="H154" s="530">
        <f t="shared" si="51"/>
        <v>0</v>
      </c>
      <c r="I154" s="579">
        <f t="shared" si="52"/>
        <v>0</v>
      </c>
      <c r="J154" s="533">
        <f t="shared" si="55"/>
        <v>0</v>
      </c>
      <c r="K154" s="514"/>
      <c r="L154" s="532"/>
      <c r="M154" s="533">
        <f t="shared" si="56"/>
        <v>0</v>
      </c>
      <c r="N154" s="532"/>
      <c r="O154" s="533">
        <f t="shared" si="57"/>
        <v>0</v>
      </c>
      <c r="P154" s="533">
        <f t="shared" si="58"/>
        <v>0</v>
      </c>
      <c r="Q154" s="269"/>
    </row>
    <row r="155" spans="2:17">
      <c r="C155" s="374" t="s">
        <v>78</v>
      </c>
      <c r="D155" s="375"/>
      <c r="E155" s="375">
        <f>SUM(E99:E154)</f>
        <v>185246.99999999988</v>
      </c>
      <c r="F155" s="375"/>
      <c r="G155" s="375"/>
      <c r="H155" s="375">
        <f>SUM(H99:H154)</f>
        <v>654623.81413160742</v>
      </c>
      <c r="I155" s="375">
        <f>SUM(I99:I154)</f>
        <v>654623.81413160742</v>
      </c>
      <c r="J155" s="375">
        <f>SUM(J99:J154)</f>
        <v>0</v>
      </c>
      <c r="K155" s="375"/>
      <c r="L155" s="375"/>
      <c r="M155" s="375"/>
      <c r="N155" s="375"/>
      <c r="O155" s="375"/>
      <c r="P155" s="269"/>
      <c r="Q155" s="269"/>
    </row>
    <row r="156" spans="2:17"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  <c r="Q156" s="269"/>
    </row>
    <row r="157" spans="2:17">
      <c r="C157" s="580" t="s">
        <v>92</v>
      </c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  <c r="Q157" s="269"/>
    </row>
    <row r="158" spans="2:17"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  <c r="Q158" s="269"/>
    </row>
    <row r="159" spans="2:17">
      <c r="C159" s="534" t="s">
        <v>97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  <c r="Q159" s="269"/>
    </row>
    <row r="160" spans="2:17">
      <c r="C160" s="581" t="s">
        <v>79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  <c r="Q160" s="269"/>
    </row>
    <row r="161" spans="3:17">
      <c r="C161" s="581" t="s">
        <v>80</v>
      </c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  <c r="Q161" s="269"/>
    </row>
    <row r="162" spans="3:17" ht="18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454" t="s">
        <v>131</v>
      </c>
      <c r="Q162" s="269"/>
    </row>
  </sheetData>
  <phoneticPr fontId="0" type="noConversion"/>
  <conditionalFormatting sqref="C17:C72">
    <cfRule type="cellIs" dxfId="139" priority="1" stopIfTrue="1" operator="equal">
      <formula>$I$10</formula>
    </cfRule>
  </conditionalFormatting>
  <conditionalFormatting sqref="C99:C154">
    <cfRule type="cellIs" dxfId="138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  <legacy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62"/>
  <dimension ref="A1:Q162"/>
  <sheetViews>
    <sheetView topLeftCell="A92" zoomScaleNormal="100" zoomScaleSheetLayoutView="75" workbookViewId="0">
      <selection activeCell="D99" sqref="D99:I115"/>
    </sheetView>
  </sheetViews>
  <sheetFormatPr defaultColWidth="8.7109375" defaultRowHeight="12.75" customHeight="1"/>
  <cols>
    <col min="1" max="1" width="4.7109375" style="183" customWidth="1"/>
    <col min="2" max="2" width="6.7109375" style="183" customWidth="1"/>
    <col min="3" max="3" width="23.28515625" style="183" customWidth="1"/>
    <col min="4" max="8" width="17.7109375" style="183" customWidth="1"/>
    <col min="9" max="9" width="20.42578125" style="183" customWidth="1"/>
    <col min="10" max="10" width="16.42578125" style="183" customWidth="1"/>
    <col min="11" max="11" width="17.7109375" style="183" customWidth="1"/>
    <col min="12" max="12" width="16.140625" style="183" customWidth="1"/>
    <col min="13" max="13" width="17.7109375" style="183" customWidth="1"/>
    <col min="14" max="14" width="16.140625" style="183" customWidth="1"/>
    <col min="15" max="15" width="16.85546875" style="183" customWidth="1"/>
    <col min="16" max="16" width="24.42578125" style="183" customWidth="1"/>
    <col min="17" max="17" width="4.7109375" style="183" customWidth="1"/>
    <col min="18" max="22" width="8.7109375" style="183"/>
    <col min="23" max="23" width="9.140625" style="183" customWidth="1"/>
    <col min="24" max="16384" width="8.7109375" style="183"/>
  </cols>
  <sheetData>
    <row r="1" spans="1:17" ht="20.25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13 of 75</v>
      </c>
      <c r="Q1" s="453"/>
    </row>
    <row r="2" spans="1:17" ht="18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454" t="s">
        <v>129</v>
      </c>
    </row>
    <row r="3" spans="1:17" ht="18.75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 t="str">
        <f>RIGHT(N3,3)</f>
        <v/>
      </c>
      <c r="P3" s="455">
        <v>1</v>
      </c>
    </row>
    <row r="4" spans="1:17" ht="15.75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7" ht="1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552033.32523957</v>
      </c>
      <c r="P5" s="269"/>
    </row>
    <row r="6" spans="1:17" ht="15.7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552033.32523957</v>
      </c>
      <c r="O6" s="269"/>
      <c r="P6" s="269"/>
    </row>
    <row r="7" spans="1:17" ht="13.5" thickBot="1">
      <c r="C7" s="467" t="s">
        <v>48</v>
      </c>
      <c r="D7" s="611" t="s">
        <v>150</v>
      </c>
      <c r="E7" s="269"/>
      <c r="F7" s="269"/>
      <c r="G7" s="269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7" ht="13.5" thickBot="1">
      <c r="C8" s="472"/>
      <c r="D8" s="473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7" ht="13.5" thickBot="1">
      <c r="A9" s="191"/>
      <c r="C9" s="476" t="s">
        <v>50</v>
      </c>
      <c r="D9" s="477" t="s">
        <v>151</v>
      </c>
      <c r="E9" s="666" t="s">
        <v>481</v>
      </c>
      <c r="F9" s="478"/>
      <c r="G9" s="478"/>
      <c r="H9" s="478"/>
      <c r="I9" s="479"/>
      <c r="J9" s="480"/>
      <c r="O9" s="481"/>
      <c r="P9" s="272"/>
    </row>
    <row r="10" spans="1:17">
      <c r="C10" s="482" t="s">
        <v>51</v>
      </c>
      <c r="D10" s="483">
        <v>5731607</v>
      </c>
      <c r="E10" s="353" t="s">
        <v>52</v>
      </c>
      <c r="F10" s="481"/>
      <c r="G10" s="484"/>
      <c r="H10" s="484"/>
      <c r="I10" s="485">
        <f>+'SWE.WS.F.BPU.ATRR.Projected'!L19</f>
        <v>2024</v>
      </c>
      <c r="J10" s="480"/>
      <c r="K10" s="375" t="s">
        <v>53</v>
      </c>
      <c r="O10" s="272"/>
      <c r="P10" s="272"/>
    </row>
    <row r="11" spans="1:17">
      <c r="C11" s="486" t="s">
        <v>54</v>
      </c>
      <c r="D11" s="487">
        <v>2006</v>
      </c>
      <c r="E11" s="486" t="s">
        <v>55</v>
      </c>
      <c r="F11" s="484"/>
      <c r="G11" s="233"/>
      <c r="H11" s="233"/>
      <c r="I11" s="488"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7">
      <c r="C12" s="486" t="s">
        <v>56</v>
      </c>
      <c r="D12" s="483">
        <v>4</v>
      </c>
      <c r="E12" s="486" t="s">
        <v>57</v>
      </c>
      <c r="F12" s="484"/>
      <c r="G12" s="233"/>
      <c r="H12" s="233"/>
      <c r="I12" s="490">
        <f>'SWE.WS.F.BPU.ATRR.Projected'!$F$81</f>
        <v>0.11952713165403545</v>
      </c>
      <c r="J12" s="425"/>
      <c r="K12" s="183" t="s">
        <v>58</v>
      </c>
      <c r="O12" s="272"/>
      <c r="P12" s="272"/>
    </row>
    <row r="13" spans="1:17">
      <c r="C13" s="486" t="s">
        <v>59</v>
      </c>
      <c r="D13" s="488">
        <f>+'SWE.WS.F.BPU.ATRR.Projected'!F$93</f>
        <v>44</v>
      </c>
      <c r="E13" s="486" t="s">
        <v>60</v>
      </c>
      <c r="F13" s="484"/>
      <c r="G13" s="233"/>
      <c r="H13" s="233"/>
      <c r="I13" s="490">
        <f>IF(G5="",I12,'SWE.WS.F.BPU.ATRR.Projected'!$F$80)</f>
        <v>0.11952713165403545</v>
      </c>
      <c r="J13" s="425"/>
      <c r="K13" s="375" t="s">
        <v>61</v>
      </c>
      <c r="L13" s="324"/>
      <c r="M13" s="324"/>
      <c r="N13" s="324"/>
      <c r="O13" s="272"/>
      <c r="P13" s="272"/>
    </row>
    <row r="14" spans="1:17" ht="13.5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130263.79545454546</v>
      </c>
      <c r="J14" s="375"/>
      <c r="K14" s="375"/>
      <c r="L14" s="375"/>
      <c r="M14" s="375"/>
      <c r="N14" s="375"/>
      <c r="O14" s="272"/>
      <c r="P14" s="272"/>
    </row>
    <row r="15" spans="1:17" ht="38.25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388</v>
      </c>
      <c r="H15" s="495" t="s">
        <v>389</v>
      </c>
      <c r="I15" s="496" t="s">
        <v>260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7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>
      <c r="C17" s="507">
        <f>IF(D11= "","-",D11)</f>
        <v>2006</v>
      </c>
      <c r="D17" s="508">
        <v>3884542</v>
      </c>
      <c r="E17" s="509">
        <v>69992</v>
      </c>
      <c r="F17" s="508">
        <v>3814550</v>
      </c>
      <c r="G17" s="509">
        <v>508462</v>
      </c>
      <c r="H17" s="510">
        <v>508462</v>
      </c>
      <c r="I17" s="596">
        <f t="shared" ref="I17:I48" si="0">H17-G17</f>
        <v>0</v>
      </c>
      <c r="J17" s="511"/>
      <c r="K17" s="512">
        <v>0</v>
      </c>
      <c r="L17" s="513">
        <f t="shared" ref="L17:L48" si="1">IF(K17&lt;&gt;0,+G17-K17,0)</f>
        <v>0</v>
      </c>
      <c r="M17" s="512">
        <v>0</v>
      </c>
      <c r="N17" s="513">
        <f t="shared" ref="N17:N48" si="2">IF(M17&lt;&gt;0,+H17-M17,0)</f>
        <v>0</v>
      </c>
      <c r="O17" s="514">
        <f t="shared" ref="O17:O48" si="3">+N17-L17</f>
        <v>0</v>
      </c>
      <c r="P17" s="272"/>
    </row>
    <row r="18" spans="2:16">
      <c r="B18" s="195" t="str">
        <f>IF(D18=F17,"","IU")</f>
        <v/>
      </c>
      <c r="C18" s="507">
        <f>IF(D11="","-",+C17+1)</f>
        <v>2007</v>
      </c>
      <c r="D18" s="515">
        <v>3814550</v>
      </c>
      <c r="E18" s="516">
        <v>104988</v>
      </c>
      <c r="F18" s="515">
        <v>3709563</v>
      </c>
      <c r="G18" s="516">
        <v>673524</v>
      </c>
      <c r="H18" s="510">
        <v>673524</v>
      </c>
      <c r="I18" s="596">
        <f t="shared" si="0"/>
        <v>0</v>
      </c>
      <c r="J18" s="511"/>
      <c r="K18" s="518">
        <v>0</v>
      </c>
      <c r="L18" s="514">
        <f t="shared" si="1"/>
        <v>0</v>
      </c>
      <c r="M18" s="518">
        <v>0</v>
      </c>
      <c r="N18" s="514">
        <f t="shared" si="2"/>
        <v>0</v>
      </c>
      <c r="O18" s="514">
        <f t="shared" si="3"/>
        <v>0</v>
      </c>
      <c r="P18" s="272"/>
    </row>
    <row r="19" spans="2:16">
      <c r="B19" s="195" t="str">
        <f>IF(D19=F18,"","IU")</f>
        <v>IU</v>
      </c>
      <c r="C19" s="612">
        <f>IF(D11="","-",+C18+1)</f>
        <v>2008</v>
      </c>
      <c r="D19" s="515">
        <v>5654153</v>
      </c>
      <c r="E19" s="516">
        <v>154908</v>
      </c>
      <c r="F19" s="515">
        <v>5499245</v>
      </c>
      <c r="G19" s="516">
        <v>999621</v>
      </c>
      <c r="H19" s="510">
        <v>999621</v>
      </c>
      <c r="I19" s="596">
        <f t="shared" si="0"/>
        <v>0</v>
      </c>
      <c r="J19" s="511"/>
      <c r="K19" s="518">
        <v>999621</v>
      </c>
      <c r="L19" s="514">
        <f t="shared" si="1"/>
        <v>0</v>
      </c>
      <c r="M19" s="518">
        <f>K19</f>
        <v>999621</v>
      </c>
      <c r="N19" s="514">
        <f t="shared" si="2"/>
        <v>0</v>
      </c>
      <c r="O19" s="514">
        <f t="shared" si="3"/>
        <v>0</v>
      </c>
      <c r="P19" s="272"/>
    </row>
    <row r="20" spans="2:16">
      <c r="B20" s="195" t="str">
        <f t="shared" ref="B20:B72" si="4">IF(D20=F19,"","IU")</f>
        <v>IU</v>
      </c>
      <c r="C20" s="507">
        <f>IF(D11="","-",+C19+1)</f>
        <v>2009</v>
      </c>
      <c r="D20" s="515">
        <v>3604575</v>
      </c>
      <c r="E20" s="516">
        <v>104988</v>
      </c>
      <c r="F20" s="515">
        <v>3499587</v>
      </c>
      <c r="G20" s="516">
        <v>641343</v>
      </c>
      <c r="H20" s="510">
        <v>641343</v>
      </c>
      <c r="I20" s="596">
        <f t="shared" si="0"/>
        <v>0</v>
      </c>
      <c r="J20" s="511"/>
      <c r="K20" s="518">
        <v>641343</v>
      </c>
      <c r="L20" s="514">
        <f t="shared" si="1"/>
        <v>0</v>
      </c>
      <c r="M20" s="518">
        <v>641343</v>
      </c>
      <c r="N20" s="514">
        <f t="shared" si="2"/>
        <v>0</v>
      </c>
      <c r="O20" s="514">
        <f t="shared" si="3"/>
        <v>0</v>
      </c>
      <c r="P20" s="272"/>
    </row>
    <row r="21" spans="2:16">
      <c r="B21" s="195" t="str">
        <f t="shared" si="4"/>
        <v>IU</v>
      </c>
      <c r="C21" s="507">
        <f>IF(D12="","-",+C20+1)</f>
        <v>2010</v>
      </c>
      <c r="D21" s="515">
        <v>3449666</v>
      </c>
      <c r="E21" s="516">
        <v>102224.78947368421</v>
      </c>
      <c r="F21" s="515">
        <v>3347441.210526316</v>
      </c>
      <c r="G21" s="516">
        <v>583469.67252567795</v>
      </c>
      <c r="H21" s="510">
        <v>583469.67252567795</v>
      </c>
      <c r="I21" s="598">
        <v>0</v>
      </c>
      <c r="J21" s="511"/>
      <c r="K21" s="518">
        <f t="shared" ref="K21:K26" si="5">G21</f>
        <v>583469.67252567795</v>
      </c>
      <c r="L21" s="519">
        <f t="shared" si="1"/>
        <v>0</v>
      </c>
      <c r="M21" s="518">
        <f t="shared" ref="M21:M26" si="6">H21</f>
        <v>583469.67252567795</v>
      </c>
      <c r="N21" s="514">
        <f t="shared" si="2"/>
        <v>0</v>
      </c>
      <c r="O21" s="514">
        <f t="shared" si="3"/>
        <v>0</v>
      </c>
      <c r="P21" s="272"/>
    </row>
    <row r="22" spans="2:16">
      <c r="B22" s="195" t="str">
        <f t="shared" si="4"/>
        <v/>
      </c>
      <c r="C22" s="507">
        <f>IF(D11="","-",+C21+1)</f>
        <v>2011</v>
      </c>
      <c r="D22" s="515">
        <v>3347441.210526316</v>
      </c>
      <c r="E22" s="516">
        <v>94744.926829268297</v>
      </c>
      <c r="F22" s="515">
        <v>3252696.2836970477</v>
      </c>
      <c r="G22" s="516">
        <v>602790.6645462896</v>
      </c>
      <c r="H22" s="510">
        <v>602790.6645462896</v>
      </c>
      <c r="I22" s="517">
        <v>0</v>
      </c>
      <c r="J22" s="511"/>
      <c r="K22" s="518">
        <f t="shared" si="5"/>
        <v>602790.6645462896</v>
      </c>
      <c r="L22" s="519">
        <f t="shared" si="1"/>
        <v>0</v>
      </c>
      <c r="M22" s="518">
        <f t="shared" si="6"/>
        <v>602790.6645462896</v>
      </c>
      <c r="N22" s="514">
        <f t="shared" si="2"/>
        <v>0</v>
      </c>
      <c r="O22" s="514">
        <f t="shared" si="3"/>
        <v>0</v>
      </c>
      <c r="P22" s="272"/>
    </row>
    <row r="23" spans="2:16">
      <c r="B23" s="195" t="str">
        <f t="shared" si="4"/>
        <v/>
      </c>
      <c r="C23" s="507">
        <f>IF(D11="","-",+C22+1)</f>
        <v>2012</v>
      </c>
      <c r="D23" s="515">
        <v>3252696.2836970477</v>
      </c>
      <c r="E23" s="520">
        <v>92489.095238095237</v>
      </c>
      <c r="F23" s="515">
        <v>3160207.1884589526</v>
      </c>
      <c r="G23" s="516">
        <v>562475.55094765779</v>
      </c>
      <c r="H23" s="510">
        <v>562475.55094765779</v>
      </c>
      <c r="I23" s="517">
        <v>0</v>
      </c>
      <c r="J23" s="511"/>
      <c r="K23" s="518">
        <f t="shared" si="5"/>
        <v>562475.55094765779</v>
      </c>
      <c r="L23" s="519">
        <f t="shared" si="1"/>
        <v>0</v>
      </c>
      <c r="M23" s="518">
        <f t="shared" si="6"/>
        <v>562475.55094765779</v>
      </c>
      <c r="N23" s="514">
        <f t="shared" si="2"/>
        <v>0</v>
      </c>
      <c r="O23" s="514">
        <f t="shared" si="3"/>
        <v>0</v>
      </c>
      <c r="P23" s="272"/>
    </row>
    <row r="24" spans="2:16">
      <c r="B24" s="195" t="str">
        <f t="shared" si="4"/>
        <v/>
      </c>
      <c r="C24" s="507">
        <f>IF(D11="","-",+C23+1)</f>
        <v>2013</v>
      </c>
      <c r="D24" s="608">
        <v>3160207.1884589526</v>
      </c>
      <c r="E24" s="609">
        <v>92489.095238095237</v>
      </c>
      <c r="F24" s="608">
        <v>3067718.0932208574</v>
      </c>
      <c r="G24" s="609">
        <v>521929.99973922677</v>
      </c>
      <c r="H24" s="610">
        <v>521929.99973922677</v>
      </c>
      <c r="I24" s="596">
        <v>0</v>
      </c>
      <c r="J24" s="511"/>
      <c r="K24" s="518">
        <f t="shared" si="5"/>
        <v>521929.99973922677</v>
      </c>
      <c r="L24" s="519">
        <f t="shared" ref="L24:L29" si="7">IF(K24&lt;&gt;0,+G24-K24,0)</f>
        <v>0</v>
      </c>
      <c r="M24" s="518">
        <f t="shared" si="6"/>
        <v>521929.99973922677</v>
      </c>
      <c r="N24" s="514">
        <f t="shared" ref="N24:N29" si="8">IF(M24&lt;&gt;0,+H24-M24,0)</f>
        <v>0</v>
      </c>
      <c r="O24" s="514">
        <f t="shared" ref="O24:O29" si="9">+N24-L24</f>
        <v>0</v>
      </c>
      <c r="P24" s="272"/>
    </row>
    <row r="25" spans="2:16">
      <c r="B25" s="195" t="str">
        <f t="shared" si="4"/>
        <v/>
      </c>
      <c r="C25" s="507">
        <f>IF(D11="","-",+C24+1)</f>
        <v>2014</v>
      </c>
      <c r="D25" s="608">
        <v>3067718.0932208574</v>
      </c>
      <c r="E25" s="609">
        <v>92489.095238095237</v>
      </c>
      <c r="F25" s="608">
        <v>2975228.9979827623</v>
      </c>
      <c r="G25" s="609">
        <v>493878.75151607196</v>
      </c>
      <c r="H25" s="610">
        <v>493878.75151607196</v>
      </c>
      <c r="I25" s="596">
        <v>0</v>
      </c>
      <c r="J25" s="511"/>
      <c r="K25" s="518">
        <f t="shared" si="5"/>
        <v>493878.75151607196</v>
      </c>
      <c r="L25" s="519">
        <f t="shared" si="7"/>
        <v>0</v>
      </c>
      <c r="M25" s="518">
        <f t="shared" si="6"/>
        <v>493878.75151607196</v>
      </c>
      <c r="N25" s="514">
        <f t="shared" si="8"/>
        <v>0</v>
      </c>
      <c r="O25" s="514">
        <f t="shared" si="9"/>
        <v>0</v>
      </c>
      <c r="P25" s="272"/>
    </row>
    <row r="26" spans="2:16">
      <c r="B26" s="195" t="str">
        <f t="shared" si="4"/>
        <v>IU</v>
      </c>
      <c r="C26" s="507">
        <f>IF(D11="","-",+C25+1)</f>
        <v>2015</v>
      </c>
      <c r="D26" s="608">
        <v>4822293.9979827618</v>
      </c>
      <c r="E26" s="609">
        <v>136466.83333333334</v>
      </c>
      <c r="F26" s="608">
        <v>4685827.1646494288</v>
      </c>
      <c r="G26" s="609">
        <v>753612.76745725656</v>
      </c>
      <c r="H26" s="610">
        <v>753612.76745725656</v>
      </c>
      <c r="I26" s="511">
        <v>0</v>
      </c>
      <c r="J26" s="511"/>
      <c r="K26" s="518">
        <f t="shared" si="5"/>
        <v>753612.76745725656</v>
      </c>
      <c r="L26" s="519">
        <f t="shared" si="7"/>
        <v>0</v>
      </c>
      <c r="M26" s="518">
        <f t="shared" si="6"/>
        <v>753612.76745725656</v>
      </c>
      <c r="N26" s="514">
        <f t="shared" si="8"/>
        <v>0</v>
      </c>
      <c r="O26" s="514">
        <f t="shared" si="9"/>
        <v>0</v>
      </c>
      <c r="P26" s="272"/>
    </row>
    <row r="27" spans="2:16">
      <c r="B27" s="195" t="str">
        <f t="shared" si="4"/>
        <v/>
      </c>
      <c r="C27" s="507">
        <f>IF(D11="","-",+C26+1)</f>
        <v>2016</v>
      </c>
      <c r="D27" s="608">
        <v>4685827.1646494288</v>
      </c>
      <c r="E27" s="609">
        <v>136466.83333333334</v>
      </c>
      <c r="F27" s="608">
        <v>4549360.3313160958</v>
      </c>
      <c r="G27" s="609">
        <v>728247.51158298948</v>
      </c>
      <c r="H27" s="610">
        <v>728247.51158298948</v>
      </c>
      <c r="I27" s="511">
        <f t="shared" si="0"/>
        <v>0</v>
      </c>
      <c r="J27" s="511"/>
      <c r="K27" s="518">
        <f t="shared" ref="K27:K32" si="10">G27</f>
        <v>728247.51158298948</v>
      </c>
      <c r="L27" s="519">
        <f t="shared" si="7"/>
        <v>0</v>
      </c>
      <c r="M27" s="518">
        <f t="shared" ref="M27:M32" si="11">H27</f>
        <v>728247.51158298948</v>
      </c>
      <c r="N27" s="514">
        <f t="shared" si="8"/>
        <v>0</v>
      </c>
      <c r="O27" s="514">
        <f t="shared" si="9"/>
        <v>0</v>
      </c>
      <c r="P27" s="272"/>
    </row>
    <row r="28" spans="2:16">
      <c r="B28" s="195" t="str">
        <f t="shared" si="4"/>
        <v/>
      </c>
      <c r="C28" s="507">
        <f>IF(D11="","-",+C27+1)</f>
        <v>2017</v>
      </c>
      <c r="D28" s="608">
        <v>4549360.3313160958</v>
      </c>
      <c r="E28" s="609">
        <v>133293.18604651163</v>
      </c>
      <c r="F28" s="608">
        <v>4416067.1452695839</v>
      </c>
      <c r="G28" s="609">
        <v>688667.94856072206</v>
      </c>
      <c r="H28" s="610">
        <v>688667.94856072206</v>
      </c>
      <c r="I28" s="511">
        <f t="shared" si="0"/>
        <v>0</v>
      </c>
      <c r="J28" s="511"/>
      <c r="K28" s="518">
        <f t="shared" si="10"/>
        <v>688667.94856072206</v>
      </c>
      <c r="L28" s="519">
        <f t="shared" si="7"/>
        <v>0</v>
      </c>
      <c r="M28" s="518">
        <f t="shared" si="11"/>
        <v>688667.94856072206</v>
      </c>
      <c r="N28" s="514">
        <f t="shared" si="8"/>
        <v>0</v>
      </c>
      <c r="O28" s="514">
        <f t="shared" si="9"/>
        <v>0</v>
      </c>
      <c r="P28" s="272"/>
    </row>
    <row r="29" spans="2:16">
      <c r="B29" s="195" t="str">
        <f t="shared" si="4"/>
        <v>IU</v>
      </c>
      <c r="C29" s="507">
        <f>IF(D11="","-",+C28+1)</f>
        <v>2018</v>
      </c>
      <c r="D29" s="608">
        <v>4549360.3313160958</v>
      </c>
      <c r="E29" s="609">
        <v>133293.18604651163</v>
      </c>
      <c r="F29" s="608">
        <v>4416067.1452695839</v>
      </c>
      <c r="G29" s="609">
        <v>688667.94856072206</v>
      </c>
      <c r="H29" s="610">
        <v>688667.94856072206</v>
      </c>
      <c r="I29" s="511">
        <f t="shared" si="0"/>
        <v>0</v>
      </c>
      <c r="J29" s="511"/>
      <c r="K29" s="518">
        <f t="shared" si="10"/>
        <v>688667.94856072206</v>
      </c>
      <c r="L29" s="519">
        <f t="shared" si="7"/>
        <v>0</v>
      </c>
      <c r="M29" s="518">
        <f t="shared" si="11"/>
        <v>688667.94856072206</v>
      </c>
      <c r="N29" s="514">
        <f t="shared" si="8"/>
        <v>0</v>
      </c>
      <c r="O29" s="514">
        <f t="shared" si="9"/>
        <v>0</v>
      </c>
      <c r="P29" s="272"/>
    </row>
    <row r="30" spans="2:16">
      <c r="B30" s="195" t="str">
        <f t="shared" si="4"/>
        <v>IU</v>
      </c>
      <c r="C30" s="507">
        <f>IF(D11="","-",+C29+1)</f>
        <v>2019</v>
      </c>
      <c r="D30" s="608">
        <v>4282773.9592230711</v>
      </c>
      <c r="E30" s="609">
        <v>139795.29268292684</v>
      </c>
      <c r="F30" s="608">
        <v>4142978.6665401445</v>
      </c>
      <c r="G30" s="609">
        <v>675227.01156482252</v>
      </c>
      <c r="H30" s="610">
        <v>675227.01156482252</v>
      </c>
      <c r="I30" s="511">
        <f t="shared" si="0"/>
        <v>0</v>
      </c>
      <c r="J30" s="511"/>
      <c r="K30" s="518">
        <f t="shared" si="10"/>
        <v>675227.01156482252</v>
      </c>
      <c r="L30" s="519">
        <f t="shared" ref="L30" si="12">IF(K30&lt;&gt;0,+G30-K30,0)</f>
        <v>0</v>
      </c>
      <c r="M30" s="518">
        <f t="shared" si="11"/>
        <v>675227.01156482252</v>
      </c>
      <c r="N30" s="514">
        <f t="shared" si="2"/>
        <v>0</v>
      </c>
      <c r="O30" s="514">
        <f t="shared" si="3"/>
        <v>0</v>
      </c>
      <c r="P30" s="272"/>
    </row>
    <row r="31" spans="2:16">
      <c r="B31" s="195" t="str">
        <f t="shared" si="4"/>
        <v/>
      </c>
      <c r="C31" s="507">
        <f>IF(D11="","-",+C30+1)</f>
        <v>2020</v>
      </c>
      <c r="D31" s="608">
        <v>4142978.6665401445</v>
      </c>
      <c r="E31" s="609">
        <v>139795.29268292684</v>
      </c>
      <c r="F31" s="608">
        <v>4003183.3738572178</v>
      </c>
      <c r="G31" s="609">
        <v>556615.89330498932</v>
      </c>
      <c r="H31" s="610">
        <v>556615.89330498932</v>
      </c>
      <c r="I31" s="511">
        <f t="shared" si="0"/>
        <v>0</v>
      </c>
      <c r="J31" s="511"/>
      <c r="K31" s="518">
        <f t="shared" si="10"/>
        <v>556615.89330498932</v>
      </c>
      <c r="L31" s="519">
        <f t="shared" ref="L31" si="13">IF(K31&lt;&gt;0,+G31-K31,0)</f>
        <v>0</v>
      </c>
      <c r="M31" s="518">
        <f t="shared" si="11"/>
        <v>556615.89330498932</v>
      </c>
      <c r="N31" s="514">
        <f t="shared" si="2"/>
        <v>0</v>
      </c>
      <c r="O31" s="514">
        <f t="shared" si="3"/>
        <v>0</v>
      </c>
      <c r="P31" s="272"/>
    </row>
    <row r="32" spans="2:16">
      <c r="B32" s="195" t="str">
        <f t="shared" si="4"/>
        <v/>
      </c>
      <c r="C32" s="507">
        <f>IF(D11="","-",+C31+1)</f>
        <v>2021</v>
      </c>
      <c r="D32" s="608">
        <v>4003183.3738572178</v>
      </c>
      <c r="E32" s="609">
        <v>136466.83333333334</v>
      </c>
      <c r="F32" s="608">
        <v>3866716.5405238844</v>
      </c>
      <c r="G32" s="609">
        <v>553589.41331080301</v>
      </c>
      <c r="H32" s="610">
        <v>553589.41331080301</v>
      </c>
      <c r="I32" s="511">
        <f t="shared" si="0"/>
        <v>0</v>
      </c>
      <c r="J32" s="511"/>
      <c r="K32" s="518">
        <f t="shared" si="10"/>
        <v>553589.41331080301</v>
      </c>
      <c r="L32" s="519">
        <f t="shared" ref="L32" si="14">IF(K32&lt;&gt;0,+G32-K32,0)</f>
        <v>0</v>
      </c>
      <c r="M32" s="518">
        <f t="shared" si="11"/>
        <v>553589.41331080301</v>
      </c>
      <c r="N32" s="514">
        <f t="shared" si="2"/>
        <v>0</v>
      </c>
      <c r="O32" s="514">
        <f t="shared" si="3"/>
        <v>0</v>
      </c>
      <c r="P32" s="272"/>
    </row>
    <row r="33" spans="2:16">
      <c r="B33" s="195" t="str">
        <f t="shared" si="4"/>
        <v/>
      </c>
      <c r="C33" s="507">
        <f>IF(D11="","-",+C32+1)</f>
        <v>2022</v>
      </c>
      <c r="D33" s="608">
        <v>3866716.5405238844</v>
      </c>
      <c r="E33" s="609">
        <v>136466.83333333334</v>
      </c>
      <c r="F33" s="608">
        <v>3730249.7071905509</v>
      </c>
      <c r="G33" s="609">
        <v>563583.83772104234</v>
      </c>
      <c r="H33" s="610">
        <v>563583.83772104234</v>
      </c>
      <c r="I33" s="511">
        <f t="shared" si="0"/>
        <v>0</v>
      </c>
      <c r="J33" s="511"/>
      <c r="K33" s="518">
        <f t="shared" ref="K33" si="15">G33</f>
        <v>563583.83772104234</v>
      </c>
      <c r="L33" s="519">
        <f t="shared" ref="L33" si="16">IF(K33&lt;&gt;0,+G33-K33,0)</f>
        <v>0</v>
      </c>
      <c r="M33" s="518">
        <f t="shared" ref="M33" si="17">H33</f>
        <v>563583.83772104234</v>
      </c>
      <c r="N33" s="514">
        <f t="shared" si="2"/>
        <v>0</v>
      </c>
      <c r="O33" s="514">
        <f t="shared" si="3"/>
        <v>0</v>
      </c>
      <c r="P33" s="272"/>
    </row>
    <row r="34" spans="2:16">
      <c r="B34" s="195" t="str">
        <f t="shared" si="4"/>
        <v/>
      </c>
      <c r="C34" s="507">
        <f>IF(D11="","-",+C33+1)</f>
        <v>2023</v>
      </c>
      <c r="D34" s="608">
        <v>3730249.7071905509</v>
      </c>
      <c r="E34" s="609">
        <v>136466.83333333334</v>
      </c>
      <c r="F34" s="608">
        <v>3593782.8738572174</v>
      </c>
      <c r="G34" s="609">
        <v>599077.58884428418</v>
      </c>
      <c r="H34" s="610">
        <v>599077.58884428418</v>
      </c>
      <c r="I34" s="511">
        <f t="shared" si="0"/>
        <v>0</v>
      </c>
      <c r="J34" s="511"/>
      <c r="K34" s="518">
        <f t="shared" ref="K34" si="18">G34</f>
        <v>599077.58884428418</v>
      </c>
      <c r="L34" s="519">
        <f t="shared" ref="L34" si="19">IF(K34&lt;&gt;0,+G34-K34,0)</f>
        <v>0</v>
      </c>
      <c r="M34" s="518">
        <f t="shared" ref="M34" si="20">H34</f>
        <v>599077.58884428418</v>
      </c>
      <c r="N34" s="514">
        <f t="shared" ref="N34" si="21">IF(M34&lt;&gt;0,+H34-M34,0)</f>
        <v>0</v>
      </c>
      <c r="O34" s="514">
        <f t="shared" ref="O34" si="22">+N34-L34</f>
        <v>0</v>
      </c>
      <c r="P34" s="272"/>
    </row>
    <row r="35" spans="2:16">
      <c r="B35" s="195" t="str">
        <f t="shared" si="4"/>
        <v/>
      </c>
      <c r="C35" s="673">
        <f>IF(D11="","-",+C34+1)</f>
        <v>2024</v>
      </c>
      <c r="D35" s="523">
        <f>IF(F34+SUM(E$17:E34)=D$10,F34,D$10-SUM(E$17:E34))</f>
        <v>3593782.8738572174</v>
      </c>
      <c r="E35" s="522">
        <f>IF(+I14&lt;F34,I14,D35)</f>
        <v>130263.79545454546</v>
      </c>
      <c r="F35" s="523">
        <f t="shared" ref="F35:F48" si="23">+D35-E35</f>
        <v>3463519.078402672</v>
      </c>
      <c r="G35" s="524">
        <f t="shared" ref="G35:G72" si="24">+I$12*((D35+F35)/2)+E35</f>
        <v>552033.32523957</v>
      </c>
      <c r="H35" s="491">
        <f t="shared" ref="H35:H72" si="25">+I$13*((D35+F35)/2)+E35</f>
        <v>552033.32523957</v>
      </c>
      <c r="I35" s="511">
        <f t="shared" si="0"/>
        <v>0</v>
      </c>
      <c r="J35" s="511"/>
      <c r="K35" s="525"/>
      <c r="L35" s="514">
        <f t="shared" si="1"/>
        <v>0</v>
      </c>
      <c r="M35" s="525"/>
      <c r="N35" s="514">
        <f t="shared" si="2"/>
        <v>0</v>
      </c>
      <c r="O35" s="514">
        <f t="shared" si="3"/>
        <v>0</v>
      </c>
      <c r="P35" s="272"/>
    </row>
    <row r="36" spans="2:16">
      <c r="B36" s="195" t="str">
        <f t="shared" si="4"/>
        <v/>
      </c>
      <c r="C36" s="507">
        <f>IF(D11="","-",+C35+1)</f>
        <v>2025</v>
      </c>
      <c r="D36" s="523">
        <f>IF(F35+SUM(E$17:E35)=D$10,F35,D$10-SUM(E$17:E35))</f>
        <v>3463519.078402672</v>
      </c>
      <c r="E36" s="522">
        <f>IF(+I14&lt;F35,I14,D36)</f>
        <v>130263.79545454546</v>
      </c>
      <c r="F36" s="523">
        <f t="shared" si="23"/>
        <v>3333255.2829481266</v>
      </c>
      <c r="G36" s="524">
        <f t="shared" si="24"/>
        <v>536463.26741052023</v>
      </c>
      <c r="H36" s="491">
        <f t="shared" si="25"/>
        <v>536463.26741052023</v>
      </c>
      <c r="I36" s="511">
        <f t="shared" si="0"/>
        <v>0</v>
      </c>
      <c r="J36" s="511"/>
      <c r="K36" s="525"/>
      <c r="L36" s="514">
        <f t="shared" si="1"/>
        <v>0</v>
      </c>
      <c r="M36" s="525"/>
      <c r="N36" s="514">
        <f t="shared" si="2"/>
        <v>0</v>
      </c>
      <c r="O36" s="514">
        <f t="shared" si="3"/>
        <v>0</v>
      </c>
      <c r="P36" s="272"/>
    </row>
    <row r="37" spans="2:16">
      <c r="B37" s="195" t="str">
        <f t="shared" si="4"/>
        <v/>
      </c>
      <c r="C37" s="507">
        <f>IF(D11="","-",+C36+1)</f>
        <v>2026</v>
      </c>
      <c r="D37" s="523">
        <f>IF(F36+SUM(E$17:E36)=D$10,F36,D$10-SUM(E$17:E36))</f>
        <v>3333255.2829481266</v>
      </c>
      <c r="E37" s="522">
        <f>IF(+I14&lt;F36,I14,D37)</f>
        <v>130263.79545454546</v>
      </c>
      <c r="F37" s="523">
        <f t="shared" si="23"/>
        <v>3202991.4874935811</v>
      </c>
      <c r="G37" s="524">
        <f t="shared" si="24"/>
        <v>520893.20958147047</v>
      </c>
      <c r="H37" s="491">
        <f t="shared" si="25"/>
        <v>520893.20958147047</v>
      </c>
      <c r="I37" s="511">
        <f t="shared" si="0"/>
        <v>0</v>
      </c>
      <c r="J37" s="511"/>
      <c r="K37" s="525"/>
      <c r="L37" s="514">
        <f t="shared" si="1"/>
        <v>0</v>
      </c>
      <c r="M37" s="525"/>
      <c r="N37" s="514">
        <f t="shared" si="2"/>
        <v>0</v>
      </c>
      <c r="O37" s="514">
        <f t="shared" si="3"/>
        <v>0</v>
      </c>
      <c r="P37" s="272"/>
    </row>
    <row r="38" spans="2:16">
      <c r="B38" s="195" t="str">
        <f t="shared" si="4"/>
        <v/>
      </c>
      <c r="C38" s="507">
        <f>IF(D11="","-",+C37+1)</f>
        <v>2027</v>
      </c>
      <c r="D38" s="523">
        <f>IF(F37+SUM(E$17:E37)=D$10,F37,D$10-SUM(E$17:E37))</f>
        <v>3202991.4874935811</v>
      </c>
      <c r="E38" s="522">
        <f>IF(+I14&lt;F37,I14,D38)</f>
        <v>130263.79545454546</v>
      </c>
      <c r="F38" s="523">
        <f t="shared" si="23"/>
        <v>3072727.6920390357</v>
      </c>
      <c r="G38" s="524">
        <f t="shared" si="24"/>
        <v>505323.1517524207</v>
      </c>
      <c r="H38" s="491">
        <f t="shared" si="25"/>
        <v>505323.1517524207</v>
      </c>
      <c r="I38" s="511">
        <f t="shared" si="0"/>
        <v>0</v>
      </c>
      <c r="J38" s="511"/>
      <c r="K38" s="525"/>
      <c r="L38" s="514">
        <f t="shared" si="1"/>
        <v>0</v>
      </c>
      <c r="M38" s="525"/>
      <c r="N38" s="514">
        <f t="shared" si="2"/>
        <v>0</v>
      </c>
      <c r="O38" s="514">
        <f t="shared" si="3"/>
        <v>0</v>
      </c>
      <c r="P38" s="272"/>
    </row>
    <row r="39" spans="2:16">
      <c r="B39" s="195" t="str">
        <f t="shared" si="4"/>
        <v/>
      </c>
      <c r="C39" s="507">
        <f>IF(D11="","-",+C38+1)</f>
        <v>2028</v>
      </c>
      <c r="D39" s="523">
        <f>IF(F38+SUM(E$17:E38)=D$10,F38,D$10-SUM(E$17:E38))</f>
        <v>3072727.6920390357</v>
      </c>
      <c r="E39" s="522">
        <f>IF(+I14&lt;F38,I14,D39)</f>
        <v>130263.79545454546</v>
      </c>
      <c r="F39" s="523">
        <f t="shared" si="23"/>
        <v>2942463.8965844903</v>
      </c>
      <c r="G39" s="524">
        <f t="shared" si="24"/>
        <v>489753.09392337088</v>
      </c>
      <c r="H39" s="491">
        <f t="shared" si="25"/>
        <v>489753.09392337088</v>
      </c>
      <c r="I39" s="511">
        <f t="shared" si="0"/>
        <v>0</v>
      </c>
      <c r="J39" s="511"/>
      <c r="K39" s="525"/>
      <c r="L39" s="514">
        <f t="shared" si="1"/>
        <v>0</v>
      </c>
      <c r="M39" s="525"/>
      <c r="N39" s="514">
        <f t="shared" si="2"/>
        <v>0</v>
      </c>
      <c r="O39" s="514">
        <f t="shared" si="3"/>
        <v>0</v>
      </c>
      <c r="P39" s="272"/>
    </row>
    <row r="40" spans="2:16">
      <c r="B40" s="195" t="str">
        <f t="shared" si="4"/>
        <v/>
      </c>
      <c r="C40" s="507">
        <f>IF(D11="","-",+C39+1)</f>
        <v>2029</v>
      </c>
      <c r="D40" s="523">
        <f>IF(F39+SUM(E$17:E39)=D$10,F39,D$10-SUM(E$17:E39))</f>
        <v>2942463.8965844903</v>
      </c>
      <c r="E40" s="522">
        <f>IF(+I14&lt;F39,I14,D40)</f>
        <v>130263.79545454546</v>
      </c>
      <c r="F40" s="523">
        <f t="shared" si="23"/>
        <v>2812200.1011299449</v>
      </c>
      <c r="G40" s="524">
        <f t="shared" si="24"/>
        <v>474183.03609432111</v>
      </c>
      <c r="H40" s="491">
        <f t="shared" si="25"/>
        <v>474183.03609432111</v>
      </c>
      <c r="I40" s="511">
        <f t="shared" si="0"/>
        <v>0</v>
      </c>
      <c r="J40" s="511"/>
      <c r="K40" s="525"/>
      <c r="L40" s="514">
        <f t="shared" si="1"/>
        <v>0</v>
      </c>
      <c r="M40" s="525"/>
      <c r="N40" s="514">
        <f t="shared" si="2"/>
        <v>0</v>
      </c>
      <c r="O40" s="514">
        <f t="shared" si="3"/>
        <v>0</v>
      </c>
      <c r="P40" s="272"/>
    </row>
    <row r="41" spans="2:16">
      <c r="B41" s="195" t="str">
        <f t="shared" si="4"/>
        <v/>
      </c>
      <c r="C41" s="507">
        <f>IF(D11="","-",+C40+1)</f>
        <v>2030</v>
      </c>
      <c r="D41" s="523">
        <f>IF(F40+SUM(E$17:E40)=D$10,F40,D$10-SUM(E$17:E40))</f>
        <v>2812200.1011299449</v>
      </c>
      <c r="E41" s="522">
        <f>IF(+I14&lt;F40,I14,D41)</f>
        <v>130263.79545454546</v>
      </c>
      <c r="F41" s="523">
        <f t="shared" si="23"/>
        <v>2681936.3056753995</v>
      </c>
      <c r="G41" s="524">
        <f t="shared" si="24"/>
        <v>458612.97826527129</v>
      </c>
      <c r="H41" s="491">
        <f t="shared" si="25"/>
        <v>458612.97826527129</v>
      </c>
      <c r="I41" s="511">
        <f t="shared" si="0"/>
        <v>0</v>
      </c>
      <c r="J41" s="511"/>
      <c r="K41" s="525"/>
      <c r="L41" s="514">
        <f t="shared" si="1"/>
        <v>0</v>
      </c>
      <c r="M41" s="525"/>
      <c r="N41" s="514">
        <f t="shared" si="2"/>
        <v>0</v>
      </c>
      <c r="O41" s="514">
        <f t="shared" si="3"/>
        <v>0</v>
      </c>
      <c r="P41" s="272"/>
    </row>
    <row r="42" spans="2:16">
      <c r="B42" s="195" t="str">
        <f t="shared" si="4"/>
        <v/>
      </c>
      <c r="C42" s="507">
        <f>IF(D11="","-",+C41+1)</f>
        <v>2031</v>
      </c>
      <c r="D42" s="523">
        <f>IF(F41+SUM(E$17:E41)=D$10,F41,D$10-SUM(E$17:E41))</f>
        <v>2681936.3056753995</v>
      </c>
      <c r="E42" s="522">
        <f>IF(+I14&lt;F41,I14,D42)</f>
        <v>130263.79545454546</v>
      </c>
      <c r="F42" s="523">
        <f t="shared" si="23"/>
        <v>2551672.5102208541</v>
      </c>
      <c r="G42" s="524">
        <f t="shared" si="24"/>
        <v>443042.92043622152</v>
      </c>
      <c r="H42" s="491">
        <f t="shared" si="25"/>
        <v>443042.92043622152</v>
      </c>
      <c r="I42" s="511">
        <f t="shared" si="0"/>
        <v>0</v>
      </c>
      <c r="J42" s="511"/>
      <c r="K42" s="525"/>
      <c r="L42" s="514">
        <f t="shared" si="1"/>
        <v>0</v>
      </c>
      <c r="M42" s="525"/>
      <c r="N42" s="514">
        <f t="shared" si="2"/>
        <v>0</v>
      </c>
      <c r="O42" s="514">
        <f t="shared" si="3"/>
        <v>0</v>
      </c>
      <c r="P42" s="272"/>
    </row>
    <row r="43" spans="2:16">
      <c r="B43" s="195" t="str">
        <f t="shared" si="4"/>
        <v/>
      </c>
      <c r="C43" s="507">
        <f>IF(D11="","-",+C42+1)</f>
        <v>2032</v>
      </c>
      <c r="D43" s="523">
        <f>IF(F42+SUM(E$17:E42)=D$10,F42,D$10-SUM(E$17:E42))</f>
        <v>2551672.5102208541</v>
      </c>
      <c r="E43" s="522">
        <f>IF(+I14&lt;F42,I14,D43)</f>
        <v>130263.79545454546</v>
      </c>
      <c r="F43" s="523">
        <f t="shared" si="23"/>
        <v>2421408.7147663087</v>
      </c>
      <c r="G43" s="524">
        <f t="shared" si="24"/>
        <v>427472.8626071717</v>
      </c>
      <c r="H43" s="491">
        <f t="shared" si="25"/>
        <v>427472.8626071717</v>
      </c>
      <c r="I43" s="511">
        <f t="shared" si="0"/>
        <v>0</v>
      </c>
      <c r="J43" s="511"/>
      <c r="K43" s="525"/>
      <c r="L43" s="514">
        <f t="shared" si="1"/>
        <v>0</v>
      </c>
      <c r="M43" s="525"/>
      <c r="N43" s="514">
        <f t="shared" si="2"/>
        <v>0</v>
      </c>
      <c r="O43" s="514">
        <f t="shared" si="3"/>
        <v>0</v>
      </c>
      <c r="P43" s="272"/>
    </row>
    <row r="44" spans="2:16">
      <c r="B44" s="195" t="str">
        <f t="shared" si="4"/>
        <v/>
      </c>
      <c r="C44" s="507">
        <f>IF(D11="","-",+C43+1)</f>
        <v>2033</v>
      </c>
      <c r="D44" s="523">
        <f>IF(F43+SUM(E$17:E43)=D$10,F43,D$10-SUM(E$17:E43))</f>
        <v>2421408.7147663087</v>
      </c>
      <c r="E44" s="522">
        <f>IF(+I14&lt;F43,I14,D44)</f>
        <v>130263.79545454546</v>
      </c>
      <c r="F44" s="523">
        <f t="shared" si="23"/>
        <v>2291144.9193117633</v>
      </c>
      <c r="G44" s="524">
        <f t="shared" si="24"/>
        <v>411902.80477812194</v>
      </c>
      <c r="H44" s="491">
        <f t="shared" si="25"/>
        <v>411902.80477812194</v>
      </c>
      <c r="I44" s="511">
        <f t="shared" si="0"/>
        <v>0</v>
      </c>
      <c r="J44" s="511"/>
      <c r="K44" s="525"/>
      <c r="L44" s="514">
        <f t="shared" si="1"/>
        <v>0</v>
      </c>
      <c r="M44" s="525"/>
      <c r="N44" s="514">
        <f t="shared" si="2"/>
        <v>0</v>
      </c>
      <c r="O44" s="514">
        <f t="shared" si="3"/>
        <v>0</v>
      </c>
      <c r="P44" s="272"/>
    </row>
    <row r="45" spans="2:16">
      <c r="B45" s="195" t="str">
        <f t="shared" si="4"/>
        <v/>
      </c>
      <c r="C45" s="507">
        <f>IF(D11="","-",+C44+1)</f>
        <v>2034</v>
      </c>
      <c r="D45" s="523">
        <f>IF(F44+SUM(E$17:E44)=D$10,F44,D$10-SUM(E$17:E44))</f>
        <v>2291144.9193117633</v>
      </c>
      <c r="E45" s="522">
        <f>IF(+I14&lt;F44,I14,D45)</f>
        <v>130263.79545454546</v>
      </c>
      <c r="F45" s="523">
        <f t="shared" si="23"/>
        <v>2160881.1238572178</v>
      </c>
      <c r="G45" s="524">
        <f t="shared" si="24"/>
        <v>396332.74694907211</v>
      </c>
      <c r="H45" s="491">
        <f t="shared" si="25"/>
        <v>396332.74694907211</v>
      </c>
      <c r="I45" s="511">
        <f t="shared" si="0"/>
        <v>0</v>
      </c>
      <c r="J45" s="511"/>
      <c r="K45" s="525"/>
      <c r="L45" s="514">
        <f t="shared" si="1"/>
        <v>0</v>
      </c>
      <c r="M45" s="525"/>
      <c r="N45" s="514">
        <f t="shared" si="2"/>
        <v>0</v>
      </c>
      <c r="O45" s="514">
        <f t="shared" si="3"/>
        <v>0</v>
      </c>
      <c r="P45" s="272"/>
    </row>
    <row r="46" spans="2:16">
      <c r="B46" s="195" t="str">
        <f t="shared" si="4"/>
        <v/>
      </c>
      <c r="C46" s="507">
        <f>IF(D11="","-",+C45+1)</f>
        <v>2035</v>
      </c>
      <c r="D46" s="523">
        <f>IF(F45+SUM(E$17:E45)=D$10,F45,D$10-SUM(E$17:E45))</f>
        <v>2160881.1238572178</v>
      </c>
      <c r="E46" s="522">
        <f>IF(+I14&lt;F45,I14,D46)</f>
        <v>130263.79545454546</v>
      </c>
      <c r="F46" s="523">
        <f t="shared" si="23"/>
        <v>2030617.3284026724</v>
      </c>
      <c r="G46" s="524">
        <f t="shared" si="24"/>
        <v>380762.68912002229</v>
      </c>
      <c r="H46" s="491">
        <f t="shared" si="25"/>
        <v>380762.68912002229</v>
      </c>
      <c r="I46" s="511">
        <f t="shared" si="0"/>
        <v>0</v>
      </c>
      <c r="J46" s="511"/>
      <c r="K46" s="525"/>
      <c r="L46" s="514">
        <f t="shared" si="1"/>
        <v>0</v>
      </c>
      <c r="M46" s="525"/>
      <c r="N46" s="514">
        <f t="shared" si="2"/>
        <v>0</v>
      </c>
      <c r="O46" s="514">
        <f t="shared" si="3"/>
        <v>0</v>
      </c>
      <c r="P46" s="272"/>
    </row>
    <row r="47" spans="2:16">
      <c r="B47" s="195" t="str">
        <f t="shared" si="4"/>
        <v/>
      </c>
      <c r="C47" s="507">
        <f>IF(D11="","-",+C46+1)</f>
        <v>2036</v>
      </c>
      <c r="D47" s="523">
        <f>IF(F46+SUM(E$17:E46)=D$10,F46,D$10-SUM(E$17:E46))</f>
        <v>2030617.3284026724</v>
      </c>
      <c r="E47" s="522">
        <f>IF(+I14&lt;F46,I14,D47)</f>
        <v>130263.79545454546</v>
      </c>
      <c r="F47" s="523">
        <f t="shared" si="23"/>
        <v>1900353.532948127</v>
      </c>
      <c r="G47" s="524">
        <f t="shared" si="24"/>
        <v>365192.63129097252</v>
      </c>
      <c r="H47" s="491">
        <f t="shared" si="25"/>
        <v>365192.63129097252</v>
      </c>
      <c r="I47" s="511">
        <f t="shared" si="0"/>
        <v>0</v>
      </c>
      <c r="J47" s="511"/>
      <c r="K47" s="525"/>
      <c r="L47" s="514">
        <f t="shared" si="1"/>
        <v>0</v>
      </c>
      <c r="M47" s="525"/>
      <c r="N47" s="514">
        <f t="shared" si="2"/>
        <v>0</v>
      </c>
      <c r="O47" s="514">
        <f t="shared" si="3"/>
        <v>0</v>
      </c>
      <c r="P47" s="272"/>
    </row>
    <row r="48" spans="2:16">
      <c r="B48" s="195" t="str">
        <f t="shared" si="4"/>
        <v/>
      </c>
      <c r="C48" s="507">
        <f>IF(D11="","-",+C47+1)</f>
        <v>2037</v>
      </c>
      <c r="D48" s="523">
        <f>IF(F47+SUM(E$17:E47)=D$10,F47,D$10-SUM(E$17:E47))</f>
        <v>1900353.532948127</v>
      </c>
      <c r="E48" s="522">
        <f>IF(+I14&lt;F47,I14,D48)</f>
        <v>130263.79545454546</v>
      </c>
      <c r="F48" s="523">
        <f t="shared" si="23"/>
        <v>1770089.7374935816</v>
      </c>
      <c r="G48" s="524">
        <f t="shared" si="24"/>
        <v>349622.5734619227</v>
      </c>
      <c r="H48" s="491">
        <f t="shared" si="25"/>
        <v>349622.5734619227</v>
      </c>
      <c r="I48" s="511">
        <f t="shared" si="0"/>
        <v>0</v>
      </c>
      <c r="J48" s="511"/>
      <c r="K48" s="525"/>
      <c r="L48" s="514">
        <f t="shared" si="1"/>
        <v>0</v>
      </c>
      <c r="M48" s="525"/>
      <c r="N48" s="514">
        <f t="shared" si="2"/>
        <v>0</v>
      </c>
      <c r="O48" s="514">
        <f t="shared" si="3"/>
        <v>0</v>
      </c>
      <c r="P48" s="272"/>
    </row>
    <row r="49" spans="2:17">
      <c r="B49" s="195" t="str">
        <f t="shared" si="4"/>
        <v/>
      </c>
      <c r="C49" s="507">
        <f>IF(D11="","-",+C48+1)</f>
        <v>2038</v>
      </c>
      <c r="D49" s="523">
        <f>IF(F48+SUM(E$17:E48)=D$10,F48,D$10-SUM(E$17:E48))</f>
        <v>1770089.7374935816</v>
      </c>
      <c r="E49" s="522">
        <f>IF(+I14&lt;F48,I14,D49)</f>
        <v>130263.79545454546</v>
      </c>
      <c r="F49" s="523">
        <f t="shared" ref="F49:F72" si="26">+D49-E49</f>
        <v>1639825.9420390362</v>
      </c>
      <c r="G49" s="524">
        <f t="shared" si="24"/>
        <v>334052.51563287294</v>
      </c>
      <c r="H49" s="491">
        <f t="shared" si="25"/>
        <v>334052.51563287294</v>
      </c>
      <c r="I49" s="511">
        <f t="shared" ref="I49:I72" si="27">H49-G49</f>
        <v>0</v>
      </c>
      <c r="J49" s="511"/>
      <c r="K49" s="525"/>
      <c r="L49" s="514">
        <f t="shared" ref="L49:L72" si="28">IF(K49&lt;&gt;0,+G49-K49,0)</f>
        <v>0</v>
      </c>
      <c r="M49" s="525"/>
      <c r="N49" s="514">
        <f t="shared" ref="N49:N72" si="29">IF(M49&lt;&gt;0,+H49-M49,0)</f>
        <v>0</v>
      </c>
      <c r="O49" s="514">
        <f t="shared" ref="O49:O72" si="30">+N49-L49</f>
        <v>0</v>
      </c>
      <c r="P49" s="272"/>
    </row>
    <row r="50" spans="2:17">
      <c r="B50" s="195" t="str">
        <f t="shared" si="4"/>
        <v/>
      </c>
      <c r="C50" s="507">
        <f>IF(D11="","-",+C49+1)</f>
        <v>2039</v>
      </c>
      <c r="D50" s="523">
        <f>IF(F49+SUM(E$17:E49)=D$10,F49,D$10-SUM(E$17:E49))</f>
        <v>1639825.9420390362</v>
      </c>
      <c r="E50" s="522">
        <f>IF(+I14&lt;F49,I14,D50)</f>
        <v>130263.79545454546</v>
      </c>
      <c r="F50" s="523">
        <f t="shared" si="26"/>
        <v>1509562.1465844908</v>
      </c>
      <c r="G50" s="524">
        <f t="shared" si="24"/>
        <v>318482.45780382311</v>
      </c>
      <c r="H50" s="491">
        <f t="shared" si="25"/>
        <v>318482.45780382311</v>
      </c>
      <c r="I50" s="511">
        <f t="shared" si="27"/>
        <v>0</v>
      </c>
      <c r="J50" s="511"/>
      <c r="K50" s="525"/>
      <c r="L50" s="514">
        <f t="shared" si="28"/>
        <v>0</v>
      </c>
      <c r="M50" s="525"/>
      <c r="N50" s="514">
        <f t="shared" si="29"/>
        <v>0</v>
      </c>
      <c r="O50" s="514">
        <f t="shared" si="30"/>
        <v>0</v>
      </c>
      <c r="P50" s="272"/>
    </row>
    <row r="51" spans="2:17">
      <c r="B51" s="195" t="str">
        <f t="shared" si="4"/>
        <v/>
      </c>
      <c r="C51" s="507">
        <f>IF(D11="","-",+C50+1)</f>
        <v>2040</v>
      </c>
      <c r="D51" s="523">
        <f>IF(F50+SUM(E$17:E50)=D$10,F50,D$10-SUM(E$17:E50))</f>
        <v>1509562.1465844908</v>
      </c>
      <c r="E51" s="522">
        <f>IF(+I14&lt;F50,I14,D51)</f>
        <v>130263.79545454546</v>
      </c>
      <c r="F51" s="523">
        <f t="shared" si="26"/>
        <v>1379298.3511299454</v>
      </c>
      <c r="G51" s="524">
        <f t="shared" si="24"/>
        <v>302912.39997477335</v>
      </c>
      <c r="H51" s="491">
        <f t="shared" si="25"/>
        <v>302912.39997477335</v>
      </c>
      <c r="I51" s="511">
        <f t="shared" si="27"/>
        <v>0</v>
      </c>
      <c r="J51" s="511"/>
      <c r="K51" s="525"/>
      <c r="L51" s="514">
        <f t="shared" si="28"/>
        <v>0</v>
      </c>
      <c r="M51" s="525"/>
      <c r="N51" s="514">
        <f t="shared" si="29"/>
        <v>0</v>
      </c>
      <c r="O51" s="514">
        <f t="shared" si="30"/>
        <v>0</v>
      </c>
      <c r="P51" s="272"/>
    </row>
    <row r="52" spans="2:17">
      <c r="B52" s="195" t="str">
        <f t="shared" si="4"/>
        <v/>
      </c>
      <c r="C52" s="507">
        <f>IF(D11="","-",+C51+1)</f>
        <v>2041</v>
      </c>
      <c r="D52" s="523">
        <f>IF(F51+SUM(E$17:E51)=D$10,F51,D$10-SUM(E$17:E51))</f>
        <v>1379298.3511299454</v>
      </c>
      <c r="E52" s="522">
        <f>IF(+I14&lt;F51,I14,D52)</f>
        <v>130263.79545454546</v>
      </c>
      <c r="F52" s="523">
        <f t="shared" si="26"/>
        <v>1249034.5556754</v>
      </c>
      <c r="G52" s="524">
        <f t="shared" si="24"/>
        <v>287342.34214572352</v>
      </c>
      <c r="H52" s="491">
        <f t="shared" si="25"/>
        <v>287342.34214572352</v>
      </c>
      <c r="I52" s="511">
        <f t="shared" si="27"/>
        <v>0</v>
      </c>
      <c r="J52" s="511"/>
      <c r="K52" s="525"/>
      <c r="L52" s="514">
        <f t="shared" si="28"/>
        <v>0</v>
      </c>
      <c r="M52" s="525"/>
      <c r="N52" s="514">
        <f t="shared" si="29"/>
        <v>0</v>
      </c>
      <c r="O52" s="514">
        <f t="shared" si="30"/>
        <v>0</v>
      </c>
      <c r="P52" s="272"/>
    </row>
    <row r="53" spans="2:17">
      <c r="B53" s="195" t="str">
        <f t="shared" si="4"/>
        <v/>
      </c>
      <c r="C53" s="507">
        <f>IF(D11="","-",+C52+1)</f>
        <v>2042</v>
      </c>
      <c r="D53" s="523">
        <f>IF(F52+SUM(E$17:E52)=D$10,F52,D$10-SUM(E$17:E52))</f>
        <v>1249034.5556754</v>
      </c>
      <c r="E53" s="522">
        <f>IF(+I14&lt;F52,I14,D53)</f>
        <v>130263.79545454546</v>
      </c>
      <c r="F53" s="523">
        <f t="shared" si="26"/>
        <v>1118770.7602208545</v>
      </c>
      <c r="G53" s="524">
        <f t="shared" si="24"/>
        <v>271772.28431667376</v>
      </c>
      <c r="H53" s="491">
        <f t="shared" si="25"/>
        <v>271772.28431667376</v>
      </c>
      <c r="I53" s="511">
        <f t="shared" si="27"/>
        <v>0</v>
      </c>
      <c r="J53" s="511"/>
      <c r="K53" s="525"/>
      <c r="L53" s="514">
        <f t="shared" si="28"/>
        <v>0</v>
      </c>
      <c r="M53" s="525"/>
      <c r="N53" s="514">
        <f t="shared" si="29"/>
        <v>0</v>
      </c>
      <c r="O53" s="514">
        <f t="shared" si="30"/>
        <v>0</v>
      </c>
      <c r="P53" s="272"/>
    </row>
    <row r="54" spans="2:17">
      <c r="B54" s="195" t="str">
        <f t="shared" si="4"/>
        <v/>
      </c>
      <c r="C54" s="507">
        <f>IF(D11="","-",+C53+1)</f>
        <v>2043</v>
      </c>
      <c r="D54" s="523">
        <f>IF(F53+SUM(E$17:E53)=D$10,F53,D$10-SUM(E$17:E53))</f>
        <v>1118770.7602208545</v>
      </c>
      <c r="E54" s="522">
        <f>IF(+I14&lt;F53,I14,D54)</f>
        <v>130263.79545454546</v>
      </c>
      <c r="F54" s="523">
        <f t="shared" si="26"/>
        <v>988506.96476630913</v>
      </c>
      <c r="G54" s="524">
        <f t="shared" si="24"/>
        <v>256202.22648762396</v>
      </c>
      <c r="H54" s="491">
        <f t="shared" si="25"/>
        <v>256202.22648762396</v>
      </c>
      <c r="I54" s="511">
        <f t="shared" si="27"/>
        <v>0</v>
      </c>
      <c r="J54" s="511"/>
      <c r="K54" s="525"/>
      <c r="L54" s="514">
        <f t="shared" si="28"/>
        <v>0</v>
      </c>
      <c r="M54" s="525"/>
      <c r="N54" s="514">
        <f t="shared" si="29"/>
        <v>0</v>
      </c>
      <c r="O54" s="514">
        <f t="shared" si="30"/>
        <v>0</v>
      </c>
      <c r="P54" s="272"/>
    </row>
    <row r="55" spans="2:17">
      <c r="B55" s="195" t="str">
        <f t="shared" si="4"/>
        <v/>
      </c>
      <c r="C55" s="507">
        <f>IF(D11="","-",+C54+1)</f>
        <v>2044</v>
      </c>
      <c r="D55" s="523">
        <f>IF(F54+SUM(E$17:E54)=D$10,F54,D$10-SUM(E$17:E54))</f>
        <v>988506.96476630913</v>
      </c>
      <c r="E55" s="522">
        <f>IF(+I14&lt;F54,I14,D55)</f>
        <v>130263.79545454546</v>
      </c>
      <c r="F55" s="523">
        <f t="shared" si="26"/>
        <v>858243.16931176372</v>
      </c>
      <c r="G55" s="524">
        <f t="shared" si="24"/>
        <v>240632.16865857417</v>
      </c>
      <c r="H55" s="491">
        <f t="shared" si="25"/>
        <v>240632.16865857417</v>
      </c>
      <c r="I55" s="511">
        <f t="shared" si="27"/>
        <v>0</v>
      </c>
      <c r="J55" s="511"/>
      <c r="K55" s="525"/>
      <c r="L55" s="514">
        <f t="shared" si="28"/>
        <v>0</v>
      </c>
      <c r="M55" s="525"/>
      <c r="N55" s="514">
        <f t="shared" si="29"/>
        <v>0</v>
      </c>
      <c r="O55" s="514">
        <f t="shared" si="30"/>
        <v>0</v>
      </c>
      <c r="P55" s="272"/>
    </row>
    <row r="56" spans="2:17">
      <c r="B56" s="195" t="str">
        <f t="shared" si="4"/>
        <v/>
      </c>
      <c r="C56" s="507">
        <f>IF(D11="","-",+C55+1)</f>
        <v>2045</v>
      </c>
      <c r="D56" s="523">
        <f>IF(F55+SUM(E$17:E55)=D$10,F55,D$10-SUM(E$17:E55))</f>
        <v>858243.16931176372</v>
      </c>
      <c r="E56" s="522">
        <f>IF(+I14&lt;F55,I14,D56)</f>
        <v>130263.79545454546</v>
      </c>
      <c r="F56" s="523">
        <f t="shared" si="26"/>
        <v>727979.37385721831</v>
      </c>
      <c r="G56" s="524">
        <f t="shared" si="24"/>
        <v>225062.11082952438</v>
      </c>
      <c r="H56" s="491">
        <f t="shared" si="25"/>
        <v>225062.11082952438</v>
      </c>
      <c r="I56" s="511">
        <f t="shared" si="27"/>
        <v>0</v>
      </c>
      <c r="J56" s="511"/>
      <c r="K56" s="525"/>
      <c r="L56" s="514">
        <f t="shared" si="28"/>
        <v>0</v>
      </c>
      <c r="M56" s="525"/>
      <c r="N56" s="514">
        <f t="shared" si="29"/>
        <v>0</v>
      </c>
      <c r="O56" s="514">
        <f t="shared" si="30"/>
        <v>0</v>
      </c>
      <c r="P56" s="272"/>
    </row>
    <row r="57" spans="2:17">
      <c r="B57" s="195" t="str">
        <f t="shared" si="4"/>
        <v/>
      </c>
      <c r="C57" s="507">
        <f>IF(D11="","-",+C56+1)</f>
        <v>2046</v>
      </c>
      <c r="D57" s="523">
        <f>IF(F56+SUM(E$17:E56)=D$10,F56,D$10-SUM(E$17:E56))</f>
        <v>727979.37385721831</v>
      </c>
      <c r="E57" s="522">
        <f>IF(+I14&lt;F56,I14,D57)</f>
        <v>130263.79545454546</v>
      </c>
      <c r="F57" s="523">
        <f t="shared" si="26"/>
        <v>597715.57840267289</v>
      </c>
      <c r="G57" s="524">
        <f t="shared" si="24"/>
        <v>209492.05300047458</v>
      </c>
      <c r="H57" s="491">
        <f t="shared" si="25"/>
        <v>209492.05300047458</v>
      </c>
      <c r="I57" s="511">
        <f t="shared" si="27"/>
        <v>0</v>
      </c>
      <c r="J57" s="511"/>
      <c r="K57" s="525"/>
      <c r="L57" s="514">
        <f t="shared" si="28"/>
        <v>0</v>
      </c>
      <c r="M57" s="525"/>
      <c r="N57" s="514">
        <f t="shared" si="29"/>
        <v>0</v>
      </c>
      <c r="O57" s="514">
        <f t="shared" si="30"/>
        <v>0</v>
      </c>
      <c r="P57" s="272"/>
    </row>
    <row r="58" spans="2:17">
      <c r="B58" s="195" t="str">
        <f t="shared" si="4"/>
        <v/>
      </c>
      <c r="C58" s="507">
        <f>IF(D11="","-",+C57+1)</f>
        <v>2047</v>
      </c>
      <c r="D58" s="523">
        <f>IF(F57+SUM(E$17:E57)=D$10,F57,D$10-SUM(E$17:E57))</f>
        <v>597715.57840267289</v>
      </c>
      <c r="E58" s="522">
        <f>IF(+I14&lt;F57,I14,D58)</f>
        <v>130263.79545454546</v>
      </c>
      <c r="F58" s="523">
        <f t="shared" si="26"/>
        <v>467451.78294812742</v>
      </c>
      <c r="G58" s="524">
        <f t="shared" si="24"/>
        <v>193921.99517142479</v>
      </c>
      <c r="H58" s="491">
        <f t="shared" si="25"/>
        <v>193921.99517142479</v>
      </c>
      <c r="I58" s="511">
        <f t="shared" si="27"/>
        <v>0</v>
      </c>
      <c r="J58" s="511"/>
      <c r="K58" s="525"/>
      <c r="L58" s="514">
        <f t="shared" si="28"/>
        <v>0</v>
      </c>
      <c r="M58" s="525"/>
      <c r="N58" s="514">
        <f t="shared" si="29"/>
        <v>0</v>
      </c>
      <c r="O58" s="514">
        <f t="shared" si="30"/>
        <v>0</v>
      </c>
      <c r="P58" s="272"/>
      <c r="Q58" s="183" t="str">
        <f>IF(ROUND(Q57,0)=ROUND(SUM(Q18:Q56),0),"","Error -- check allocations above).")</f>
        <v/>
      </c>
    </row>
    <row r="59" spans="2:17">
      <c r="B59" s="195" t="str">
        <f t="shared" si="4"/>
        <v/>
      </c>
      <c r="C59" s="507">
        <f>IF(D11="","-",+C58+1)</f>
        <v>2048</v>
      </c>
      <c r="D59" s="523">
        <f>IF(F58+SUM(E$17:E58)=D$10,F58,D$10-SUM(E$17:E58))</f>
        <v>467451.78294812742</v>
      </c>
      <c r="E59" s="522">
        <f>IF(+I14&lt;F58,I14,D59)</f>
        <v>130263.79545454546</v>
      </c>
      <c r="F59" s="523">
        <f t="shared" si="26"/>
        <v>337187.98749358195</v>
      </c>
      <c r="G59" s="524">
        <f t="shared" si="24"/>
        <v>178351.93734237499</v>
      </c>
      <c r="H59" s="491">
        <f t="shared" si="25"/>
        <v>178351.93734237499</v>
      </c>
      <c r="I59" s="511">
        <f t="shared" si="27"/>
        <v>0</v>
      </c>
      <c r="J59" s="511"/>
      <c r="K59" s="525"/>
      <c r="L59" s="514">
        <f t="shared" si="28"/>
        <v>0</v>
      </c>
      <c r="M59" s="525"/>
      <c r="N59" s="514">
        <f t="shared" si="29"/>
        <v>0</v>
      </c>
      <c r="O59" s="514">
        <f t="shared" si="30"/>
        <v>0</v>
      </c>
      <c r="P59" s="272"/>
    </row>
    <row r="60" spans="2:17">
      <c r="B60" s="195" t="str">
        <f t="shared" si="4"/>
        <v/>
      </c>
      <c r="C60" s="507">
        <f>IF(D11="","-",+C59+1)</f>
        <v>2049</v>
      </c>
      <c r="D60" s="523">
        <f>IF(F59+SUM(E$17:E59)=D$10,F59,D$10-SUM(E$17:E59))</f>
        <v>337187.98749358195</v>
      </c>
      <c r="E60" s="522">
        <f>IF(+I14&lt;F59,I14,D60)</f>
        <v>130263.79545454546</v>
      </c>
      <c r="F60" s="523">
        <f t="shared" si="26"/>
        <v>206924.19203903648</v>
      </c>
      <c r="G60" s="524">
        <f t="shared" si="24"/>
        <v>162781.8795133252</v>
      </c>
      <c r="H60" s="491">
        <f t="shared" si="25"/>
        <v>162781.8795133252</v>
      </c>
      <c r="I60" s="511">
        <f t="shared" si="27"/>
        <v>0</v>
      </c>
      <c r="J60" s="511"/>
      <c r="K60" s="525"/>
      <c r="L60" s="514">
        <f t="shared" si="28"/>
        <v>0</v>
      </c>
      <c r="M60" s="525"/>
      <c r="N60" s="514">
        <f t="shared" si="29"/>
        <v>0</v>
      </c>
      <c r="O60" s="514">
        <f t="shared" si="30"/>
        <v>0</v>
      </c>
      <c r="P60" s="272"/>
    </row>
    <row r="61" spans="2:17">
      <c r="B61" s="195" t="str">
        <f t="shared" si="4"/>
        <v/>
      </c>
      <c r="C61" s="507">
        <f>IF(D11="","-",+C60+1)</f>
        <v>2050</v>
      </c>
      <c r="D61" s="523">
        <f>IF(F60+SUM(E$17:E60)=D$10,F60,D$10-SUM(E$17:E60))</f>
        <v>206924.19203903648</v>
      </c>
      <c r="E61" s="522">
        <f>IF(+I14&lt;F60,I14,D61)</f>
        <v>130263.79545454546</v>
      </c>
      <c r="F61" s="523">
        <f t="shared" si="26"/>
        <v>76660.396584491027</v>
      </c>
      <c r="G61" s="526">
        <f t="shared" si="24"/>
        <v>147211.82168427538</v>
      </c>
      <c r="H61" s="491">
        <f t="shared" si="25"/>
        <v>147211.82168427538</v>
      </c>
      <c r="I61" s="511">
        <f t="shared" si="27"/>
        <v>0</v>
      </c>
      <c r="J61" s="511"/>
      <c r="K61" s="525"/>
      <c r="L61" s="514">
        <f t="shared" si="28"/>
        <v>0</v>
      </c>
      <c r="M61" s="525"/>
      <c r="N61" s="514">
        <f t="shared" si="29"/>
        <v>0</v>
      </c>
      <c r="O61" s="514">
        <f t="shared" si="30"/>
        <v>0</v>
      </c>
      <c r="P61" s="272"/>
    </row>
    <row r="62" spans="2:17">
      <c r="B62" s="195" t="str">
        <f t="shared" si="4"/>
        <v/>
      </c>
      <c r="C62" s="507">
        <f>IF(D11="","-",+C61+1)</f>
        <v>2051</v>
      </c>
      <c r="D62" s="523">
        <f>IF(F61+SUM(E$17:E61)=D$10,F61,D$10-SUM(E$17:E61))</f>
        <v>76660.396584491027</v>
      </c>
      <c r="E62" s="522">
        <f>IF(+I14&lt;F61,I14,D62)</f>
        <v>76660.396584491027</v>
      </c>
      <c r="F62" s="523">
        <f t="shared" si="26"/>
        <v>0</v>
      </c>
      <c r="G62" s="526">
        <f t="shared" si="24"/>
        <v>81241.895242093538</v>
      </c>
      <c r="H62" s="491">
        <f t="shared" si="25"/>
        <v>81241.895242093538</v>
      </c>
      <c r="I62" s="511">
        <f t="shared" si="27"/>
        <v>0</v>
      </c>
      <c r="J62" s="511"/>
      <c r="K62" s="525"/>
      <c r="L62" s="514">
        <f t="shared" si="28"/>
        <v>0</v>
      </c>
      <c r="M62" s="525"/>
      <c r="N62" s="514">
        <f t="shared" si="29"/>
        <v>0</v>
      </c>
      <c r="O62" s="514">
        <f t="shared" si="30"/>
        <v>0</v>
      </c>
      <c r="P62" s="272"/>
    </row>
    <row r="63" spans="2:17">
      <c r="B63" s="195" t="str">
        <f t="shared" si="4"/>
        <v/>
      </c>
      <c r="C63" s="507">
        <f>IF(D11="","-",+C62+1)</f>
        <v>2052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26"/>
        <v>0</v>
      </c>
      <c r="G63" s="526">
        <f t="shared" si="24"/>
        <v>0</v>
      </c>
      <c r="H63" s="491">
        <f t="shared" si="25"/>
        <v>0</v>
      </c>
      <c r="I63" s="511">
        <f t="shared" si="27"/>
        <v>0</v>
      </c>
      <c r="J63" s="511"/>
      <c r="K63" s="525"/>
      <c r="L63" s="514">
        <f t="shared" si="28"/>
        <v>0</v>
      </c>
      <c r="M63" s="525"/>
      <c r="N63" s="514">
        <f t="shared" si="29"/>
        <v>0</v>
      </c>
      <c r="O63" s="514">
        <f t="shared" si="30"/>
        <v>0</v>
      </c>
      <c r="P63" s="272"/>
    </row>
    <row r="64" spans="2:17">
      <c r="B64" s="195" t="str">
        <f t="shared" si="4"/>
        <v/>
      </c>
      <c r="C64" s="507">
        <f>IF(D11="","-",+C63+1)</f>
        <v>2053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26"/>
        <v>0</v>
      </c>
      <c r="G64" s="526">
        <f t="shared" si="24"/>
        <v>0</v>
      </c>
      <c r="H64" s="491">
        <f t="shared" si="25"/>
        <v>0</v>
      </c>
      <c r="I64" s="511">
        <f t="shared" si="27"/>
        <v>0</v>
      </c>
      <c r="J64" s="511"/>
      <c r="K64" s="525"/>
      <c r="L64" s="514">
        <f t="shared" si="28"/>
        <v>0</v>
      </c>
      <c r="M64" s="525"/>
      <c r="N64" s="514">
        <f t="shared" si="29"/>
        <v>0</v>
      </c>
      <c r="O64" s="514">
        <f t="shared" si="30"/>
        <v>0</v>
      </c>
      <c r="P64" s="272"/>
    </row>
    <row r="65" spans="1:16">
      <c r="B65" s="195" t="str">
        <f t="shared" si="4"/>
        <v/>
      </c>
      <c r="C65" s="507">
        <f>IF(D11="","-",+C64+1)</f>
        <v>2054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26"/>
        <v>0</v>
      </c>
      <c r="G65" s="526">
        <f t="shared" si="24"/>
        <v>0</v>
      </c>
      <c r="H65" s="491">
        <f t="shared" si="25"/>
        <v>0</v>
      </c>
      <c r="I65" s="511">
        <f t="shared" si="27"/>
        <v>0</v>
      </c>
      <c r="J65" s="511"/>
      <c r="K65" s="525"/>
      <c r="L65" s="514">
        <f t="shared" si="28"/>
        <v>0</v>
      </c>
      <c r="M65" s="525"/>
      <c r="N65" s="514">
        <f t="shared" si="29"/>
        <v>0</v>
      </c>
      <c r="O65" s="514">
        <f t="shared" si="30"/>
        <v>0</v>
      </c>
      <c r="P65" s="272"/>
    </row>
    <row r="66" spans="1:16">
      <c r="B66" s="195" t="str">
        <f t="shared" si="4"/>
        <v/>
      </c>
      <c r="C66" s="507">
        <f>IF(D11="","-",+C65+1)</f>
        <v>2055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26"/>
        <v>0</v>
      </c>
      <c r="G66" s="526">
        <f t="shared" si="24"/>
        <v>0</v>
      </c>
      <c r="H66" s="491">
        <f t="shared" si="25"/>
        <v>0</v>
      </c>
      <c r="I66" s="511">
        <f t="shared" si="27"/>
        <v>0</v>
      </c>
      <c r="J66" s="511"/>
      <c r="K66" s="525"/>
      <c r="L66" s="514">
        <f t="shared" si="28"/>
        <v>0</v>
      </c>
      <c r="M66" s="525"/>
      <c r="N66" s="514">
        <f t="shared" si="29"/>
        <v>0</v>
      </c>
      <c r="O66" s="514">
        <f t="shared" si="30"/>
        <v>0</v>
      </c>
      <c r="P66" s="272"/>
    </row>
    <row r="67" spans="1:16">
      <c r="B67" s="195" t="str">
        <f t="shared" si="4"/>
        <v/>
      </c>
      <c r="C67" s="507">
        <f>IF(D11="","-",+C66+1)</f>
        <v>2056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26"/>
        <v>0</v>
      </c>
      <c r="G67" s="526">
        <f t="shared" si="24"/>
        <v>0</v>
      </c>
      <c r="H67" s="491">
        <f t="shared" si="25"/>
        <v>0</v>
      </c>
      <c r="I67" s="511">
        <f t="shared" si="27"/>
        <v>0</v>
      </c>
      <c r="J67" s="511"/>
      <c r="K67" s="525"/>
      <c r="L67" s="514">
        <f t="shared" si="28"/>
        <v>0</v>
      </c>
      <c r="M67" s="525"/>
      <c r="N67" s="514">
        <f t="shared" si="29"/>
        <v>0</v>
      </c>
      <c r="O67" s="514">
        <f t="shared" si="30"/>
        <v>0</v>
      </c>
      <c r="P67" s="272"/>
    </row>
    <row r="68" spans="1:16">
      <c r="B68" s="195" t="str">
        <f t="shared" si="4"/>
        <v/>
      </c>
      <c r="C68" s="507">
        <f>IF(D11="","-",+C67+1)</f>
        <v>2057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26"/>
        <v>0</v>
      </c>
      <c r="G68" s="526">
        <f t="shared" si="24"/>
        <v>0</v>
      </c>
      <c r="H68" s="491">
        <f t="shared" si="25"/>
        <v>0</v>
      </c>
      <c r="I68" s="511">
        <f t="shared" si="27"/>
        <v>0</v>
      </c>
      <c r="J68" s="511"/>
      <c r="K68" s="525"/>
      <c r="L68" s="514">
        <f t="shared" si="28"/>
        <v>0</v>
      </c>
      <c r="M68" s="525"/>
      <c r="N68" s="514">
        <f t="shared" si="29"/>
        <v>0</v>
      </c>
      <c r="O68" s="514">
        <f t="shared" si="30"/>
        <v>0</v>
      </c>
      <c r="P68" s="272"/>
    </row>
    <row r="69" spans="1:16">
      <c r="B69" s="195" t="str">
        <f t="shared" si="4"/>
        <v/>
      </c>
      <c r="C69" s="507">
        <f>IF(D11="","-",+C68+1)</f>
        <v>2058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26"/>
        <v>0</v>
      </c>
      <c r="G69" s="526">
        <f t="shared" si="24"/>
        <v>0</v>
      </c>
      <c r="H69" s="491">
        <f t="shared" si="25"/>
        <v>0</v>
      </c>
      <c r="I69" s="511">
        <f t="shared" si="27"/>
        <v>0</v>
      </c>
      <c r="J69" s="511"/>
      <c r="K69" s="525"/>
      <c r="L69" s="514">
        <f t="shared" si="28"/>
        <v>0</v>
      </c>
      <c r="M69" s="525"/>
      <c r="N69" s="514">
        <f t="shared" si="29"/>
        <v>0</v>
      </c>
      <c r="O69" s="514">
        <f t="shared" si="30"/>
        <v>0</v>
      </c>
      <c r="P69" s="272"/>
    </row>
    <row r="70" spans="1:16">
      <c r="B70" s="195" t="str">
        <f t="shared" si="4"/>
        <v/>
      </c>
      <c r="C70" s="507">
        <f>IF(D11="","-",+C69+1)</f>
        <v>2059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26"/>
        <v>0</v>
      </c>
      <c r="G70" s="526">
        <f t="shared" si="24"/>
        <v>0</v>
      </c>
      <c r="H70" s="491">
        <f t="shared" si="25"/>
        <v>0</v>
      </c>
      <c r="I70" s="511">
        <f t="shared" si="27"/>
        <v>0</v>
      </c>
      <c r="J70" s="511"/>
      <c r="K70" s="525"/>
      <c r="L70" s="514">
        <f t="shared" si="28"/>
        <v>0</v>
      </c>
      <c r="M70" s="525"/>
      <c r="N70" s="514">
        <f t="shared" si="29"/>
        <v>0</v>
      </c>
      <c r="O70" s="514">
        <f t="shared" si="30"/>
        <v>0</v>
      </c>
      <c r="P70" s="272"/>
    </row>
    <row r="71" spans="1:16">
      <c r="B71" s="195" t="str">
        <f t="shared" si="4"/>
        <v/>
      </c>
      <c r="C71" s="507">
        <f>IF(D11="","-",+C70+1)</f>
        <v>2060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26"/>
        <v>0</v>
      </c>
      <c r="G71" s="526">
        <f t="shared" si="24"/>
        <v>0</v>
      </c>
      <c r="H71" s="491">
        <f t="shared" si="25"/>
        <v>0</v>
      </c>
      <c r="I71" s="511">
        <f t="shared" si="27"/>
        <v>0</v>
      </c>
      <c r="J71" s="511"/>
      <c r="K71" s="525"/>
      <c r="L71" s="514">
        <f t="shared" si="28"/>
        <v>0</v>
      </c>
      <c r="M71" s="525"/>
      <c r="N71" s="514">
        <f t="shared" si="29"/>
        <v>0</v>
      </c>
      <c r="O71" s="514">
        <f t="shared" si="30"/>
        <v>0</v>
      </c>
      <c r="P71" s="272"/>
    </row>
    <row r="72" spans="1:16" ht="13.5" thickBot="1">
      <c r="B72" s="195" t="str">
        <f t="shared" si="4"/>
        <v/>
      </c>
      <c r="C72" s="527">
        <f>IF(D11="","-",+C71+1)</f>
        <v>2061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26"/>
        <v>0</v>
      </c>
      <c r="G72" s="530">
        <f t="shared" si="24"/>
        <v>0</v>
      </c>
      <c r="H72" s="471">
        <f t="shared" si="25"/>
        <v>0</v>
      </c>
      <c r="I72" s="531">
        <f t="shared" si="27"/>
        <v>0</v>
      </c>
      <c r="J72" s="511"/>
      <c r="K72" s="532"/>
      <c r="L72" s="533">
        <f t="shared" si="28"/>
        <v>0</v>
      </c>
      <c r="M72" s="532"/>
      <c r="N72" s="533">
        <f t="shared" si="29"/>
        <v>0</v>
      </c>
      <c r="O72" s="533">
        <f t="shared" si="30"/>
        <v>0</v>
      </c>
      <c r="P72" s="272"/>
    </row>
    <row r="73" spans="1:16">
      <c r="C73" s="374" t="s">
        <v>78</v>
      </c>
      <c r="D73" s="375"/>
      <c r="E73" s="375">
        <f>SUM(E17:E72)</f>
        <v>5731607.0000000047</v>
      </c>
      <c r="F73" s="375"/>
      <c r="G73" s="375">
        <f>SUM(G17:G72)</f>
        <v>20915835.938896567</v>
      </c>
      <c r="H73" s="375">
        <f>SUM(H17:H72)</f>
        <v>20915835.938896567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1:16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1:16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1:16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1:16" ht="18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535"/>
      <c r="P77" s="272"/>
    </row>
    <row r="78" spans="1:16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1:16" ht="15">
      <c r="A79" s="536"/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</row>
    <row r="80" spans="1:16" ht="18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7">
      <c r="B81" s="269"/>
      <c r="C81" s="537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7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  <c r="Q82" s="269"/>
    </row>
    <row r="83" spans="1:17" ht="20.25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535" t="str">
        <f ca="1">P1</f>
        <v>SWEPCO Project 13 of 75</v>
      </c>
      <c r="Q83" s="269"/>
    </row>
    <row r="84" spans="1:17" ht="18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454" t="s">
        <v>128</v>
      </c>
      <c r="Q84" s="269"/>
    </row>
    <row r="85" spans="1:17" ht="18.7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  <c r="Q85" s="269"/>
    </row>
    <row r="86" spans="1:17" ht="15.75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2022</v>
      </c>
      <c r="M86" s="541" t="s">
        <v>9</v>
      </c>
      <c r="N86" s="542" t="s">
        <v>159</v>
      </c>
      <c r="O86" s="543" t="s">
        <v>11</v>
      </c>
      <c r="P86" s="269"/>
      <c r="Q86" s="269"/>
    </row>
    <row r="87" spans="1:17" ht="1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391</v>
      </c>
      <c r="M87" s="546">
        <f>IF(J92&lt;D11,0,VLOOKUP(J92,C17:O72,9))</f>
        <v>563583.83772104234</v>
      </c>
      <c r="N87" s="546">
        <f>IF(J92&lt;D11,0,VLOOKUP(J92,C17:O72,11))</f>
        <v>563583.83772104234</v>
      </c>
      <c r="O87" s="547">
        <f>+N87-M87</f>
        <v>0</v>
      </c>
      <c r="P87" s="269"/>
      <c r="Q87" s="269"/>
    </row>
    <row r="88" spans="1:17" ht="15.7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392</v>
      </c>
      <c r="M88" s="550">
        <f>IF(J92&lt;D11,0,VLOOKUP(J92,C99:P154,6))</f>
        <v>588419.5654606414</v>
      </c>
      <c r="N88" s="550">
        <f>IF(J92&lt;D11,0,VLOOKUP(J92,C99:P154,7))</f>
        <v>588419.5654606414</v>
      </c>
      <c r="O88" s="551">
        <f>+N88-M88</f>
        <v>0</v>
      </c>
      <c r="P88" s="269"/>
      <c r="Q88" s="269"/>
    </row>
    <row r="89" spans="1:17" ht="13.5" thickBot="1">
      <c r="C89" s="467" t="s">
        <v>84</v>
      </c>
      <c r="D89" s="552" t="str">
        <f>+D7</f>
        <v xml:space="preserve">Carthage REC - Carthage T 138 kV 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24835.727739599068</v>
      </c>
      <c r="N89" s="555">
        <f>+N88-N87</f>
        <v>24835.727739599068</v>
      </c>
      <c r="O89" s="556">
        <f>+O88-O87</f>
        <v>0</v>
      </c>
      <c r="P89" s="269"/>
      <c r="Q89" s="269"/>
    </row>
    <row r="90" spans="1:17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  <c r="Q90" s="269"/>
    </row>
    <row r="91" spans="1:17" ht="13.5" thickBot="1">
      <c r="A91" s="191"/>
      <c r="C91" s="558" t="s">
        <v>85</v>
      </c>
      <c r="D91" s="559" t="str">
        <f>+D9</f>
        <v>TP2004139</v>
      </c>
      <c r="E91" s="560"/>
      <c r="F91" s="560"/>
      <c r="G91" s="560"/>
      <c r="H91" s="560"/>
      <c r="I91" s="560"/>
      <c r="J91" s="561"/>
      <c r="K91" s="562"/>
      <c r="P91" s="481"/>
      <c r="Q91" s="269"/>
    </row>
    <row r="92" spans="1:17">
      <c r="C92" s="486" t="s">
        <v>51</v>
      </c>
      <c r="D92" s="483">
        <v>5731607</v>
      </c>
      <c r="E92" s="340" t="s">
        <v>86</v>
      </c>
      <c r="H92" s="484"/>
      <c r="I92" s="484"/>
      <c r="J92" s="485">
        <f>+'SWE.WS.G.BPU.ATRR.True-up'!M16</f>
        <v>2022</v>
      </c>
      <c r="K92" s="480"/>
      <c r="L92" s="375" t="s">
        <v>87</v>
      </c>
      <c r="P92" s="272"/>
      <c r="Q92" s="269"/>
    </row>
    <row r="93" spans="1:17">
      <c r="C93" s="486" t="s">
        <v>54</v>
      </c>
      <c r="D93" s="563">
        <f>IF(D11=I10,"",D11)</f>
        <v>2006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  <c r="Q93" s="269"/>
    </row>
    <row r="94" spans="1:17">
      <c r="C94" s="486" t="s">
        <v>56</v>
      </c>
      <c r="D94" s="564">
        <f>IF(D11=I10,"",D12)</f>
        <v>4</v>
      </c>
      <c r="E94" s="486" t="s">
        <v>57</v>
      </c>
      <c r="F94" s="484"/>
      <c r="G94" s="484"/>
      <c r="J94" s="490">
        <f>'SWE.WS.G.BPU.ATRR.True-up'!$F$81</f>
        <v>0.11351422637179906</v>
      </c>
      <c r="K94" s="425"/>
      <c r="L94" s="183" t="s">
        <v>88</v>
      </c>
      <c r="P94" s="272"/>
      <c r="Q94" s="269"/>
    </row>
    <row r="95" spans="1:17">
      <c r="C95" s="486" t="s">
        <v>59</v>
      </c>
      <c r="D95" s="488">
        <f>'SWE.WS.G.BPU.ATRR.True-up'!F$93</f>
        <v>41</v>
      </c>
      <c r="E95" s="486" t="s">
        <v>60</v>
      </c>
      <c r="F95" s="484"/>
      <c r="G95" s="484"/>
      <c r="J95" s="490">
        <f>IF(H87="",J94,'SWE.WS.G.BPU.ATRR.True-up'!$F$80)</f>
        <v>0.11351422637179906</v>
      </c>
      <c r="K95" s="324"/>
      <c r="L95" s="375" t="s">
        <v>61</v>
      </c>
      <c r="M95" s="324"/>
      <c r="N95" s="324"/>
      <c r="O95" s="324"/>
      <c r="P95" s="272"/>
      <c r="Q95" s="269"/>
    </row>
    <row r="96" spans="1:17" ht="13.5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139795.29268292684</v>
      </c>
      <c r="K96" s="375"/>
      <c r="L96" s="375"/>
      <c r="M96" s="375"/>
      <c r="N96" s="375"/>
      <c r="O96" s="375"/>
      <c r="P96" s="272"/>
      <c r="Q96" s="269"/>
    </row>
    <row r="97" spans="1:17" ht="38.25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388</v>
      </c>
      <c r="I97" s="495" t="s">
        <v>389</v>
      </c>
      <c r="J97" s="569" t="s">
        <v>90</v>
      </c>
      <c r="K97" s="571"/>
      <c r="L97" s="498" t="s">
        <v>228</v>
      </c>
      <c r="M97" s="499" t="s">
        <v>161</v>
      </c>
      <c r="N97" s="498" t="s">
        <v>228</v>
      </c>
      <c r="O97" s="499" t="s">
        <v>161</v>
      </c>
      <c r="P97" s="499" t="s">
        <v>70</v>
      </c>
      <c r="Q97" s="269"/>
    </row>
    <row r="98" spans="1:17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  <c r="Q98" s="269"/>
    </row>
    <row r="99" spans="1:17">
      <c r="C99" s="507">
        <f>IF(D93= "","-",D93)</f>
        <v>2006</v>
      </c>
      <c r="D99" s="508">
        <v>0</v>
      </c>
      <c r="E99" s="516">
        <v>69992</v>
      </c>
      <c r="F99" s="515">
        <v>3814550</v>
      </c>
      <c r="G99" s="574">
        <v>1907275</v>
      </c>
      <c r="H99" s="575">
        <v>374013</v>
      </c>
      <c r="I99" s="576">
        <v>374013</v>
      </c>
      <c r="J99" s="514">
        <f t="shared" ref="J99:J130" si="31">+I99-H99</f>
        <v>0</v>
      </c>
      <c r="K99" s="514"/>
      <c r="L99" s="512">
        <f>K17</f>
        <v>0</v>
      </c>
      <c r="M99" s="513">
        <f t="shared" ref="M99:M130" si="32">IF(L99&lt;&gt;0,+H99-L99,0)</f>
        <v>0</v>
      </c>
      <c r="N99" s="512">
        <f>M17</f>
        <v>0</v>
      </c>
      <c r="O99" s="513">
        <f t="shared" ref="O99:O130" si="33">IF(N99&lt;&gt;0,+I99-N99,0)</f>
        <v>0</v>
      </c>
      <c r="P99" s="513">
        <f t="shared" ref="P99:P130" si="34">+O99-M99</f>
        <v>0</v>
      </c>
      <c r="Q99" s="269"/>
    </row>
    <row r="100" spans="1:17">
      <c r="B100" s="195" t="str">
        <f>IF(D100=F99,"","IU")</f>
        <v>IU</v>
      </c>
      <c r="C100" s="507">
        <f>IF(D93="","-",+C99+1)</f>
        <v>2007</v>
      </c>
      <c r="D100" s="508">
        <v>5731607</v>
      </c>
      <c r="E100" s="516">
        <v>77454</v>
      </c>
      <c r="F100" s="515">
        <v>5654153</v>
      </c>
      <c r="G100" s="515">
        <v>5692880</v>
      </c>
      <c r="H100" s="516">
        <v>622381</v>
      </c>
      <c r="I100" s="510">
        <v>622381</v>
      </c>
      <c r="J100" s="514">
        <f t="shared" si="31"/>
        <v>0</v>
      </c>
      <c r="K100" s="514"/>
      <c r="L100" s="518">
        <v>622381</v>
      </c>
      <c r="M100" s="514">
        <f t="shared" si="32"/>
        <v>0</v>
      </c>
      <c r="N100" s="518">
        <v>622381</v>
      </c>
      <c r="O100" s="514">
        <f t="shared" si="33"/>
        <v>0</v>
      </c>
      <c r="P100" s="514">
        <f t="shared" si="34"/>
        <v>0</v>
      </c>
      <c r="Q100" s="269"/>
    </row>
    <row r="101" spans="1:17">
      <c r="B101" s="195" t="str">
        <f t="shared" ref="B101:B154" si="35">IF(D101=F100,"","IU")</f>
        <v>IU</v>
      </c>
      <c r="C101" s="507">
        <f>IF(D93="","-",+C100+1)</f>
        <v>2008</v>
      </c>
      <c r="D101" s="508">
        <v>3709563</v>
      </c>
      <c r="E101" s="516">
        <v>104988</v>
      </c>
      <c r="F101" s="515">
        <v>3604575</v>
      </c>
      <c r="G101" s="515">
        <v>3657069</v>
      </c>
      <c r="H101" s="516">
        <v>687928</v>
      </c>
      <c r="I101" s="510">
        <v>687928</v>
      </c>
      <c r="J101" s="514">
        <f t="shared" si="31"/>
        <v>0</v>
      </c>
      <c r="K101" s="514"/>
      <c r="L101" s="518">
        <v>687928</v>
      </c>
      <c r="M101" s="514">
        <f t="shared" si="32"/>
        <v>0</v>
      </c>
      <c r="N101" s="518">
        <v>687928</v>
      </c>
      <c r="O101" s="514">
        <f t="shared" si="33"/>
        <v>0</v>
      </c>
      <c r="P101" s="514">
        <f>+O101-M101</f>
        <v>0</v>
      </c>
      <c r="Q101" s="269"/>
    </row>
    <row r="102" spans="1:17">
      <c r="B102" s="195" t="str">
        <f t="shared" si="35"/>
        <v>IU</v>
      </c>
      <c r="C102" s="507">
        <f>IF(D93="","-",+C101+1)</f>
        <v>2009</v>
      </c>
      <c r="D102" s="508">
        <v>3632108</v>
      </c>
      <c r="E102" s="516">
        <v>102224.78947368421</v>
      </c>
      <c r="F102" s="515">
        <v>3529883.210526316</v>
      </c>
      <c r="G102" s="515">
        <v>3580995.6052631577</v>
      </c>
      <c r="H102" s="516">
        <v>620529.72613879445</v>
      </c>
      <c r="I102" s="510">
        <v>620529.72613879445</v>
      </c>
      <c r="J102" s="514">
        <f t="shared" si="31"/>
        <v>0</v>
      </c>
      <c r="K102" s="514"/>
      <c r="L102" s="518">
        <f t="shared" ref="L102:L107" si="36">H102</f>
        <v>620529.72613879445</v>
      </c>
      <c r="M102" s="519">
        <f t="shared" si="32"/>
        <v>0</v>
      </c>
      <c r="N102" s="518">
        <f t="shared" ref="N102:N107" si="37">I102</f>
        <v>620529.72613879445</v>
      </c>
      <c r="O102" s="514">
        <f t="shared" si="33"/>
        <v>0</v>
      </c>
      <c r="P102" s="514">
        <f t="shared" si="34"/>
        <v>0</v>
      </c>
      <c r="Q102" s="269"/>
    </row>
    <row r="103" spans="1:17">
      <c r="B103" s="195" t="str">
        <f t="shared" si="35"/>
        <v/>
      </c>
      <c r="C103" s="507">
        <f>IF(D93="","-",+C102+1)</f>
        <v>2010</v>
      </c>
      <c r="D103" s="508">
        <v>3529883.210526316</v>
      </c>
      <c r="E103" s="516">
        <v>94744.926829268297</v>
      </c>
      <c r="F103" s="515">
        <v>3435138.2836970477</v>
      </c>
      <c r="G103" s="515">
        <v>3482510.7471116818</v>
      </c>
      <c r="H103" s="516">
        <v>669658.98198518401</v>
      </c>
      <c r="I103" s="510">
        <v>669658.98198518401</v>
      </c>
      <c r="J103" s="514">
        <f t="shared" si="31"/>
        <v>0</v>
      </c>
      <c r="K103" s="514"/>
      <c r="L103" s="518">
        <f t="shared" si="36"/>
        <v>669658.98198518401</v>
      </c>
      <c r="M103" s="519">
        <f t="shared" si="32"/>
        <v>0</v>
      </c>
      <c r="N103" s="518">
        <f t="shared" si="37"/>
        <v>669658.98198518401</v>
      </c>
      <c r="O103" s="514">
        <f t="shared" si="33"/>
        <v>0</v>
      </c>
      <c r="P103" s="514">
        <f t="shared" si="34"/>
        <v>0</v>
      </c>
      <c r="Q103" s="269"/>
    </row>
    <row r="104" spans="1:17">
      <c r="B104" s="195" t="str">
        <f t="shared" si="35"/>
        <v/>
      </c>
      <c r="C104" s="507">
        <f>IF(D93="","-",+C103+1)</f>
        <v>2011</v>
      </c>
      <c r="D104" s="508">
        <v>3435138.2836970477</v>
      </c>
      <c r="E104" s="520">
        <v>92489.095238095237</v>
      </c>
      <c r="F104" s="515">
        <v>3342649.1884589526</v>
      </c>
      <c r="G104" s="515">
        <v>3388893.7360780002</v>
      </c>
      <c r="H104" s="516">
        <v>602110.60067638115</v>
      </c>
      <c r="I104" s="510">
        <v>602110.60067638115</v>
      </c>
      <c r="J104" s="514">
        <f t="shared" si="31"/>
        <v>0</v>
      </c>
      <c r="K104" s="514"/>
      <c r="L104" s="518">
        <f t="shared" si="36"/>
        <v>602110.60067638115</v>
      </c>
      <c r="M104" s="519">
        <f t="shared" si="32"/>
        <v>0</v>
      </c>
      <c r="N104" s="518">
        <f t="shared" si="37"/>
        <v>602110.60067638115</v>
      </c>
      <c r="O104" s="514">
        <f t="shared" si="33"/>
        <v>0</v>
      </c>
      <c r="P104" s="514">
        <f t="shared" si="34"/>
        <v>0</v>
      </c>
      <c r="Q104" s="269"/>
    </row>
    <row r="105" spans="1:17">
      <c r="B105" s="195" t="str">
        <f t="shared" si="35"/>
        <v/>
      </c>
      <c r="C105" s="507">
        <f>IF(D93="","-",+C104+1)</f>
        <v>2012</v>
      </c>
      <c r="D105" s="508">
        <v>3342649.1884589526</v>
      </c>
      <c r="E105" s="516">
        <v>92489.095238095237</v>
      </c>
      <c r="F105" s="515">
        <v>3250160.0932208574</v>
      </c>
      <c r="G105" s="515">
        <v>3296404.640839905</v>
      </c>
      <c r="H105" s="516">
        <v>577567.99892876786</v>
      </c>
      <c r="I105" s="510">
        <v>577567.99892876786</v>
      </c>
      <c r="J105" s="514">
        <f t="shared" si="31"/>
        <v>0</v>
      </c>
      <c r="K105" s="514"/>
      <c r="L105" s="518">
        <f t="shared" si="36"/>
        <v>577567.99892876786</v>
      </c>
      <c r="M105" s="519">
        <f t="shared" si="32"/>
        <v>0</v>
      </c>
      <c r="N105" s="518">
        <f t="shared" si="37"/>
        <v>577567.99892876786</v>
      </c>
      <c r="O105" s="514">
        <f t="shared" si="33"/>
        <v>0</v>
      </c>
      <c r="P105" s="514">
        <f t="shared" si="34"/>
        <v>0</v>
      </c>
      <c r="Q105" s="269"/>
    </row>
    <row r="106" spans="1:17">
      <c r="B106" s="195" t="str">
        <f t="shared" si="35"/>
        <v/>
      </c>
      <c r="C106" s="507">
        <f>IF(D93="","-",+C105+1)</f>
        <v>2013</v>
      </c>
      <c r="D106" s="508">
        <v>3250160.0932208574</v>
      </c>
      <c r="E106" s="516">
        <v>92489.095238095237</v>
      </c>
      <c r="F106" s="515">
        <v>3157670.9979827623</v>
      </c>
      <c r="G106" s="515">
        <v>3203915.5456018099</v>
      </c>
      <c r="H106" s="516">
        <v>525952.28345826664</v>
      </c>
      <c r="I106" s="510">
        <v>525952.28345826664</v>
      </c>
      <c r="J106" s="514">
        <v>0</v>
      </c>
      <c r="K106" s="514"/>
      <c r="L106" s="518">
        <f t="shared" si="36"/>
        <v>525952.28345826664</v>
      </c>
      <c r="M106" s="519">
        <f t="shared" ref="M106:M111" si="38">IF(L106&lt;&gt;0,+H106-L106,0)</f>
        <v>0</v>
      </c>
      <c r="N106" s="518">
        <f t="shared" si="37"/>
        <v>525952.28345826664</v>
      </c>
      <c r="O106" s="514">
        <f t="shared" ref="O106:O111" si="39">IF(N106&lt;&gt;0,+I106-N106,0)</f>
        <v>0</v>
      </c>
      <c r="P106" s="514">
        <f t="shared" ref="P106:P111" si="40">+O106-M106</f>
        <v>0</v>
      </c>
      <c r="Q106" s="269"/>
    </row>
    <row r="107" spans="1:17">
      <c r="B107" s="195" t="str">
        <f t="shared" si="35"/>
        <v>IU</v>
      </c>
      <c r="C107" s="507">
        <f>IF(D93="","-",+C106+1)</f>
        <v>2014</v>
      </c>
      <c r="D107" s="508">
        <v>5004735.9979827618</v>
      </c>
      <c r="E107" s="516">
        <v>136466.83333333334</v>
      </c>
      <c r="F107" s="515">
        <v>4868269.1646494288</v>
      </c>
      <c r="G107" s="515">
        <v>4936502.5813160948</v>
      </c>
      <c r="H107" s="516">
        <v>807453.34332208754</v>
      </c>
      <c r="I107" s="510">
        <v>807453.34332208754</v>
      </c>
      <c r="J107" s="514">
        <v>0</v>
      </c>
      <c r="K107" s="514"/>
      <c r="L107" s="518">
        <f t="shared" si="36"/>
        <v>807453.34332208754</v>
      </c>
      <c r="M107" s="519">
        <f t="shared" si="38"/>
        <v>0</v>
      </c>
      <c r="N107" s="518">
        <f t="shared" si="37"/>
        <v>807453.34332208754</v>
      </c>
      <c r="O107" s="514">
        <f t="shared" si="39"/>
        <v>0</v>
      </c>
      <c r="P107" s="514">
        <f t="shared" si="40"/>
        <v>0</v>
      </c>
      <c r="Q107" s="269"/>
    </row>
    <row r="108" spans="1:17">
      <c r="B108" s="195" t="str">
        <f t="shared" si="35"/>
        <v/>
      </c>
      <c r="C108" s="507">
        <f>IF(D93="","-",+C107+1)</f>
        <v>2015</v>
      </c>
      <c r="D108" s="508">
        <v>4868269.1646494288</v>
      </c>
      <c r="E108" s="516">
        <v>136466.83333333334</v>
      </c>
      <c r="F108" s="515">
        <v>4731802.3313160958</v>
      </c>
      <c r="G108" s="515">
        <v>4800035.7479827628</v>
      </c>
      <c r="H108" s="516">
        <v>768962.15760486678</v>
      </c>
      <c r="I108" s="510">
        <v>768962.15760486678</v>
      </c>
      <c r="J108" s="514">
        <f t="shared" si="31"/>
        <v>0</v>
      </c>
      <c r="K108" s="514"/>
      <c r="L108" s="518">
        <f t="shared" ref="L108:L113" si="41">H108</f>
        <v>768962.15760486678</v>
      </c>
      <c r="M108" s="519">
        <f t="shared" si="38"/>
        <v>0</v>
      </c>
      <c r="N108" s="518">
        <f t="shared" ref="N108:N113" si="42">I108</f>
        <v>768962.15760486678</v>
      </c>
      <c r="O108" s="514">
        <f t="shared" si="39"/>
        <v>0</v>
      </c>
      <c r="P108" s="514">
        <f t="shared" si="40"/>
        <v>0</v>
      </c>
      <c r="Q108" s="269"/>
    </row>
    <row r="109" spans="1:17">
      <c r="B109" s="195" t="str">
        <f t="shared" si="35"/>
        <v/>
      </c>
      <c r="C109" s="507">
        <f>IF(D93="","-",+C108+1)</f>
        <v>2016</v>
      </c>
      <c r="D109" s="508">
        <v>4731802.3313160958</v>
      </c>
      <c r="E109" s="516">
        <v>133293.18604651163</v>
      </c>
      <c r="F109" s="515">
        <v>4598509.1452695839</v>
      </c>
      <c r="G109" s="515">
        <v>4665155.7382928394</v>
      </c>
      <c r="H109" s="516">
        <v>725534.65238617209</v>
      </c>
      <c r="I109" s="510">
        <v>725534.65238617209</v>
      </c>
      <c r="J109" s="514">
        <f t="shared" si="31"/>
        <v>0</v>
      </c>
      <c r="K109" s="514"/>
      <c r="L109" s="518">
        <f t="shared" si="41"/>
        <v>725534.65238617209</v>
      </c>
      <c r="M109" s="519">
        <f t="shared" si="38"/>
        <v>0</v>
      </c>
      <c r="N109" s="518">
        <f t="shared" si="42"/>
        <v>725534.65238617209</v>
      </c>
      <c r="O109" s="514">
        <f t="shared" si="39"/>
        <v>0</v>
      </c>
      <c r="P109" s="514">
        <f t="shared" si="40"/>
        <v>0</v>
      </c>
      <c r="Q109" s="269"/>
    </row>
    <row r="110" spans="1:17">
      <c r="B110" s="195" t="str">
        <f t="shared" si="35"/>
        <v/>
      </c>
      <c r="C110" s="507">
        <f>IF(D93="","-",+C109+1)</f>
        <v>2017</v>
      </c>
      <c r="D110" s="508">
        <v>4598509.1452695839</v>
      </c>
      <c r="E110" s="516">
        <v>136466.83333333334</v>
      </c>
      <c r="F110" s="515">
        <v>4462042.3119362509</v>
      </c>
      <c r="G110" s="515">
        <v>4530275.7286029179</v>
      </c>
      <c r="H110" s="516">
        <v>686766.02979709371</v>
      </c>
      <c r="I110" s="510">
        <v>686766.02979709371</v>
      </c>
      <c r="J110" s="514">
        <f t="shared" si="31"/>
        <v>0</v>
      </c>
      <c r="K110" s="514"/>
      <c r="L110" s="518">
        <f t="shared" si="41"/>
        <v>686766.02979709371</v>
      </c>
      <c r="M110" s="519">
        <f t="shared" si="38"/>
        <v>0</v>
      </c>
      <c r="N110" s="518">
        <f t="shared" si="42"/>
        <v>686766.02979709371</v>
      </c>
      <c r="O110" s="514">
        <f t="shared" si="39"/>
        <v>0</v>
      </c>
      <c r="P110" s="514">
        <f t="shared" si="40"/>
        <v>0</v>
      </c>
      <c r="Q110" s="269"/>
    </row>
    <row r="111" spans="1:17">
      <c r="B111" s="195" t="str">
        <f t="shared" si="35"/>
        <v/>
      </c>
      <c r="C111" s="507">
        <f>IF(D93="","-",+C110+1)</f>
        <v>2018</v>
      </c>
      <c r="D111" s="508">
        <v>4462042.3119362509</v>
      </c>
      <c r="E111" s="516">
        <v>136466.83333333334</v>
      </c>
      <c r="F111" s="515">
        <v>4325575.4786029179</v>
      </c>
      <c r="G111" s="515">
        <v>4393808.8952695839</v>
      </c>
      <c r="H111" s="516">
        <v>600473.20188958384</v>
      </c>
      <c r="I111" s="510">
        <v>600473.20188958384</v>
      </c>
      <c r="J111" s="514">
        <f t="shared" si="31"/>
        <v>0</v>
      </c>
      <c r="K111" s="514"/>
      <c r="L111" s="518">
        <f t="shared" si="41"/>
        <v>600473.20188958384</v>
      </c>
      <c r="M111" s="519">
        <f t="shared" si="38"/>
        <v>0</v>
      </c>
      <c r="N111" s="518">
        <f t="shared" si="42"/>
        <v>600473.20188958384</v>
      </c>
      <c r="O111" s="514">
        <f t="shared" si="39"/>
        <v>0</v>
      </c>
      <c r="P111" s="514">
        <f t="shared" si="40"/>
        <v>0</v>
      </c>
      <c r="Q111" s="269"/>
    </row>
    <row r="112" spans="1:17">
      <c r="B112" s="195" t="str">
        <f t="shared" si="35"/>
        <v/>
      </c>
      <c r="C112" s="507">
        <f>IF(D93="","-",+C111+1)</f>
        <v>2019</v>
      </c>
      <c r="D112" s="508">
        <v>4325575.4786029179</v>
      </c>
      <c r="E112" s="516">
        <v>133293.18604651163</v>
      </c>
      <c r="F112" s="515">
        <v>4192282.292556406</v>
      </c>
      <c r="G112" s="515">
        <v>4258928.8855796624</v>
      </c>
      <c r="H112" s="516">
        <v>589171.26164273242</v>
      </c>
      <c r="I112" s="510">
        <v>589171.26164273242</v>
      </c>
      <c r="J112" s="514">
        <f t="shared" si="31"/>
        <v>0</v>
      </c>
      <c r="K112" s="514"/>
      <c r="L112" s="518">
        <f t="shared" si="41"/>
        <v>589171.26164273242</v>
      </c>
      <c r="M112" s="519">
        <f t="shared" ref="M112:M113" si="43">IF(L112&lt;&gt;0,+H112-L112,0)</f>
        <v>0</v>
      </c>
      <c r="N112" s="518">
        <f t="shared" si="42"/>
        <v>589171.26164273242</v>
      </c>
      <c r="O112" s="514">
        <f t="shared" si="33"/>
        <v>0</v>
      </c>
      <c r="P112" s="514">
        <f t="shared" si="34"/>
        <v>0</v>
      </c>
      <c r="Q112" s="269"/>
    </row>
    <row r="113" spans="2:17">
      <c r="B113" s="195" t="str">
        <f t="shared" si="35"/>
        <v/>
      </c>
      <c r="C113" s="507">
        <f>IF(D93="","-",+C112+1)</f>
        <v>2020</v>
      </c>
      <c r="D113" s="508">
        <v>4192282.292556406</v>
      </c>
      <c r="E113" s="516">
        <v>136466.83333333334</v>
      </c>
      <c r="F113" s="515">
        <v>4055815.4592230725</v>
      </c>
      <c r="G113" s="515">
        <v>4124048.875889739</v>
      </c>
      <c r="H113" s="516">
        <v>580106.57633315108</v>
      </c>
      <c r="I113" s="510">
        <v>580106.57633315108</v>
      </c>
      <c r="J113" s="514">
        <f t="shared" si="31"/>
        <v>0</v>
      </c>
      <c r="K113" s="514"/>
      <c r="L113" s="518">
        <f t="shared" si="41"/>
        <v>580106.57633315108</v>
      </c>
      <c r="M113" s="519">
        <f t="shared" si="43"/>
        <v>0</v>
      </c>
      <c r="N113" s="518">
        <f t="shared" si="42"/>
        <v>580106.57633315108</v>
      </c>
      <c r="O113" s="514">
        <f t="shared" si="33"/>
        <v>0</v>
      </c>
      <c r="P113" s="514">
        <f t="shared" si="34"/>
        <v>0</v>
      </c>
      <c r="Q113" s="269"/>
    </row>
    <row r="114" spans="2:17">
      <c r="B114" s="195" t="str">
        <f t="shared" si="35"/>
        <v/>
      </c>
      <c r="C114" s="507">
        <f>IF(D93="","-",+C113+1)</f>
        <v>2021</v>
      </c>
      <c r="D114" s="508">
        <v>4055815.4592230725</v>
      </c>
      <c r="E114" s="516">
        <v>139795.29268292684</v>
      </c>
      <c r="F114" s="515">
        <v>3916020.1665401459</v>
      </c>
      <c r="G114" s="515">
        <v>3985917.8128816094</v>
      </c>
      <c r="H114" s="516">
        <v>592253.66959375609</v>
      </c>
      <c r="I114" s="510">
        <v>592253.66959375609</v>
      </c>
      <c r="J114" s="514">
        <f t="shared" si="31"/>
        <v>0</v>
      </c>
      <c r="K114" s="514"/>
      <c r="L114" s="518">
        <f t="shared" ref="L114" si="44">H114</f>
        <v>592253.66959375609</v>
      </c>
      <c r="M114" s="519">
        <f t="shared" ref="M114" si="45">IF(L114&lt;&gt;0,+H114-L114,0)</f>
        <v>0</v>
      </c>
      <c r="N114" s="518">
        <f t="shared" ref="N114" si="46">I114</f>
        <v>592253.66959375609</v>
      </c>
      <c r="O114" s="514">
        <f t="shared" ref="O114" si="47">IF(N114&lt;&gt;0,+I114-N114,0)</f>
        <v>0</v>
      </c>
      <c r="P114" s="514">
        <f t="shared" ref="P114" si="48">+O114-M114</f>
        <v>0</v>
      </c>
      <c r="Q114" s="269"/>
    </row>
    <row r="115" spans="2:17">
      <c r="B115" s="195" t="str">
        <f t="shared" si="35"/>
        <v/>
      </c>
      <c r="C115" s="673">
        <f>IF(D93="","-",+C114+1)</f>
        <v>2022</v>
      </c>
      <c r="D115" s="374">
        <v>3916020.1665401459</v>
      </c>
      <c r="E115" s="522">
        <v>136466.83333333334</v>
      </c>
      <c r="F115" s="523">
        <v>3779553.3332068124</v>
      </c>
      <c r="G115" s="523">
        <v>3847786.7498734789</v>
      </c>
      <c r="H115" s="526">
        <v>588419.5654606414</v>
      </c>
      <c r="I115" s="577">
        <v>588419.5654606414</v>
      </c>
      <c r="J115" s="514">
        <f t="shared" si="31"/>
        <v>0</v>
      </c>
      <c r="K115" s="514"/>
      <c r="L115" s="525"/>
      <c r="M115" s="514">
        <f t="shared" si="32"/>
        <v>0</v>
      </c>
      <c r="N115" s="525"/>
      <c r="O115" s="514">
        <f t="shared" si="33"/>
        <v>0</v>
      </c>
      <c r="P115" s="514">
        <f t="shared" si="34"/>
        <v>0</v>
      </c>
      <c r="Q115" s="269"/>
    </row>
    <row r="116" spans="2:17">
      <c r="B116" s="195" t="str">
        <f t="shared" si="35"/>
        <v/>
      </c>
      <c r="C116" s="507">
        <f>IF(D93="","-",+C115+1)</f>
        <v>2023</v>
      </c>
      <c r="D116" s="374">
        <f>IF(F115+SUM(E$99:E115)=D$92,F115,D$92-SUM(E$99:E115))</f>
        <v>3779553.3332068124</v>
      </c>
      <c r="E116" s="522">
        <f>IF(+J96&lt;F115,J96,D116)</f>
        <v>139795.29268292684</v>
      </c>
      <c r="F116" s="523">
        <f t="shared" ref="F116:F130" si="49">+D116-E116</f>
        <v>3639758.0405238857</v>
      </c>
      <c r="G116" s="523">
        <f t="shared" ref="G116:G130" si="50">+(F116+D116)/2</f>
        <v>3709655.6868653493</v>
      </c>
      <c r="H116" s="526">
        <f t="shared" ref="H116:H154" si="51">+J$94*G116+E116</f>
        <v>560893.9880831918</v>
      </c>
      <c r="I116" s="577">
        <f t="shared" ref="I116:I154" si="52">+J$95*G116+E116</f>
        <v>560893.9880831918</v>
      </c>
      <c r="J116" s="514">
        <f t="shared" si="31"/>
        <v>0</v>
      </c>
      <c r="K116" s="514"/>
      <c r="L116" s="525"/>
      <c r="M116" s="514">
        <f t="shared" si="32"/>
        <v>0</v>
      </c>
      <c r="N116" s="525"/>
      <c r="O116" s="514">
        <f t="shared" si="33"/>
        <v>0</v>
      </c>
      <c r="P116" s="514">
        <f t="shared" si="34"/>
        <v>0</v>
      </c>
      <c r="Q116" s="269"/>
    </row>
    <row r="117" spans="2:17">
      <c r="B117" s="195" t="str">
        <f t="shared" si="35"/>
        <v/>
      </c>
      <c r="C117" s="507">
        <f>IF(D93="","-",+C116+1)</f>
        <v>2024</v>
      </c>
      <c r="D117" s="374">
        <f>IF(F116+SUM(E$99:E116)=D$92,F116,D$92-SUM(E$99:E116))</f>
        <v>3639758.0405238857</v>
      </c>
      <c r="E117" s="522">
        <f>IF(+J96&lt;F116,J96,D117)</f>
        <v>139795.29268292684</v>
      </c>
      <c r="F117" s="523">
        <f t="shared" si="49"/>
        <v>3499962.7478409591</v>
      </c>
      <c r="G117" s="523">
        <f t="shared" si="50"/>
        <v>3569860.3941824222</v>
      </c>
      <c r="H117" s="526">
        <f t="shared" si="51"/>
        <v>545025.23358387011</v>
      </c>
      <c r="I117" s="577">
        <f t="shared" si="52"/>
        <v>545025.23358387011</v>
      </c>
      <c r="J117" s="514">
        <f t="shared" si="31"/>
        <v>0</v>
      </c>
      <c r="K117" s="514"/>
      <c r="L117" s="525"/>
      <c r="M117" s="514">
        <f t="shared" si="32"/>
        <v>0</v>
      </c>
      <c r="N117" s="525"/>
      <c r="O117" s="514">
        <f t="shared" si="33"/>
        <v>0</v>
      </c>
      <c r="P117" s="514">
        <f t="shared" si="34"/>
        <v>0</v>
      </c>
      <c r="Q117" s="269"/>
    </row>
    <row r="118" spans="2:17">
      <c r="B118" s="195" t="str">
        <f t="shared" si="35"/>
        <v/>
      </c>
      <c r="C118" s="507">
        <f>IF(D93="","-",+C117+1)</f>
        <v>2025</v>
      </c>
      <c r="D118" s="374">
        <f>IF(F117+SUM(E$99:E117)=D$92,F117,D$92-SUM(E$99:E117))</f>
        <v>3499962.7478409591</v>
      </c>
      <c r="E118" s="522">
        <f>IF(+J96&lt;F117,J96,D118)</f>
        <v>139795.29268292684</v>
      </c>
      <c r="F118" s="523">
        <f t="shared" si="49"/>
        <v>3360167.4551580325</v>
      </c>
      <c r="G118" s="523">
        <f t="shared" si="50"/>
        <v>3430065.101499496</v>
      </c>
      <c r="H118" s="526">
        <f t="shared" si="51"/>
        <v>529156.47908454854</v>
      </c>
      <c r="I118" s="577">
        <f t="shared" si="52"/>
        <v>529156.47908454854</v>
      </c>
      <c r="J118" s="514">
        <f t="shared" si="31"/>
        <v>0</v>
      </c>
      <c r="K118" s="514"/>
      <c r="L118" s="525"/>
      <c r="M118" s="514">
        <f t="shared" si="32"/>
        <v>0</v>
      </c>
      <c r="N118" s="525"/>
      <c r="O118" s="514">
        <f t="shared" si="33"/>
        <v>0</v>
      </c>
      <c r="P118" s="514">
        <f t="shared" si="34"/>
        <v>0</v>
      </c>
      <c r="Q118" s="269"/>
    </row>
    <row r="119" spans="2:17">
      <c r="B119" s="195" t="str">
        <f t="shared" si="35"/>
        <v/>
      </c>
      <c r="C119" s="507">
        <f>IF(D93="","-",+C118+1)</f>
        <v>2026</v>
      </c>
      <c r="D119" s="374">
        <f>IF(F118+SUM(E$99:E118)=D$92,F118,D$92-SUM(E$99:E118))</f>
        <v>3360167.4551580325</v>
      </c>
      <c r="E119" s="522">
        <f>IF(+J96&lt;F118,J96,D119)</f>
        <v>139795.29268292684</v>
      </c>
      <c r="F119" s="523">
        <f t="shared" si="49"/>
        <v>3220372.1624751058</v>
      </c>
      <c r="G119" s="523">
        <f t="shared" si="50"/>
        <v>3290269.8088165689</v>
      </c>
      <c r="H119" s="526">
        <f t="shared" si="51"/>
        <v>513287.72458522685</v>
      </c>
      <c r="I119" s="577">
        <f t="shared" si="52"/>
        <v>513287.72458522685</v>
      </c>
      <c r="J119" s="514">
        <f t="shared" si="31"/>
        <v>0</v>
      </c>
      <c r="K119" s="514"/>
      <c r="L119" s="525"/>
      <c r="M119" s="514">
        <f t="shared" si="32"/>
        <v>0</v>
      </c>
      <c r="N119" s="525"/>
      <c r="O119" s="514">
        <f t="shared" si="33"/>
        <v>0</v>
      </c>
      <c r="P119" s="514">
        <f t="shared" si="34"/>
        <v>0</v>
      </c>
      <c r="Q119" s="269"/>
    </row>
    <row r="120" spans="2:17">
      <c r="B120" s="195" t="str">
        <f t="shared" si="35"/>
        <v/>
      </c>
      <c r="C120" s="507">
        <f>IF(D93="","-",+C119+1)</f>
        <v>2027</v>
      </c>
      <c r="D120" s="374">
        <f>IF(F119+SUM(E$99:E119)=D$92,F119,D$92-SUM(E$99:E119))</f>
        <v>3220372.1624751058</v>
      </c>
      <c r="E120" s="522">
        <f>IF(+J96&lt;F119,J96,D120)</f>
        <v>139795.29268292684</v>
      </c>
      <c r="F120" s="523">
        <f t="shared" si="49"/>
        <v>3080576.8697921792</v>
      </c>
      <c r="G120" s="523">
        <f t="shared" si="50"/>
        <v>3150474.5161336428</v>
      </c>
      <c r="H120" s="526">
        <f t="shared" si="51"/>
        <v>497418.97008590528</v>
      </c>
      <c r="I120" s="577">
        <f t="shared" si="52"/>
        <v>497418.97008590528</v>
      </c>
      <c r="J120" s="514">
        <f t="shared" si="31"/>
        <v>0</v>
      </c>
      <c r="K120" s="514"/>
      <c r="L120" s="525"/>
      <c r="M120" s="514">
        <f t="shared" si="32"/>
        <v>0</v>
      </c>
      <c r="N120" s="525"/>
      <c r="O120" s="514">
        <f t="shared" si="33"/>
        <v>0</v>
      </c>
      <c r="P120" s="514">
        <f t="shared" si="34"/>
        <v>0</v>
      </c>
      <c r="Q120" s="269"/>
    </row>
    <row r="121" spans="2:17">
      <c r="B121" s="195" t="str">
        <f t="shared" si="35"/>
        <v/>
      </c>
      <c r="C121" s="507">
        <f>IF(D93="","-",+C120+1)</f>
        <v>2028</v>
      </c>
      <c r="D121" s="374">
        <f>IF(F120+SUM(E$99:E120)=D$92,F120,D$92-SUM(E$99:E120))</f>
        <v>3080576.8697921792</v>
      </c>
      <c r="E121" s="522">
        <f>IF(+J96&lt;F120,J96,D121)</f>
        <v>139795.29268292684</v>
      </c>
      <c r="F121" s="523">
        <f t="shared" si="49"/>
        <v>2940781.5771092526</v>
      </c>
      <c r="G121" s="523">
        <f t="shared" si="50"/>
        <v>3010679.2234507157</v>
      </c>
      <c r="H121" s="526">
        <f t="shared" si="51"/>
        <v>481550.2155865836</v>
      </c>
      <c r="I121" s="577">
        <f t="shared" si="52"/>
        <v>481550.2155865836</v>
      </c>
      <c r="J121" s="514">
        <f t="shared" si="31"/>
        <v>0</v>
      </c>
      <c r="K121" s="514"/>
      <c r="L121" s="525"/>
      <c r="M121" s="514">
        <f t="shared" si="32"/>
        <v>0</v>
      </c>
      <c r="N121" s="525"/>
      <c r="O121" s="514">
        <f t="shared" si="33"/>
        <v>0</v>
      </c>
      <c r="P121" s="514">
        <f t="shared" si="34"/>
        <v>0</v>
      </c>
      <c r="Q121" s="269"/>
    </row>
    <row r="122" spans="2:17">
      <c r="B122" s="195" t="str">
        <f t="shared" si="35"/>
        <v/>
      </c>
      <c r="C122" s="507">
        <f>IF(D93="","-",+C121+1)</f>
        <v>2029</v>
      </c>
      <c r="D122" s="374">
        <f>IF(F121+SUM(E$99:E121)=D$92,F121,D$92-SUM(E$99:E121))</f>
        <v>2940781.5771092526</v>
      </c>
      <c r="E122" s="522">
        <f>IF(+J96&lt;F121,J96,D122)</f>
        <v>139795.29268292684</v>
      </c>
      <c r="F122" s="523">
        <f t="shared" si="49"/>
        <v>2800986.2844263259</v>
      </c>
      <c r="G122" s="523">
        <f t="shared" si="50"/>
        <v>2870883.9307677895</v>
      </c>
      <c r="H122" s="526">
        <f t="shared" si="51"/>
        <v>465681.46108726203</v>
      </c>
      <c r="I122" s="577">
        <f t="shared" si="52"/>
        <v>465681.46108726203</v>
      </c>
      <c r="J122" s="514">
        <f t="shared" si="31"/>
        <v>0</v>
      </c>
      <c r="K122" s="514"/>
      <c r="L122" s="525"/>
      <c r="M122" s="514">
        <f t="shared" si="32"/>
        <v>0</v>
      </c>
      <c r="N122" s="525"/>
      <c r="O122" s="514">
        <f t="shared" si="33"/>
        <v>0</v>
      </c>
      <c r="P122" s="514">
        <f t="shared" si="34"/>
        <v>0</v>
      </c>
      <c r="Q122" s="269"/>
    </row>
    <row r="123" spans="2:17">
      <c r="B123" s="195" t="str">
        <f t="shared" si="35"/>
        <v/>
      </c>
      <c r="C123" s="507">
        <f>IF(D93="","-",+C122+1)</f>
        <v>2030</v>
      </c>
      <c r="D123" s="374">
        <f>IF(F122+SUM(E$99:E122)=D$92,F122,D$92-SUM(E$99:E122))</f>
        <v>2800986.2844263259</v>
      </c>
      <c r="E123" s="522">
        <f>IF(+J96&lt;F122,J96,D123)</f>
        <v>139795.29268292684</v>
      </c>
      <c r="F123" s="523">
        <f t="shared" si="49"/>
        <v>2661190.9917433993</v>
      </c>
      <c r="G123" s="523">
        <f t="shared" si="50"/>
        <v>2731088.6380848624</v>
      </c>
      <c r="H123" s="526">
        <f t="shared" si="51"/>
        <v>449812.70658794034</v>
      </c>
      <c r="I123" s="577">
        <f t="shared" si="52"/>
        <v>449812.70658794034</v>
      </c>
      <c r="J123" s="514">
        <f t="shared" si="31"/>
        <v>0</v>
      </c>
      <c r="K123" s="514"/>
      <c r="L123" s="525"/>
      <c r="M123" s="514">
        <f t="shared" si="32"/>
        <v>0</v>
      </c>
      <c r="N123" s="525"/>
      <c r="O123" s="514">
        <f t="shared" si="33"/>
        <v>0</v>
      </c>
      <c r="P123" s="514">
        <f t="shared" si="34"/>
        <v>0</v>
      </c>
      <c r="Q123" s="269"/>
    </row>
    <row r="124" spans="2:17">
      <c r="B124" s="195" t="str">
        <f t="shared" si="35"/>
        <v/>
      </c>
      <c r="C124" s="507">
        <f>IF(D93="","-",+C123+1)</f>
        <v>2031</v>
      </c>
      <c r="D124" s="374">
        <f>IF(F123+SUM(E$99:E123)=D$92,F123,D$92-SUM(E$99:E123))</f>
        <v>2661190.9917433993</v>
      </c>
      <c r="E124" s="522">
        <f>IF(+J96&lt;F123,J96,D124)</f>
        <v>139795.29268292684</v>
      </c>
      <c r="F124" s="523">
        <f t="shared" si="49"/>
        <v>2521395.6990604727</v>
      </c>
      <c r="G124" s="523">
        <f t="shared" si="50"/>
        <v>2591293.3454019362</v>
      </c>
      <c r="H124" s="526">
        <f t="shared" si="51"/>
        <v>433943.95208861877</v>
      </c>
      <c r="I124" s="577">
        <f t="shared" si="52"/>
        <v>433943.95208861877</v>
      </c>
      <c r="J124" s="514">
        <f t="shared" si="31"/>
        <v>0</v>
      </c>
      <c r="K124" s="514"/>
      <c r="L124" s="525"/>
      <c r="M124" s="514">
        <f t="shared" si="32"/>
        <v>0</v>
      </c>
      <c r="N124" s="525"/>
      <c r="O124" s="514">
        <f t="shared" si="33"/>
        <v>0</v>
      </c>
      <c r="P124" s="514">
        <f t="shared" si="34"/>
        <v>0</v>
      </c>
      <c r="Q124" s="269"/>
    </row>
    <row r="125" spans="2:17">
      <c r="B125" s="195" t="str">
        <f t="shared" si="35"/>
        <v/>
      </c>
      <c r="C125" s="507">
        <f>IF(D93="","-",+C124+1)</f>
        <v>2032</v>
      </c>
      <c r="D125" s="374">
        <f>IF(F124+SUM(E$99:E124)=D$92,F124,D$92-SUM(E$99:E124))</f>
        <v>2521395.6990604727</v>
      </c>
      <c r="E125" s="522">
        <f>IF(+J96&lt;F124,J96,D125)</f>
        <v>139795.29268292684</v>
      </c>
      <c r="F125" s="523">
        <f t="shared" si="49"/>
        <v>2381600.406377546</v>
      </c>
      <c r="G125" s="523">
        <f t="shared" si="50"/>
        <v>2451498.0527190091</v>
      </c>
      <c r="H125" s="526">
        <f t="shared" si="51"/>
        <v>418075.19758929708</v>
      </c>
      <c r="I125" s="577">
        <f t="shared" si="52"/>
        <v>418075.19758929708</v>
      </c>
      <c r="J125" s="514">
        <f t="shared" si="31"/>
        <v>0</v>
      </c>
      <c r="K125" s="514"/>
      <c r="L125" s="525"/>
      <c r="M125" s="514">
        <f t="shared" si="32"/>
        <v>0</v>
      </c>
      <c r="N125" s="525"/>
      <c r="O125" s="514">
        <f t="shared" si="33"/>
        <v>0</v>
      </c>
      <c r="P125" s="514">
        <f t="shared" si="34"/>
        <v>0</v>
      </c>
      <c r="Q125" s="269"/>
    </row>
    <row r="126" spans="2:17">
      <c r="B126" s="195" t="str">
        <f t="shared" si="35"/>
        <v/>
      </c>
      <c r="C126" s="507">
        <f>IF(D93="","-",+C125+1)</f>
        <v>2033</v>
      </c>
      <c r="D126" s="374">
        <f>IF(F125+SUM(E$99:E125)=D$92,F125,D$92-SUM(E$99:E125))</f>
        <v>2381600.406377546</v>
      </c>
      <c r="E126" s="522">
        <f>IF(+J96&lt;F125,J96,D126)</f>
        <v>139795.29268292684</v>
      </c>
      <c r="F126" s="523">
        <f t="shared" si="49"/>
        <v>2241805.1136946194</v>
      </c>
      <c r="G126" s="523">
        <f t="shared" si="50"/>
        <v>2311702.7600360829</v>
      </c>
      <c r="H126" s="526">
        <f t="shared" si="51"/>
        <v>402206.44308997539</v>
      </c>
      <c r="I126" s="577">
        <f t="shared" si="52"/>
        <v>402206.44308997539</v>
      </c>
      <c r="J126" s="514">
        <f t="shared" si="31"/>
        <v>0</v>
      </c>
      <c r="K126" s="514"/>
      <c r="L126" s="525"/>
      <c r="M126" s="514">
        <f t="shared" si="32"/>
        <v>0</v>
      </c>
      <c r="N126" s="525"/>
      <c r="O126" s="514">
        <f t="shared" si="33"/>
        <v>0</v>
      </c>
      <c r="P126" s="514">
        <f t="shared" si="34"/>
        <v>0</v>
      </c>
      <c r="Q126" s="269"/>
    </row>
    <row r="127" spans="2:17">
      <c r="B127" s="195" t="str">
        <f t="shared" si="35"/>
        <v/>
      </c>
      <c r="C127" s="507">
        <f>IF(D93="","-",+C126+1)</f>
        <v>2034</v>
      </c>
      <c r="D127" s="374">
        <f>IF(F126+SUM(E$99:E126)=D$92,F126,D$92-SUM(E$99:E126))</f>
        <v>2241805.1136946194</v>
      </c>
      <c r="E127" s="522">
        <f>IF(+J96&lt;F126,J96,D127)</f>
        <v>139795.29268292684</v>
      </c>
      <c r="F127" s="523">
        <f t="shared" si="49"/>
        <v>2102009.8210116928</v>
      </c>
      <c r="G127" s="523">
        <f t="shared" si="50"/>
        <v>2171907.4673531558</v>
      </c>
      <c r="H127" s="526">
        <f t="shared" si="51"/>
        <v>386337.68859065371</v>
      </c>
      <c r="I127" s="577">
        <f t="shared" si="52"/>
        <v>386337.68859065371</v>
      </c>
      <c r="J127" s="514">
        <f t="shared" si="31"/>
        <v>0</v>
      </c>
      <c r="K127" s="514"/>
      <c r="L127" s="525"/>
      <c r="M127" s="514">
        <f t="shared" si="32"/>
        <v>0</v>
      </c>
      <c r="N127" s="525"/>
      <c r="O127" s="514">
        <f t="shared" si="33"/>
        <v>0</v>
      </c>
      <c r="P127" s="514">
        <f t="shared" si="34"/>
        <v>0</v>
      </c>
      <c r="Q127" s="269"/>
    </row>
    <row r="128" spans="2:17">
      <c r="B128" s="195" t="str">
        <f t="shared" si="35"/>
        <v/>
      </c>
      <c r="C128" s="507">
        <f>IF(D93="","-",+C127+1)</f>
        <v>2035</v>
      </c>
      <c r="D128" s="374">
        <f>IF(F127+SUM(E$99:E127)=D$92,F127,D$92-SUM(E$99:E127))</f>
        <v>2102009.8210116928</v>
      </c>
      <c r="E128" s="522">
        <f>IF(+J96&lt;F127,J96,D128)</f>
        <v>139795.29268292684</v>
      </c>
      <c r="F128" s="523">
        <f t="shared" si="49"/>
        <v>1962214.5283287659</v>
      </c>
      <c r="G128" s="523">
        <f t="shared" si="50"/>
        <v>2032112.1746702292</v>
      </c>
      <c r="H128" s="526">
        <f t="shared" si="51"/>
        <v>370468.93409133214</v>
      </c>
      <c r="I128" s="577">
        <f t="shared" si="52"/>
        <v>370468.93409133214</v>
      </c>
      <c r="J128" s="514">
        <f t="shared" si="31"/>
        <v>0</v>
      </c>
      <c r="K128" s="514"/>
      <c r="L128" s="525"/>
      <c r="M128" s="514">
        <f t="shared" si="32"/>
        <v>0</v>
      </c>
      <c r="N128" s="525"/>
      <c r="O128" s="514">
        <f t="shared" si="33"/>
        <v>0</v>
      </c>
      <c r="P128" s="514">
        <f t="shared" si="34"/>
        <v>0</v>
      </c>
      <c r="Q128" s="269"/>
    </row>
    <row r="129" spans="2:17">
      <c r="B129" s="195" t="str">
        <f t="shared" si="35"/>
        <v/>
      </c>
      <c r="C129" s="507">
        <f>IF(D93="","-",+C128+1)</f>
        <v>2036</v>
      </c>
      <c r="D129" s="374">
        <f>IF(F128+SUM(E$99:E128)=D$92,F128,D$92-SUM(E$99:E128))</f>
        <v>1962214.5283287659</v>
      </c>
      <c r="E129" s="522">
        <f>IF(+J96&lt;F128,J96,D129)</f>
        <v>139795.29268292684</v>
      </c>
      <c r="F129" s="523">
        <f t="shared" si="49"/>
        <v>1822419.235645839</v>
      </c>
      <c r="G129" s="523">
        <f t="shared" si="50"/>
        <v>1892316.8819873026</v>
      </c>
      <c r="H129" s="526">
        <f t="shared" si="51"/>
        <v>354600.17959201045</v>
      </c>
      <c r="I129" s="577">
        <f t="shared" si="52"/>
        <v>354600.17959201045</v>
      </c>
      <c r="J129" s="514">
        <f t="shared" si="31"/>
        <v>0</v>
      </c>
      <c r="K129" s="514"/>
      <c r="L129" s="525"/>
      <c r="M129" s="514">
        <f t="shared" si="32"/>
        <v>0</v>
      </c>
      <c r="N129" s="525"/>
      <c r="O129" s="514">
        <f t="shared" si="33"/>
        <v>0</v>
      </c>
      <c r="P129" s="514">
        <f t="shared" si="34"/>
        <v>0</v>
      </c>
      <c r="Q129" s="269"/>
    </row>
    <row r="130" spans="2:17">
      <c r="B130" s="195" t="str">
        <f t="shared" si="35"/>
        <v/>
      </c>
      <c r="C130" s="507">
        <f>IF(D93="","-",+C129+1)</f>
        <v>2037</v>
      </c>
      <c r="D130" s="374">
        <f>IF(F129+SUM(E$99:E129)=D$92,F129,D$92-SUM(E$99:E129))</f>
        <v>1822419.235645839</v>
      </c>
      <c r="E130" s="522">
        <f>IF(+J96&lt;F129,J96,D130)</f>
        <v>139795.29268292684</v>
      </c>
      <c r="F130" s="523">
        <f t="shared" si="49"/>
        <v>1682623.9429629121</v>
      </c>
      <c r="G130" s="523">
        <f t="shared" si="50"/>
        <v>1752521.5893043755</v>
      </c>
      <c r="H130" s="526">
        <f t="shared" si="51"/>
        <v>338731.42509268876</v>
      </c>
      <c r="I130" s="577">
        <f t="shared" si="52"/>
        <v>338731.42509268876</v>
      </c>
      <c r="J130" s="514">
        <f t="shared" si="31"/>
        <v>0</v>
      </c>
      <c r="K130" s="514"/>
      <c r="L130" s="525"/>
      <c r="M130" s="514">
        <f t="shared" si="32"/>
        <v>0</v>
      </c>
      <c r="N130" s="525"/>
      <c r="O130" s="514">
        <f t="shared" si="33"/>
        <v>0</v>
      </c>
      <c r="P130" s="514">
        <f t="shared" si="34"/>
        <v>0</v>
      </c>
      <c r="Q130" s="269"/>
    </row>
    <row r="131" spans="2:17">
      <c r="B131" s="195" t="str">
        <f t="shared" si="35"/>
        <v/>
      </c>
      <c r="C131" s="507">
        <f>IF(D93="","-",+C130+1)</f>
        <v>2038</v>
      </c>
      <c r="D131" s="374">
        <f>IF(F130+SUM(E$99:E130)=D$92,F130,D$92-SUM(E$99:E130))</f>
        <v>1682623.9429629121</v>
      </c>
      <c r="E131" s="522">
        <f>IF(+J96&lt;F130,J96,D131)</f>
        <v>139795.29268292684</v>
      </c>
      <c r="F131" s="523">
        <f t="shared" ref="F131:F154" si="53">+D131-E131</f>
        <v>1542828.6502799853</v>
      </c>
      <c r="G131" s="523">
        <f t="shared" ref="G131:G154" si="54">+(F131+D131)/2</f>
        <v>1612726.2966214488</v>
      </c>
      <c r="H131" s="526">
        <f t="shared" si="51"/>
        <v>322862.67059336713</v>
      </c>
      <c r="I131" s="577">
        <f t="shared" si="52"/>
        <v>322862.67059336713</v>
      </c>
      <c r="J131" s="514">
        <f t="shared" ref="J131:J154" si="55">+I131-H131</f>
        <v>0</v>
      </c>
      <c r="K131" s="514"/>
      <c r="L131" s="525"/>
      <c r="M131" s="514">
        <f t="shared" ref="M131:M154" si="56">IF(L131&lt;&gt;0,+H131-L131,0)</f>
        <v>0</v>
      </c>
      <c r="N131" s="525"/>
      <c r="O131" s="514">
        <f t="shared" ref="O131:O154" si="57">IF(N131&lt;&gt;0,+I131-N131,0)</f>
        <v>0</v>
      </c>
      <c r="P131" s="514">
        <f t="shared" ref="P131:P154" si="58">+O131-M131</f>
        <v>0</v>
      </c>
      <c r="Q131" s="269"/>
    </row>
    <row r="132" spans="2:17">
      <c r="B132" s="195" t="str">
        <f t="shared" si="35"/>
        <v/>
      </c>
      <c r="C132" s="507">
        <f>IF(D93="","-",+C131+1)</f>
        <v>2039</v>
      </c>
      <c r="D132" s="374">
        <f>IF(F131+SUM(E$99:E131)=D$92,F131,D$92-SUM(E$99:E131))</f>
        <v>1542828.6502799853</v>
      </c>
      <c r="E132" s="522">
        <f>IF(+J96&lt;F131,J96,D132)</f>
        <v>139795.29268292684</v>
      </c>
      <c r="F132" s="523">
        <f t="shared" si="53"/>
        <v>1403033.3575970584</v>
      </c>
      <c r="G132" s="523">
        <f t="shared" si="54"/>
        <v>1472931.0039385217</v>
      </c>
      <c r="H132" s="526">
        <f t="shared" si="51"/>
        <v>306993.91609404545</v>
      </c>
      <c r="I132" s="577">
        <f t="shared" si="52"/>
        <v>306993.91609404545</v>
      </c>
      <c r="J132" s="514">
        <f t="shared" si="55"/>
        <v>0</v>
      </c>
      <c r="K132" s="514"/>
      <c r="L132" s="525"/>
      <c r="M132" s="514">
        <f t="shared" si="56"/>
        <v>0</v>
      </c>
      <c r="N132" s="525"/>
      <c r="O132" s="514">
        <f t="shared" si="57"/>
        <v>0</v>
      </c>
      <c r="P132" s="514">
        <f t="shared" si="58"/>
        <v>0</v>
      </c>
      <c r="Q132" s="269"/>
    </row>
    <row r="133" spans="2:17">
      <c r="B133" s="195" t="str">
        <f t="shared" si="35"/>
        <v/>
      </c>
      <c r="C133" s="507">
        <f>IF(D93="","-",+C132+1)</f>
        <v>2040</v>
      </c>
      <c r="D133" s="374">
        <f>IF(F132+SUM(E$99:E132)=D$92,F132,D$92-SUM(E$99:E132))</f>
        <v>1403033.3575970584</v>
      </c>
      <c r="E133" s="522">
        <f>IF(+J96&lt;F132,J96,D133)</f>
        <v>139795.29268292684</v>
      </c>
      <c r="F133" s="523">
        <f t="shared" si="53"/>
        <v>1263238.0649141315</v>
      </c>
      <c r="G133" s="523">
        <f t="shared" si="54"/>
        <v>1333135.7112555951</v>
      </c>
      <c r="H133" s="526">
        <f t="shared" si="51"/>
        <v>291125.16159472382</v>
      </c>
      <c r="I133" s="577">
        <f t="shared" si="52"/>
        <v>291125.16159472382</v>
      </c>
      <c r="J133" s="514">
        <f t="shared" si="55"/>
        <v>0</v>
      </c>
      <c r="K133" s="514"/>
      <c r="L133" s="525"/>
      <c r="M133" s="514">
        <f t="shared" si="56"/>
        <v>0</v>
      </c>
      <c r="N133" s="525"/>
      <c r="O133" s="514">
        <f t="shared" si="57"/>
        <v>0</v>
      </c>
      <c r="P133" s="514">
        <f t="shared" si="58"/>
        <v>0</v>
      </c>
      <c r="Q133" s="269"/>
    </row>
    <row r="134" spans="2:17">
      <c r="B134" s="195" t="str">
        <f t="shared" si="35"/>
        <v/>
      </c>
      <c r="C134" s="507">
        <f>IF(D93="","-",+C133+1)</f>
        <v>2041</v>
      </c>
      <c r="D134" s="374">
        <f>IF(F133+SUM(E$99:E133)=D$92,F133,D$92-SUM(E$99:E133))</f>
        <v>1263238.0649141315</v>
      </c>
      <c r="E134" s="522">
        <f>IF(+J96&lt;F133,J96,D134)</f>
        <v>139795.29268292684</v>
      </c>
      <c r="F134" s="523">
        <f t="shared" si="53"/>
        <v>1123442.7722312047</v>
      </c>
      <c r="G134" s="523">
        <f t="shared" si="54"/>
        <v>1193340.418572668</v>
      </c>
      <c r="H134" s="526">
        <f t="shared" si="51"/>
        <v>275256.40709540213</v>
      </c>
      <c r="I134" s="577">
        <f t="shared" si="52"/>
        <v>275256.40709540213</v>
      </c>
      <c r="J134" s="514">
        <f t="shared" si="55"/>
        <v>0</v>
      </c>
      <c r="K134" s="514"/>
      <c r="L134" s="525"/>
      <c r="M134" s="514">
        <f t="shared" si="56"/>
        <v>0</v>
      </c>
      <c r="N134" s="525"/>
      <c r="O134" s="514">
        <f t="shared" si="57"/>
        <v>0</v>
      </c>
      <c r="P134" s="514">
        <f t="shared" si="58"/>
        <v>0</v>
      </c>
      <c r="Q134" s="269"/>
    </row>
    <row r="135" spans="2:17">
      <c r="B135" s="195" t="str">
        <f t="shared" si="35"/>
        <v/>
      </c>
      <c r="C135" s="507">
        <f>IF(D93="","-",+C134+1)</f>
        <v>2042</v>
      </c>
      <c r="D135" s="374">
        <f>IF(F134+SUM(E$99:E134)=D$92,F134,D$92-SUM(E$99:E134))</f>
        <v>1123442.7722312047</v>
      </c>
      <c r="E135" s="522">
        <f>IF(+J96&lt;F134,J96,D135)</f>
        <v>139795.29268292684</v>
      </c>
      <c r="F135" s="523">
        <f t="shared" si="53"/>
        <v>983647.4795482778</v>
      </c>
      <c r="G135" s="523">
        <f t="shared" si="54"/>
        <v>1053545.1258897413</v>
      </c>
      <c r="H135" s="526">
        <f t="shared" si="51"/>
        <v>259387.65259608047</v>
      </c>
      <c r="I135" s="577">
        <f t="shared" si="52"/>
        <v>259387.65259608047</v>
      </c>
      <c r="J135" s="514">
        <f t="shared" si="55"/>
        <v>0</v>
      </c>
      <c r="K135" s="514"/>
      <c r="L135" s="525"/>
      <c r="M135" s="514">
        <f t="shared" si="56"/>
        <v>0</v>
      </c>
      <c r="N135" s="525"/>
      <c r="O135" s="514">
        <f t="shared" si="57"/>
        <v>0</v>
      </c>
      <c r="P135" s="514">
        <f t="shared" si="58"/>
        <v>0</v>
      </c>
      <c r="Q135" s="269"/>
    </row>
    <row r="136" spans="2:17">
      <c r="B136" s="195" t="str">
        <f t="shared" si="35"/>
        <v/>
      </c>
      <c r="C136" s="507">
        <f>IF(D93="","-",+C135+1)</f>
        <v>2043</v>
      </c>
      <c r="D136" s="374">
        <f>IF(F135+SUM(E$99:E135)=D$92,F135,D$92-SUM(E$99:E135))</f>
        <v>983647.4795482778</v>
      </c>
      <c r="E136" s="522">
        <f>IF(+J96&lt;F135,J96,D136)</f>
        <v>139795.29268292684</v>
      </c>
      <c r="F136" s="523">
        <f t="shared" si="53"/>
        <v>843852.18686535093</v>
      </c>
      <c r="G136" s="523">
        <f t="shared" si="54"/>
        <v>913749.83320681436</v>
      </c>
      <c r="H136" s="526">
        <f t="shared" si="51"/>
        <v>243518.89809675881</v>
      </c>
      <c r="I136" s="577">
        <f t="shared" si="52"/>
        <v>243518.89809675881</v>
      </c>
      <c r="J136" s="514">
        <f t="shared" si="55"/>
        <v>0</v>
      </c>
      <c r="K136" s="514"/>
      <c r="L136" s="525"/>
      <c r="M136" s="514">
        <f t="shared" si="56"/>
        <v>0</v>
      </c>
      <c r="N136" s="525"/>
      <c r="O136" s="514">
        <f t="shared" si="57"/>
        <v>0</v>
      </c>
      <c r="P136" s="514">
        <f t="shared" si="58"/>
        <v>0</v>
      </c>
      <c r="Q136" s="269"/>
    </row>
    <row r="137" spans="2:17">
      <c r="B137" s="195" t="str">
        <f t="shared" si="35"/>
        <v/>
      </c>
      <c r="C137" s="507">
        <f>IF(D93="","-",+C136+1)</f>
        <v>2044</v>
      </c>
      <c r="D137" s="374">
        <f>IF(F136+SUM(E$99:E136)=D$92,F136,D$92-SUM(E$99:E136))</f>
        <v>843852.18686535093</v>
      </c>
      <c r="E137" s="522">
        <f>IF(+J96&lt;F136,J96,D137)</f>
        <v>139795.29268292684</v>
      </c>
      <c r="F137" s="523">
        <f t="shared" si="53"/>
        <v>704056.89418242406</v>
      </c>
      <c r="G137" s="523">
        <f t="shared" si="54"/>
        <v>773954.5405238875</v>
      </c>
      <c r="H137" s="526">
        <f t="shared" si="51"/>
        <v>227650.14359743713</v>
      </c>
      <c r="I137" s="577">
        <f t="shared" si="52"/>
        <v>227650.14359743713</v>
      </c>
      <c r="J137" s="514">
        <f t="shared" si="55"/>
        <v>0</v>
      </c>
      <c r="K137" s="514"/>
      <c r="L137" s="525"/>
      <c r="M137" s="514">
        <f t="shared" si="56"/>
        <v>0</v>
      </c>
      <c r="N137" s="525"/>
      <c r="O137" s="514">
        <f t="shared" si="57"/>
        <v>0</v>
      </c>
      <c r="P137" s="514">
        <f t="shared" si="58"/>
        <v>0</v>
      </c>
      <c r="Q137" s="269"/>
    </row>
    <row r="138" spans="2:17">
      <c r="B138" s="195" t="str">
        <f t="shared" si="35"/>
        <v/>
      </c>
      <c r="C138" s="507">
        <f>IF(D93="","-",+C137+1)</f>
        <v>2045</v>
      </c>
      <c r="D138" s="374">
        <f>IF(F137+SUM(E$99:E137)=D$92,F137,D$92-SUM(E$99:E137))</f>
        <v>704056.89418242406</v>
      </c>
      <c r="E138" s="522">
        <f>IF(+J96&lt;F137,J96,D138)</f>
        <v>139795.29268292684</v>
      </c>
      <c r="F138" s="523">
        <f t="shared" si="53"/>
        <v>564261.60149949719</v>
      </c>
      <c r="G138" s="523">
        <f t="shared" si="54"/>
        <v>634159.24784096063</v>
      </c>
      <c r="H138" s="526">
        <f t="shared" si="51"/>
        <v>211781.38909811547</v>
      </c>
      <c r="I138" s="577">
        <f t="shared" si="52"/>
        <v>211781.38909811547</v>
      </c>
      <c r="J138" s="514">
        <f t="shared" si="55"/>
        <v>0</v>
      </c>
      <c r="K138" s="514"/>
      <c r="L138" s="525"/>
      <c r="M138" s="514">
        <f t="shared" si="56"/>
        <v>0</v>
      </c>
      <c r="N138" s="525"/>
      <c r="O138" s="514">
        <f t="shared" si="57"/>
        <v>0</v>
      </c>
      <c r="P138" s="514">
        <f t="shared" si="58"/>
        <v>0</v>
      </c>
      <c r="Q138" s="269"/>
    </row>
    <row r="139" spans="2:17">
      <c r="B139" s="195" t="str">
        <f t="shared" si="35"/>
        <v/>
      </c>
      <c r="C139" s="507">
        <f>IF(D93="","-",+C138+1)</f>
        <v>2046</v>
      </c>
      <c r="D139" s="374">
        <f>IF(F138+SUM(E$99:E138)=D$92,F138,D$92-SUM(E$99:E138))</f>
        <v>564261.60149949719</v>
      </c>
      <c r="E139" s="522">
        <f>IF(+J96&lt;F138,J96,D139)</f>
        <v>139795.29268292684</v>
      </c>
      <c r="F139" s="523">
        <f t="shared" si="53"/>
        <v>424466.30881657032</v>
      </c>
      <c r="G139" s="523">
        <f t="shared" si="54"/>
        <v>494363.95515803376</v>
      </c>
      <c r="H139" s="526">
        <f t="shared" si="51"/>
        <v>195912.63459879381</v>
      </c>
      <c r="I139" s="577">
        <f t="shared" si="52"/>
        <v>195912.63459879381</v>
      </c>
      <c r="J139" s="514">
        <f t="shared" si="55"/>
        <v>0</v>
      </c>
      <c r="K139" s="514"/>
      <c r="L139" s="525"/>
      <c r="M139" s="514">
        <f t="shared" si="56"/>
        <v>0</v>
      </c>
      <c r="N139" s="525"/>
      <c r="O139" s="514">
        <f t="shared" si="57"/>
        <v>0</v>
      </c>
      <c r="P139" s="514">
        <f t="shared" si="58"/>
        <v>0</v>
      </c>
      <c r="Q139" s="269"/>
    </row>
    <row r="140" spans="2:17">
      <c r="B140" s="195" t="str">
        <f t="shared" si="35"/>
        <v/>
      </c>
      <c r="C140" s="507">
        <f>IF(D93="","-",+C139+1)</f>
        <v>2047</v>
      </c>
      <c r="D140" s="374">
        <f>IF(F139+SUM(E$99:E139)=D$92,F139,D$92-SUM(E$99:E139))</f>
        <v>424466.30881657032</v>
      </c>
      <c r="E140" s="522">
        <f>IF(+J96&lt;F139,J96,D140)</f>
        <v>139795.29268292684</v>
      </c>
      <c r="F140" s="523">
        <f t="shared" si="53"/>
        <v>284671.01613364345</v>
      </c>
      <c r="G140" s="523">
        <f t="shared" si="54"/>
        <v>354568.66247510689</v>
      </c>
      <c r="H140" s="526">
        <f t="shared" si="51"/>
        <v>180043.88009947212</v>
      </c>
      <c r="I140" s="577">
        <f t="shared" si="52"/>
        <v>180043.88009947212</v>
      </c>
      <c r="J140" s="514">
        <f t="shared" si="55"/>
        <v>0</v>
      </c>
      <c r="K140" s="514"/>
      <c r="L140" s="525"/>
      <c r="M140" s="514">
        <f t="shared" si="56"/>
        <v>0</v>
      </c>
      <c r="N140" s="525"/>
      <c r="O140" s="514">
        <f t="shared" si="57"/>
        <v>0</v>
      </c>
      <c r="P140" s="514">
        <f t="shared" si="58"/>
        <v>0</v>
      </c>
      <c r="Q140" s="269"/>
    </row>
    <row r="141" spans="2:17">
      <c r="B141" s="195" t="str">
        <f t="shared" si="35"/>
        <v/>
      </c>
      <c r="C141" s="507">
        <f>IF(D93="","-",+C140+1)</f>
        <v>2048</v>
      </c>
      <c r="D141" s="374">
        <f>IF(F140+SUM(E$99:E140)=D$92,F140,D$92-SUM(E$99:E140))</f>
        <v>284671.01613364345</v>
      </c>
      <c r="E141" s="522">
        <f>IF(+J96&lt;F140,J96,D141)</f>
        <v>139795.29268292684</v>
      </c>
      <c r="F141" s="523">
        <f t="shared" si="53"/>
        <v>144875.72345071661</v>
      </c>
      <c r="G141" s="523">
        <f t="shared" si="54"/>
        <v>214773.36979218002</v>
      </c>
      <c r="H141" s="526">
        <f t="shared" si="51"/>
        <v>164175.12560015047</v>
      </c>
      <c r="I141" s="577">
        <f t="shared" si="52"/>
        <v>164175.12560015047</v>
      </c>
      <c r="J141" s="514">
        <f t="shared" si="55"/>
        <v>0</v>
      </c>
      <c r="K141" s="514"/>
      <c r="L141" s="525"/>
      <c r="M141" s="514">
        <f t="shared" si="56"/>
        <v>0</v>
      </c>
      <c r="N141" s="525"/>
      <c r="O141" s="514">
        <f t="shared" si="57"/>
        <v>0</v>
      </c>
      <c r="P141" s="514">
        <f t="shared" si="58"/>
        <v>0</v>
      </c>
      <c r="Q141" s="269"/>
    </row>
    <row r="142" spans="2:17">
      <c r="B142" s="195" t="str">
        <f t="shared" si="35"/>
        <v/>
      </c>
      <c r="C142" s="507">
        <f>IF(D93="","-",+C141+1)</f>
        <v>2049</v>
      </c>
      <c r="D142" s="374">
        <f>IF(F141+SUM(E$99:E141)=D$92,F141,D$92-SUM(E$99:E141))</f>
        <v>144875.72345071661</v>
      </c>
      <c r="E142" s="522">
        <f>IF(+J96&lt;F141,J96,D142)</f>
        <v>139795.29268292684</v>
      </c>
      <c r="F142" s="523">
        <f t="shared" si="53"/>
        <v>5080.4307677897741</v>
      </c>
      <c r="G142" s="523">
        <f t="shared" si="54"/>
        <v>74978.077109253194</v>
      </c>
      <c r="H142" s="526">
        <f t="shared" si="51"/>
        <v>148306.37110082881</v>
      </c>
      <c r="I142" s="577">
        <f t="shared" si="52"/>
        <v>148306.37110082881</v>
      </c>
      <c r="J142" s="514">
        <f t="shared" si="55"/>
        <v>0</v>
      </c>
      <c r="K142" s="514"/>
      <c r="L142" s="525"/>
      <c r="M142" s="514">
        <f t="shared" si="56"/>
        <v>0</v>
      </c>
      <c r="N142" s="525"/>
      <c r="O142" s="514">
        <f t="shared" si="57"/>
        <v>0</v>
      </c>
      <c r="P142" s="514">
        <f t="shared" si="58"/>
        <v>0</v>
      </c>
      <c r="Q142" s="269"/>
    </row>
    <row r="143" spans="2:17">
      <c r="B143" s="195" t="str">
        <f t="shared" si="35"/>
        <v/>
      </c>
      <c r="C143" s="507">
        <f>IF(D93="","-",+C142+1)</f>
        <v>2050</v>
      </c>
      <c r="D143" s="374">
        <f>IF(F142+SUM(E$99:E142)=D$92,F142,D$92-SUM(E$99:E142))</f>
        <v>5080.4307677897741</v>
      </c>
      <c r="E143" s="522">
        <f>IF(+J96&lt;F142,J96,D143)</f>
        <v>5080.4307677897741</v>
      </c>
      <c r="F143" s="523">
        <f t="shared" si="53"/>
        <v>0</v>
      </c>
      <c r="G143" s="523">
        <f t="shared" si="54"/>
        <v>2540.2153838948871</v>
      </c>
      <c r="H143" s="526">
        <f t="shared" si="51"/>
        <v>5368.7813519103447</v>
      </c>
      <c r="I143" s="577">
        <f t="shared" si="52"/>
        <v>5368.7813519103447</v>
      </c>
      <c r="J143" s="514">
        <f t="shared" si="55"/>
        <v>0</v>
      </c>
      <c r="K143" s="514"/>
      <c r="L143" s="525"/>
      <c r="M143" s="514">
        <f t="shared" si="56"/>
        <v>0</v>
      </c>
      <c r="N143" s="525"/>
      <c r="O143" s="514">
        <f t="shared" si="57"/>
        <v>0</v>
      </c>
      <c r="P143" s="514">
        <f t="shared" si="58"/>
        <v>0</v>
      </c>
      <c r="Q143" s="269"/>
    </row>
    <row r="144" spans="2:17">
      <c r="B144" s="195" t="str">
        <f t="shared" si="35"/>
        <v/>
      </c>
      <c r="C144" s="507">
        <f>IF(D93="","-",+C143+1)</f>
        <v>2051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53"/>
        <v>0</v>
      </c>
      <c r="G144" s="523">
        <f t="shared" si="54"/>
        <v>0</v>
      </c>
      <c r="H144" s="526">
        <f t="shared" si="51"/>
        <v>0</v>
      </c>
      <c r="I144" s="577">
        <f t="shared" si="52"/>
        <v>0</v>
      </c>
      <c r="J144" s="514">
        <f t="shared" si="55"/>
        <v>0</v>
      </c>
      <c r="K144" s="514"/>
      <c r="L144" s="525"/>
      <c r="M144" s="514">
        <f t="shared" si="56"/>
        <v>0</v>
      </c>
      <c r="N144" s="525"/>
      <c r="O144" s="514">
        <f t="shared" si="57"/>
        <v>0</v>
      </c>
      <c r="P144" s="514">
        <f t="shared" si="58"/>
        <v>0</v>
      </c>
      <c r="Q144" s="269"/>
    </row>
    <row r="145" spans="2:17">
      <c r="B145" s="195" t="str">
        <f t="shared" si="35"/>
        <v/>
      </c>
      <c r="C145" s="507">
        <f>IF(D93="","-",+C144+1)</f>
        <v>2052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53"/>
        <v>0</v>
      </c>
      <c r="G145" s="523">
        <f t="shared" si="54"/>
        <v>0</v>
      </c>
      <c r="H145" s="526">
        <f t="shared" si="51"/>
        <v>0</v>
      </c>
      <c r="I145" s="577">
        <f t="shared" si="52"/>
        <v>0</v>
      </c>
      <c r="J145" s="514">
        <f t="shared" si="55"/>
        <v>0</v>
      </c>
      <c r="K145" s="514"/>
      <c r="L145" s="525"/>
      <c r="M145" s="514">
        <f t="shared" si="56"/>
        <v>0</v>
      </c>
      <c r="N145" s="525"/>
      <c r="O145" s="514">
        <f t="shared" si="57"/>
        <v>0</v>
      </c>
      <c r="P145" s="514">
        <f t="shared" si="58"/>
        <v>0</v>
      </c>
      <c r="Q145" s="269"/>
    </row>
    <row r="146" spans="2:17">
      <c r="B146" s="195" t="str">
        <f t="shared" si="35"/>
        <v/>
      </c>
      <c r="C146" s="507">
        <f>IF(D93="","-",+C145+1)</f>
        <v>2053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53"/>
        <v>0</v>
      </c>
      <c r="G146" s="523">
        <f t="shared" si="54"/>
        <v>0</v>
      </c>
      <c r="H146" s="526">
        <f t="shared" si="51"/>
        <v>0</v>
      </c>
      <c r="I146" s="577">
        <f t="shared" si="52"/>
        <v>0</v>
      </c>
      <c r="J146" s="514">
        <f t="shared" si="55"/>
        <v>0</v>
      </c>
      <c r="K146" s="514"/>
      <c r="L146" s="525"/>
      <c r="M146" s="514">
        <f t="shared" si="56"/>
        <v>0</v>
      </c>
      <c r="N146" s="525"/>
      <c r="O146" s="514">
        <f t="shared" si="57"/>
        <v>0</v>
      </c>
      <c r="P146" s="514">
        <f t="shared" si="58"/>
        <v>0</v>
      </c>
      <c r="Q146" s="269"/>
    </row>
    <row r="147" spans="2:17">
      <c r="B147" s="195" t="str">
        <f t="shared" si="35"/>
        <v/>
      </c>
      <c r="C147" s="507">
        <f>IF(D93="","-",+C146+1)</f>
        <v>2054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53"/>
        <v>0</v>
      </c>
      <c r="G147" s="523">
        <f t="shared" si="54"/>
        <v>0</v>
      </c>
      <c r="H147" s="526">
        <f t="shared" si="51"/>
        <v>0</v>
      </c>
      <c r="I147" s="577">
        <f t="shared" si="52"/>
        <v>0</v>
      </c>
      <c r="J147" s="514">
        <f t="shared" si="55"/>
        <v>0</v>
      </c>
      <c r="K147" s="514"/>
      <c r="L147" s="525"/>
      <c r="M147" s="514">
        <f t="shared" si="56"/>
        <v>0</v>
      </c>
      <c r="N147" s="525"/>
      <c r="O147" s="514">
        <f t="shared" si="57"/>
        <v>0</v>
      </c>
      <c r="P147" s="514">
        <f t="shared" si="58"/>
        <v>0</v>
      </c>
      <c r="Q147" s="269"/>
    </row>
    <row r="148" spans="2:17">
      <c r="B148" s="195" t="str">
        <f t="shared" si="35"/>
        <v/>
      </c>
      <c r="C148" s="507">
        <f>IF(D93="","-",+C147+1)</f>
        <v>2055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53"/>
        <v>0</v>
      </c>
      <c r="G148" s="523">
        <f t="shared" si="54"/>
        <v>0</v>
      </c>
      <c r="H148" s="526">
        <f t="shared" si="51"/>
        <v>0</v>
      </c>
      <c r="I148" s="577">
        <f t="shared" si="52"/>
        <v>0</v>
      </c>
      <c r="J148" s="514">
        <f t="shared" si="55"/>
        <v>0</v>
      </c>
      <c r="K148" s="514"/>
      <c r="L148" s="525"/>
      <c r="M148" s="514">
        <f t="shared" si="56"/>
        <v>0</v>
      </c>
      <c r="N148" s="525"/>
      <c r="O148" s="514">
        <f t="shared" si="57"/>
        <v>0</v>
      </c>
      <c r="P148" s="514">
        <f t="shared" si="58"/>
        <v>0</v>
      </c>
      <c r="Q148" s="269"/>
    </row>
    <row r="149" spans="2:17">
      <c r="B149" s="195" t="str">
        <f t="shared" si="35"/>
        <v/>
      </c>
      <c r="C149" s="507">
        <f>IF(D93="","-",+C148+1)</f>
        <v>2056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53"/>
        <v>0</v>
      </c>
      <c r="G149" s="523">
        <f t="shared" si="54"/>
        <v>0</v>
      </c>
      <c r="H149" s="526">
        <f t="shared" si="51"/>
        <v>0</v>
      </c>
      <c r="I149" s="577">
        <f t="shared" si="52"/>
        <v>0</v>
      </c>
      <c r="J149" s="514">
        <f t="shared" si="55"/>
        <v>0</v>
      </c>
      <c r="K149" s="514"/>
      <c r="L149" s="525"/>
      <c r="M149" s="514">
        <f t="shared" si="56"/>
        <v>0</v>
      </c>
      <c r="N149" s="525"/>
      <c r="O149" s="514">
        <f t="shared" si="57"/>
        <v>0</v>
      </c>
      <c r="P149" s="514">
        <f t="shared" si="58"/>
        <v>0</v>
      </c>
      <c r="Q149" s="269"/>
    </row>
    <row r="150" spans="2:17">
      <c r="B150" s="195" t="str">
        <f t="shared" si="35"/>
        <v/>
      </c>
      <c r="C150" s="507">
        <f>IF(D93="","-",+C149+1)</f>
        <v>2057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53"/>
        <v>0</v>
      </c>
      <c r="G150" s="523">
        <f t="shared" si="54"/>
        <v>0</v>
      </c>
      <c r="H150" s="526">
        <f t="shared" si="51"/>
        <v>0</v>
      </c>
      <c r="I150" s="577">
        <f t="shared" si="52"/>
        <v>0</v>
      </c>
      <c r="J150" s="514">
        <f t="shared" si="55"/>
        <v>0</v>
      </c>
      <c r="K150" s="514"/>
      <c r="L150" s="525"/>
      <c r="M150" s="514">
        <f t="shared" si="56"/>
        <v>0</v>
      </c>
      <c r="N150" s="525"/>
      <c r="O150" s="514">
        <f t="shared" si="57"/>
        <v>0</v>
      </c>
      <c r="P150" s="514">
        <f t="shared" si="58"/>
        <v>0</v>
      </c>
      <c r="Q150" s="269"/>
    </row>
    <row r="151" spans="2:17">
      <c r="B151" s="195" t="str">
        <f t="shared" si="35"/>
        <v/>
      </c>
      <c r="C151" s="507">
        <f>IF(D93="","-",+C150+1)</f>
        <v>2058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53"/>
        <v>0</v>
      </c>
      <c r="G151" s="523">
        <f t="shared" si="54"/>
        <v>0</v>
      </c>
      <c r="H151" s="526">
        <f t="shared" si="51"/>
        <v>0</v>
      </c>
      <c r="I151" s="577">
        <f t="shared" si="52"/>
        <v>0</v>
      </c>
      <c r="J151" s="514">
        <f t="shared" si="55"/>
        <v>0</v>
      </c>
      <c r="K151" s="514"/>
      <c r="L151" s="525"/>
      <c r="M151" s="514">
        <f t="shared" si="56"/>
        <v>0</v>
      </c>
      <c r="N151" s="525"/>
      <c r="O151" s="514">
        <f t="shared" si="57"/>
        <v>0</v>
      </c>
      <c r="P151" s="514">
        <f t="shared" si="58"/>
        <v>0</v>
      </c>
      <c r="Q151" s="269"/>
    </row>
    <row r="152" spans="2:17">
      <c r="B152" s="195" t="str">
        <f t="shared" si="35"/>
        <v/>
      </c>
      <c r="C152" s="507">
        <f>IF(D93="","-",+C151+1)</f>
        <v>2059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53"/>
        <v>0</v>
      </c>
      <c r="G152" s="523">
        <f t="shared" si="54"/>
        <v>0</v>
      </c>
      <c r="H152" s="526">
        <f t="shared" si="51"/>
        <v>0</v>
      </c>
      <c r="I152" s="577">
        <f t="shared" si="52"/>
        <v>0</v>
      </c>
      <c r="J152" s="514">
        <f t="shared" si="55"/>
        <v>0</v>
      </c>
      <c r="K152" s="514"/>
      <c r="L152" s="525"/>
      <c r="M152" s="514">
        <f t="shared" si="56"/>
        <v>0</v>
      </c>
      <c r="N152" s="525"/>
      <c r="O152" s="514">
        <f t="shared" si="57"/>
        <v>0</v>
      </c>
      <c r="P152" s="514">
        <f t="shared" si="58"/>
        <v>0</v>
      </c>
      <c r="Q152" s="269"/>
    </row>
    <row r="153" spans="2:17">
      <c r="B153" s="195" t="str">
        <f t="shared" si="35"/>
        <v/>
      </c>
      <c r="C153" s="507">
        <f>IF(D93="","-",+C152+1)</f>
        <v>2060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53"/>
        <v>0</v>
      </c>
      <c r="G153" s="523">
        <f t="shared" si="54"/>
        <v>0</v>
      </c>
      <c r="H153" s="526">
        <f t="shared" si="51"/>
        <v>0</v>
      </c>
      <c r="I153" s="577">
        <f t="shared" si="52"/>
        <v>0</v>
      </c>
      <c r="J153" s="514">
        <f t="shared" si="55"/>
        <v>0</v>
      </c>
      <c r="K153" s="514"/>
      <c r="L153" s="525"/>
      <c r="M153" s="514">
        <f t="shared" si="56"/>
        <v>0</v>
      </c>
      <c r="N153" s="525"/>
      <c r="O153" s="514">
        <f t="shared" si="57"/>
        <v>0</v>
      </c>
      <c r="P153" s="514">
        <f t="shared" si="58"/>
        <v>0</v>
      </c>
      <c r="Q153" s="269"/>
    </row>
    <row r="154" spans="2:17" ht="13.5" thickBot="1">
      <c r="B154" s="195" t="str">
        <f t="shared" si="35"/>
        <v/>
      </c>
      <c r="C154" s="527">
        <f>IF(D93="","-",+C153+1)</f>
        <v>2061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53"/>
        <v>0</v>
      </c>
      <c r="G154" s="528">
        <f t="shared" si="54"/>
        <v>0</v>
      </c>
      <c r="H154" s="530">
        <f t="shared" si="51"/>
        <v>0</v>
      </c>
      <c r="I154" s="579">
        <f t="shared" si="52"/>
        <v>0</v>
      </c>
      <c r="J154" s="533">
        <f t="shared" si="55"/>
        <v>0</v>
      </c>
      <c r="K154" s="514"/>
      <c r="L154" s="532"/>
      <c r="M154" s="533">
        <f t="shared" si="56"/>
        <v>0</v>
      </c>
      <c r="N154" s="532"/>
      <c r="O154" s="533">
        <f t="shared" si="57"/>
        <v>0</v>
      </c>
      <c r="P154" s="533">
        <f t="shared" si="58"/>
        <v>0</v>
      </c>
      <c r="Q154" s="269"/>
    </row>
    <row r="155" spans="2:17">
      <c r="C155" s="374" t="s">
        <v>78</v>
      </c>
      <c r="D155" s="375"/>
      <c r="E155" s="375">
        <f>SUM(E99:E154)</f>
        <v>5731607.0000000019</v>
      </c>
      <c r="F155" s="375"/>
      <c r="G155" s="375"/>
      <c r="H155" s="375">
        <f>SUM(H99:H154)</f>
        <v>20198855.679553669</v>
      </c>
      <c r="I155" s="375">
        <f>SUM(I99:I154)</f>
        <v>20198855.679553669</v>
      </c>
      <c r="J155" s="375">
        <f>SUM(J99:J154)</f>
        <v>0</v>
      </c>
      <c r="K155" s="375"/>
      <c r="L155" s="375"/>
      <c r="M155" s="375"/>
      <c r="N155" s="375"/>
      <c r="O155" s="375"/>
      <c r="P155" s="269"/>
      <c r="Q155" s="269"/>
    </row>
    <row r="156" spans="2:17"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  <c r="Q156" s="269"/>
    </row>
    <row r="157" spans="2:17">
      <c r="C157" s="580" t="s">
        <v>92</v>
      </c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  <c r="Q157" s="269"/>
    </row>
    <row r="158" spans="2:17"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  <c r="Q158" s="269"/>
    </row>
    <row r="159" spans="2:17">
      <c r="C159" s="534" t="s">
        <v>97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  <c r="Q159" s="269"/>
    </row>
    <row r="160" spans="2:17">
      <c r="C160" s="581" t="s">
        <v>79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  <c r="Q160" s="269"/>
    </row>
    <row r="161" spans="3:17">
      <c r="C161" s="581" t="s">
        <v>80</v>
      </c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  <c r="Q161" s="269"/>
    </row>
    <row r="162" spans="3:17" ht="18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454" t="s">
        <v>131</v>
      </c>
      <c r="Q162" s="269"/>
    </row>
  </sheetData>
  <phoneticPr fontId="0" type="noConversion"/>
  <conditionalFormatting sqref="C17:C72">
    <cfRule type="cellIs" dxfId="137" priority="1" stopIfTrue="1" operator="equal">
      <formula>$I$10</formula>
    </cfRule>
  </conditionalFormatting>
  <conditionalFormatting sqref="C99:C154">
    <cfRule type="cellIs" dxfId="136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  <legacy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63">
    <tabColor indexed="16"/>
  </sheetPr>
  <dimension ref="A1:W162"/>
  <sheetViews>
    <sheetView topLeftCell="A97" zoomScaleNormal="100" zoomScaleSheetLayoutView="75" workbookViewId="0">
      <selection activeCell="D99" sqref="D99:I114"/>
    </sheetView>
  </sheetViews>
  <sheetFormatPr defaultColWidth="8.7109375" defaultRowHeight="12.75" customHeight="1"/>
  <cols>
    <col min="1" max="1" width="4.7109375" style="183" customWidth="1"/>
    <col min="2" max="2" width="6.7109375" style="183" customWidth="1"/>
    <col min="3" max="3" width="23.28515625" style="183" customWidth="1"/>
    <col min="4" max="8" width="17.7109375" style="183" customWidth="1"/>
    <col min="9" max="9" width="20.42578125" style="183" customWidth="1"/>
    <col min="10" max="10" width="19.140625" style="183" customWidth="1"/>
    <col min="11" max="11" width="17.7109375" style="183" customWidth="1"/>
    <col min="12" max="12" width="16.140625" style="183" customWidth="1"/>
    <col min="13" max="13" width="17.7109375" style="183" customWidth="1"/>
    <col min="14" max="14" width="16.140625" style="183" customWidth="1"/>
    <col min="15" max="15" width="16.85546875" style="183" customWidth="1"/>
    <col min="16" max="16" width="24.42578125" style="183" customWidth="1"/>
    <col min="17" max="17" width="4.7109375" style="183" customWidth="1"/>
    <col min="18" max="22" width="8.7109375" style="183"/>
    <col min="23" max="23" width="14.28515625" style="183" customWidth="1"/>
    <col min="24" max="16384" width="8.7109375" style="183"/>
  </cols>
  <sheetData>
    <row r="1" spans="1:23" ht="20.25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14 of 75</v>
      </c>
      <c r="Q1" s="453"/>
      <c r="R1" s="269"/>
      <c r="S1" s="269"/>
      <c r="T1" s="269"/>
      <c r="U1" s="269"/>
      <c r="V1" s="269"/>
      <c r="W1" s="269"/>
    </row>
    <row r="2" spans="1:23" ht="18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454" t="s">
        <v>129</v>
      </c>
      <c r="R2" s="269"/>
      <c r="S2" s="269"/>
      <c r="T2" s="269"/>
      <c r="U2" s="269"/>
      <c r="V2" s="269"/>
      <c r="W2" s="269"/>
    </row>
    <row r="3" spans="1:23" ht="18.75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 t="str">
        <f>RIGHT(N3,3)</f>
        <v/>
      </c>
      <c r="P3" s="455">
        <v>1</v>
      </c>
      <c r="R3" s="269"/>
      <c r="S3" s="269"/>
      <c r="T3" s="269"/>
      <c r="U3" s="269"/>
      <c r="V3" s="269"/>
      <c r="W3" s="269"/>
    </row>
    <row r="4" spans="1:23" ht="15.75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  <c r="R4" s="269"/>
      <c r="S4" s="269"/>
      <c r="T4" s="269"/>
      <c r="U4" s="269"/>
      <c r="V4" s="269"/>
      <c r="W4" s="269"/>
    </row>
    <row r="5" spans="1:23" ht="1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7873.6763229825956</v>
      </c>
      <c r="P5" s="269"/>
      <c r="R5" s="269"/>
      <c r="S5" s="269"/>
      <c r="T5" s="269"/>
      <c r="U5" s="269"/>
      <c r="V5" s="269"/>
      <c r="W5" s="269"/>
    </row>
    <row r="6" spans="1:23" ht="15.7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7873.6763229825956</v>
      </c>
      <c r="O6" s="269"/>
      <c r="P6" s="269"/>
      <c r="R6" s="269"/>
      <c r="S6" s="269"/>
      <c r="T6" s="269"/>
      <c r="U6" s="269"/>
      <c r="V6" s="269"/>
      <c r="W6" s="269"/>
    </row>
    <row r="7" spans="1:23" ht="13.5" thickBot="1">
      <c r="C7" s="467" t="s">
        <v>48</v>
      </c>
      <c r="D7" s="468" t="s">
        <v>233</v>
      </c>
      <c r="E7" s="269"/>
      <c r="F7" s="269"/>
      <c r="G7" s="269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  <c r="R7" s="269"/>
      <c r="S7" s="269"/>
      <c r="T7" s="269"/>
      <c r="U7" s="269"/>
      <c r="V7" s="269"/>
      <c r="W7" s="269"/>
    </row>
    <row r="8" spans="1:23" ht="13.5" thickBot="1">
      <c r="C8" s="472"/>
      <c r="D8" s="473" t="str">
        <f>IF(D10&lt;100000,"DOES NOT MEET SPP $100,000 MINIMUM INVESTMENT FOR REGIONAL BPU SHARING.","")</f>
        <v>DOES NOT MEET SPP $100,000 MINIMUM INVESTMENT FOR REGIONAL BPU SHARING.</v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  <c r="R8" s="269"/>
      <c r="S8" s="269"/>
      <c r="T8" s="269"/>
      <c r="U8" s="269"/>
      <c r="V8" s="269"/>
      <c r="W8" s="269"/>
    </row>
    <row r="9" spans="1:23" ht="13.5" thickBot="1">
      <c r="A9" s="191"/>
      <c r="C9" s="476" t="s">
        <v>50</v>
      </c>
      <c r="D9" s="477" t="s">
        <v>152</v>
      </c>
      <c r="E9" s="666" t="s">
        <v>482</v>
      </c>
      <c r="F9" s="478"/>
      <c r="G9" s="478"/>
      <c r="H9" s="478"/>
      <c r="I9" s="479"/>
      <c r="J9" s="480"/>
      <c r="O9" s="481"/>
      <c r="P9" s="272"/>
      <c r="R9" s="269"/>
      <c r="S9" s="269"/>
      <c r="T9" s="269"/>
      <c r="U9" s="269"/>
      <c r="V9" s="269"/>
      <c r="W9" s="269"/>
    </row>
    <row r="10" spans="1:23">
      <c r="C10" s="482" t="s">
        <v>51</v>
      </c>
      <c r="D10" s="483">
        <v>81701</v>
      </c>
      <c r="E10" s="353" t="s">
        <v>52</v>
      </c>
      <c r="F10" s="481"/>
      <c r="G10" s="484"/>
      <c r="H10" s="484"/>
      <c r="I10" s="485">
        <f>+'SWE.WS.F.BPU.ATRR.Projected'!L19</f>
        <v>2024</v>
      </c>
      <c r="J10" s="480"/>
      <c r="K10" s="375" t="s">
        <v>53</v>
      </c>
      <c r="O10" s="272"/>
      <c r="P10" s="272"/>
      <c r="R10" s="269"/>
      <c r="S10" s="269"/>
      <c r="T10" s="269"/>
      <c r="U10" s="269"/>
      <c r="V10" s="269"/>
      <c r="W10" s="269"/>
    </row>
    <row r="11" spans="1:23">
      <c r="C11" s="486" t="s">
        <v>54</v>
      </c>
      <c r="D11" s="487">
        <v>2007</v>
      </c>
      <c r="E11" s="486" t="s">
        <v>55</v>
      </c>
      <c r="F11" s="484"/>
      <c r="G11" s="233"/>
      <c r="H11" s="233"/>
      <c r="I11" s="488"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  <c r="R11" s="269"/>
      <c r="S11" s="269"/>
      <c r="T11" s="269"/>
      <c r="U11" s="269"/>
      <c r="V11" s="269"/>
      <c r="W11" s="269"/>
    </row>
    <row r="12" spans="1:23">
      <c r="C12" s="486" t="s">
        <v>56</v>
      </c>
      <c r="D12" s="483">
        <v>6</v>
      </c>
      <c r="E12" s="486" t="s">
        <v>57</v>
      </c>
      <c r="F12" s="484"/>
      <c r="G12" s="233"/>
      <c r="H12" s="233"/>
      <c r="I12" s="490">
        <f>'SWE.WS.F.BPU.ATRR.Projected'!$F$81</f>
        <v>0.11952713165403545</v>
      </c>
      <c r="J12" s="425"/>
      <c r="K12" s="183" t="s">
        <v>58</v>
      </c>
      <c r="O12" s="272"/>
      <c r="P12" s="272"/>
      <c r="R12" s="269"/>
      <c r="S12" s="269"/>
      <c r="T12" s="269"/>
      <c r="U12" s="269"/>
      <c r="V12" s="269"/>
      <c r="W12" s="269"/>
    </row>
    <row r="13" spans="1:23">
      <c r="C13" s="486" t="s">
        <v>59</v>
      </c>
      <c r="D13" s="488">
        <f>+'SWE.WS.F.BPU.ATRR.Projected'!F$93</f>
        <v>44</v>
      </c>
      <c r="E13" s="486" t="s">
        <v>60</v>
      </c>
      <c r="F13" s="484"/>
      <c r="G13" s="233"/>
      <c r="H13" s="233"/>
      <c r="I13" s="490">
        <f>IF(G5="",I12,'SWE.WS.F.BPU.ATRR.Projected'!$F$80)</f>
        <v>0.11952713165403545</v>
      </c>
      <c r="J13" s="425"/>
      <c r="K13" s="375" t="s">
        <v>61</v>
      </c>
      <c r="L13" s="324"/>
      <c r="M13" s="324"/>
      <c r="N13" s="324"/>
      <c r="O13" s="272"/>
      <c r="P13" s="272"/>
      <c r="R13" s="269"/>
      <c r="S13" s="269"/>
      <c r="T13" s="269"/>
      <c r="U13" s="269"/>
      <c r="V13" s="269"/>
      <c r="W13" s="269"/>
    </row>
    <row r="14" spans="1:23" ht="13.5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1856.840909090909</v>
      </c>
      <c r="J14" s="375"/>
      <c r="K14" s="375"/>
      <c r="L14" s="375"/>
      <c r="M14" s="375"/>
      <c r="N14" s="375"/>
      <c r="O14" s="272"/>
      <c r="P14" s="272"/>
      <c r="R14" s="269"/>
      <c r="S14" s="269"/>
      <c r="T14" s="269"/>
      <c r="U14" s="269"/>
      <c r="V14" s="269"/>
      <c r="W14" s="269"/>
    </row>
    <row r="15" spans="1:23" ht="38.25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388</v>
      </c>
      <c r="H15" s="495" t="s">
        <v>389</v>
      </c>
      <c r="I15" s="496" t="s">
        <v>260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  <c r="R15" s="269"/>
      <c r="S15" s="269"/>
      <c r="T15" s="269"/>
      <c r="U15" s="269"/>
      <c r="V15" s="269"/>
      <c r="W15" s="269"/>
    </row>
    <row r="16" spans="1:23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  <c r="R16" s="269"/>
      <c r="S16" s="269"/>
      <c r="T16" s="269"/>
      <c r="U16" s="269"/>
      <c r="V16" s="269"/>
      <c r="W16" s="269"/>
    </row>
    <row r="17" spans="2:23">
      <c r="C17" s="507">
        <f>IF(D11= "","-",D11)</f>
        <v>2007</v>
      </c>
      <c r="D17" s="508">
        <v>54301</v>
      </c>
      <c r="E17" s="509">
        <v>714</v>
      </c>
      <c r="F17" s="508">
        <v>53587</v>
      </c>
      <c r="G17" s="509">
        <v>8418</v>
      </c>
      <c r="H17" s="510">
        <v>8418</v>
      </c>
      <c r="I17" s="596">
        <f t="shared" ref="I17:I48" si="0">H17-G17</f>
        <v>0</v>
      </c>
      <c r="J17" s="511"/>
      <c r="K17" s="512">
        <v>0</v>
      </c>
      <c r="L17" s="513">
        <f t="shared" ref="L17:L48" si="1">IF(K17&lt;&gt;0,+G17-K17,0)</f>
        <v>0</v>
      </c>
      <c r="M17" s="512">
        <v>0</v>
      </c>
      <c r="N17" s="513">
        <f t="shared" ref="N17:N48" si="2">IF(M17&lt;&gt;0,+H17-M17,0)</f>
        <v>0</v>
      </c>
      <c r="O17" s="514">
        <f t="shared" ref="O17:O48" si="3">+N17-L17</f>
        <v>0</v>
      </c>
      <c r="P17" s="272"/>
      <c r="R17" s="372"/>
      <c r="S17" s="372"/>
      <c r="T17" s="372"/>
      <c r="U17" s="372"/>
      <c r="V17" s="372"/>
      <c r="W17" s="269"/>
    </row>
    <row r="18" spans="2:23">
      <c r="B18" s="195" t="str">
        <f>IF(D18=F17,"","IU")</f>
        <v/>
      </c>
      <c r="C18" s="507">
        <f>IF(D11="","-",+C17+1)</f>
        <v>2008</v>
      </c>
      <c r="D18" s="515">
        <v>53587</v>
      </c>
      <c r="E18" s="516">
        <v>1429</v>
      </c>
      <c r="F18" s="515">
        <v>52158</v>
      </c>
      <c r="G18" s="516">
        <v>8927</v>
      </c>
      <c r="H18" s="510">
        <v>8927</v>
      </c>
      <c r="I18" s="596">
        <f t="shared" si="0"/>
        <v>0</v>
      </c>
      <c r="J18" s="511"/>
      <c r="K18" s="518">
        <v>0</v>
      </c>
      <c r="L18" s="514">
        <f t="shared" si="1"/>
        <v>0</v>
      </c>
      <c r="M18" s="518">
        <v>0</v>
      </c>
      <c r="N18" s="514">
        <f t="shared" si="2"/>
        <v>0</v>
      </c>
      <c r="O18" s="514">
        <f t="shared" si="3"/>
        <v>0</v>
      </c>
      <c r="P18" s="272"/>
      <c r="R18" s="372"/>
      <c r="S18" s="372"/>
      <c r="T18" s="372"/>
      <c r="U18" s="372"/>
      <c r="V18" s="372"/>
      <c r="W18" s="269"/>
    </row>
    <row r="19" spans="2:23">
      <c r="B19" s="195" t="str">
        <f>IF(D19=F18,"","IU")</f>
        <v/>
      </c>
      <c r="C19" s="507">
        <f>IF(D11="","-",+C18+1)</f>
        <v>2009</v>
      </c>
      <c r="D19" s="515">
        <v>52158</v>
      </c>
      <c r="E19" s="516">
        <v>1429</v>
      </c>
      <c r="F19" s="515">
        <v>50729</v>
      </c>
      <c r="G19" s="516">
        <v>8722</v>
      </c>
      <c r="H19" s="510">
        <v>8722</v>
      </c>
      <c r="I19" s="596">
        <f t="shared" si="0"/>
        <v>0</v>
      </c>
      <c r="J19" s="511"/>
      <c r="K19" s="518">
        <f>G19</f>
        <v>8722</v>
      </c>
      <c r="L19" s="519">
        <f>IF(K19&lt;&gt;0,+G19-K19,0)</f>
        <v>0</v>
      </c>
      <c r="M19" s="518">
        <f>H19</f>
        <v>8722</v>
      </c>
      <c r="N19" s="514">
        <f>IF(M19&lt;&gt;0,+H19-M19,0)</f>
        <v>0</v>
      </c>
      <c r="O19" s="514">
        <f>+N19-L19</f>
        <v>0</v>
      </c>
      <c r="P19" s="272"/>
      <c r="R19" s="372"/>
      <c r="S19" s="372"/>
      <c r="T19" s="372"/>
      <c r="U19" s="372"/>
      <c r="V19" s="372"/>
      <c r="W19" s="269"/>
    </row>
    <row r="20" spans="2:23">
      <c r="B20" s="195" t="str">
        <f t="shared" ref="B20:B72" si="4">IF(D20=F19,"","IU")</f>
        <v/>
      </c>
      <c r="C20" s="507">
        <f>IF(D11="","-",+C19+1)</f>
        <v>2010</v>
      </c>
      <c r="D20" s="515">
        <v>50729</v>
      </c>
      <c r="E20" s="516">
        <v>1428.9736842105262</v>
      </c>
      <c r="F20" s="515">
        <v>49300.026315789473</v>
      </c>
      <c r="G20" s="516">
        <v>8516.5919295125823</v>
      </c>
      <c r="H20" s="510">
        <v>8516.5919295125823</v>
      </c>
      <c r="I20" s="517">
        <v>0</v>
      </c>
      <c r="J20" s="511"/>
      <c r="K20" s="518">
        <f t="shared" ref="K20:K25" si="5">G20</f>
        <v>8516.5919295125823</v>
      </c>
      <c r="L20" s="519">
        <f t="shared" si="1"/>
        <v>0</v>
      </c>
      <c r="M20" s="518">
        <f t="shared" ref="M20:M25" si="6">H20</f>
        <v>8516.5919295125823</v>
      </c>
      <c r="N20" s="514">
        <f t="shared" si="2"/>
        <v>0</v>
      </c>
      <c r="O20" s="514">
        <f t="shared" si="3"/>
        <v>0</v>
      </c>
      <c r="P20" s="272"/>
      <c r="R20" s="269"/>
      <c r="S20" s="269"/>
      <c r="T20" s="269"/>
      <c r="U20" s="269"/>
      <c r="V20" s="269"/>
      <c r="W20" s="269"/>
    </row>
    <row r="21" spans="2:23">
      <c r="B21" s="195" t="str">
        <f t="shared" si="4"/>
        <v>IU</v>
      </c>
      <c r="C21" s="507">
        <f>IF(D12="","-",+C20+1)</f>
        <v>2011</v>
      </c>
      <c r="D21" s="515">
        <v>76700.026315789466</v>
      </c>
      <c r="E21" s="516">
        <v>1992.7073170731708</v>
      </c>
      <c r="F21" s="515">
        <v>74707.318998716291</v>
      </c>
      <c r="G21" s="516">
        <v>13661.406661613239</v>
      </c>
      <c r="H21" s="510">
        <v>13661.406661613239</v>
      </c>
      <c r="I21" s="517">
        <v>0</v>
      </c>
      <c r="J21" s="511"/>
      <c r="K21" s="518">
        <f t="shared" si="5"/>
        <v>13661.406661613239</v>
      </c>
      <c r="L21" s="519">
        <f t="shared" si="1"/>
        <v>0</v>
      </c>
      <c r="M21" s="518">
        <f t="shared" si="6"/>
        <v>13661.406661613239</v>
      </c>
      <c r="N21" s="514">
        <f t="shared" si="2"/>
        <v>0</v>
      </c>
      <c r="O21" s="514">
        <f t="shared" si="3"/>
        <v>0</v>
      </c>
      <c r="P21" s="272"/>
      <c r="R21" s="269"/>
      <c r="S21" s="269"/>
      <c r="T21" s="269"/>
      <c r="U21" s="269"/>
      <c r="V21" s="269"/>
      <c r="W21" s="269"/>
    </row>
    <row r="22" spans="2:23">
      <c r="B22" s="195" t="str">
        <f t="shared" si="4"/>
        <v/>
      </c>
      <c r="C22" s="507">
        <f>IF(D11="","-",+C21+1)</f>
        <v>2012</v>
      </c>
      <c r="D22" s="515">
        <v>74707.318998716291</v>
      </c>
      <c r="E22" s="520">
        <v>1945.2619047619048</v>
      </c>
      <c r="F22" s="515">
        <v>72762.057093954383</v>
      </c>
      <c r="G22" s="516">
        <v>12766.445227365637</v>
      </c>
      <c r="H22" s="510">
        <v>12766.445227365637</v>
      </c>
      <c r="I22" s="517">
        <v>0</v>
      </c>
      <c r="J22" s="511"/>
      <c r="K22" s="518">
        <f t="shared" si="5"/>
        <v>12766.445227365637</v>
      </c>
      <c r="L22" s="519">
        <f t="shared" si="1"/>
        <v>0</v>
      </c>
      <c r="M22" s="518">
        <f t="shared" si="6"/>
        <v>12766.445227365637</v>
      </c>
      <c r="N22" s="514">
        <f t="shared" si="2"/>
        <v>0</v>
      </c>
      <c r="O22" s="514">
        <f t="shared" si="3"/>
        <v>0</v>
      </c>
      <c r="P22" s="272"/>
      <c r="R22" s="269"/>
      <c r="S22" s="269"/>
      <c r="T22" s="269"/>
      <c r="U22" s="269"/>
      <c r="V22" s="269"/>
      <c r="W22" s="269"/>
    </row>
    <row r="23" spans="2:23">
      <c r="B23" s="195" t="str">
        <f t="shared" si="4"/>
        <v/>
      </c>
      <c r="C23" s="507">
        <f>IF(D11="","-",+C22+1)</f>
        <v>2013</v>
      </c>
      <c r="D23" s="608">
        <v>72762.057093954383</v>
      </c>
      <c r="E23" s="609">
        <v>1945.2619047619048</v>
      </c>
      <c r="F23" s="608">
        <v>70816.795189192475</v>
      </c>
      <c r="G23" s="609">
        <v>11858.698425256665</v>
      </c>
      <c r="H23" s="610">
        <v>11858.698425256665</v>
      </c>
      <c r="I23" s="596">
        <v>0</v>
      </c>
      <c r="J23" s="511"/>
      <c r="K23" s="518">
        <f t="shared" si="5"/>
        <v>11858.698425256665</v>
      </c>
      <c r="L23" s="519">
        <f t="shared" ref="L23:L28" si="7">IF(K23&lt;&gt;0,+G23-K23,0)</f>
        <v>0</v>
      </c>
      <c r="M23" s="518">
        <f t="shared" si="6"/>
        <v>11858.698425256665</v>
      </c>
      <c r="N23" s="514">
        <f t="shared" ref="N23:N28" si="8">IF(M23&lt;&gt;0,+H23-M23,0)</f>
        <v>0</v>
      </c>
      <c r="O23" s="514">
        <f t="shared" ref="O23:O28" si="9">+N23-L23</f>
        <v>0</v>
      </c>
      <c r="P23" s="272"/>
      <c r="R23" s="269"/>
      <c r="S23" s="269"/>
      <c r="T23" s="269"/>
      <c r="U23" s="269"/>
      <c r="V23" s="269"/>
      <c r="W23" s="269"/>
    </row>
    <row r="24" spans="2:23">
      <c r="B24" s="195" t="str">
        <f t="shared" si="4"/>
        <v/>
      </c>
      <c r="C24" s="507">
        <f>IF(D11="","-",+C23+1)</f>
        <v>2014</v>
      </c>
      <c r="D24" s="608">
        <v>70816.795189192475</v>
      </c>
      <c r="E24" s="609">
        <v>1945.2619047619048</v>
      </c>
      <c r="F24" s="608">
        <v>68871.533284430567</v>
      </c>
      <c r="G24" s="609">
        <v>11236.755464120854</v>
      </c>
      <c r="H24" s="610">
        <v>11236.755464120854</v>
      </c>
      <c r="I24" s="596">
        <v>0</v>
      </c>
      <c r="J24" s="511"/>
      <c r="K24" s="518">
        <f t="shared" si="5"/>
        <v>11236.755464120854</v>
      </c>
      <c r="L24" s="519">
        <f t="shared" si="7"/>
        <v>0</v>
      </c>
      <c r="M24" s="518">
        <f t="shared" si="6"/>
        <v>11236.755464120854</v>
      </c>
      <c r="N24" s="514">
        <f t="shared" si="8"/>
        <v>0</v>
      </c>
      <c r="O24" s="514">
        <f t="shared" si="9"/>
        <v>0</v>
      </c>
      <c r="P24" s="272"/>
      <c r="R24" s="269"/>
      <c r="S24" s="269"/>
      <c r="T24" s="269"/>
      <c r="U24" s="269"/>
      <c r="V24" s="269"/>
      <c r="W24" s="269"/>
    </row>
    <row r="25" spans="2:23">
      <c r="B25" s="195" t="str">
        <f t="shared" si="4"/>
        <v/>
      </c>
      <c r="C25" s="507">
        <f>IF(D11="","-",+C24+1)</f>
        <v>2015</v>
      </c>
      <c r="D25" s="608">
        <v>68871.533284430567</v>
      </c>
      <c r="E25" s="609">
        <v>1945.2619047619048</v>
      </c>
      <c r="F25" s="608">
        <v>66926.271379668658</v>
      </c>
      <c r="G25" s="609">
        <v>10759.773156827454</v>
      </c>
      <c r="H25" s="610">
        <v>10759.773156827454</v>
      </c>
      <c r="I25" s="511">
        <v>0</v>
      </c>
      <c r="J25" s="511"/>
      <c r="K25" s="518">
        <f t="shared" si="5"/>
        <v>10759.773156827454</v>
      </c>
      <c r="L25" s="519">
        <f t="shared" si="7"/>
        <v>0</v>
      </c>
      <c r="M25" s="518">
        <f t="shared" si="6"/>
        <v>10759.773156827454</v>
      </c>
      <c r="N25" s="514">
        <f t="shared" si="8"/>
        <v>0</v>
      </c>
      <c r="O25" s="514">
        <f t="shared" si="9"/>
        <v>0</v>
      </c>
      <c r="P25" s="272"/>
      <c r="R25" s="269"/>
      <c r="S25" s="269"/>
      <c r="T25" s="269"/>
      <c r="U25" s="269"/>
      <c r="V25" s="269"/>
      <c r="W25" s="269"/>
    </row>
    <row r="26" spans="2:23">
      <c r="B26" s="195" t="str">
        <f t="shared" si="4"/>
        <v/>
      </c>
      <c r="C26" s="507">
        <f>IF(D11="","-",+C25+1)</f>
        <v>2016</v>
      </c>
      <c r="D26" s="608">
        <v>66926.271379668658</v>
      </c>
      <c r="E26" s="609">
        <v>1945.2619047619048</v>
      </c>
      <c r="F26" s="608">
        <v>64981.00947490675</v>
      </c>
      <c r="G26" s="609">
        <v>10397.989993961875</v>
      </c>
      <c r="H26" s="610">
        <v>10397.989993961875</v>
      </c>
      <c r="I26" s="511">
        <f t="shared" si="0"/>
        <v>0</v>
      </c>
      <c r="J26" s="511"/>
      <c r="K26" s="518">
        <f t="shared" ref="K26:K31" si="10">G26</f>
        <v>10397.989993961875</v>
      </c>
      <c r="L26" s="519">
        <f t="shared" si="7"/>
        <v>0</v>
      </c>
      <c r="M26" s="518">
        <f t="shared" ref="M26:M31" si="11">H26</f>
        <v>10397.989993961875</v>
      </c>
      <c r="N26" s="514">
        <f t="shared" si="8"/>
        <v>0</v>
      </c>
      <c r="O26" s="514">
        <f t="shared" si="9"/>
        <v>0</v>
      </c>
      <c r="P26" s="272"/>
      <c r="R26" s="269"/>
      <c r="S26" s="269"/>
      <c r="T26" s="269"/>
      <c r="U26" s="269"/>
      <c r="V26" s="269"/>
      <c r="W26" s="269"/>
    </row>
    <row r="27" spans="2:23">
      <c r="B27" s="195" t="str">
        <f t="shared" si="4"/>
        <v/>
      </c>
      <c r="C27" s="507">
        <f>IF(D11="","-",+C26+1)</f>
        <v>2017</v>
      </c>
      <c r="D27" s="608">
        <v>64981.00947490675</v>
      </c>
      <c r="E27" s="609">
        <v>1900.0232558139535</v>
      </c>
      <c r="F27" s="608">
        <v>63080.986219092796</v>
      </c>
      <c r="G27" s="609">
        <v>9832.9858090659618</v>
      </c>
      <c r="H27" s="610">
        <v>9832.9858090659618</v>
      </c>
      <c r="I27" s="511">
        <f t="shared" si="0"/>
        <v>0</v>
      </c>
      <c r="J27" s="511"/>
      <c r="K27" s="518">
        <f t="shared" si="10"/>
        <v>9832.9858090659618</v>
      </c>
      <c r="L27" s="519">
        <f t="shared" si="7"/>
        <v>0</v>
      </c>
      <c r="M27" s="518">
        <f t="shared" si="11"/>
        <v>9832.9858090659618</v>
      </c>
      <c r="N27" s="514">
        <f t="shared" si="8"/>
        <v>0</v>
      </c>
      <c r="O27" s="514">
        <f t="shared" si="9"/>
        <v>0</v>
      </c>
      <c r="P27" s="272"/>
      <c r="R27" s="269"/>
      <c r="S27" s="269"/>
      <c r="T27" s="269"/>
      <c r="U27" s="269"/>
      <c r="V27" s="269"/>
      <c r="W27" s="269"/>
    </row>
    <row r="28" spans="2:23">
      <c r="B28" s="195" t="str">
        <f t="shared" si="4"/>
        <v/>
      </c>
      <c r="C28" s="507">
        <f>IF(D11="","-",+C27+1)</f>
        <v>2018</v>
      </c>
      <c r="D28" s="608">
        <v>63080.986219092796</v>
      </c>
      <c r="E28" s="609">
        <v>1992.7073170731708</v>
      </c>
      <c r="F28" s="608">
        <v>61088.278902019629</v>
      </c>
      <c r="G28" s="609">
        <v>9883.2977496491349</v>
      </c>
      <c r="H28" s="610">
        <v>9883.2977496491349</v>
      </c>
      <c r="I28" s="511">
        <f t="shared" si="0"/>
        <v>0</v>
      </c>
      <c r="J28" s="511"/>
      <c r="K28" s="518">
        <f t="shared" si="10"/>
        <v>9883.2977496491349</v>
      </c>
      <c r="L28" s="519">
        <f t="shared" si="7"/>
        <v>0</v>
      </c>
      <c r="M28" s="518">
        <f t="shared" si="11"/>
        <v>9883.2977496491349</v>
      </c>
      <c r="N28" s="514">
        <f t="shared" si="8"/>
        <v>0</v>
      </c>
      <c r="O28" s="514">
        <f t="shared" si="9"/>
        <v>0</v>
      </c>
      <c r="P28" s="272"/>
      <c r="R28" s="269"/>
      <c r="S28" s="269"/>
      <c r="T28" s="269"/>
      <c r="U28" s="269"/>
      <c r="V28" s="269"/>
      <c r="W28" s="269"/>
    </row>
    <row r="29" spans="2:23">
      <c r="B29" s="195" t="str">
        <f t="shared" si="4"/>
        <v/>
      </c>
      <c r="C29" s="507">
        <f>IF(D11="","-",+C28+1)</f>
        <v>2019</v>
      </c>
      <c r="D29" s="608">
        <v>61088.278902019629</v>
      </c>
      <c r="E29" s="609">
        <v>1992.7073170731708</v>
      </c>
      <c r="F29" s="608">
        <v>59095.571584946461</v>
      </c>
      <c r="G29" s="609">
        <v>9630.036408757971</v>
      </c>
      <c r="H29" s="610">
        <v>9630.036408757971</v>
      </c>
      <c r="I29" s="511">
        <f t="shared" si="0"/>
        <v>0</v>
      </c>
      <c r="J29" s="511"/>
      <c r="K29" s="518">
        <f t="shared" si="10"/>
        <v>9630.036408757971</v>
      </c>
      <c r="L29" s="519">
        <f t="shared" ref="L29" si="12">IF(K29&lt;&gt;0,+G29-K29,0)</f>
        <v>0</v>
      </c>
      <c r="M29" s="518">
        <f t="shared" si="11"/>
        <v>9630.036408757971</v>
      </c>
      <c r="N29" s="514">
        <f t="shared" ref="N29" si="13">IF(M29&lt;&gt;0,+H29-M29,0)</f>
        <v>0</v>
      </c>
      <c r="O29" s="514">
        <f t="shared" si="3"/>
        <v>0</v>
      </c>
      <c r="P29" s="272"/>
      <c r="R29" s="269"/>
      <c r="S29" s="269"/>
      <c r="T29" s="269"/>
      <c r="U29" s="269"/>
      <c r="V29" s="269"/>
      <c r="W29" s="269"/>
    </row>
    <row r="30" spans="2:23">
      <c r="B30" s="195" t="str">
        <f t="shared" si="4"/>
        <v/>
      </c>
      <c r="C30" s="507">
        <f>IF(D11="","-",+C29+1)</f>
        <v>2020</v>
      </c>
      <c r="D30" s="608">
        <v>59095.571584946461</v>
      </c>
      <c r="E30" s="609">
        <v>1992.7073170731708</v>
      </c>
      <c r="F30" s="608">
        <v>57102.864267873294</v>
      </c>
      <c r="G30" s="609">
        <v>7938.3172353794334</v>
      </c>
      <c r="H30" s="610">
        <v>7938.3172353794334</v>
      </c>
      <c r="I30" s="511">
        <f t="shared" si="0"/>
        <v>0</v>
      </c>
      <c r="J30" s="511"/>
      <c r="K30" s="518">
        <f t="shared" si="10"/>
        <v>7938.3172353794334</v>
      </c>
      <c r="L30" s="519">
        <f t="shared" ref="L30" si="14">IF(K30&lt;&gt;0,+G30-K30,0)</f>
        <v>0</v>
      </c>
      <c r="M30" s="518">
        <f t="shared" si="11"/>
        <v>7938.3172353794334</v>
      </c>
      <c r="N30" s="514">
        <f t="shared" si="2"/>
        <v>0</v>
      </c>
      <c r="O30" s="514">
        <f t="shared" si="3"/>
        <v>0</v>
      </c>
      <c r="P30" s="272"/>
      <c r="R30" s="269"/>
      <c r="S30" s="269"/>
      <c r="T30" s="269"/>
      <c r="U30" s="269"/>
      <c r="V30" s="269"/>
      <c r="W30" s="269"/>
    </row>
    <row r="31" spans="2:23">
      <c r="B31" s="195" t="str">
        <f t="shared" si="4"/>
        <v>IU</v>
      </c>
      <c r="C31" s="507">
        <f>IF(D11="","-",+C30+1)</f>
        <v>2021</v>
      </c>
      <c r="D31" s="608">
        <v>57195.548329132529</v>
      </c>
      <c r="E31" s="609">
        <v>1945.2619047619048</v>
      </c>
      <c r="F31" s="608">
        <v>55250.286424370621</v>
      </c>
      <c r="G31" s="609">
        <v>7905.1466822533876</v>
      </c>
      <c r="H31" s="610">
        <v>7905.1466822533876</v>
      </c>
      <c r="I31" s="511">
        <f t="shared" si="0"/>
        <v>0</v>
      </c>
      <c r="J31" s="511"/>
      <c r="K31" s="518">
        <f t="shared" si="10"/>
        <v>7905.1466822533876</v>
      </c>
      <c r="L31" s="519">
        <f t="shared" ref="L31" si="15">IF(K31&lt;&gt;0,+G31-K31,0)</f>
        <v>0</v>
      </c>
      <c r="M31" s="518">
        <f t="shared" si="11"/>
        <v>7905.1466822533876</v>
      </c>
      <c r="N31" s="514">
        <f t="shared" si="2"/>
        <v>0</v>
      </c>
      <c r="O31" s="514">
        <f t="shared" si="3"/>
        <v>0</v>
      </c>
      <c r="P31" s="272"/>
      <c r="R31" s="269"/>
      <c r="S31" s="269"/>
      <c r="T31" s="269"/>
      <c r="U31" s="269"/>
      <c r="V31" s="269"/>
      <c r="W31" s="269"/>
    </row>
    <row r="32" spans="2:23">
      <c r="B32" s="195" t="str">
        <f t="shared" si="4"/>
        <v>IU</v>
      </c>
      <c r="C32" s="507">
        <f>IF(D11="","-",+C31+1)</f>
        <v>2022</v>
      </c>
      <c r="D32" s="608">
        <v>55157.602363111408</v>
      </c>
      <c r="E32" s="609">
        <v>1945.2619047619048</v>
      </c>
      <c r="F32" s="608">
        <v>53212.340458349499</v>
      </c>
      <c r="G32" s="609">
        <v>8038.0420796764802</v>
      </c>
      <c r="H32" s="610">
        <v>8038.0420796764802</v>
      </c>
      <c r="I32" s="511">
        <f t="shared" si="0"/>
        <v>0</v>
      </c>
      <c r="J32" s="511"/>
      <c r="K32" s="518">
        <f t="shared" ref="K32" si="16">G32</f>
        <v>8038.0420796764802</v>
      </c>
      <c r="L32" s="519">
        <f t="shared" ref="L32" si="17">IF(K32&lt;&gt;0,+G32-K32,0)</f>
        <v>0</v>
      </c>
      <c r="M32" s="518">
        <f t="shared" ref="M32" si="18">H32</f>
        <v>8038.0420796764802</v>
      </c>
      <c r="N32" s="514">
        <f t="shared" si="2"/>
        <v>0</v>
      </c>
      <c r="O32" s="514">
        <f t="shared" si="3"/>
        <v>0</v>
      </c>
      <c r="P32" s="272"/>
      <c r="R32" s="269"/>
      <c r="S32" s="269"/>
      <c r="T32" s="269"/>
      <c r="U32" s="269"/>
      <c r="V32" s="269"/>
      <c r="W32" s="269"/>
    </row>
    <row r="33" spans="2:23">
      <c r="B33" s="582" t="str">
        <f t="shared" si="4"/>
        <v/>
      </c>
      <c r="C33" s="507">
        <f>IF(D11="","-",+C32+1)</f>
        <v>2023</v>
      </c>
      <c r="D33" s="608">
        <v>53212.340458349499</v>
      </c>
      <c r="E33" s="609">
        <v>1945.2619047619048</v>
      </c>
      <c r="F33" s="608">
        <v>51267.078553587591</v>
      </c>
      <c r="G33" s="609">
        <v>8544.5366116396999</v>
      </c>
      <c r="H33" s="610">
        <v>8544.5366116396999</v>
      </c>
      <c r="I33" s="511">
        <f t="shared" si="0"/>
        <v>0</v>
      </c>
      <c r="J33" s="511"/>
      <c r="K33" s="518">
        <f t="shared" ref="K33" si="19">G33</f>
        <v>8544.5366116396999</v>
      </c>
      <c r="L33" s="519">
        <f t="shared" ref="L33" si="20">IF(K33&lt;&gt;0,+G33-K33,0)</f>
        <v>0</v>
      </c>
      <c r="M33" s="518">
        <f t="shared" ref="M33" si="21">H33</f>
        <v>8544.5366116396999</v>
      </c>
      <c r="N33" s="514">
        <f t="shared" ref="N33" si="22">IF(M33&lt;&gt;0,+H33-M33,0)</f>
        <v>0</v>
      </c>
      <c r="O33" s="514">
        <f t="shared" ref="O33" si="23">+N33-L33</f>
        <v>0</v>
      </c>
      <c r="P33" s="272"/>
      <c r="R33" s="269"/>
      <c r="S33" s="269"/>
      <c r="T33" s="269"/>
      <c r="U33" s="269"/>
      <c r="V33" s="269"/>
      <c r="W33" s="269"/>
    </row>
    <row r="34" spans="2:23">
      <c r="B34" s="195" t="str">
        <f t="shared" si="4"/>
        <v/>
      </c>
      <c r="C34" s="673">
        <f>IF(D11="","-",+C33+1)</f>
        <v>2024</v>
      </c>
      <c r="D34" s="523">
        <f>IF(F33+SUM(E$17:E33)=D$10,F33,D$10-SUM(E$17:E33))</f>
        <v>51267.078553587591</v>
      </c>
      <c r="E34" s="522">
        <f>IF(+I14&lt;F33,I14,D34)</f>
        <v>1856.840909090909</v>
      </c>
      <c r="F34" s="523">
        <f t="shared" ref="F34:F48" si="24">+D34-E34</f>
        <v>49410.237644496679</v>
      </c>
      <c r="G34" s="524">
        <f t="shared" ref="G34:G72" si="25">+I$12*((D34+F34)/2)+E34</f>
        <v>7873.6763229825956</v>
      </c>
      <c r="H34" s="491">
        <f t="shared" ref="H34:H72" si="26">+I$13*((D34+F34)/2)+E34</f>
        <v>7873.6763229825956</v>
      </c>
      <c r="I34" s="511">
        <f t="shared" si="0"/>
        <v>0</v>
      </c>
      <c r="J34" s="511"/>
      <c r="K34" s="525"/>
      <c r="L34" s="514">
        <f t="shared" si="1"/>
        <v>0</v>
      </c>
      <c r="M34" s="525"/>
      <c r="N34" s="514">
        <f t="shared" si="2"/>
        <v>0</v>
      </c>
      <c r="O34" s="514">
        <f t="shared" si="3"/>
        <v>0</v>
      </c>
      <c r="P34" s="272"/>
      <c r="R34" s="269"/>
      <c r="S34" s="269"/>
      <c r="T34" s="269"/>
      <c r="U34" s="269"/>
      <c r="V34" s="269"/>
      <c r="W34" s="269"/>
    </row>
    <row r="35" spans="2:23">
      <c r="B35" s="195" t="str">
        <f t="shared" si="4"/>
        <v/>
      </c>
      <c r="C35" s="507">
        <f>IF(D11="","-",+C34+1)</f>
        <v>2025</v>
      </c>
      <c r="D35" s="523">
        <f>IF(F34+SUM(E$17:E34)=D$10,F34,D$10-SUM(E$17:E34))</f>
        <v>49410.237644496679</v>
      </c>
      <c r="E35" s="522">
        <f>IF(+I14&lt;F34,I14,D35)</f>
        <v>1856.840909090909</v>
      </c>
      <c r="F35" s="523">
        <f t="shared" si="24"/>
        <v>47553.396735405768</v>
      </c>
      <c r="G35" s="524">
        <f t="shared" si="25"/>
        <v>7651.7334551810873</v>
      </c>
      <c r="H35" s="491">
        <f t="shared" si="26"/>
        <v>7651.7334551810873</v>
      </c>
      <c r="I35" s="511">
        <f t="shared" si="0"/>
        <v>0</v>
      </c>
      <c r="J35" s="511"/>
      <c r="K35" s="525"/>
      <c r="L35" s="514">
        <f t="shared" si="1"/>
        <v>0</v>
      </c>
      <c r="M35" s="525"/>
      <c r="N35" s="514">
        <f t="shared" si="2"/>
        <v>0</v>
      </c>
      <c r="O35" s="514">
        <f t="shared" si="3"/>
        <v>0</v>
      </c>
      <c r="P35" s="272"/>
      <c r="R35" s="269"/>
      <c r="S35" s="269"/>
      <c r="T35" s="269"/>
      <c r="U35" s="269"/>
      <c r="V35" s="269"/>
      <c r="W35" s="269"/>
    </row>
    <row r="36" spans="2:23">
      <c r="B36" s="195" t="str">
        <f t="shared" si="4"/>
        <v/>
      </c>
      <c r="C36" s="507">
        <f>IF(D11="","-",+C35+1)</f>
        <v>2026</v>
      </c>
      <c r="D36" s="523">
        <f>IF(F35+SUM(E$17:E35)=D$10,F35,D$10-SUM(E$17:E35))</f>
        <v>47553.396735405768</v>
      </c>
      <c r="E36" s="522">
        <f>IF(+I14&lt;F35,I14,D36)</f>
        <v>1856.840909090909</v>
      </c>
      <c r="F36" s="523">
        <f t="shared" si="24"/>
        <v>45696.555826314856</v>
      </c>
      <c r="G36" s="524">
        <f t="shared" si="25"/>
        <v>7429.7905873795798</v>
      </c>
      <c r="H36" s="491">
        <f t="shared" si="26"/>
        <v>7429.7905873795798</v>
      </c>
      <c r="I36" s="511">
        <f t="shared" si="0"/>
        <v>0</v>
      </c>
      <c r="J36" s="511"/>
      <c r="K36" s="525"/>
      <c r="L36" s="514">
        <f t="shared" si="1"/>
        <v>0</v>
      </c>
      <c r="M36" s="525"/>
      <c r="N36" s="514">
        <f t="shared" si="2"/>
        <v>0</v>
      </c>
      <c r="O36" s="514">
        <f t="shared" si="3"/>
        <v>0</v>
      </c>
      <c r="P36" s="272"/>
      <c r="R36" s="269"/>
      <c r="S36" s="269"/>
      <c r="T36" s="269"/>
      <c r="U36" s="269"/>
      <c r="V36" s="269"/>
      <c r="W36" s="269"/>
    </row>
    <row r="37" spans="2:23">
      <c r="B37" s="195" t="str">
        <f t="shared" si="4"/>
        <v/>
      </c>
      <c r="C37" s="507">
        <f>IF(D11="","-",+C36+1)</f>
        <v>2027</v>
      </c>
      <c r="D37" s="523">
        <f>IF(F36+SUM(E$17:E36)=D$10,F36,D$10-SUM(E$17:E36))</f>
        <v>45696.555826314856</v>
      </c>
      <c r="E37" s="522">
        <f>IF(+I14&lt;F36,I14,D37)</f>
        <v>1856.840909090909</v>
      </c>
      <c r="F37" s="523">
        <f t="shared" si="24"/>
        <v>43839.714917223944</v>
      </c>
      <c r="G37" s="524">
        <f t="shared" si="25"/>
        <v>7207.8477195780715</v>
      </c>
      <c r="H37" s="491">
        <f t="shared" si="26"/>
        <v>7207.8477195780715</v>
      </c>
      <c r="I37" s="511">
        <f t="shared" si="0"/>
        <v>0</v>
      </c>
      <c r="J37" s="511"/>
      <c r="K37" s="525"/>
      <c r="L37" s="514">
        <f t="shared" si="1"/>
        <v>0</v>
      </c>
      <c r="M37" s="525"/>
      <c r="N37" s="514">
        <f t="shared" si="2"/>
        <v>0</v>
      </c>
      <c r="O37" s="514">
        <f t="shared" si="3"/>
        <v>0</v>
      </c>
      <c r="P37" s="272"/>
      <c r="R37" s="269"/>
      <c r="S37" s="269"/>
      <c r="T37" s="269"/>
      <c r="U37" s="269"/>
      <c r="V37" s="269"/>
      <c r="W37" s="269"/>
    </row>
    <row r="38" spans="2:23">
      <c r="B38" s="195" t="str">
        <f t="shared" si="4"/>
        <v/>
      </c>
      <c r="C38" s="507">
        <f>IF(D11="","-",+C37+1)</f>
        <v>2028</v>
      </c>
      <c r="D38" s="523">
        <f>IF(F37+SUM(E$17:E37)=D$10,F37,D$10-SUM(E$17:E37))</f>
        <v>43839.714917223944</v>
      </c>
      <c r="E38" s="522">
        <f>IF(+I14&lt;F37,I14,D38)</f>
        <v>1856.840909090909</v>
      </c>
      <c r="F38" s="523">
        <f t="shared" si="24"/>
        <v>41982.874008133032</v>
      </c>
      <c r="G38" s="524">
        <f t="shared" si="25"/>
        <v>6985.9048517765632</v>
      </c>
      <c r="H38" s="491">
        <f t="shared" si="26"/>
        <v>6985.9048517765632</v>
      </c>
      <c r="I38" s="511">
        <f t="shared" si="0"/>
        <v>0</v>
      </c>
      <c r="J38" s="511"/>
      <c r="K38" s="525"/>
      <c r="L38" s="514">
        <f t="shared" si="1"/>
        <v>0</v>
      </c>
      <c r="M38" s="525"/>
      <c r="N38" s="514">
        <f t="shared" si="2"/>
        <v>0</v>
      </c>
      <c r="O38" s="514">
        <f t="shared" si="3"/>
        <v>0</v>
      </c>
      <c r="P38" s="272"/>
      <c r="R38" s="269"/>
      <c r="S38" s="269"/>
      <c r="T38" s="269"/>
      <c r="U38" s="269"/>
      <c r="V38" s="269"/>
      <c r="W38" s="269"/>
    </row>
    <row r="39" spans="2:23">
      <c r="B39" s="195" t="str">
        <f t="shared" si="4"/>
        <v/>
      </c>
      <c r="C39" s="507">
        <f>IF(D11="","-",+C38+1)</f>
        <v>2029</v>
      </c>
      <c r="D39" s="523">
        <f>IF(F38+SUM(E$17:E38)=D$10,F38,D$10-SUM(E$17:E38))</f>
        <v>41982.874008133032</v>
      </c>
      <c r="E39" s="522">
        <f>IF(+I14&lt;F38,I14,D39)</f>
        <v>1856.840909090909</v>
      </c>
      <c r="F39" s="523">
        <f t="shared" si="24"/>
        <v>40126.033099042121</v>
      </c>
      <c r="G39" s="524">
        <f t="shared" si="25"/>
        <v>6763.9619839750549</v>
      </c>
      <c r="H39" s="491">
        <f t="shared" si="26"/>
        <v>6763.9619839750549</v>
      </c>
      <c r="I39" s="511">
        <f t="shared" si="0"/>
        <v>0</v>
      </c>
      <c r="J39" s="511"/>
      <c r="K39" s="525"/>
      <c r="L39" s="514">
        <f t="shared" si="1"/>
        <v>0</v>
      </c>
      <c r="M39" s="525"/>
      <c r="N39" s="514">
        <f t="shared" si="2"/>
        <v>0</v>
      </c>
      <c r="O39" s="514">
        <f t="shared" si="3"/>
        <v>0</v>
      </c>
      <c r="P39" s="272"/>
      <c r="R39" s="269"/>
      <c r="S39" s="269"/>
      <c r="T39" s="269"/>
      <c r="U39" s="269"/>
      <c r="V39" s="269"/>
      <c r="W39" s="269"/>
    </row>
    <row r="40" spans="2:23">
      <c r="B40" s="195" t="str">
        <f t="shared" si="4"/>
        <v/>
      </c>
      <c r="C40" s="507">
        <f>IF(D11="","-",+C39+1)</f>
        <v>2030</v>
      </c>
      <c r="D40" s="523">
        <f>IF(F39+SUM(E$17:E39)=D$10,F39,D$10-SUM(E$17:E39))</f>
        <v>40126.033099042121</v>
      </c>
      <c r="E40" s="522">
        <f>IF(+I14&lt;F39,I14,D40)</f>
        <v>1856.840909090909</v>
      </c>
      <c r="F40" s="523">
        <f t="shared" si="24"/>
        <v>38269.192189951209</v>
      </c>
      <c r="G40" s="524">
        <f t="shared" si="25"/>
        <v>6542.0191161735465</v>
      </c>
      <c r="H40" s="491">
        <f t="shared" si="26"/>
        <v>6542.0191161735465</v>
      </c>
      <c r="I40" s="511">
        <f t="shared" si="0"/>
        <v>0</v>
      </c>
      <c r="J40" s="511"/>
      <c r="K40" s="525"/>
      <c r="L40" s="514">
        <f t="shared" si="1"/>
        <v>0</v>
      </c>
      <c r="M40" s="525"/>
      <c r="N40" s="514">
        <f t="shared" si="2"/>
        <v>0</v>
      </c>
      <c r="O40" s="514">
        <f t="shared" si="3"/>
        <v>0</v>
      </c>
      <c r="P40" s="272"/>
      <c r="R40" s="269"/>
      <c r="S40" s="269"/>
      <c r="T40" s="269"/>
      <c r="U40" s="269"/>
      <c r="V40" s="269"/>
      <c r="W40" s="269"/>
    </row>
    <row r="41" spans="2:23">
      <c r="B41" s="195" t="str">
        <f t="shared" si="4"/>
        <v/>
      </c>
      <c r="C41" s="507">
        <f>IF(D11="","-",+C40+1)</f>
        <v>2031</v>
      </c>
      <c r="D41" s="523">
        <f>IF(F40+SUM(E$17:E40)=D$10,F40,D$10-SUM(E$17:E40))</f>
        <v>38269.192189951209</v>
      </c>
      <c r="E41" s="522">
        <f>IF(+I14&lt;F40,I14,D41)</f>
        <v>1856.840909090909</v>
      </c>
      <c r="F41" s="523">
        <f t="shared" si="24"/>
        <v>36412.351280860297</v>
      </c>
      <c r="G41" s="524">
        <f t="shared" si="25"/>
        <v>6320.0762483720382</v>
      </c>
      <c r="H41" s="491">
        <f t="shared" si="26"/>
        <v>6320.0762483720382</v>
      </c>
      <c r="I41" s="511">
        <f t="shared" si="0"/>
        <v>0</v>
      </c>
      <c r="J41" s="511"/>
      <c r="K41" s="525"/>
      <c r="L41" s="514">
        <f t="shared" si="1"/>
        <v>0</v>
      </c>
      <c r="M41" s="525"/>
      <c r="N41" s="514">
        <f t="shared" si="2"/>
        <v>0</v>
      </c>
      <c r="O41" s="514">
        <f t="shared" si="3"/>
        <v>0</v>
      </c>
      <c r="P41" s="272"/>
      <c r="R41" s="269"/>
      <c r="S41" s="269"/>
      <c r="T41" s="269"/>
      <c r="U41" s="269"/>
      <c r="V41" s="269"/>
      <c r="W41" s="269"/>
    </row>
    <row r="42" spans="2:23">
      <c r="B42" s="195" t="str">
        <f t="shared" si="4"/>
        <v/>
      </c>
      <c r="C42" s="507">
        <f>IF(D11="","-",+C41+1)</f>
        <v>2032</v>
      </c>
      <c r="D42" s="523">
        <f>IF(F41+SUM(E$17:E41)=D$10,F41,D$10-SUM(E$17:E41))</f>
        <v>36412.351280860297</v>
      </c>
      <c r="E42" s="522">
        <f>IF(+I14&lt;F41,I14,D42)</f>
        <v>1856.840909090909</v>
      </c>
      <c r="F42" s="523">
        <f t="shared" si="24"/>
        <v>34555.510371769386</v>
      </c>
      <c r="G42" s="524">
        <f t="shared" si="25"/>
        <v>6098.1333805705299</v>
      </c>
      <c r="H42" s="491">
        <f t="shared" si="26"/>
        <v>6098.1333805705299</v>
      </c>
      <c r="I42" s="511">
        <f t="shared" si="0"/>
        <v>0</v>
      </c>
      <c r="J42" s="511"/>
      <c r="K42" s="525"/>
      <c r="L42" s="514">
        <f t="shared" si="1"/>
        <v>0</v>
      </c>
      <c r="M42" s="525"/>
      <c r="N42" s="514">
        <f t="shared" si="2"/>
        <v>0</v>
      </c>
      <c r="O42" s="514">
        <f t="shared" si="3"/>
        <v>0</v>
      </c>
      <c r="P42" s="272"/>
      <c r="R42" s="269"/>
      <c r="S42" s="269"/>
      <c r="T42" s="269"/>
      <c r="U42" s="269"/>
      <c r="V42" s="269"/>
      <c r="W42" s="269"/>
    </row>
    <row r="43" spans="2:23">
      <c r="B43" s="195" t="str">
        <f t="shared" si="4"/>
        <v/>
      </c>
      <c r="C43" s="507">
        <f>IF(D11="","-",+C42+1)</f>
        <v>2033</v>
      </c>
      <c r="D43" s="523">
        <f>IF(F42+SUM(E$17:E42)=D$10,F42,D$10-SUM(E$17:E42))</f>
        <v>34555.510371769386</v>
      </c>
      <c r="E43" s="522">
        <f>IF(+I14&lt;F42,I14,D43)</f>
        <v>1856.840909090909</v>
      </c>
      <c r="F43" s="523">
        <f t="shared" si="24"/>
        <v>32698.669462678477</v>
      </c>
      <c r="G43" s="524">
        <f t="shared" si="25"/>
        <v>5876.1905127690216</v>
      </c>
      <c r="H43" s="491">
        <f t="shared" si="26"/>
        <v>5876.1905127690216</v>
      </c>
      <c r="I43" s="511">
        <f t="shared" si="0"/>
        <v>0</v>
      </c>
      <c r="J43" s="511"/>
      <c r="K43" s="525"/>
      <c r="L43" s="514">
        <f t="shared" si="1"/>
        <v>0</v>
      </c>
      <c r="M43" s="525"/>
      <c r="N43" s="514">
        <f t="shared" si="2"/>
        <v>0</v>
      </c>
      <c r="O43" s="514">
        <f t="shared" si="3"/>
        <v>0</v>
      </c>
      <c r="P43" s="272"/>
      <c r="R43" s="269"/>
      <c r="S43" s="269"/>
      <c r="T43" s="269"/>
      <c r="U43" s="269"/>
      <c r="V43" s="269"/>
      <c r="W43" s="269"/>
    </row>
    <row r="44" spans="2:23">
      <c r="B44" s="195" t="str">
        <f t="shared" si="4"/>
        <v/>
      </c>
      <c r="C44" s="507">
        <f>IF(D11="","-",+C43+1)</f>
        <v>2034</v>
      </c>
      <c r="D44" s="523">
        <f>IF(F43+SUM(E$17:E43)=D$10,F43,D$10-SUM(E$17:E43))</f>
        <v>32698.669462678477</v>
      </c>
      <c r="E44" s="522">
        <f>IF(+I14&lt;F43,I14,D44)</f>
        <v>1856.840909090909</v>
      </c>
      <c r="F44" s="523">
        <f t="shared" si="24"/>
        <v>30841.828553587569</v>
      </c>
      <c r="G44" s="524">
        <f t="shared" si="25"/>
        <v>5654.2476449675141</v>
      </c>
      <c r="H44" s="491">
        <f t="shared" si="26"/>
        <v>5654.2476449675141</v>
      </c>
      <c r="I44" s="511">
        <f t="shared" si="0"/>
        <v>0</v>
      </c>
      <c r="J44" s="511"/>
      <c r="K44" s="525"/>
      <c r="L44" s="514">
        <f t="shared" si="1"/>
        <v>0</v>
      </c>
      <c r="M44" s="525"/>
      <c r="N44" s="514">
        <f t="shared" si="2"/>
        <v>0</v>
      </c>
      <c r="O44" s="514">
        <f t="shared" si="3"/>
        <v>0</v>
      </c>
      <c r="P44" s="272"/>
      <c r="R44" s="269"/>
      <c r="S44" s="269"/>
      <c r="T44" s="269"/>
      <c r="U44" s="269"/>
      <c r="V44" s="269"/>
      <c r="W44" s="269"/>
    </row>
    <row r="45" spans="2:23">
      <c r="B45" s="195" t="str">
        <f t="shared" si="4"/>
        <v/>
      </c>
      <c r="C45" s="507">
        <f>IF(D11="","-",+C44+1)</f>
        <v>2035</v>
      </c>
      <c r="D45" s="523">
        <f>IF(F44+SUM(E$17:E44)=D$10,F44,D$10-SUM(E$17:E44))</f>
        <v>30841.828553587569</v>
      </c>
      <c r="E45" s="522">
        <f>IF(+I14&lt;F44,I14,D45)</f>
        <v>1856.840909090909</v>
      </c>
      <c r="F45" s="523">
        <f t="shared" si="24"/>
        <v>28984.987644496661</v>
      </c>
      <c r="G45" s="524">
        <f t="shared" si="25"/>
        <v>5432.3047771660058</v>
      </c>
      <c r="H45" s="491">
        <f t="shared" si="26"/>
        <v>5432.3047771660058</v>
      </c>
      <c r="I45" s="511">
        <f t="shared" si="0"/>
        <v>0</v>
      </c>
      <c r="J45" s="511"/>
      <c r="K45" s="525"/>
      <c r="L45" s="514">
        <f t="shared" si="1"/>
        <v>0</v>
      </c>
      <c r="M45" s="525"/>
      <c r="N45" s="514">
        <f t="shared" si="2"/>
        <v>0</v>
      </c>
      <c r="O45" s="514">
        <f t="shared" si="3"/>
        <v>0</v>
      </c>
      <c r="P45" s="272"/>
      <c r="R45" s="269"/>
      <c r="S45" s="269"/>
      <c r="T45" s="269"/>
      <c r="U45" s="269"/>
      <c r="V45" s="269"/>
      <c r="W45" s="269"/>
    </row>
    <row r="46" spans="2:23">
      <c r="B46" s="195" t="str">
        <f t="shared" si="4"/>
        <v/>
      </c>
      <c r="C46" s="507">
        <f>IF(D11="","-",+C45+1)</f>
        <v>2036</v>
      </c>
      <c r="D46" s="523">
        <f>IF(F45+SUM(E$17:E45)=D$10,F45,D$10-SUM(E$17:E45))</f>
        <v>28984.987644496661</v>
      </c>
      <c r="E46" s="522">
        <f>IF(+I14&lt;F45,I14,D46)</f>
        <v>1856.840909090909</v>
      </c>
      <c r="F46" s="523">
        <f t="shared" si="24"/>
        <v>27128.146735405753</v>
      </c>
      <c r="G46" s="524">
        <f t="shared" si="25"/>
        <v>5210.3619093644984</v>
      </c>
      <c r="H46" s="491">
        <f t="shared" si="26"/>
        <v>5210.3619093644984</v>
      </c>
      <c r="I46" s="511">
        <f t="shared" si="0"/>
        <v>0</v>
      </c>
      <c r="J46" s="511"/>
      <c r="K46" s="525"/>
      <c r="L46" s="514">
        <f t="shared" si="1"/>
        <v>0</v>
      </c>
      <c r="M46" s="525"/>
      <c r="N46" s="514">
        <f t="shared" si="2"/>
        <v>0</v>
      </c>
      <c r="O46" s="514">
        <f t="shared" si="3"/>
        <v>0</v>
      </c>
      <c r="P46" s="272"/>
      <c r="R46" s="269"/>
      <c r="S46" s="269"/>
      <c r="T46" s="269"/>
      <c r="U46" s="269"/>
      <c r="V46" s="269"/>
      <c r="W46" s="269"/>
    </row>
    <row r="47" spans="2:23">
      <c r="B47" s="195" t="str">
        <f t="shared" si="4"/>
        <v/>
      </c>
      <c r="C47" s="507">
        <f>IF(D11="","-",+C46+1)</f>
        <v>2037</v>
      </c>
      <c r="D47" s="523">
        <f>IF(F46+SUM(E$17:E46)=D$10,F46,D$10-SUM(E$17:E46))</f>
        <v>27128.146735405753</v>
      </c>
      <c r="E47" s="522">
        <f>IF(+I14&lt;F46,I14,D47)</f>
        <v>1856.840909090909</v>
      </c>
      <c r="F47" s="523">
        <f t="shared" si="24"/>
        <v>25271.305826314845</v>
      </c>
      <c r="G47" s="524">
        <f t="shared" si="25"/>
        <v>4988.4190415629901</v>
      </c>
      <c r="H47" s="491">
        <f t="shared" si="26"/>
        <v>4988.4190415629901</v>
      </c>
      <c r="I47" s="511">
        <f t="shared" si="0"/>
        <v>0</v>
      </c>
      <c r="J47" s="511"/>
      <c r="K47" s="525"/>
      <c r="L47" s="514">
        <f t="shared" si="1"/>
        <v>0</v>
      </c>
      <c r="M47" s="525"/>
      <c r="N47" s="514">
        <f t="shared" si="2"/>
        <v>0</v>
      </c>
      <c r="O47" s="514">
        <f t="shared" si="3"/>
        <v>0</v>
      </c>
      <c r="P47" s="272"/>
      <c r="R47" s="269"/>
      <c r="S47" s="269"/>
      <c r="T47" s="269"/>
      <c r="U47" s="269"/>
      <c r="V47" s="269"/>
      <c r="W47" s="269"/>
    </row>
    <row r="48" spans="2:23">
      <c r="B48" s="195" t="str">
        <f t="shared" si="4"/>
        <v/>
      </c>
      <c r="C48" s="507">
        <f>IF(D11="","-",+C47+1)</f>
        <v>2038</v>
      </c>
      <c r="D48" s="523">
        <f>IF(F47+SUM(E$17:E47)=D$10,F47,D$10-SUM(E$17:E47))</f>
        <v>25271.305826314845</v>
      </c>
      <c r="E48" s="522">
        <f>IF(+I14&lt;F47,I14,D48)</f>
        <v>1856.840909090909</v>
      </c>
      <c r="F48" s="523">
        <f t="shared" si="24"/>
        <v>23414.464917223937</v>
      </c>
      <c r="G48" s="524">
        <f t="shared" si="25"/>
        <v>4766.4761737614826</v>
      </c>
      <c r="H48" s="491">
        <f t="shared" si="26"/>
        <v>4766.4761737614826</v>
      </c>
      <c r="I48" s="511">
        <f t="shared" si="0"/>
        <v>0</v>
      </c>
      <c r="J48" s="511"/>
      <c r="K48" s="525"/>
      <c r="L48" s="514">
        <f t="shared" si="1"/>
        <v>0</v>
      </c>
      <c r="M48" s="525"/>
      <c r="N48" s="514">
        <f t="shared" si="2"/>
        <v>0</v>
      </c>
      <c r="O48" s="514">
        <f t="shared" si="3"/>
        <v>0</v>
      </c>
      <c r="P48" s="272"/>
      <c r="R48" s="269"/>
      <c r="S48" s="269"/>
      <c r="T48" s="269"/>
      <c r="U48" s="269"/>
      <c r="V48" s="269"/>
      <c r="W48" s="269"/>
    </row>
    <row r="49" spans="2:23">
      <c r="B49" s="195" t="str">
        <f t="shared" si="4"/>
        <v/>
      </c>
      <c r="C49" s="507">
        <f>IF(D11="","-",+C48+1)</f>
        <v>2039</v>
      </c>
      <c r="D49" s="523">
        <f>IF(F48+SUM(E$17:E48)=D$10,F48,D$10-SUM(E$17:E48))</f>
        <v>23414.464917223937</v>
      </c>
      <c r="E49" s="522">
        <f>IF(+I14&lt;F48,I14,D49)</f>
        <v>1856.840909090909</v>
      </c>
      <c r="F49" s="523">
        <f t="shared" ref="F49:F72" si="27">+D49-E49</f>
        <v>21557.624008133029</v>
      </c>
      <c r="G49" s="524">
        <f t="shared" si="25"/>
        <v>4544.5333059599743</v>
      </c>
      <c r="H49" s="491">
        <f t="shared" si="26"/>
        <v>4544.5333059599743</v>
      </c>
      <c r="I49" s="511">
        <f t="shared" ref="I49:I72" si="28">H49-G49</f>
        <v>0</v>
      </c>
      <c r="J49" s="511"/>
      <c r="K49" s="525"/>
      <c r="L49" s="514">
        <f t="shared" ref="L49:L72" si="29">IF(K49&lt;&gt;0,+G49-K49,0)</f>
        <v>0</v>
      </c>
      <c r="M49" s="525"/>
      <c r="N49" s="514">
        <f t="shared" ref="N49:N72" si="30">IF(M49&lt;&gt;0,+H49-M49,0)</f>
        <v>0</v>
      </c>
      <c r="O49" s="514">
        <f t="shared" ref="O49:O72" si="31">+N49-L49</f>
        <v>0</v>
      </c>
      <c r="P49" s="272"/>
      <c r="R49" s="269"/>
      <c r="S49" s="269"/>
      <c r="T49" s="269"/>
      <c r="U49" s="269"/>
      <c r="V49" s="269"/>
      <c r="W49" s="269"/>
    </row>
    <row r="50" spans="2:23">
      <c r="B50" s="195" t="str">
        <f t="shared" si="4"/>
        <v/>
      </c>
      <c r="C50" s="507">
        <f>IF(D11="","-",+C49+1)</f>
        <v>2040</v>
      </c>
      <c r="D50" s="523">
        <f>IF(F49+SUM(E$17:E49)=D$10,F49,D$10-SUM(E$17:E49))</f>
        <v>21557.624008133029</v>
      </c>
      <c r="E50" s="522">
        <f>IF(+I14&lt;F49,I14,D50)</f>
        <v>1856.840909090909</v>
      </c>
      <c r="F50" s="523">
        <f t="shared" si="27"/>
        <v>19700.783099042121</v>
      </c>
      <c r="G50" s="524">
        <f t="shared" si="25"/>
        <v>4322.5904381584678</v>
      </c>
      <c r="H50" s="491">
        <f t="shared" si="26"/>
        <v>4322.5904381584678</v>
      </c>
      <c r="I50" s="511">
        <f t="shared" si="28"/>
        <v>0</v>
      </c>
      <c r="J50" s="511"/>
      <c r="K50" s="525"/>
      <c r="L50" s="514">
        <f t="shared" si="29"/>
        <v>0</v>
      </c>
      <c r="M50" s="525"/>
      <c r="N50" s="514">
        <f t="shared" si="30"/>
        <v>0</v>
      </c>
      <c r="O50" s="514">
        <f t="shared" si="31"/>
        <v>0</v>
      </c>
      <c r="P50" s="272"/>
      <c r="R50" s="269"/>
      <c r="S50" s="269"/>
      <c r="T50" s="269"/>
      <c r="U50" s="269"/>
      <c r="V50" s="269"/>
      <c r="W50" s="269"/>
    </row>
    <row r="51" spans="2:23">
      <c r="B51" s="195" t="str">
        <f t="shared" si="4"/>
        <v/>
      </c>
      <c r="C51" s="507">
        <f>IF(D11="","-",+C50+1)</f>
        <v>2041</v>
      </c>
      <c r="D51" s="523">
        <f>IF(F50+SUM(E$17:E50)=D$10,F50,D$10-SUM(E$17:E50))</f>
        <v>19700.783099042121</v>
      </c>
      <c r="E51" s="522">
        <f>IF(+I14&lt;F50,I14,D51)</f>
        <v>1856.840909090909</v>
      </c>
      <c r="F51" s="523">
        <f t="shared" si="27"/>
        <v>17843.942189951213</v>
      </c>
      <c r="G51" s="524">
        <f t="shared" si="25"/>
        <v>4100.6475703569595</v>
      </c>
      <c r="H51" s="491">
        <f t="shared" si="26"/>
        <v>4100.6475703569595</v>
      </c>
      <c r="I51" s="511">
        <f t="shared" si="28"/>
        <v>0</v>
      </c>
      <c r="J51" s="511"/>
      <c r="K51" s="525"/>
      <c r="L51" s="514">
        <f t="shared" si="29"/>
        <v>0</v>
      </c>
      <c r="M51" s="525"/>
      <c r="N51" s="514">
        <f t="shared" si="30"/>
        <v>0</v>
      </c>
      <c r="O51" s="514">
        <f t="shared" si="31"/>
        <v>0</v>
      </c>
      <c r="P51" s="272"/>
      <c r="R51" s="269"/>
      <c r="S51" s="269"/>
      <c r="T51" s="269"/>
      <c r="U51" s="269"/>
      <c r="V51" s="269"/>
      <c r="W51" s="269"/>
    </row>
    <row r="52" spans="2:23">
      <c r="B52" s="195" t="str">
        <f t="shared" si="4"/>
        <v/>
      </c>
      <c r="C52" s="507">
        <f>IF(D11="","-",+C51+1)</f>
        <v>2042</v>
      </c>
      <c r="D52" s="523">
        <f>IF(F51+SUM(E$17:E51)=D$10,F51,D$10-SUM(E$17:E51))</f>
        <v>17843.942189951213</v>
      </c>
      <c r="E52" s="522">
        <f>IF(+I14&lt;F51,I14,D52)</f>
        <v>1856.840909090909</v>
      </c>
      <c r="F52" s="523">
        <f t="shared" si="27"/>
        <v>15987.101280860305</v>
      </c>
      <c r="G52" s="524">
        <f t="shared" si="25"/>
        <v>3878.7047025554511</v>
      </c>
      <c r="H52" s="491">
        <f t="shared" si="26"/>
        <v>3878.7047025554511</v>
      </c>
      <c r="I52" s="511">
        <f t="shared" si="28"/>
        <v>0</v>
      </c>
      <c r="J52" s="511"/>
      <c r="K52" s="525"/>
      <c r="L52" s="514">
        <f t="shared" si="29"/>
        <v>0</v>
      </c>
      <c r="M52" s="525"/>
      <c r="N52" s="514">
        <f t="shared" si="30"/>
        <v>0</v>
      </c>
      <c r="O52" s="514">
        <f t="shared" si="31"/>
        <v>0</v>
      </c>
      <c r="P52" s="272"/>
      <c r="R52" s="269"/>
      <c r="S52" s="269"/>
      <c r="T52" s="269"/>
      <c r="U52" s="269"/>
      <c r="V52" s="269"/>
      <c r="W52" s="269"/>
    </row>
    <row r="53" spans="2:23">
      <c r="B53" s="195" t="str">
        <f t="shared" si="4"/>
        <v/>
      </c>
      <c r="C53" s="507">
        <f>IF(D11="","-",+C52+1)</f>
        <v>2043</v>
      </c>
      <c r="D53" s="523">
        <f>IF(F52+SUM(E$17:E52)=D$10,F52,D$10-SUM(E$17:E52))</f>
        <v>15987.101280860305</v>
      </c>
      <c r="E53" s="522">
        <f>IF(+I14&lt;F52,I14,D53)</f>
        <v>1856.840909090909</v>
      </c>
      <c r="F53" s="523">
        <f t="shared" si="27"/>
        <v>14130.260371769396</v>
      </c>
      <c r="G53" s="524">
        <f t="shared" si="25"/>
        <v>3656.7618347539437</v>
      </c>
      <c r="H53" s="491">
        <f t="shared" si="26"/>
        <v>3656.7618347539437</v>
      </c>
      <c r="I53" s="511">
        <f t="shared" si="28"/>
        <v>0</v>
      </c>
      <c r="J53" s="511"/>
      <c r="K53" s="525"/>
      <c r="L53" s="514">
        <f t="shared" si="29"/>
        <v>0</v>
      </c>
      <c r="M53" s="525"/>
      <c r="N53" s="514">
        <f t="shared" si="30"/>
        <v>0</v>
      </c>
      <c r="O53" s="514">
        <f t="shared" si="31"/>
        <v>0</v>
      </c>
      <c r="P53" s="272"/>
      <c r="R53" s="269"/>
      <c r="S53" s="269"/>
      <c r="T53" s="269"/>
      <c r="U53" s="269"/>
      <c r="V53" s="269"/>
      <c r="W53" s="269"/>
    </row>
    <row r="54" spans="2:23">
      <c r="B54" s="195" t="str">
        <f t="shared" si="4"/>
        <v/>
      </c>
      <c r="C54" s="507">
        <f>IF(D11="","-",+C53+1)</f>
        <v>2044</v>
      </c>
      <c r="D54" s="523">
        <f>IF(F53+SUM(E$17:E53)=D$10,F53,D$10-SUM(E$17:E53))</f>
        <v>14130.260371769396</v>
      </c>
      <c r="E54" s="522">
        <f>IF(+I14&lt;F53,I14,D54)</f>
        <v>1856.840909090909</v>
      </c>
      <c r="F54" s="523">
        <f t="shared" si="27"/>
        <v>12273.419462678488</v>
      </c>
      <c r="G54" s="524">
        <f t="shared" si="25"/>
        <v>3434.8189669524354</v>
      </c>
      <c r="H54" s="491">
        <f t="shared" si="26"/>
        <v>3434.8189669524354</v>
      </c>
      <c r="I54" s="511">
        <f t="shared" si="28"/>
        <v>0</v>
      </c>
      <c r="J54" s="511"/>
      <c r="K54" s="525"/>
      <c r="L54" s="514">
        <f t="shared" si="29"/>
        <v>0</v>
      </c>
      <c r="M54" s="525"/>
      <c r="N54" s="514">
        <f t="shared" si="30"/>
        <v>0</v>
      </c>
      <c r="O54" s="514">
        <f t="shared" si="31"/>
        <v>0</v>
      </c>
      <c r="P54" s="272"/>
      <c r="R54" s="269"/>
      <c r="S54" s="269"/>
      <c r="T54" s="269"/>
      <c r="U54" s="269"/>
      <c r="V54" s="269"/>
      <c r="W54" s="269"/>
    </row>
    <row r="55" spans="2:23">
      <c r="B55" s="195" t="str">
        <f t="shared" si="4"/>
        <v/>
      </c>
      <c r="C55" s="507">
        <f>IF(D11="","-",+C54+1)</f>
        <v>2045</v>
      </c>
      <c r="D55" s="523">
        <f>IF(F54+SUM(E$17:E54)=D$10,F54,D$10-SUM(E$17:E54))</f>
        <v>12273.419462678488</v>
      </c>
      <c r="E55" s="522">
        <f>IF(+I14&lt;F54,I14,D55)</f>
        <v>1856.840909090909</v>
      </c>
      <c r="F55" s="523">
        <f t="shared" si="27"/>
        <v>10416.57855358758</v>
      </c>
      <c r="G55" s="524">
        <f t="shared" si="25"/>
        <v>3212.876099150928</v>
      </c>
      <c r="H55" s="491">
        <f t="shared" si="26"/>
        <v>3212.876099150928</v>
      </c>
      <c r="I55" s="511">
        <f t="shared" si="28"/>
        <v>0</v>
      </c>
      <c r="J55" s="511"/>
      <c r="K55" s="525"/>
      <c r="L55" s="514">
        <f t="shared" si="29"/>
        <v>0</v>
      </c>
      <c r="M55" s="525"/>
      <c r="N55" s="514">
        <f t="shared" si="30"/>
        <v>0</v>
      </c>
      <c r="O55" s="514">
        <f t="shared" si="31"/>
        <v>0</v>
      </c>
      <c r="P55" s="272"/>
      <c r="R55" s="269"/>
      <c r="S55" s="269"/>
      <c r="T55" s="269"/>
      <c r="U55" s="269"/>
      <c r="V55" s="269"/>
      <c r="W55" s="269"/>
    </row>
    <row r="56" spans="2:23">
      <c r="B56" s="195" t="str">
        <f t="shared" si="4"/>
        <v/>
      </c>
      <c r="C56" s="507">
        <f>IF(D11="","-",+C55+1)</f>
        <v>2046</v>
      </c>
      <c r="D56" s="523">
        <f>IF(F55+SUM(E$17:E55)=D$10,F55,D$10-SUM(E$17:E55))</f>
        <v>10416.57855358758</v>
      </c>
      <c r="E56" s="522">
        <f>IF(+I14&lt;F55,I14,D56)</f>
        <v>1856.840909090909</v>
      </c>
      <c r="F56" s="523">
        <f t="shared" si="27"/>
        <v>8559.7376444966721</v>
      </c>
      <c r="G56" s="524">
        <f t="shared" si="25"/>
        <v>2990.9332313494197</v>
      </c>
      <c r="H56" s="491">
        <f t="shared" si="26"/>
        <v>2990.9332313494197</v>
      </c>
      <c r="I56" s="511">
        <f t="shared" si="28"/>
        <v>0</v>
      </c>
      <c r="J56" s="511"/>
      <c r="K56" s="525"/>
      <c r="L56" s="514">
        <f t="shared" si="29"/>
        <v>0</v>
      </c>
      <c r="M56" s="525"/>
      <c r="N56" s="514">
        <f t="shared" si="30"/>
        <v>0</v>
      </c>
      <c r="O56" s="514">
        <f t="shared" si="31"/>
        <v>0</v>
      </c>
      <c r="P56" s="272"/>
      <c r="R56" s="269"/>
      <c r="S56" s="269"/>
      <c r="T56" s="269"/>
      <c r="U56" s="269"/>
      <c r="V56" s="269"/>
      <c r="W56" s="269"/>
    </row>
    <row r="57" spans="2:23">
      <c r="B57" s="195" t="str">
        <f t="shared" si="4"/>
        <v/>
      </c>
      <c r="C57" s="507">
        <f>IF(D11="","-",+C56+1)</f>
        <v>2047</v>
      </c>
      <c r="D57" s="523">
        <f>IF(F56+SUM(E$17:E56)=D$10,F56,D$10-SUM(E$17:E56))</f>
        <v>8559.7376444966721</v>
      </c>
      <c r="E57" s="522">
        <f>IF(+I14&lt;F56,I14,D57)</f>
        <v>1856.840909090909</v>
      </c>
      <c r="F57" s="523">
        <f t="shared" si="27"/>
        <v>6702.8967354057631</v>
      </c>
      <c r="G57" s="524">
        <f t="shared" si="25"/>
        <v>2768.9903635479122</v>
      </c>
      <c r="H57" s="491">
        <f t="shared" si="26"/>
        <v>2768.9903635479122</v>
      </c>
      <c r="I57" s="511">
        <f t="shared" si="28"/>
        <v>0</v>
      </c>
      <c r="J57" s="511"/>
      <c r="K57" s="525"/>
      <c r="L57" s="514">
        <f t="shared" si="29"/>
        <v>0</v>
      </c>
      <c r="M57" s="525"/>
      <c r="N57" s="514">
        <f t="shared" si="30"/>
        <v>0</v>
      </c>
      <c r="O57" s="514">
        <f t="shared" si="31"/>
        <v>0</v>
      </c>
      <c r="P57" s="272"/>
      <c r="R57" s="269"/>
      <c r="S57" s="269"/>
      <c r="T57" s="269"/>
      <c r="U57" s="269"/>
      <c r="V57" s="269"/>
      <c r="W57" s="269"/>
    </row>
    <row r="58" spans="2:23">
      <c r="B58" s="195" t="str">
        <f t="shared" si="4"/>
        <v/>
      </c>
      <c r="C58" s="507">
        <f>IF(D11="","-",+C57+1)</f>
        <v>2048</v>
      </c>
      <c r="D58" s="523">
        <f>IF(F57+SUM(E$17:E57)=D$10,F57,D$10-SUM(E$17:E57))</f>
        <v>6702.8967354057631</v>
      </c>
      <c r="E58" s="522">
        <f>IF(+I14&lt;F57,I14,D58)</f>
        <v>1856.840909090909</v>
      </c>
      <c r="F58" s="523">
        <f t="shared" si="27"/>
        <v>4846.0558263148541</v>
      </c>
      <c r="G58" s="524">
        <f t="shared" si="25"/>
        <v>2547.0474957464039</v>
      </c>
      <c r="H58" s="491">
        <f t="shared" si="26"/>
        <v>2547.0474957464039</v>
      </c>
      <c r="I58" s="511">
        <f t="shared" si="28"/>
        <v>0</v>
      </c>
      <c r="J58" s="511"/>
      <c r="K58" s="525"/>
      <c r="L58" s="514">
        <f t="shared" si="29"/>
        <v>0</v>
      </c>
      <c r="M58" s="525"/>
      <c r="N58" s="514">
        <f t="shared" si="30"/>
        <v>0</v>
      </c>
      <c r="O58" s="514">
        <f t="shared" si="31"/>
        <v>0</v>
      </c>
      <c r="P58" s="272"/>
      <c r="Q58" s="183" t="str">
        <f>IF(ROUND(Q57,0)=ROUND(SUM(Q18:Q56),0),"","Error -- check allocations above).")</f>
        <v/>
      </c>
      <c r="R58" s="269"/>
      <c r="S58" s="269"/>
      <c r="T58" s="269"/>
      <c r="U58" s="269"/>
      <c r="V58" s="269"/>
      <c r="W58" s="269"/>
    </row>
    <row r="59" spans="2:23">
      <c r="B59" s="582" t="str">
        <f t="shared" si="4"/>
        <v/>
      </c>
      <c r="C59" s="507">
        <f>IF(D11="","-",+C58+1)</f>
        <v>2049</v>
      </c>
      <c r="D59" s="523">
        <f>IF(F58+SUM(E$17:E58)=D$10,F58,D$10-SUM(E$17:E58))</f>
        <v>4846.0558263148541</v>
      </c>
      <c r="E59" s="522">
        <f>IF(+I14&lt;F58,I14,D59)</f>
        <v>1856.840909090909</v>
      </c>
      <c r="F59" s="523">
        <f t="shared" si="27"/>
        <v>2989.2149172239451</v>
      </c>
      <c r="G59" s="524">
        <f t="shared" si="25"/>
        <v>2325.104627944896</v>
      </c>
      <c r="H59" s="491">
        <f t="shared" si="26"/>
        <v>2325.104627944896</v>
      </c>
      <c r="I59" s="511">
        <f t="shared" si="28"/>
        <v>0</v>
      </c>
      <c r="J59" s="511"/>
      <c r="K59" s="525"/>
      <c r="L59" s="514">
        <f t="shared" si="29"/>
        <v>0</v>
      </c>
      <c r="M59" s="525"/>
      <c r="N59" s="514">
        <f t="shared" si="30"/>
        <v>0</v>
      </c>
      <c r="O59" s="514">
        <f t="shared" si="31"/>
        <v>0</v>
      </c>
      <c r="P59" s="272"/>
      <c r="R59" s="269"/>
      <c r="S59" s="269"/>
      <c r="T59" s="269"/>
      <c r="U59" s="269"/>
      <c r="V59" s="269"/>
      <c r="W59" s="269"/>
    </row>
    <row r="60" spans="2:23">
      <c r="B60" s="195" t="str">
        <f t="shared" si="4"/>
        <v/>
      </c>
      <c r="C60" s="507">
        <f>IF(D11="","-",+C59+1)</f>
        <v>2050</v>
      </c>
      <c r="D60" s="523">
        <f>IF(F59+SUM(E$17:E59)=D$10,F59,D$10-SUM(E$17:E59))</f>
        <v>2989.2149172239451</v>
      </c>
      <c r="E60" s="522">
        <f>IF(+I14&lt;F59,I14,D60)</f>
        <v>1856.840909090909</v>
      </c>
      <c r="F60" s="523">
        <f t="shared" si="27"/>
        <v>1132.3740081330361</v>
      </c>
      <c r="G60" s="524">
        <f t="shared" si="25"/>
        <v>2103.1617601433882</v>
      </c>
      <c r="H60" s="491">
        <f t="shared" si="26"/>
        <v>2103.1617601433882</v>
      </c>
      <c r="I60" s="511">
        <f t="shared" si="28"/>
        <v>0</v>
      </c>
      <c r="J60" s="511"/>
      <c r="K60" s="525"/>
      <c r="L60" s="514">
        <f t="shared" si="29"/>
        <v>0</v>
      </c>
      <c r="M60" s="525"/>
      <c r="N60" s="514">
        <f t="shared" si="30"/>
        <v>0</v>
      </c>
      <c r="O60" s="514">
        <f t="shared" si="31"/>
        <v>0</v>
      </c>
      <c r="P60" s="272"/>
      <c r="R60" s="269"/>
      <c r="S60" s="269"/>
      <c r="T60" s="269"/>
      <c r="U60" s="269"/>
      <c r="V60" s="269"/>
      <c r="W60" s="269"/>
    </row>
    <row r="61" spans="2:23">
      <c r="B61" s="195" t="str">
        <f t="shared" si="4"/>
        <v/>
      </c>
      <c r="C61" s="507">
        <f>IF(D11="","-",+C60+1)</f>
        <v>2051</v>
      </c>
      <c r="D61" s="523">
        <f>IF(F60+SUM(E$17:E60)=D$10,F60,D$10-SUM(E$17:E60))</f>
        <v>1132.3740081330361</v>
      </c>
      <c r="E61" s="522">
        <f>IF(+I14&lt;F60,I14,D61)</f>
        <v>1132.3740081330361</v>
      </c>
      <c r="F61" s="523">
        <f t="shared" si="27"/>
        <v>0</v>
      </c>
      <c r="G61" s="524">
        <f t="shared" si="25"/>
        <v>1200.0487167088986</v>
      </c>
      <c r="H61" s="491">
        <f t="shared" si="26"/>
        <v>1200.0487167088986</v>
      </c>
      <c r="I61" s="511">
        <f t="shared" si="28"/>
        <v>0</v>
      </c>
      <c r="J61" s="511"/>
      <c r="K61" s="525"/>
      <c r="L61" s="514">
        <f t="shared" si="29"/>
        <v>0</v>
      </c>
      <c r="M61" s="525"/>
      <c r="N61" s="514">
        <f t="shared" si="30"/>
        <v>0</v>
      </c>
      <c r="O61" s="514">
        <f t="shared" si="31"/>
        <v>0</v>
      </c>
      <c r="P61" s="272"/>
      <c r="R61" s="269"/>
      <c r="S61" s="269"/>
      <c r="T61" s="269"/>
      <c r="U61" s="269"/>
      <c r="V61" s="269"/>
      <c r="W61" s="269"/>
    </row>
    <row r="62" spans="2:23">
      <c r="B62" s="195" t="str">
        <f t="shared" si="4"/>
        <v/>
      </c>
      <c r="C62" s="507">
        <f>IF(D11="","-",+C61+1)</f>
        <v>2052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27"/>
        <v>0</v>
      </c>
      <c r="G62" s="524">
        <f t="shared" si="25"/>
        <v>0</v>
      </c>
      <c r="H62" s="491">
        <f t="shared" si="26"/>
        <v>0</v>
      </c>
      <c r="I62" s="511">
        <f t="shared" si="28"/>
        <v>0</v>
      </c>
      <c r="J62" s="511"/>
      <c r="K62" s="525"/>
      <c r="L62" s="514">
        <f t="shared" si="29"/>
        <v>0</v>
      </c>
      <c r="M62" s="525"/>
      <c r="N62" s="514">
        <f t="shared" si="30"/>
        <v>0</v>
      </c>
      <c r="O62" s="514">
        <f t="shared" si="31"/>
        <v>0</v>
      </c>
      <c r="P62" s="272"/>
      <c r="R62" s="269"/>
      <c r="S62" s="269"/>
      <c r="T62" s="269"/>
      <c r="U62" s="269"/>
      <c r="V62" s="269"/>
      <c r="W62" s="269"/>
    </row>
    <row r="63" spans="2:23">
      <c r="B63" s="195" t="str">
        <f t="shared" si="4"/>
        <v/>
      </c>
      <c r="C63" s="507">
        <f>IF(D11="","-",+C62+1)</f>
        <v>2053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27"/>
        <v>0</v>
      </c>
      <c r="G63" s="524">
        <f t="shared" si="25"/>
        <v>0</v>
      </c>
      <c r="H63" s="491">
        <f t="shared" si="26"/>
        <v>0</v>
      </c>
      <c r="I63" s="511">
        <f t="shared" si="28"/>
        <v>0</v>
      </c>
      <c r="J63" s="511"/>
      <c r="K63" s="525"/>
      <c r="L63" s="514">
        <f t="shared" si="29"/>
        <v>0</v>
      </c>
      <c r="M63" s="525"/>
      <c r="N63" s="514">
        <f t="shared" si="30"/>
        <v>0</v>
      </c>
      <c r="O63" s="514">
        <f t="shared" si="31"/>
        <v>0</v>
      </c>
      <c r="P63" s="272"/>
      <c r="R63" s="269"/>
      <c r="S63" s="269"/>
      <c r="T63" s="269"/>
      <c r="U63" s="269"/>
      <c r="V63" s="269"/>
      <c r="W63" s="269"/>
    </row>
    <row r="64" spans="2:23">
      <c r="B64" s="195" t="str">
        <f t="shared" si="4"/>
        <v/>
      </c>
      <c r="C64" s="507">
        <f>IF(D11="","-",+C63+1)</f>
        <v>2054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27"/>
        <v>0</v>
      </c>
      <c r="G64" s="524">
        <f t="shared" si="25"/>
        <v>0</v>
      </c>
      <c r="H64" s="491">
        <f t="shared" si="26"/>
        <v>0</v>
      </c>
      <c r="I64" s="511">
        <f t="shared" si="28"/>
        <v>0</v>
      </c>
      <c r="J64" s="511"/>
      <c r="K64" s="525"/>
      <c r="L64" s="514">
        <f t="shared" si="29"/>
        <v>0</v>
      </c>
      <c r="M64" s="525"/>
      <c r="N64" s="514">
        <f t="shared" si="30"/>
        <v>0</v>
      </c>
      <c r="O64" s="514">
        <f t="shared" si="31"/>
        <v>0</v>
      </c>
      <c r="P64" s="272"/>
      <c r="R64" s="269"/>
      <c r="S64" s="269"/>
      <c r="T64" s="269"/>
      <c r="U64" s="269"/>
      <c r="V64" s="269"/>
      <c r="W64" s="269"/>
    </row>
    <row r="65" spans="1:23">
      <c r="B65" s="195" t="str">
        <f t="shared" si="4"/>
        <v/>
      </c>
      <c r="C65" s="507">
        <f>IF(D11="","-",+C64+1)</f>
        <v>2055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27"/>
        <v>0</v>
      </c>
      <c r="G65" s="524">
        <f t="shared" si="25"/>
        <v>0</v>
      </c>
      <c r="H65" s="491">
        <f t="shared" si="26"/>
        <v>0</v>
      </c>
      <c r="I65" s="511">
        <f t="shared" si="28"/>
        <v>0</v>
      </c>
      <c r="J65" s="511"/>
      <c r="K65" s="525"/>
      <c r="L65" s="514">
        <f t="shared" si="29"/>
        <v>0</v>
      </c>
      <c r="M65" s="525"/>
      <c r="N65" s="514">
        <f t="shared" si="30"/>
        <v>0</v>
      </c>
      <c r="O65" s="514">
        <f t="shared" si="31"/>
        <v>0</v>
      </c>
      <c r="P65" s="272"/>
      <c r="R65" s="269"/>
      <c r="S65" s="269"/>
      <c r="T65" s="269"/>
      <c r="U65" s="269"/>
      <c r="V65" s="269"/>
      <c r="W65" s="269"/>
    </row>
    <row r="66" spans="1:23">
      <c r="B66" s="195" t="str">
        <f t="shared" si="4"/>
        <v/>
      </c>
      <c r="C66" s="507">
        <f>IF(D11="","-",+C65+1)</f>
        <v>2056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27"/>
        <v>0</v>
      </c>
      <c r="G66" s="524">
        <f t="shared" si="25"/>
        <v>0</v>
      </c>
      <c r="H66" s="491">
        <f t="shared" si="26"/>
        <v>0</v>
      </c>
      <c r="I66" s="511">
        <f t="shared" si="28"/>
        <v>0</v>
      </c>
      <c r="J66" s="511"/>
      <c r="K66" s="525"/>
      <c r="L66" s="514">
        <f t="shared" si="29"/>
        <v>0</v>
      </c>
      <c r="M66" s="525"/>
      <c r="N66" s="514">
        <f t="shared" si="30"/>
        <v>0</v>
      </c>
      <c r="O66" s="514">
        <f t="shared" si="31"/>
        <v>0</v>
      </c>
      <c r="P66" s="272"/>
      <c r="R66" s="269"/>
      <c r="S66" s="269"/>
      <c r="T66" s="269"/>
      <c r="U66" s="269"/>
      <c r="V66" s="269"/>
      <c r="W66" s="269"/>
    </row>
    <row r="67" spans="1:23">
      <c r="B67" s="195" t="str">
        <f t="shared" si="4"/>
        <v/>
      </c>
      <c r="C67" s="507">
        <f>IF(D11="","-",+C66+1)</f>
        <v>2057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27"/>
        <v>0</v>
      </c>
      <c r="G67" s="524">
        <f t="shared" si="25"/>
        <v>0</v>
      </c>
      <c r="H67" s="491">
        <f t="shared" si="26"/>
        <v>0</v>
      </c>
      <c r="I67" s="511">
        <f t="shared" si="28"/>
        <v>0</v>
      </c>
      <c r="J67" s="511"/>
      <c r="K67" s="525"/>
      <c r="L67" s="514">
        <f t="shared" si="29"/>
        <v>0</v>
      </c>
      <c r="M67" s="525"/>
      <c r="N67" s="514">
        <f t="shared" si="30"/>
        <v>0</v>
      </c>
      <c r="O67" s="514">
        <f t="shared" si="31"/>
        <v>0</v>
      </c>
      <c r="P67" s="272"/>
      <c r="R67" s="269"/>
      <c r="S67" s="269"/>
      <c r="T67" s="269"/>
      <c r="U67" s="269"/>
      <c r="V67" s="269"/>
      <c r="W67" s="269"/>
    </row>
    <row r="68" spans="1:23">
      <c r="B68" s="195" t="str">
        <f t="shared" si="4"/>
        <v/>
      </c>
      <c r="C68" s="507">
        <f>IF(D11="","-",+C67+1)</f>
        <v>2058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27"/>
        <v>0</v>
      </c>
      <c r="G68" s="524">
        <f t="shared" si="25"/>
        <v>0</v>
      </c>
      <c r="H68" s="491">
        <f t="shared" si="26"/>
        <v>0</v>
      </c>
      <c r="I68" s="511">
        <f t="shared" si="28"/>
        <v>0</v>
      </c>
      <c r="J68" s="511"/>
      <c r="K68" s="525"/>
      <c r="L68" s="514">
        <f t="shared" si="29"/>
        <v>0</v>
      </c>
      <c r="M68" s="525"/>
      <c r="N68" s="514">
        <f t="shared" si="30"/>
        <v>0</v>
      </c>
      <c r="O68" s="514">
        <f t="shared" si="31"/>
        <v>0</v>
      </c>
      <c r="P68" s="272"/>
      <c r="R68" s="269"/>
      <c r="S68" s="269"/>
      <c r="T68" s="269"/>
      <c r="U68" s="269"/>
      <c r="V68" s="269"/>
      <c r="W68" s="269"/>
    </row>
    <row r="69" spans="1:23">
      <c r="B69" s="195" t="str">
        <f t="shared" si="4"/>
        <v/>
      </c>
      <c r="C69" s="507">
        <f>IF(D11="","-",+C68+1)</f>
        <v>2059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27"/>
        <v>0</v>
      </c>
      <c r="G69" s="524">
        <f t="shared" si="25"/>
        <v>0</v>
      </c>
      <c r="H69" s="491">
        <f t="shared" si="26"/>
        <v>0</v>
      </c>
      <c r="I69" s="511">
        <f t="shared" si="28"/>
        <v>0</v>
      </c>
      <c r="J69" s="511"/>
      <c r="K69" s="525"/>
      <c r="L69" s="514">
        <f t="shared" si="29"/>
        <v>0</v>
      </c>
      <c r="M69" s="525"/>
      <c r="N69" s="514">
        <f t="shared" si="30"/>
        <v>0</v>
      </c>
      <c r="O69" s="514">
        <f t="shared" si="31"/>
        <v>0</v>
      </c>
      <c r="P69" s="272"/>
      <c r="R69" s="269"/>
      <c r="S69" s="269"/>
      <c r="T69" s="269"/>
      <c r="U69" s="269"/>
      <c r="V69" s="269"/>
      <c r="W69" s="269"/>
    </row>
    <row r="70" spans="1:23">
      <c r="B70" s="195" t="str">
        <f t="shared" si="4"/>
        <v/>
      </c>
      <c r="C70" s="507">
        <f>IF(D11="","-",+C69+1)</f>
        <v>2060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27"/>
        <v>0</v>
      </c>
      <c r="G70" s="524">
        <f t="shared" si="25"/>
        <v>0</v>
      </c>
      <c r="H70" s="491">
        <f t="shared" si="26"/>
        <v>0</v>
      </c>
      <c r="I70" s="511">
        <f t="shared" si="28"/>
        <v>0</v>
      </c>
      <c r="J70" s="511"/>
      <c r="K70" s="525"/>
      <c r="L70" s="514">
        <f t="shared" si="29"/>
        <v>0</v>
      </c>
      <c r="M70" s="525"/>
      <c r="N70" s="514">
        <f t="shared" si="30"/>
        <v>0</v>
      </c>
      <c r="O70" s="514">
        <f t="shared" si="31"/>
        <v>0</v>
      </c>
      <c r="P70" s="272"/>
      <c r="R70" s="269"/>
      <c r="S70" s="269"/>
      <c r="T70" s="269"/>
      <c r="U70" s="269"/>
      <c r="V70" s="269"/>
      <c r="W70" s="269"/>
    </row>
    <row r="71" spans="1:23">
      <c r="B71" s="195" t="str">
        <f t="shared" si="4"/>
        <v/>
      </c>
      <c r="C71" s="507">
        <f>IF(D11="","-",+C70+1)</f>
        <v>2061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27"/>
        <v>0</v>
      </c>
      <c r="G71" s="524">
        <f t="shared" si="25"/>
        <v>0</v>
      </c>
      <c r="H71" s="491">
        <f t="shared" si="26"/>
        <v>0</v>
      </c>
      <c r="I71" s="511">
        <f t="shared" si="28"/>
        <v>0</v>
      </c>
      <c r="J71" s="511"/>
      <c r="K71" s="525"/>
      <c r="L71" s="514">
        <f t="shared" si="29"/>
        <v>0</v>
      </c>
      <c r="M71" s="525"/>
      <c r="N71" s="514">
        <f t="shared" si="30"/>
        <v>0</v>
      </c>
      <c r="O71" s="514">
        <f t="shared" si="31"/>
        <v>0</v>
      </c>
      <c r="P71" s="272"/>
      <c r="R71" s="269"/>
      <c r="S71" s="269"/>
      <c r="T71" s="269"/>
      <c r="U71" s="269"/>
      <c r="V71" s="269"/>
      <c r="W71" s="269"/>
    </row>
    <row r="72" spans="1:23" ht="13.5" thickBot="1">
      <c r="B72" s="195" t="str">
        <f t="shared" si="4"/>
        <v/>
      </c>
      <c r="C72" s="527">
        <f>IF(D11="","-",+C71+1)</f>
        <v>2062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27"/>
        <v>0</v>
      </c>
      <c r="G72" s="528">
        <f t="shared" si="25"/>
        <v>0</v>
      </c>
      <c r="H72" s="528">
        <f t="shared" si="26"/>
        <v>0</v>
      </c>
      <c r="I72" s="531">
        <f t="shared" si="28"/>
        <v>0</v>
      </c>
      <c r="J72" s="511"/>
      <c r="K72" s="532"/>
      <c r="L72" s="533">
        <f t="shared" si="29"/>
        <v>0</v>
      </c>
      <c r="M72" s="532"/>
      <c r="N72" s="533">
        <f t="shared" si="30"/>
        <v>0</v>
      </c>
      <c r="O72" s="533">
        <f t="shared" si="31"/>
        <v>0</v>
      </c>
      <c r="P72" s="272"/>
      <c r="R72" s="269"/>
      <c r="S72" s="269"/>
      <c r="T72" s="269"/>
      <c r="U72" s="269"/>
      <c r="V72" s="269"/>
      <c r="W72" s="269"/>
    </row>
    <row r="73" spans="1:23">
      <c r="C73" s="374" t="s">
        <v>78</v>
      </c>
      <c r="D73" s="375"/>
      <c r="E73" s="375">
        <f>SUM(E17:E72)</f>
        <v>81701.000000000044</v>
      </c>
      <c r="F73" s="375"/>
      <c r="G73" s="375">
        <f>SUM(G17:G72)</f>
        <v>302924.38627399004</v>
      </c>
      <c r="H73" s="375">
        <f>SUM(H17:H72)</f>
        <v>302924.38627399004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  <c r="R73" s="269"/>
      <c r="S73" s="269"/>
      <c r="T73" s="269"/>
      <c r="U73" s="269"/>
      <c r="V73" s="269"/>
      <c r="W73" s="269"/>
    </row>
    <row r="74" spans="1:23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  <c r="R74" s="269"/>
      <c r="S74" s="269"/>
      <c r="T74" s="269"/>
      <c r="U74" s="269"/>
      <c r="V74" s="269"/>
      <c r="W74" s="269"/>
    </row>
    <row r="75" spans="1:23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  <c r="R75" s="269"/>
      <c r="S75" s="269"/>
      <c r="T75" s="269"/>
      <c r="U75" s="269"/>
      <c r="V75" s="269"/>
      <c r="W75" s="269"/>
    </row>
    <row r="76" spans="1:23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  <c r="R76" s="269"/>
      <c r="S76" s="269"/>
      <c r="T76" s="269"/>
      <c r="U76" s="269"/>
      <c r="V76" s="269"/>
      <c r="W76" s="269"/>
    </row>
    <row r="77" spans="1:23" ht="18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535"/>
      <c r="P77" s="272"/>
      <c r="R77" s="269"/>
      <c r="S77" s="269"/>
      <c r="T77" s="269"/>
      <c r="U77" s="269"/>
      <c r="V77" s="269"/>
      <c r="W77" s="269"/>
    </row>
    <row r="78" spans="1:23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  <c r="R78" s="269"/>
      <c r="S78" s="269"/>
      <c r="T78" s="269"/>
      <c r="U78" s="269"/>
      <c r="V78" s="269"/>
      <c r="W78" s="269"/>
    </row>
    <row r="79" spans="1:23" ht="15">
      <c r="A79" s="536"/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  <c r="R79" s="269"/>
      <c r="S79" s="269"/>
      <c r="T79" s="269"/>
      <c r="U79" s="269"/>
      <c r="V79" s="269"/>
      <c r="W79" s="269"/>
    </row>
    <row r="80" spans="1:23" ht="18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  <c r="R80" s="269"/>
      <c r="S80" s="269"/>
      <c r="T80" s="269"/>
      <c r="U80" s="269"/>
      <c r="V80" s="269"/>
      <c r="W80" s="269"/>
    </row>
    <row r="81" spans="1:23">
      <c r="B81" s="269"/>
      <c r="C81" s="537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  <c r="R81" s="269"/>
      <c r="S81" s="269"/>
      <c r="T81" s="269"/>
      <c r="U81" s="269"/>
      <c r="V81" s="269"/>
      <c r="W81" s="269"/>
    </row>
    <row r="82" spans="1:23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  <c r="Q82" s="269"/>
      <c r="R82" s="269"/>
      <c r="S82" s="269"/>
      <c r="T82" s="269"/>
      <c r="U82" s="269"/>
      <c r="V82" s="269"/>
      <c r="W82" s="269"/>
    </row>
    <row r="83" spans="1:23" ht="20.25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535" t="str">
        <f ca="1">P1</f>
        <v>SWEPCO Project 14 of 75</v>
      </c>
      <c r="Q83" s="269"/>
      <c r="R83" s="269"/>
      <c r="S83" s="269"/>
      <c r="T83" s="269"/>
      <c r="U83" s="269"/>
      <c r="V83" s="269"/>
      <c r="W83" s="269"/>
    </row>
    <row r="84" spans="1:23" ht="18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454" t="s">
        <v>128</v>
      </c>
      <c r="Q84" s="269"/>
      <c r="R84" s="269"/>
      <c r="S84" s="269"/>
      <c r="T84" s="269"/>
      <c r="U84" s="269"/>
      <c r="V84" s="269"/>
      <c r="W84" s="269"/>
    </row>
    <row r="85" spans="1:23" ht="18.7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  <c r="Q85" s="269"/>
      <c r="R85" s="269"/>
      <c r="S85" s="269"/>
      <c r="T85" s="269"/>
      <c r="U85" s="269"/>
      <c r="V85" s="269"/>
      <c r="W85" s="269"/>
    </row>
    <row r="86" spans="1:23" ht="15.75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2022</v>
      </c>
      <c r="M86" s="541" t="s">
        <v>9</v>
      </c>
      <c r="N86" s="542" t="s">
        <v>159</v>
      </c>
      <c r="O86" s="543" t="s">
        <v>11</v>
      </c>
      <c r="P86" s="269"/>
      <c r="Q86" s="269"/>
      <c r="R86" s="269"/>
      <c r="S86" s="269"/>
      <c r="T86" s="269"/>
      <c r="U86" s="269"/>
      <c r="V86" s="269"/>
      <c r="W86" s="269"/>
    </row>
    <row r="87" spans="1:23" ht="1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391</v>
      </c>
      <c r="M87" s="546">
        <f>IF(J92&lt;D11,0,VLOOKUP(J92,C17:O72,9))</f>
        <v>8038.0420796764802</v>
      </c>
      <c r="N87" s="546">
        <f>IF(J92&lt;D11,0,VLOOKUP(J92,C17:O72,11))</f>
        <v>8038.0420796764802</v>
      </c>
      <c r="O87" s="547">
        <f>+N87-M87</f>
        <v>0</v>
      </c>
      <c r="P87" s="269"/>
      <c r="Q87" s="269"/>
      <c r="R87" s="269"/>
      <c r="S87" s="269"/>
      <c r="T87" s="269"/>
      <c r="U87" s="269"/>
      <c r="V87" s="269"/>
      <c r="W87" s="269"/>
    </row>
    <row r="88" spans="1:23" ht="15.7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392</v>
      </c>
      <c r="M88" s="550">
        <f>IF(J92&lt;D11,0,VLOOKUP(J92,C99:P154,6))</f>
        <v>8344.8161119685956</v>
      </c>
      <c r="N88" s="550">
        <f>IF(J92&lt;D11,0,VLOOKUP(J92,C99:P154,7))</f>
        <v>8344.8161119685956</v>
      </c>
      <c r="O88" s="551">
        <f>+N88-M88</f>
        <v>0</v>
      </c>
      <c r="P88" s="269"/>
      <c r="Q88" s="269"/>
      <c r="R88" s="269"/>
      <c r="S88" s="269"/>
      <c r="T88" s="269"/>
      <c r="U88" s="269"/>
      <c r="V88" s="269"/>
      <c r="W88" s="269"/>
    </row>
    <row r="89" spans="1:23" ht="13.5" thickBot="1">
      <c r="C89" s="467" t="s">
        <v>84</v>
      </c>
      <c r="D89" s="552" t="str">
        <f>+D7</f>
        <v>NW Henderson - Oak Hill 138 kV line*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306.77403229211541</v>
      </c>
      <c r="N89" s="555">
        <f>+N88-N87</f>
        <v>306.77403229211541</v>
      </c>
      <c r="O89" s="556">
        <f>+O88-O87</f>
        <v>0</v>
      </c>
      <c r="P89" s="269"/>
      <c r="Q89" s="269"/>
      <c r="R89" s="269"/>
      <c r="S89" s="269"/>
      <c r="T89" s="269"/>
      <c r="U89" s="269"/>
      <c r="V89" s="269"/>
      <c r="W89" s="269"/>
    </row>
    <row r="90" spans="1:23" ht="13.5" thickBot="1">
      <c r="C90" s="534"/>
      <c r="D90" s="557" t="str">
        <f>D8</f>
        <v>DOES NOT MEET SPP $100,000 MINIMUM INVESTMENT FOR REGIONAL BPU SHARING.</v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  <c r="Q90" s="269"/>
      <c r="R90" s="269"/>
      <c r="S90" s="269"/>
      <c r="T90" s="269"/>
      <c r="U90" s="269"/>
      <c r="V90" s="269"/>
      <c r="W90" s="269"/>
    </row>
    <row r="91" spans="1:23" ht="13.5" thickBot="1">
      <c r="A91" s="191"/>
      <c r="C91" s="558" t="s">
        <v>85</v>
      </c>
      <c r="D91" s="559" t="str">
        <f>+D9</f>
        <v>TP2006089</v>
      </c>
      <c r="E91" s="560"/>
      <c r="F91" s="560"/>
      <c r="G91" s="560"/>
      <c r="H91" s="560"/>
      <c r="I91" s="560"/>
      <c r="J91" s="561"/>
      <c r="K91" s="562"/>
      <c r="P91" s="481"/>
      <c r="Q91" s="269"/>
      <c r="R91" s="269"/>
      <c r="S91" s="269"/>
      <c r="T91" s="269"/>
      <c r="U91" s="269"/>
      <c r="V91" s="269"/>
      <c r="W91" s="269"/>
    </row>
    <row r="92" spans="1:23">
      <c r="C92" s="486" t="s">
        <v>51</v>
      </c>
      <c r="D92" s="483">
        <v>81701</v>
      </c>
      <c r="E92" s="340" t="s">
        <v>86</v>
      </c>
      <c r="H92" s="484"/>
      <c r="I92" s="484"/>
      <c r="J92" s="485">
        <f>+'SWE.WS.G.BPU.ATRR.True-up'!M16</f>
        <v>2022</v>
      </c>
      <c r="K92" s="480"/>
      <c r="L92" s="375" t="s">
        <v>87</v>
      </c>
      <c r="P92" s="272"/>
      <c r="Q92" s="269"/>
      <c r="R92" s="269"/>
      <c r="S92" s="269"/>
      <c r="T92" s="269"/>
      <c r="U92" s="269"/>
      <c r="V92" s="269"/>
      <c r="W92" s="269"/>
    </row>
    <row r="93" spans="1:23">
      <c r="C93" s="486" t="s">
        <v>54</v>
      </c>
      <c r="D93" s="563">
        <f>IF(D11=I10,"",D11)</f>
        <v>2007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  <c r="Q93" s="269"/>
      <c r="R93" s="269"/>
      <c r="S93" s="269"/>
      <c r="T93" s="269"/>
      <c r="U93" s="269"/>
      <c r="V93" s="269"/>
      <c r="W93" s="269"/>
    </row>
    <row r="94" spans="1:23">
      <c r="C94" s="486" t="s">
        <v>56</v>
      </c>
      <c r="D94" s="564">
        <f>IF(D11=I10,"",D12)</f>
        <v>6</v>
      </c>
      <c r="E94" s="486" t="s">
        <v>57</v>
      </c>
      <c r="F94" s="484"/>
      <c r="G94" s="484"/>
      <c r="J94" s="490">
        <f>'SWE.WS.G.BPU.ATRR.True-up'!$F$81</f>
        <v>0.11351422637179906</v>
      </c>
      <c r="K94" s="425"/>
      <c r="L94" s="183" t="s">
        <v>88</v>
      </c>
      <c r="P94" s="272"/>
      <c r="Q94" s="269"/>
      <c r="R94" s="269"/>
      <c r="S94" s="269"/>
      <c r="T94" s="269"/>
      <c r="U94" s="269"/>
      <c r="V94" s="269"/>
      <c r="W94" s="269"/>
    </row>
    <row r="95" spans="1:23">
      <c r="C95" s="486" t="s">
        <v>59</v>
      </c>
      <c r="D95" s="488">
        <f>'SWE.WS.G.BPU.ATRR.True-up'!F$93</f>
        <v>41</v>
      </c>
      <c r="E95" s="486" t="s">
        <v>60</v>
      </c>
      <c r="F95" s="484"/>
      <c r="G95" s="484"/>
      <c r="J95" s="490">
        <f>IF(H87="",J94,'SWE.WS.G.BPU.ATRR.True-up'!$F$80)</f>
        <v>0.11351422637179906</v>
      </c>
      <c r="K95" s="324"/>
      <c r="L95" s="375" t="s">
        <v>61</v>
      </c>
      <c r="M95" s="324"/>
      <c r="N95" s="324"/>
      <c r="O95" s="324"/>
      <c r="P95" s="272"/>
      <c r="Q95" s="269"/>
      <c r="R95" s="269"/>
      <c r="S95" s="269"/>
      <c r="T95" s="269"/>
      <c r="U95" s="269"/>
      <c r="V95" s="269"/>
      <c r="W95" s="269"/>
    </row>
    <row r="96" spans="1:23" ht="13.5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1992.7073170731708</v>
      </c>
      <c r="K96" s="375"/>
      <c r="L96" s="375"/>
      <c r="M96" s="375"/>
      <c r="N96" s="375"/>
      <c r="O96" s="375"/>
      <c r="P96" s="272"/>
      <c r="Q96" s="269"/>
      <c r="R96" s="269"/>
      <c r="S96" s="269"/>
      <c r="T96" s="269"/>
      <c r="U96" s="269"/>
      <c r="V96" s="269"/>
      <c r="W96" s="269"/>
    </row>
    <row r="97" spans="1:23" ht="38.25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388</v>
      </c>
      <c r="I97" s="495" t="s">
        <v>389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  <c r="Q97" s="269"/>
      <c r="R97" s="269"/>
      <c r="S97" s="269"/>
      <c r="T97" s="269"/>
      <c r="U97" s="269"/>
      <c r="V97" s="269"/>
      <c r="W97" s="269"/>
    </row>
    <row r="98" spans="1:23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  <c r="Q98" s="269"/>
      <c r="R98" s="269"/>
      <c r="S98" s="269"/>
      <c r="T98" s="269"/>
      <c r="U98" s="269"/>
      <c r="V98" s="269"/>
      <c r="W98" s="269"/>
    </row>
    <row r="99" spans="1:23">
      <c r="C99" s="507">
        <f>IF(D93= "","-",D93)</f>
        <v>2007</v>
      </c>
      <c r="D99" s="508">
        <v>0</v>
      </c>
      <c r="E99" s="516">
        <v>0</v>
      </c>
      <c r="F99" s="515">
        <v>54301</v>
      </c>
      <c r="G99" s="574">
        <v>27151</v>
      </c>
      <c r="H99" s="575">
        <v>4328</v>
      </c>
      <c r="I99" s="576">
        <v>4328</v>
      </c>
      <c r="J99" s="613">
        <f t="shared" ref="J99:J130" si="32">+I99-H99</f>
        <v>0</v>
      </c>
      <c r="K99" s="514"/>
      <c r="L99" s="512">
        <v>0</v>
      </c>
      <c r="M99" s="513">
        <f t="shared" ref="M99:M130" si="33">IF(L99&lt;&gt;0,+H99-L99,0)</f>
        <v>0</v>
      </c>
      <c r="N99" s="512">
        <v>0</v>
      </c>
      <c r="O99" s="513">
        <f t="shared" ref="O99:O130" si="34">IF(N99&lt;&gt;0,+I99-N99,0)</f>
        <v>0</v>
      </c>
      <c r="P99" s="513">
        <f t="shared" ref="P99:P130" si="35">+O99-M99</f>
        <v>0</v>
      </c>
      <c r="Q99" s="269"/>
      <c r="R99" s="372"/>
      <c r="S99" s="372"/>
      <c r="T99" s="372"/>
      <c r="U99" s="372"/>
      <c r="V99" s="372"/>
      <c r="W99" s="372">
        <f>ROUND(I99,0)</f>
        <v>4328</v>
      </c>
    </row>
    <row r="100" spans="1:23">
      <c r="B100" s="195" t="str">
        <f>IF(D100=F99,"","IU")</f>
        <v/>
      </c>
      <c r="C100" s="507">
        <f>IF(D93="","-",+C99+1)</f>
        <v>2008</v>
      </c>
      <c r="D100" s="508">
        <v>54301</v>
      </c>
      <c r="E100" s="516">
        <v>1468</v>
      </c>
      <c r="F100" s="515">
        <v>52833</v>
      </c>
      <c r="G100" s="515">
        <v>53567</v>
      </c>
      <c r="H100" s="516">
        <v>10006</v>
      </c>
      <c r="I100" s="510">
        <v>10006</v>
      </c>
      <c r="J100" s="613">
        <f t="shared" si="32"/>
        <v>0</v>
      </c>
      <c r="K100" s="514"/>
      <c r="L100" s="518">
        <v>10006</v>
      </c>
      <c r="M100" s="514">
        <f t="shared" si="33"/>
        <v>0</v>
      </c>
      <c r="N100" s="518">
        <v>10006</v>
      </c>
      <c r="O100" s="514">
        <f t="shared" si="34"/>
        <v>0</v>
      </c>
      <c r="P100" s="514">
        <f t="shared" si="35"/>
        <v>0</v>
      </c>
      <c r="Q100" s="269"/>
      <c r="R100" s="372"/>
      <c r="S100" s="372"/>
      <c r="T100" s="372"/>
      <c r="U100" s="372"/>
      <c r="V100" s="372"/>
      <c r="W100" s="372">
        <f>ROUND(I100,0)</f>
        <v>10006</v>
      </c>
    </row>
    <row r="101" spans="1:23">
      <c r="B101" s="195" t="str">
        <f t="shared" ref="B101:B154" si="36">IF(D101=F100,"","IU")</f>
        <v/>
      </c>
      <c r="C101" s="507">
        <f>IF(D93="","-",+C100+1)</f>
        <v>2009</v>
      </c>
      <c r="D101" s="508">
        <v>52833</v>
      </c>
      <c r="E101" s="516">
        <v>1428.9736842105262</v>
      </c>
      <c r="F101" s="515">
        <v>51404.026315789473</v>
      </c>
      <c r="G101" s="515">
        <v>52118.513157894733</v>
      </c>
      <c r="H101" s="516">
        <v>8972.4855002204786</v>
      </c>
      <c r="I101" s="510">
        <v>8972.4855002204786</v>
      </c>
      <c r="J101" s="613">
        <f t="shared" si="32"/>
        <v>0</v>
      </c>
      <c r="K101" s="514"/>
      <c r="L101" s="518">
        <f t="shared" ref="L101:L106" si="37">H101</f>
        <v>8972.4855002204786</v>
      </c>
      <c r="M101" s="519">
        <f t="shared" si="33"/>
        <v>0</v>
      </c>
      <c r="N101" s="518">
        <f t="shared" ref="N101:N106" si="38">I101</f>
        <v>8972.4855002204786</v>
      </c>
      <c r="O101" s="514">
        <f t="shared" si="34"/>
        <v>0</v>
      </c>
      <c r="P101" s="514">
        <f t="shared" si="35"/>
        <v>0</v>
      </c>
      <c r="Q101" s="269"/>
      <c r="R101" s="269"/>
      <c r="S101" s="269"/>
      <c r="T101" s="269"/>
      <c r="U101" s="269"/>
      <c r="V101" s="269"/>
      <c r="W101" s="269"/>
    </row>
    <row r="102" spans="1:23">
      <c r="B102" s="195" t="str">
        <f t="shared" si="36"/>
        <v>IU</v>
      </c>
      <c r="C102" s="507">
        <f>IF(D93="","-",+C101+1)</f>
        <v>2010</v>
      </c>
      <c r="D102" s="508">
        <v>78804.026315789481</v>
      </c>
      <c r="E102" s="516">
        <v>1992.7073170731708</v>
      </c>
      <c r="F102" s="515">
        <v>76811.318998716306</v>
      </c>
      <c r="G102" s="515">
        <v>77807.672657252901</v>
      </c>
      <c r="H102" s="516">
        <v>14837.671154363743</v>
      </c>
      <c r="I102" s="510">
        <v>14837.671154363743</v>
      </c>
      <c r="J102" s="613">
        <f t="shared" si="32"/>
        <v>0</v>
      </c>
      <c r="K102" s="514"/>
      <c r="L102" s="518">
        <f t="shared" si="37"/>
        <v>14837.671154363743</v>
      </c>
      <c r="M102" s="519">
        <f t="shared" si="33"/>
        <v>0</v>
      </c>
      <c r="N102" s="518">
        <f t="shared" si="38"/>
        <v>14837.671154363743</v>
      </c>
      <c r="O102" s="514">
        <f t="shared" si="34"/>
        <v>0</v>
      </c>
      <c r="P102" s="514">
        <f t="shared" si="35"/>
        <v>0</v>
      </c>
      <c r="Q102" s="269"/>
      <c r="R102" s="269"/>
      <c r="S102" s="269"/>
      <c r="T102" s="269"/>
      <c r="U102" s="269"/>
      <c r="V102" s="269"/>
      <c r="W102" s="269"/>
    </row>
    <row r="103" spans="1:23">
      <c r="B103" s="195" t="str">
        <f t="shared" si="36"/>
        <v/>
      </c>
      <c r="C103" s="507">
        <f>IF(D93="","-",+C102+1)</f>
        <v>2011</v>
      </c>
      <c r="D103" s="508">
        <v>76811.318998716306</v>
      </c>
      <c r="E103" s="520">
        <v>1945.2619047619048</v>
      </c>
      <c r="F103" s="515">
        <v>74866.057093954398</v>
      </c>
      <c r="G103" s="515">
        <v>75838.688046335359</v>
      </c>
      <c r="H103" s="516">
        <v>13349.876325445057</v>
      </c>
      <c r="I103" s="510">
        <v>13349.876325445057</v>
      </c>
      <c r="J103" s="613">
        <f t="shared" si="32"/>
        <v>0</v>
      </c>
      <c r="K103" s="514"/>
      <c r="L103" s="518">
        <f t="shared" si="37"/>
        <v>13349.876325445057</v>
      </c>
      <c r="M103" s="519">
        <f t="shared" si="33"/>
        <v>0</v>
      </c>
      <c r="N103" s="518">
        <f t="shared" si="38"/>
        <v>13349.876325445057</v>
      </c>
      <c r="O103" s="514">
        <f t="shared" si="34"/>
        <v>0</v>
      </c>
      <c r="P103" s="514">
        <f t="shared" si="35"/>
        <v>0</v>
      </c>
      <c r="Q103" s="269"/>
      <c r="R103" s="269"/>
      <c r="S103" s="269"/>
      <c r="T103" s="269"/>
      <c r="U103" s="269"/>
      <c r="V103" s="269"/>
      <c r="W103" s="269"/>
    </row>
    <row r="104" spans="1:23">
      <c r="B104" s="195" t="str">
        <f t="shared" si="36"/>
        <v/>
      </c>
      <c r="C104" s="507">
        <f>IF(D93="","-",+C103+1)</f>
        <v>2012</v>
      </c>
      <c r="D104" s="508">
        <v>74866.057093954398</v>
      </c>
      <c r="E104" s="516">
        <v>1945.2619047619048</v>
      </c>
      <c r="F104" s="515">
        <v>72920.795189192489</v>
      </c>
      <c r="G104" s="515">
        <v>73893.426141573436</v>
      </c>
      <c r="H104" s="516">
        <v>12818.97009538296</v>
      </c>
      <c r="I104" s="510">
        <v>12818.97009538296</v>
      </c>
      <c r="J104" s="613">
        <f t="shared" si="32"/>
        <v>0</v>
      </c>
      <c r="K104" s="514"/>
      <c r="L104" s="518">
        <f t="shared" si="37"/>
        <v>12818.97009538296</v>
      </c>
      <c r="M104" s="519">
        <f t="shared" si="33"/>
        <v>0</v>
      </c>
      <c r="N104" s="518">
        <f t="shared" si="38"/>
        <v>12818.97009538296</v>
      </c>
      <c r="O104" s="514">
        <f t="shared" si="34"/>
        <v>0</v>
      </c>
      <c r="P104" s="514">
        <f t="shared" si="35"/>
        <v>0</v>
      </c>
      <c r="Q104" s="269"/>
      <c r="R104" s="269"/>
      <c r="S104" s="269"/>
      <c r="T104" s="269"/>
      <c r="U104" s="269"/>
      <c r="V104" s="269"/>
      <c r="W104" s="269"/>
    </row>
    <row r="105" spans="1:23">
      <c r="B105" s="195" t="str">
        <f t="shared" si="36"/>
        <v/>
      </c>
      <c r="C105" s="507">
        <f>IF(D93="","-",+C104+1)</f>
        <v>2013</v>
      </c>
      <c r="D105" s="508">
        <v>72920.795189192489</v>
      </c>
      <c r="E105" s="516">
        <v>1945.2619047619048</v>
      </c>
      <c r="F105" s="515">
        <v>70975.533284430581</v>
      </c>
      <c r="G105" s="515">
        <v>71948.164236811543</v>
      </c>
      <c r="H105" s="516">
        <v>11679.251522399856</v>
      </c>
      <c r="I105" s="510">
        <v>11679.251522399856</v>
      </c>
      <c r="J105" s="613">
        <v>0</v>
      </c>
      <c r="K105" s="514"/>
      <c r="L105" s="518">
        <f t="shared" si="37"/>
        <v>11679.251522399856</v>
      </c>
      <c r="M105" s="519">
        <f t="shared" ref="M105:M110" si="39">IF(L105&lt;&gt;0,+H105-L105,0)</f>
        <v>0</v>
      </c>
      <c r="N105" s="518">
        <f t="shared" si="38"/>
        <v>11679.251522399856</v>
      </c>
      <c r="O105" s="514">
        <f t="shared" ref="O105:O110" si="40">IF(N105&lt;&gt;0,+I105-N105,0)</f>
        <v>0</v>
      </c>
      <c r="P105" s="514">
        <f t="shared" ref="P105:P110" si="41">+O105-M105</f>
        <v>0</v>
      </c>
      <c r="Q105" s="269"/>
      <c r="R105" s="269"/>
      <c r="S105" s="269"/>
      <c r="T105" s="269"/>
      <c r="U105" s="269"/>
      <c r="V105" s="269"/>
      <c r="W105" s="269"/>
    </row>
    <row r="106" spans="1:23">
      <c r="B106" s="195" t="str">
        <f t="shared" si="36"/>
        <v/>
      </c>
      <c r="C106" s="507">
        <f>IF(D93="","-",+C105+1)</f>
        <v>2014</v>
      </c>
      <c r="D106" s="508">
        <v>70975.533284430581</v>
      </c>
      <c r="E106" s="516">
        <v>1945.2619047619048</v>
      </c>
      <c r="F106" s="515">
        <v>69030.271379668673</v>
      </c>
      <c r="G106" s="515">
        <v>70002.90233204962</v>
      </c>
      <c r="H106" s="516">
        <v>11460.298583288852</v>
      </c>
      <c r="I106" s="510">
        <v>11460.298583288852</v>
      </c>
      <c r="J106" s="514">
        <v>0</v>
      </c>
      <c r="K106" s="514"/>
      <c r="L106" s="518">
        <f t="shared" si="37"/>
        <v>11460.298583288852</v>
      </c>
      <c r="M106" s="519">
        <f t="shared" si="39"/>
        <v>0</v>
      </c>
      <c r="N106" s="518">
        <f t="shared" si="38"/>
        <v>11460.298583288852</v>
      </c>
      <c r="O106" s="514">
        <f t="shared" si="40"/>
        <v>0</v>
      </c>
      <c r="P106" s="514">
        <f t="shared" si="41"/>
        <v>0</v>
      </c>
      <c r="Q106" s="269"/>
      <c r="R106" s="269"/>
      <c r="S106" s="269"/>
      <c r="T106" s="269"/>
      <c r="U106" s="269"/>
      <c r="V106" s="269"/>
      <c r="W106" s="269"/>
    </row>
    <row r="107" spans="1:23">
      <c r="B107" s="195" t="str">
        <f t="shared" si="36"/>
        <v/>
      </c>
      <c r="C107" s="507">
        <f>IF(D93="","-",+C106+1)</f>
        <v>2015</v>
      </c>
      <c r="D107" s="508">
        <v>69030.271379668673</v>
      </c>
      <c r="E107" s="516">
        <v>1945.2619047619048</v>
      </c>
      <c r="F107" s="515">
        <v>67085.009474906765</v>
      </c>
      <c r="G107" s="515">
        <v>68057.640427287726</v>
      </c>
      <c r="H107" s="516">
        <v>10913.140814685254</v>
      </c>
      <c r="I107" s="510">
        <v>10913.140814685254</v>
      </c>
      <c r="J107" s="514">
        <f t="shared" si="32"/>
        <v>0</v>
      </c>
      <c r="K107" s="514"/>
      <c r="L107" s="518">
        <f t="shared" ref="L107:L112" si="42">H107</f>
        <v>10913.140814685254</v>
      </c>
      <c r="M107" s="519">
        <f t="shared" si="39"/>
        <v>0</v>
      </c>
      <c r="N107" s="518">
        <f t="shared" ref="N107:N112" si="43">I107</f>
        <v>10913.140814685254</v>
      </c>
      <c r="O107" s="514">
        <f t="shared" si="40"/>
        <v>0</v>
      </c>
      <c r="P107" s="514">
        <f t="shared" si="41"/>
        <v>0</v>
      </c>
      <c r="Q107" s="269"/>
      <c r="R107" s="269"/>
      <c r="S107" s="269"/>
      <c r="T107" s="269"/>
      <c r="U107" s="269"/>
      <c r="V107" s="269"/>
      <c r="W107" s="269"/>
    </row>
    <row r="108" spans="1:23">
      <c r="B108" s="195" t="str">
        <f t="shared" si="36"/>
        <v/>
      </c>
      <c r="C108" s="507">
        <f>IF(D93="","-",+C107+1)</f>
        <v>2016</v>
      </c>
      <c r="D108" s="508">
        <v>67085.009474906765</v>
      </c>
      <c r="E108" s="516">
        <v>1900.0232558139535</v>
      </c>
      <c r="F108" s="515">
        <v>65184.986219092811</v>
      </c>
      <c r="G108" s="515">
        <v>66134.997846999788</v>
      </c>
      <c r="H108" s="516">
        <v>10295.860457941419</v>
      </c>
      <c r="I108" s="510">
        <v>10295.860457941419</v>
      </c>
      <c r="J108" s="514">
        <f t="shared" si="32"/>
        <v>0</v>
      </c>
      <c r="K108" s="514"/>
      <c r="L108" s="518">
        <f t="shared" si="42"/>
        <v>10295.860457941419</v>
      </c>
      <c r="M108" s="519">
        <f t="shared" si="39"/>
        <v>0</v>
      </c>
      <c r="N108" s="518">
        <f t="shared" si="43"/>
        <v>10295.860457941419</v>
      </c>
      <c r="O108" s="514">
        <f t="shared" si="40"/>
        <v>0</v>
      </c>
      <c r="P108" s="514">
        <f t="shared" si="41"/>
        <v>0</v>
      </c>
      <c r="Q108" s="269"/>
      <c r="R108" s="269"/>
      <c r="S108" s="269"/>
      <c r="T108" s="269"/>
      <c r="U108" s="269"/>
      <c r="V108" s="269"/>
      <c r="W108" s="269"/>
    </row>
    <row r="109" spans="1:23">
      <c r="B109" s="195" t="str">
        <f t="shared" si="36"/>
        <v/>
      </c>
      <c r="C109" s="507">
        <f>IF(D93="","-",+C108+1)</f>
        <v>2017</v>
      </c>
      <c r="D109" s="508">
        <v>65184.986219092811</v>
      </c>
      <c r="E109" s="516">
        <v>1945.2619047619048</v>
      </c>
      <c r="F109" s="515">
        <v>63239.724314330902</v>
      </c>
      <c r="G109" s="515">
        <v>64212.355266711857</v>
      </c>
      <c r="H109" s="516">
        <v>9745.2303003311172</v>
      </c>
      <c r="I109" s="510">
        <v>9745.2303003311172</v>
      </c>
      <c r="J109" s="514">
        <f t="shared" si="32"/>
        <v>0</v>
      </c>
      <c r="K109" s="514"/>
      <c r="L109" s="518">
        <f t="shared" si="42"/>
        <v>9745.2303003311172</v>
      </c>
      <c r="M109" s="519">
        <f t="shared" si="39"/>
        <v>0</v>
      </c>
      <c r="N109" s="518">
        <f t="shared" si="43"/>
        <v>9745.2303003311172</v>
      </c>
      <c r="O109" s="514">
        <f t="shared" si="40"/>
        <v>0</v>
      </c>
      <c r="P109" s="514">
        <f t="shared" si="41"/>
        <v>0</v>
      </c>
      <c r="Q109" s="269"/>
      <c r="R109" s="269"/>
      <c r="S109" s="269"/>
      <c r="T109" s="269"/>
      <c r="U109" s="269"/>
      <c r="V109" s="269"/>
      <c r="W109" s="269"/>
    </row>
    <row r="110" spans="1:23">
      <c r="B110" s="195" t="str">
        <f t="shared" si="36"/>
        <v/>
      </c>
      <c r="C110" s="507">
        <f>IF(D93="","-",+C109+1)</f>
        <v>2018</v>
      </c>
      <c r="D110" s="508">
        <v>63239.724314330902</v>
      </c>
      <c r="E110" s="516">
        <v>1945.2619047619048</v>
      </c>
      <c r="F110" s="515">
        <v>61294.462409568994</v>
      </c>
      <c r="G110" s="515">
        <v>62267.093361949948</v>
      </c>
      <c r="H110" s="516">
        <v>8520.9525094527817</v>
      </c>
      <c r="I110" s="510">
        <v>8520.9525094527817</v>
      </c>
      <c r="J110" s="514">
        <f t="shared" si="32"/>
        <v>0</v>
      </c>
      <c r="K110" s="514"/>
      <c r="L110" s="518">
        <f t="shared" si="42"/>
        <v>8520.9525094527817</v>
      </c>
      <c r="M110" s="519">
        <f t="shared" si="39"/>
        <v>0</v>
      </c>
      <c r="N110" s="518">
        <f t="shared" si="43"/>
        <v>8520.9525094527817</v>
      </c>
      <c r="O110" s="514">
        <f t="shared" si="40"/>
        <v>0</v>
      </c>
      <c r="P110" s="514">
        <f t="shared" si="41"/>
        <v>0</v>
      </c>
      <c r="Q110" s="269"/>
      <c r="R110" s="269"/>
      <c r="S110" s="269"/>
      <c r="T110" s="269"/>
      <c r="U110" s="269"/>
      <c r="V110" s="269"/>
      <c r="W110" s="269"/>
    </row>
    <row r="111" spans="1:23">
      <c r="B111" s="195" t="str">
        <f t="shared" si="36"/>
        <v/>
      </c>
      <c r="C111" s="507">
        <f>IF(D93="","-",+C110+1)</f>
        <v>2019</v>
      </c>
      <c r="D111" s="508">
        <v>61294.462409568994</v>
      </c>
      <c r="E111" s="516">
        <v>1900.0232558139535</v>
      </c>
      <c r="F111" s="515">
        <v>59394.43915375504</v>
      </c>
      <c r="G111" s="515">
        <v>60344.450781662017</v>
      </c>
      <c r="H111" s="516">
        <v>8359.3262482635964</v>
      </c>
      <c r="I111" s="510">
        <v>8359.3262482635964</v>
      </c>
      <c r="J111" s="514">
        <f t="shared" si="32"/>
        <v>0</v>
      </c>
      <c r="K111" s="514"/>
      <c r="L111" s="518">
        <f t="shared" si="42"/>
        <v>8359.3262482635964</v>
      </c>
      <c r="M111" s="519">
        <f t="shared" ref="M111:M112" si="44">IF(L111&lt;&gt;0,+H111-L111,0)</f>
        <v>0</v>
      </c>
      <c r="N111" s="518">
        <f t="shared" si="43"/>
        <v>8359.3262482635964</v>
      </c>
      <c r="O111" s="514">
        <f t="shared" si="34"/>
        <v>0</v>
      </c>
      <c r="P111" s="514">
        <f t="shared" si="35"/>
        <v>0</v>
      </c>
      <c r="Q111" s="269"/>
      <c r="R111" s="269"/>
      <c r="S111" s="269"/>
      <c r="T111" s="269"/>
      <c r="U111" s="269"/>
      <c r="V111" s="269"/>
      <c r="W111" s="269"/>
    </row>
    <row r="112" spans="1:23">
      <c r="B112" s="195" t="str">
        <f t="shared" si="36"/>
        <v/>
      </c>
      <c r="C112" s="507">
        <f>IF(D93="","-",+C111+1)</f>
        <v>2020</v>
      </c>
      <c r="D112" s="508">
        <v>59394.43915375504</v>
      </c>
      <c r="E112" s="516">
        <v>1945.2619047619048</v>
      </c>
      <c r="F112" s="515">
        <v>57449.177248993132</v>
      </c>
      <c r="G112" s="515">
        <v>58421.808201374086</v>
      </c>
      <c r="H112" s="516">
        <v>8229.9197146067363</v>
      </c>
      <c r="I112" s="510">
        <v>8229.9197146067363</v>
      </c>
      <c r="J112" s="514">
        <f t="shared" si="32"/>
        <v>0</v>
      </c>
      <c r="K112" s="514"/>
      <c r="L112" s="518">
        <f t="shared" si="42"/>
        <v>8229.9197146067363</v>
      </c>
      <c r="M112" s="519">
        <f t="shared" si="44"/>
        <v>0</v>
      </c>
      <c r="N112" s="518">
        <f t="shared" si="43"/>
        <v>8229.9197146067363</v>
      </c>
      <c r="O112" s="514">
        <f t="shared" si="34"/>
        <v>0</v>
      </c>
      <c r="P112" s="514">
        <f t="shared" si="35"/>
        <v>0</v>
      </c>
      <c r="Q112" s="269"/>
      <c r="R112" s="269"/>
      <c r="S112" s="269"/>
      <c r="T112" s="269"/>
      <c r="U112" s="269"/>
      <c r="V112" s="269"/>
      <c r="W112" s="269"/>
    </row>
    <row r="113" spans="2:23">
      <c r="B113" s="195" t="str">
        <f t="shared" si="36"/>
        <v/>
      </c>
      <c r="C113" s="507">
        <f>IF(D93="","-",+C112+1)</f>
        <v>2021</v>
      </c>
      <c r="D113" s="508">
        <v>57449.177248993132</v>
      </c>
      <c r="E113" s="516">
        <v>1992.7073170731708</v>
      </c>
      <c r="F113" s="515">
        <v>55456.469931919964</v>
      </c>
      <c r="G113" s="515">
        <v>56452.823590456552</v>
      </c>
      <c r="H113" s="516">
        <v>8400.9059134474937</v>
      </c>
      <c r="I113" s="510">
        <v>8400.9059134474937</v>
      </c>
      <c r="J113" s="514">
        <f t="shared" si="32"/>
        <v>0</v>
      </c>
      <c r="K113" s="514"/>
      <c r="L113" s="518">
        <f t="shared" ref="L113" si="45">H113</f>
        <v>8400.9059134474937</v>
      </c>
      <c r="M113" s="519">
        <f t="shared" ref="M113" si="46">IF(L113&lt;&gt;0,+H113-L113,0)</f>
        <v>0</v>
      </c>
      <c r="N113" s="518">
        <f t="shared" ref="N113" si="47">I113</f>
        <v>8400.9059134474937</v>
      </c>
      <c r="O113" s="514">
        <f t="shared" ref="O113" si="48">IF(N113&lt;&gt;0,+I113-N113,0)</f>
        <v>0</v>
      </c>
      <c r="P113" s="514">
        <f t="shared" ref="P113" si="49">+O113-M113</f>
        <v>0</v>
      </c>
      <c r="Q113" s="269"/>
      <c r="R113" s="269"/>
      <c r="S113" s="269"/>
      <c r="T113" s="269"/>
      <c r="U113" s="269"/>
      <c r="V113" s="269"/>
      <c r="W113" s="269"/>
    </row>
    <row r="114" spans="2:23">
      <c r="B114" s="195" t="str">
        <f t="shared" si="36"/>
        <v/>
      </c>
      <c r="C114" s="673">
        <f>IF(D93="","-",+C113+1)</f>
        <v>2022</v>
      </c>
      <c r="D114" s="374">
        <v>55456.469931919964</v>
      </c>
      <c r="E114" s="522">
        <v>1945.2619047619048</v>
      </c>
      <c r="F114" s="523">
        <v>53511.208027158056</v>
      </c>
      <c r="G114" s="523">
        <v>54483.83897953901</v>
      </c>
      <c r="H114" s="526">
        <v>8344.8161119685956</v>
      </c>
      <c r="I114" s="577">
        <v>8344.8161119685956</v>
      </c>
      <c r="J114" s="514">
        <f t="shared" si="32"/>
        <v>0</v>
      </c>
      <c r="K114" s="514"/>
      <c r="L114" s="525"/>
      <c r="M114" s="514">
        <f t="shared" si="33"/>
        <v>0</v>
      </c>
      <c r="N114" s="525"/>
      <c r="O114" s="514">
        <f t="shared" si="34"/>
        <v>0</v>
      </c>
      <c r="P114" s="514">
        <f t="shared" si="35"/>
        <v>0</v>
      </c>
      <c r="Q114" s="269"/>
      <c r="R114" s="269"/>
      <c r="S114" s="269"/>
      <c r="T114" s="269"/>
      <c r="U114" s="269"/>
      <c r="V114" s="269"/>
      <c r="W114" s="269"/>
    </row>
    <row r="115" spans="2:23">
      <c r="B115" s="195" t="str">
        <f t="shared" si="36"/>
        <v/>
      </c>
      <c r="C115" s="507">
        <f>IF(D93="","-",+C114+1)</f>
        <v>2023</v>
      </c>
      <c r="D115" s="374">
        <f>IF(F114+SUM(E$99:E114)=D$92,F114,D$92-SUM(E$99:E114))</f>
        <v>53511.208027158056</v>
      </c>
      <c r="E115" s="522">
        <f>IF(+J96&lt;F114,J96,D115)</f>
        <v>1992.7073170731708</v>
      </c>
      <c r="F115" s="523">
        <f t="shared" ref="F115:F130" si="50">+D115-E115</f>
        <v>51518.500710084889</v>
      </c>
      <c r="G115" s="523">
        <f t="shared" ref="G115:G130" si="51">+(F115+D115)/2</f>
        <v>52514.854368621469</v>
      </c>
      <c r="H115" s="526">
        <f t="shared" ref="H115:H154" si="52">+J$94*G115+E115</f>
        <v>7953.8903837549296</v>
      </c>
      <c r="I115" s="577">
        <f t="shared" ref="I115:I154" si="53">+J$95*G115+E115</f>
        <v>7953.8903837549296</v>
      </c>
      <c r="J115" s="514">
        <f t="shared" si="32"/>
        <v>0</v>
      </c>
      <c r="K115" s="514"/>
      <c r="L115" s="525"/>
      <c r="M115" s="514">
        <f t="shared" si="33"/>
        <v>0</v>
      </c>
      <c r="N115" s="525"/>
      <c r="O115" s="514">
        <f t="shared" si="34"/>
        <v>0</v>
      </c>
      <c r="P115" s="514">
        <f t="shared" si="35"/>
        <v>0</v>
      </c>
      <c r="Q115" s="269"/>
      <c r="R115" s="269"/>
      <c r="S115" s="269"/>
      <c r="T115" s="269"/>
      <c r="U115" s="269"/>
      <c r="V115" s="269"/>
      <c r="W115" s="269"/>
    </row>
    <row r="116" spans="2:23">
      <c r="B116" s="195" t="str">
        <f t="shared" si="36"/>
        <v/>
      </c>
      <c r="C116" s="507">
        <f>IF(D93="","-",+C115+1)</f>
        <v>2024</v>
      </c>
      <c r="D116" s="374">
        <f>IF(F115+SUM(E$99:E115)=D$92,F115,D$92-SUM(E$99:E115))</f>
        <v>51518.500710084889</v>
      </c>
      <c r="E116" s="522">
        <f>IF(+J96&lt;F115,J96,D116)</f>
        <v>1992.7073170731708</v>
      </c>
      <c r="F116" s="523">
        <f t="shared" si="50"/>
        <v>49525.793393011721</v>
      </c>
      <c r="G116" s="523">
        <f t="shared" si="51"/>
        <v>50522.147051548309</v>
      </c>
      <c r="H116" s="526">
        <f t="shared" si="52"/>
        <v>7727.6897542719462</v>
      </c>
      <c r="I116" s="577">
        <f t="shared" si="53"/>
        <v>7727.6897542719462</v>
      </c>
      <c r="J116" s="514">
        <f t="shared" si="32"/>
        <v>0</v>
      </c>
      <c r="K116" s="514"/>
      <c r="L116" s="525"/>
      <c r="M116" s="514">
        <f t="shared" si="33"/>
        <v>0</v>
      </c>
      <c r="N116" s="525"/>
      <c r="O116" s="514">
        <f t="shared" si="34"/>
        <v>0</v>
      </c>
      <c r="P116" s="514">
        <f t="shared" si="35"/>
        <v>0</v>
      </c>
      <c r="Q116" s="269"/>
      <c r="R116" s="269"/>
      <c r="S116" s="269"/>
      <c r="T116" s="269"/>
      <c r="U116" s="269"/>
      <c r="V116" s="269"/>
      <c r="W116" s="269"/>
    </row>
    <row r="117" spans="2:23">
      <c r="B117" s="195" t="str">
        <f t="shared" si="36"/>
        <v/>
      </c>
      <c r="C117" s="507">
        <f>IF(D93="","-",+C116+1)</f>
        <v>2025</v>
      </c>
      <c r="D117" s="374">
        <f>IF(F116+SUM(E$99:E116)=D$92,F116,D$92-SUM(E$99:E116))</f>
        <v>49525.793393011721</v>
      </c>
      <c r="E117" s="522">
        <f>IF(+J96&lt;F116,J96,D117)</f>
        <v>1992.7073170731708</v>
      </c>
      <c r="F117" s="523">
        <f t="shared" si="50"/>
        <v>47533.086075938554</v>
      </c>
      <c r="G117" s="523">
        <f t="shared" si="51"/>
        <v>48529.439734475134</v>
      </c>
      <c r="H117" s="526">
        <f t="shared" si="52"/>
        <v>7501.4891247889618</v>
      </c>
      <c r="I117" s="577">
        <f t="shared" si="53"/>
        <v>7501.4891247889618</v>
      </c>
      <c r="J117" s="514">
        <f t="shared" si="32"/>
        <v>0</v>
      </c>
      <c r="K117" s="514"/>
      <c r="L117" s="525"/>
      <c r="M117" s="514">
        <f t="shared" si="33"/>
        <v>0</v>
      </c>
      <c r="N117" s="525"/>
      <c r="O117" s="514">
        <f t="shared" si="34"/>
        <v>0</v>
      </c>
      <c r="P117" s="514">
        <f t="shared" si="35"/>
        <v>0</v>
      </c>
      <c r="Q117" s="269"/>
      <c r="R117" s="269"/>
      <c r="S117" s="269"/>
      <c r="T117" s="269"/>
      <c r="U117" s="269"/>
      <c r="V117" s="269"/>
      <c r="W117" s="269"/>
    </row>
    <row r="118" spans="2:23">
      <c r="B118" s="195" t="str">
        <f t="shared" si="36"/>
        <v/>
      </c>
      <c r="C118" s="507">
        <f>IF(D93="","-",+C117+1)</f>
        <v>2026</v>
      </c>
      <c r="D118" s="374">
        <f>IF(F117+SUM(E$99:E117)=D$92,F117,D$92-SUM(E$99:E117))</f>
        <v>47533.086075938554</v>
      </c>
      <c r="E118" s="522">
        <f>IF(+J96&lt;F117,J96,D118)</f>
        <v>1992.7073170731708</v>
      </c>
      <c r="F118" s="523">
        <f t="shared" si="50"/>
        <v>45540.378758865387</v>
      </c>
      <c r="G118" s="523">
        <f t="shared" si="51"/>
        <v>46536.732417401974</v>
      </c>
      <c r="H118" s="526">
        <f t="shared" si="52"/>
        <v>7275.2884953059784</v>
      </c>
      <c r="I118" s="577">
        <f t="shared" si="53"/>
        <v>7275.2884953059784</v>
      </c>
      <c r="J118" s="514">
        <f t="shared" si="32"/>
        <v>0</v>
      </c>
      <c r="K118" s="514"/>
      <c r="L118" s="525"/>
      <c r="M118" s="514">
        <f t="shared" si="33"/>
        <v>0</v>
      </c>
      <c r="N118" s="525"/>
      <c r="O118" s="514">
        <f t="shared" si="34"/>
        <v>0</v>
      </c>
      <c r="P118" s="514">
        <f t="shared" si="35"/>
        <v>0</v>
      </c>
      <c r="Q118" s="269"/>
      <c r="R118" s="269"/>
      <c r="S118" s="269"/>
      <c r="T118" s="269"/>
      <c r="U118" s="269"/>
      <c r="V118" s="269"/>
      <c r="W118" s="269"/>
    </row>
    <row r="119" spans="2:23">
      <c r="B119" s="195" t="str">
        <f t="shared" si="36"/>
        <v/>
      </c>
      <c r="C119" s="507">
        <f>IF(D93="","-",+C118+1)</f>
        <v>2027</v>
      </c>
      <c r="D119" s="374">
        <f>IF(F118+SUM(E$99:E118)=D$92,F118,D$92-SUM(E$99:E118))</f>
        <v>45540.378758865387</v>
      </c>
      <c r="E119" s="522">
        <f>IF(+J96&lt;F118,J96,D119)</f>
        <v>1992.7073170731708</v>
      </c>
      <c r="F119" s="523">
        <f t="shared" si="50"/>
        <v>43547.671441792219</v>
      </c>
      <c r="G119" s="523">
        <f t="shared" si="51"/>
        <v>44544.025100328799</v>
      </c>
      <c r="H119" s="526">
        <f t="shared" si="52"/>
        <v>7049.087865822994</v>
      </c>
      <c r="I119" s="577">
        <f t="shared" si="53"/>
        <v>7049.087865822994</v>
      </c>
      <c r="J119" s="514">
        <f t="shared" si="32"/>
        <v>0</v>
      </c>
      <c r="K119" s="514"/>
      <c r="L119" s="525"/>
      <c r="M119" s="514">
        <f t="shared" si="33"/>
        <v>0</v>
      </c>
      <c r="N119" s="525"/>
      <c r="O119" s="514">
        <f t="shared" si="34"/>
        <v>0</v>
      </c>
      <c r="P119" s="514">
        <f t="shared" si="35"/>
        <v>0</v>
      </c>
      <c r="Q119" s="269"/>
      <c r="R119" s="269"/>
      <c r="S119" s="269"/>
      <c r="T119" s="269"/>
      <c r="U119" s="269"/>
      <c r="V119" s="269"/>
      <c r="W119" s="269"/>
    </row>
    <row r="120" spans="2:23">
      <c r="B120" s="195" t="str">
        <f t="shared" si="36"/>
        <v/>
      </c>
      <c r="C120" s="507">
        <f>IF(D93="","-",+C119+1)</f>
        <v>2028</v>
      </c>
      <c r="D120" s="374">
        <f>IF(F119+SUM(E$99:E119)=D$92,F119,D$92-SUM(E$99:E119))</f>
        <v>43547.671441792219</v>
      </c>
      <c r="E120" s="522">
        <f>IF(+J96&lt;F119,J96,D120)</f>
        <v>1992.7073170731708</v>
      </c>
      <c r="F120" s="523">
        <f t="shared" si="50"/>
        <v>41554.964124719052</v>
      </c>
      <c r="G120" s="523">
        <f t="shared" si="51"/>
        <v>42551.317783255639</v>
      </c>
      <c r="H120" s="526">
        <f t="shared" si="52"/>
        <v>6822.8872363400105</v>
      </c>
      <c r="I120" s="577">
        <f t="shared" si="53"/>
        <v>6822.8872363400105</v>
      </c>
      <c r="J120" s="514">
        <f t="shared" si="32"/>
        <v>0</v>
      </c>
      <c r="K120" s="514"/>
      <c r="L120" s="525"/>
      <c r="M120" s="514">
        <f t="shared" si="33"/>
        <v>0</v>
      </c>
      <c r="N120" s="525"/>
      <c r="O120" s="514">
        <f t="shared" si="34"/>
        <v>0</v>
      </c>
      <c r="P120" s="514">
        <f t="shared" si="35"/>
        <v>0</v>
      </c>
      <c r="Q120" s="269"/>
      <c r="R120" s="269"/>
      <c r="S120" s="269"/>
      <c r="T120" s="269"/>
      <c r="U120" s="269"/>
      <c r="V120" s="269"/>
      <c r="W120" s="269"/>
    </row>
    <row r="121" spans="2:23">
      <c r="B121" s="195" t="str">
        <f t="shared" si="36"/>
        <v/>
      </c>
      <c r="C121" s="507">
        <f>IF(D93="","-",+C120+1)</f>
        <v>2029</v>
      </c>
      <c r="D121" s="374">
        <f>IF(F120+SUM(E$99:E120)=D$92,F120,D$92-SUM(E$99:E120))</f>
        <v>41554.964124719052</v>
      </c>
      <c r="E121" s="522">
        <f>IF(+J96&lt;F120,J96,D121)</f>
        <v>1992.7073170731708</v>
      </c>
      <c r="F121" s="523">
        <f t="shared" si="50"/>
        <v>39562.256807645885</v>
      </c>
      <c r="G121" s="523">
        <f t="shared" si="51"/>
        <v>40558.610466182465</v>
      </c>
      <c r="H121" s="526">
        <f t="shared" si="52"/>
        <v>6596.6866068570262</v>
      </c>
      <c r="I121" s="577">
        <f t="shared" si="53"/>
        <v>6596.6866068570262</v>
      </c>
      <c r="J121" s="514">
        <f t="shared" si="32"/>
        <v>0</v>
      </c>
      <c r="K121" s="514"/>
      <c r="L121" s="525"/>
      <c r="M121" s="514">
        <f t="shared" si="33"/>
        <v>0</v>
      </c>
      <c r="N121" s="525"/>
      <c r="O121" s="514">
        <f t="shared" si="34"/>
        <v>0</v>
      </c>
      <c r="P121" s="514">
        <f t="shared" si="35"/>
        <v>0</v>
      </c>
      <c r="Q121" s="269"/>
      <c r="R121" s="269"/>
      <c r="S121" s="269"/>
      <c r="T121" s="269"/>
      <c r="U121" s="269"/>
      <c r="V121" s="269"/>
      <c r="W121" s="269"/>
    </row>
    <row r="122" spans="2:23">
      <c r="B122" s="195" t="str">
        <f t="shared" si="36"/>
        <v/>
      </c>
      <c r="C122" s="507">
        <f>IF(D93="","-",+C121+1)</f>
        <v>2030</v>
      </c>
      <c r="D122" s="374">
        <f>IF(F121+SUM(E$99:E121)=D$92,F121,D$92-SUM(E$99:E121))</f>
        <v>39562.256807645885</v>
      </c>
      <c r="E122" s="522">
        <f>IF(+J96&lt;F121,J96,D122)</f>
        <v>1992.7073170731708</v>
      </c>
      <c r="F122" s="523">
        <f t="shared" si="50"/>
        <v>37569.549490572717</v>
      </c>
      <c r="G122" s="523">
        <f t="shared" si="51"/>
        <v>38565.903149109305</v>
      </c>
      <c r="H122" s="526">
        <f t="shared" si="52"/>
        <v>6370.4859773740427</v>
      </c>
      <c r="I122" s="577">
        <f t="shared" si="53"/>
        <v>6370.4859773740427</v>
      </c>
      <c r="J122" s="514">
        <f t="shared" si="32"/>
        <v>0</v>
      </c>
      <c r="K122" s="514"/>
      <c r="L122" s="525"/>
      <c r="M122" s="514">
        <f t="shared" si="33"/>
        <v>0</v>
      </c>
      <c r="N122" s="525"/>
      <c r="O122" s="514">
        <f t="shared" si="34"/>
        <v>0</v>
      </c>
      <c r="P122" s="514">
        <f t="shared" si="35"/>
        <v>0</v>
      </c>
      <c r="Q122" s="269"/>
      <c r="R122" s="269"/>
      <c r="S122" s="269"/>
      <c r="T122" s="269"/>
      <c r="U122" s="269"/>
      <c r="V122" s="269"/>
      <c r="W122" s="269"/>
    </row>
    <row r="123" spans="2:23">
      <c r="B123" s="195" t="str">
        <f t="shared" si="36"/>
        <v/>
      </c>
      <c r="C123" s="507">
        <f>IF(D93="","-",+C122+1)</f>
        <v>2031</v>
      </c>
      <c r="D123" s="374">
        <f>IF(F122+SUM(E$99:E122)=D$92,F122,D$92-SUM(E$99:E122))</f>
        <v>37569.549490572717</v>
      </c>
      <c r="E123" s="522">
        <f>IF(+J96&lt;F122,J96,D123)</f>
        <v>1992.7073170731708</v>
      </c>
      <c r="F123" s="523">
        <f t="shared" si="50"/>
        <v>35576.84217349955</v>
      </c>
      <c r="G123" s="523">
        <f t="shared" si="51"/>
        <v>36573.19583203613</v>
      </c>
      <c r="H123" s="526">
        <f t="shared" si="52"/>
        <v>6144.2853478910583</v>
      </c>
      <c r="I123" s="577">
        <f t="shared" si="53"/>
        <v>6144.2853478910583</v>
      </c>
      <c r="J123" s="514">
        <f t="shared" si="32"/>
        <v>0</v>
      </c>
      <c r="K123" s="514"/>
      <c r="L123" s="525"/>
      <c r="M123" s="514">
        <f t="shared" si="33"/>
        <v>0</v>
      </c>
      <c r="N123" s="525"/>
      <c r="O123" s="514">
        <f t="shared" si="34"/>
        <v>0</v>
      </c>
      <c r="P123" s="514">
        <f t="shared" si="35"/>
        <v>0</v>
      </c>
      <c r="Q123" s="269"/>
      <c r="R123" s="269"/>
      <c r="S123" s="269"/>
      <c r="T123" s="269"/>
      <c r="U123" s="269"/>
      <c r="V123" s="269"/>
      <c r="W123" s="269"/>
    </row>
    <row r="124" spans="2:23">
      <c r="B124" s="195" t="str">
        <f t="shared" si="36"/>
        <v/>
      </c>
      <c r="C124" s="507">
        <f>IF(D93="","-",+C123+1)</f>
        <v>2032</v>
      </c>
      <c r="D124" s="374">
        <f>IF(F123+SUM(E$99:E123)=D$92,F123,D$92-SUM(E$99:E123))</f>
        <v>35576.84217349955</v>
      </c>
      <c r="E124" s="522">
        <f>IF(+J96&lt;F123,J96,D124)</f>
        <v>1992.7073170731708</v>
      </c>
      <c r="F124" s="523">
        <f t="shared" si="50"/>
        <v>33584.134856426383</v>
      </c>
      <c r="G124" s="523">
        <f t="shared" si="51"/>
        <v>34580.48851496297</v>
      </c>
      <c r="H124" s="526">
        <f t="shared" si="52"/>
        <v>5918.0847184080749</v>
      </c>
      <c r="I124" s="577">
        <f t="shared" si="53"/>
        <v>5918.0847184080749</v>
      </c>
      <c r="J124" s="514">
        <f t="shared" si="32"/>
        <v>0</v>
      </c>
      <c r="K124" s="514"/>
      <c r="L124" s="525"/>
      <c r="M124" s="514">
        <f t="shared" si="33"/>
        <v>0</v>
      </c>
      <c r="N124" s="525"/>
      <c r="O124" s="514">
        <f t="shared" si="34"/>
        <v>0</v>
      </c>
      <c r="P124" s="514">
        <f t="shared" si="35"/>
        <v>0</v>
      </c>
      <c r="Q124" s="269"/>
      <c r="R124" s="269"/>
      <c r="S124" s="269"/>
      <c r="T124" s="269"/>
      <c r="U124" s="269"/>
      <c r="V124" s="269"/>
      <c r="W124" s="269"/>
    </row>
    <row r="125" spans="2:23">
      <c r="B125" s="195" t="str">
        <f t="shared" si="36"/>
        <v/>
      </c>
      <c r="C125" s="507">
        <f>IF(D93="","-",+C124+1)</f>
        <v>2033</v>
      </c>
      <c r="D125" s="374">
        <f>IF(F124+SUM(E$99:E124)=D$92,F124,D$92-SUM(E$99:E124))</f>
        <v>33584.134856426383</v>
      </c>
      <c r="E125" s="522">
        <f>IF(+J96&lt;F124,J96,D125)</f>
        <v>1992.7073170731708</v>
      </c>
      <c r="F125" s="523">
        <f t="shared" si="50"/>
        <v>31591.427539353212</v>
      </c>
      <c r="G125" s="523">
        <f t="shared" si="51"/>
        <v>32587.781197889795</v>
      </c>
      <c r="H125" s="526">
        <f t="shared" si="52"/>
        <v>5691.8840889250905</v>
      </c>
      <c r="I125" s="577">
        <f t="shared" si="53"/>
        <v>5691.8840889250905</v>
      </c>
      <c r="J125" s="514">
        <f t="shared" si="32"/>
        <v>0</v>
      </c>
      <c r="K125" s="514"/>
      <c r="L125" s="525"/>
      <c r="M125" s="514">
        <f t="shared" si="33"/>
        <v>0</v>
      </c>
      <c r="N125" s="525"/>
      <c r="O125" s="514">
        <f t="shared" si="34"/>
        <v>0</v>
      </c>
      <c r="P125" s="514">
        <f t="shared" si="35"/>
        <v>0</v>
      </c>
      <c r="Q125" s="269"/>
      <c r="R125" s="269"/>
      <c r="S125" s="269"/>
      <c r="T125" s="269"/>
      <c r="U125" s="269"/>
      <c r="V125" s="269"/>
      <c r="W125" s="269"/>
    </row>
    <row r="126" spans="2:23">
      <c r="B126" s="195" t="str">
        <f t="shared" si="36"/>
        <v/>
      </c>
      <c r="C126" s="507">
        <f>IF(D93="","-",+C125+1)</f>
        <v>2034</v>
      </c>
      <c r="D126" s="374">
        <f>IF(F125+SUM(E$99:E125)=D$92,F125,D$92-SUM(E$99:E125))</f>
        <v>31591.427539353212</v>
      </c>
      <c r="E126" s="522">
        <f>IF(+J96&lt;F125,J96,D126)</f>
        <v>1992.7073170731708</v>
      </c>
      <c r="F126" s="523">
        <f t="shared" si="50"/>
        <v>29598.720222280041</v>
      </c>
      <c r="G126" s="523">
        <f t="shared" si="51"/>
        <v>30595.073880816628</v>
      </c>
      <c r="H126" s="526">
        <f t="shared" si="52"/>
        <v>5465.6834594421061</v>
      </c>
      <c r="I126" s="577">
        <f t="shared" si="53"/>
        <v>5465.6834594421061</v>
      </c>
      <c r="J126" s="514">
        <f t="shared" si="32"/>
        <v>0</v>
      </c>
      <c r="K126" s="514"/>
      <c r="L126" s="525"/>
      <c r="M126" s="514">
        <f t="shared" si="33"/>
        <v>0</v>
      </c>
      <c r="N126" s="525"/>
      <c r="O126" s="514">
        <f t="shared" si="34"/>
        <v>0</v>
      </c>
      <c r="P126" s="514">
        <f t="shared" si="35"/>
        <v>0</v>
      </c>
      <c r="Q126" s="269"/>
      <c r="R126" s="269"/>
      <c r="S126" s="269"/>
      <c r="T126" s="269"/>
      <c r="U126" s="269"/>
      <c r="V126" s="269"/>
      <c r="W126" s="269"/>
    </row>
    <row r="127" spans="2:23">
      <c r="B127" s="195" t="str">
        <f t="shared" si="36"/>
        <v/>
      </c>
      <c r="C127" s="507">
        <f>IF(D93="","-",+C126+1)</f>
        <v>2035</v>
      </c>
      <c r="D127" s="374">
        <f>IF(F126+SUM(E$99:E126)=D$92,F126,D$92-SUM(E$99:E126))</f>
        <v>29598.720222280041</v>
      </c>
      <c r="E127" s="522">
        <f>IF(+J96&lt;F126,J96,D127)</f>
        <v>1992.7073170731708</v>
      </c>
      <c r="F127" s="523">
        <f t="shared" si="50"/>
        <v>27606.01290520687</v>
      </c>
      <c r="G127" s="523">
        <f t="shared" si="51"/>
        <v>28602.366563743453</v>
      </c>
      <c r="H127" s="526">
        <f t="shared" si="52"/>
        <v>5239.4828299591218</v>
      </c>
      <c r="I127" s="577">
        <f t="shared" si="53"/>
        <v>5239.4828299591218</v>
      </c>
      <c r="J127" s="514">
        <f t="shared" si="32"/>
        <v>0</v>
      </c>
      <c r="K127" s="514"/>
      <c r="L127" s="525"/>
      <c r="M127" s="514">
        <f t="shared" si="33"/>
        <v>0</v>
      </c>
      <c r="N127" s="525"/>
      <c r="O127" s="514">
        <f t="shared" si="34"/>
        <v>0</v>
      </c>
      <c r="P127" s="514">
        <f t="shared" si="35"/>
        <v>0</v>
      </c>
      <c r="Q127" s="269"/>
      <c r="R127" s="269"/>
      <c r="S127" s="269"/>
      <c r="T127" s="269"/>
      <c r="U127" s="269"/>
      <c r="V127" s="269"/>
      <c r="W127" s="269"/>
    </row>
    <row r="128" spans="2:23">
      <c r="B128" s="195" t="str">
        <f t="shared" si="36"/>
        <v/>
      </c>
      <c r="C128" s="507">
        <f>IF(D93="","-",+C127+1)</f>
        <v>2036</v>
      </c>
      <c r="D128" s="374">
        <f>IF(F127+SUM(E$99:E127)=D$92,F127,D$92-SUM(E$99:E127))</f>
        <v>27606.01290520687</v>
      </c>
      <c r="E128" s="522">
        <f>IF(+J96&lt;F127,J96,D128)</f>
        <v>1992.7073170731708</v>
      </c>
      <c r="F128" s="523">
        <f t="shared" si="50"/>
        <v>25613.305588133699</v>
      </c>
      <c r="G128" s="523">
        <f t="shared" si="51"/>
        <v>26609.659246670286</v>
      </c>
      <c r="H128" s="526">
        <f t="shared" si="52"/>
        <v>5013.2822004761374</v>
      </c>
      <c r="I128" s="577">
        <f t="shared" si="53"/>
        <v>5013.2822004761374</v>
      </c>
      <c r="J128" s="514">
        <f t="shared" si="32"/>
        <v>0</v>
      </c>
      <c r="K128" s="514"/>
      <c r="L128" s="525"/>
      <c r="M128" s="514">
        <f t="shared" si="33"/>
        <v>0</v>
      </c>
      <c r="N128" s="525"/>
      <c r="O128" s="514">
        <f t="shared" si="34"/>
        <v>0</v>
      </c>
      <c r="P128" s="514">
        <f t="shared" si="35"/>
        <v>0</v>
      </c>
      <c r="Q128" s="269"/>
      <c r="R128" s="269"/>
      <c r="S128" s="269"/>
      <c r="T128" s="269"/>
      <c r="U128" s="269"/>
      <c r="V128" s="269"/>
      <c r="W128" s="269"/>
    </row>
    <row r="129" spans="2:23">
      <c r="B129" s="195" t="str">
        <f t="shared" si="36"/>
        <v/>
      </c>
      <c r="C129" s="507">
        <f>IF(D93="","-",+C128+1)</f>
        <v>2037</v>
      </c>
      <c r="D129" s="374">
        <f>IF(F128+SUM(E$99:E128)=D$92,F128,D$92-SUM(E$99:E128))</f>
        <v>25613.305588133699</v>
      </c>
      <c r="E129" s="522">
        <f>IF(+J96&lt;F128,J96,D129)</f>
        <v>1992.7073170731708</v>
      </c>
      <c r="F129" s="523">
        <f t="shared" si="50"/>
        <v>23620.598271060528</v>
      </c>
      <c r="G129" s="523">
        <f t="shared" si="51"/>
        <v>24616.951929597111</v>
      </c>
      <c r="H129" s="526">
        <f t="shared" si="52"/>
        <v>4787.081570993153</v>
      </c>
      <c r="I129" s="577">
        <f t="shared" si="53"/>
        <v>4787.081570993153</v>
      </c>
      <c r="J129" s="514">
        <f t="shared" si="32"/>
        <v>0</v>
      </c>
      <c r="K129" s="514"/>
      <c r="L129" s="525"/>
      <c r="M129" s="514">
        <f t="shared" si="33"/>
        <v>0</v>
      </c>
      <c r="N129" s="525"/>
      <c r="O129" s="514">
        <f t="shared" si="34"/>
        <v>0</v>
      </c>
      <c r="P129" s="514">
        <f t="shared" si="35"/>
        <v>0</v>
      </c>
      <c r="Q129" s="269"/>
      <c r="R129" s="269"/>
      <c r="S129" s="269"/>
      <c r="T129" s="269"/>
      <c r="U129" s="269"/>
      <c r="V129" s="269"/>
      <c r="W129" s="269"/>
    </row>
    <row r="130" spans="2:23">
      <c r="B130" s="195" t="str">
        <f t="shared" si="36"/>
        <v/>
      </c>
      <c r="C130" s="507">
        <f>IF(D93="","-",+C129+1)</f>
        <v>2038</v>
      </c>
      <c r="D130" s="374">
        <f>IF(F129+SUM(E$99:E129)=D$92,F129,D$92-SUM(E$99:E129))</f>
        <v>23620.598271060528</v>
      </c>
      <c r="E130" s="522">
        <f>IF(+J96&lt;F129,J96,D130)</f>
        <v>1992.7073170731708</v>
      </c>
      <c r="F130" s="523">
        <f t="shared" si="50"/>
        <v>21627.890953987357</v>
      </c>
      <c r="G130" s="523">
        <f t="shared" si="51"/>
        <v>22624.244612523944</v>
      </c>
      <c r="H130" s="526">
        <f t="shared" si="52"/>
        <v>4560.8809415101687</v>
      </c>
      <c r="I130" s="577">
        <f t="shared" si="53"/>
        <v>4560.8809415101687</v>
      </c>
      <c r="J130" s="514">
        <f t="shared" si="32"/>
        <v>0</v>
      </c>
      <c r="K130" s="514"/>
      <c r="L130" s="525"/>
      <c r="M130" s="514">
        <f t="shared" si="33"/>
        <v>0</v>
      </c>
      <c r="N130" s="525"/>
      <c r="O130" s="514">
        <f t="shared" si="34"/>
        <v>0</v>
      </c>
      <c r="P130" s="514">
        <f t="shared" si="35"/>
        <v>0</v>
      </c>
      <c r="Q130" s="269"/>
      <c r="R130" s="269"/>
      <c r="S130" s="269"/>
      <c r="T130" s="269"/>
      <c r="U130" s="269"/>
      <c r="V130" s="269"/>
      <c r="W130" s="269"/>
    </row>
    <row r="131" spans="2:23">
      <c r="B131" s="195" t="str">
        <f t="shared" si="36"/>
        <v/>
      </c>
      <c r="C131" s="507">
        <f>IF(D93="","-",+C130+1)</f>
        <v>2039</v>
      </c>
      <c r="D131" s="374">
        <f>IF(F130+SUM(E$99:E130)=D$92,F130,D$92-SUM(E$99:E130))</f>
        <v>21627.890953987357</v>
      </c>
      <c r="E131" s="522">
        <f>IF(+J96&lt;F130,J96,D131)</f>
        <v>1992.7073170731708</v>
      </c>
      <c r="F131" s="523">
        <f t="shared" ref="F131:F154" si="54">+D131-E131</f>
        <v>19635.183636914186</v>
      </c>
      <c r="G131" s="523">
        <f t="shared" ref="G131:G154" si="55">+(F131+D131)/2</f>
        <v>20631.537295450769</v>
      </c>
      <c r="H131" s="526">
        <f t="shared" si="52"/>
        <v>4334.6803120271843</v>
      </c>
      <c r="I131" s="577">
        <f t="shared" si="53"/>
        <v>4334.6803120271843</v>
      </c>
      <c r="J131" s="514">
        <f t="shared" ref="J131:J154" si="56">+I131-H131</f>
        <v>0</v>
      </c>
      <c r="K131" s="514"/>
      <c r="L131" s="525"/>
      <c r="M131" s="514">
        <f t="shared" ref="M131:M154" si="57">IF(L131&lt;&gt;0,+H131-L131,0)</f>
        <v>0</v>
      </c>
      <c r="N131" s="525"/>
      <c r="O131" s="514">
        <f t="shared" ref="O131:O154" si="58">IF(N131&lt;&gt;0,+I131-N131,0)</f>
        <v>0</v>
      </c>
      <c r="P131" s="514">
        <f t="shared" ref="P131:P154" si="59">+O131-M131</f>
        <v>0</v>
      </c>
      <c r="Q131" s="269"/>
      <c r="R131" s="269"/>
      <c r="S131" s="269"/>
      <c r="T131" s="269"/>
      <c r="U131" s="269"/>
      <c r="V131" s="269"/>
      <c r="W131" s="269"/>
    </row>
    <row r="132" spans="2:23">
      <c r="B132" s="195" t="str">
        <f t="shared" si="36"/>
        <v/>
      </c>
      <c r="C132" s="507">
        <f>IF(D93="","-",+C131+1)</f>
        <v>2040</v>
      </c>
      <c r="D132" s="374">
        <f>IF(F131+SUM(E$99:E131)=D$92,F131,D$92-SUM(E$99:E131))</f>
        <v>19635.183636914186</v>
      </c>
      <c r="E132" s="522">
        <f>IF(+J96&lt;F131,J96,D132)</f>
        <v>1992.7073170731708</v>
      </c>
      <c r="F132" s="523">
        <f t="shared" si="54"/>
        <v>17642.476319841015</v>
      </c>
      <c r="G132" s="523">
        <f t="shared" si="55"/>
        <v>18638.829978377602</v>
      </c>
      <c r="H132" s="526">
        <f t="shared" si="52"/>
        <v>4108.4796825442008</v>
      </c>
      <c r="I132" s="577">
        <f t="shared" si="53"/>
        <v>4108.4796825442008</v>
      </c>
      <c r="J132" s="514">
        <f t="shared" si="56"/>
        <v>0</v>
      </c>
      <c r="K132" s="514"/>
      <c r="L132" s="525"/>
      <c r="M132" s="514">
        <f t="shared" si="57"/>
        <v>0</v>
      </c>
      <c r="N132" s="525"/>
      <c r="O132" s="514">
        <f t="shared" si="58"/>
        <v>0</v>
      </c>
      <c r="P132" s="514">
        <f t="shared" si="59"/>
        <v>0</v>
      </c>
      <c r="Q132" s="269"/>
      <c r="R132" s="269"/>
      <c r="S132" s="269"/>
      <c r="T132" s="269"/>
      <c r="U132" s="269"/>
      <c r="V132" s="269"/>
      <c r="W132" s="269"/>
    </row>
    <row r="133" spans="2:23">
      <c r="B133" s="195" t="str">
        <f t="shared" si="36"/>
        <v/>
      </c>
      <c r="C133" s="507">
        <f>IF(D93="","-",+C132+1)</f>
        <v>2041</v>
      </c>
      <c r="D133" s="374">
        <f>IF(F132+SUM(E$99:E132)=D$92,F132,D$92-SUM(E$99:E132))</f>
        <v>17642.476319841015</v>
      </c>
      <c r="E133" s="522">
        <f>IF(+J96&lt;F132,J96,D133)</f>
        <v>1992.7073170731708</v>
      </c>
      <c r="F133" s="523">
        <f t="shared" si="54"/>
        <v>15649.769002767844</v>
      </c>
      <c r="G133" s="523">
        <f t="shared" si="55"/>
        <v>16646.122661304427</v>
      </c>
      <c r="H133" s="526">
        <f t="shared" si="52"/>
        <v>3882.2790530612156</v>
      </c>
      <c r="I133" s="577">
        <f t="shared" si="53"/>
        <v>3882.2790530612156</v>
      </c>
      <c r="J133" s="514">
        <f t="shared" si="56"/>
        <v>0</v>
      </c>
      <c r="K133" s="514"/>
      <c r="L133" s="525"/>
      <c r="M133" s="514">
        <f t="shared" si="57"/>
        <v>0</v>
      </c>
      <c r="N133" s="525"/>
      <c r="O133" s="514">
        <f t="shared" si="58"/>
        <v>0</v>
      </c>
      <c r="P133" s="514">
        <f t="shared" si="59"/>
        <v>0</v>
      </c>
      <c r="Q133" s="269"/>
      <c r="R133" s="269"/>
      <c r="S133" s="269"/>
      <c r="T133" s="269"/>
      <c r="U133" s="269"/>
      <c r="V133" s="269"/>
      <c r="W133" s="269"/>
    </row>
    <row r="134" spans="2:23">
      <c r="B134" s="195" t="str">
        <f t="shared" si="36"/>
        <v/>
      </c>
      <c r="C134" s="507">
        <f>IF(D93="","-",+C133+1)</f>
        <v>2042</v>
      </c>
      <c r="D134" s="374">
        <f>IF(F133+SUM(E$99:E133)=D$92,F133,D$92-SUM(E$99:E133))</f>
        <v>15649.769002767844</v>
      </c>
      <c r="E134" s="522">
        <f>IF(+J96&lt;F133,J96,D134)</f>
        <v>1992.7073170731708</v>
      </c>
      <c r="F134" s="523">
        <f t="shared" si="54"/>
        <v>13657.061685694673</v>
      </c>
      <c r="G134" s="523">
        <f t="shared" si="55"/>
        <v>14653.415344231258</v>
      </c>
      <c r="H134" s="526">
        <f t="shared" si="52"/>
        <v>3656.0784235782317</v>
      </c>
      <c r="I134" s="577">
        <f t="shared" si="53"/>
        <v>3656.0784235782317</v>
      </c>
      <c r="J134" s="514">
        <f t="shared" si="56"/>
        <v>0</v>
      </c>
      <c r="K134" s="514"/>
      <c r="L134" s="525"/>
      <c r="M134" s="514">
        <f t="shared" si="57"/>
        <v>0</v>
      </c>
      <c r="N134" s="525"/>
      <c r="O134" s="514">
        <f t="shared" si="58"/>
        <v>0</v>
      </c>
      <c r="P134" s="514">
        <f t="shared" si="59"/>
        <v>0</v>
      </c>
      <c r="Q134" s="269"/>
      <c r="R134" s="269"/>
      <c r="S134" s="269"/>
      <c r="T134" s="269"/>
      <c r="U134" s="269"/>
      <c r="V134" s="269"/>
      <c r="W134" s="269"/>
    </row>
    <row r="135" spans="2:23">
      <c r="B135" s="195" t="str">
        <f t="shared" si="36"/>
        <v/>
      </c>
      <c r="C135" s="507">
        <f>IF(D93="","-",+C134+1)</f>
        <v>2043</v>
      </c>
      <c r="D135" s="374">
        <f>IF(F134+SUM(E$99:E134)=D$92,F134,D$92-SUM(E$99:E134))</f>
        <v>13657.061685694673</v>
      </c>
      <c r="E135" s="522">
        <f>IF(+J96&lt;F134,J96,D135)</f>
        <v>1992.7073170731708</v>
      </c>
      <c r="F135" s="523">
        <f t="shared" si="54"/>
        <v>11664.354368621502</v>
      </c>
      <c r="G135" s="523">
        <f t="shared" si="55"/>
        <v>12660.708027158087</v>
      </c>
      <c r="H135" s="526">
        <f t="shared" si="52"/>
        <v>3429.8777940952473</v>
      </c>
      <c r="I135" s="577">
        <f t="shared" si="53"/>
        <v>3429.8777940952473</v>
      </c>
      <c r="J135" s="514">
        <f t="shared" si="56"/>
        <v>0</v>
      </c>
      <c r="K135" s="514"/>
      <c r="L135" s="525"/>
      <c r="M135" s="514">
        <f t="shared" si="57"/>
        <v>0</v>
      </c>
      <c r="N135" s="525"/>
      <c r="O135" s="514">
        <f t="shared" si="58"/>
        <v>0</v>
      </c>
      <c r="P135" s="514">
        <f t="shared" si="59"/>
        <v>0</v>
      </c>
      <c r="Q135" s="269"/>
      <c r="R135" s="269"/>
      <c r="S135" s="269"/>
      <c r="T135" s="269"/>
      <c r="U135" s="269"/>
      <c r="V135" s="269"/>
      <c r="W135" s="269"/>
    </row>
    <row r="136" spans="2:23">
      <c r="B136" s="195" t="str">
        <f t="shared" si="36"/>
        <v/>
      </c>
      <c r="C136" s="507">
        <f>IF(D93="","-",+C135+1)</f>
        <v>2044</v>
      </c>
      <c r="D136" s="374">
        <f>IF(F135+SUM(E$99:E135)=D$92,F135,D$92-SUM(E$99:E135))</f>
        <v>11664.354368621502</v>
      </c>
      <c r="E136" s="522">
        <f>IF(+J96&lt;F135,J96,D136)</f>
        <v>1992.7073170731708</v>
      </c>
      <c r="F136" s="523">
        <f t="shared" si="54"/>
        <v>9671.6470515483306</v>
      </c>
      <c r="G136" s="523">
        <f t="shared" si="55"/>
        <v>10668.000710084916</v>
      </c>
      <c r="H136" s="526">
        <f t="shared" si="52"/>
        <v>3203.6771646122634</v>
      </c>
      <c r="I136" s="577">
        <f t="shared" si="53"/>
        <v>3203.6771646122634</v>
      </c>
      <c r="J136" s="514">
        <f t="shared" si="56"/>
        <v>0</v>
      </c>
      <c r="K136" s="514"/>
      <c r="L136" s="525"/>
      <c r="M136" s="514">
        <f t="shared" si="57"/>
        <v>0</v>
      </c>
      <c r="N136" s="525"/>
      <c r="O136" s="514">
        <f t="shared" si="58"/>
        <v>0</v>
      </c>
      <c r="P136" s="514">
        <f t="shared" si="59"/>
        <v>0</v>
      </c>
      <c r="Q136" s="269"/>
      <c r="R136" s="269"/>
      <c r="S136" s="269"/>
      <c r="T136" s="269"/>
      <c r="U136" s="269"/>
      <c r="V136" s="269"/>
      <c r="W136" s="269"/>
    </row>
    <row r="137" spans="2:23">
      <c r="B137" s="195" t="str">
        <f t="shared" si="36"/>
        <v/>
      </c>
      <c r="C137" s="507">
        <f>IF(D93="","-",+C136+1)</f>
        <v>2045</v>
      </c>
      <c r="D137" s="374">
        <f>IF(F136+SUM(E$99:E136)=D$92,F136,D$92-SUM(E$99:E136))</f>
        <v>9671.6470515483306</v>
      </c>
      <c r="E137" s="522">
        <f>IF(+J96&lt;F136,J96,D137)</f>
        <v>1992.7073170731708</v>
      </c>
      <c r="F137" s="523">
        <f t="shared" si="54"/>
        <v>7678.9397344751596</v>
      </c>
      <c r="G137" s="523">
        <f t="shared" si="55"/>
        <v>8675.2933930117451</v>
      </c>
      <c r="H137" s="526">
        <f t="shared" si="52"/>
        <v>2977.476535129279</v>
      </c>
      <c r="I137" s="577">
        <f t="shared" si="53"/>
        <v>2977.476535129279</v>
      </c>
      <c r="J137" s="514">
        <f t="shared" si="56"/>
        <v>0</v>
      </c>
      <c r="K137" s="514"/>
      <c r="L137" s="525"/>
      <c r="M137" s="514">
        <f t="shared" si="57"/>
        <v>0</v>
      </c>
      <c r="N137" s="525"/>
      <c r="O137" s="514">
        <f t="shared" si="58"/>
        <v>0</v>
      </c>
      <c r="P137" s="514">
        <f t="shared" si="59"/>
        <v>0</v>
      </c>
      <c r="Q137" s="269"/>
      <c r="R137" s="269"/>
      <c r="S137" s="269"/>
      <c r="T137" s="269"/>
      <c r="U137" s="269"/>
      <c r="V137" s="269"/>
      <c r="W137" s="269"/>
    </row>
    <row r="138" spans="2:23">
      <c r="B138" s="195" t="str">
        <f t="shared" si="36"/>
        <v/>
      </c>
      <c r="C138" s="507">
        <f>IF(D93="","-",+C137+1)</f>
        <v>2046</v>
      </c>
      <c r="D138" s="374">
        <f>IF(F137+SUM(E$99:E137)=D$92,F137,D$92-SUM(E$99:E137))</f>
        <v>7678.9397344751596</v>
      </c>
      <c r="E138" s="522">
        <f>IF(+J96&lt;F137,J96,D138)</f>
        <v>1992.7073170731708</v>
      </c>
      <c r="F138" s="523">
        <f t="shared" si="54"/>
        <v>5686.2324174019886</v>
      </c>
      <c r="G138" s="523">
        <f t="shared" si="55"/>
        <v>6682.5860759385741</v>
      </c>
      <c r="H138" s="526">
        <f t="shared" si="52"/>
        <v>2751.2759056462946</v>
      </c>
      <c r="I138" s="577">
        <f t="shared" si="53"/>
        <v>2751.2759056462946</v>
      </c>
      <c r="J138" s="514">
        <f t="shared" si="56"/>
        <v>0</v>
      </c>
      <c r="K138" s="514"/>
      <c r="L138" s="525"/>
      <c r="M138" s="514">
        <f t="shared" si="57"/>
        <v>0</v>
      </c>
      <c r="N138" s="525"/>
      <c r="O138" s="514">
        <f t="shared" si="58"/>
        <v>0</v>
      </c>
      <c r="P138" s="514">
        <f t="shared" si="59"/>
        <v>0</v>
      </c>
      <c r="Q138" s="269"/>
      <c r="R138" s="269"/>
      <c r="S138" s="269"/>
      <c r="T138" s="269"/>
      <c r="U138" s="269"/>
      <c r="V138" s="269"/>
      <c r="W138" s="269"/>
    </row>
    <row r="139" spans="2:23">
      <c r="B139" s="195" t="str">
        <f t="shared" si="36"/>
        <v/>
      </c>
      <c r="C139" s="507">
        <f>IF(D93="","-",+C138+1)</f>
        <v>2047</v>
      </c>
      <c r="D139" s="374">
        <f>IF(F138+SUM(E$99:E138)=D$92,F138,D$92-SUM(E$99:E138))</f>
        <v>5686.2324174019886</v>
      </c>
      <c r="E139" s="522">
        <f>IF(+J96&lt;F138,J96,D139)</f>
        <v>1992.7073170731708</v>
      </c>
      <c r="F139" s="523">
        <f t="shared" si="54"/>
        <v>3693.5251003288176</v>
      </c>
      <c r="G139" s="523">
        <f t="shared" si="55"/>
        <v>4689.8787588654031</v>
      </c>
      <c r="H139" s="526">
        <f t="shared" si="52"/>
        <v>2525.0752761633103</v>
      </c>
      <c r="I139" s="577">
        <f t="shared" si="53"/>
        <v>2525.0752761633103</v>
      </c>
      <c r="J139" s="514">
        <f t="shared" si="56"/>
        <v>0</v>
      </c>
      <c r="K139" s="514"/>
      <c r="L139" s="525"/>
      <c r="M139" s="514">
        <f t="shared" si="57"/>
        <v>0</v>
      </c>
      <c r="N139" s="525"/>
      <c r="O139" s="514">
        <f t="shared" si="58"/>
        <v>0</v>
      </c>
      <c r="P139" s="514">
        <f t="shared" si="59"/>
        <v>0</v>
      </c>
      <c r="Q139" s="269"/>
      <c r="R139" s="269"/>
      <c r="S139" s="269"/>
      <c r="T139" s="269"/>
      <c r="U139" s="269"/>
      <c r="V139" s="269"/>
      <c r="W139" s="269"/>
    </row>
    <row r="140" spans="2:23">
      <c r="B140" s="195" t="str">
        <f t="shared" si="36"/>
        <v/>
      </c>
      <c r="C140" s="507">
        <f>IF(D93="","-",+C139+1)</f>
        <v>2048</v>
      </c>
      <c r="D140" s="374">
        <f>IF(F139+SUM(E$99:E139)=D$92,F139,D$92-SUM(E$99:E139))</f>
        <v>3693.5251003288176</v>
      </c>
      <c r="E140" s="522">
        <f>IF(+J96&lt;F139,J96,D140)</f>
        <v>1992.7073170731708</v>
      </c>
      <c r="F140" s="523">
        <f t="shared" si="54"/>
        <v>1700.8177832556469</v>
      </c>
      <c r="G140" s="523">
        <f t="shared" si="55"/>
        <v>2697.1714417922321</v>
      </c>
      <c r="H140" s="526">
        <f t="shared" si="52"/>
        <v>2298.8746466803259</v>
      </c>
      <c r="I140" s="577">
        <f t="shared" si="53"/>
        <v>2298.8746466803259</v>
      </c>
      <c r="J140" s="514">
        <f t="shared" si="56"/>
        <v>0</v>
      </c>
      <c r="K140" s="514"/>
      <c r="L140" s="525"/>
      <c r="M140" s="514">
        <f t="shared" si="57"/>
        <v>0</v>
      </c>
      <c r="N140" s="525"/>
      <c r="O140" s="514">
        <f t="shared" si="58"/>
        <v>0</v>
      </c>
      <c r="P140" s="514">
        <f t="shared" si="59"/>
        <v>0</v>
      </c>
      <c r="Q140" s="269"/>
      <c r="R140" s="269"/>
      <c r="S140" s="269"/>
      <c r="T140" s="269"/>
      <c r="U140" s="269"/>
      <c r="V140" s="269"/>
      <c r="W140" s="269"/>
    </row>
    <row r="141" spans="2:23">
      <c r="B141" s="582" t="str">
        <f t="shared" si="36"/>
        <v/>
      </c>
      <c r="C141" s="507">
        <f>IF(D93="","-",+C140+1)</f>
        <v>2049</v>
      </c>
      <c r="D141" s="374">
        <f>IF(F140+SUM(E$99:E140)=D$92,F140,D$92-SUM(E$99:E140))</f>
        <v>1700.8177832556469</v>
      </c>
      <c r="E141" s="522">
        <f>IF(+J96&lt;F140,J96,D141)</f>
        <v>1700.8177832556469</v>
      </c>
      <c r="F141" s="523">
        <f t="shared" si="54"/>
        <v>0</v>
      </c>
      <c r="G141" s="523">
        <f t="shared" si="55"/>
        <v>850.40889162782344</v>
      </c>
      <c r="H141" s="526">
        <f t="shared" si="52"/>
        <v>1797.3512906884785</v>
      </c>
      <c r="I141" s="577">
        <f t="shared" si="53"/>
        <v>1797.3512906884785</v>
      </c>
      <c r="J141" s="514">
        <f t="shared" si="56"/>
        <v>0</v>
      </c>
      <c r="K141" s="514"/>
      <c r="L141" s="525"/>
      <c r="M141" s="514">
        <f t="shared" si="57"/>
        <v>0</v>
      </c>
      <c r="N141" s="525"/>
      <c r="O141" s="514">
        <f t="shared" si="58"/>
        <v>0</v>
      </c>
      <c r="P141" s="514">
        <f t="shared" si="59"/>
        <v>0</v>
      </c>
      <c r="Q141" s="269"/>
      <c r="R141" s="269"/>
      <c r="S141" s="269"/>
      <c r="T141" s="269"/>
      <c r="U141" s="269"/>
      <c r="V141" s="269"/>
      <c r="W141" s="269"/>
    </row>
    <row r="142" spans="2:23">
      <c r="B142" s="195" t="str">
        <f t="shared" si="36"/>
        <v/>
      </c>
      <c r="C142" s="507">
        <f>IF(D93="","-",+C141+1)</f>
        <v>2050</v>
      </c>
      <c r="D142" s="374">
        <f>IF(F141+SUM(E$99:E141)=D$92,F141,D$92-SUM(E$99:E141))</f>
        <v>0</v>
      </c>
      <c r="E142" s="522">
        <f>IF(+J96&lt;F141,J96,D142)</f>
        <v>0</v>
      </c>
      <c r="F142" s="523">
        <f t="shared" si="54"/>
        <v>0</v>
      </c>
      <c r="G142" s="523">
        <f t="shared" si="55"/>
        <v>0</v>
      </c>
      <c r="H142" s="526">
        <f t="shared" si="52"/>
        <v>0</v>
      </c>
      <c r="I142" s="577">
        <f t="shared" si="53"/>
        <v>0</v>
      </c>
      <c r="J142" s="514">
        <f t="shared" si="56"/>
        <v>0</v>
      </c>
      <c r="K142" s="514"/>
      <c r="L142" s="525"/>
      <c r="M142" s="514">
        <f t="shared" si="57"/>
        <v>0</v>
      </c>
      <c r="N142" s="525"/>
      <c r="O142" s="514">
        <f t="shared" si="58"/>
        <v>0</v>
      </c>
      <c r="P142" s="514">
        <f t="shared" si="59"/>
        <v>0</v>
      </c>
      <c r="Q142" s="269"/>
      <c r="R142" s="269"/>
      <c r="S142" s="269"/>
      <c r="T142" s="269"/>
      <c r="U142" s="269"/>
      <c r="V142" s="269"/>
      <c r="W142" s="269"/>
    </row>
    <row r="143" spans="2:23">
      <c r="B143" s="195" t="str">
        <f t="shared" si="36"/>
        <v/>
      </c>
      <c r="C143" s="507">
        <f>IF(D93="","-",+C142+1)</f>
        <v>2051</v>
      </c>
      <c r="D143" s="374">
        <f>IF(F142+SUM(E$99:E142)=D$92,F142,D$92-SUM(E$99:E142))</f>
        <v>0</v>
      </c>
      <c r="E143" s="522">
        <f>IF(+J96&lt;F142,J96,D143)</f>
        <v>0</v>
      </c>
      <c r="F143" s="523">
        <f t="shared" si="54"/>
        <v>0</v>
      </c>
      <c r="G143" s="523">
        <f t="shared" si="55"/>
        <v>0</v>
      </c>
      <c r="H143" s="526">
        <f t="shared" si="52"/>
        <v>0</v>
      </c>
      <c r="I143" s="577">
        <f t="shared" si="53"/>
        <v>0</v>
      </c>
      <c r="J143" s="514">
        <f t="shared" si="56"/>
        <v>0</v>
      </c>
      <c r="K143" s="514"/>
      <c r="L143" s="525"/>
      <c r="M143" s="514">
        <f t="shared" si="57"/>
        <v>0</v>
      </c>
      <c r="N143" s="525"/>
      <c r="O143" s="514">
        <f t="shared" si="58"/>
        <v>0</v>
      </c>
      <c r="P143" s="514">
        <f t="shared" si="59"/>
        <v>0</v>
      </c>
      <c r="Q143" s="269"/>
      <c r="R143" s="269"/>
      <c r="S143" s="269"/>
      <c r="T143" s="269"/>
      <c r="U143" s="269"/>
      <c r="V143" s="269"/>
      <c r="W143" s="269"/>
    </row>
    <row r="144" spans="2:23">
      <c r="B144" s="195" t="str">
        <f t="shared" si="36"/>
        <v/>
      </c>
      <c r="C144" s="507">
        <f>IF(D93="","-",+C143+1)</f>
        <v>2052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54"/>
        <v>0</v>
      </c>
      <c r="G144" s="523">
        <f t="shared" si="55"/>
        <v>0</v>
      </c>
      <c r="H144" s="526">
        <f t="shared" si="52"/>
        <v>0</v>
      </c>
      <c r="I144" s="577">
        <f t="shared" si="53"/>
        <v>0</v>
      </c>
      <c r="J144" s="514">
        <f t="shared" si="56"/>
        <v>0</v>
      </c>
      <c r="K144" s="514"/>
      <c r="L144" s="525"/>
      <c r="M144" s="514">
        <f t="shared" si="57"/>
        <v>0</v>
      </c>
      <c r="N144" s="525"/>
      <c r="O144" s="514">
        <f t="shared" si="58"/>
        <v>0</v>
      </c>
      <c r="P144" s="514">
        <f t="shared" si="59"/>
        <v>0</v>
      </c>
      <c r="Q144" s="269"/>
      <c r="R144" s="269"/>
      <c r="S144" s="269"/>
      <c r="T144" s="269"/>
      <c r="U144" s="269"/>
      <c r="V144" s="269"/>
      <c r="W144" s="269"/>
    </row>
    <row r="145" spans="2:23">
      <c r="B145" s="195" t="str">
        <f t="shared" si="36"/>
        <v/>
      </c>
      <c r="C145" s="507">
        <f>IF(D93="","-",+C144+1)</f>
        <v>2053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54"/>
        <v>0</v>
      </c>
      <c r="G145" s="523">
        <f t="shared" si="55"/>
        <v>0</v>
      </c>
      <c r="H145" s="526">
        <f t="shared" si="52"/>
        <v>0</v>
      </c>
      <c r="I145" s="577">
        <f t="shared" si="53"/>
        <v>0</v>
      </c>
      <c r="J145" s="514">
        <f t="shared" si="56"/>
        <v>0</v>
      </c>
      <c r="K145" s="514"/>
      <c r="L145" s="525"/>
      <c r="M145" s="514">
        <f t="shared" si="57"/>
        <v>0</v>
      </c>
      <c r="N145" s="525"/>
      <c r="O145" s="514">
        <f t="shared" si="58"/>
        <v>0</v>
      </c>
      <c r="P145" s="514">
        <f t="shared" si="59"/>
        <v>0</v>
      </c>
      <c r="Q145" s="269"/>
      <c r="R145" s="269"/>
      <c r="S145" s="269"/>
      <c r="T145" s="269"/>
      <c r="U145" s="269"/>
      <c r="V145" s="269"/>
      <c r="W145" s="269"/>
    </row>
    <row r="146" spans="2:23">
      <c r="B146" s="195" t="str">
        <f t="shared" si="36"/>
        <v/>
      </c>
      <c r="C146" s="507">
        <f>IF(D93="","-",+C145+1)</f>
        <v>2054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54"/>
        <v>0</v>
      </c>
      <c r="G146" s="523">
        <f t="shared" si="55"/>
        <v>0</v>
      </c>
      <c r="H146" s="526">
        <f t="shared" si="52"/>
        <v>0</v>
      </c>
      <c r="I146" s="577">
        <f t="shared" si="53"/>
        <v>0</v>
      </c>
      <c r="J146" s="514">
        <f t="shared" si="56"/>
        <v>0</v>
      </c>
      <c r="K146" s="514"/>
      <c r="L146" s="525"/>
      <c r="M146" s="514">
        <f t="shared" si="57"/>
        <v>0</v>
      </c>
      <c r="N146" s="525"/>
      <c r="O146" s="514">
        <f t="shared" si="58"/>
        <v>0</v>
      </c>
      <c r="P146" s="514">
        <f t="shared" si="59"/>
        <v>0</v>
      </c>
      <c r="Q146" s="269"/>
      <c r="R146" s="269"/>
      <c r="S146" s="269"/>
      <c r="T146" s="269"/>
      <c r="U146" s="269"/>
      <c r="V146" s="269"/>
      <c r="W146" s="269"/>
    </row>
    <row r="147" spans="2:23">
      <c r="B147" s="195" t="str">
        <f t="shared" si="36"/>
        <v/>
      </c>
      <c r="C147" s="507">
        <f>IF(D93="","-",+C146+1)</f>
        <v>2055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54"/>
        <v>0</v>
      </c>
      <c r="G147" s="523">
        <f t="shared" si="55"/>
        <v>0</v>
      </c>
      <c r="H147" s="526">
        <f t="shared" si="52"/>
        <v>0</v>
      </c>
      <c r="I147" s="577">
        <f t="shared" si="53"/>
        <v>0</v>
      </c>
      <c r="J147" s="514">
        <f t="shared" si="56"/>
        <v>0</v>
      </c>
      <c r="K147" s="514"/>
      <c r="L147" s="525"/>
      <c r="M147" s="514">
        <f t="shared" si="57"/>
        <v>0</v>
      </c>
      <c r="N147" s="525"/>
      <c r="O147" s="514">
        <f t="shared" si="58"/>
        <v>0</v>
      </c>
      <c r="P147" s="514">
        <f t="shared" si="59"/>
        <v>0</v>
      </c>
      <c r="Q147" s="269"/>
      <c r="R147" s="269"/>
      <c r="S147" s="269"/>
      <c r="T147" s="269"/>
      <c r="U147" s="269"/>
      <c r="V147" s="269"/>
      <c r="W147" s="269"/>
    </row>
    <row r="148" spans="2:23">
      <c r="B148" s="195" t="str">
        <f t="shared" si="36"/>
        <v/>
      </c>
      <c r="C148" s="507">
        <f>IF(D93="","-",+C147+1)</f>
        <v>2056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54"/>
        <v>0</v>
      </c>
      <c r="G148" s="523">
        <f t="shared" si="55"/>
        <v>0</v>
      </c>
      <c r="H148" s="526">
        <f t="shared" si="52"/>
        <v>0</v>
      </c>
      <c r="I148" s="577">
        <f t="shared" si="53"/>
        <v>0</v>
      </c>
      <c r="J148" s="514">
        <f t="shared" si="56"/>
        <v>0</v>
      </c>
      <c r="K148" s="514"/>
      <c r="L148" s="525"/>
      <c r="M148" s="514">
        <f t="shared" si="57"/>
        <v>0</v>
      </c>
      <c r="N148" s="525"/>
      <c r="O148" s="514">
        <f t="shared" si="58"/>
        <v>0</v>
      </c>
      <c r="P148" s="514">
        <f t="shared" si="59"/>
        <v>0</v>
      </c>
      <c r="Q148" s="269"/>
      <c r="R148" s="269"/>
      <c r="S148" s="269"/>
      <c r="T148" s="269"/>
      <c r="U148" s="269"/>
      <c r="V148" s="269"/>
      <c r="W148" s="269"/>
    </row>
    <row r="149" spans="2:23">
      <c r="B149" s="195" t="str">
        <f t="shared" si="36"/>
        <v/>
      </c>
      <c r="C149" s="507">
        <f>IF(D93="","-",+C148+1)</f>
        <v>2057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54"/>
        <v>0</v>
      </c>
      <c r="G149" s="523">
        <f t="shared" si="55"/>
        <v>0</v>
      </c>
      <c r="H149" s="526">
        <f t="shared" si="52"/>
        <v>0</v>
      </c>
      <c r="I149" s="577">
        <f t="shared" si="53"/>
        <v>0</v>
      </c>
      <c r="J149" s="514">
        <f t="shared" si="56"/>
        <v>0</v>
      </c>
      <c r="K149" s="514"/>
      <c r="L149" s="525"/>
      <c r="M149" s="514">
        <f t="shared" si="57"/>
        <v>0</v>
      </c>
      <c r="N149" s="525"/>
      <c r="O149" s="514">
        <f t="shared" si="58"/>
        <v>0</v>
      </c>
      <c r="P149" s="514">
        <f t="shared" si="59"/>
        <v>0</v>
      </c>
      <c r="Q149" s="269"/>
      <c r="R149" s="269"/>
      <c r="S149" s="269"/>
      <c r="T149" s="269"/>
      <c r="U149" s="269"/>
      <c r="V149" s="269"/>
      <c r="W149" s="269"/>
    </row>
    <row r="150" spans="2:23">
      <c r="B150" s="195" t="str">
        <f t="shared" si="36"/>
        <v/>
      </c>
      <c r="C150" s="507">
        <f>IF(D93="","-",+C149+1)</f>
        <v>2058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54"/>
        <v>0</v>
      </c>
      <c r="G150" s="523">
        <f t="shared" si="55"/>
        <v>0</v>
      </c>
      <c r="H150" s="526">
        <f t="shared" si="52"/>
        <v>0</v>
      </c>
      <c r="I150" s="577">
        <f t="shared" si="53"/>
        <v>0</v>
      </c>
      <c r="J150" s="514">
        <f t="shared" si="56"/>
        <v>0</v>
      </c>
      <c r="K150" s="514"/>
      <c r="L150" s="525"/>
      <c r="M150" s="514">
        <f t="shared" si="57"/>
        <v>0</v>
      </c>
      <c r="N150" s="525"/>
      <c r="O150" s="514">
        <f t="shared" si="58"/>
        <v>0</v>
      </c>
      <c r="P150" s="514">
        <f t="shared" si="59"/>
        <v>0</v>
      </c>
      <c r="Q150" s="269"/>
      <c r="R150" s="269"/>
      <c r="S150" s="269"/>
      <c r="T150" s="269"/>
      <c r="U150" s="269"/>
      <c r="V150" s="269"/>
      <c r="W150" s="269"/>
    </row>
    <row r="151" spans="2:23">
      <c r="B151" s="195" t="str">
        <f t="shared" si="36"/>
        <v/>
      </c>
      <c r="C151" s="507">
        <f>IF(D93="","-",+C150+1)</f>
        <v>2059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54"/>
        <v>0</v>
      </c>
      <c r="G151" s="523">
        <f t="shared" si="55"/>
        <v>0</v>
      </c>
      <c r="H151" s="526">
        <f t="shared" si="52"/>
        <v>0</v>
      </c>
      <c r="I151" s="577">
        <f t="shared" si="53"/>
        <v>0</v>
      </c>
      <c r="J151" s="514">
        <f t="shared" si="56"/>
        <v>0</v>
      </c>
      <c r="K151" s="514"/>
      <c r="L151" s="525"/>
      <c r="M151" s="514">
        <f t="shared" si="57"/>
        <v>0</v>
      </c>
      <c r="N151" s="525"/>
      <c r="O151" s="514">
        <f t="shared" si="58"/>
        <v>0</v>
      </c>
      <c r="P151" s="514">
        <f t="shared" si="59"/>
        <v>0</v>
      </c>
      <c r="Q151" s="269"/>
      <c r="R151" s="269"/>
      <c r="S151" s="269"/>
      <c r="T151" s="269"/>
      <c r="U151" s="269"/>
      <c r="V151" s="269"/>
      <c r="W151" s="269"/>
    </row>
    <row r="152" spans="2:23">
      <c r="B152" s="195" t="str">
        <f t="shared" si="36"/>
        <v/>
      </c>
      <c r="C152" s="507">
        <f>IF(D93="","-",+C151+1)</f>
        <v>2060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54"/>
        <v>0</v>
      </c>
      <c r="G152" s="523">
        <f t="shared" si="55"/>
        <v>0</v>
      </c>
      <c r="H152" s="526">
        <f t="shared" si="52"/>
        <v>0</v>
      </c>
      <c r="I152" s="577">
        <f t="shared" si="53"/>
        <v>0</v>
      </c>
      <c r="J152" s="514">
        <f t="shared" si="56"/>
        <v>0</v>
      </c>
      <c r="K152" s="514"/>
      <c r="L152" s="525"/>
      <c r="M152" s="514">
        <f t="shared" si="57"/>
        <v>0</v>
      </c>
      <c r="N152" s="525"/>
      <c r="O152" s="514">
        <f t="shared" si="58"/>
        <v>0</v>
      </c>
      <c r="P152" s="514">
        <f t="shared" si="59"/>
        <v>0</v>
      </c>
      <c r="Q152" s="269"/>
      <c r="R152" s="269"/>
      <c r="S152" s="269"/>
      <c r="T152" s="269"/>
      <c r="U152" s="269"/>
      <c r="V152" s="269"/>
      <c r="W152" s="269"/>
    </row>
    <row r="153" spans="2:23">
      <c r="B153" s="195" t="str">
        <f t="shared" si="36"/>
        <v/>
      </c>
      <c r="C153" s="507">
        <f>IF(D93="","-",+C152+1)</f>
        <v>2061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54"/>
        <v>0</v>
      </c>
      <c r="G153" s="523">
        <f t="shared" si="55"/>
        <v>0</v>
      </c>
      <c r="H153" s="526">
        <f t="shared" si="52"/>
        <v>0</v>
      </c>
      <c r="I153" s="577">
        <f t="shared" si="53"/>
        <v>0</v>
      </c>
      <c r="J153" s="514">
        <f t="shared" si="56"/>
        <v>0</v>
      </c>
      <c r="K153" s="514"/>
      <c r="L153" s="525"/>
      <c r="M153" s="514">
        <f t="shared" si="57"/>
        <v>0</v>
      </c>
      <c r="N153" s="525"/>
      <c r="O153" s="514">
        <f t="shared" si="58"/>
        <v>0</v>
      </c>
      <c r="P153" s="514">
        <f t="shared" si="59"/>
        <v>0</v>
      </c>
      <c r="Q153" s="269"/>
      <c r="R153" s="269"/>
      <c r="S153" s="269"/>
      <c r="T153" s="269"/>
      <c r="U153" s="269"/>
      <c r="V153" s="269"/>
      <c r="W153" s="269"/>
    </row>
    <row r="154" spans="2:23" ht="13.5" thickBot="1">
      <c r="B154" s="195" t="str">
        <f t="shared" si="36"/>
        <v/>
      </c>
      <c r="C154" s="527">
        <f>IF(D93="","-",+C153+1)</f>
        <v>2062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54"/>
        <v>0</v>
      </c>
      <c r="G154" s="528">
        <f t="shared" si="55"/>
        <v>0</v>
      </c>
      <c r="H154" s="530">
        <f t="shared" si="52"/>
        <v>0</v>
      </c>
      <c r="I154" s="579">
        <f t="shared" si="53"/>
        <v>0</v>
      </c>
      <c r="J154" s="533">
        <f t="shared" si="56"/>
        <v>0</v>
      </c>
      <c r="K154" s="514"/>
      <c r="L154" s="532"/>
      <c r="M154" s="533">
        <f t="shared" si="57"/>
        <v>0</v>
      </c>
      <c r="N154" s="532"/>
      <c r="O154" s="533">
        <f t="shared" si="58"/>
        <v>0</v>
      </c>
      <c r="P154" s="533">
        <f t="shared" si="59"/>
        <v>0</v>
      </c>
      <c r="Q154" s="269"/>
      <c r="R154" s="269"/>
      <c r="S154" s="269"/>
      <c r="T154" s="269"/>
      <c r="U154" s="269"/>
      <c r="V154" s="269"/>
      <c r="W154" s="269"/>
    </row>
    <row r="155" spans="2:23">
      <c r="C155" s="374" t="s">
        <v>78</v>
      </c>
      <c r="D155" s="375"/>
      <c r="E155" s="375">
        <f>SUM(E99:E154)</f>
        <v>81700.999999999985</v>
      </c>
      <c r="F155" s="375"/>
      <c r="G155" s="375"/>
      <c r="H155" s="375">
        <f>SUM(H99:H154)</f>
        <v>295346.00193814479</v>
      </c>
      <c r="I155" s="375">
        <f>SUM(I99:I154)</f>
        <v>295346.00193814479</v>
      </c>
      <c r="J155" s="375">
        <f>SUM(J99:J154)</f>
        <v>0</v>
      </c>
      <c r="K155" s="375"/>
      <c r="L155" s="375"/>
      <c r="M155" s="375"/>
      <c r="N155" s="375"/>
      <c r="O155" s="375"/>
      <c r="P155" s="269"/>
      <c r="Q155" s="269"/>
      <c r="R155" s="269"/>
      <c r="S155" s="269"/>
      <c r="T155" s="269"/>
      <c r="U155" s="269"/>
      <c r="V155" s="269"/>
      <c r="W155" s="269"/>
    </row>
    <row r="156" spans="2:23"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  <c r="Q156" s="269"/>
      <c r="R156" s="269"/>
      <c r="S156" s="269"/>
      <c r="T156" s="269"/>
      <c r="U156" s="269"/>
      <c r="V156" s="269"/>
      <c r="W156" s="269"/>
    </row>
    <row r="157" spans="2:23">
      <c r="C157" s="580" t="s">
        <v>92</v>
      </c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  <c r="Q157" s="269"/>
      <c r="R157" s="269"/>
      <c r="S157" s="269"/>
      <c r="T157" s="269"/>
      <c r="U157" s="269"/>
      <c r="V157" s="269"/>
      <c r="W157" s="269"/>
    </row>
    <row r="158" spans="2:23"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  <c r="Q158" s="269"/>
      <c r="R158" s="269"/>
      <c r="S158" s="269"/>
      <c r="T158" s="269"/>
      <c r="U158" s="269"/>
      <c r="V158" s="269"/>
      <c r="W158" s="269"/>
    </row>
    <row r="159" spans="2:23">
      <c r="C159" s="534" t="s">
        <v>97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  <c r="Q159" s="269"/>
      <c r="R159" s="269"/>
      <c r="S159" s="269"/>
      <c r="T159" s="269"/>
      <c r="U159" s="269"/>
      <c r="V159" s="269"/>
      <c r="W159" s="269"/>
    </row>
    <row r="160" spans="2:23">
      <c r="C160" s="581" t="s">
        <v>79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  <c r="Q160" s="269"/>
      <c r="R160" s="269"/>
      <c r="S160" s="269"/>
      <c r="T160" s="269"/>
      <c r="U160" s="269"/>
      <c r="V160" s="269"/>
      <c r="W160" s="269"/>
    </row>
    <row r="161" spans="3:23">
      <c r="C161" s="581" t="s">
        <v>80</v>
      </c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  <c r="Q161" s="269"/>
      <c r="R161" s="269"/>
      <c r="S161" s="269"/>
      <c r="T161" s="269"/>
      <c r="U161" s="269"/>
      <c r="V161" s="269"/>
      <c r="W161" s="269"/>
    </row>
    <row r="162" spans="3:23" ht="18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454" t="s">
        <v>131</v>
      </c>
      <c r="Q162" s="269"/>
      <c r="R162" s="269"/>
      <c r="S162" s="269"/>
      <c r="T162" s="269"/>
      <c r="U162" s="269"/>
      <c r="V162" s="269"/>
      <c r="W162" s="269"/>
    </row>
  </sheetData>
  <phoneticPr fontId="0" type="noConversion"/>
  <conditionalFormatting sqref="C17:C72">
    <cfRule type="cellIs" dxfId="135" priority="1" stopIfTrue="1" operator="equal">
      <formula>$I$10</formula>
    </cfRule>
  </conditionalFormatting>
  <conditionalFormatting sqref="C99:C154">
    <cfRule type="cellIs" dxfId="134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  <legacyDrawing r:id="rId3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64"/>
  <dimension ref="A1:Q162"/>
  <sheetViews>
    <sheetView topLeftCell="A89" zoomScaleNormal="100" zoomScaleSheetLayoutView="75" workbookViewId="0">
      <selection activeCell="D99" sqref="D99:I114"/>
    </sheetView>
  </sheetViews>
  <sheetFormatPr defaultColWidth="8.7109375" defaultRowHeight="12.75" customHeight="1"/>
  <cols>
    <col min="1" max="1" width="4.7109375" style="183" customWidth="1"/>
    <col min="2" max="2" width="6.7109375" style="183" customWidth="1"/>
    <col min="3" max="3" width="23.28515625" style="183" customWidth="1"/>
    <col min="4" max="8" width="17.7109375" style="183" customWidth="1"/>
    <col min="9" max="9" width="20.42578125" style="183" customWidth="1"/>
    <col min="10" max="10" width="16.42578125" style="183" customWidth="1"/>
    <col min="11" max="11" width="17.7109375" style="183" customWidth="1"/>
    <col min="12" max="12" width="16.140625" style="183" customWidth="1"/>
    <col min="13" max="13" width="17.7109375" style="183" customWidth="1"/>
    <col min="14" max="14" width="16.140625" style="183" customWidth="1"/>
    <col min="15" max="15" width="16.85546875" style="183" customWidth="1"/>
    <col min="16" max="16" width="24.42578125" style="183" customWidth="1"/>
    <col min="17" max="17" width="4.7109375" style="183" customWidth="1"/>
    <col min="18" max="22" width="8.7109375" style="183"/>
    <col min="23" max="23" width="9.140625" style="183" customWidth="1"/>
    <col min="24" max="16384" width="8.7109375" style="183"/>
  </cols>
  <sheetData>
    <row r="1" spans="1:17" ht="20.25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15 of 75</v>
      </c>
      <c r="Q1" s="453"/>
    </row>
    <row r="2" spans="1:17" ht="18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454" t="s">
        <v>129</v>
      </c>
    </row>
    <row r="3" spans="1:17" ht="18.75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 t="str">
        <f>RIGHT(N3,3)</f>
        <v/>
      </c>
      <c r="P3" s="455">
        <v>1</v>
      </c>
    </row>
    <row r="4" spans="1:17" ht="15.75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7" ht="1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34602.180554888044</v>
      </c>
      <c r="P5" s="269"/>
    </row>
    <row r="6" spans="1:17" ht="15.7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34602.180554888044</v>
      </c>
      <c r="O6" s="269"/>
      <c r="P6" s="269"/>
    </row>
    <row r="7" spans="1:17" ht="13.5" thickBot="1">
      <c r="C7" s="467" t="s">
        <v>48</v>
      </c>
      <c r="D7" s="468" t="s">
        <v>244</v>
      </c>
      <c r="E7" s="269"/>
      <c r="F7" s="269"/>
      <c r="G7" s="269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7" ht="13.5" thickBot="1">
      <c r="C8" s="472"/>
      <c r="D8" s="473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7" ht="13.5" thickBot="1">
      <c r="A9" s="191"/>
      <c r="C9" s="476" t="s">
        <v>50</v>
      </c>
      <c r="D9" s="477" t="s">
        <v>153</v>
      </c>
      <c r="E9" s="666" t="s">
        <v>483</v>
      </c>
      <c r="F9" s="478"/>
      <c r="G9" s="478"/>
      <c r="H9" s="478"/>
      <c r="I9" s="479"/>
      <c r="J9" s="480"/>
      <c r="O9" s="481"/>
      <c r="P9" s="272"/>
    </row>
    <row r="10" spans="1:17">
      <c r="C10" s="482" t="s">
        <v>51</v>
      </c>
      <c r="D10" s="483">
        <v>372149</v>
      </c>
      <c r="E10" s="353" t="s">
        <v>52</v>
      </c>
      <c r="F10" s="481"/>
      <c r="G10" s="484"/>
      <c r="H10" s="484"/>
      <c r="I10" s="485">
        <f>+'SWE.WS.F.BPU.ATRR.Projected'!L19</f>
        <v>2024</v>
      </c>
      <c r="J10" s="480"/>
      <c r="K10" s="375" t="s">
        <v>53</v>
      </c>
      <c r="O10" s="272"/>
      <c r="P10" s="272"/>
    </row>
    <row r="11" spans="1:17">
      <c r="C11" s="486" t="s">
        <v>54</v>
      </c>
      <c r="D11" s="487">
        <v>2007</v>
      </c>
      <c r="E11" s="486" t="s">
        <v>55</v>
      </c>
      <c r="F11" s="484"/>
      <c r="G11" s="233"/>
      <c r="H11" s="233"/>
      <c r="I11" s="488"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7">
      <c r="C12" s="486" t="s">
        <v>56</v>
      </c>
      <c r="D12" s="483">
        <v>7</v>
      </c>
      <c r="E12" s="486" t="s">
        <v>57</v>
      </c>
      <c r="F12" s="484"/>
      <c r="G12" s="233"/>
      <c r="H12" s="233"/>
      <c r="I12" s="490">
        <f>'SWE.WS.F.BPU.ATRR.Projected'!$F$81</f>
        <v>0.11952713165403545</v>
      </c>
      <c r="J12" s="425"/>
      <c r="K12" s="183" t="s">
        <v>58</v>
      </c>
      <c r="O12" s="272"/>
      <c r="P12" s="272"/>
    </row>
    <row r="13" spans="1:17">
      <c r="C13" s="486" t="s">
        <v>59</v>
      </c>
      <c r="D13" s="488">
        <f>+'SWE.WS.F.BPU.ATRR.Projected'!F$93</f>
        <v>44</v>
      </c>
      <c r="E13" s="486" t="s">
        <v>60</v>
      </c>
      <c r="F13" s="484"/>
      <c r="G13" s="233"/>
      <c r="H13" s="233"/>
      <c r="I13" s="490">
        <f>IF(G5="",I12,'SWE.WS.F.BPU.ATRR.Projected'!$F$80)</f>
        <v>0.11952713165403545</v>
      </c>
      <c r="J13" s="425"/>
      <c r="K13" s="375" t="s">
        <v>61</v>
      </c>
      <c r="L13" s="324"/>
      <c r="M13" s="324"/>
      <c r="N13" s="324"/>
      <c r="O13" s="272"/>
      <c r="P13" s="272"/>
    </row>
    <row r="14" spans="1:17" ht="13.5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8457.931818181818</v>
      </c>
      <c r="J14" s="375"/>
      <c r="K14" s="375"/>
      <c r="L14" s="375"/>
      <c r="M14" s="375"/>
      <c r="N14" s="375"/>
      <c r="O14" s="272"/>
      <c r="P14" s="272"/>
    </row>
    <row r="15" spans="1:17" ht="38.25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388</v>
      </c>
      <c r="H15" s="495" t="s">
        <v>389</v>
      </c>
      <c r="I15" s="496" t="s">
        <v>260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7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>
      <c r="C17" s="507">
        <f>IF(D11= "","-",D11)</f>
        <v>2007</v>
      </c>
      <c r="D17" s="508">
        <v>367119</v>
      </c>
      <c r="E17" s="509">
        <v>10058</v>
      </c>
      <c r="F17" s="508">
        <v>357061</v>
      </c>
      <c r="G17" s="509">
        <v>37924</v>
      </c>
      <c r="H17" s="510">
        <v>37924</v>
      </c>
      <c r="I17" s="596">
        <f t="shared" ref="I17:I48" si="0">H17-G17</f>
        <v>0</v>
      </c>
      <c r="J17" s="511"/>
      <c r="K17" s="512">
        <v>0</v>
      </c>
      <c r="L17" s="513">
        <f t="shared" ref="L17:L48" si="1">IF(K17&lt;&gt;0,+G17-K17,0)</f>
        <v>0</v>
      </c>
      <c r="M17" s="512">
        <v>0</v>
      </c>
      <c r="N17" s="513">
        <f t="shared" ref="N17:N48" si="2">IF(M17&lt;&gt;0,+H17-M17,0)</f>
        <v>0</v>
      </c>
      <c r="O17" s="514">
        <f t="shared" ref="O17:O48" si="3">+N17-L17</f>
        <v>0</v>
      </c>
      <c r="P17" s="272"/>
    </row>
    <row r="18" spans="2:16">
      <c r="B18" s="195" t="str">
        <f>IF(D18=F17,"","IU")</f>
        <v/>
      </c>
      <c r="C18" s="507">
        <f>IF(D11="","-",+C17+1)</f>
        <v>2008</v>
      </c>
      <c r="D18" s="515">
        <v>357061</v>
      </c>
      <c r="E18" s="516">
        <v>10058</v>
      </c>
      <c r="F18" s="515">
        <v>347003</v>
      </c>
      <c r="G18" s="516">
        <v>63360</v>
      </c>
      <c r="H18" s="510">
        <v>63360</v>
      </c>
      <c r="I18" s="596">
        <f t="shared" si="0"/>
        <v>0</v>
      </c>
      <c r="J18" s="511"/>
      <c r="K18" s="518">
        <v>63360</v>
      </c>
      <c r="L18" s="514">
        <f t="shared" si="1"/>
        <v>0</v>
      </c>
      <c r="M18" s="518">
        <v>63360</v>
      </c>
      <c r="N18" s="514">
        <f t="shared" si="2"/>
        <v>0</v>
      </c>
      <c r="O18" s="514">
        <f t="shared" si="3"/>
        <v>0</v>
      </c>
      <c r="P18" s="272"/>
    </row>
    <row r="19" spans="2:16">
      <c r="B19" s="195" t="str">
        <f>IF(D19=F18,"","IU")</f>
        <v>IU</v>
      </c>
      <c r="C19" s="507">
        <f>IF(D11="","-",+C18+1)</f>
        <v>2009</v>
      </c>
      <c r="D19" s="515">
        <v>238456</v>
      </c>
      <c r="E19" s="516">
        <v>6701</v>
      </c>
      <c r="F19" s="515">
        <v>231755</v>
      </c>
      <c r="G19" s="516">
        <v>42221</v>
      </c>
      <c r="H19" s="510">
        <v>42221</v>
      </c>
      <c r="I19" s="596">
        <f t="shared" si="0"/>
        <v>0</v>
      </c>
      <c r="J19" s="511"/>
      <c r="K19" s="518">
        <v>42221</v>
      </c>
      <c r="L19" s="519">
        <f t="shared" si="1"/>
        <v>0</v>
      </c>
      <c r="M19" s="518">
        <v>42221</v>
      </c>
      <c r="N19" s="514">
        <f t="shared" si="2"/>
        <v>0</v>
      </c>
      <c r="O19" s="514">
        <f t="shared" si="3"/>
        <v>0</v>
      </c>
      <c r="P19" s="272"/>
    </row>
    <row r="20" spans="2:16">
      <c r="B20" s="195" t="str">
        <f t="shared" ref="B20:B72" si="4">IF(D20=F19,"","IU")</f>
        <v>IU</v>
      </c>
      <c r="C20" s="507">
        <f>IF(D11="","-",+C19+1)</f>
        <v>2010</v>
      </c>
      <c r="D20" s="515">
        <v>221133</v>
      </c>
      <c r="E20" s="516">
        <v>6525</v>
      </c>
      <c r="F20" s="515">
        <v>214608</v>
      </c>
      <c r="G20" s="516">
        <v>37378.118954636928</v>
      </c>
      <c r="H20" s="510">
        <v>37378.118954636928</v>
      </c>
      <c r="I20" s="517">
        <v>0</v>
      </c>
      <c r="J20" s="511"/>
      <c r="K20" s="518">
        <f t="shared" ref="K20:K25" si="5">G20</f>
        <v>37378.118954636928</v>
      </c>
      <c r="L20" s="519">
        <f t="shared" si="1"/>
        <v>0</v>
      </c>
      <c r="M20" s="518">
        <f t="shared" ref="M20:M25" si="6">H20</f>
        <v>37378.118954636928</v>
      </c>
      <c r="N20" s="514">
        <f t="shared" si="2"/>
        <v>0</v>
      </c>
      <c r="O20" s="514">
        <f t="shared" si="3"/>
        <v>0</v>
      </c>
      <c r="P20" s="272"/>
    </row>
    <row r="21" spans="2:16">
      <c r="B21" s="195" t="str">
        <f t="shared" si="4"/>
        <v>IU</v>
      </c>
      <c r="C21" s="507">
        <f>IF(D12="","-",+C20+1)</f>
        <v>2011</v>
      </c>
      <c r="D21" s="515">
        <v>338807</v>
      </c>
      <c r="E21" s="516">
        <v>9076.8048780487807</v>
      </c>
      <c r="F21" s="515">
        <v>329730.19512195123</v>
      </c>
      <c r="G21" s="516">
        <v>60578.084314414227</v>
      </c>
      <c r="H21" s="510">
        <v>60578.084314414227</v>
      </c>
      <c r="I21" s="517">
        <v>0</v>
      </c>
      <c r="J21" s="511"/>
      <c r="K21" s="518">
        <f t="shared" si="5"/>
        <v>60578.084314414227</v>
      </c>
      <c r="L21" s="519">
        <f t="shared" si="1"/>
        <v>0</v>
      </c>
      <c r="M21" s="518">
        <f t="shared" si="6"/>
        <v>60578.084314414227</v>
      </c>
      <c r="N21" s="514">
        <f t="shared" si="2"/>
        <v>0</v>
      </c>
      <c r="O21" s="514">
        <f t="shared" si="3"/>
        <v>0</v>
      </c>
      <c r="P21" s="272"/>
    </row>
    <row r="22" spans="2:16">
      <c r="B22" s="195" t="str">
        <f t="shared" si="4"/>
        <v/>
      </c>
      <c r="C22" s="507">
        <f>IF(D11="","-",+C21+1)</f>
        <v>2012</v>
      </c>
      <c r="D22" s="515">
        <v>329730.19512195123</v>
      </c>
      <c r="E22" s="520">
        <v>8860.6904761904771</v>
      </c>
      <c r="F22" s="515">
        <v>320869.50464576075</v>
      </c>
      <c r="G22" s="516">
        <v>56580.448150459459</v>
      </c>
      <c r="H22" s="510">
        <v>56580.448150459459</v>
      </c>
      <c r="I22" s="517">
        <v>0</v>
      </c>
      <c r="J22" s="511"/>
      <c r="K22" s="518">
        <f t="shared" si="5"/>
        <v>56580.448150459459</v>
      </c>
      <c r="L22" s="519">
        <f t="shared" si="1"/>
        <v>0</v>
      </c>
      <c r="M22" s="518">
        <f t="shared" si="6"/>
        <v>56580.448150459459</v>
      </c>
      <c r="N22" s="514">
        <f t="shared" si="2"/>
        <v>0</v>
      </c>
      <c r="O22" s="514">
        <f t="shared" si="3"/>
        <v>0</v>
      </c>
      <c r="P22" s="272"/>
    </row>
    <row r="23" spans="2:16">
      <c r="B23" s="195" t="str">
        <f t="shared" si="4"/>
        <v/>
      </c>
      <c r="C23" s="507">
        <f>IF(D11="","-",+C22+1)</f>
        <v>2013</v>
      </c>
      <c r="D23" s="608">
        <v>320869.50464576075</v>
      </c>
      <c r="E23" s="609">
        <v>8860.6904761904771</v>
      </c>
      <c r="F23" s="608">
        <v>312008.81416957028</v>
      </c>
      <c r="G23" s="609">
        <v>52537.893953719817</v>
      </c>
      <c r="H23" s="610">
        <v>52537.893953719817</v>
      </c>
      <c r="I23" s="596">
        <v>0</v>
      </c>
      <c r="J23" s="511"/>
      <c r="K23" s="518">
        <f t="shared" si="5"/>
        <v>52537.893953719817</v>
      </c>
      <c r="L23" s="519">
        <f t="shared" ref="L23:L28" si="7">IF(K23&lt;&gt;0,+G23-K23,0)</f>
        <v>0</v>
      </c>
      <c r="M23" s="518">
        <f t="shared" si="6"/>
        <v>52537.893953719817</v>
      </c>
      <c r="N23" s="514">
        <f t="shared" ref="N23:N28" si="8">IF(M23&lt;&gt;0,+H23-M23,0)</f>
        <v>0</v>
      </c>
      <c r="O23" s="514">
        <f t="shared" ref="O23:O28" si="9">+N23-L23</f>
        <v>0</v>
      </c>
      <c r="P23" s="272"/>
    </row>
    <row r="24" spans="2:16">
      <c r="B24" s="195" t="str">
        <f t="shared" si="4"/>
        <v/>
      </c>
      <c r="C24" s="507">
        <f>IF(D11="","-",+C23+1)</f>
        <v>2014</v>
      </c>
      <c r="D24" s="608">
        <v>312008.81416957028</v>
      </c>
      <c r="E24" s="609">
        <v>8860.6904761904771</v>
      </c>
      <c r="F24" s="608">
        <v>303148.12369337981</v>
      </c>
      <c r="G24" s="609">
        <v>49758.557918696577</v>
      </c>
      <c r="H24" s="610">
        <v>49758.557918696577</v>
      </c>
      <c r="I24" s="596">
        <v>0</v>
      </c>
      <c r="J24" s="511"/>
      <c r="K24" s="518">
        <f t="shared" si="5"/>
        <v>49758.557918696577</v>
      </c>
      <c r="L24" s="519">
        <f t="shared" si="7"/>
        <v>0</v>
      </c>
      <c r="M24" s="518">
        <f t="shared" si="6"/>
        <v>49758.557918696577</v>
      </c>
      <c r="N24" s="514">
        <f t="shared" si="8"/>
        <v>0</v>
      </c>
      <c r="O24" s="514">
        <f t="shared" si="9"/>
        <v>0</v>
      </c>
      <c r="P24" s="272"/>
    </row>
    <row r="25" spans="2:16">
      <c r="B25" s="195" t="str">
        <f t="shared" si="4"/>
        <v/>
      </c>
      <c r="C25" s="507">
        <f>IF(D11="","-",+C24+1)</f>
        <v>2015</v>
      </c>
      <c r="D25" s="608">
        <v>303148.12369337981</v>
      </c>
      <c r="E25" s="609">
        <v>8860.6904761904771</v>
      </c>
      <c r="F25" s="608">
        <v>294287.43321718933</v>
      </c>
      <c r="G25" s="609">
        <v>47619.758297536755</v>
      </c>
      <c r="H25" s="610">
        <v>47619.758297536755</v>
      </c>
      <c r="I25" s="511">
        <v>0</v>
      </c>
      <c r="J25" s="511"/>
      <c r="K25" s="518">
        <f t="shared" si="5"/>
        <v>47619.758297536755</v>
      </c>
      <c r="L25" s="519">
        <f t="shared" si="7"/>
        <v>0</v>
      </c>
      <c r="M25" s="518">
        <f t="shared" si="6"/>
        <v>47619.758297536755</v>
      </c>
      <c r="N25" s="514">
        <f t="shared" si="8"/>
        <v>0</v>
      </c>
      <c r="O25" s="514">
        <f t="shared" si="9"/>
        <v>0</v>
      </c>
      <c r="P25" s="272"/>
    </row>
    <row r="26" spans="2:16">
      <c r="B26" s="195" t="str">
        <f t="shared" si="4"/>
        <v/>
      </c>
      <c r="C26" s="507">
        <f>IF(D11="","-",+C25+1)</f>
        <v>2016</v>
      </c>
      <c r="D26" s="608">
        <v>294287.43321718933</v>
      </c>
      <c r="E26" s="609">
        <v>8860.6904761904771</v>
      </c>
      <c r="F26" s="608">
        <v>285426.74274099886</v>
      </c>
      <c r="G26" s="609">
        <v>45988.994041670856</v>
      </c>
      <c r="H26" s="610">
        <v>45988.994041670856</v>
      </c>
      <c r="I26" s="511">
        <f t="shared" si="0"/>
        <v>0</v>
      </c>
      <c r="J26" s="511"/>
      <c r="K26" s="518">
        <f t="shared" ref="K26:K31" si="10">G26</f>
        <v>45988.994041670856</v>
      </c>
      <c r="L26" s="519">
        <f t="shared" si="7"/>
        <v>0</v>
      </c>
      <c r="M26" s="518">
        <f t="shared" ref="M26:M31" si="11">H26</f>
        <v>45988.994041670856</v>
      </c>
      <c r="N26" s="514">
        <f t="shared" si="8"/>
        <v>0</v>
      </c>
      <c r="O26" s="514">
        <f t="shared" si="9"/>
        <v>0</v>
      </c>
      <c r="P26" s="272"/>
    </row>
    <row r="27" spans="2:16">
      <c r="B27" s="195" t="str">
        <f t="shared" si="4"/>
        <v/>
      </c>
      <c r="C27" s="507">
        <f>IF(D11="","-",+C26+1)</f>
        <v>2017</v>
      </c>
      <c r="D27" s="608">
        <v>285426.74274099886</v>
      </c>
      <c r="E27" s="609">
        <v>8654.6279069767443</v>
      </c>
      <c r="F27" s="608">
        <v>276772.11483402213</v>
      </c>
      <c r="G27" s="609">
        <v>43480.748337588419</v>
      </c>
      <c r="H27" s="610">
        <v>43480.748337588419</v>
      </c>
      <c r="I27" s="511">
        <f t="shared" si="0"/>
        <v>0</v>
      </c>
      <c r="J27" s="511"/>
      <c r="K27" s="518">
        <f t="shared" si="10"/>
        <v>43480.748337588419</v>
      </c>
      <c r="L27" s="519">
        <f t="shared" si="7"/>
        <v>0</v>
      </c>
      <c r="M27" s="518">
        <f t="shared" si="11"/>
        <v>43480.748337588419</v>
      </c>
      <c r="N27" s="514">
        <f t="shared" si="8"/>
        <v>0</v>
      </c>
      <c r="O27" s="514">
        <f t="shared" si="9"/>
        <v>0</v>
      </c>
      <c r="P27" s="272"/>
    </row>
    <row r="28" spans="2:16">
      <c r="B28" s="195" t="str">
        <f t="shared" si="4"/>
        <v/>
      </c>
      <c r="C28" s="507">
        <f>IF(D11="","-",+C27+1)</f>
        <v>2018</v>
      </c>
      <c r="D28" s="608">
        <v>276772.11483402213</v>
      </c>
      <c r="E28" s="609">
        <v>9076.8048780487807</v>
      </c>
      <c r="F28" s="608">
        <v>267695.30995597335</v>
      </c>
      <c r="G28" s="609">
        <v>43676.103252785928</v>
      </c>
      <c r="H28" s="610">
        <v>43676.103252785928</v>
      </c>
      <c r="I28" s="511">
        <f t="shared" si="0"/>
        <v>0</v>
      </c>
      <c r="J28" s="511"/>
      <c r="K28" s="518">
        <f t="shared" si="10"/>
        <v>43676.103252785928</v>
      </c>
      <c r="L28" s="519">
        <f t="shared" si="7"/>
        <v>0</v>
      </c>
      <c r="M28" s="518">
        <f t="shared" si="11"/>
        <v>43676.103252785928</v>
      </c>
      <c r="N28" s="514">
        <f t="shared" si="8"/>
        <v>0</v>
      </c>
      <c r="O28" s="514">
        <f t="shared" si="9"/>
        <v>0</v>
      </c>
      <c r="P28" s="272"/>
    </row>
    <row r="29" spans="2:16">
      <c r="B29" s="195" t="str">
        <f t="shared" si="4"/>
        <v/>
      </c>
      <c r="C29" s="507">
        <f>IF(D11="","-",+C28+1)</f>
        <v>2019</v>
      </c>
      <c r="D29" s="608">
        <v>267695.30995597335</v>
      </c>
      <c r="E29" s="609">
        <v>9076.8048780487807</v>
      </c>
      <c r="F29" s="608">
        <v>258618.50507792458</v>
      </c>
      <c r="G29" s="609">
        <v>42522.494915662697</v>
      </c>
      <c r="H29" s="610">
        <v>42522.494915662697</v>
      </c>
      <c r="I29" s="511">
        <f t="shared" si="0"/>
        <v>0</v>
      </c>
      <c r="J29" s="511"/>
      <c r="K29" s="518">
        <f t="shared" si="10"/>
        <v>42522.494915662697</v>
      </c>
      <c r="L29" s="519">
        <f t="shared" ref="L29" si="12">IF(K29&lt;&gt;0,+G29-K29,0)</f>
        <v>0</v>
      </c>
      <c r="M29" s="518">
        <f t="shared" si="11"/>
        <v>42522.494915662697</v>
      </c>
      <c r="N29" s="514">
        <f t="shared" si="2"/>
        <v>0</v>
      </c>
      <c r="O29" s="514">
        <f t="shared" si="3"/>
        <v>0</v>
      </c>
      <c r="P29" s="272"/>
    </row>
    <row r="30" spans="2:16">
      <c r="B30" s="195" t="str">
        <f t="shared" si="4"/>
        <v/>
      </c>
      <c r="C30" s="507">
        <f>IF(D11="","-",+C29+1)</f>
        <v>2020</v>
      </c>
      <c r="D30" s="608">
        <v>258618.50507792458</v>
      </c>
      <c r="E30" s="609">
        <v>9076.8048780487807</v>
      </c>
      <c r="F30" s="608">
        <v>249541.70019987581</v>
      </c>
      <c r="G30" s="609">
        <v>35078.207860917915</v>
      </c>
      <c r="H30" s="610">
        <v>35078.207860917915</v>
      </c>
      <c r="I30" s="511">
        <f t="shared" si="0"/>
        <v>0</v>
      </c>
      <c r="J30" s="511"/>
      <c r="K30" s="518">
        <f t="shared" si="10"/>
        <v>35078.207860917915</v>
      </c>
      <c r="L30" s="519">
        <f t="shared" ref="L30" si="13">IF(K30&lt;&gt;0,+G30-K30,0)</f>
        <v>0</v>
      </c>
      <c r="M30" s="518">
        <f t="shared" si="11"/>
        <v>35078.207860917915</v>
      </c>
      <c r="N30" s="514">
        <f t="shared" si="2"/>
        <v>0</v>
      </c>
      <c r="O30" s="514">
        <f t="shared" si="3"/>
        <v>0</v>
      </c>
      <c r="P30" s="272"/>
    </row>
    <row r="31" spans="2:16">
      <c r="B31" s="195" t="str">
        <f t="shared" si="4"/>
        <v>IU</v>
      </c>
      <c r="C31" s="507">
        <f>IF(D11="","-",+C30+1)</f>
        <v>2021</v>
      </c>
      <c r="D31" s="608">
        <v>249963.87717094779</v>
      </c>
      <c r="E31" s="609">
        <v>8860.6904761904771</v>
      </c>
      <c r="F31" s="608">
        <v>241103.18669475731</v>
      </c>
      <c r="G31" s="609">
        <v>34888.360821440634</v>
      </c>
      <c r="H31" s="610">
        <v>34888.360821440634</v>
      </c>
      <c r="I31" s="511">
        <f t="shared" si="0"/>
        <v>0</v>
      </c>
      <c r="J31" s="511"/>
      <c r="K31" s="518">
        <f t="shared" si="10"/>
        <v>34888.360821440634</v>
      </c>
      <c r="L31" s="519">
        <f t="shared" ref="L31" si="14">IF(K31&lt;&gt;0,+G31-K31,0)</f>
        <v>0</v>
      </c>
      <c r="M31" s="518">
        <f t="shared" si="11"/>
        <v>34888.360821440634</v>
      </c>
      <c r="N31" s="514">
        <f t="shared" si="2"/>
        <v>0</v>
      </c>
      <c r="O31" s="514">
        <f t="shared" si="3"/>
        <v>0</v>
      </c>
      <c r="P31" s="272"/>
    </row>
    <row r="32" spans="2:16">
      <c r="B32" s="195" t="str">
        <f t="shared" si="4"/>
        <v>IU</v>
      </c>
      <c r="C32" s="507">
        <f>IF(D11="","-",+C31+1)</f>
        <v>2022</v>
      </c>
      <c r="D32" s="608">
        <v>240681.0097236853</v>
      </c>
      <c r="E32" s="609">
        <v>8860.6904761904771</v>
      </c>
      <c r="F32" s="608">
        <v>231820.31924749483</v>
      </c>
      <c r="G32" s="609">
        <v>35425.683082297925</v>
      </c>
      <c r="H32" s="610">
        <v>35425.683082297925</v>
      </c>
      <c r="I32" s="511">
        <f t="shared" si="0"/>
        <v>0</v>
      </c>
      <c r="J32" s="511"/>
      <c r="K32" s="518">
        <f t="shared" ref="K32" si="15">G32</f>
        <v>35425.683082297925</v>
      </c>
      <c r="L32" s="519">
        <f t="shared" ref="L32" si="16">IF(K32&lt;&gt;0,+G32-K32,0)</f>
        <v>0</v>
      </c>
      <c r="M32" s="518">
        <f t="shared" ref="M32" si="17">H32</f>
        <v>35425.683082297925</v>
      </c>
      <c r="N32" s="514">
        <f t="shared" si="2"/>
        <v>0</v>
      </c>
      <c r="O32" s="514">
        <f t="shared" si="3"/>
        <v>0</v>
      </c>
      <c r="P32" s="272"/>
    </row>
    <row r="33" spans="2:16">
      <c r="B33" s="195" t="str">
        <f t="shared" si="4"/>
        <v/>
      </c>
      <c r="C33" s="507">
        <f>IF(D11="","-",+C32+1)</f>
        <v>2023</v>
      </c>
      <c r="D33" s="608">
        <v>231820.31924749483</v>
      </c>
      <c r="E33" s="609">
        <v>8860.6904761904771</v>
      </c>
      <c r="F33" s="608">
        <v>222959.62877130436</v>
      </c>
      <c r="G33" s="609">
        <v>37586.135511568798</v>
      </c>
      <c r="H33" s="610">
        <v>37586.135511568798</v>
      </c>
      <c r="I33" s="511">
        <f t="shared" si="0"/>
        <v>0</v>
      </c>
      <c r="J33" s="511"/>
      <c r="K33" s="518">
        <f t="shared" ref="K33" si="18">G33</f>
        <v>37586.135511568798</v>
      </c>
      <c r="L33" s="519">
        <f t="shared" ref="L33" si="19">IF(K33&lt;&gt;0,+G33-K33,0)</f>
        <v>0</v>
      </c>
      <c r="M33" s="518">
        <f t="shared" ref="M33" si="20">H33</f>
        <v>37586.135511568798</v>
      </c>
      <c r="N33" s="514">
        <f t="shared" ref="N33" si="21">IF(M33&lt;&gt;0,+H33-M33,0)</f>
        <v>0</v>
      </c>
      <c r="O33" s="514">
        <f t="shared" ref="O33" si="22">+N33-L33</f>
        <v>0</v>
      </c>
      <c r="P33" s="272"/>
    </row>
    <row r="34" spans="2:16">
      <c r="B34" s="195" t="str">
        <f t="shared" si="4"/>
        <v/>
      </c>
      <c r="C34" s="673">
        <f>IF(D11="","-",+C33+1)</f>
        <v>2024</v>
      </c>
      <c r="D34" s="523">
        <f>IF(F33+SUM(E$17:E33)=D$10,F33,D$10-SUM(E$17:E33))</f>
        <v>222959.62877130436</v>
      </c>
      <c r="E34" s="522">
        <f>IF(+I14&lt;F33,I14,D34)</f>
        <v>8457.931818181818</v>
      </c>
      <c r="F34" s="523">
        <f t="shared" ref="F34:F48" si="23">+D34-E34</f>
        <v>214501.69695312253</v>
      </c>
      <c r="G34" s="524">
        <f t="shared" ref="G34:G72" si="24">+I$12*((D34+F34)/2)+E34</f>
        <v>34602.180554888044</v>
      </c>
      <c r="H34" s="491">
        <f t="shared" ref="H34:H72" si="25">+I$13*((D34+F34)/2)+E34</f>
        <v>34602.180554888044</v>
      </c>
      <c r="I34" s="511">
        <f t="shared" si="0"/>
        <v>0</v>
      </c>
      <c r="J34" s="511"/>
      <c r="K34" s="525"/>
      <c r="L34" s="514">
        <f t="shared" si="1"/>
        <v>0</v>
      </c>
      <c r="M34" s="525"/>
      <c r="N34" s="514">
        <f t="shared" si="2"/>
        <v>0</v>
      </c>
      <c r="O34" s="514">
        <f t="shared" si="3"/>
        <v>0</v>
      </c>
      <c r="P34" s="272"/>
    </row>
    <row r="35" spans="2:16">
      <c r="B35" s="195" t="str">
        <f t="shared" si="4"/>
        <v/>
      </c>
      <c r="C35" s="507">
        <f>IF(D11="","-",+C34+1)</f>
        <v>2025</v>
      </c>
      <c r="D35" s="523">
        <f>IF(F34+SUM(E$17:E34)=D$10,F34,D$10-SUM(E$17:E34))</f>
        <v>214501.69695312253</v>
      </c>
      <c r="E35" s="522">
        <f>IF(+I14&lt;F34,I14,D35)</f>
        <v>8457.931818181818</v>
      </c>
      <c r="F35" s="523">
        <f t="shared" si="23"/>
        <v>206043.76513494071</v>
      </c>
      <c r="G35" s="524">
        <f t="shared" si="24"/>
        <v>33591.228224935374</v>
      </c>
      <c r="H35" s="491">
        <f t="shared" si="25"/>
        <v>33591.228224935374</v>
      </c>
      <c r="I35" s="511">
        <f t="shared" si="0"/>
        <v>0</v>
      </c>
      <c r="J35" s="511"/>
      <c r="K35" s="525"/>
      <c r="L35" s="514">
        <f t="shared" si="1"/>
        <v>0</v>
      </c>
      <c r="M35" s="525"/>
      <c r="N35" s="514">
        <f t="shared" si="2"/>
        <v>0</v>
      </c>
      <c r="O35" s="514">
        <f t="shared" si="3"/>
        <v>0</v>
      </c>
      <c r="P35" s="272"/>
    </row>
    <row r="36" spans="2:16">
      <c r="B36" s="195" t="str">
        <f t="shared" si="4"/>
        <v/>
      </c>
      <c r="C36" s="507">
        <f>IF(D11="","-",+C35+1)</f>
        <v>2026</v>
      </c>
      <c r="D36" s="523">
        <f>IF(F35+SUM(E$17:E35)=D$10,F35,D$10-SUM(E$17:E35))</f>
        <v>206043.76513494071</v>
      </c>
      <c r="E36" s="522">
        <f>IF(+I14&lt;F35,I14,D36)</f>
        <v>8457.931818181818</v>
      </c>
      <c r="F36" s="523">
        <f t="shared" si="23"/>
        <v>197585.83331675889</v>
      </c>
      <c r="G36" s="524">
        <f t="shared" si="24"/>
        <v>32580.275894982697</v>
      </c>
      <c r="H36" s="491">
        <f t="shared" si="25"/>
        <v>32580.275894982697</v>
      </c>
      <c r="I36" s="511">
        <f t="shared" si="0"/>
        <v>0</v>
      </c>
      <c r="J36" s="511"/>
      <c r="K36" s="525"/>
      <c r="L36" s="514">
        <f t="shared" si="1"/>
        <v>0</v>
      </c>
      <c r="M36" s="525"/>
      <c r="N36" s="514">
        <f t="shared" si="2"/>
        <v>0</v>
      </c>
      <c r="O36" s="514">
        <f t="shared" si="3"/>
        <v>0</v>
      </c>
      <c r="P36" s="272"/>
    </row>
    <row r="37" spans="2:16">
      <c r="B37" s="195" t="str">
        <f t="shared" si="4"/>
        <v/>
      </c>
      <c r="C37" s="507">
        <f>IF(D11="","-",+C36+1)</f>
        <v>2027</v>
      </c>
      <c r="D37" s="523">
        <f>IF(F36+SUM(E$17:E36)=D$10,F36,D$10-SUM(E$17:E36))</f>
        <v>197585.83331675889</v>
      </c>
      <c r="E37" s="522">
        <f>IF(+I14&lt;F36,I14,D37)</f>
        <v>8457.931818181818</v>
      </c>
      <c r="F37" s="523">
        <f t="shared" si="23"/>
        <v>189127.90149857706</v>
      </c>
      <c r="G37" s="524">
        <f t="shared" si="24"/>
        <v>31569.323565030027</v>
      </c>
      <c r="H37" s="491">
        <f t="shared" si="25"/>
        <v>31569.323565030027</v>
      </c>
      <c r="I37" s="511">
        <f t="shared" si="0"/>
        <v>0</v>
      </c>
      <c r="J37" s="511"/>
      <c r="K37" s="525"/>
      <c r="L37" s="514">
        <f t="shared" si="1"/>
        <v>0</v>
      </c>
      <c r="M37" s="525"/>
      <c r="N37" s="514">
        <f t="shared" si="2"/>
        <v>0</v>
      </c>
      <c r="O37" s="514">
        <f t="shared" si="3"/>
        <v>0</v>
      </c>
      <c r="P37" s="272"/>
    </row>
    <row r="38" spans="2:16">
      <c r="B38" s="195" t="str">
        <f t="shared" si="4"/>
        <v/>
      </c>
      <c r="C38" s="507">
        <f>IF(D11="","-",+C37+1)</f>
        <v>2028</v>
      </c>
      <c r="D38" s="523">
        <f>IF(F37+SUM(E$17:E37)=D$10,F37,D$10-SUM(E$17:E37))</f>
        <v>189127.90149857706</v>
      </c>
      <c r="E38" s="522">
        <f>IF(+I14&lt;F37,I14,D38)</f>
        <v>8457.931818181818</v>
      </c>
      <c r="F38" s="523">
        <f t="shared" si="23"/>
        <v>180669.96968039524</v>
      </c>
      <c r="G38" s="524">
        <f t="shared" si="24"/>
        <v>30558.371235077349</v>
      </c>
      <c r="H38" s="491">
        <f t="shared" si="25"/>
        <v>30558.371235077349</v>
      </c>
      <c r="I38" s="511">
        <f t="shared" si="0"/>
        <v>0</v>
      </c>
      <c r="J38" s="511"/>
      <c r="K38" s="525"/>
      <c r="L38" s="514">
        <f t="shared" si="1"/>
        <v>0</v>
      </c>
      <c r="M38" s="525"/>
      <c r="N38" s="514">
        <f t="shared" si="2"/>
        <v>0</v>
      </c>
      <c r="O38" s="514">
        <f t="shared" si="3"/>
        <v>0</v>
      </c>
      <c r="P38" s="272"/>
    </row>
    <row r="39" spans="2:16">
      <c r="B39" s="195" t="str">
        <f t="shared" si="4"/>
        <v/>
      </c>
      <c r="C39" s="507">
        <f>IF(D11="","-",+C38+1)</f>
        <v>2029</v>
      </c>
      <c r="D39" s="523">
        <f>IF(F38+SUM(E$17:E38)=D$10,F38,D$10-SUM(E$17:E38))</f>
        <v>180669.96968039524</v>
      </c>
      <c r="E39" s="522">
        <f>IF(+I14&lt;F38,I14,D39)</f>
        <v>8457.931818181818</v>
      </c>
      <c r="F39" s="523">
        <f t="shared" si="23"/>
        <v>172212.03786221342</v>
      </c>
      <c r="G39" s="524">
        <f t="shared" si="24"/>
        <v>29547.418905124672</v>
      </c>
      <c r="H39" s="491">
        <f t="shared" si="25"/>
        <v>29547.418905124672</v>
      </c>
      <c r="I39" s="511">
        <f t="shared" si="0"/>
        <v>0</v>
      </c>
      <c r="J39" s="511"/>
      <c r="K39" s="525"/>
      <c r="L39" s="514">
        <f t="shared" si="1"/>
        <v>0</v>
      </c>
      <c r="M39" s="525"/>
      <c r="N39" s="514">
        <f t="shared" si="2"/>
        <v>0</v>
      </c>
      <c r="O39" s="514">
        <f t="shared" si="3"/>
        <v>0</v>
      </c>
      <c r="P39" s="272"/>
    </row>
    <row r="40" spans="2:16">
      <c r="B40" s="195" t="str">
        <f t="shared" si="4"/>
        <v/>
      </c>
      <c r="C40" s="507">
        <f>IF(D11="","-",+C39+1)</f>
        <v>2030</v>
      </c>
      <c r="D40" s="523">
        <f>IF(F39+SUM(E$17:E39)=D$10,F39,D$10-SUM(E$17:E39))</f>
        <v>172212.03786221342</v>
      </c>
      <c r="E40" s="522">
        <f>IF(+I14&lt;F39,I14,D40)</f>
        <v>8457.931818181818</v>
      </c>
      <c r="F40" s="523">
        <f t="shared" si="23"/>
        <v>163754.10604403159</v>
      </c>
      <c r="G40" s="524">
        <f t="shared" si="24"/>
        <v>28536.466575172002</v>
      </c>
      <c r="H40" s="491">
        <f t="shared" si="25"/>
        <v>28536.466575172002</v>
      </c>
      <c r="I40" s="511">
        <f t="shared" si="0"/>
        <v>0</v>
      </c>
      <c r="J40" s="511"/>
      <c r="K40" s="525"/>
      <c r="L40" s="514">
        <f t="shared" si="1"/>
        <v>0</v>
      </c>
      <c r="M40" s="525"/>
      <c r="N40" s="514">
        <f t="shared" si="2"/>
        <v>0</v>
      </c>
      <c r="O40" s="514">
        <f t="shared" si="3"/>
        <v>0</v>
      </c>
      <c r="P40" s="272"/>
    </row>
    <row r="41" spans="2:16">
      <c r="B41" s="195" t="str">
        <f t="shared" si="4"/>
        <v/>
      </c>
      <c r="C41" s="507">
        <f>IF(D11="","-",+C40+1)</f>
        <v>2031</v>
      </c>
      <c r="D41" s="523">
        <f>IF(F40+SUM(E$17:E40)=D$10,F40,D$10-SUM(E$17:E40))</f>
        <v>163754.10604403159</v>
      </c>
      <c r="E41" s="522">
        <f>IF(+I14&lt;F40,I14,D41)</f>
        <v>8457.931818181818</v>
      </c>
      <c r="F41" s="523">
        <f t="shared" si="23"/>
        <v>155296.17422584977</v>
      </c>
      <c r="G41" s="524">
        <f t="shared" si="24"/>
        <v>27525.514245219325</v>
      </c>
      <c r="H41" s="491">
        <f t="shared" si="25"/>
        <v>27525.514245219325</v>
      </c>
      <c r="I41" s="511">
        <f t="shared" si="0"/>
        <v>0</v>
      </c>
      <c r="J41" s="511"/>
      <c r="K41" s="525"/>
      <c r="L41" s="514">
        <f t="shared" si="1"/>
        <v>0</v>
      </c>
      <c r="M41" s="525"/>
      <c r="N41" s="514">
        <f t="shared" si="2"/>
        <v>0</v>
      </c>
      <c r="O41" s="514">
        <f t="shared" si="3"/>
        <v>0</v>
      </c>
      <c r="P41" s="272"/>
    </row>
    <row r="42" spans="2:16">
      <c r="B42" s="195" t="str">
        <f t="shared" si="4"/>
        <v/>
      </c>
      <c r="C42" s="507">
        <f>IF(D11="","-",+C41+1)</f>
        <v>2032</v>
      </c>
      <c r="D42" s="523">
        <f>IF(F41+SUM(E$17:E41)=D$10,F41,D$10-SUM(E$17:E41))</f>
        <v>155296.17422584977</v>
      </c>
      <c r="E42" s="522">
        <f>IF(+I14&lt;F41,I14,D42)</f>
        <v>8457.931818181818</v>
      </c>
      <c r="F42" s="523">
        <f t="shared" si="23"/>
        <v>146838.24240766795</v>
      </c>
      <c r="G42" s="524">
        <f t="shared" si="24"/>
        <v>26514.561915266655</v>
      </c>
      <c r="H42" s="491">
        <f t="shared" si="25"/>
        <v>26514.561915266655</v>
      </c>
      <c r="I42" s="511">
        <f t="shared" si="0"/>
        <v>0</v>
      </c>
      <c r="J42" s="511"/>
      <c r="K42" s="525"/>
      <c r="L42" s="514">
        <f t="shared" si="1"/>
        <v>0</v>
      </c>
      <c r="M42" s="525"/>
      <c r="N42" s="514">
        <f t="shared" si="2"/>
        <v>0</v>
      </c>
      <c r="O42" s="514">
        <f t="shared" si="3"/>
        <v>0</v>
      </c>
      <c r="P42" s="272"/>
    </row>
    <row r="43" spans="2:16">
      <c r="B43" s="195" t="str">
        <f t="shared" si="4"/>
        <v/>
      </c>
      <c r="C43" s="507">
        <f>IF(D11="","-",+C42+1)</f>
        <v>2033</v>
      </c>
      <c r="D43" s="523">
        <f>IF(F42+SUM(E$17:E42)=D$10,F42,D$10-SUM(E$17:E42))</f>
        <v>146838.24240766795</v>
      </c>
      <c r="E43" s="522">
        <f>IF(+I14&lt;F42,I14,D43)</f>
        <v>8457.931818181818</v>
      </c>
      <c r="F43" s="523">
        <f t="shared" si="23"/>
        <v>138380.31058948612</v>
      </c>
      <c r="G43" s="524">
        <f t="shared" si="24"/>
        <v>25503.609585313978</v>
      </c>
      <c r="H43" s="491">
        <f t="shared" si="25"/>
        <v>25503.609585313978</v>
      </c>
      <c r="I43" s="511">
        <f t="shared" si="0"/>
        <v>0</v>
      </c>
      <c r="J43" s="511"/>
      <c r="K43" s="525"/>
      <c r="L43" s="514">
        <f t="shared" si="1"/>
        <v>0</v>
      </c>
      <c r="M43" s="525"/>
      <c r="N43" s="514">
        <f t="shared" si="2"/>
        <v>0</v>
      </c>
      <c r="O43" s="514">
        <f t="shared" si="3"/>
        <v>0</v>
      </c>
      <c r="P43" s="272"/>
    </row>
    <row r="44" spans="2:16">
      <c r="B44" s="195" t="str">
        <f t="shared" si="4"/>
        <v/>
      </c>
      <c r="C44" s="507">
        <f>IF(D11="","-",+C43+1)</f>
        <v>2034</v>
      </c>
      <c r="D44" s="523">
        <f>IF(F43+SUM(E$17:E43)=D$10,F43,D$10-SUM(E$17:E43))</f>
        <v>138380.31058948612</v>
      </c>
      <c r="E44" s="522">
        <f>IF(+I14&lt;F43,I14,D44)</f>
        <v>8457.931818181818</v>
      </c>
      <c r="F44" s="523">
        <f t="shared" si="23"/>
        <v>129922.3787713043</v>
      </c>
      <c r="G44" s="524">
        <f t="shared" si="24"/>
        <v>24492.657255361304</v>
      </c>
      <c r="H44" s="491">
        <f t="shared" si="25"/>
        <v>24492.657255361304</v>
      </c>
      <c r="I44" s="511">
        <f t="shared" si="0"/>
        <v>0</v>
      </c>
      <c r="J44" s="511"/>
      <c r="K44" s="525"/>
      <c r="L44" s="514">
        <f t="shared" si="1"/>
        <v>0</v>
      </c>
      <c r="M44" s="525"/>
      <c r="N44" s="514">
        <f t="shared" si="2"/>
        <v>0</v>
      </c>
      <c r="O44" s="514">
        <f t="shared" si="3"/>
        <v>0</v>
      </c>
      <c r="P44" s="272"/>
    </row>
    <row r="45" spans="2:16">
      <c r="B45" s="195" t="str">
        <f t="shared" si="4"/>
        <v/>
      </c>
      <c r="C45" s="507">
        <f>IF(D11="","-",+C44+1)</f>
        <v>2035</v>
      </c>
      <c r="D45" s="523">
        <f>IF(F44+SUM(E$17:E44)=D$10,F44,D$10-SUM(E$17:E44))</f>
        <v>129922.3787713043</v>
      </c>
      <c r="E45" s="522">
        <f>IF(+I14&lt;F44,I14,D45)</f>
        <v>8457.931818181818</v>
      </c>
      <c r="F45" s="523">
        <f t="shared" si="23"/>
        <v>121464.44695312247</v>
      </c>
      <c r="G45" s="524">
        <f t="shared" si="24"/>
        <v>23481.704925408631</v>
      </c>
      <c r="H45" s="491">
        <f t="shared" si="25"/>
        <v>23481.704925408631</v>
      </c>
      <c r="I45" s="511">
        <f t="shared" si="0"/>
        <v>0</v>
      </c>
      <c r="J45" s="511"/>
      <c r="K45" s="525"/>
      <c r="L45" s="514">
        <f t="shared" si="1"/>
        <v>0</v>
      </c>
      <c r="M45" s="525"/>
      <c r="N45" s="514">
        <f t="shared" si="2"/>
        <v>0</v>
      </c>
      <c r="O45" s="514">
        <f t="shared" si="3"/>
        <v>0</v>
      </c>
      <c r="P45" s="272"/>
    </row>
    <row r="46" spans="2:16">
      <c r="B46" s="195" t="str">
        <f t="shared" si="4"/>
        <v/>
      </c>
      <c r="C46" s="507">
        <f>IF(D11="","-",+C45+1)</f>
        <v>2036</v>
      </c>
      <c r="D46" s="523">
        <f>IF(F45+SUM(E$17:E45)=D$10,F45,D$10-SUM(E$17:E45))</f>
        <v>121464.44695312247</v>
      </c>
      <c r="E46" s="522">
        <f>IF(+I14&lt;F45,I14,D46)</f>
        <v>8457.931818181818</v>
      </c>
      <c r="F46" s="523">
        <f t="shared" si="23"/>
        <v>113006.51513494065</v>
      </c>
      <c r="G46" s="524">
        <f t="shared" si="24"/>
        <v>22470.752595455953</v>
      </c>
      <c r="H46" s="491">
        <f t="shared" si="25"/>
        <v>22470.752595455953</v>
      </c>
      <c r="I46" s="511">
        <f t="shared" si="0"/>
        <v>0</v>
      </c>
      <c r="J46" s="511"/>
      <c r="K46" s="525"/>
      <c r="L46" s="514">
        <f t="shared" si="1"/>
        <v>0</v>
      </c>
      <c r="M46" s="525"/>
      <c r="N46" s="514">
        <f t="shared" si="2"/>
        <v>0</v>
      </c>
      <c r="O46" s="514">
        <f t="shared" si="3"/>
        <v>0</v>
      </c>
      <c r="P46" s="272"/>
    </row>
    <row r="47" spans="2:16">
      <c r="B47" s="195" t="str">
        <f t="shared" si="4"/>
        <v/>
      </c>
      <c r="C47" s="507">
        <f>IF(D11="","-",+C46+1)</f>
        <v>2037</v>
      </c>
      <c r="D47" s="523">
        <f>IF(F46+SUM(E$17:E46)=D$10,F46,D$10-SUM(E$17:E46))</f>
        <v>113006.51513494065</v>
      </c>
      <c r="E47" s="522">
        <f>IF(+I14&lt;F46,I14,D47)</f>
        <v>8457.931818181818</v>
      </c>
      <c r="F47" s="523">
        <f t="shared" si="23"/>
        <v>104548.58331675883</v>
      </c>
      <c r="G47" s="524">
        <f t="shared" si="24"/>
        <v>21459.800265503283</v>
      </c>
      <c r="H47" s="491">
        <f t="shared" si="25"/>
        <v>21459.800265503283</v>
      </c>
      <c r="I47" s="511">
        <f t="shared" si="0"/>
        <v>0</v>
      </c>
      <c r="J47" s="511"/>
      <c r="K47" s="525"/>
      <c r="L47" s="514">
        <f t="shared" si="1"/>
        <v>0</v>
      </c>
      <c r="M47" s="525"/>
      <c r="N47" s="514">
        <f t="shared" si="2"/>
        <v>0</v>
      </c>
      <c r="O47" s="514">
        <f t="shared" si="3"/>
        <v>0</v>
      </c>
      <c r="P47" s="272"/>
    </row>
    <row r="48" spans="2:16">
      <c r="B48" s="195" t="str">
        <f t="shared" si="4"/>
        <v/>
      </c>
      <c r="C48" s="507">
        <f>IF(D11="","-",+C47+1)</f>
        <v>2038</v>
      </c>
      <c r="D48" s="523">
        <f>IF(F47+SUM(E$17:E47)=D$10,F47,D$10-SUM(E$17:E47))</f>
        <v>104548.58331675883</v>
      </c>
      <c r="E48" s="522">
        <f>IF(+I14&lt;F47,I14,D48)</f>
        <v>8457.931818181818</v>
      </c>
      <c r="F48" s="523">
        <f t="shared" si="23"/>
        <v>96090.651498577005</v>
      </c>
      <c r="G48" s="524">
        <f t="shared" si="24"/>
        <v>20448.847935550606</v>
      </c>
      <c r="H48" s="491">
        <f t="shared" si="25"/>
        <v>20448.847935550606</v>
      </c>
      <c r="I48" s="511">
        <f t="shared" si="0"/>
        <v>0</v>
      </c>
      <c r="J48" s="511"/>
      <c r="K48" s="525"/>
      <c r="L48" s="514">
        <f t="shared" si="1"/>
        <v>0</v>
      </c>
      <c r="M48" s="525"/>
      <c r="N48" s="514">
        <f t="shared" si="2"/>
        <v>0</v>
      </c>
      <c r="O48" s="514">
        <f t="shared" si="3"/>
        <v>0</v>
      </c>
      <c r="P48" s="272"/>
    </row>
    <row r="49" spans="2:17">
      <c r="B49" s="195" t="str">
        <f t="shared" si="4"/>
        <v/>
      </c>
      <c r="C49" s="507">
        <f>IF(D11="","-",+C48+1)</f>
        <v>2039</v>
      </c>
      <c r="D49" s="523">
        <f>IF(F48+SUM(E$17:E48)=D$10,F48,D$10-SUM(E$17:E48))</f>
        <v>96090.651498577005</v>
      </c>
      <c r="E49" s="522">
        <f>IF(+I14&lt;F48,I14,D49)</f>
        <v>8457.931818181818</v>
      </c>
      <c r="F49" s="523">
        <f t="shared" ref="F49:F72" si="26">+D49-E49</f>
        <v>87632.719680395181</v>
      </c>
      <c r="G49" s="524">
        <f t="shared" si="24"/>
        <v>19437.895605597932</v>
      </c>
      <c r="H49" s="491">
        <f t="shared" si="25"/>
        <v>19437.895605597932</v>
      </c>
      <c r="I49" s="511">
        <f t="shared" ref="I49:I72" si="27">H49-G49</f>
        <v>0</v>
      </c>
      <c r="J49" s="511"/>
      <c r="K49" s="525"/>
      <c r="L49" s="514">
        <f t="shared" ref="L49:L72" si="28">IF(K49&lt;&gt;0,+G49-K49,0)</f>
        <v>0</v>
      </c>
      <c r="M49" s="525"/>
      <c r="N49" s="514">
        <f t="shared" ref="N49:N72" si="29">IF(M49&lt;&gt;0,+H49-M49,0)</f>
        <v>0</v>
      </c>
      <c r="O49" s="514">
        <f t="shared" ref="O49:O72" si="30">+N49-L49</f>
        <v>0</v>
      </c>
      <c r="P49" s="272"/>
    </row>
    <row r="50" spans="2:17">
      <c r="B50" s="195" t="str">
        <f t="shared" si="4"/>
        <v/>
      </c>
      <c r="C50" s="507">
        <f>IF(D11="","-",+C49+1)</f>
        <v>2040</v>
      </c>
      <c r="D50" s="523">
        <f>IF(F49+SUM(E$17:E49)=D$10,F49,D$10-SUM(E$17:E49))</f>
        <v>87632.719680395181</v>
      </c>
      <c r="E50" s="522">
        <f>IF(+I14&lt;F49,I14,D50)</f>
        <v>8457.931818181818</v>
      </c>
      <c r="F50" s="523">
        <f t="shared" si="26"/>
        <v>79174.787862213358</v>
      </c>
      <c r="G50" s="524">
        <f t="shared" si="24"/>
        <v>18426.943275645259</v>
      </c>
      <c r="H50" s="491">
        <f t="shared" si="25"/>
        <v>18426.943275645259</v>
      </c>
      <c r="I50" s="511">
        <f t="shared" si="27"/>
        <v>0</v>
      </c>
      <c r="J50" s="511"/>
      <c r="K50" s="525"/>
      <c r="L50" s="514">
        <f t="shared" si="28"/>
        <v>0</v>
      </c>
      <c r="M50" s="525"/>
      <c r="N50" s="514">
        <f t="shared" si="29"/>
        <v>0</v>
      </c>
      <c r="O50" s="514">
        <f t="shared" si="30"/>
        <v>0</v>
      </c>
      <c r="P50" s="272"/>
    </row>
    <row r="51" spans="2:17">
      <c r="B51" s="195" t="str">
        <f t="shared" si="4"/>
        <v/>
      </c>
      <c r="C51" s="507">
        <f>IF(D11="","-",+C50+1)</f>
        <v>2041</v>
      </c>
      <c r="D51" s="523">
        <f>IF(F50+SUM(E$17:E50)=D$10,F50,D$10-SUM(E$17:E50))</f>
        <v>79174.787862213358</v>
      </c>
      <c r="E51" s="522">
        <f>IF(+I14&lt;F50,I14,D51)</f>
        <v>8457.931818181818</v>
      </c>
      <c r="F51" s="523">
        <f t="shared" si="26"/>
        <v>70716.856044031534</v>
      </c>
      <c r="G51" s="524">
        <f t="shared" si="24"/>
        <v>17415.990945692585</v>
      </c>
      <c r="H51" s="491">
        <f t="shared" si="25"/>
        <v>17415.990945692585</v>
      </c>
      <c r="I51" s="511">
        <f t="shared" si="27"/>
        <v>0</v>
      </c>
      <c r="J51" s="511"/>
      <c r="K51" s="525"/>
      <c r="L51" s="514">
        <f t="shared" si="28"/>
        <v>0</v>
      </c>
      <c r="M51" s="525"/>
      <c r="N51" s="514">
        <f t="shared" si="29"/>
        <v>0</v>
      </c>
      <c r="O51" s="514">
        <f t="shared" si="30"/>
        <v>0</v>
      </c>
      <c r="P51" s="272"/>
    </row>
    <row r="52" spans="2:17">
      <c r="B52" s="195" t="str">
        <f t="shared" si="4"/>
        <v/>
      </c>
      <c r="C52" s="507">
        <f>IF(D11="","-",+C51+1)</f>
        <v>2042</v>
      </c>
      <c r="D52" s="523">
        <f>IF(F51+SUM(E$17:E51)=D$10,F51,D$10-SUM(E$17:E51))</f>
        <v>70716.856044031534</v>
      </c>
      <c r="E52" s="522">
        <f>IF(+I14&lt;F51,I14,D52)</f>
        <v>8457.931818181818</v>
      </c>
      <c r="F52" s="523">
        <f t="shared" si="26"/>
        <v>62258.924225849718</v>
      </c>
      <c r="G52" s="524">
        <f t="shared" si="24"/>
        <v>16405.038615739912</v>
      </c>
      <c r="H52" s="491">
        <f t="shared" si="25"/>
        <v>16405.038615739912</v>
      </c>
      <c r="I52" s="511">
        <f t="shared" si="27"/>
        <v>0</v>
      </c>
      <c r="J52" s="511"/>
      <c r="K52" s="525"/>
      <c r="L52" s="514">
        <f t="shared" si="28"/>
        <v>0</v>
      </c>
      <c r="M52" s="525"/>
      <c r="N52" s="514">
        <f t="shared" si="29"/>
        <v>0</v>
      </c>
      <c r="O52" s="514">
        <f t="shared" si="30"/>
        <v>0</v>
      </c>
      <c r="P52" s="272"/>
    </row>
    <row r="53" spans="2:17">
      <c r="B53" s="195" t="str">
        <f t="shared" si="4"/>
        <v/>
      </c>
      <c r="C53" s="507">
        <f>IF(D11="","-",+C52+1)</f>
        <v>2043</v>
      </c>
      <c r="D53" s="523">
        <f>IF(F52+SUM(E$17:E52)=D$10,F52,D$10-SUM(E$17:E52))</f>
        <v>62258.924225849718</v>
      </c>
      <c r="E53" s="522">
        <f>IF(+I14&lt;F52,I14,D53)</f>
        <v>8457.931818181818</v>
      </c>
      <c r="F53" s="523">
        <f t="shared" si="26"/>
        <v>53800.992407667902</v>
      </c>
      <c r="G53" s="524">
        <f t="shared" si="24"/>
        <v>15394.086285787238</v>
      </c>
      <c r="H53" s="491">
        <f t="shared" si="25"/>
        <v>15394.086285787238</v>
      </c>
      <c r="I53" s="511">
        <f t="shared" si="27"/>
        <v>0</v>
      </c>
      <c r="J53" s="511"/>
      <c r="K53" s="525"/>
      <c r="L53" s="514">
        <f t="shared" si="28"/>
        <v>0</v>
      </c>
      <c r="M53" s="525"/>
      <c r="N53" s="514">
        <f t="shared" si="29"/>
        <v>0</v>
      </c>
      <c r="O53" s="514">
        <f t="shared" si="30"/>
        <v>0</v>
      </c>
      <c r="P53" s="272"/>
    </row>
    <row r="54" spans="2:17">
      <c r="B54" s="195" t="str">
        <f t="shared" si="4"/>
        <v/>
      </c>
      <c r="C54" s="507">
        <f>IF(D11="","-",+C53+1)</f>
        <v>2044</v>
      </c>
      <c r="D54" s="523">
        <f>IF(F53+SUM(E$17:E53)=D$10,F53,D$10-SUM(E$17:E53))</f>
        <v>53800.992407667902</v>
      </c>
      <c r="E54" s="522">
        <f>IF(+I14&lt;F53,I14,D54)</f>
        <v>8457.931818181818</v>
      </c>
      <c r="F54" s="523">
        <f t="shared" si="26"/>
        <v>45343.060589486086</v>
      </c>
      <c r="G54" s="524">
        <f t="shared" si="24"/>
        <v>14383.133955834564</v>
      </c>
      <c r="H54" s="491">
        <f t="shared" si="25"/>
        <v>14383.133955834564</v>
      </c>
      <c r="I54" s="511">
        <f t="shared" si="27"/>
        <v>0</v>
      </c>
      <c r="J54" s="511"/>
      <c r="K54" s="525"/>
      <c r="L54" s="514">
        <f t="shared" si="28"/>
        <v>0</v>
      </c>
      <c r="M54" s="525"/>
      <c r="N54" s="514">
        <f t="shared" si="29"/>
        <v>0</v>
      </c>
      <c r="O54" s="514">
        <f t="shared" si="30"/>
        <v>0</v>
      </c>
      <c r="P54" s="272"/>
    </row>
    <row r="55" spans="2:17">
      <c r="B55" s="195" t="str">
        <f t="shared" si="4"/>
        <v/>
      </c>
      <c r="C55" s="507">
        <f>IF(D11="","-",+C54+1)</f>
        <v>2045</v>
      </c>
      <c r="D55" s="523">
        <f>IF(F54+SUM(E$17:E54)=D$10,F54,D$10-SUM(E$17:E54))</f>
        <v>45343.060589486086</v>
      </c>
      <c r="E55" s="522">
        <f>IF(+I14&lt;F54,I14,D55)</f>
        <v>8457.931818181818</v>
      </c>
      <c r="F55" s="523">
        <f t="shared" si="26"/>
        <v>36885.128771304269</v>
      </c>
      <c r="G55" s="524">
        <f t="shared" si="24"/>
        <v>13372.181625881891</v>
      </c>
      <c r="H55" s="491">
        <f t="shared" si="25"/>
        <v>13372.181625881891</v>
      </c>
      <c r="I55" s="511">
        <f t="shared" si="27"/>
        <v>0</v>
      </c>
      <c r="J55" s="511"/>
      <c r="K55" s="525"/>
      <c r="L55" s="514">
        <f t="shared" si="28"/>
        <v>0</v>
      </c>
      <c r="M55" s="525"/>
      <c r="N55" s="514">
        <f t="shared" si="29"/>
        <v>0</v>
      </c>
      <c r="O55" s="514">
        <f t="shared" si="30"/>
        <v>0</v>
      </c>
      <c r="P55" s="272"/>
    </row>
    <row r="56" spans="2:17">
      <c r="B56" s="195" t="str">
        <f t="shared" si="4"/>
        <v/>
      </c>
      <c r="C56" s="507">
        <f>IF(D11="","-",+C55+1)</f>
        <v>2046</v>
      </c>
      <c r="D56" s="523">
        <f>IF(F55+SUM(E$17:E55)=D$10,F55,D$10-SUM(E$17:E55))</f>
        <v>36885.128771304269</v>
      </c>
      <c r="E56" s="522">
        <f>IF(+I14&lt;F55,I14,D56)</f>
        <v>8457.931818181818</v>
      </c>
      <c r="F56" s="523">
        <f t="shared" si="26"/>
        <v>28427.196953122453</v>
      </c>
      <c r="G56" s="524">
        <f t="shared" si="24"/>
        <v>12361.229295929217</v>
      </c>
      <c r="H56" s="491">
        <f t="shared" si="25"/>
        <v>12361.229295929217</v>
      </c>
      <c r="I56" s="511">
        <f t="shared" si="27"/>
        <v>0</v>
      </c>
      <c r="J56" s="511"/>
      <c r="K56" s="525"/>
      <c r="L56" s="514">
        <f t="shared" si="28"/>
        <v>0</v>
      </c>
      <c r="M56" s="525"/>
      <c r="N56" s="514">
        <f t="shared" si="29"/>
        <v>0</v>
      </c>
      <c r="O56" s="514">
        <f t="shared" si="30"/>
        <v>0</v>
      </c>
      <c r="P56" s="272"/>
    </row>
    <row r="57" spans="2:17">
      <c r="B57" s="195" t="str">
        <f t="shared" si="4"/>
        <v/>
      </c>
      <c r="C57" s="507">
        <f>IF(D11="","-",+C56+1)</f>
        <v>2047</v>
      </c>
      <c r="D57" s="523">
        <f>IF(F56+SUM(E$17:E56)=D$10,F56,D$10-SUM(E$17:E56))</f>
        <v>28427.196953122453</v>
      </c>
      <c r="E57" s="522">
        <f>IF(+I14&lt;F56,I14,D57)</f>
        <v>8457.931818181818</v>
      </c>
      <c r="F57" s="523">
        <f t="shared" si="26"/>
        <v>19969.265134940637</v>
      </c>
      <c r="G57" s="524">
        <f t="shared" si="24"/>
        <v>11350.276965976544</v>
      </c>
      <c r="H57" s="491">
        <f t="shared" si="25"/>
        <v>11350.276965976544</v>
      </c>
      <c r="I57" s="511">
        <f t="shared" si="27"/>
        <v>0</v>
      </c>
      <c r="J57" s="511"/>
      <c r="K57" s="525"/>
      <c r="L57" s="514">
        <f t="shared" si="28"/>
        <v>0</v>
      </c>
      <c r="M57" s="525"/>
      <c r="N57" s="514">
        <f t="shared" si="29"/>
        <v>0</v>
      </c>
      <c r="O57" s="514">
        <f t="shared" si="30"/>
        <v>0</v>
      </c>
      <c r="P57" s="272"/>
    </row>
    <row r="58" spans="2:17">
      <c r="B58" s="195" t="str">
        <f t="shared" si="4"/>
        <v/>
      </c>
      <c r="C58" s="507">
        <f>IF(D11="","-",+C57+1)</f>
        <v>2048</v>
      </c>
      <c r="D58" s="523">
        <f>IF(F57+SUM(E$17:E57)=D$10,F57,D$10-SUM(E$17:E57))</f>
        <v>19969.265134940637</v>
      </c>
      <c r="E58" s="522">
        <f>IF(+I14&lt;F57,I14,D58)</f>
        <v>8457.931818181818</v>
      </c>
      <c r="F58" s="523">
        <f t="shared" si="26"/>
        <v>11511.333316758819</v>
      </c>
      <c r="G58" s="524">
        <f t="shared" si="24"/>
        <v>10339.32463602387</v>
      </c>
      <c r="H58" s="491">
        <f t="shared" si="25"/>
        <v>10339.32463602387</v>
      </c>
      <c r="I58" s="511">
        <f t="shared" si="27"/>
        <v>0</v>
      </c>
      <c r="J58" s="511"/>
      <c r="K58" s="525"/>
      <c r="L58" s="514">
        <f t="shared" si="28"/>
        <v>0</v>
      </c>
      <c r="M58" s="525"/>
      <c r="N58" s="514">
        <f t="shared" si="29"/>
        <v>0</v>
      </c>
      <c r="O58" s="514">
        <f t="shared" si="30"/>
        <v>0</v>
      </c>
      <c r="P58" s="272"/>
      <c r="Q58" s="183" t="str">
        <f>IF(ROUND(Q57,0)=ROUND(SUM(Q18:Q56),0),"","Error -- check allocations above).")</f>
        <v/>
      </c>
    </row>
    <row r="59" spans="2:17">
      <c r="B59" s="195" t="str">
        <f t="shared" si="4"/>
        <v/>
      </c>
      <c r="C59" s="507">
        <f>IF(D11="","-",+C58+1)</f>
        <v>2049</v>
      </c>
      <c r="D59" s="523">
        <f>IF(F58+SUM(E$17:E58)=D$10,F58,D$10-SUM(E$17:E58))</f>
        <v>11511.333316758819</v>
      </c>
      <c r="E59" s="522">
        <f>IF(+I14&lt;F58,I14,D59)</f>
        <v>8457.931818181818</v>
      </c>
      <c r="F59" s="523">
        <f t="shared" si="26"/>
        <v>3053.4014985770009</v>
      </c>
      <c r="G59" s="524">
        <f t="shared" si="24"/>
        <v>9328.3723060711964</v>
      </c>
      <c r="H59" s="491">
        <f t="shared" si="25"/>
        <v>9328.3723060711964</v>
      </c>
      <c r="I59" s="511">
        <f t="shared" si="27"/>
        <v>0</v>
      </c>
      <c r="J59" s="511"/>
      <c r="K59" s="525"/>
      <c r="L59" s="514">
        <f t="shared" si="28"/>
        <v>0</v>
      </c>
      <c r="M59" s="525"/>
      <c r="N59" s="514">
        <f t="shared" si="29"/>
        <v>0</v>
      </c>
      <c r="O59" s="514">
        <f t="shared" si="30"/>
        <v>0</v>
      </c>
      <c r="P59" s="272"/>
    </row>
    <row r="60" spans="2:17">
      <c r="B60" s="195" t="str">
        <f t="shared" si="4"/>
        <v/>
      </c>
      <c r="C60" s="507">
        <f>IF(D11="","-",+C59+1)</f>
        <v>2050</v>
      </c>
      <c r="D60" s="523">
        <f>IF(F59+SUM(E$17:E59)=D$10,F59,D$10-SUM(E$17:E59))</f>
        <v>3053.4014985770009</v>
      </c>
      <c r="E60" s="522">
        <f>IF(+I14&lt;F59,I14,D60)</f>
        <v>3053.4014985770009</v>
      </c>
      <c r="F60" s="523">
        <f t="shared" si="26"/>
        <v>0</v>
      </c>
      <c r="G60" s="524">
        <f t="shared" si="24"/>
        <v>3235.8836600335221</v>
      </c>
      <c r="H60" s="491">
        <f t="shared" si="25"/>
        <v>3235.8836600335221</v>
      </c>
      <c r="I60" s="511">
        <f t="shared" si="27"/>
        <v>0</v>
      </c>
      <c r="J60" s="511"/>
      <c r="K60" s="525"/>
      <c r="L60" s="514">
        <f t="shared" si="28"/>
        <v>0</v>
      </c>
      <c r="M60" s="525"/>
      <c r="N60" s="514">
        <f t="shared" si="29"/>
        <v>0</v>
      </c>
      <c r="O60" s="514">
        <f t="shared" si="30"/>
        <v>0</v>
      </c>
      <c r="P60" s="272"/>
    </row>
    <row r="61" spans="2:17">
      <c r="B61" s="195" t="str">
        <f t="shared" si="4"/>
        <v/>
      </c>
      <c r="C61" s="507">
        <f>IF(D11="","-",+C60+1)</f>
        <v>2051</v>
      </c>
      <c r="D61" s="523">
        <f>IF(F60+SUM(E$17:E60)=D$10,F60,D$10-SUM(E$17:E60))</f>
        <v>0</v>
      </c>
      <c r="E61" s="522">
        <f>IF(+I14&lt;F60,I14,D61)</f>
        <v>0</v>
      </c>
      <c r="F61" s="523">
        <f t="shared" si="26"/>
        <v>0</v>
      </c>
      <c r="G61" s="526">
        <f t="shared" si="24"/>
        <v>0</v>
      </c>
      <c r="H61" s="491">
        <f t="shared" si="25"/>
        <v>0</v>
      </c>
      <c r="I61" s="511">
        <f t="shared" si="27"/>
        <v>0</v>
      </c>
      <c r="J61" s="511"/>
      <c r="K61" s="525"/>
      <c r="L61" s="514">
        <f t="shared" si="28"/>
        <v>0</v>
      </c>
      <c r="M61" s="525"/>
      <c r="N61" s="514">
        <f t="shared" si="29"/>
        <v>0</v>
      </c>
      <c r="O61" s="514">
        <f t="shared" si="30"/>
        <v>0</v>
      </c>
      <c r="P61" s="272"/>
    </row>
    <row r="62" spans="2:17">
      <c r="B62" s="195" t="str">
        <f t="shared" si="4"/>
        <v/>
      </c>
      <c r="C62" s="507">
        <f>IF(D11="","-",+C61+1)</f>
        <v>2052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26"/>
        <v>0</v>
      </c>
      <c r="G62" s="526">
        <f t="shared" si="24"/>
        <v>0</v>
      </c>
      <c r="H62" s="491">
        <f t="shared" si="25"/>
        <v>0</v>
      </c>
      <c r="I62" s="511">
        <f t="shared" si="27"/>
        <v>0</v>
      </c>
      <c r="J62" s="511"/>
      <c r="K62" s="525"/>
      <c r="L62" s="514">
        <f t="shared" si="28"/>
        <v>0</v>
      </c>
      <c r="M62" s="525"/>
      <c r="N62" s="514">
        <f t="shared" si="29"/>
        <v>0</v>
      </c>
      <c r="O62" s="514">
        <f t="shared" si="30"/>
        <v>0</v>
      </c>
      <c r="P62" s="272"/>
    </row>
    <row r="63" spans="2:17">
      <c r="B63" s="195" t="str">
        <f t="shared" si="4"/>
        <v/>
      </c>
      <c r="C63" s="507">
        <f>IF(D11="","-",+C62+1)</f>
        <v>2053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26"/>
        <v>0</v>
      </c>
      <c r="G63" s="526">
        <f t="shared" si="24"/>
        <v>0</v>
      </c>
      <c r="H63" s="491">
        <f t="shared" si="25"/>
        <v>0</v>
      </c>
      <c r="I63" s="511">
        <f t="shared" si="27"/>
        <v>0</v>
      </c>
      <c r="J63" s="511"/>
      <c r="K63" s="525"/>
      <c r="L63" s="514">
        <f t="shared" si="28"/>
        <v>0</v>
      </c>
      <c r="M63" s="525"/>
      <c r="N63" s="514">
        <f t="shared" si="29"/>
        <v>0</v>
      </c>
      <c r="O63" s="514">
        <f t="shared" si="30"/>
        <v>0</v>
      </c>
      <c r="P63" s="272"/>
    </row>
    <row r="64" spans="2:17">
      <c r="B64" s="195" t="str">
        <f t="shared" si="4"/>
        <v/>
      </c>
      <c r="C64" s="507">
        <f>IF(D11="","-",+C63+1)</f>
        <v>2054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26"/>
        <v>0</v>
      </c>
      <c r="G64" s="526">
        <f t="shared" si="24"/>
        <v>0</v>
      </c>
      <c r="H64" s="491">
        <f t="shared" si="25"/>
        <v>0</v>
      </c>
      <c r="I64" s="511">
        <f t="shared" si="27"/>
        <v>0</v>
      </c>
      <c r="J64" s="511"/>
      <c r="K64" s="525"/>
      <c r="L64" s="514">
        <f t="shared" si="28"/>
        <v>0</v>
      </c>
      <c r="M64" s="525"/>
      <c r="N64" s="514">
        <f t="shared" si="29"/>
        <v>0</v>
      </c>
      <c r="O64" s="514">
        <f t="shared" si="30"/>
        <v>0</v>
      </c>
      <c r="P64" s="272"/>
    </row>
    <row r="65" spans="1:16">
      <c r="B65" s="195" t="str">
        <f t="shared" si="4"/>
        <v/>
      </c>
      <c r="C65" s="507">
        <f>IF(D11="","-",+C64+1)</f>
        <v>2055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26"/>
        <v>0</v>
      </c>
      <c r="G65" s="526">
        <f t="shared" si="24"/>
        <v>0</v>
      </c>
      <c r="H65" s="491">
        <f t="shared" si="25"/>
        <v>0</v>
      </c>
      <c r="I65" s="511">
        <f t="shared" si="27"/>
        <v>0</v>
      </c>
      <c r="J65" s="511"/>
      <c r="K65" s="525"/>
      <c r="L65" s="514">
        <f t="shared" si="28"/>
        <v>0</v>
      </c>
      <c r="M65" s="525"/>
      <c r="N65" s="514">
        <f t="shared" si="29"/>
        <v>0</v>
      </c>
      <c r="O65" s="514">
        <f t="shared" si="30"/>
        <v>0</v>
      </c>
      <c r="P65" s="272"/>
    </row>
    <row r="66" spans="1:16">
      <c r="B66" s="195" t="str">
        <f t="shared" si="4"/>
        <v/>
      </c>
      <c r="C66" s="507">
        <f>IF(D11="","-",+C65+1)</f>
        <v>2056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26"/>
        <v>0</v>
      </c>
      <c r="G66" s="526">
        <f t="shared" si="24"/>
        <v>0</v>
      </c>
      <c r="H66" s="491">
        <f t="shared" si="25"/>
        <v>0</v>
      </c>
      <c r="I66" s="511">
        <f t="shared" si="27"/>
        <v>0</v>
      </c>
      <c r="J66" s="511"/>
      <c r="K66" s="525"/>
      <c r="L66" s="514">
        <f t="shared" si="28"/>
        <v>0</v>
      </c>
      <c r="M66" s="525"/>
      <c r="N66" s="514">
        <f t="shared" si="29"/>
        <v>0</v>
      </c>
      <c r="O66" s="514">
        <f t="shared" si="30"/>
        <v>0</v>
      </c>
      <c r="P66" s="272"/>
    </row>
    <row r="67" spans="1:16">
      <c r="B67" s="195" t="str">
        <f t="shared" si="4"/>
        <v/>
      </c>
      <c r="C67" s="507">
        <f>IF(D11="","-",+C66+1)</f>
        <v>2057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26"/>
        <v>0</v>
      </c>
      <c r="G67" s="526">
        <f t="shared" si="24"/>
        <v>0</v>
      </c>
      <c r="H67" s="491">
        <f t="shared" si="25"/>
        <v>0</v>
      </c>
      <c r="I67" s="511">
        <f t="shared" si="27"/>
        <v>0</v>
      </c>
      <c r="J67" s="511"/>
      <c r="K67" s="525"/>
      <c r="L67" s="514">
        <f t="shared" si="28"/>
        <v>0</v>
      </c>
      <c r="M67" s="525"/>
      <c r="N67" s="514">
        <f t="shared" si="29"/>
        <v>0</v>
      </c>
      <c r="O67" s="514">
        <f t="shared" si="30"/>
        <v>0</v>
      </c>
      <c r="P67" s="272"/>
    </row>
    <row r="68" spans="1:16">
      <c r="B68" s="195" t="str">
        <f t="shared" si="4"/>
        <v/>
      </c>
      <c r="C68" s="507">
        <f>IF(D11="","-",+C67+1)</f>
        <v>2058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26"/>
        <v>0</v>
      </c>
      <c r="G68" s="526">
        <f t="shared" si="24"/>
        <v>0</v>
      </c>
      <c r="H68" s="491">
        <f t="shared" si="25"/>
        <v>0</v>
      </c>
      <c r="I68" s="511">
        <f t="shared" si="27"/>
        <v>0</v>
      </c>
      <c r="J68" s="511"/>
      <c r="K68" s="525"/>
      <c r="L68" s="514">
        <f t="shared" si="28"/>
        <v>0</v>
      </c>
      <c r="M68" s="525"/>
      <c r="N68" s="514">
        <f t="shared" si="29"/>
        <v>0</v>
      </c>
      <c r="O68" s="514">
        <f t="shared" si="30"/>
        <v>0</v>
      </c>
      <c r="P68" s="272"/>
    </row>
    <row r="69" spans="1:16">
      <c r="B69" s="195" t="str">
        <f t="shared" si="4"/>
        <v/>
      </c>
      <c r="C69" s="507">
        <f>IF(D11="","-",+C68+1)</f>
        <v>2059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26"/>
        <v>0</v>
      </c>
      <c r="G69" s="526">
        <f t="shared" si="24"/>
        <v>0</v>
      </c>
      <c r="H69" s="491">
        <f t="shared" si="25"/>
        <v>0</v>
      </c>
      <c r="I69" s="511">
        <f t="shared" si="27"/>
        <v>0</v>
      </c>
      <c r="J69" s="511"/>
      <c r="K69" s="525"/>
      <c r="L69" s="514">
        <f t="shared" si="28"/>
        <v>0</v>
      </c>
      <c r="M69" s="525"/>
      <c r="N69" s="514">
        <f t="shared" si="29"/>
        <v>0</v>
      </c>
      <c r="O69" s="514">
        <f t="shared" si="30"/>
        <v>0</v>
      </c>
      <c r="P69" s="272"/>
    </row>
    <row r="70" spans="1:16">
      <c r="B70" s="195" t="str">
        <f t="shared" si="4"/>
        <v/>
      </c>
      <c r="C70" s="507">
        <f>IF(D11="","-",+C69+1)</f>
        <v>2060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26"/>
        <v>0</v>
      </c>
      <c r="G70" s="526">
        <f t="shared" si="24"/>
        <v>0</v>
      </c>
      <c r="H70" s="491">
        <f t="shared" si="25"/>
        <v>0</v>
      </c>
      <c r="I70" s="511">
        <f t="shared" si="27"/>
        <v>0</v>
      </c>
      <c r="J70" s="511"/>
      <c r="K70" s="525"/>
      <c r="L70" s="514">
        <f t="shared" si="28"/>
        <v>0</v>
      </c>
      <c r="M70" s="525"/>
      <c r="N70" s="514">
        <f t="shared" si="29"/>
        <v>0</v>
      </c>
      <c r="O70" s="514">
        <f t="shared" si="30"/>
        <v>0</v>
      </c>
      <c r="P70" s="272"/>
    </row>
    <row r="71" spans="1:16">
      <c r="B71" s="195" t="str">
        <f t="shared" si="4"/>
        <v/>
      </c>
      <c r="C71" s="507">
        <f>IF(D11="","-",+C70+1)</f>
        <v>2061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26"/>
        <v>0</v>
      </c>
      <c r="G71" s="526">
        <f t="shared" si="24"/>
        <v>0</v>
      </c>
      <c r="H71" s="491">
        <f t="shared" si="25"/>
        <v>0</v>
      </c>
      <c r="I71" s="511">
        <f t="shared" si="27"/>
        <v>0</v>
      </c>
      <c r="J71" s="511"/>
      <c r="K71" s="525"/>
      <c r="L71" s="514">
        <f t="shared" si="28"/>
        <v>0</v>
      </c>
      <c r="M71" s="525"/>
      <c r="N71" s="514">
        <f t="shared" si="29"/>
        <v>0</v>
      </c>
      <c r="O71" s="514">
        <f t="shared" si="30"/>
        <v>0</v>
      </c>
      <c r="P71" s="272"/>
    </row>
    <row r="72" spans="1:16" ht="13.5" thickBot="1">
      <c r="B72" s="195" t="str">
        <f t="shared" si="4"/>
        <v/>
      </c>
      <c r="C72" s="527">
        <f>IF(D11="","-",+C71+1)</f>
        <v>2062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26"/>
        <v>0</v>
      </c>
      <c r="G72" s="530">
        <f t="shared" si="24"/>
        <v>0</v>
      </c>
      <c r="H72" s="471">
        <f t="shared" si="25"/>
        <v>0</v>
      </c>
      <c r="I72" s="531">
        <f t="shared" si="27"/>
        <v>0</v>
      </c>
      <c r="J72" s="511"/>
      <c r="K72" s="532"/>
      <c r="L72" s="533">
        <f t="shared" si="28"/>
        <v>0</v>
      </c>
      <c r="M72" s="532"/>
      <c r="N72" s="533">
        <f t="shared" si="29"/>
        <v>0</v>
      </c>
      <c r="O72" s="533">
        <f t="shared" si="30"/>
        <v>0</v>
      </c>
      <c r="P72" s="272"/>
    </row>
    <row r="73" spans="1:16">
      <c r="C73" s="374" t="s">
        <v>78</v>
      </c>
      <c r="D73" s="375"/>
      <c r="E73" s="375">
        <f>SUM(E17:E72)</f>
        <v>372149</v>
      </c>
      <c r="F73" s="375"/>
      <c r="G73" s="375">
        <f>SUM(G17:G72)</f>
        <v>1340937.6602659009</v>
      </c>
      <c r="H73" s="375">
        <f>SUM(H17:H72)</f>
        <v>1340937.6602659009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1:16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1:16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1:16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1:16" ht="18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535"/>
      <c r="P77" s="272"/>
    </row>
    <row r="78" spans="1:16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1:16" ht="15">
      <c r="A79" s="536"/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</row>
    <row r="80" spans="1:16" ht="18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7">
      <c r="B81" s="269"/>
      <c r="C81" s="537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7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  <c r="Q82" s="269"/>
    </row>
    <row r="83" spans="1:17" ht="20.25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535" t="str">
        <f ca="1">P1</f>
        <v>SWEPCO Project 15 of 75</v>
      </c>
      <c r="Q83" s="269"/>
    </row>
    <row r="84" spans="1:17" ht="18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454" t="s">
        <v>128</v>
      </c>
      <c r="Q84" s="269"/>
    </row>
    <row r="85" spans="1:17" ht="18.7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  <c r="Q85" s="269"/>
    </row>
    <row r="86" spans="1:17" ht="15.75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2022</v>
      </c>
      <c r="M86" s="541" t="s">
        <v>9</v>
      </c>
      <c r="N86" s="542" t="s">
        <v>159</v>
      </c>
      <c r="O86" s="543" t="s">
        <v>11</v>
      </c>
      <c r="P86" s="269"/>
      <c r="Q86" s="269"/>
    </row>
    <row r="87" spans="1:17" ht="1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391</v>
      </c>
      <c r="M87" s="546">
        <f>IF(J92&lt;D11,0,VLOOKUP(J92,C17:O72,9))</f>
        <v>35425.683082297925</v>
      </c>
      <c r="N87" s="546">
        <f>IF(J92&lt;D11,0,VLOOKUP(J92,C17:O72,11))</f>
        <v>35425.683082297925</v>
      </c>
      <c r="O87" s="547">
        <f>+N87-M87</f>
        <v>0</v>
      </c>
      <c r="P87" s="269"/>
      <c r="Q87" s="269"/>
    </row>
    <row r="88" spans="1:17" ht="15.7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392</v>
      </c>
      <c r="M88" s="550">
        <f>IF(J92&lt;D11,0,VLOOKUP(J92,C99:P154,6))</f>
        <v>36441.891070021375</v>
      </c>
      <c r="N88" s="550">
        <f>IF(J92&lt;D11,0,VLOOKUP(J92,C99:P154,7))</f>
        <v>36441.891070021375</v>
      </c>
      <c r="O88" s="551">
        <f>+N88-M88</f>
        <v>0</v>
      </c>
      <c r="P88" s="269"/>
      <c r="Q88" s="269"/>
    </row>
    <row r="89" spans="1:17" ht="13.5" thickBot="1">
      <c r="C89" s="467" t="s">
        <v>84</v>
      </c>
      <c r="D89" s="552" t="str">
        <f>+D7</f>
        <v>Arsenal Hill 138kV Device (Cap. Bank)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1016.2079877234501</v>
      </c>
      <c r="N89" s="555">
        <f>+N88-N87</f>
        <v>1016.2079877234501</v>
      </c>
      <c r="O89" s="556">
        <f>+O88-O87</f>
        <v>0</v>
      </c>
      <c r="P89" s="269"/>
      <c r="Q89" s="269"/>
    </row>
    <row r="90" spans="1:17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  <c r="Q90" s="269"/>
    </row>
    <row r="91" spans="1:17" ht="13.5" thickBot="1">
      <c r="A91" s="191"/>
      <c r="C91" s="558" t="s">
        <v>85</v>
      </c>
      <c r="D91" s="559" t="str">
        <f>+D9</f>
        <v>TP2004148</v>
      </c>
      <c r="E91" s="560"/>
      <c r="F91" s="560"/>
      <c r="G91" s="560"/>
      <c r="H91" s="560"/>
      <c r="I91" s="560"/>
      <c r="J91" s="561"/>
      <c r="K91" s="562"/>
      <c r="P91" s="481"/>
      <c r="Q91" s="269"/>
    </row>
    <row r="92" spans="1:17">
      <c r="C92" s="486" t="s">
        <v>51</v>
      </c>
      <c r="D92" s="483">
        <f>IF(D11=I10,0,D10)</f>
        <v>372149</v>
      </c>
      <c r="E92" s="340" t="s">
        <v>86</v>
      </c>
      <c r="H92" s="484"/>
      <c r="I92" s="484"/>
      <c r="J92" s="485">
        <f>+'SWE.WS.G.BPU.ATRR.True-up'!M16</f>
        <v>2022</v>
      </c>
      <c r="K92" s="480"/>
      <c r="L92" s="375" t="s">
        <v>87</v>
      </c>
      <c r="P92" s="272"/>
      <c r="Q92" s="269"/>
    </row>
    <row r="93" spans="1:17">
      <c r="C93" s="486" t="s">
        <v>54</v>
      </c>
      <c r="D93" s="563">
        <f>IF(D11=I10,"",D11)</f>
        <v>2007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  <c r="Q93" s="269"/>
    </row>
    <row r="94" spans="1:17">
      <c r="C94" s="486" t="s">
        <v>56</v>
      </c>
      <c r="D94" s="564">
        <f>IF(D11=I10,"",D12)</f>
        <v>7</v>
      </c>
      <c r="E94" s="486" t="s">
        <v>57</v>
      </c>
      <c r="F94" s="484"/>
      <c r="G94" s="484"/>
      <c r="J94" s="490">
        <f>'SWE.WS.G.BPU.ATRR.True-up'!$F$81</f>
        <v>0.11351422637179906</v>
      </c>
      <c r="K94" s="425"/>
      <c r="L94" s="183" t="s">
        <v>88</v>
      </c>
      <c r="P94" s="272"/>
      <c r="Q94" s="269"/>
    </row>
    <row r="95" spans="1:17">
      <c r="C95" s="486" t="s">
        <v>59</v>
      </c>
      <c r="D95" s="488">
        <f>'SWE.WS.G.BPU.ATRR.True-up'!F$93</f>
        <v>41</v>
      </c>
      <c r="E95" s="486" t="s">
        <v>60</v>
      </c>
      <c r="F95" s="484"/>
      <c r="G95" s="484"/>
      <c r="J95" s="490">
        <f>IF(H87="",J94,'SWE.WS.G.BPU.ATRR.True-up'!$F$80)</f>
        <v>0.11351422637179906</v>
      </c>
      <c r="K95" s="324"/>
      <c r="L95" s="375" t="s">
        <v>61</v>
      </c>
      <c r="M95" s="324"/>
      <c r="N95" s="324"/>
      <c r="O95" s="324"/>
      <c r="P95" s="272"/>
      <c r="Q95" s="269"/>
    </row>
    <row r="96" spans="1:17" ht="13.5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9076.8048780487807</v>
      </c>
      <c r="K96" s="375"/>
      <c r="L96" s="375"/>
      <c r="M96" s="375"/>
      <c r="N96" s="375"/>
      <c r="O96" s="375"/>
      <c r="P96" s="272"/>
      <c r="Q96" s="269"/>
    </row>
    <row r="97" spans="1:17" ht="38.25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388</v>
      </c>
      <c r="I97" s="495" t="s">
        <v>389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  <c r="Q97" s="269"/>
    </row>
    <row r="98" spans="1:17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  <c r="Q98" s="269"/>
    </row>
    <row r="99" spans="1:17">
      <c r="C99" s="507">
        <f>IF(D93= "","-",D93)</f>
        <v>2007</v>
      </c>
      <c r="D99" s="508">
        <v>367119</v>
      </c>
      <c r="E99" s="516">
        <v>10058</v>
      </c>
      <c r="F99" s="515">
        <v>357061</v>
      </c>
      <c r="G99" s="574">
        <v>362090</v>
      </c>
      <c r="H99" s="575">
        <v>69474</v>
      </c>
      <c r="I99" s="576">
        <v>69474</v>
      </c>
      <c r="J99" s="613">
        <f t="shared" ref="J99:J130" si="31">+I99-H99</f>
        <v>0</v>
      </c>
      <c r="K99" s="514"/>
      <c r="L99" s="512">
        <v>0</v>
      </c>
      <c r="M99" s="597">
        <f t="shared" ref="M99:M130" si="32">IF(L99&lt;&gt;0,+H99-L99,0)</f>
        <v>0</v>
      </c>
      <c r="N99" s="512">
        <v>0</v>
      </c>
      <c r="O99" s="513">
        <f t="shared" ref="O99:O130" si="33">IF(N99&lt;&gt;0,+I99-N99,0)</f>
        <v>0</v>
      </c>
      <c r="P99" s="513">
        <f t="shared" ref="P99:P130" si="34">+O99-M99</f>
        <v>0</v>
      </c>
      <c r="Q99" s="269"/>
    </row>
    <row r="100" spans="1:17">
      <c r="B100" s="195" t="str">
        <f>IF(D100=F99,"","IU")</f>
        <v>IU</v>
      </c>
      <c r="C100" s="507">
        <f>IF(D93="","-",+C99+1)</f>
        <v>2008</v>
      </c>
      <c r="D100" s="508">
        <v>245158</v>
      </c>
      <c r="E100" s="516">
        <v>6701</v>
      </c>
      <c r="F100" s="515">
        <v>238456</v>
      </c>
      <c r="G100" s="515">
        <v>241807</v>
      </c>
      <c r="H100" s="516">
        <v>45246</v>
      </c>
      <c r="I100" s="510">
        <v>45246</v>
      </c>
      <c r="J100" s="613">
        <f t="shared" si="31"/>
        <v>0</v>
      </c>
      <c r="K100" s="514"/>
      <c r="L100" s="518">
        <v>45246</v>
      </c>
      <c r="M100" s="514">
        <f t="shared" si="32"/>
        <v>0</v>
      </c>
      <c r="N100" s="518">
        <v>45246</v>
      </c>
      <c r="O100" s="514">
        <f t="shared" si="33"/>
        <v>0</v>
      </c>
      <c r="P100" s="514">
        <f t="shared" si="34"/>
        <v>0</v>
      </c>
      <c r="Q100" s="269"/>
    </row>
    <row r="101" spans="1:17">
      <c r="B101" s="195" t="str">
        <f t="shared" ref="B101:B154" si="35">IF(D101=F100,"","IU")</f>
        <v>IU</v>
      </c>
      <c r="C101" s="507">
        <f>IF(D93="","-",+C100+1)</f>
        <v>2009</v>
      </c>
      <c r="D101" s="508">
        <v>355390</v>
      </c>
      <c r="E101" s="516">
        <v>9793.394736842105</v>
      </c>
      <c r="F101" s="515">
        <v>345596.60526315792</v>
      </c>
      <c r="G101" s="515">
        <v>350493.30263157899</v>
      </c>
      <c r="H101" s="516">
        <v>60522.976408209717</v>
      </c>
      <c r="I101" s="510">
        <v>60522.976408209717</v>
      </c>
      <c r="J101" s="613">
        <f t="shared" si="31"/>
        <v>0</v>
      </c>
      <c r="K101" s="514"/>
      <c r="L101" s="518">
        <f t="shared" ref="L101:L106" si="36">H101</f>
        <v>60522.976408209717</v>
      </c>
      <c r="M101" s="519">
        <f t="shared" si="32"/>
        <v>0</v>
      </c>
      <c r="N101" s="518">
        <f t="shared" ref="N101:N106" si="37">I101</f>
        <v>60522.976408209717</v>
      </c>
      <c r="O101" s="514">
        <f t="shared" si="33"/>
        <v>0</v>
      </c>
      <c r="P101" s="514">
        <f t="shared" si="34"/>
        <v>0</v>
      </c>
      <c r="Q101" s="269"/>
    </row>
    <row r="102" spans="1:17">
      <c r="B102" s="195" t="str">
        <f t="shared" si="35"/>
        <v/>
      </c>
      <c r="C102" s="507">
        <f>IF(D93="","-",+C101+1)</f>
        <v>2010</v>
      </c>
      <c r="D102" s="508">
        <v>345596.60526315792</v>
      </c>
      <c r="E102" s="516">
        <v>9076.8048780487807</v>
      </c>
      <c r="F102" s="515">
        <v>336519.80038510915</v>
      </c>
      <c r="G102" s="515">
        <v>341058.20282413356</v>
      </c>
      <c r="H102" s="516">
        <v>65380.767354671472</v>
      </c>
      <c r="I102" s="510">
        <v>65380.767354671472</v>
      </c>
      <c r="J102" s="613">
        <f t="shared" si="31"/>
        <v>0</v>
      </c>
      <c r="K102" s="514"/>
      <c r="L102" s="518">
        <f t="shared" si="36"/>
        <v>65380.767354671472</v>
      </c>
      <c r="M102" s="519">
        <f t="shared" si="32"/>
        <v>0</v>
      </c>
      <c r="N102" s="518">
        <f t="shared" si="37"/>
        <v>65380.767354671472</v>
      </c>
      <c r="O102" s="514">
        <f t="shared" si="33"/>
        <v>0</v>
      </c>
      <c r="P102" s="514">
        <f t="shared" si="34"/>
        <v>0</v>
      </c>
      <c r="Q102" s="269"/>
    </row>
    <row r="103" spans="1:17">
      <c r="B103" s="195" t="str">
        <f t="shared" si="35"/>
        <v/>
      </c>
      <c r="C103" s="507">
        <f>IF(D93="","-",+C102+1)</f>
        <v>2011</v>
      </c>
      <c r="D103" s="508">
        <v>336519.80038510915</v>
      </c>
      <c r="E103" s="520">
        <v>8860.6904761904771</v>
      </c>
      <c r="F103" s="515">
        <v>327659.10990891868</v>
      </c>
      <c r="G103" s="515">
        <v>332089.45514701388</v>
      </c>
      <c r="H103" s="516">
        <v>58800.269953257346</v>
      </c>
      <c r="I103" s="510">
        <v>58800.269953257346</v>
      </c>
      <c r="J103" s="613">
        <f t="shared" si="31"/>
        <v>0</v>
      </c>
      <c r="K103" s="514"/>
      <c r="L103" s="518">
        <f t="shared" si="36"/>
        <v>58800.269953257346</v>
      </c>
      <c r="M103" s="519">
        <f t="shared" si="32"/>
        <v>0</v>
      </c>
      <c r="N103" s="518">
        <f t="shared" si="37"/>
        <v>58800.269953257346</v>
      </c>
      <c r="O103" s="514">
        <f t="shared" si="33"/>
        <v>0</v>
      </c>
      <c r="P103" s="514">
        <f t="shared" si="34"/>
        <v>0</v>
      </c>
      <c r="Q103" s="269"/>
    </row>
    <row r="104" spans="1:17">
      <c r="B104" s="195" t="str">
        <f t="shared" si="35"/>
        <v/>
      </c>
      <c r="C104" s="507">
        <f>IF(D93="","-",+C103+1)</f>
        <v>2012</v>
      </c>
      <c r="D104" s="508">
        <v>327659.10990891868</v>
      </c>
      <c r="E104" s="516">
        <v>8860.6904761904771</v>
      </c>
      <c r="F104" s="515">
        <v>318798.4194327282</v>
      </c>
      <c r="G104" s="515">
        <v>323228.76467082347</v>
      </c>
      <c r="H104" s="516">
        <v>56425.074067115129</v>
      </c>
      <c r="I104" s="510">
        <v>56425.074067115129</v>
      </c>
      <c r="J104" s="613">
        <f t="shared" si="31"/>
        <v>0</v>
      </c>
      <c r="K104" s="514"/>
      <c r="L104" s="518">
        <f t="shared" si="36"/>
        <v>56425.074067115129</v>
      </c>
      <c r="M104" s="519">
        <f t="shared" si="32"/>
        <v>0</v>
      </c>
      <c r="N104" s="518">
        <f t="shared" si="37"/>
        <v>56425.074067115129</v>
      </c>
      <c r="O104" s="514">
        <f t="shared" si="33"/>
        <v>0</v>
      </c>
      <c r="P104" s="514">
        <f t="shared" si="34"/>
        <v>0</v>
      </c>
      <c r="Q104" s="269"/>
    </row>
    <row r="105" spans="1:17">
      <c r="B105" s="195" t="str">
        <f t="shared" si="35"/>
        <v/>
      </c>
      <c r="C105" s="507">
        <f>IF(D93="","-",+C104+1)</f>
        <v>2013</v>
      </c>
      <c r="D105" s="508">
        <v>318798.4194327282</v>
      </c>
      <c r="E105" s="516">
        <v>8860.6904761904771</v>
      </c>
      <c r="F105" s="515">
        <v>309937.72895653773</v>
      </c>
      <c r="G105" s="515">
        <v>314368.07419463294</v>
      </c>
      <c r="H105" s="516">
        <v>51392.082385725094</v>
      </c>
      <c r="I105" s="510">
        <v>51392.082385725094</v>
      </c>
      <c r="J105" s="613">
        <v>0</v>
      </c>
      <c r="K105" s="514"/>
      <c r="L105" s="518">
        <f t="shared" si="36"/>
        <v>51392.082385725094</v>
      </c>
      <c r="M105" s="519">
        <f t="shared" ref="M105:M110" si="38">IF(L105&lt;&gt;0,+H105-L105,0)</f>
        <v>0</v>
      </c>
      <c r="N105" s="518">
        <f t="shared" si="37"/>
        <v>51392.082385725094</v>
      </c>
      <c r="O105" s="514">
        <f t="shared" ref="O105:O110" si="39">IF(N105&lt;&gt;0,+I105-N105,0)</f>
        <v>0</v>
      </c>
      <c r="P105" s="514">
        <f t="shared" ref="P105:P110" si="40">+O105-M105</f>
        <v>0</v>
      </c>
      <c r="Q105" s="269"/>
    </row>
    <row r="106" spans="1:17">
      <c r="B106" s="195" t="str">
        <f t="shared" si="35"/>
        <v/>
      </c>
      <c r="C106" s="507">
        <f>IF(D93="","-",+C105+1)</f>
        <v>2014</v>
      </c>
      <c r="D106" s="508">
        <v>309937.72895653773</v>
      </c>
      <c r="E106" s="516">
        <v>8860.6904761904771</v>
      </c>
      <c r="F106" s="515">
        <v>301077.03848034726</v>
      </c>
      <c r="G106" s="515">
        <v>305507.38371844252</v>
      </c>
      <c r="H106" s="516">
        <v>50386.311054794773</v>
      </c>
      <c r="I106" s="510">
        <v>50386.311054794773</v>
      </c>
      <c r="J106" s="514">
        <v>0</v>
      </c>
      <c r="K106" s="514"/>
      <c r="L106" s="518">
        <f t="shared" si="36"/>
        <v>50386.311054794773</v>
      </c>
      <c r="M106" s="519">
        <f t="shared" si="38"/>
        <v>0</v>
      </c>
      <c r="N106" s="518">
        <f t="shared" si="37"/>
        <v>50386.311054794773</v>
      </c>
      <c r="O106" s="514">
        <f t="shared" si="39"/>
        <v>0</v>
      </c>
      <c r="P106" s="514">
        <f t="shared" si="40"/>
        <v>0</v>
      </c>
      <c r="Q106" s="269"/>
    </row>
    <row r="107" spans="1:17">
      <c r="B107" s="195" t="str">
        <f t="shared" si="35"/>
        <v/>
      </c>
      <c r="C107" s="507">
        <f>IF(D93="","-",+C106+1)</f>
        <v>2015</v>
      </c>
      <c r="D107" s="508">
        <v>301077.03848034726</v>
      </c>
      <c r="E107" s="516">
        <v>8860.6904761904771</v>
      </c>
      <c r="F107" s="515">
        <v>292216.34800415678</v>
      </c>
      <c r="G107" s="515">
        <v>296646.69324225199</v>
      </c>
      <c r="H107" s="516">
        <v>47949.4923700488</v>
      </c>
      <c r="I107" s="510">
        <v>47949.4923700488</v>
      </c>
      <c r="J107" s="514">
        <f t="shared" si="31"/>
        <v>0</v>
      </c>
      <c r="K107" s="514"/>
      <c r="L107" s="518">
        <f t="shared" ref="L107:L112" si="41">H107</f>
        <v>47949.4923700488</v>
      </c>
      <c r="M107" s="519">
        <f t="shared" si="38"/>
        <v>0</v>
      </c>
      <c r="N107" s="518">
        <f t="shared" ref="N107:N112" si="42">I107</f>
        <v>47949.4923700488</v>
      </c>
      <c r="O107" s="514">
        <f t="shared" si="39"/>
        <v>0</v>
      </c>
      <c r="P107" s="514">
        <f t="shared" si="40"/>
        <v>0</v>
      </c>
      <c r="Q107" s="269"/>
    </row>
    <row r="108" spans="1:17">
      <c r="B108" s="195" t="str">
        <f t="shared" si="35"/>
        <v/>
      </c>
      <c r="C108" s="507">
        <f>IF(D93="","-",+C107+1)</f>
        <v>2016</v>
      </c>
      <c r="D108" s="508">
        <v>292216.34800415678</v>
      </c>
      <c r="E108" s="516">
        <v>8654.6279069767443</v>
      </c>
      <c r="F108" s="515">
        <v>283561.72009718005</v>
      </c>
      <c r="G108" s="515">
        <v>287889.03405066842</v>
      </c>
      <c r="H108" s="516">
        <v>45202.137408056922</v>
      </c>
      <c r="I108" s="510">
        <v>45202.137408056922</v>
      </c>
      <c r="J108" s="514">
        <f t="shared" si="31"/>
        <v>0</v>
      </c>
      <c r="K108" s="514"/>
      <c r="L108" s="518">
        <f t="shared" si="41"/>
        <v>45202.137408056922</v>
      </c>
      <c r="M108" s="519">
        <f t="shared" si="38"/>
        <v>0</v>
      </c>
      <c r="N108" s="518">
        <f t="shared" si="42"/>
        <v>45202.137408056922</v>
      </c>
      <c r="O108" s="514">
        <f t="shared" si="39"/>
        <v>0</v>
      </c>
      <c r="P108" s="514">
        <f t="shared" si="40"/>
        <v>0</v>
      </c>
      <c r="Q108" s="269"/>
    </row>
    <row r="109" spans="1:17">
      <c r="B109" s="195" t="str">
        <f t="shared" si="35"/>
        <v/>
      </c>
      <c r="C109" s="507">
        <f>IF(D93="","-",+C108+1)</f>
        <v>2017</v>
      </c>
      <c r="D109" s="508">
        <v>283561.72009718005</v>
      </c>
      <c r="E109" s="516">
        <v>8860.6904761904771</v>
      </c>
      <c r="F109" s="515">
        <v>274701.02962098958</v>
      </c>
      <c r="G109" s="515">
        <v>279131.37485908484</v>
      </c>
      <c r="H109" s="516">
        <v>42767.185465657531</v>
      </c>
      <c r="I109" s="510">
        <v>42767.185465657531</v>
      </c>
      <c r="J109" s="514">
        <f t="shared" si="31"/>
        <v>0</v>
      </c>
      <c r="K109" s="514"/>
      <c r="L109" s="518">
        <f t="shared" si="41"/>
        <v>42767.185465657531</v>
      </c>
      <c r="M109" s="519">
        <f t="shared" si="38"/>
        <v>0</v>
      </c>
      <c r="N109" s="518">
        <f t="shared" si="42"/>
        <v>42767.185465657531</v>
      </c>
      <c r="O109" s="514">
        <f t="shared" si="39"/>
        <v>0</v>
      </c>
      <c r="P109" s="514">
        <f t="shared" si="40"/>
        <v>0</v>
      </c>
      <c r="Q109" s="269"/>
    </row>
    <row r="110" spans="1:17">
      <c r="B110" s="195" t="str">
        <f t="shared" si="35"/>
        <v/>
      </c>
      <c r="C110" s="507">
        <f>IF(D93="","-",+C109+1)</f>
        <v>2018</v>
      </c>
      <c r="D110" s="508">
        <v>274701.02962098958</v>
      </c>
      <c r="E110" s="516">
        <v>8860.6904761904771</v>
      </c>
      <c r="F110" s="515">
        <v>265840.3391447991</v>
      </c>
      <c r="G110" s="515">
        <v>270270.68438289431</v>
      </c>
      <c r="H110" s="516">
        <v>37402.514159677034</v>
      </c>
      <c r="I110" s="510">
        <v>37402.514159677034</v>
      </c>
      <c r="J110" s="514">
        <f t="shared" si="31"/>
        <v>0</v>
      </c>
      <c r="K110" s="514"/>
      <c r="L110" s="518">
        <f t="shared" si="41"/>
        <v>37402.514159677034</v>
      </c>
      <c r="M110" s="519">
        <f t="shared" si="38"/>
        <v>0</v>
      </c>
      <c r="N110" s="518">
        <f t="shared" si="42"/>
        <v>37402.514159677034</v>
      </c>
      <c r="O110" s="514">
        <f t="shared" si="39"/>
        <v>0</v>
      </c>
      <c r="P110" s="514">
        <f t="shared" si="40"/>
        <v>0</v>
      </c>
      <c r="Q110" s="269"/>
    </row>
    <row r="111" spans="1:17">
      <c r="B111" s="195" t="str">
        <f t="shared" si="35"/>
        <v/>
      </c>
      <c r="C111" s="507">
        <f>IF(D93="","-",+C110+1)</f>
        <v>2019</v>
      </c>
      <c r="D111" s="508">
        <v>265840.3391447991</v>
      </c>
      <c r="E111" s="516">
        <v>8654.6279069767443</v>
      </c>
      <c r="F111" s="515">
        <v>257185.71123782237</v>
      </c>
      <c r="G111" s="515">
        <v>261513.02519131073</v>
      </c>
      <c r="H111" s="516">
        <v>36647.12505132259</v>
      </c>
      <c r="I111" s="510">
        <v>36647.12505132259</v>
      </c>
      <c r="J111" s="514">
        <f t="shared" si="31"/>
        <v>0</v>
      </c>
      <c r="K111" s="514"/>
      <c r="L111" s="518">
        <f t="shared" si="41"/>
        <v>36647.12505132259</v>
      </c>
      <c r="M111" s="519">
        <f t="shared" ref="M111:M112" si="43">IF(L111&lt;&gt;0,+H111-L111,0)</f>
        <v>0</v>
      </c>
      <c r="N111" s="518">
        <f t="shared" si="42"/>
        <v>36647.12505132259</v>
      </c>
      <c r="O111" s="514">
        <f t="shared" si="33"/>
        <v>0</v>
      </c>
      <c r="P111" s="514">
        <f t="shared" si="34"/>
        <v>0</v>
      </c>
      <c r="Q111" s="269"/>
    </row>
    <row r="112" spans="1:17">
      <c r="B112" s="195" t="str">
        <f t="shared" si="35"/>
        <v/>
      </c>
      <c r="C112" s="507">
        <f>IF(D93="","-",+C111+1)</f>
        <v>2020</v>
      </c>
      <c r="D112" s="508">
        <v>257185.71123782237</v>
      </c>
      <c r="E112" s="516">
        <v>8860.6904761904771</v>
      </c>
      <c r="F112" s="515">
        <v>248325.02076163189</v>
      </c>
      <c r="G112" s="515">
        <v>252755.36599972713</v>
      </c>
      <c r="H112" s="516">
        <v>36050.553881907734</v>
      </c>
      <c r="I112" s="510">
        <v>36050.553881907734</v>
      </c>
      <c r="J112" s="514">
        <f t="shared" si="31"/>
        <v>0</v>
      </c>
      <c r="K112" s="514"/>
      <c r="L112" s="518">
        <f t="shared" si="41"/>
        <v>36050.553881907734</v>
      </c>
      <c r="M112" s="519">
        <f t="shared" si="43"/>
        <v>0</v>
      </c>
      <c r="N112" s="518">
        <f t="shared" si="42"/>
        <v>36050.553881907734</v>
      </c>
      <c r="O112" s="514">
        <f t="shared" si="33"/>
        <v>0</v>
      </c>
      <c r="P112" s="514">
        <f t="shared" si="34"/>
        <v>0</v>
      </c>
      <c r="Q112" s="269"/>
    </row>
    <row r="113" spans="2:17">
      <c r="B113" s="195" t="str">
        <f t="shared" si="35"/>
        <v/>
      </c>
      <c r="C113" s="507">
        <f>IF(D93="","-",+C112+1)</f>
        <v>2021</v>
      </c>
      <c r="D113" s="508">
        <v>248325.02076163189</v>
      </c>
      <c r="E113" s="516">
        <v>9076.8048780487807</v>
      </c>
      <c r="F113" s="515">
        <v>239248.21588358312</v>
      </c>
      <c r="G113" s="515">
        <v>243786.61832260751</v>
      </c>
      <c r="H113" s="516">
        <v>36750.054256736621</v>
      </c>
      <c r="I113" s="510">
        <v>36750.054256736621</v>
      </c>
      <c r="J113" s="514">
        <f t="shared" si="31"/>
        <v>0</v>
      </c>
      <c r="K113" s="514"/>
      <c r="L113" s="518">
        <f t="shared" ref="L113" si="44">H113</f>
        <v>36750.054256736621</v>
      </c>
      <c r="M113" s="519">
        <f t="shared" ref="M113" si="45">IF(L113&lt;&gt;0,+H113-L113,0)</f>
        <v>0</v>
      </c>
      <c r="N113" s="518">
        <f t="shared" ref="N113" si="46">I113</f>
        <v>36750.054256736621</v>
      </c>
      <c r="O113" s="514">
        <f t="shared" ref="O113" si="47">IF(N113&lt;&gt;0,+I113-N113,0)</f>
        <v>0</v>
      </c>
      <c r="P113" s="514">
        <f t="shared" ref="P113" si="48">+O113-M113</f>
        <v>0</v>
      </c>
      <c r="Q113" s="269"/>
    </row>
    <row r="114" spans="2:17">
      <c r="B114" s="195" t="str">
        <f t="shared" si="35"/>
        <v/>
      </c>
      <c r="C114" s="673">
        <f>IF(D93="","-",+C113+1)</f>
        <v>2022</v>
      </c>
      <c r="D114" s="374">
        <v>239248.21588358312</v>
      </c>
      <c r="E114" s="522">
        <v>8860.6904761904771</v>
      </c>
      <c r="F114" s="523">
        <v>230387.52540739265</v>
      </c>
      <c r="G114" s="523">
        <v>234817.87064548788</v>
      </c>
      <c r="H114" s="526">
        <v>36441.891070021375</v>
      </c>
      <c r="I114" s="577">
        <v>36441.891070021375</v>
      </c>
      <c r="J114" s="514">
        <f t="shared" si="31"/>
        <v>0</v>
      </c>
      <c r="K114" s="514"/>
      <c r="L114" s="525"/>
      <c r="M114" s="514">
        <f t="shared" si="32"/>
        <v>0</v>
      </c>
      <c r="N114" s="525"/>
      <c r="O114" s="514">
        <f t="shared" si="33"/>
        <v>0</v>
      </c>
      <c r="P114" s="514">
        <f t="shared" si="34"/>
        <v>0</v>
      </c>
      <c r="Q114" s="269"/>
    </row>
    <row r="115" spans="2:17">
      <c r="B115" s="195" t="str">
        <f t="shared" si="35"/>
        <v/>
      </c>
      <c r="C115" s="507">
        <f>IF(D93="","-",+C114+1)</f>
        <v>2023</v>
      </c>
      <c r="D115" s="374">
        <f>IF(F114+SUM(E$99:E114)=D$92,F114,D$92-SUM(E$99:E114))</f>
        <v>230387.52540739265</v>
      </c>
      <c r="E115" s="522">
        <f>IF(+J96&lt;F114,J96,D115)</f>
        <v>9076.8048780487807</v>
      </c>
      <c r="F115" s="523">
        <f t="shared" ref="F115:F130" si="49">+D115-E115</f>
        <v>221310.72052934387</v>
      </c>
      <c r="G115" s="523">
        <f t="shared" ref="G115:G130" si="50">+(F115+D115)/2</f>
        <v>225849.12296836826</v>
      </c>
      <c r="H115" s="526">
        <f t="shared" ref="H115:H154" si="51">+J$94*G115+E115</f>
        <v>34713.893348552418</v>
      </c>
      <c r="I115" s="577">
        <f t="shared" ref="I115:I154" si="52">+J$95*G115+E115</f>
        <v>34713.893348552418</v>
      </c>
      <c r="J115" s="514">
        <f t="shared" si="31"/>
        <v>0</v>
      </c>
      <c r="K115" s="514"/>
      <c r="L115" s="525"/>
      <c r="M115" s="514">
        <f t="shared" si="32"/>
        <v>0</v>
      </c>
      <c r="N115" s="525"/>
      <c r="O115" s="514">
        <f t="shared" si="33"/>
        <v>0</v>
      </c>
      <c r="P115" s="514">
        <f t="shared" si="34"/>
        <v>0</v>
      </c>
      <c r="Q115" s="269"/>
    </row>
    <row r="116" spans="2:17">
      <c r="B116" s="195" t="str">
        <f t="shared" si="35"/>
        <v/>
      </c>
      <c r="C116" s="507">
        <f>IF(D93="","-",+C115+1)</f>
        <v>2024</v>
      </c>
      <c r="D116" s="374">
        <f>IF(F115+SUM(E$99:E115)=D$92,F115,D$92-SUM(E$99:E115))</f>
        <v>221310.72052934387</v>
      </c>
      <c r="E116" s="522">
        <f>IF(+J96&lt;F115,J96,D116)</f>
        <v>9076.8048780487807</v>
      </c>
      <c r="F116" s="523">
        <f t="shared" si="49"/>
        <v>212233.9156512951</v>
      </c>
      <c r="G116" s="523">
        <f t="shared" si="50"/>
        <v>216772.31809031949</v>
      </c>
      <c r="H116" s="526">
        <f t="shared" si="51"/>
        <v>33683.546864892938</v>
      </c>
      <c r="I116" s="577">
        <f t="shared" si="52"/>
        <v>33683.546864892938</v>
      </c>
      <c r="J116" s="514">
        <f t="shared" si="31"/>
        <v>0</v>
      </c>
      <c r="K116" s="514"/>
      <c r="L116" s="525"/>
      <c r="M116" s="514">
        <f t="shared" si="32"/>
        <v>0</v>
      </c>
      <c r="N116" s="525"/>
      <c r="O116" s="514">
        <f t="shared" si="33"/>
        <v>0</v>
      </c>
      <c r="P116" s="514">
        <f t="shared" si="34"/>
        <v>0</v>
      </c>
      <c r="Q116" s="269"/>
    </row>
    <row r="117" spans="2:17">
      <c r="B117" s="195" t="str">
        <f t="shared" si="35"/>
        <v/>
      </c>
      <c r="C117" s="507">
        <f>IF(D93="","-",+C116+1)</f>
        <v>2025</v>
      </c>
      <c r="D117" s="374">
        <f>IF(F116+SUM(E$99:E116)=D$92,F116,D$92-SUM(E$99:E116))</f>
        <v>212233.9156512951</v>
      </c>
      <c r="E117" s="522">
        <f>IF(+J96&lt;F116,J96,D117)</f>
        <v>9076.8048780487807</v>
      </c>
      <c r="F117" s="523">
        <f t="shared" si="49"/>
        <v>203157.11077324633</v>
      </c>
      <c r="G117" s="523">
        <f t="shared" si="50"/>
        <v>207695.51321227071</v>
      </c>
      <c r="H117" s="526">
        <f t="shared" si="51"/>
        <v>32653.200381233462</v>
      </c>
      <c r="I117" s="577">
        <f t="shared" si="52"/>
        <v>32653.200381233462</v>
      </c>
      <c r="J117" s="514">
        <f t="shared" si="31"/>
        <v>0</v>
      </c>
      <c r="K117" s="514"/>
      <c r="L117" s="525"/>
      <c r="M117" s="514">
        <f t="shared" si="32"/>
        <v>0</v>
      </c>
      <c r="N117" s="525"/>
      <c r="O117" s="514">
        <f t="shared" si="33"/>
        <v>0</v>
      </c>
      <c r="P117" s="514">
        <f t="shared" si="34"/>
        <v>0</v>
      </c>
      <c r="Q117" s="269"/>
    </row>
    <row r="118" spans="2:17">
      <c r="B118" s="195" t="str">
        <f t="shared" si="35"/>
        <v/>
      </c>
      <c r="C118" s="507">
        <f>IF(D93="","-",+C117+1)</f>
        <v>2026</v>
      </c>
      <c r="D118" s="374">
        <f>IF(F117+SUM(E$99:E117)=D$92,F117,D$92-SUM(E$99:E117))</f>
        <v>203157.11077324633</v>
      </c>
      <c r="E118" s="522">
        <f>IF(+J96&lt;F117,J96,D118)</f>
        <v>9076.8048780487807</v>
      </c>
      <c r="F118" s="523">
        <f t="shared" si="49"/>
        <v>194080.30589519755</v>
      </c>
      <c r="G118" s="523">
        <f t="shared" si="50"/>
        <v>198618.70833422194</v>
      </c>
      <c r="H118" s="526">
        <f t="shared" si="51"/>
        <v>31622.853897573983</v>
      </c>
      <c r="I118" s="577">
        <f t="shared" si="52"/>
        <v>31622.853897573983</v>
      </c>
      <c r="J118" s="514">
        <f t="shared" si="31"/>
        <v>0</v>
      </c>
      <c r="K118" s="514"/>
      <c r="L118" s="525"/>
      <c r="M118" s="514">
        <f t="shared" si="32"/>
        <v>0</v>
      </c>
      <c r="N118" s="525"/>
      <c r="O118" s="514">
        <f t="shared" si="33"/>
        <v>0</v>
      </c>
      <c r="P118" s="514">
        <f t="shared" si="34"/>
        <v>0</v>
      </c>
      <c r="Q118" s="269"/>
    </row>
    <row r="119" spans="2:17">
      <c r="B119" s="195" t="str">
        <f t="shared" si="35"/>
        <v/>
      </c>
      <c r="C119" s="507">
        <f>IF(D93="","-",+C118+1)</f>
        <v>2027</v>
      </c>
      <c r="D119" s="374">
        <f>IF(F118+SUM(E$99:E118)=D$92,F118,D$92-SUM(E$99:E118))</f>
        <v>194080.30589519755</v>
      </c>
      <c r="E119" s="522">
        <f>IF(+J96&lt;F118,J96,D119)</f>
        <v>9076.8048780487807</v>
      </c>
      <c r="F119" s="523">
        <f t="shared" si="49"/>
        <v>185003.50101714878</v>
      </c>
      <c r="G119" s="523">
        <f t="shared" si="50"/>
        <v>189541.90345617317</v>
      </c>
      <c r="H119" s="526">
        <f t="shared" si="51"/>
        <v>30592.507413914504</v>
      </c>
      <c r="I119" s="577">
        <f t="shared" si="52"/>
        <v>30592.507413914504</v>
      </c>
      <c r="J119" s="514">
        <f t="shared" si="31"/>
        <v>0</v>
      </c>
      <c r="K119" s="514"/>
      <c r="L119" s="525"/>
      <c r="M119" s="514">
        <f t="shared" si="32"/>
        <v>0</v>
      </c>
      <c r="N119" s="525"/>
      <c r="O119" s="514">
        <f t="shared" si="33"/>
        <v>0</v>
      </c>
      <c r="P119" s="514">
        <f t="shared" si="34"/>
        <v>0</v>
      </c>
      <c r="Q119" s="269"/>
    </row>
    <row r="120" spans="2:17">
      <c r="B120" s="195" t="str">
        <f t="shared" si="35"/>
        <v/>
      </c>
      <c r="C120" s="507">
        <f>IF(D93="","-",+C119+1)</f>
        <v>2028</v>
      </c>
      <c r="D120" s="374">
        <f>IF(F119+SUM(E$99:E119)=D$92,F119,D$92-SUM(E$99:E119))</f>
        <v>185003.50101714878</v>
      </c>
      <c r="E120" s="522">
        <f>IF(+J96&lt;F119,J96,D120)</f>
        <v>9076.8048780487807</v>
      </c>
      <c r="F120" s="523">
        <f t="shared" si="49"/>
        <v>175926.69613910001</v>
      </c>
      <c r="G120" s="523">
        <f t="shared" si="50"/>
        <v>180465.09857812439</v>
      </c>
      <c r="H120" s="526">
        <f t="shared" si="51"/>
        <v>29562.160930255024</v>
      </c>
      <c r="I120" s="577">
        <f t="shared" si="52"/>
        <v>29562.160930255024</v>
      </c>
      <c r="J120" s="514">
        <f t="shared" si="31"/>
        <v>0</v>
      </c>
      <c r="K120" s="514"/>
      <c r="L120" s="525"/>
      <c r="M120" s="514">
        <f t="shared" si="32"/>
        <v>0</v>
      </c>
      <c r="N120" s="525"/>
      <c r="O120" s="514">
        <f t="shared" si="33"/>
        <v>0</v>
      </c>
      <c r="P120" s="514">
        <f t="shared" si="34"/>
        <v>0</v>
      </c>
      <c r="Q120" s="269"/>
    </row>
    <row r="121" spans="2:17">
      <c r="B121" s="195" t="str">
        <f t="shared" si="35"/>
        <v/>
      </c>
      <c r="C121" s="507">
        <f>IF(D93="","-",+C120+1)</f>
        <v>2029</v>
      </c>
      <c r="D121" s="374">
        <f>IF(F120+SUM(E$99:E120)=D$92,F120,D$92-SUM(E$99:E120))</f>
        <v>175926.69613910001</v>
      </c>
      <c r="E121" s="522">
        <f>IF(+J96&lt;F120,J96,D121)</f>
        <v>9076.8048780487807</v>
      </c>
      <c r="F121" s="523">
        <f t="shared" si="49"/>
        <v>166849.89126105123</v>
      </c>
      <c r="G121" s="523">
        <f t="shared" si="50"/>
        <v>171388.29370007562</v>
      </c>
      <c r="H121" s="526">
        <f t="shared" si="51"/>
        <v>28531.814446595548</v>
      </c>
      <c r="I121" s="577">
        <f t="shared" si="52"/>
        <v>28531.814446595548</v>
      </c>
      <c r="J121" s="514">
        <f t="shared" si="31"/>
        <v>0</v>
      </c>
      <c r="K121" s="514"/>
      <c r="L121" s="525"/>
      <c r="M121" s="514">
        <f t="shared" si="32"/>
        <v>0</v>
      </c>
      <c r="N121" s="525"/>
      <c r="O121" s="514">
        <f t="shared" si="33"/>
        <v>0</v>
      </c>
      <c r="P121" s="514">
        <f t="shared" si="34"/>
        <v>0</v>
      </c>
      <c r="Q121" s="269"/>
    </row>
    <row r="122" spans="2:17">
      <c r="B122" s="195" t="str">
        <f t="shared" si="35"/>
        <v/>
      </c>
      <c r="C122" s="507">
        <f>IF(D93="","-",+C121+1)</f>
        <v>2030</v>
      </c>
      <c r="D122" s="374">
        <f>IF(F121+SUM(E$99:E121)=D$92,F121,D$92-SUM(E$99:E121))</f>
        <v>166849.89126105123</v>
      </c>
      <c r="E122" s="522">
        <f>IF(+J96&lt;F121,J96,D122)</f>
        <v>9076.8048780487807</v>
      </c>
      <c r="F122" s="523">
        <f t="shared" si="49"/>
        <v>157773.08638300246</v>
      </c>
      <c r="G122" s="523">
        <f t="shared" si="50"/>
        <v>162311.48882202685</v>
      </c>
      <c r="H122" s="526">
        <f t="shared" si="51"/>
        <v>27501.467962936069</v>
      </c>
      <c r="I122" s="577">
        <f t="shared" si="52"/>
        <v>27501.467962936069</v>
      </c>
      <c r="J122" s="514">
        <f t="shared" si="31"/>
        <v>0</v>
      </c>
      <c r="K122" s="514"/>
      <c r="L122" s="525"/>
      <c r="M122" s="514">
        <f t="shared" si="32"/>
        <v>0</v>
      </c>
      <c r="N122" s="525"/>
      <c r="O122" s="514">
        <f t="shared" si="33"/>
        <v>0</v>
      </c>
      <c r="P122" s="514">
        <f t="shared" si="34"/>
        <v>0</v>
      </c>
      <c r="Q122" s="269"/>
    </row>
    <row r="123" spans="2:17">
      <c r="B123" s="195" t="str">
        <f t="shared" si="35"/>
        <v/>
      </c>
      <c r="C123" s="507">
        <f>IF(D93="","-",+C122+1)</f>
        <v>2031</v>
      </c>
      <c r="D123" s="374">
        <f>IF(F122+SUM(E$99:E122)=D$92,F122,D$92-SUM(E$99:E122))</f>
        <v>157773.08638300246</v>
      </c>
      <c r="E123" s="522">
        <f>IF(+J96&lt;F122,J96,D123)</f>
        <v>9076.8048780487807</v>
      </c>
      <c r="F123" s="523">
        <f t="shared" si="49"/>
        <v>148696.28150495369</v>
      </c>
      <c r="G123" s="523">
        <f t="shared" si="50"/>
        <v>153234.68394397807</v>
      </c>
      <c r="H123" s="526">
        <f t="shared" si="51"/>
        <v>26471.12147927659</v>
      </c>
      <c r="I123" s="577">
        <f t="shared" si="52"/>
        <v>26471.12147927659</v>
      </c>
      <c r="J123" s="514">
        <f t="shared" si="31"/>
        <v>0</v>
      </c>
      <c r="K123" s="514"/>
      <c r="L123" s="525"/>
      <c r="M123" s="514">
        <f t="shared" si="32"/>
        <v>0</v>
      </c>
      <c r="N123" s="525"/>
      <c r="O123" s="514">
        <f t="shared" si="33"/>
        <v>0</v>
      </c>
      <c r="P123" s="514">
        <f t="shared" si="34"/>
        <v>0</v>
      </c>
      <c r="Q123" s="269"/>
    </row>
    <row r="124" spans="2:17">
      <c r="B124" s="195" t="str">
        <f t="shared" si="35"/>
        <v/>
      </c>
      <c r="C124" s="507">
        <f>IF(D93="","-",+C123+1)</f>
        <v>2032</v>
      </c>
      <c r="D124" s="374">
        <f>IF(F123+SUM(E$99:E123)=D$92,F123,D$92-SUM(E$99:E123))</f>
        <v>148696.28150495369</v>
      </c>
      <c r="E124" s="522">
        <f>IF(+J96&lt;F123,J96,D124)</f>
        <v>9076.8048780487807</v>
      </c>
      <c r="F124" s="523">
        <f t="shared" si="49"/>
        <v>139619.47662690491</v>
      </c>
      <c r="G124" s="523">
        <f t="shared" si="50"/>
        <v>144157.8790659293</v>
      </c>
      <c r="H124" s="526">
        <f t="shared" si="51"/>
        <v>25440.77499561711</v>
      </c>
      <c r="I124" s="577">
        <f t="shared" si="52"/>
        <v>25440.77499561711</v>
      </c>
      <c r="J124" s="514">
        <f t="shared" si="31"/>
        <v>0</v>
      </c>
      <c r="K124" s="514"/>
      <c r="L124" s="525"/>
      <c r="M124" s="514">
        <f t="shared" si="32"/>
        <v>0</v>
      </c>
      <c r="N124" s="525"/>
      <c r="O124" s="514">
        <f t="shared" si="33"/>
        <v>0</v>
      </c>
      <c r="P124" s="514">
        <f t="shared" si="34"/>
        <v>0</v>
      </c>
      <c r="Q124" s="269"/>
    </row>
    <row r="125" spans="2:17">
      <c r="B125" s="195" t="str">
        <f t="shared" si="35"/>
        <v/>
      </c>
      <c r="C125" s="507">
        <f>IF(D93="","-",+C124+1)</f>
        <v>2033</v>
      </c>
      <c r="D125" s="374">
        <f>IF(F124+SUM(E$99:E124)=D$92,F124,D$92-SUM(E$99:E124))</f>
        <v>139619.47662690491</v>
      </c>
      <c r="E125" s="522">
        <f>IF(+J96&lt;F124,J96,D125)</f>
        <v>9076.8048780487807</v>
      </c>
      <c r="F125" s="523">
        <f t="shared" si="49"/>
        <v>130542.67174885614</v>
      </c>
      <c r="G125" s="523">
        <f t="shared" si="50"/>
        <v>135081.07418788053</v>
      </c>
      <c r="H125" s="526">
        <f t="shared" si="51"/>
        <v>24410.428511957634</v>
      </c>
      <c r="I125" s="577">
        <f t="shared" si="52"/>
        <v>24410.428511957634</v>
      </c>
      <c r="J125" s="514">
        <f t="shared" si="31"/>
        <v>0</v>
      </c>
      <c r="K125" s="514"/>
      <c r="L125" s="525"/>
      <c r="M125" s="514">
        <f t="shared" si="32"/>
        <v>0</v>
      </c>
      <c r="N125" s="525"/>
      <c r="O125" s="514">
        <f t="shared" si="33"/>
        <v>0</v>
      </c>
      <c r="P125" s="514">
        <f t="shared" si="34"/>
        <v>0</v>
      </c>
      <c r="Q125" s="269"/>
    </row>
    <row r="126" spans="2:17">
      <c r="B126" s="195" t="str">
        <f t="shared" si="35"/>
        <v/>
      </c>
      <c r="C126" s="507">
        <f>IF(D93="","-",+C125+1)</f>
        <v>2034</v>
      </c>
      <c r="D126" s="374">
        <f>IF(F125+SUM(E$99:E125)=D$92,F125,D$92-SUM(E$99:E125))</f>
        <v>130542.67174885614</v>
      </c>
      <c r="E126" s="522">
        <f>IF(+J96&lt;F125,J96,D126)</f>
        <v>9076.8048780487807</v>
      </c>
      <c r="F126" s="523">
        <f t="shared" si="49"/>
        <v>121465.86687080737</v>
      </c>
      <c r="G126" s="523">
        <f t="shared" si="50"/>
        <v>126004.26930983175</v>
      </c>
      <c r="H126" s="526">
        <f t="shared" si="51"/>
        <v>23380.082028298155</v>
      </c>
      <c r="I126" s="577">
        <f t="shared" si="52"/>
        <v>23380.082028298155</v>
      </c>
      <c r="J126" s="514">
        <f t="shared" si="31"/>
        <v>0</v>
      </c>
      <c r="K126" s="514"/>
      <c r="L126" s="525"/>
      <c r="M126" s="514">
        <f t="shared" si="32"/>
        <v>0</v>
      </c>
      <c r="N126" s="525"/>
      <c r="O126" s="514">
        <f t="shared" si="33"/>
        <v>0</v>
      </c>
      <c r="P126" s="514">
        <f t="shared" si="34"/>
        <v>0</v>
      </c>
      <c r="Q126" s="269"/>
    </row>
    <row r="127" spans="2:17">
      <c r="B127" s="195" t="str">
        <f t="shared" si="35"/>
        <v/>
      </c>
      <c r="C127" s="507">
        <f>IF(D93="","-",+C126+1)</f>
        <v>2035</v>
      </c>
      <c r="D127" s="374">
        <f>IF(F126+SUM(E$99:E126)=D$92,F126,D$92-SUM(E$99:E126))</f>
        <v>121465.86687080737</v>
      </c>
      <c r="E127" s="522">
        <f>IF(+J96&lt;F126,J96,D127)</f>
        <v>9076.8048780487807</v>
      </c>
      <c r="F127" s="523">
        <f t="shared" si="49"/>
        <v>112389.06199275859</v>
      </c>
      <c r="G127" s="523">
        <f t="shared" si="50"/>
        <v>116927.46443178298</v>
      </c>
      <c r="H127" s="526">
        <f t="shared" si="51"/>
        <v>22349.735544638679</v>
      </c>
      <c r="I127" s="577">
        <f t="shared" si="52"/>
        <v>22349.735544638679</v>
      </c>
      <c r="J127" s="514">
        <f t="shared" si="31"/>
        <v>0</v>
      </c>
      <c r="K127" s="514"/>
      <c r="L127" s="525"/>
      <c r="M127" s="514">
        <f t="shared" si="32"/>
        <v>0</v>
      </c>
      <c r="N127" s="525"/>
      <c r="O127" s="514">
        <f t="shared" si="33"/>
        <v>0</v>
      </c>
      <c r="P127" s="514">
        <f t="shared" si="34"/>
        <v>0</v>
      </c>
      <c r="Q127" s="269"/>
    </row>
    <row r="128" spans="2:17">
      <c r="B128" s="195" t="str">
        <f t="shared" si="35"/>
        <v/>
      </c>
      <c r="C128" s="507">
        <f>IF(D93="","-",+C127+1)</f>
        <v>2036</v>
      </c>
      <c r="D128" s="374">
        <f>IF(F127+SUM(E$99:E127)=D$92,F127,D$92-SUM(E$99:E127))</f>
        <v>112389.06199275859</v>
      </c>
      <c r="E128" s="522">
        <f>IF(+J96&lt;F127,J96,D128)</f>
        <v>9076.8048780487807</v>
      </c>
      <c r="F128" s="523">
        <f t="shared" si="49"/>
        <v>103312.25711470982</v>
      </c>
      <c r="G128" s="523">
        <f t="shared" si="50"/>
        <v>107850.65955373421</v>
      </c>
      <c r="H128" s="526">
        <f t="shared" si="51"/>
        <v>21319.3890609792</v>
      </c>
      <c r="I128" s="577">
        <f t="shared" si="52"/>
        <v>21319.3890609792</v>
      </c>
      <c r="J128" s="514">
        <f t="shared" si="31"/>
        <v>0</v>
      </c>
      <c r="K128" s="514"/>
      <c r="L128" s="525"/>
      <c r="M128" s="514">
        <f t="shared" si="32"/>
        <v>0</v>
      </c>
      <c r="N128" s="525"/>
      <c r="O128" s="514">
        <f t="shared" si="33"/>
        <v>0</v>
      </c>
      <c r="P128" s="514">
        <f t="shared" si="34"/>
        <v>0</v>
      </c>
      <c r="Q128" s="269"/>
    </row>
    <row r="129" spans="2:17">
      <c r="B129" s="195" t="str">
        <f t="shared" si="35"/>
        <v/>
      </c>
      <c r="C129" s="507">
        <f>IF(D93="","-",+C128+1)</f>
        <v>2037</v>
      </c>
      <c r="D129" s="374">
        <f>IF(F128+SUM(E$99:E128)=D$92,F128,D$92-SUM(E$99:E128))</f>
        <v>103312.25711470982</v>
      </c>
      <c r="E129" s="522">
        <f>IF(+J96&lt;F128,J96,D129)</f>
        <v>9076.8048780487807</v>
      </c>
      <c r="F129" s="523">
        <f t="shared" si="49"/>
        <v>94235.452236661047</v>
      </c>
      <c r="G129" s="523">
        <f t="shared" si="50"/>
        <v>98773.854675685434</v>
      </c>
      <c r="H129" s="526">
        <f t="shared" si="51"/>
        <v>20289.04257731972</v>
      </c>
      <c r="I129" s="577">
        <f t="shared" si="52"/>
        <v>20289.04257731972</v>
      </c>
      <c r="J129" s="514">
        <f t="shared" si="31"/>
        <v>0</v>
      </c>
      <c r="K129" s="514"/>
      <c r="L129" s="525"/>
      <c r="M129" s="514">
        <f t="shared" si="32"/>
        <v>0</v>
      </c>
      <c r="N129" s="525"/>
      <c r="O129" s="514">
        <f t="shared" si="33"/>
        <v>0</v>
      </c>
      <c r="P129" s="514">
        <f t="shared" si="34"/>
        <v>0</v>
      </c>
      <c r="Q129" s="269"/>
    </row>
    <row r="130" spans="2:17">
      <c r="B130" s="195" t="str">
        <f t="shared" si="35"/>
        <v/>
      </c>
      <c r="C130" s="507">
        <f>IF(D93="","-",+C129+1)</f>
        <v>2038</v>
      </c>
      <c r="D130" s="374">
        <f>IF(F129+SUM(E$99:E129)=D$92,F129,D$92-SUM(E$99:E129))</f>
        <v>94235.452236661047</v>
      </c>
      <c r="E130" s="522">
        <f>IF(+J96&lt;F129,J96,D130)</f>
        <v>9076.8048780487807</v>
      </c>
      <c r="F130" s="523">
        <f t="shared" si="49"/>
        <v>85158.647358612274</v>
      </c>
      <c r="G130" s="523">
        <f t="shared" si="50"/>
        <v>89697.049797636661</v>
      </c>
      <c r="H130" s="526">
        <f t="shared" si="51"/>
        <v>19258.696093660241</v>
      </c>
      <c r="I130" s="577">
        <f t="shared" si="52"/>
        <v>19258.696093660241</v>
      </c>
      <c r="J130" s="514">
        <f t="shared" si="31"/>
        <v>0</v>
      </c>
      <c r="K130" s="514"/>
      <c r="L130" s="525"/>
      <c r="M130" s="514">
        <f t="shared" si="32"/>
        <v>0</v>
      </c>
      <c r="N130" s="525"/>
      <c r="O130" s="514">
        <f t="shared" si="33"/>
        <v>0</v>
      </c>
      <c r="P130" s="514">
        <f t="shared" si="34"/>
        <v>0</v>
      </c>
      <c r="Q130" s="269"/>
    </row>
    <row r="131" spans="2:17">
      <c r="B131" s="195" t="str">
        <f t="shared" si="35"/>
        <v/>
      </c>
      <c r="C131" s="507">
        <f>IF(D93="","-",+C130+1)</f>
        <v>2039</v>
      </c>
      <c r="D131" s="374">
        <f>IF(F130+SUM(E$99:E130)=D$92,F130,D$92-SUM(E$99:E130))</f>
        <v>85158.647358612274</v>
      </c>
      <c r="E131" s="522">
        <f>IF(+J96&lt;F130,J96,D131)</f>
        <v>9076.8048780487807</v>
      </c>
      <c r="F131" s="523">
        <f t="shared" ref="F131:F154" si="53">+D131-E131</f>
        <v>76081.8424805635</v>
      </c>
      <c r="G131" s="523">
        <f t="shared" ref="G131:G154" si="54">+(F131+D131)/2</f>
        <v>80620.244919587887</v>
      </c>
      <c r="H131" s="526">
        <f t="shared" si="51"/>
        <v>18228.349610000761</v>
      </c>
      <c r="I131" s="577">
        <f t="shared" si="52"/>
        <v>18228.349610000761</v>
      </c>
      <c r="J131" s="514">
        <f t="shared" ref="J131:J154" si="55">+I131-H131</f>
        <v>0</v>
      </c>
      <c r="K131" s="514"/>
      <c r="L131" s="525"/>
      <c r="M131" s="514">
        <f t="shared" ref="M131:M154" si="56">IF(L131&lt;&gt;0,+H131-L131,0)</f>
        <v>0</v>
      </c>
      <c r="N131" s="525"/>
      <c r="O131" s="514">
        <f t="shared" ref="O131:O154" si="57">IF(N131&lt;&gt;0,+I131-N131,0)</f>
        <v>0</v>
      </c>
      <c r="P131" s="514">
        <f t="shared" ref="P131:P154" si="58">+O131-M131</f>
        <v>0</v>
      </c>
      <c r="Q131" s="269"/>
    </row>
    <row r="132" spans="2:17">
      <c r="B132" s="195" t="str">
        <f t="shared" si="35"/>
        <v/>
      </c>
      <c r="C132" s="507">
        <f>IF(D93="","-",+C131+1)</f>
        <v>2040</v>
      </c>
      <c r="D132" s="374">
        <f>IF(F131+SUM(E$99:E131)=D$92,F131,D$92-SUM(E$99:E131))</f>
        <v>76081.8424805635</v>
      </c>
      <c r="E132" s="522">
        <f>IF(+J96&lt;F131,J96,D132)</f>
        <v>9076.8048780487807</v>
      </c>
      <c r="F132" s="523">
        <f t="shared" si="53"/>
        <v>67005.037602514727</v>
      </c>
      <c r="G132" s="523">
        <f t="shared" si="54"/>
        <v>71543.440041539114</v>
      </c>
      <c r="H132" s="526">
        <f t="shared" si="51"/>
        <v>17198.003126341286</v>
      </c>
      <c r="I132" s="577">
        <f t="shared" si="52"/>
        <v>17198.003126341286</v>
      </c>
      <c r="J132" s="514">
        <f t="shared" si="55"/>
        <v>0</v>
      </c>
      <c r="K132" s="514"/>
      <c r="L132" s="525"/>
      <c r="M132" s="514">
        <f t="shared" si="56"/>
        <v>0</v>
      </c>
      <c r="N132" s="525"/>
      <c r="O132" s="514">
        <f t="shared" si="57"/>
        <v>0</v>
      </c>
      <c r="P132" s="514">
        <f t="shared" si="58"/>
        <v>0</v>
      </c>
      <c r="Q132" s="269"/>
    </row>
    <row r="133" spans="2:17">
      <c r="B133" s="195" t="str">
        <f t="shared" si="35"/>
        <v/>
      </c>
      <c r="C133" s="507">
        <f>IF(D93="","-",+C132+1)</f>
        <v>2041</v>
      </c>
      <c r="D133" s="374">
        <f>IF(F132+SUM(E$99:E132)=D$92,F132,D$92-SUM(E$99:E132))</f>
        <v>67005.037602514727</v>
      </c>
      <c r="E133" s="522">
        <f>IF(+J96&lt;F132,J96,D133)</f>
        <v>9076.8048780487807</v>
      </c>
      <c r="F133" s="523">
        <f t="shared" si="53"/>
        <v>57928.232724465946</v>
      </c>
      <c r="G133" s="523">
        <f t="shared" si="54"/>
        <v>62466.63516349034</v>
      </c>
      <c r="H133" s="526">
        <f t="shared" si="51"/>
        <v>16167.656642681806</v>
      </c>
      <c r="I133" s="577">
        <f t="shared" si="52"/>
        <v>16167.656642681806</v>
      </c>
      <c r="J133" s="514">
        <f t="shared" si="55"/>
        <v>0</v>
      </c>
      <c r="K133" s="514"/>
      <c r="L133" s="525"/>
      <c r="M133" s="514">
        <f t="shared" si="56"/>
        <v>0</v>
      </c>
      <c r="N133" s="525"/>
      <c r="O133" s="514">
        <f t="shared" si="57"/>
        <v>0</v>
      </c>
      <c r="P133" s="514">
        <f t="shared" si="58"/>
        <v>0</v>
      </c>
      <c r="Q133" s="269"/>
    </row>
    <row r="134" spans="2:17">
      <c r="B134" s="195" t="str">
        <f t="shared" si="35"/>
        <v/>
      </c>
      <c r="C134" s="507">
        <f>IF(D93="","-",+C133+1)</f>
        <v>2042</v>
      </c>
      <c r="D134" s="374">
        <f>IF(F133+SUM(E$99:E133)=D$92,F133,D$92-SUM(E$99:E133))</f>
        <v>57928.232724465946</v>
      </c>
      <c r="E134" s="522">
        <f>IF(+J96&lt;F133,J96,D134)</f>
        <v>9076.8048780487807</v>
      </c>
      <c r="F134" s="523">
        <f t="shared" si="53"/>
        <v>48851.427846417166</v>
      </c>
      <c r="G134" s="523">
        <f t="shared" si="54"/>
        <v>53389.830285441552</v>
      </c>
      <c r="H134" s="526">
        <f t="shared" si="51"/>
        <v>15137.310159022327</v>
      </c>
      <c r="I134" s="577">
        <f t="shared" si="52"/>
        <v>15137.310159022327</v>
      </c>
      <c r="J134" s="514">
        <f t="shared" si="55"/>
        <v>0</v>
      </c>
      <c r="K134" s="514"/>
      <c r="L134" s="525"/>
      <c r="M134" s="514">
        <f t="shared" si="56"/>
        <v>0</v>
      </c>
      <c r="N134" s="525"/>
      <c r="O134" s="514">
        <f t="shared" si="57"/>
        <v>0</v>
      </c>
      <c r="P134" s="514">
        <f t="shared" si="58"/>
        <v>0</v>
      </c>
      <c r="Q134" s="269"/>
    </row>
    <row r="135" spans="2:17">
      <c r="B135" s="195" t="str">
        <f t="shared" si="35"/>
        <v/>
      </c>
      <c r="C135" s="507">
        <f>IF(D93="","-",+C134+1)</f>
        <v>2043</v>
      </c>
      <c r="D135" s="374">
        <f>IF(F134+SUM(E$99:E134)=D$92,F134,D$92-SUM(E$99:E134))</f>
        <v>48851.427846417166</v>
      </c>
      <c r="E135" s="522">
        <f>IF(+J96&lt;F134,J96,D135)</f>
        <v>9076.8048780487807</v>
      </c>
      <c r="F135" s="523">
        <f t="shared" si="53"/>
        <v>39774.622968368385</v>
      </c>
      <c r="G135" s="523">
        <f t="shared" si="54"/>
        <v>44313.025407392779</v>
      </c>
      <c r="H135" s="526">
        <f t="shared" si="51"/>
        <v>14106.963675362847</v>
      </c>
      <c r="I135" s="577">
        <f t="shared" si="52"/>
        <v>14106.963675362847</v>
      </c>
      <c r="J135" s="514">
        <f t="shared" si="55"/>
        <v>0</v>
      </c>
      <c r="K135" s="514"/>
      <c r="L135" s="525"/>
      <c r="M135" s="514">
        <f t="shared" si="56"/>
        <v>0</v>
      </c>
      <c r="N135" s="525"/>
      <c r="O135" s="514">
        <f t="shared" si="57"/>
        <v>0</v>
      </c>
      <c r="P135" s="514">
        <f t="shared" si="58"/>
        <v>0</v>
      </c>
      <c r="Q135" s="269"/>
    </row>
    <row r="136" spans="2:17">
      <c r="B136" s="195" t="str">
        <f t="shared" si="35"/>
        <v/>
      </c>
      <c r="C136" s="507">
        <f>IF(D93="","-",+C135+1)</f>
        <v>2044</v>
      </c>
      <c r="D136" s="374">
        <f>IF(F135+SUM(E$99:E135)=D$92,F135,D$92-SUM(E$99:E135))</f>
        <v>39774.622968368385</v>
      </c>
      <c r="E136" s="522">
        <f>IF(+J96&lt;F135,J96,D136)</f>
        <v>9076.8048780487807</v>
      </c>
      <c r="F136" s="523">
        <f t="shared" si="53"/>
        <v>30697.818090319604</v>
      </c>
      <c r="G136" s="523">
        <f t="shared" si="54"/>
        <v>35236.220529343991</v>
      </c>
      <c r="H136" s="526">
        <f t="shared" si="51"/>
        <v>13076.617191703368</v>
      </c>
      <c r="I136" s="577">
        <f t="shared" si="52"/>
        <v>13076.617191703368</v>
      </c>
      <c r="J136" s="514">
        <f t="shared" si="55"/>
        <v>0</v>
      </c>
      <c r="K136" s="514"/>
      <c r="L136" s="525"/>
      <c r="M136" s="514">
        <f t="shared" si="56"/>
        <v>0</v>
      </c>
      <c r="N136" s="525"/>
      <c r="O136" s="514">
        <f t="shared" si="57"/>
        <v>0</v>
      </c>
      <c r="P136" s="514">
        <f t="shared" si="58"/>
        <v>0</v>
      </c>
      <c r="Q136" s="269"/>
    </row>
    <row r="137" spans="2:17">
      <c r="B137" s="195" t="str">
        <f t="shared" si="35"/>
        <v/>
      </c>
      <c r="C137" s="507">
        <f>IF(D93="","-",+C136+1)</f>
        <v>2045</v>
      </c>
      <c r="D137" s="374">
        <f>IF(F136+SUM(E$99:E136)=D$92,F136,D$92-SUM(E$99:E136))</f>
        <v>30697.818090319604</v>
      </c>
      <c r="E137" s="522">
        <f>IF(+J96&lt;F136,J96,D137)</f>
        <v>9076.8048780487807</v>
      </c>
      <c r="F137" s="523">
        <f t="shared" si="53"/>
        <v>21621.013212270824</v>
      </c>
      <c r="G137" s="523">
        <f t="shared" si="54"/>
        <v>26159.415651295214</v>
      </c>
      <c r="H137" s="526">
        <f t="shared" si="51"/>
        <v>12046.270708043889</v>
      </c>
      <c r="I137" s="577">
        <f t="shared" si="52"/>
        <v>12046.270708043889</v>
      </c>
      <c r="J137" s="514">
        <f t="shared" si="55"/>
        <v>0</v>
      </c>
      <c r="K137" s="514"/>
      <c r="L137" s="525"/>
      <c r="M137" s="514">
        <f t="shared" si="56"/>
        <v>0</v>
      </c>
      <c r="N137" s="525"/>
      <c r="O137" s="514">
        <f t="shared" si="57"/>
        <v>0</v>
      </c>
      <c r="P137" s="514">
        <f t="shared" si="58"/>
        <v>0</v>
      </c>
      <c r="Q137" s="269"/>
    </row>
    <row r="138" spans="2:17">
      <c r="B138" s="195" t="str">
        <f t="shared" si="35"/>
        <v/>
      </c>
      <c r="C138" s="507">
        <f>IF(D93="","-",+C137+1)</f>
        <v>2046</v>
      </c>
      <c r="D138" s="374">
        <f>IF(F137+SUM(E$99:E137)=D$92,F137,D$92-SUM(E$99:E137))</f>
        <v>21621.013212270824</v>
      </c>
      <c r="E138" s="522">
        <f>IF(+J96&lt;F137,J96,D138)</f>
        <v>9076.8048780487807</v>
      </c>
      <c r="F138" s="523">
        <f t="shared" si="53"/>
        <v>12544.208334222043</v>
      </c>
      <c r="G138" s="523">
        <f t="shared" si="54"/>
        <v>17082.610773246433</v>
      </c>
      <c r="H138" s="526">
        <f t="shared" si="51"/>
        <v>11015.924224384409</v>
      </c>
      <c r="I138" s="577">
        <f t="shared" si="52"/>
        <v>11015.924224384409</v>
      </c>
      <c r="J138" s="514">
        <f t="shared" si="55"/>
        <v>0</v>
      </c>
      <c r="K138" s="514"/>
      <c r="L138" s="525"/>
      <c r="M138" s="514">
        <f t="shared" si="56"/>
        <v>0</v>
      </c>
      <c r="N138" s="525"/>
      <c r="O138" s="514">
        <f t="shared" si="57"/>
        <v>0</v>
      </c>
      <c r="P138" s="514">
        <f t="shared" si="58"/>
        <v>0</v>
      </c>
      <c r="Q138" s="269"/>
    </row>
    <row r="139" spans="2:17">
      <c r="B139" s="195" t="str">
        <f t="shared" si="35"/>
        <v/>
      </c>
      <c r="C139" s="507">
        <f>IF(D93="","-",+C138+1)</f>
        <v>2047</v>
      </c>
      <c r="D139" s="374">
        <f>IF(F138+SUM(E$99:E138)=D$92,F138,D$92-SUM(E$99:E138))</f>
        <v>12544.208334222043</v>
      </c>
      <c r="E139" s="522">
        <f>IF(+J96&lt;F138,J96,D139)</f>
        <v>9076.8048780487807</v>
      </c>
      <c r="F139" s="523">
        <f t="shared" si="53"/>
        <v>3467.4034561732624</v>
      </c>
      <c r="G139" s="523">
        <f t="shared" si="54"/>
        <v>8005.8058951976527</v>
      </c>
      <c r="H139" s="526">
        <f t="shared" si="51"/>
        <v>9985.5777407249298</v>
      </c>
      <c r="I139" s="577">
        <f t="shared" si="52"/>
        <v>9985.5777407249298</v>
      </c>
      <c r="J139" s="514">
        <f t="shared" si="55"/>
        <v>0</v>
      </c>
      <c r="K139" s="514"/>
      <c r="L139" s="525"/>
      <c r="M139" s="514">
        <f t="shared" si="56"/>
        <v>0</v>
      </c>
      <c r="N139" s="525"/>
      <c r="O139" s="514">
        <f t="shared" si="57"/>
        <v>0</v>
      </c>
      <c r="P139" s="514">
        <f t="shared" si="58"/>
        <v>0</v>
      </c>
      <c r="Q139" s="269"/>
    </row>
    <row r="140" spans="2:17">
      <c r="B140" s="195" t="str">
        <f t="shared" si="35"/>
        <v/>
      </c>
      <c r="C140" s="507">
        <f>IF(D93="","-",+C139+1)</f>
        <v>2048</v>
      </c>
      <c r="D140" s="374">
        <f>IF(F139+SUM(E$99:E139)=D$92,F139,D$92-SUM(E$99:E139))</f>
        <v>3467.4034561732624</v>
      </c>
      <c r="E140" s="522">
        <f>IF(+J96&lt;F139,J96,D140)</f>
        <v>3467.4034561732624</v>
      </c>
      <c r="F140" s="523">
        <f t="shared" si="53"/>
        <v>0</v>
      </c>
      <c r="G140" s="523">
        <f t="shared" si="54"/>
        <v>1733.7017280866312</v>
      </c>
      <c r="H140" s="526">
        <f t="shared" si="51"/>
        <v>3664.2032665964675</v>
      </c>
      <c r="I140" s="577">
        <f t="shared" si="52"/>
        <v>3664.2032665964675</v>
      </c>
      <c r="J140" s="514">
        <f t="shared" si="55"/>
        <v>0</v>
      </c>
      <c r="K140" s="514"/>
      <c r="L140" s="525"/>
      <c r="M140" s="514">
        <f t="shared" si="56"/>
        <v>0</v>
      </c>
      <c r="N140" s="525"/>
      <c r="O140" s="514">
        <f t="shared" si="57"/>
        <v>0</v>
      </c>
      <c r="P140" s="514">
        <f t="shared" si="58"/>
        <v>0</v>
      </c>
      <c r="Q140" s="269"/>
    </row>
    <row r="141" spans="2:17">
      <c r="B141" s="195" t="str">
        <f t="shared" si="35"/>
        <v/>
      </c>
      <c r="C141" s="507">
        <f>IF(D93="","-",+C140+1)</f>
        <v>2049</v>
      </c>
      <c r="D141" s="374">
        <f>IF(F140+SUM(E$99:E140)=D$92,F140,D$92-SUM(E$99:E140))</f>
        <v>0</v>
      </c>
      <c r="E141" s="522">
        <f>IF(+J96&lt;F140,J96,D141)</f>
        <v>0</v>
      </c>
      <c r="F141" s="523">
        <f t="shared" si="53"/>
        <v>0</v>
      </c>
      <c r="G141" s="523">
        <f t="shared" si="54"/>
        <v>0</v>
      </c>
      <c r="H141" s="526">
        <f t="shared" si="51"/>
        <v>0</v>
      </c>
      <c r="I141" s="577">
        <f t="shared" si="52"/>
        <v>0</v>
      </c>
      <c r="J141" s="514">
        <f t="shared" si="55"/>
        <v>0</v>
      </c>
      <c r="K141" s="514"/>
      <c r="L141" s="525"/>
      <c r="M141" s="514">
        <f t="shared" si="56"/>
        <v>0</v>
      </c>
      <c r="N141" s="525"/>
      <c r="O141" s="514">
        <f t="shared" si="57"/>
        <v>0</v>
      </c>
      <c r="P141" s="514">
        <f t="shared" si="58"/>
        <v>0</v>
      </c>
      <c r="Q141" s="269"/>
    </row>
    <row r="142" spans="2:17">
      <c r="B142" s="195" t="str">
        <f t="shared" si="35"/>
        <v/>
      </c>
      <c r="C142" s="507">
        <f>IF(D93="","-",+C141+1)</f>
        <v>2050</v>
      </c>
      <c r="D142" s="374">
        <f>IF(F141+SUM(E$99:E141)=D$92,F141,D$92-SUM(E$99:E141))</f>
        <v>0</v>
      </c>
      <c r="E142" s="522">
        <f>IF(+J96&lt;F141,J96,D142)</f>
        <v>0</v>
      </c>
      <c r="F142" s="523">
        <f t="shared" si="53"/>
        <v>0</v>
      </c>
      <c r="G142" s="523">
        <f t="shared" si="54"/>
        <v>0</v>
      </c>
      <c r="H142" s="526">
        <f t="shared" si="51"/>
        <v>0</v>
      </c>
      <c r="I142" s="577">
        <f t="shared" si="52"/>
        <v>0</v>
      </c>
      <c r="J142" s="514">
        <f t="shared" si="55"/>
        <v>0</v>
      </c>
      <c r="K142" s="514"/>
      <c r="L142" s="525"/>
      <c r="M142" s="514">
        <f t="shared" si="56"/>
        <v>0</v>
      </c>
      <c r="N142" s="525"/>
      <c r="O142" s="514">
        <f t="shared" si="57"/>
        <v>0</v>
      </c>
      <c r="P142" s="514">
        <f t="shared" si="58"/>
        <v>0</v>
      </c>
      <c r="Q142" s="269"/>
    </row>
    <row r="143" spans="2:17">
      <c r="B143" s="195" t="str">
        <f t="shared" si="35"/>
        <v/>
      </c>
      <c r="C143" s="507">
        <f>IF(D93="","-",+C142+1)</f>
        <v>2051</v>
      </c>
      <c r="D143" s="374">
        <f>IF(F142+SUM(E$99:E142)=D$92,F142,D$92-SUM(E$99:E142))</f>
        <v>0</v>
      </c>
      <c r="E143" s="522">
        <f>IF(+J96&lt;F142,J96,D143)</f>
        <v>0</v>
      </c>
      <c r="F143" s="523">
        <f t="shared" si="53"/>
        <v>0</v>
      </c>
      <c r="G143" s="523">
        <f t="shared" si="54"/>
        <v>0</v>
      </c>
      <c r="H143" s="526">
        <f t="shared" si="51"/>
        <v>0</v>
      </c>
      <c r="I143" s="577">
        <f t="shared" si="52"/>
        <v>0</v>
      </c>
      <c r="J143" s="514">
        <f t="shared" si="55"/>
        <v>0</v>
      </c>
      <c r="K143" s="514"/>
      <c r="L143" s="525"/>
      <c r="M143" s="514">
        <f t="shared" si="56"/>
        <v>0</v>
      </c>
      <c r="N143" s="525"/>
      <c r="O143" s="514">
        <f t="shared" si="57"/>
        <v>0</v>
      </c>
      <c r="P143" s="514">
        <f t="shared" si="58"/>
        <v>0</v>
      </c>
      <c r="Q143" s="269"/>
    </row>
    <row r="144" spans="2:17">
      <c r="B144" s="195" t="str">
        <f t="shared" si="35"/>
        <v/>
      </c>
      <c r="C144" s="507">
        <f>IF(D93="","-",+C143+1)</f>
        <v>2052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53"/>
        <v>0</v>
      </c>
      <c r="G144" s="523">
        <f t="shared" si="54"/>
        <v>0</v>
      </c>
      <c r="H144" s="526">
        <f t="shared" si="51"/>
        <v>0</v>
      </c>
      <c r="I144" s="577">
        <f t="shared" si="52"/>
        <v>0</v>
      </c>
      <c r="J144" s="514">
        <f t="shared" si="55"/>
        <v>0</v>
      </c>
      <c r="K144" s="514"/>
      <c r="L144" s="525"/>
      <c r="M144" s="514">
        <f t="shared" si="56"/>
        <v>0</v>
      </c>
      <c r="N144" s="525"/>
      <c r="O144" s="514">
        <f t="shared" si="57"/>
        <v>0</v>
      </c>
      <c r="P144" s="514">
        <f t="shared" si="58"/>
        <v>0</v>
      </c>
      <c r="Q144" s="269"/>
    </row>
    <row r="145" spans="2:17">
      <c r="B145" s="195" t="str">
        <f t="shared" si="35"/>
        <v/>
      </c>
      <c r="C145" s="507">
        <f>IF(D93="","-",+C144+1)</f>
        <v>2053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53"/>
        <v>0</v>
      </c>
      <c r="G145" s="523">
        <f t="shared" si="54"/>
        <v>0</v>
      </c>
      <c r="H145" s="526">
        <f t="shared" si="51"/>
        <v>0</v>
      </c>
      <c r="I145" s="577">
        <f t="shared" si="52"/>
        <v>0</v>
      </c>
      <c r="J145" s="514">
        <f t="shared" si="55"/>
        <v>0</v>
      </c>
      <c r="K145" s="514"/>
      <c r="L145" s="525"/>
      <c r="M145" s="514">
        <f t="shared" si="56"/>
        <v>0</v>
      </c>
      <c r="N145" s="525"/>
      <c r="O145" s="514">
        <f t="shared" si="57"/>
        <v>0</v>
      </c>
      <c r="P145" s="514">
        <f t="shared" si="58"/>
        <v>0</v>
      </c>
      <c r="Q145" s="269"/>
    </row>
    <row r="146" spans="2:17">
      <c r="B146" s="195" t="str">
        <f t="shared" si="35"/>
        <v/>
      </c>
      <c r="C146" s="507">
        <f>IF(D93="","-",+C145+1)</f>
        <v>2054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53"/>
        <v>0</v>
      </c>
      <c r="G146" s="523">
        <f t="shared" si="54"/>
        <v>0</v>
      </c>
      <c r="H146" s="526">
        <f t="shared" si="51"/>
        <v>0</v>
      </c>
      <c r="I146" s="577">
        <f t="shared" si="52"/>
        <v>0</v>
      </c>
      <c r="J146" s="514">
        <f t="shared" si="55"/>
        <v>0</v>
      </c>
      <c r="K146" s="514"/>
      <c r="L146" s="525"/>
      <c r="M146" s="514">
        <f t="shared" si="56"/>
        <v>0</v>
      </c>
      <c r="N146" s="525"/>
      <c r="O146" s="514">
        <f t="shared" si="57"/>
        <v>0</v>
      </c>
      <c r="P146" s="514">
        <f t="shared" si="58"/>
        <v>0</v>
      </c>
      <c r="Q146" s="269"/>
    </row>
    <row r="147" spans="2:17">
      <c r="B147" s="195" t="str">
        <f t="shared" si="35"/>
        <v/>
      </c>
      <c r="C147" s="507">
        <f>IF(D93="","-",+C146+1)</f>
        <v>2055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53"/>
        <v>0</v>
      </c>
      <c r="G147" s="523">
        <f t="shared" si="54"/>
        <v>0</v>
      </c>
      <c r="H147" s="526">
        <f t="shared" si="51"/>
        <v>0</v>
      </c>
      <c r="I147" s="577">
        <f t="shared" si="52"/>
        <v>0</v>
      </c>
      <c r="J147" s="514">
        <f t="shared" si="55"/>
        <v>0</v>
      </c>
      <c r="K147" s="514"/>
      <c r="L147" s="525"/>
      <c r="M147" s="514">
        <f t="shared" si="56"/>
        <v>0</v>
      </c>
      <c r="N147" s="525"/>
      <c r="O147" s="514">
        <f t="shared" si="57"/>
        <v>0</v>
      </c>
      <c r="P147" s="514">
        <f t="shared" si="58"/>
        <v>0</v>
      </c>
      <c r="Q147" s="269"/>
    </row>
    <row r="148" spans="2:17">
      <c r="B148" s="195" t="str">
        <f t="shared" si="35"/>
        <v/>
      </c>
      <c r="C148" s="507">
        <f>IF(D93="","-",+C147+1)</f>
        <v>2056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53"/>
        <v>0</v>
      </c>
      <c r="G148" s="523">
        <f t="shared" si="54"/>
        <v>0</v>
      </c>
      <c r="H148" s="526">
        <f t="shared" si="51"/>
        <v>0</v>
      </c>
      <c r="I148" s="577">
        <f t="shared" si="52"/>
        <v>0</v>
      </c>
      <c r="J148" s="514">
        <f t="shared" si="55"/>
        <v>0</v>
      </c>
      <c r="K148" s="514"/>
      <c r="L148" s="525"/>
      <c r="M148" s="514">
        <f t="shared" si="56"/>
        <v>0</v>
      </c>
      <c r="N148" s="525"/>
      <c r="O148" s="514">
        <f t="shared" si="57"/>
        <v>0</v>
      </c>
      <c r="P148" s="514">
        <f t="shared" si="58"/>
        <v>0</v>
      </c>
      <c r="Q148" s="269"/>
    </row>
    <row r="149" spans="2:17">
      <c r="B149" s="195" t="str">
        <f t="shared" si="35"/>
        <v/>
      </c>
      <c r="C149" s="507">
        <f>IF(D93="","-",+C148+1)</f>
        <v>2057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53"/>
        <v>0</v>
      </c>
      <c r="G149" s="523">
        <f t="shared" si="54"/>
        <v>0</v>
      </c>
      <c r="H149" s="526">
        <f t="shared" si="51"/>
        <v>0</v>
      </c>
      <c r="I149" s="577">
        <f t="shared" si="52"/>
        <v>0</v>
      </c>
      <c r="J149" s="514">
        <f t="shared" si="55"/>
        <v>0</v>
      </c>
      <c r="K149" s="514"/>
      <c r="L149" s="525"/>
      <c r="M149" s="514">
        <f t="shared" si="56"/>
        <v>0</v>
      </c>
      <c r="N149" s="525"/>
      <c r="O149" s="514">
        <f t="shared" si="57"/>
        <v>0</v>
      </c>
      <c r="P149" s="514">
        <f t="shared" si="58"/>
        <v>0</v>
      </c>
      <c r="Q149" s="269"/>
    </row>
    <row r="150" spans="2:17">
      <c r="B150" s="195" t="str">
        <f t="shared" si="35"/>
        <v/>
      </c>
      <c r="C150" s="507">
        <f>IF(D93="","-",+C149+1)</f>
        <v>2058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53"/>
        <v>0</v>
      </c>
      <c r="G150" s="523">
        <f t="shared" si="54"/>
        <v>0</v>
      </c>
      <c r="H150" s="526">
        <f t="shared" si="51"/>
        <v>0</v>
      </c>
      <c r="I150" s="577">
        <f t="shared" si="52"/>
        <v>0</v>
      </c>
      <c r="J150" s="514">
        <f t="shared" si="55"/>
        <v>0</v>
      </c>
      <c r="K150" s="514"/>
      <c r="L150" s="525"/>
      <c r="M150" s="514">
        <f t="shared" si="56"/>
        <v>0</v>
      </c>
      <c r="N150" s="525"/>
      <c r="O150" s="514">
        <f t="shared" si="57"/>
        <v>0</v>
      </c>
      <c r="P150" s="514">
        <f t="shared" si="58"/>
        <v>0</v>
      </c>
      <c r="Q150" s="269"/>
    </row>
    <row r="151" spans="2:17">
      <c r="B151" s="195" t="str">
        <f t="shared" si="35"/>
        <v/>
      </c>
      <c r="C151" s="507">
        <f>IF(D93="","-",+C150+1)</f>
        <v>2059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53"/>
        <v>0</v>
      </c>
      <c r="G151" s="523">
        <f t="shared" si="54"/>
        <v>0</v>
      </c>
      <c r="H151" s="526">
        <f t="shared" si="51"/>
        <v>0</v>
      </c>
      <c r="I151" s="577">
        <f t="shared" si="52"/>
        <v>0</v>
      </c>
      <c r="J151" s="514">
        <f t="shared" si="55"/>
        <v>0</v>
      </c>
      <c r="K151" s="514"/>
      <c r="L151" s="525"/>
      <c r="M151" s="514">
        <f t="shared" si="56"/>
        <v>0</v>
      </c>
      <c r="N151" s="525"/>
      <c r="O151" s="514">
        <f t="shared" si="57"/>
        <v>0</v>
      </c>
      <c r="P151" s="514">
        <f t="shared" si="58"/>
        <v>0</v>
      </c>
      <c r="Q151" s="269"/>
    </row>
    <row r="152" spans="2:17">
      <c r="B152" s="195" t="str">
        <f t="shared" si="35"/>
        <v/>
      </c>
      <c r="C152" s="507">
        <f>IF(D93="","-",+C151+1)</f>
        <v>2060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53"/>
        <v>0</v>
      </c>
      <c r="G152" s="523">
        <f t="shared" si="54"/>
        <v>0</v>
      </c>
      <c r="H152" s="526">
        <f t="shared" si="51"/>
        <v>0</v>
      </c>
      <c r="I152" s="577">
        <f t="shared" si="52"/>
        <v>0</v>
      </c>
      <c r="J152" s="514">
        <f t="shared" si="55"/>
        <v>0</v>
      </c>
      <c r="K152" s="514"/>
      <c r="L152" s="525"/>
      <c r="M152" s="514">
        <f t="shared" si="56"/>
        <v>0</v>
      </c>
      <c r="N152" s="525"/>
      <c r="O152" s="514">
        <f t="shared" si="57"/>
        <v>0</v>
      </c>
      <c r="P152" s="514">
        <f t="shared" si="58"/>
        <v>0</v>
      </c>
      <c r="Q152" s="269"/>
    </row>
    <row r="153" spans="2:17">
      <c r="B153" s="195" t="str">
        <f t="shared" si="35"/>
        <v/>
      </c>
      <c r="C153" s="507">
        <f>IF(D93="","-",+C152+1)</f>
        <v>2061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53"/>
        <v>0</v>
      </c>
      <c r="G153" s="523">
        <f t="shared" si="54"/>
        <v>0</v>
      </c>
      <c r="H153" s="526">
        <f t="shared" si="51"/>
        <v>0</v>
      </c>
      <c r="I153" s="577">
        <f t="shared" si="52"/>
        <v>0</v>
      </c>
      <c r="J153" s="514">
        <f t="shared" si="55"/>
        <v>0</v>
      </c>
      <c r="K153" s="514"/>
      <c r="L153" s="525"/>
      <c r="M153" s="514">
        <f t="shared" si="56"/>
        <v>0</v>
      </c>
      <c r="N153" s="525"/>
      <c r="O153" s="514">
        <f t="shared" si="57"/>
        <v>0</v>
      </c>
      <c r="P153" s="514">
        <f t="shared" si="58"/>
        <v>0</v>
      </c>
      <c r="Q153" s="269"/>
    </row>
    <row r="154" spans="2:17" ht="13.5" thickBot="1">
      <c r="B154" s="195" t="str">
        <f t="shared" si="35"/>
        <v/>
      </c>
      <c r="C154" s="527">
        <f>IF(D93="","-",+C153+1)</f>
        <v>2062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53"/>
        <v>0</v>
      </c>
      <c r="G154" s="528">
        <f t="shared" si="54"/>
        <v>0</v>
      </c>
      <c r="H154" s="530">
        <f t="shared" si="51"/>
        <v>0</v>
      </c>
      <c r="I154" s="579">
        <f t="shared" si="52"/>
        <v>0</v>
      </c>
      <c r="J154" s="533">
        <f t="shared" si="55"/>
        <v>0</v>
      </c>
      <c r="K154" s="514"/>
      <c r="L154" s="532"/>
      <c r="M154" s="533">
        <f t="shared" si="56"/>
        <v>0</v>
      </c>
      <c r="N154" s="532"/>
      <c r="O154" s="533">
        <f t="shared" si="57"/>
        <v>0</v>
      </c>
      <c r="P154" s="533">
        <f t="shared" si="58"/>
        <v>0</v>
      </c>
      <c r="Q154" s="269"/>
    </row>
    <row r="155" spans="2:17">
      <c r="C155" s="374" t="s">
        <v>78</v>
      </c>
      <c r="D155" s="375"/>
      <c r="E155" s="375">
        <f>SUM(E99:E154)</f>
        <v>372149.00000000006</v>
      </c>
      <c r="F155" s="375"/>
      <c r="G155" s="375"/>
      <c r="H155" s="375">
        <f>SUM(H99:H154)</f>
        <v>1339246.0267697657</v>
      </c>
      <c r="I155" s="375">
        <f>SUM(I99:I154)</f>
        <v>1339246.0267697657</v>
      </c>
      <c r="J155" s="375">
        <f>SUM(J99:J154)</f>
        <v>0</v>
      </c>
      <c r="K155" s="375"/>
      <c r="L155" s="375"/>
      <c r="M155" s="375"/>
      <c r="N155" s="375"/>
      <c r="O155" s="375"/>
      <c r="P155" s="269"/>
      <c r="Q155" s="269"/>
    </row>
    <row r="156" spans="2:17"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  <c r="Q156" s="269"/>
    </row>
    <row r="157" spans="2:17">
      <c r="C157" s="580" t="s">
        <v>92</v>
      </c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  <c r="Q157" s="269"/>
    </row>
    <row r="158" spans="2:17"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  <c r="Q158" s="269"/>
    </row>
    <row r="159" spans="2:17">
      <c r="C159" s="534" t="s">
        <v>97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  <c r="Q159" s="269"/>
    </row>
    <row r="160" spans="2:17">
      <c r="C160" s="581" t="s">
        <v>79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  <c r="Q160" s="269"/>
    </row>
    <row r="161" spans="3:17">
      <c r="C161" s="581" t="s">
        <v>80</v>
      </c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  <c r="Q161" s="269"/>
    </row>
    <row r="162" spans="3:17" ht="18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454" t="s">
        <v>131</v>
      </c>
      <c r="Q162" s="269"/>
    </row>
  </sheetData>
  <phoneticPr fontId="0" type="noConversion"/>
  <conditionalFormatting sqref="C17:C72">
    <cfRule type="cellIs" dxfId="133" priority="1" stopIfTrue="1" operator="equal">
      <formula>$I$10</formula>
    </cfRule>
  </conditionalFormatting>
  <conditionalFormatting sqref="C99:C154">
    <cfRule type="cellIs" dxfId="132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  <legacyDrawing r:id="rId3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65"/>
  <dimension ref="A1:Q162"/>
  <sheetViews>
    <sheetView topLeftCell="A89" zoomScaleNormal="100" zoomScaleSheetLayoutView="75" workbookViewId="0">
      <selection activeCell="D99" sqref="D99:I113"/>
    </sheetView>
  </sheetViews>
  <sheetFormatPr defaultColWidth="8.7109375" defaultRowHeight="12.75" customHeight="1"/>
  <cols>
    <col min="1" max="1" width="4.7109375" style="183" customWidth="1"/>
    <col min="2" max="2" width="6.7109375" style="183" customWidth="1"/>
    <col min="3" max="3" width="23.28515625" style="183" customWidth="1"/>
    <col min="4" max="8" width="17.7109375" style="183" customWidth="1"/>
    <col min="9" max="9" width="20.42578125" style="183" customWidth="1"/>
    <col min="10" max="10" width="16.42578125" style="183" customWidth="1"/>
    <col min="11" max="11" width="17.7109375" style="183" customWidth="1"/>
    <col min="12" max="12" width="16.140625" style="183" customWidth="1"/>
    <col min="13" max="13" width="17.7109375" style="183" customWidth="1"/>
    <col min="14" max="14" width="16.140625" style="183" customWidth="1"/>
    <col min="15" max="15" width="16.85546875" style="183" customWidth="1"/>
    <col min="16" max="16" width="24.42578125" style="183" customWidth="1"/>
    <col min="17" max="17" width="4.7109375" style="183" customWidth="1"/>
    <col min="18" max="18" width="9.140625" style="183" customWidth="1"/>
    <col min="19" max="22" width="8.7109375" style="183"/>
    <col min="23" max="23" width="9.140625" style="183" customWidth="1"/>
    <col min="24" max="16384" width="8.7109375" style="183"/>
  </cols>
  <sheetData>
    <row r="1" spans="1:17" ht="20.25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16 of 75</v>
      </c>
      <c r="Q1" s="453"/>
    </row>
    <row r="2" spans="1:17" ht="18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454" t="s">
        <v>129</v>
      </c>
    </row>
    <row r="3" spans="1:17" ht="18.75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 t="str">
        <f>RIGHT(N3,3)</f>
        <v/>
      </c>
      <c r="P3" s="455">
        <v>1</v>
      </c>
    </row>
    <row r="4" spans="1:17" ht="15.75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7" ht="1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38414.184048676834</v>
      </c>
      <c r="P5" s="269"/>
    </row>
    <row r="6" spans="1:17" ht="15.75">
      <c r="C6" s="274"/>
      <c r="D6" s="614" t="s">
        <v>272</v>
      </c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38414.184048676834</v>
      </c>
      <c r="O6" s="269"/>
      <c r="P6" s="269"/>
    </row>
    <row r="7" spans="1:17" ht="13.5" thickBot="1">
      <c r="C7" s="467" t="s">
        <v>48</v>
      </c>
      <c r="D7" s="468" t="s">
        <v>237</v>
      </c>
      <c r="E7" s="269"/>
      <c r="F7" s="269"/>
      <c r="G7" s="269"/>
      <c r="H7" s="615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7" ht="13.5" thickBot="1">
      <c r="C8" s="472"/>
      <c r="D8" s="599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7" ht="13.5" thickBot="1">
      <c r="A9" s="191"/>
      <c r="C9" s="476" t="s">
        <v>50</v>
      </c>
      <c r="D9" s="477" t="s">
        <v>162</v>
      </c>
      <c r="E9" s="666" t="s">
        <v>484</v>
      </c>
      <c r="F9" s="478"/>
      <c r="G9" s="478"/>
      <c r="H9" s="478"/>
      <c r="I9" s="479"/>
      <c r="J9" s="480"/>
      <c r="O9" s="481"/>
      <c r="P9" s="272"/>
    </row>
    <row r="10" spans="1:17">
      <c r="C10" s="482" t="s">
        <v>51</v>
      </c>
      <c r="D10" s="483">
        <v>389326</v>
      </c>
      <c r="E10" s="353" t="s">
        <v>52</v>
      </c>
      <c r="F10" s="481"/>
      <c r="G10" s="484"/>
      <c r="H10" s="484"/>
      <c r="I10" s="485">
        <f>+'SWE.WS.F.BPU.ATRR.Projected'!L19</f>
        <v>2024</v>
      </c>
      <c r="J10" s="480"/>
      <c r="K10" s="375" t="s">
        <v>53</v>
      </c>
      <c r="O10" s="272"/>
      <c r="P10" s="272"/>
    </row>
    <row r="11" spans="1:17">
      <c r="C11" s="486" t="s">
        <v>54</v>
      </c>
      <c r="D11" s="487">
        <v>2008</v>
      </c>
      <c r="E11" s="486" t="s">
        <v>55</v>
      </c>
      <c r="F11" s="484"/>
      <c r="G11" s="233"/>
      <c r="H11" s="233"/>
      <c r="I11" s="488"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7">
      <c r="C12" s="486" t="s">
        <v>56</v>
      </c>
      <c r="D12" s="483">
        <v>12</v>
      </c>
      <c r="E12" s="486" t="s">
        <v>57</v>
      </c>
      <c r="F12" s="484"/>
      <c r="G12" s="233"/>
      <c r="H12" s="233"/>
      <c r="I12" s="490">
        <f>'SWE.WS.F.BPU.ATRR.Projected'!$F$81</f>
        <v>0.11952713165403545</v>
      </c>
      <c r="J12" s="425"/>
      <c r="K12" s="183" t="s">
        <v>58</v>
      </c>
      <c r="O12" s="272"/>
      <c r="P12" s="272"/>
    </row>
    <row r="13" spans="1:17">
      <c r="C13" s="486" t="s">
        <v>59</v>
      </c>
      <c r="D13" s="488">
        <f>+'SWE.WS.F.BPU.ATRR.Projected'!F$93</f>
        <v>44</v>
      </c>
      <c r="E13" s="486" t="s">
        <v>60</v>
      </c>
      <c r="F13" s="484"/>
      <c r="G13" s="233"/>
      <c r="H13" s="233"/>
      <c r="I13" s="490">
        <f>IF(G5="",I12,'SWE.WS.F.BPU.ATRR.Projected'!$F$80)</f>
        <v>0.11952713165403545</v>
      </c>
      <c r="J13" s="425"/>
      <c r="K13" s="375" t="s">
        <v>61</v>
      </c>
      <c r="L13" s="324"/>
      <c r="M13" s="324"/>
      <c r="N13" s="324"/>
      <c r="O13" s="272"/>
      <c r="P13" s="272"/>
    </row>
    <row r="14" spans="1:17" ht="13.5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8848.318181818182</v>
      </c>
      <c r="J14" s="375"/>
      <c r="K14" s="375"/>
      <c r="L14" s="375"/>
      <c r="M14" s="375"/>
      <c r="N14" s="375"/>
      <c r="O14" s="272"/>
      <c r="P14" s="272"/>
    </row>
    <row r="15" spans="1:17" ht="38.25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388</v>
      </c>
      <c r="H15" s="495" t="s">
        <v>389</v>
      </c>
      <c r="I15" s="496" t="s">
        <v>260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7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>
      <c r="C17" s="507">
        <f>IF(D11= "","-",D11)</f>
        <v>2008</v>
      </c>
      <c r="D17" s="508">
        <v>310667</v>
      </c>
      <c r="E17" s="509">
        <v>0</v>
      </c>
      <c r="F17" s="508">
        <v>310667</v>
      </c>
      <c r="G17" s="509">
        <v>44663</v>
      </c>
      <c r="H17" s="510">
        <v>44663</v>
      </c>
      <c r="I17" s="616">
        <f t="shared" ref="I17:I48" si="0">H17-G17</f>
        <v>0</v>
      </c>
      <c r="J17" s="511"/>
      <c r="K17" s="512">
        <v>0</v>
      </c>
      <c r="L17" s="597">
        <f t="shared" ref="L17:L48" si="1">IF(K17&lt;&gt;0,+G17-K17,0)</f>
        <v>0</v>
      </c>
      <c r="M17" s="512">
        <v>0</v>
      </c>
      <c r="N17" s="513">
        <f t="shared" ref="N17:N48" si="2">IF(M17&lt;&gt;0,+H17-M17,0)</f>
        <v>0</v>
      </c>
      <c r="O17" s="514">
        <f t="shared" ref="O17:O48" si="3">+N17-L17</f>
        <v>0</v>
      </c>
      <c r="P17" s="272"/>
    </row>
    <row r="18" spans="2:16">
      <c r="B18" s="195" t="str">
        <f>IF(D18=F17,"","IU")</f>
        <v/>
      </c>
      <c r="C18" s="507">
        <f>IF(D11="","-",+C17+1)</f>
        <v>2009</v>
      </c>
      <c r="D18" s="515">
        <v>310667</v>
      </c>
      <c r="E18" s="516">
        <v>8175</v>
      </c>
      <c r="F18" s="515">
        <v>302492</v>
      </c>
      <c r="G18" s="516">
        <v>51663</v>
      </c>
      <c r="H18" s="510">
        <v>51663</v>
      </c>
      <c r="I18" s="616">
        <f t="shared" si="0"/>
        <v>0</v>
      </c>
      <c r="J18" s="511"/>
      <c r="K18" s="518">
        <v>0</v>
      </c>
      <c r="L18" s="514">
        <f t="shared" si="1"/>
        <v>0</v>
      </c>
      <c r="M18" s="518">
        <v>0</v>
      </c>
      <c r="N18" s="514">
        <f t="shared" si="2"/>
        <v>0</v>
      </c>
      <c r="O18" s="514">
        <f t="shared" si="3"/>
        <v>0</v>
      </c>
      <c r="P18" s="272"/>
    </row>
    <row r="19" spans="2:16">
      <c r="B19" s="195" t="str">
        <f>IF(D19=F18,"","IU")</f>
        <v/>
      </c>
      <c r="C19" s="507">
        <f>IF(D11="","-",+C18+1)</f>
        <v>2010</v>
      </c>
      <c r="D19" s="515">
        <v>302492</v>
      </c>
      <c r="E19" s="516">
        <v>8175.4473684210525</v>
      </c>
      <c r="F19" s="515">
        <v>294316.55263157893</v>
      </c>
      <c r="G19" s="516">
        <v>50487.866330718665</v>
      </c>
      <c r="H19" s="510">
        <v>50487.866330718665</v>
      </c>
      <c r="I19" s="617">
        <v>0</v>
      </c>
      <c r="J19" s="511"/>
      <c r="K19" s="518">
        <f t="shared" ref="K19:K24" si="4">G19</f>
        <v>50487.866330718665</v>
      </c>
      <c r="L19" s="519">
        <f t="shared" si="1"/>
        <v>0</v>
      </c>
      <c r="M19" s="518">
        <f t="shared" ref="M19:M24" si="5">H19</f>
        <v>50487.866330718665</v>
      </c>
      <c r="N19" s="514">
        <f t="shared" si="2"/>
        <v>0</v>
      </c>
      <c r="O19" s="514">
        <f t="shared" si="3"/>
        <v>0</v>
      </c>
      <c r="P19" s="272"/>
    </row>
    <row r="20" spans="2:16">
      <c r="B20" s="195" t="str">
        <f t="shared" ref="B20:B72" si="6">IF(D20=F19,"","IU")</f>
        <v>IU</v>
      </c>
      <c r="C20" s="507">
        <f>IF(D11="","-",+C19+1)</f>
        <v>2011</v>
      </c>
      <c r="D20" s="515">
        <v>372975.55263157893</v>
      </c>
      <c r="E20" s="516">
        <v>9495.7560975609758</v>
      </c>
      <c r="F20" s="515">
        <v>363479.79653401795</v>
      </c>
      <c r="G20" s="516">
        <v>66268.459500863828</v>
      </c>
      <c r="H20" s="510">
        <v>66268.459500863828</v>
      </c>
      <c r="I20" s="517">
        <v>0</v>
      </c>
      <c r="J20" s="511"/>
      <c r="K20" s="518">
        <f t="shared" si="4"/>
        <v>66268.459500863828</v>
      </c>
      <c r="L20" s="519">
        <f t="shared" si="1"/>
        <v>0</v>
      </c>
      <c r="M20" s="518">
        <f t="shared" si="5"/>
        <v>66268.459500863828</v>
      </c>
      <c r="N20" s="514">
        <f t="shared" si="2"/>
        <v>0</v>
      </c>
      <c r="O20" s="514">
        <f t="shared" si="3"/>
        <v>0</v>
      </c>
      <c r="P20" s="272"/>
    </row>
    <row r="21" spans="2:16">
      <c r="B21" s="195" t="str">
        <f t="shared" si="6"/>
        <v/>
      </c>
      <c r="C21" s="507">
        <f>IF(D12="","-",+C20+1)</f>
        <v>2012</v>
      </c>
      <c r="D21" s="515">
        <v>363479.79653401795</v>
      </c>
      <c r="E21" s="520">
        <v>9269.6666666666661</v>
      </c>
      <c r="F21" s="515">
        <v>354210.12986735126</v>
      </c>
      <c r="G21" s="516">
        <v>61947.846793824669</v>
      </c>
      <c r="H21" s="510">
        <v>61947.846793824669</v>
      </c>
      <c r="I21" s="517">
        <v>0</v>
      </c>
      <c r="J21" s="511"/>
      <c r="K21" s="518">
        <f t="shared" si="4"/>
        <v>61947.846793824669</v>
      </c>
      <c r="L21" s="519">
        <f t="shared" si="1"/>
        <v>0</v>
      </c>
      <c r="M21" s="518">
        <f t="shared" si="5"/>
        <v>61947.846793824669</v>
      </c>
      <c r="N21" s="514">
        <f t="shared" si="2"/>
        <v>0</v>
      </c>
      <c r="O21" s="514">
        <f t="shared" si="3"/>
        <v>0</v>
      </c>
      <c r="P21" s="272"/>
    </row>
    <row r="22" spans="2:16">
      <c r="B22" s="195" t="str">
        <f t="shared" si="6"/>
        <v/>
      </c>
      <c r="C22" s="507">
        <f>IF(D11="","-",+C21+1)</f>
        <v>2013</v>
      </c>
      <c r="D22" s="608">
        <v>354210.12986735126</v>
      </c>
      <c r="E22" s="609">
        <v>9269.6666666666661</v>
      </c>
      <c r="F22" s="608">
        <v>344940.46320068458</v>
      </c>
      <c r="G22" s="609">
        <v>57556.875600006118</v>
      </c>
      <c r="H22" s="610">
        <v>57556.875600006118</v>
      </c>
      <c r="I22" s="596">
        <v>0</v>
      </c>
      <c r="J22" s="511"/>
      <c r="K22" s="518">
        <f t="shared" si="4"/>
        <v>57556.875600006118</v>
      </c>
      <c r="L22" s="519">
        <f t="shared" ref="L22:L27" si="7">IF(K22&lt;&gt;0,+G22-K22,0)</f>
        <v>0</v>
      </c>
      <c r="M22" s="518">
        <f t="shared" si="5"/>
        <v>57556.875600006118</v>
      </c>
      <c r="N22" s="514">
        <f t="shared" ref="N22:N27" si="8">IF(M22&lt;&gt;0,+H22-M22,0)</f>
        <v>0</v>
      </c>
      <c r="O22" s="514">
        <f t="shared" ref="O22:O27" si="9">+N22-L22</f>
        <v>0</v>
      </c>
      <c r="P22" s="272"/>
    </row>
    <row r="23" spans="2:16">
      <c r="B23" s="195" t="str">
        <f t="shared" si="6"/>
        <v/>
      </c>
      <c r="C23" s="507">
        <f>IF(D11="","-",+C22+1)</f>
        <v>2014</v>
      </c>
      <c r="D23" s="608">
        <v>344940.46320068458</v>
      </c>
      <c r="E23" s="609">
        <v>9269.6666666666661</v>
      </c>
      <c r="F23" s="608">
        <v>335670.79653401789</v>
      </c>
      <c r="G23" s="609">
        <v>54555.18443175155</v>
      </c>
      <c r="H23" s="610">
        <v>54555.18443175155</v>
      </c>
      <c r="I23" s="596">
        <v>0</v>
      </c>
      <c r="J23" s="511"/>
      <c r="K23" s="518">
        <f t="shared" si="4"/>
        <v>54555.18443175155</v>
      </c>
      <c r="L23" s="519">
        <f t="shared" si="7"/>
        <v>0</v>
      </c>
      <c r="M23" s="518">
        <f t="shared" si="5"/>
        <v>54555.18443175155</v>
      </c>
      <c r="N23" s="514">
        <f t="shared" si="8"/>
        <v>0</v>
      </c>
      <c r="O23" s="514">
        <f t="shared" si="9"/>
        <v>0</v>
      </c>
      <c r="P23" s="272"/>
    </row>
    <row r="24" spans="2:16">
      <c r="B24" s="195" t="str">
        <f t="shared" si="6"/>
        <v/>
      </c>
      <c r="C24" s="507">
        <f>IF(D11="","-",+C23+1)</f>
        <v>2015</v>
      </c>
      <c r="D24" s="608">
        <v>335670.79653401789</v>
      </c>
      <c r="E24" s="609">
        <v>9269.6666666666661</v>
      </c>
      <c r="F24" s="608">
        <v>326401.12986735121</v>
      </c>
      <c r="G24" s="609">
        <v>52258.262513897615</v>
      </c>
      <c r="H24" s="610">
        <v>52258.262513897615</v>
      </c>
      <c r="I24" s="511">
        <v>0</v>
      </c>
      <c r="J24" s="511"/>
      <c r="K24" s="518">
        <f t="shared" si="4"/>
        <v>52258.262513897615</v>
      </c>
      <c r="L24" s="519">
        <f t="shared" si="7"/>
        <v>0</v>
      </c>
      <c r="M24" s="518">
        <f t="shared" si="5"/>
        <v>52258.262513897615</v>
      </c>
      <c r="N24" s="514">
        <f t="shared" si="8"/>
        <v>0</v>
      </c>
      <c r="O24" s="514">
        <f t="shared" si="9"/>
        <v>0</v>
      </c>
      <c r="P24" s="272"/>
    </row>
    <row r="25" spans="2:16">
      <c r="B25" s="195" t="str">
        <f t="shared" si="6"/>
        <v/>
      </c>
      <c r="C25" s="507">
        <f>IF(D11="","-",+C24+1)</f>
        <v>2016</v>
      </c>
      <c r="D25" s="608">
        <v>326401.12986735121</v>
      </c>
      <c r="E25" s="609">
        <v>9269.6666666666661</v>
      </c>
      <c r="F25" s="608">
        <v>317131.46320068452</v>
      </c>
      <c r="G25" s="609">
        <v>50522.11947752475</v>
      </c>
      <c r="H25" s="610">
        <v>50522.11947752475</v>
      </c>
      <c r="I25" s="511">
        <f t="shared" si="0"/>
        <v>0</v>
      </c>
      <c r="J25" s="511"/>
      <c r="K25" s="518">
        <f t="shared" ref="K25:K30" si="10">G25</f>
        <v>50522.11947752475</v>
      </c>
      <c r="L25" s="519">
        <f t="shared" si="7"/>
        <v>0</v>
      </c>
      <c r="M25" s="518">
        <f t="shared" ref="M25:M30" si="11">H25</f>
        <v>50522.11947752475</v>
      </c>
      <c r="N25" s="514">
        <f t="shared" si="8"/>
        <v>0</v>
      </c>
      <c r="O25" s="514">
        <f t="shared" si="9"/>
        <v>0</v>
      </c>
      <c r="P25" s="272"/>
    </row>
    <row r="26" spans="2:16">
      <c r="B26" s="195" t="str">
        <f t="shared" si="6"/>
        <v/>
      </c>
      <c r="C26" s="507">
        <f>IF(D11="","-",+C25+1)</f>
        <v>2017</v>
      </c>
      <c r="D26" s="608">
        <v>317131.46320068452</v>
      </c>
      <c r="E26" s="609">
        <v>9054.0930232558148</v>
      </c>
      <c r="F26" s="608">
        <v>308077.3701774287</v>
      </c>
      <c r="G26" s="609">
        <v>47783.446226544533</v>
      </c>
      <c r="H26" s="610">
        <v>47783.446226544533</v>
      </c>
      <c r="I26" s="511">
        <f t="shared" si="0"/>
        <v>0</v>
      </c>
      <c r="J26" s="511"/>
      <c r="K26" s="518">
        <f t="shared" si="10"/>
        <v>47783.446226544533</v>
      </c>
      <c r="L26" s="519">
        <f t="shared" si="7"/>
        <v>0</v>
      </c>
      <c r="M26" s="518">
        <f t="shared" si="11"/>
        <v>47783.446226544533</v>
      </c>
      <c r="N26" s="514">
        <f t="shared" si="8"/>
        <v>0</v>
      </c>
      <c r="O26" s="514">
        <f t="shared" si="9"/>
        <v>0</v>
      </c>
      <c r="P26" s="272"/>
    </row>
    <row r="27" spans="2:16">
      <c r="B27" s="195" t="str">
        <f t="shared" si="6"/>
        <v/>
      </c>
      <c r="C27" s="507">
        <f>IF(D11="","-",+C26+1)</f>
        <v>2018</v>
      </c>
      <c r="D27" s="608">
        <v>308077.3701774287</v>
      </c>
      <c r="E27" s="609">
        <v>9495.7560975609758</v>
      </c>
      <c r="F27" s="608">
        <v>298581.61407986772</v>
      </c>
      <c r="G27" s="609">
        <v>48047.144578018066</v>
      </c>
      <c r="H27" s="610">
        <v>48047.144578018066</v>
      </c>
      <c r="I27" s="511">
        <f t="shared" si="0"/>
        <v>0</v>
      </c>
      <c r="J27" s="511"/>
      <c r="K27" s="518">
        <f t="shared" si="10"/>
        <v>48047.144578018066</v>
      </c>
      <c r="L27" s="519">
        <f t="shared" si="7"/>
        <v>0</v>
      </c>
      <c r="M27" s="518">
        <f t="shared" si="11"/>
        <v>48047.144578018066</v>
      </c>
      <c r="N27" s="514">
        <f t="shared" si="8"/>
        <v>0</v>
      </c>
      <c r="O27" s="514">
        <f t="shared" si="9"/>
        <v>0</v>
      </c>
      <c r="P27" s="272"/>
    </row>
    <row r="28" spans="2:16">
      <c r="B28" s="195" t="str">
        <f t="shared" si="6"/>
        <v/>
      </c>
      <c r="C28" s="507">
        <f>IF(D11="","-",+C27+1)</f>
        <v>2019</v>
      </c>
      <c r="D28" s="608">
        <v>298581.61407986772</v>
      </c>
      <c r="E28" s="609">
        <v>9495.7560975609758</v>
      </c>
      <c r="F28" s="608">
        <v>289085.85798230674</v>
      </c>
      <c r="G28" s="609">
        <v>46840.290013156024</v>
      </c>
      <c r="H28" s="610">
        <v>46840.290013156024</v>
      </c>
      <c r="I28" s="511">
        <f t="shared" si="0"/>
        <v>0</v>
      </c>
      <c r="J28" s="511"/>
      <c r="K28" s="518">
        <f t="shared" si="10"/>
        <v>46840.290013156024</v>
      </c>
      <c r="L28" s="519">
        <f t="shared" ref="L28" si="12">IF(K28&lt;&gt;0,+G28-K28,0)</f>
        <v>0</v>
      </c>
      <c r="M28" s="518">
        <f t="shared" si="11"/>
        <v>46840.290013156024</v>
      </c>
      <c r="N28" s="514">
        <f t="shared" si="2"/>
        <v>0</v>
      </c>
      <c r="O28" s="514">
        <f t="shared" si="3"/>
        <v>0</v>
      </c>
      <c r="P28" s="272"/>
    </row>
    <row r="29" spans="2:16">
      <c r="B29" s="195" t="str">
        <f t="shared" si="6"/>
        <v/>
      </c>
      <c r="C29" s="507">
        <f>IF(D11="","-",+C28+1)</f>
        <v>2020</v>
      </c>
      <c r="D29" s="608">
        <v>289085.85798230674</v>
      </c>
      <c r="E29" s="609">
        <v>9495.7560975609758</v>
      </c>
      <c r="F29" s="608">
        <v>279590.10188474576</v>
      </c>
      <c r="G29" s="609">
        <v>38593.612729387853</v>
      </c>
      <c r="H29" s="610">
        <v>38593.612729387853</v>
      </c>
      <c r="I29" s="511">
        <f t="shared" si="0"/>
        <v>0</v>
      </c>
      <c r="J29" s="511"/>
      <c r="K29" s="518">
        <f t="shared" si="10"/>
        <v>38593.612729387853</v>
      </c>
      <c r="L29" s="519">
        <f t="shared" ref="L29" si="13">IF(K29&lt;&gt;0,+G29-K29,0)</f>
        <v>0</v>
      </c>
      <c r="M29" s="518">
        <f t="shared" si="11"/>
        <v>38593.612729387853</v>
      </c>
      <c r="N29" s="514">
        <f t="shared" si="2"/>
        <v>0</v>
      </c>
      <c r="O29" s="514">
        <f t="shared" si="3"/>
        <v>0</v>
      </c>
      <c r="P29" s="272"/>
    </row>
    <row r="30" spans="2:16">
      <c r="B30" s="195" t="str">
        <f t="shared" si="6"/>
        <v>IU</v>
      </c>
      <c r="C30" s="507">
        <f>IF(D11="","-",+C29+1)</f>
        <v>2021</v>
      </c>
      <c r="D30" s="608">
        <v>280031.76495905104</v>
      </c>
      <c r="E30" s="609">
        <v>9269.6666666666661</v>
      </c>
      <c r="F30" s="608">
        <v>270762.09829238435</v>
      </c>
      <c r="G30" s="609">
        <v>38462.993109784969</v>
      </c>
      <c r="H30" s="610">
        <v>38462.993109784969</v>
      </c>
      <c r="I30" s="511">
        <f t="shared" si="0"/>
        <v>0</v>
      </c>
      <c r="J30" s="511"/>
      <c r="K30" s="518">
        <f t="shared" si="10"/>
        <v>38462.993109784969</v>
      </c>
      <c r="L30" s="519">
        <f t="shared" ref="L30" si="14">IF(K30&lt;&gt;0,+G30-K30,0)</f>
        <v>0</v>
      </c>
      <c r="M30" s="518">
        <f t="shared" si="11"/>
        <v>38462.993109784969</v>
      </c>
      <c r="N30" s="514">
        <f t="shared" si="2"/>
        <v>0</v>
      </c>
      <c r="O30" s="514">
        <f t="shared" si="3"/>
        <v>0</v>
      </c>
      <c r="P30" s="272"/>
    </row>
    <row r="31" spans="2:16">
      <c r="B31" s="195" t="str">
        <f t="shared" si="6"/>
        <v>IU</v>
      </c>
      <c r="C31" s="507">
        <f>IF(D11="","-",+C30+1)</f>
        <v>2022</v>
      </c>
      <c r="D31" s="608">
        <v>270320.43521807925</v>
      </c>
      <c r="E31" s="609">
        <v>9269.6666666666661</v>
      </c>
      <c r="F31" s="608">
        <v>261050.76855141259</v>
      </c>
      <c r="G31" s="609">
        <v>39144.444225431915</v>
      </c>
      <c r="H31" s="610">
        <v>39144.444225431915</v>
      </c>
      <c r="I31" s="511">
        <f t="shared" si="0"/>
        <v>0</v>
      </c>
      <c r="J31" s="511"/>
      <c r="K31" s="518">
        <f t="shared" ref="K31" si="15">G31</f>
        <v>39144.444225431915</v>
      </c>
      <c r="L31" s="519">
        <f t="shared" ref="L31" si="16">IF(K31&lt;&gt;0,+G31-K31,0)</f>
        <v>0</v>
      </c>
      <c r="M31" s="518">
        <f t="shared" ref="M31" si="17">H31</f>
        <v>39144.444225431915</v>
      </c>
      <c r="N31" s="514">
        <f t="shared" si="2"/>
        <v>0</v>
      </c>
      <c r="O31" s="514">
        <f t="shared" si="3"/>
        <v>0</v>
      </c>
      <c r="P31" s="272"/>
    </row>
    <row r="32" spans="2:16">
      <c r="B32" s="195" t="str">
        <f t="shared" si="6"/>
        <v/>
      </c>
      <c r="C32" s="507">
        <f>IF(D11="","-",+C31+1)</f>
        <v>2023</v>
      </c>
      <c r="D32" s="608">
        <v>261050.76855141259</v>
      </c>
      <c r="E32" s="609">
        <v>9269.6666666666661</v>
      </c>
      <c r="F32" s="608">
        <v>251781.10188474593</v>
      </c>
      <c r="G32" s="609">
        <v>41661.868149558737</v>
      </c>
      <c r="H32" s="610">
        <v>41661.868149558737</v>
      </c>
      <c r="I32" s="511">
        <f t="shared" si="0"/>
        <v>0</v>
      </c>
      <c r="J32" s="511"/>
      <c r="K32" s="518">
        <f t="shared" ref="K32" si="18">G32</f>
        <v>41661.868149558737</v>
      </c>
      <c r="L32" s="519">
        <f t="shared" ref="L32" si="19">IF(K32&lt;&gt;0,+G32-K32,0)</f>
        <v>0</v>
      </c>
      <c r="M32" s="518">
        <f t="shared" ref="M32" si="20">H32</f>
        <v>41661.868149558737</v>
      </c>
      <c r="N32" s="514">
        <f t="shared" ref="N32" si="21">IF(M32&lt;&gt;0,+H32-M32,0)</f>
        <v>0</v>
      </c>
      <c r="O32" s="514">
        <f t="shared" ref="O32" si="22">+N32-L32</f>
        <v>0</v>
      </c>
      <c r="P32" s="272"/>
    </row>
    <row r="33" spans="2:16">
      <c r="B33" s="195" t="str">
        <f t="shared" si="6"/>
        <v/>
      </c>
      <c r="C33" s="673">
        <f>IF(D11="","-",+C32+1)</f>
        <v>2024</v>
      </c>
      <c r="D33" s="523">
        <f>IF(F32+SUM(E$17:E32)=D$10,F32,D$10-SUM(E$17:E32))</f>
        <v>251781.10188474593</v>
      </c>
      <c r="E33" s="522">
        <f>IF(+I14&lt;F32,I14,D33)</f>
        <v>8848.318181818182</v>
      </c>
      <c r="F33" s="523">
        <f t="shared" ref="F33:F48" si="23">+D33-E33</f>
        <v>242932.78370292776</v>
      </c>
      <c r="G33" s="524">
        <f t="shared" ref="G33:G72" si="24">+I$12*((D33+F33)/2)+E33</f>
        <v>38414.184048676834</v>
      </c>
      <c r="H33" s="491">
        <f t="shared" ref="H33:H72" si="25">+I$13*((D33+F33)/2)+E33</f>
        <v>38414.184048676834</v>
      </c>
      <c r="I33" s="511">
        <f t="shared" si="0"/>
        <v>0</v>
      </c>
      <c r="J33" s="511"/>
      <c r="K33" s="525"/>
      <c r="L33" s="514">
        <f t="shared" si="1"/>
        <v>0</v>
      </c>
      <c r="M33" s="525"/>
      <c r="N33" s="514">
        <f t="shared" si="2"/>
        <v>0</v>
      </c>
      <c r="O33" s="514">
        <f t="shared" si="3"/>
        <v>0</v>
      </c>
      <c r="P33" s="272"/>
    </row>
    <row r="34" spans="2:16">
      <c r="B34" s="195" t="str">
        <f t="shared" si="6"/>
        <v/>
      </c>
      <c r="C34" s="507">
        <f>IF(D11="","-",+C33+1)</f>
        <v>2025</v>
      </c>
      <c r="D34" s="523">
        <f>IF(F33+SUM(E$17:E33)=D$10,F33,D$10-SUM(E$17:E33))</f>
        <v>242932.78370292776</v>
      </c>
      <c r="E34" s="522">
        <f>IF(+I14&lt;F33,I14,D34)</f>
        <v>8848.318181818182</v>
      </c>
      <c r="F34" s="523">
        <f t="shared" si="23"/>
        <v>234084.46552110958</v>
      </c>
      <c r="G34" s="524">
        <f t="shared" si="24"/>
        <v>37356.569956441854</v>
      </c>
      <c r="H34" s="491">
        <f t="shared" si="25"/>
        <v>37356.569956441854</v>
      </c>
      <c r="I34" s="511">
        <f t="shared" si="0"/>
        <v>0</v>
      </c>
      <c r="J34" s="511"/>
      <c r="K34" s="525"/>
      <c r="L34" s="514">
        <f t="shared" si="1"/>
        <v>0</v>
      </c>
      <c r="M34" s="525"/>
      <c r="N34" s="514">
        <f t="shared" si="2"/>
        <v>0</v>
      </c>
      <c r="O34" s="514">
        <f t="shared" si="3"/>
        <v>0</v>
      </c>
      <c r="P34" s="272"/>
    </row>
    <row r="35" spans="2:16">
      <c r="B35" s="195" t="str">
        <f t="shared" si="6"/>
        <v/>
      </c>
      <c r="C35" s="507">
        <f>IF(D11="","-",+C34+1)</f>
        <v>2026</v>
      </c>
      <c r="D35" s="523">
        <f>IF(F34+SUM(E$17:E34)=D$10,F34,D$10-SUM(E$17:E34))</f>
        <v>234084.46552110958</v>
      </c>
      <c r="E35" s="522">
        <f>IF(+I14&lt;F34,I14,D35)</f>
        <v>8848.318181818182</v>
      </c>
      <c r="F35" s="523">
        <f t="shared" si="23"/>
        <v>225236.1473392914</v>
      </c>
      <c r="G35" s="524">
        <f t="shared" si="24"/>
        <v>36298.955864206881</v>
      </c>
      <c r="H35" s="491">
        <f t="shared" si="25"/>
        <v>36298.955864206881</v>
      </c>
      <c r="I35" s="511">
        <f t="shared" si="0"/>
        <v>0</v>
      </c>
      <c r="J35" s="511"/>
      <c r="K35" s="525"/>
      <c r="L35" s="514">
        <f t="shared" si="1"/>
        <v>0</v>
      </c>
      <c r="M35" s="525"/>
      <c r="N35" s="514">
        <f t="shared" si="2"/>
        <v>0</v>
      </c>
      <c r="O35" s="514">
        <f t="shared" si="3"/>
        <v>0</v>
      </c>
      <c r="P35" s="272"/>
    </row>
    <row r="36" spans="2:16">
      <c r="B36" s="195" t="str">
        <f t="shared" si="6"/>
        <v/>
      </c>
      <c r="C36" s="507">
        <f>IF(D11="","-",+C35+1)</f>
        <v>2027</v>
      </c>
      <c r="D36" s="523">
        <f>IF(F35+SUM(E$17:E35)=D$10,F35,D$10-SUM(E$17:E35))</f>
        <v>225236.1473392914</v>
      </c>
      <c r="E36" s="522">
        <f>IF(+I14&lt;F35,I14,D36)</f>
        <v>8848.318181818182</v>
      </c>
      <c r="F36" s="523">
        <f t="shared" si="23"/>
        <v>216387.82915747323</v>
      </c>
      <c r="G36" s="524">
        <f t="shared" si="24"/>
        <v>35241.3417719719</v>
      </c>
      <c r="H36" s="491">
        <f t="shared" si="25"/>
        <v>35241.3417719719</v>
      </c>
      <c r="I36" s="511">
        <f t="shared" si="0"/>
        <v>0</v>
      </c>
      <c r="J36" s="511"/>
      <c r="K36" s="525"/>
      <c r="L36" s="514">
        <f t="shared" si="1"/>
        <v>0</v>
      </c>
      <c r="M36" s="525"/>
      <c r="N36" s="514">
        <f t="shared" si="2"/>
        <v>0</v>
      </c>
      <c r="O36" s="514">
        <f t="shared" si="3"/>
        <v>0</v>
      </c>
      <c r="P36" s="272"/>
    </row>
    <row r="37" spans="2:16">
      <c r="B37" s="195" t="str">
        <f t="shared" si="6"/>
        <v/>
      </c>
      <c r="C37" s="507">
        <f>IF(D11="","-",+C36+1)</f>
        <v>2028</v>
      </c>
      <c r="D37" s="523">
        <f>IF(F36+SUM(E$17:E36)=D$10,F36,D$10-SUM(E$17:E36))</f>
        <v>216387.82915747323</v>
      </c>
      <c r="E37" s="522">
        <f>IF(+I14&lt;F36,I14,D37)</f>
        <v>8848.318181818182</v>
      </c>
      <c r="F37" s="523">
        <f t="shared" si="23"/>
        <v>207539.51097565505</v>
      </c>
      <c r="G37" s="524">
        <f t="shared" si="24"/>
        <v>34183.727679736927</v>
      </c>
      <c r="H37" s="491">
        <f t="shared" si="25"/>
        <v>34183.727679736927</v>
      </c>
      <c r="I37" s="511">
        <f t="shared" si="0"/>
        <v>0</v>
      </c>
      <c r="J37" s="511"/>
      <c r="K37" s="525"/>
      <c r="L37" s="514">
        <f t="shared" si="1"/>
        <v>0</v>
      </c>
      <c r="M37" s="525"/>
      <c r="N37" s="514">
        <f t="shared" si="2"/>
        <v>0</v>
      </c>
      <c r="O37" s="514">
        <f t="shared" si="3"/>
        <v>0</v>
      </c>
      <c r="P37" s="272"/>
    </row>
    <row r="38" spans="2:16">
      <c r="B38" s="195" t="str">
        <f t="shared" si="6"/>
        <v/>
      </c>
      <c r="C38" s="507">
        <f>IF(D11="","-",+C37+1)</f>
        <v>2029</v>
      </c>
      <c r="D38" s="523">
        <f>IF(F37+SUM(E$17:E37)=D$10,F37,D$10-SUM(E$17:E37))</f>
        <v>207539.51097565505</v>
      </c>
      <c r="E38" s="522">
        <f>IF(+I14&lt;F37,I14,D38)</f>
        <v>8848.318181818182</v>
      </c>
      <c r="F38" s="523">
        <f t="shared" si="23"/>
        <v>198691.19279383688</v>
      </c>
      <c r="G38" s="524">
        <f t="shared" si="24"/>
        <v>33126.113587501946</v>
      </c>
      <c r="H38" s="491">
        <f t="shared" si="25"/>
        <v>33126.113587501946</v>
      </c>
      <c r="I38" s="511">
        <f t="shared" si="0"/>
        <v>0</v>
      </c>
      <c r="J38" s="511"/>
      <c r="K38" s="525"/>
      <c r="L38" s="514">
        <f t="shared" si="1"/>
        <v>0</v>
      </c>
      <c r="M38" s="525"/>
      <c r="N38" s="514">
        <f t="shared" si="2"/>
        <v>0</v>
      </c>
      <c r="O38" s="514">
        <f t="shared" si="3"/>
        <v>0</v>
      </c>
      <c r="P38" s="272"/>
    </row>
    <row r="39" spans="2:16">
      <c r="B39" s="195" t="str">
        <f t="shared" si="6"/>
        <v/>
      </c>
      <c r="C39" s="507">
        <f>IF(D11="","-",+C38+1)</f>
        <v>2030</v>
      </c>
      <c r="D39" s="523">
        <f>IF(F38+SUM(E$17:E38)=D$10,F38,D$10-SUM(E$17:E38))</f>
        <v>198691.19279383688</v>
      </c>
      <c r="E39" s="522">
        <f>IF(+I14&lt;F38,I14,D39)</f>
        <v>8848.318181818182</v>
      </c>
      <c r="F39" s="523">
        <f t="shared" si="23"/>
        <v>189842.8746120187</v>
      </c>
      <c r="G39" s="524">
        <f t="shared" si="24"/>
        <v>32068.499495266973</v>
      </c>
      <c r="H39" s="491">
        <f t="shared" si="25"/>
        <v>32068.499495266973</v>
      </c>
      <c r="I39" s="511">
        <f t="shared" si="0"/>
        <v>0</v>
      </c>
      <c r="J39" s="511"/>
      <c r="K39" s="525"/>
      <c r="L39" s="514">
        <f t="shared" si="1"/>
        <v>0</v>
      </c>
      <c r="M39" s="525"/>
      <c r="N39" s="514">
        <f t="shared" si="2"/>
        <v>0</v>
      </c>
      <c r="O39" s="514">
        <f t="shared" si="3"/>
        <v>0</v>
      </c>
      <c r="P39" s="272"/>
    </row>
    <row r="40" spans="2:16">
      <c r="B40" s="195" t="str">
        <f t="shared" si="6"/>
        <v/>
      </c>
      <c r="C40" s="507">
        <f>IF(D11="","-",+C39+1)</f>
        <v>2031</v>
      </c>
      <c r="D40" s="523">
        <f>IF(F39+SUM(E$17:E39)=D$10,F39,D$10-SUM(E$17:E39))</f>
        <v>189842.8746120187</v>
      </c>
      <c r="E40" s="522">
        <f>IF(+I14&lt;F39,I14,D40)</f>
        <v>8848.318181818182</v>
      </c>
      <c r="F40" s="523">
        <f t="shared" si="23"/>
        <v>180994.55643020052</v>
      </c>
      <c r="G40" s="524">
        <f t="shared" si="24"/>
        <v>31010.885403031993</v>
      </c>
      <c r="H40" s="491">
        <f t="shared" si="25"/>
        <v>31010.885403031993</v>
      </c>
      <c r="I40" s="511">
        <f t="shared" si="0"/>
        <v>0</v>
      </c>
      <c r="J40" s="511"/>
      <c r="K40" s="525"/>
      <c r="L40" s="514">
        <f t="shared" si="1"/>
        <v>0</v>
      </c>
      <c r="M40" s="525"/>
      <c r="N40" s="514">
        <f t="shared" si="2"/>
        <v>0</v>
      </c>
      <c r="O40" s="514">
        <f t="shared" si="3"/>
        <v>0</v>
      </c>
      <c r="P40" s="272"/>
    </row>
    <row r="41" spans="2:16">
      <c r="B41" s="195" t="str">
        <f t="shared" si="6"/>
        <v/>
      </c>
      <c r="C41" s="507">
        <f>IF(D11="","-",+C40+1)</f>
        <v>2032</v>
      </c>
      <c r="D41" s="523">
        <f>IF(F40+SUM(E$17:E40)=D$10,F40,D$10-SUM(E$17:E40))</f>
        <v>180994.55643020052</v>
      </c>
      <c r="E41" s="522">
        <f>IF(+I14&lt;F40,I14,D41)</f>
        <v>8848.318181818182</v>
      </c>
      <c r="F41" s="523">
        <f t="shared" si="23"/>
        <v>172146.23824838235</v>
      </c>
      <c r="G41" s="524">
        <f t="shared" si="24"/>
        <v>29953.271310797019</v>
      </c>
      <c r="H41" s="491">
        <f t="shared" si="25"/>
        <v>29953.271310797019</v>
      </c>
      <c r="I41" s="511">
        <f t="shared" si="0"/>
        <v>0</v>
      </c>
      <c r="J41" s="511"/>
      <c r="K41" s="525"/>
      <c r="L41" s="514">
        <f t="shared" si="1"/>
        <v>0</v>
      </c>
      <c r="M41" s="525"/>
      <c r="N41" s="514">
        <f t="shared" si="2"/>
        <v>0</v>
      </c>
      <c r="O41" s="514">
        <f t="shared" si="3"/>
        <v>0</v>
      </c>
      <c r="P41" s="272"/>
    </row>
    <row r="42" spans="2:16">
      <c r="B42" s="195" t="str">
        <f t="shared" si="6"/>
        <v/>
      </c>
      <c r="C42" s="507">
        <f>IF(D11="","-",+C41+1)</f>
        <v>2033</v>
      </c>
      <c r="D42" s="523">
        <f>IF(F41+SUM(E$17:E41)=D$10,F41,D$10-SUM(E$17:E41))</f>
        <v>172146.23824838235</v>
      </c>
      <c r="E42" s="522">
        <f>IF(+I14&lt;F41,I14,D42)</f>
        <v>8848.318181818182</v>
      </c>
      <c r="F42" s="523">
        <f t="shared" si="23"/>
        <v>163297.92006656417</v>
      </c>
      <c r="G42" s="524">
        <f t="shared" si="24"/>
        <v>28895.657218562039</v>
      </c>
      <c r="H42" s="491">
        <f t="shared" si="25"/>
        <v>28895.657218562039</v>
      </c>
      <c r="I42" s="511">
        <f t="shared" si="0"/>
        <v>0</v>
      </c>
      <c r="J42" s="511"/>
      <c r="K42" s="525"/>
      <c r="L42" s="514">
        <f t="shared" si="1"/>
        <v>0</v>
      </c>
      <c r="M42" s="525"/>
      <c r="N42" s="514">
        <f t="shared" si="2"/>
        <v>0</v>
      </c>
      <c r="O42" s="514">
        <f t="shared" si="3"/>
        <v>0</v>
      </c>
      <c r="P42" s="272"/>
    </row>
    <row r="43" spans="2:16">
      <c r="B43" s="195" t="str">
        <f t="shared" si="6"/>
        <v/>
      </c>
      <c r="C43" s="507">
        <f>IF(D11="","-",+C42+1)</f>
        <v>2034</v>
      </c>
      <c r="D43" s="523">
        <f>IF(F42+SUM(E$17:E42)=D$10,F42,D$10-SUM(E$17:E42))</f>
        <v>163297.92006656417</v>
      </c>
      <c r="E43" s="522">
        <f>IF(+I14&lt;F42,I14,D43)</f>
        <v>8848.318181818182</v>
      </c>
      <c r="F43" s="523">
        <f t="shared" si="23"/>
        <v>154449.60188474599</v>
      </c>
      <c r="G43" s="524">
        <f t="shared" si="24"/>
        <v>27838.043126327066</v>
      </c>
      <c r="H43" s="491">
        <f t="shared" si="25"/>
        <v>27838.043126327066</v>
      </c>
      <c r="I43" s="511">
        <f t="shared" si="0"/>
        <v>0</v>
      </c>
      <c r="J43" s="511"/>
      <c r="K43" s="525"/>
      <c r="L43" s="514">
        <f t="shared" si="1"/>
        <v>0</v>
      </c>
      <c r="M43" s="525"/>
      <c r="N43" s="514">
        <f t="shared" si="2"/>
        <v>0</v>
      </c>
      <c r="O43" s="514">
        <f t="shared" si="3"/>
        <v>0</v>
      </c>
      <c r="P43" s="272"/>
    </row>
    <row r="44" spans="2:16">
      <c r="B44" s="195" t="str">
        <f t="shared" si="6"/>
        <v/>
      </c>
      <c r="C44" s="507">
        <f>IF(D11="","-",+C43+1)</f>
        <v>2035</v>
      </c>
      <c r="D44" s="523">
        <f>IF(F43+SUM(E$17:E43)=D$10,F43,D$10-SUM(E$17:E43))</f>
        <v>154449.60188474599</v>
      </c>
      <c r="E44" s="522">
        <f>IF(+I14&lt;F43,I14,D44)</f>
        <v>8848.318181818182</v>
      </c>
      <c r="F44" s="523">
        <f t="shared" si="23"/>
        <v>145601.28370292782</v>
      </c>
      <c r="G44" s="524">
        <f t="shared" si="24"/>
        <v>26780.429034092092</v>
      </c>
      <c r="H44" s="491">
        <f t="shared" si="25"/>
        <v>26780.429034092092</v>
      </c>
      <c r="I44" s="511">
        <f t="shared" si="0"/>
        <v>0</v>
      </c>
      <c r="J44" s="511"/>
      <c r="K44" s="525"/>
      <c r="L44" s="514">
        <f t="shared" si="1"/>
        <v>0</v>
      </c>
      <c r="M44" s="525"/>
      <c r="N44" s="514">
        <f t="shared" si="2"/>
        <v>0</v>
      </c>
      <c r="O44" s="514">
        <f t="shared" si="3"/>
        <v>0</v>
      </c>
      <c r="P44" s="272"/>
    </row>
    <row r="45" spans="2:16">
      <c r="B45" s="195" t="str">
        <f t="shared" si="6"/>
        <v/>
      </c>
      <c r="C45" s="507">
        <f>IF(D11="","-",+C44+1)</f>
        <v>2036</v>
      </c>
      <c r="D45" s="523">
        <f>IF(F44+SUM(E$17:E44)=D$10,F44,D$10-SUM(E$17:E44))</f>
        <v>145601.28370292782</v>
      </c>
      <c r="E45" s="522">
        <f>IF(+I14&lt;F44,I14,D45)</f>
        <v>8848.318181818182</v>
      </c>
      <c r="F45" s="523">
        <f t="shared" si="23"/>
        <v>136752.96552110964</v>
      </c>
      <c r="G45" s="524">
        <f t="shared" si="24"/>
        <v>25722.814941857112</v>
      </c>
      <c r="H45" s="491">
        <f t="shared" si="25"/>
        <v>25722.814941857112</v>
      </c>
      <c r="I45" s="511">
        <f t="shared" si="0"/>
        <v>0</v>
      </c>
      <c r="J45" s="511"/>
      <c r="K45" s="525"/>
      <c r="L45" s="514">
        <f t="shared" si="1"/>
        <v>0</v>
      </c>
      <c r="M45" s="525"/>
      <c r="N45" s="514">
        <f t="shared" si="2"/>
        <v>0</v>
      </c>
      <c r="O45" s="514">
        <f t="shared" si="3"/>
        <v>0</v>
      </c>
      <c r="P45" s="272"/>
    </row>
    <row r="46" spans="2:16">
      <c r="B46" s="195" t="str">
        <f t="shared" si="6"/>
        <v/>
      </c>
      <c r="C46" s="507">
        <f>IF(D11="","-",+C45+1)</f>
        <v>2037</v>
      </c>
      <c r="D46" s="523">
        <f>IF(F45+SUM(E$17:E45)=D$10,F45,D$10-SUM(E$17:E45))</f>
        <v>136752.96552110964</v>
      </c>
      <c r="E46" s="522">
        <f>IF(+I14&lt;F45,I14,D46)</f>
        <v>8848.318181818182</v>
      </c>
      <c r="F46" s="523">
        <f t="shared" si="23"/>
        <v>127904.64733929146</v>
      </c>
      <c r="G46" s="524">
        <f t="shared" si="24"/>
        <v>24665.200849622135</v>
      </c>
      <c r="H46" s="491">
        <f t="shared" si="25"/>
        <v>24665.200849622135</v>
      </c>
      <c r="I46" s="511">
        <f t="shared" si="0"/>
        <v>0</v>
      </c>
      <c r="J46" s="511"/>
      <c r="K46" s="525"/>
      <c r="L46" s="514">
        <f t="shared" si="1"/>
        <v>0</v>
      </c>
      <c r="M46" s="525"/>
      <c r="N46" s="514">
        <f t="shared" si="2"/>
        <v>0</v>
      </c>
      <c r="O46" s="514">
        <f t="shared" si="3"/>
        <v>0</v>
      </c>
      <c r="P46" s="272"/>
    </row>
    <row r="47" spans="2:16">
      <c r="B47" s="195" t="str">
        <f t="shared" si="6"/>
        <v/>
      </c>
      <c r="C47" s="507">
        <f>IF(D11="","-",+C46+1)</f>
        <v>2038</v>
      </c>
      <c r="D47" s="523">
        <f>IF(F46+SUM(E$17:E46)=D$10,F46,D$10-SUM(E$17:E46))</f>
        <v>127904.64733929146</v>
      </c>
      <c r="E47" s="522">
        <f>IF(+I14&lt;F46,I14,D47)</f>
        <v>8848.318181818182</v>
      </c>
      <c r="F47" s="523">
        <f t="shared" si="23"/>
        <v>119056.32915747329</v>
      </c>
      <c r="G47" s="524">
        <f t="shared" si="24"/>
        <v>23607.586757387158</v>
      </c>
      <c r="H47" s="491">
        <f t="shared" si="25"/>
        <v>23607.586757387158</v>
      </c>
      <c r="I47" s="511">
        <f t="shared" si="0"/>
        <v>0</v>
      </c>
      <c r="J47" s="511"/>
      <c r="K47" s="525"/>
      <c r="L47" s="514">
        <f t="shared" si="1"/>
        <v>0</v>
      </c>
      <c r="M47" s="525"/>
      <c r="N47" s="514">
        <f t="shared" si="2"/>
        <v>0</v>
      </c>
      <c r="O47" s="514">
        <f t="shared" si="3"/>
        <v>0</v>
      </c>
      <c r="P47" s="272"/>
    </row>
    <row r="48" spans="2:16">
      <c r="B48" s="195" t="str">
        <f t="shared" si="6"/>
        <v/>
      </c>
      <c r="C48" s="507">
        <f>IF(D11="","-",+C47+1)</f>
        <v>2039</v>
      </c>
      <c r="D48" s="523">
        <f>IF(F47+SUM(E$17:E47)=D$10,F47,D$10-SUM(E$17:E47))</f>
        <v>119056.32915747329</v>
      </c>
      <c r="E48" s="522">
        <f>IF(+I14&lt;F47,I14,D48)</f>
        <v>8848.318181818182</v>
      </c>
      <c r="F48" s="523">
        <f t="shared" si="23"/>
        <v>110208.01097565511</v>
      </c>
      <c r="G48" s="524">
        <f t="shared" si="24"/>
        <v>22549.972665152181</v>
      </c>
      <c r="H48" s="491">
        <f t="shared" si="25"/>
        <v>22549.972665152181</v>
      </c>
      <c r="I48" s="511">
        <f t="shared" si="0"/>
        <v>0</v>
      </c>
      <c r="J48" s="511"/>
      <c r="K48" s="525"/>
      <c r="L48" s="514">
        <f t="shared" si="1"/>
        <v>0</v>
      </c>
      <c r="M48" s="525"/>
      <c r="N48" s="514">
        <f t="shared" si="2"/>
        <v>0</v>
      </c>
      <c r="O48" s="514">
        <f t="shared" si="3"/>
        <v>0</v>
      </c>
      <c r="P48" s="272"/>
    </row>
    <row r="49" spans="2:17">
      <c r="B49" s="195" t="str">
        <f t="shared" si="6"/>
        <v/>
      </c>
      <c r="C49" s="507">
        <f>IF(D11="","-",+C48+1)</f>
        <v>2040</v>
      </c>
      <c r="D49" s="523">
        <f>IF(F48+SUM(E$17:E48)=D$10,F48,D$10-SUM(E$17:E48))</f>
        <v>110208.01097565511</v>
      </c>
      <c r="E49" s="522">
        <f>IF(+I14&lt;F48,I14,D49)</f>
        <v>8848.318181818182</v>
      </c>
      <c r="F49" s="523">
        <f t="shared" ref="F49:F72" si="26">+D49-E49</f>
        <v>101359.69279383693</v>
      </c>
      <c r="G49" s="524">
        <f t="shared" si="24"/>
        <v>21492.358572917205</v>
      </c>
      <c r="H49" s="491">
        <f t="shared" si="25"/>
        <v>21492.358572917205</v>
      </c>
      <c r="I49" s="511">
        <f t="shared" ref="I49:I72" si="27">H49-G49</f>
        <v>0</v>
      </c>
      <c r="J49" s="511"/>
      <c r="K49" s="525"/>
      <c r="L49" s="514">
        <f t="shared" ref="L49:L72" si="28">IF(K49&lt;&gt;0,+G49-K49,0)</f>
        <v>0</v>
      </c>
      <c r="M49" s="525"/>
      <c r="N49" s="514">
        <f t="shared" ref="N49:N72" si="29">IF(M49&lt;&gt;0,+H49-M49,0)</f>
        <v>0</v>
      </c>
      <c r="O49" s="514">
        <f t="shared" ref="O49:O72" si="30">+N49-L49</f>
        <v>0</v>
      </c>
      <c r="P49" s="272"/>
    </row>
    <row r="50" spans="2:17">
      <c r="B50" s="195" t="str">
        <f t="shared" si="6"/>
        <v/>
      </c>
      <c r="C50" s="507">
        <f>IF(D11="","-",+C49+1)</f>
        <v>2041</v>
      </c>
      <c r="D50" s="523">
        <f>IF(F49+SUM(E$17:E49)=D$10,F49,D$10-SUM(E$17:E49))</f>
        <v>101359.69279383693</v>
      </c>
      <c r="E50" s="522">
        <f>IF(+I14&lt;F49,I14,D50)</f>
        <v>8848.318181818182</v>
      </c>
      <c r="F50" s="523">
        <f t="shared" si="26"/>
        <v>92511.374612018757</v>
      </c>
      <c r="G50" s="524">
        <f t="shared" si="24"/>
        <v>20434.744480682228</v>
      </c>
      <c r="H50" s="491">
        <f t="shared" si="25"/>
        <v>20434.744480682228</v>
      </c>
      <c r="I50" s="511">
        <f t="shared" si="27"/>
        <v>0</v>
      </c>
      <c r="J50" s="511"/>
      <c r="K50" s="525"/>
      <c r="L50" s="514">
        <f t="shared" si="28"/>
        <v>0</v>
      </c>
      <c r="M50" s="525"/>
      <c r="N50" s="514">
        <f t="shared" si="29"/>
        <v>0</v>
      </c>
      <c r="O50" s="514">
        <f t="shared" si="30"/>
        <v>0</v>
      </c>
      <c r="P50" s="272"/>
    </row>
    <row r="51" spans="2:17">
      <c r="B51" s="195" t="str">
        <f t="shared" si="6"/>
        <v/>
      </c>
      <c r="C51" s="507">
        <f>IF(D11="","-",+C50+1)</f>
        <v>2042</v>
      </c>
      <c r="D51" s="523">
        <f>IF(F50+SUM(E$17:E50)=D$10,F50,D$10-SUM(E$17:E50))</f>
        <v>92511.374612018757</v>
      </c>
      <c r="E51" s="522">
        <f>IF(+I14&lt;F50,I14,D51)</f>
        <v>8848.318181818182</v>
      </c>
      <c r="F51" s="523">
        <f t="shared" si="26"/>
        <v>83663.056430200581</v>
      </c>
      <c r="G51" s="524">
        <f t="shared" si="24"/>
        <v>19377.130388447251</v>
      </c>
      <c r="H51" s="491">
        <f t="shared" si="25"/>
        <v>19377.130388447251</v>
      </c>
      <c r="I51" s="511">
        <f t="shared" si="27"/>
        <v>0</v>
      </c>
      <c r="J51" s="511"/>
      <c r="K51" s="525"/>
      <c r="L51" s="514">
        <f t="shared" si="28"/>
        <v>0</v>
      </c>
      <c r="M51" s="525"/>
      <c r="N51" s="514">
        <f t="shared" si="29"/>
        <v>0</v>
      </c>
      <c r="O51" s="514">
        <f t="shared" si="30"/>
        <v>0</v>
      </c>
      <c r="P51" s="272"/>
    </row>
    <row r="52" spans="2:17">
      <c r="B52" s="195" t="str">
        <f t="shared" si="6"/>
        <v/>
      </c>
      <c r="C52" s="507">
        <f>IF(D11="","-",+C51+1)</f>
        <v>2043</v>
      </c>
      <c r="D52" s="523">
        <f>IF(F51+SUM(E$17:E51)=D$10,F51,D$10-SUM(E$17:E51))</f>
        <v>83663.056430200581</v>
      </c>
      <c r="E52" s="522">
        <f>IF(+I14&lt;F51,I14,D52)</f>
        <v>8848.318181818182</v>
      </c>
      <c r="F52" s="523">
        <f t="shared" si="26"/>
        <v>74814.738248382404</v>
      </c>
      <c r="G52" s="524">
        <f t="shared" si="24"/>
        <v>18319.516296212278</v>
      </c>
      <c r="H52" s="491">
        <f t="shared" si="25"/>
        <v>18319.516296212278</v>
      </c>
      <c r="I52" s="511">
        <f t="shared" si="27"/>
        <v>0</v>
      </c>
      <c r="J52" s="511"/>
      <c r="K52" s="525"/>
      <c r="L52" s="514">
        <f t="shared" si="28"/>
        <v>0</v>
      </c>
      <c r="M52" s="525"/>
      <c r="N52" s="514">
        <f t="shared" si="29"/>
        <v>0</v>
      </c>
      <c r="O52" s="514">
        <f t="shared" si="30"/>
        <v>0</v>
      </c>
      <c r="P52" s="272"/>
    </row>
    <row r="53" spans="2:17">
      <c r="B53" s="195" t="str">
        <f t="shared" si="6"/>
        <v/>
      </c>
      <c r="C53" s="507">
        <f>IF(D11="","-",+C52+1)</f>
        <v>2044</v>
      </c>
      <c r="D53" s="523">
        <f>IF(F52+SUM(E$17:E52)=D$10,F52,D$10-SUM(E$17:E52))</f>
        <v>74814.738248382404</v>
      </c>
      <c r="E53" s="522">
        <f>IF(+I14&lt;F52,I14,D53)</f>
        <v>8848.318181818182</v>
      </c>
      <c r="F53" s="523">
        <f t="shared" si="26"/>
        <v>65966.420066564227</v>
      </c>
      <c r="G53" s="524">
        <f t="shared" si="24"/>
        <v>17261.902203977297</v>
      </c>
      <c r="H53" s="491">
        <f t="shared" si="25"/>
        <v>17261.902203977297</v>
      </c>
      <c r="I53" s="511">
        <f t="shared" si="27"/>
        <v>0</v>
      </c>
      <c r="J53" s="511"/>
      <c r="K53" s="525"/>
      <c r="L53" s="514">
        <f t="shared" si="28"/>
        <v>0</v>
      </c>
      <c r="M53" s="525"/>
      <c r="N53" s="514">
        <f t="shared" si="29"/>
        <v>0</v>
      </c>
      <c r="O53" s="514">
        <f t="shared" si="30"/>
        <v>0</v>
      </c>
      <c r="P53" s="272"/>
    </row>
    <row r="54" spans="2:17">
      <c r="B54" s="195" t="str">
        <f t="shared" si="6"/>
        <v/>
      </c>
      <c r="C54" s="507">
        <f>IF(D11="","-",+C53+1)</f>
        <v>2045</v>
      </c>
      <c r="D54" s="523">
        <f>IF(F53+SUM(E$17:E53)=D$10,F53,D$10-SUM(E$17:E53))</f>
        <v>65966.420066564227</v>
      </c>
      <c r="E54" s="522">
        <f>IF(+I14&lt;F53,I14,D54)</f>
        <v>8848.318181818182</v>
      </c>
      <c r="F54" s="523">
        <f t="shared" si="26"/>
        <v>57118.101884746044</v>
      </c>
      <c r="G54" s="524">
        <f t="shared" si="24"/>
        <v>16204.288111742322</v>
      </c>
      <c r="H54" s="491">
        <f t="shared" si="25"/>
        <v>16204.288111742322</v>
      </c>
      <c r="I54" s="511">
        <f t="shared" si="27"/>
        <v>0</v>
      </c>
      <c r="J54" s="511"/>
      <c r="K54" s="525"/>
      <c r="L54" s="514">
        <f t="shared" si="28"/>
        <v>0</v>
      </c>
      <c r="M54" s="525"/>
      <c r="N54" s="514">
        <f t="shared" si="29"/>
        <v>0</v>
      </c>
      <c r="O54" s="514">
        <f t="shared" si="30"/>
        <v>0</v>
      </c>
      <c r="P54" s="272"/>
    </row>
    <row r="55" spans="2:17">
      <c r="B55" s="195" t="str">
        <f t="shared" si="6"/>
        <v/>
      </c>
      <c r="C55" s="507">
        <f>IF(D11="","-",+C54+1)</f>
        <v>2046</v>
      </c>
      <c r="D55" s="523">
        <f>IF(F54+SUM(E$17:E54)=D$10,F54,D$10-SUM(E$17:E54))</f>
        <v>57118.101884746044</v>
      </c>
      <c r="E55" s="522">
        <f>IF(+I14&lt;F54,I14,D55)</f>
        <v>8848.318181818182</v>
      </c>
      <c r="F55" s="523">
        <f t="shared" si="26"/>
        <v>48269.78370292786</v>
      </c>
      <c r="G55" s="524">
        <f t="shared" si="24"/>
        <v>15146.674019507343</v>
      </c>
      <c r="H55" s="491">
        <f t="shared" si="25"/>
        <v>15146.674019507343</v>
      </c>
      <c r="I55" s="511">
        <f t="shared" si="27"/>
        <v>0</v>
      </c>
      <c r="J55" s="511"/>
      <c r="K55" s="525"/>
      <c r="L55" s="514">
        <f t="shared" si="28"/>
        <v>0</v>
      </c>
      <c r="M55" s="525"/>
      <c r="N55" s="514">
        <f t="shared" si="29"/>
        <v>0</v>
      </c>
      <c r="O55" s="514">
        <f t="shared" si="30"/>
        <v>0</v>
      </c>
      <c r="P55" s="272"/>
    </row>
    <row r="56" spans="2:17">
      <c r="B56" s="195" t="str">
        <f t="shared" si="6"/>
        <v/>
      </c>
      <c r="C56" s="507">
        <f>IF(D11="","-",+C55+1)</f>
        <v>2047</v>
      </c>
      <c r="D56" s="523">
        <f>IF(F55+SUM(E$17:E55)=D$10,F55,D$10-SUM(E$17:E55))</f>
        <v>48269.78370292786</v>
      </c>
      <c r="E56" s="522">
        <f>IF(+I14&lt;F55,I14,D56)</f>
        <v>8848.318181818182</v>
      </c>
      <c r="F56" s="523">
        <f t="shared" si="26"/>
        <v>39421.465521109676</v>
      </c>
      <c r="G56" s="524">
        <f t="shared" si="24"/>
        <v>14089.059927272367</v>
      </c>
      <c r="H56" s="491">
        <f t="shared" si="25"/>
        <v>14089.059927272367</v>
      </c>
      <c r="I56" s="511">
        <f t="shared" si="27"/>
        <v>0</v>
      </c>
      <c r="J56" s="511"/>
      <c r="K56" s="525"/>
      <c r="L56" s="514">
        <f t="shared" si="28"/>
        <v>0</v>
      </c>
      <c r="M56" s="525"/>
      <c r="N56" s="514">
        <f t="shared" si="29"/>
        <v>0</v>
      </c>
      <c r="O56" s="514">
        <f t="shared" si="30"/>
        <v>0</v>
      </c>
      <c r="P56" s="272"/>
    </row>
    <row r="57" spans="2:17">
      <c r="B57" s="195" t="str">
        <f t="shared" si="6"/>
        <v/>
      </c>
      <c r="C57" s="507">
        <f>IF(D11="","-",+C56+1)</f>
        <v>2048</v>
      </c>
      <c r="D57" s="523">
        <f>IF(F56+SUM(E$17:E56)=D$10,F56,D$10-SUM(E$17:E56))</f>
        <v>39421.465521109676</v>
      </c>
      <c r="E57" s="522">
        <f>IF(+I14&lt;F56,I14,D57)</f>
        <v>8848.318181818182</v>
      </c>
      <c r="F57" s="523">
        <f t="shared" si="26"/>
        <v>30573.147339291492</v>
      </c>
      <c r="G57" s="524">
        <f t="shared" si="24"/>
        <v>13031.445835037388</v>
      </c>
      <c r="H57" s="491">
        <f t="shared" si="25"/>
        <v>13031.445835037388</v>
      </c>
      <c r="I57" s="511">
        <f t="shared" si="27"/>
        <v>0</v>
      </c>
      <c r="J57" s="511"/>
      <c r="K57" s="525"/>
      <c r="L57" s="514">
        <f t="shared" si="28"/>
        <v>0</v>
      </c>
      <c r="M57" s="525"/>
      <c r="N57" s="514">
        <f t="shared" si="29"/>
        <v>0</v>
      </c>
      <c r="O57" s="514">
        <f t="shared" si="30"/>
        <v>0</v>
      </c>
      <c r="P57" s="272"/>
    </row>
    <row r="58" spans="2:17">
      <c r="B58" s="195" t="str">
        <f t="shared" si="6"/>
        <v/>
      </c>
      <c r="C58" s="507">
        <f>IF(D11="","-",+C57+1)</f>
        <v>2049</v>
      </c>
      <c r="D58" s="523">
        <f>IF(F57+SUM(E$17:E57)=D$10,F57,D$10-SUM(E$17:E57))</f>
        <v>30573.147339291492</v>
      </c>
      <c r="E58" s="522">
        <f>IF(+I14&lt;F57,I14,D58)</f>
        <v>8848.318181818182</v>
      </c>
      <c r="F58" s="523">
        <f t="shared" si="26"/>
        <v>21724.829157473308</v>
      </c>
      <c r="G58" s="524">
        <f t="shared" si="24"/>
        <v>11973.831742802411</v>
      </c>
      <c r="H58" s="491">
        <f t="shared" si="25"/>
        <v>11973.831742802411</v>
      </c>
      <c r="I58" s="511">
        <f t="shared" si="27"/>
        <v>0</v>
      </c>
      <c r="J58" s="511"/>
      <c r="K58" s="525"/>
      <c r="L58" s="514">
        <f t="shared" si="28"/>
        <v>0</v>
      </c>
      <c r="M58" s="525"/>
      <c r="N58" s="514">
        <f t="shared" si="29"/>
        <v>0</v>
      </c>
      <c r="O58" s="514">
        <f t="shared" si="30"/>
        <v>0</v>
      </c>
      <c r="P58" s="272"/>
      <c r="Q58" s="183" t="str">
        <f>IF(ROUND(Q57,0)=ROUND(SUM(Q18:Q56),0),"","Error -- check allocations above).")</f>
        <v/>
      </c>
    </row>
    <row r="59" spans="2:17">
      <c r="B59" s="195" t="str">
        <f t="shared" si="6"/>
        <v/>
      </c>
      <c r="C59" s="507">
        <f>IF(D11="","-",+C58+1)</f>
        <v>2050</v>
      </c>
      <c r="D59" s="523">
        <f>IF(F58+SUM(E$17:E58)=D$10,F58,D$10-SUM(E$17:E58))</f>
        <v>21724.829157473308</v>
      </c>
      <c r="E59" s="522">
        <f>IF(+I14&lt;F58,I14,D59)</f>
        <v>8848.318181818182</v>
      </c>
      <c r="F59" s="523">
        <f t="shared" si="26"/>
        <v>12876.510975655126</v>
      </c>
      <c r="G59" s="524">
        <f t="shared" si="24"/>
        <v>10916.217650567432</v>
      </c>
      <c r="H59" s="491">
        <f t="shared" si="25"/>
        <v>10916.217650567432</v>
      </c>
      <c r="I59" s="511">
        <f t="shared" si="27"/>
        <v>0</v>
      </c>
      <c r="J59" s="511"/>
      <c r="K59" s="525"/>
      <c r="L59" s="514">
        <f t="shared" si="28"/>
        <v>0</v>
      </c>
      <c r="M59" s="525"/>
      <c r="N59" s="514">
        <f t="shared" si="29"/>
        <v>0</v>
      </c>
      <c r="O59" s="514">
        <f t="shared" si="30"/>
        <v>0</v>
      </c>
      <c r="P59" s="272"/>
    </row>
    <row r="60" spans="2:17">
      <c r="B60" s="195" t="str">
        <f t="shared" si="6"/>
        <v/>
      </c>
      <c r="C60" s="507">
        <f>IF(D11="","-",+C59+1)</f>
        <v>2051</v>
      </c>
      <c r="D60" s="523">
        <f>IF(F59+SUM(E$17:E59)=D$10,F59,D$10-SUM(E$17:E59))</f>
        <v>12876.510975655126</v>
      </c>
      <c r="E60" s="522">
        <f>IF(+I14&lt;F59,I14,D60)</f>
        <v>8848.318181818182</v>
      </c>
      <c r="F60" s="523">
        <f t="shared" si="26"/>
        <v>4028.1927938369445</v>
      </c>
      <c r="G60" s="524">
        <f t="shared" si="24"/>
        <v>9858.6035583324556</v>
      </c>
      <c r="H60" s="491">
        <f t="shared" si="25"/>
        <v>9858.6035583324556</v>
      </c>
      <c r="I60" s="511">
        <f t="shared" si="27"/>
        <v>0</v>
      </c>
      <c r="J60" s="511"/>
      <c r="K60" s="525"/>
      <c r="L60" s="514">
        <f t="shared" si="28"/>
        <v>0</v>
      </c>
      <c r="M60" s="525"/>
      <c r="N60" s="514">
        <f t="shared" si="29"/>
        <v>0</v>
      </c>
      <c r="O60" s="514">
        <f t="shared" si="30"/>
        <v>0</v>
      </c>
      <c r="P60" s="272"/>
    </row>
    <row r="61" spans="2:17">
      <c r="B61" s="195" t="str">
        <f t="shared" si="6"/>
        <v/>
      </c>
      <c r="C61" s="507">
        <f>IF(D11="","-",+C60+1)</f>
        <v>2052</v>
      </c>
      <c r="D61" s="523">
        <f>IF(F60+SUM(E$17:E60)=D$10,F60,D$10-SUM(E$17:E60))</f>
        <v>4028.1927938369445</v>
      </c>
      <c r="E61" s="522">
        <f>IF(+I14&lt;F60,I14,D61)</f>
        <v>4028.1927938369445</v>
      </c>
      <c r="F61" s="523">
        <f t="shared" si="26"/>
        <v>0</v>
      </c>
      <c r="G61" s="526">
        <f t="shared" si="24"/>
        <v>4268.9319590353371</v>
      </c>
      <c r="H61" s="491">
        <f t="shared" si="25"/>
        <v>4268.9319590353371</v>
      </c>
      <c r="I61" s="511">
        <f t="shared" si="27"/>
        <v>0</v>
      </c>
      <c r="J61" s="511"/>
      <c r="K61" s="525"/>
      <c r="L61" s="514">
        <f t="shared" si="28"/>
        <v>0</v>
      </c>
      <c r="M61" s="525"/>
      <c r="N61" s="514">
        <f t="shared" si="29"/>
        <v>0</v>
      </c>
      <c r="O61" s="514">
        <f t="shared" si="30"/>
        <v>0</v>
      </c>
      <c r="P61" s="272"/>
    </row>
    <row r="62" spans="2:17">
      <c r="B62" s="195" t="str">
        <f t="shared" si="6"/>
        <v/>
      </c>
      <c r="C62" s="507">
        <f>IF(D11="","-",+C61+1)</f>
        <v>2053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26"/>
        <v>0</v>
      </c>
      <c r="G62" s="526">
        <f t="shared" si="24"/>
        <v>0</v>
      </c>
      <c r="H62" s="491">
        <f t="shared" si="25"/>
        <v>0</v>
      </c>
      <c r="I62" s="511">
        <f t="shared" si="27"/>
        <v>0</v>
      </c>
      <c r="J62" s="511"/>
      <c r="K62" s="525"/>
      <c r="L62" s="514">
        <f t="shared" si="28"/>
        <v>0</v>
      </c>
      <c r="M62" s="525"/>
      <c r="N62" s="514">
        <f t="shared" si="29"/>
        <v>0</v>
      </c>
      <c r="O62" s="514">
        <f t="shared" si="30"/>
        <v>0</v>
      </c>
      <c r="P62" s="272"/>
    </row>
    <row r="63" spans="2:17">
      <c r="B63" s="195" t="str">
        <f t="shared" si="6"/>
        <v/>
      </c>
      <c r="C63" s="507">
        <f>IF(D11="","-",+C62+1)</f>
        <v>2054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26"/>
        <v>0</v>
      </c>
      <c r="G63" s="526">
        <f t="shared" si="24"/>
        <v>0</v>
      </c>
      <c r="H63" s="491">
        <f t="shared" si="25"/>
        <v>0</v>
      </c>
      <c r="I63" s="511">
        <f t="shared" si="27"/>
        <v>0</v>
      </c>
      <c r="J63" s="511"/>
      <c r="K63" s="525"/>
      <c r="L63" s="514">
        <f t="shared" si="28"/>
        <v>0</v>
      </c>
      <c r="M63" s="525"/>
      <c r="N63" s="514">
        <f t="shared" si="29"/>
        <v>0</v>
      </c>
      <c r="O63" s="514">
        <f t="shared" si="30"/>
        <v>0</v>
      </c>
      <c r="P63" s="272"/>
    </row>
    <row r="64" spans="2:17">
      <c r="B64" s="195" t="str">
        <f t="shared" si="6"/>
        <v/>
      </c>
      <c r="C64" s="507">
        <f>IF(D11="","-",+C63+1)</f>
        <v>2055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26"/>
        <v>0</v>
      </c>
      <c r="G64" s="526">
        <f t="shared" si="24"/>
        <v>0</v>
      </c>
      <c r="H64" s="491">
        <f t="shared" si="25"/>
        <v>0</v>
      </c>
      <c r="I64" s="511">
        <f t="shared" si="27"/>
        <v>0</v>
      </c>
      <c r="J64" s="511"/>
      <c r="K64" s="525"/>
      <c r="L64" s="514">
        <f t="shared" si="28"/>
        <v>0</v>
      </c>
      <c r="M64" s="525"/>
      <c r="N64" s="514">
        <f t="shared" si="29"/>
        <v>0</v>
      </c>
      <c r="O64" s="514">
        <f t="shared" si="30"/>
        <v>0</v>
      </c>
      <c r="P64" s="272"/>
    </row>
    <row r="65" spans="1:16">
      <c r="B65" s="195" t="str">
        <f t="shared" si="6"/>
        <v/>
      </c>
      <c r="C65" s="507">
        <f>IF(D11="","-",+C64+1)</f>
        <v>2056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26"/>
        <v>0</v>
      </c>
      <c r="G65" s="526">
        <f t="shared" si="24"/>
        <v>0</v>
      </c>
      <c r="H65" s="491">
        <f t="shared" si="25"/>
        <v>0</v>
      </c>
      <c r="I65" s="511">
        <f t="shared" si="27"/>
        <v>0</v>
      </c>
      <c r="J65" s="511"/>
      <c r="K65" s="525"/>
      <c r="L65" s="514">
        <f t="shared" si="28"/>
        <v>0</v>
      </c>
      <c r="M65" s="525"/>
      <c r="N65" s="514">
        <f t="shared" si="29"/>
        <v>0</v>
      </c>
      <c r="O65" s="514">
        <f t="shared" si="30"/>
        <v>0</v>
      </c>
      <c r="P65" s="272"/>
    </row>
    <row r="66" spans="1:16">
      <c r="B66" s="195" t="str">
        <f t="shared" si="6"/>
        <v/>
      </c>
      <c r="C66" s="507">
        <f>IF(D11="","-",+C65+1)</f>
        <v>2057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26"/>
        <v>0</v>
      </c>
      <c r="G66" s="526">
        <f t="shared" si="24"/>
        <v>0</v>
      </c>
      <c r="H66" s="491">
        <f t="shared" si="25"/>
        <v>0</v>
      </c>
      <c r="I66" s="511">
        <f t="shared" si="27"/>
        <v>0</v>
      </c>
      <c r="J66" s="511"/>
      <c r="K66" s="525"/>
      <c r="L66" s="514">
        <f t="shared" si="28"/>
        <v>0</v>
      </c>
      <c r="M66" s="525"/>
      <c r="N66" s="514">
        <f t="shared" si="29"/>
        <v>0</v>
      </c>
      <c r="O66" s="514">
        <f t="shared" si="30"/>
        <v>0</v>
      </c>
      <c r="P66" s="272"/>
    </row>
    <row r="67" spans="1:16">
      <c r="B67" s="195" t="str">
        <f t="shared" si="6"/>
        <v/>
      </c>
      <c r="C67" s="507">
        <f>IF(D11="","-",+C66+1)</f>
        <v>2058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26"/>
        <v>0</v>
      </c>
      <c r="G67" s="526">
        <f t="shared" si="24"/>
        <v>0</v>
      </c>
      <c r="H67" s="491">
        <f t="shared" si="25"/>
        <v>0</v>
      </c>
      <c r="I67" s="511">
        <f t="shared" si="27"/>
        <v>0</v>
      </c>
      <c r="J67" s="511"/>
      <c r="K67" s="525"/>
      <c r="L67" s="514">
        <f t="shared" si="28"/>
        <v>0</v>
      </c>
      <c r="M67" s="525"/>
      <c r="N67" s="514">
        <f t="shared" si="29"/>
        <v>0</v>
      </c>
      <c r="O67" s="514">
        <f t="shared" si="30"/>
        <v>0</v>
      </c>
      <c r="P67" s="272"/>
    </row>
    <row r="68" spans="1:16">
      <c r="B68" s="195" t="str">
        <f t="shared" si="6"/>
        <v/>
      </c>
      <c r="C68" s="507">
        <f>IF(D11="","-",+C67+1)</f>
        <v>2059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26"/>
        <v>0</v>
      </c>
      <c r="G68" s="526">
        <f t="shared" si="24"/>
        <v>0</v>
      </c>
      <c r="H68" s="491">
        <f t="shared" si="25"/>
        <v>0</v>
      </c>
      <c r="I68" s="511">
        <f t="shared" si="27"/>
        <v>0</v>
      </c>
      <c r="J68" s="511"/>
      <c r="K68" s="525"/>
      <c r="L68" s="514">
        <f t="shared" si="28"/>
        <v>0</v>
      </c>
      <c r="M68" s="525"/>
      <c r="N68" s="514">
        <f t="shared" si="29"/>
        <v>0</v>
      </c>
      <c r="O68" s="514">
        <f t="shared" si="30"/>
        <v>0</v>
      </c>
      <c r="P68" s="272"/>
    </row>
    <row r="69" spans="1:16">
      <c r="B69" s="195" t="str">
        <f t="shared" si="6"/>
        <v/>
      </c>
      <c r="C69" s="507">
        <f>IF(D11="","-",+C68+1)</f>
        <v>2060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26"/>
        <v>0</v>
      </c>
      <c r="G69" s="526">
        <f t="shared" si="24"/>
        <v>0</v>
      </c>
      <c r="H69" s="491">
        <f t="shared" si="25"/>
        <v>0</v>
      </c>
      <c r="I69" s="511">
        <f t="shared" si="27"/>
        <v>0</v>
      </c>
      <c r="J69" s="511"/>
      <c r="K69" s="525"/>
      <c r="L69" s="514">
        <f t="shared" si="28"/>
        <v>0</v>
      </c>
      <c r="M69" s="525"/>
      <c r="N69" s="514">
        <f t="shared" si="29"/>
        <v>0</v>
      </c>
      <c r="O69" s="514">
        <f t="shared" si="30"/>
        <v>0</v>
      </c>
      <c r="P69" s="272"/>
    </row>
    <row r="70" spans="1:16">
      <c r="B70" s="195" t="str">
        <f t="shared" si="6"/>
        <v/>
      </c>
      <c r="C70" s="507">
        <f>IF(D11="","-",+C69+1)</f>
        <v>2061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26"/>
        <v>0</v>
      </c>
      <c r="G70" s="526">
        <f t="shared" si="24"/>
        <v>0</v>
      </c>
      <c r="H70" s="491">
        <f t="shared" si="25"/>
        <v>0</v>
      </c>
      <c r="I70" s="511">
        <f t="shared" si="27"/>
        <v>0</v>
      </c>
      <c r="J70" s="511"/>
      <c r="K70" s="525"/>
      <c r="L70" s="514">
        <f t="shared" si="28"/>
        <v>0</v>
      </c>
      <c r="M70" s="525"/>
      <c r="N70" s="514">
        <f t="shared" si="29"/>
        <v>0</v>
      </c>
      <c r="O70" s="514">
        <f t="shared" si="30"/>
        <v>0</v>
      </c>
      <c r="P70" s="272"/>
    </row>
    <row r="71" spans="1:16">
      <c r="B71" s="195" t="str">
        <f t="shared" si="6"/>
        <v/>
      </c>
      <c r="C71" s="507">
        <f>IF(D11="","-",+C70+1)</f>
        <v>2062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26"/>
        <v>0</v>
      </c>
      <c r="G71" s="526">
        <f t="shared" si="24"/>
        <v>0</v>
      </c>
      <c r="H71" s="491">
        <f t="shared" si="25"/>
        <v>0</v>
      </c>
      <c r="I71" s="511">
        <f t="shared" si="27"/>
        <v>0</v>
      </c>
      <c r="J71" s="511"/>
      <c r="K71" s="525"/>
      <c r="L71" s="514">
        <f t="shared" si="28"/>
        <v>0</v>
      </c>
      <c r="M71" s="525"/>
      <c r="N71" s="514">
        <f t="shared" si="29"/>
        <v>0</v>
      </c>
      <c r="O71" s="514">
        <f t="shared" si="30"/>
        <v>0</v>
      </c>
      <c r="P71" s="272"/>
    </row>
    <row r="72" spans="1:16" ht="13.5" thickBot="1">
      <c r="B72" s="195" t="str">
        <f t="shared" si="6"/>
        <v/>
      </c>
      <c r="C72" s="527">
        <f>IF(D11="","-",+C71+1)</f>
        <v>2063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26"/>
        <v>0</v>
      </c>
      <c r="G72" s="530">
        <f t="shared" si="24"/>
        <v>0</v>
      </c>
      <c r="H72" s="471">
        <f t="shared" si="25"/>
        <v>0</v>
      </c>
      <c r="I72" s="531">
        <f t="shared" si="27"/>
        <v>0</v>
      </c>
      <c r="J72" s="511"/>
      <c r="K72" s="532"/>
      <c r="L72" s="533">
        <f t="shared" si="28"/>
        <v>0</v>
      </c>
      <c r="M72" s="532"/>
      <c r="N72" s="533">
        <f t="shared" si="29"/>
        <v>0</v>
      </c>
      <c r="O72" s="533">
        <f t="shared" si="30"/>
        <v>0</v>
      </c>
      <c r="P72" s="272"/>
    </row>
    <row r="73" spans="1:16">
      <c r="C73" s="374" t="s">
        <v>78</v>
      </c>
      <c r="D73" s="375"/>
      <c r="E73" s="375">
        <f>SUM(E17:E72)</f>
        <v>389326</v>
      </c>
      <c r="F73" s="375"/>
      <c r="G73" s="375">
        <f>SUM(G17:G72)</f>
        <v>1470544.3721376348</v>
      </c>
      <c r="H73" s="375">
        <f>SUM(H17:H72)</f>
        <v>1470544.3721376348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1:16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1:16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1:16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1:16" ht="18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535"/>
      <c r="P77" s="272"/>
    </row>
    <row r="78" spans="1:16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1:16" ht="15">
      <c r="A79" s="536"/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</row>
    <row r="80" spans="1:16" ht="18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7">
      <c r="B81" s="269"/>
      <c r="C81" s="537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7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  <c r="Q82" s="269"/>
    </row>
    <row r="83" spans="1:17" ht="20.25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535" t="str">
        <f ca="1">P1</f>
        <v>SWEPCO Project 16 of 75</v>
      </c>
      <c r="Q83" s="269"/>
    </row>
    <row r="84" spans="1:17" ht="18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454" t="s">
        <v>128</v>
      </c>
      <c r="Q84" s="269"/>
    </row>
    <row r="85" spans="1:17" ht="18.7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  <c r="Q85" s="269"/>
    </row>
    <row r="86" spans="1:17" ht="15.75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2022</v>
      </c>
      <c r="M86" s="541" t="s">
        <v>9</v>
      </c>
      <c r="N86" s="542" t="s">
        <v>159</v>
      </c>
      <c r="O86" s="543" t="s">
        <v>11</v>
      </c>
      <c r="P86" s="269"/>
      <c r="Q86" s="269"/>
    </row>
    <row r="87" spans="1:17" ht="1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391</v>
      </c>
      <c r="M87" s="546">
        <f>IF(J92&lt;D11,0,VLOOKUP(J92,C17:O72,9))</f>
        <v>39144.444225431915</v>
      </c>
      <c r="N87" s="546">
        <f>IF(J92&lt;D11,0,VLOOKUP(J92,C17:O72,11))</f>
        <v>39144.444225431915</v>
      </c>
      <c r="O87" s="547">
        <f>+N87-M87</f>
        <v>0</v>
      </c>
      <c r="P87" s="269"/>
      <c r="Q87" s="269"/>
    </row>
    <row r="88" spans="1:17" ht="15.75">
      <c r="C88" s="274"/>
      <c r="D88" s="614" t="s">
        <v>271</v>
      </c>
      <c r="E88" s="269"/>
      <c r="F88" s="269"/>
      <c r="G88" s="269"/>
      <c r="H88" s="269"/>
      <c r="I88" s="462"/>
      <c r="J88" s="462"/>
      <c r="K88" s="548"/>
      <c r="L88" s="549" t="s">
        <v>392</v>
      </c>
      <c r="M88" s="550">
        <f>IF(J92&lt;D11,0,VLOOKUP(J92,C99:P154,6))</f>
        <v>41298.645816011769</v>
      </c>
      <c r="N88" s="550">
        <f>IF(J92&lt;D11,0,VLOOKUP(J92,C99:P154,7))</f>
        <v>41298.645816011769</v>
      </c>
      <c r="O88" s="551">
        <f>+N88-M88</f>
        <v>0</v>
      </c>
      <c r="P88" s="269"/>
      <c r="Q88" s="269"/>
    </row>
    <row r="89" spans="1:17" ht="13.5" thickBot="1">
      <c r="C89" s="467" t="s">
        <v>84</v>
      </c>
      <c r="D89" s="552" t="str">
        <f>+D7</f>
        <v>Daingerfield - Jenkins REC 69 kV CB Repl**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2154.2015905798544</v>
      </c>
      <c r="N89" s="555">
        <f>+N88-N87</f>
        <v>2154.2015905798544</v>
      </c>
      <c r="O89" s="556">
        <f>+O88-O87</f>
        <v>0</v>
      </c>
      <c r="P89" s="269"/>
      <c r="Q89" s="269"/>
    </row>
    <row r="90" spans="1:17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  <c r="Q90" s="269"/>
    </row>
    <row r="91" spans="1:17" ht="13.5" thickBot="1">
      <c r="A91" s="191"/>
      <c r="C91" s="558" t="s">
        <v>85</v>
      </c>
      <c r="D91" s="559" t="str">
        <f>+D9</f>
        <v>TP2008017</v>
      </c>
      <c r="E91" s="560"/>
      <c r="F91" s="560"/>
      <c r="G91" s="560"/>
      <c r="H91" s="560"/>
      <c r="I91" s="560"/>
      <c r="J91" s="561"/>
      <c r="K91" s="562"/>
      <c r="P91" s="481"/>
      <c r="Q91" s="269"/>
    </row>
    <row r="92" spans="1:17">
      <c r="C92" s="486" t="s">
        <v>51</v>
      </c>
      <c r="D92" s="483">
        <f>IF(D11=I10,0,D10)</f>
        <v>389326</v>
      </c>
      <c r="E92" s="340" t="s">
        <v>86</v>
      </c>
      <c r="H92" s="484"/>
      <c r="I92" s="484"/>
      <c r="J92" s="485">
        <f>+'SWE.WS.G.BPU.ATRR.True-up'!M16</f>
        <v>2022</v>
      </c>
      <c r="K92" s="480"/>
      <c r="L92" s="375" t="s">
        <v>87</v>
      </c>
      <c r="P92" s="272"/>
      <c r="Q92" s="269"/>
    </row>
    <row r="93" spans="1:17">
      <c r="C93" s="486" t="s">
        <v>54</v>
      </c>
      <c r="D93" s="563">
        <f>IF(D11=I10,"",D11)</f>
        <v>2008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  <c r="Q93" s="269"/>
    </row>
    <row r="94" spans="1:17">
      <c r="C94" s="486" t="s">
        <v>56</v>
      </c>
      <c r="D94" s="564">
        <f>IF(D11=I10,"",D12)</f>
        <v>12</v>
      </c>
      <c r="E94" s="486" t="s">
        <v>57</v>
      </c>
      <c r="F94" s="484"/>
      <c r="G94" s="484"/>
      <c r="J94" s="490">
        <f>'SWE.WS.G.BPU.ATRR.True-up'!$F$81</f>
        <v>0.11351422637179906</v>
      </c>
      <c r="K94" s="425"/>
      <c r="L94" s="183" t="s">
        <v>88</v>
      </c>
      <c r="P94" s="272"/>
      <c r="Q94" s="269"/>
    </row>
    <row r="95" spans="1:17">
      <c r="C95" s="486" t="s">
        <v>59</v>
      </c>
      <c r="D95" s="488">
        <f>'SWE.WS.G.BPU.ATRR.True-up'!F$93</f>
        <v>41</v>
      </c>
      <c r="E95" s="486" t="s">
        <v>60</v>
      </c>
      <c r="F95" s="484"/>
      <c r="G95" s="484"/>
      <c r="J95" s="490">
        <f>IF(H87="",J94,'SWE.WS.G.BPU.ATRR.True-up'!$F$80)</f>
        <v>0.11351422637179906</v>
      </c>
      <c r="K95" s="324"/>
      <c r="L95" s="375" t="s">
        <v>61</v>
      </c>
      <c r="M95" s="324"/>
      <c r="N95" s="324"/>
      <c r="O95" s="324"/>
      <c r="P95" s="272"/>
      <c r="Q95" s="269"/>
    </row>
    <row r="96" spans="1:17" ht="13.5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9495.7560975609758</v>
      </c>
      <c r="K96" s="375"/>
      <c r="L96" s="375"/>
      <c r="M96" s="375"/>
      <c r="N96" s="375"/>
      <c r="O96" s="375"/>
      <c r="P96" s="272"/>
      <c r="Q96" s="269"/>
    </row>
    <row r="97" spans="1:17" ht="38.25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388</v>
      </c>
      <c r="I97" s="495" t="s">
        <v>389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  <c r="Q97" s="269"/>
    </row>
    <row r="98" spans="1:17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  <c r="Q98" s="269"/>
    </row>
    <row r="99" spans="1:17">
      <c r="C99" s="507">
        <f>IF(D93= "","-",D93)</f>
        <v>2008</v>
      </c>
      <c r="D99" s="508">
        <v>0</v>
      </c>
      <c r="E99" s="516">
        <v>0</v>
      </c>
      <c r="F99" s="515">
        <v>0</v>
      </c>
      <c r="G99" s="574">
        <v>0</v>
      </c>
      <c r="H99" s="575">
        <v>0</v>
      </c>
      <c r="I99" s="576">
        <v>0</v>
      </c>
      <c r="J99" s="613">
        <f t="shared" ref="J99:J130" si="31">+I99-H99</f>
        <v>0</v>
      </c>
      <c r="K99" s="514"/>
      <c r="L99" s="512">
        <v>0</v>
      </c>
      <c r="M99" s="513">
        <f t="shared" ref="M99:M130" si="32">IF(L99&lt;&gt;0,+H99-L99,0)</f>
        <v>0</v>
      </c>
      <c r="N99" s="512">
        <v>0</v>
      </c>
      <c r="O99" s="513">
        <f t="shared" ref="O99:O130" si="33">IF(N99&lt;&gt;0,+I99-N99,0)</f>
        <v>0</v>
      </c>
      <c r="P99" s="513">
        <f t="shared" ref="P99:P130" si="34">+O99-M99</f>
        <v>0</v>
      </c>
      <c r="Q99" s="269"/>
    </row>
    <row r="100" spans="1:17">
      <c r="B100" s="195" t="str">
        <f>IF(D100=F99,"","IU")</f>
        <v/>
      </c>
      <c r="C100" s="507">
        <f>IF(D93="","-",+C99+1)</f>
        <v>2009</v>
      </c>
      <c r="D100" s="508">
        <v>0</v>
      </c>
      <c r="E100" s="516">
        <v>0</v>
      </c>
      <c r="F100" s="515">
        <v>0</v>
      </c>
      <c r="G100" s="515">
        <v>0</v>
      </c>
      <c r="H100" s="516">
        <v>0</v>
      </c>
      <c r="I100" s="510">
        <v>0</v>
      </c>
      <c r="J100" s="613">
        <f t="shared" si="31"/>
        <v>0</v>
      </c>
      <c r="K100" s="514"/>
      <c r="L100" s="518">
        <f t="shared" ref="L100:L105" si="35">H100</f>
        <v>0</v>
      </c>
      <c r="M100" s="519">
        <f t="shared" si="32"/>
        <v>0</v>
      </c>
      <c r="N100" s="518">
        <f t="shared" ref="N100:N105" si="36">I100</f>
        <v>0</v>
      </c>
      <c r="O100" s="514">
        <f t="shared" si="33"/>
        <v>0</v>
      </c>
      <c r="P100" s="514">
        <f t="shared" si="34"/>
        <v>0</v>
      </c>
      <c r="Q100" s="269"/>
    </row>
    <row r="101" spans="1:17">
      <c r="B101" s="195" t="str">
        <f t="shared" ref="B101:B154" si="37">IF(D101=F100,"","IU")</f>
        <v>IU</v>
      </c>
      <c r="C101" s="507">
        <f>IF(D93="","-",+C100+1)</f>
        <v>2010</v>
      </c>
      <c r="D101" s="508">
        <v>389326</v>
      </c>
      <c r="E101" s="516">
        <v>10245</v>
      </c>
      <c r="F101" s="515">
        <v>379081</v>
      </c>
      <c r="G101" s="515">
        <v>384203.5</v>
      </c>
      <c r="H101" s="516">
        <v>73671.650548973092</v>
      </c>
      <c r="I101" s="510">
        <v>73671.650548973092</v>
      </c>
      <c r="J101" s="613">
        <f t="shared" si="31"/>
        <v>0</v>
      </c>
      <c r="K101" s="514"/>
      <c r="L101" s="518">
        <f t="shared" si="35"/>
        <v>73671.650548973092</v>
      </c>
      <c r="M101" s="519">
        <f t="shared" si="32"/>
        <v>0</v>
      </c>
      <c r="N101" s="518">
        <f t="shared" si="36"/>
        <v>73671.650548973092</v>
      </c>
      <c r="O101" s="514">
        <f t="shared" si="33"/>
        <v>0</v>
      </c>
      <c r="P101" s="514">
        <f t="shared" si="34"/>
        <v>0</v>
      </c>
      <c r="Q101" s="269"/>
    </row>
    <row r="102" spans="1:17">
      <c r="B102" s="195" t="str">
        <f t="shared" si="37"/>
        <v/>
      </c>
      <c r="C102" s="507">
        <f>IF(D93="","-",+C101+1)</f>
        <v>2011</v>
      </c>
      <c r="D102" s="508">
        <v>379081</v>
      </c>
      <c r="E102" s="520">
        <v>9269.6666666666661</v>
      </c>
      <c r="F102" s="515">
        <v>369811.33333333331</v>
      </c>
      <c r="G102" s="515">
        <v>374446.16666666663</v>
      </c>
      <c r="H102" s="516">
        <v>65578.844240085236</v>
      </c>
      <c r="I102" s="510">
        <v>65578.844240085236</v>
      </c>
      <c r="J102" s="613">
        <f t="shared" si="31"/>
        <v>0</v>
      </c>
      <c r="K102" s="514"/>
      <c r="L102" s="518">
        <f t="shared" si="35"/>
        <v>65578.844240085236</v>
      </c>
      <c r="M102" s="519">
        <f t="shared" si="32"/>
        <v>0</v>
      </c>
      <c r="N102" s="518">
        <f t="shared" si="36"/>
        <v>65578.844240085236</v>
      </c>
      <c r="O102" s="514">
        <f t="shared" si="33"/>
        <v>0</v>
      </c>
      <c r="P102" s="514">
        <f t="shared" si="34"/>
        <v>0</v>
      </c>
      <c r="Q102" s="269"/>
    </row>
    <row r="103" spans="1:17">
      <c r="B103" s="195" t="str">
        <f t="shared" si="37"/>
        <v/>
      </c>
      <c r="C103" s="507">
        <f>IF(D93="","-",+C102+1)</f>
        <v>2012</v>
      </c>
      <c r="D103" s="508">
        <v>369811.33333333331</v>
      </c>
      <c r="E103" s="516">
        <v>9269.6666666666661</v>
      </c>
      <c r="F103" s="515">
        <v>360541.66666666663</v>
      </c>
      <c r="G103" s="515">
        <v>365176.5</v>
      </c>
      <c r="H103" s="516">
        <v>63006.82444122398</v>
      </c>
      <c r="I103" s="510">
        <v>63006.82444122398</v>
      </c>
      <c r="J103" s="613">
        <f t="shared" si="31"/>
        <v>0</v>
      </c>
      <c r="K103" s="514"/>
      <c r="L103" s="518">
        <f t="shared" si="35"/>
        <v>63006.82444122398</v>
      </c>
      <c r="M103" s="519">
        <f t="shared" si="32"/>
        <v>0</v>
      </c>
      <c r="N103" s="518">
        <f t="shared" si="36"/>
        <v>63006.82444122398</v>
      </c>
      <c r="O103" s="514">
        <f t="shared" si="33"/>
        <v>0</v>
      </c>
      <c r="P103" s="514">
        <f t="shared" si="34"/>
        <v>0</v>
      </c>
      <c r="Q103" s="269"/>
    </row>
    <row r="104" spans="1:17">
      <c r="B104" s="195" t="str">
        <f t="shared" si="37"/>
        <v/>
      </c>
      <c r="C104" s="507">
        <f>IF(D93="","-",+C103+1)</f>
        <v>2013</v>
      </c>
      <c r="D104" s="508">
        <v>360541.66666666663</v>
      </c>
      <c r="E104" s="516">
        <v>9269.6666666666661</v>
      </c>
      <c r="F104" s="515">
        <v>351271.99999999994</v>
      </c>
      <c r="G104" s="515">
        <v>355906.83333333326</v>
      </c>
      <c r="H104" s="516">
        <v>57420.908011898166</v>
      </c>
      <c r="I104" s="510">
        <v>57420.908011898166</v>
      </c>
      <c r="J104" s="613">
        <v>0</v>
      </c>
      <c r="K104" s="514"/>
      <c r="L104" s="518">
        <f t="shared" si="35"/>
        <v>57420.908011898166</v>
      </c>
      <c r="M104" s="519">
        <f t="shared" ref="M104:M109" si="38">IF(L104&lt;&gt;0,+H104-L104,0)</f>
        <v>0</v>
      </c>
      <c r="N104" s="518">
        <f t="shared" si="36"/>
        <v>57420.908011898166</v>
      </c>
      <c r="O104" s="514">
        <f t="shared" ref="O104:O109" si="39">IF(N104&lt;&gt;0,+I104-N104,0)</f>
        <v>0</v>
      </c>
      <c r="P104" s="514">
        <f t="shared" ref="P104:P109" si="40">+O104-M104</f>
        <v>0</v>
      </c>
      <c r="Q104" s="269"/>
    </row>
    <row r="105" spans="1:17">
      <c r="B105" s="195" t="str">
        <f t="shared" si="37"/>
        <v/>
      </c>
      <c r="C105" s="507">
        <f>IF(D93="","-",+C104+1)</f>
        <v>2014</v>
      </c>
      <c r="D105" s="508">
        <v>351271.99999999994</v>
      </c>
      <c r="E105" s="516">
        <v>9269.6666666666661</v>
      </c>
      <c r="F105" s="515">
        <v>342002.33333333326</v>
      </c>
      <c r="G105" s="515">
        <v>346637.16666666663</v>
      </c>
      <c r="H105" s="516">
        <v>56385.789642955569</v>
      </c>
      <c r="I105" s="510">
        <v>56385.789642955569</v>
      </c>
      <c r="J105" s="514">
        <v>0</v>
      </c>
      <c r="K105" s="514"/>
      <c r="L105" s="518">
        <f t="shared" si="35"/>
        <v>56385.789642955569</v>
      </c>
      <c r="M105" s="519">
        <f t="shared" si="38"/>
        <v>0</v>
      </c>
      <c r="N105" s="518">
        <f t="shared" si="36"/>
        <v>56385.789642955569</v>
      </c>
      <c r="O105" s="514">
        <f t="shared" si="39"/>
        <v>0</v>
      </c>
      <c r="P105" s="514">
        <f t="shared" si="40"/>
        <v>0</v>
      </c>
      <c r="Q105" s="269"/>
    </row>
    <row r="106" spans="1:17">
      <c r="B106" s="195" t="str">
        <f t="shared" si="37"/>
        <v/>
      </c>
      <c r="C106" s="507">
        <f>IF(D93="","-",+C105+1)</f>
        <v>2015</v>
      </c>
      <c r="D106" s="508">
        <v>342002.33333333326</v>
      </c>
      <c r="E106" s="516">
        <v>9269.6666666666661</v>
      </c>
      <c r="F106" s="515">
        <v>332732.66666666657</v>
      </c>
      <c r="G106" s="515">
        <v>337367.49999999988</v>
      </c>
      <c r="H106" s="516">
        <v>53724.203573157785</v>
      </c>
      <c r="I106" s="510">
        <v>53724.203573157785</v>
      </c>
      <c r="J106" s="514">
        <f t="shared" si="31"/>
        <v>0</v>
      </c>
      <c r="K106" s="514"/>
      <c r="L106" s="518">
        <f t="shared" ref="L106:L111" si="41">H106</f>
        <v>53724.203573157785</v>
      </c>
      <c r="M106" s="519">
        <f t="shared" si="38"/>
        <v>0</v>
      </c>
      <c r="N106" s="518">
        <f t="shared" ref="N106:N111" si="42">I106</f>
        <v>53724.203573157785</v>
      </c>
      <c r="O106" s="514">
        <f t="shared" si="39"/>
        <v>0</v>
      </c>
      <c r="P106" s="514">
        <f t="shared" si="40"/>
        <v>0</v>
      </c>
      <c r="Q106" s="269"/>
    </row>
    <row r="107" spans="1:17">
      <c r="B107" s="195" t="str">
        <f t="shared" si="37"/>
        <v/>
      </c>
      <c r="C107" s="507">
        <f>IF(D93="","-",+C106+1)</f>
        <v>2016</v>
      </c>
      <c r="D107" s="508">
        <v>332732.66666666657</v>
      </c>
      <c r="E107" s="516">
        <v>9054.0930232558148</v>
      </c>
      <c r="F107" s="515">
        <v>323678.57364341075</v>
      </c>
      <c r="G107" s="515">
        <v>328205.62015503866</v>
      </c>
      <c r="H107" s="516">
        <v>50719.792658112536</v>
      </c>
      <c r="I107" s="510">
        <v>50719.792658112536</v>
      </c>
      <c r="J107" s="514">
        <f t="shared" si="31"/>
        <v>0</v>
      </c>
      <c r="K107" s="514"/>
      <c r="L107" s="518">
        <f t="shared" si="41"/>
        <v>50719.792658112536</v>
      </c>
      <c r="M107" s="519">
        <f t="shared" si="38"/>
        <v>0</v>
      </c>
      <c r="N107" s="518">
        <f t="shared" si="42"/>
        <v>50719.792658112536</v>
      </c>
      <c r="O107" s="514">
        <f t="shared" si="39"/>
        <v>0</v>
      </c>
      <c r="P107" s="514">
        <f t="shared" si="40"/>
        <v>0</v>
      </c>
      <c r="Q107" s="269"/>
    </row>
    <row r="108" spans="1:17">
      <c r="B108" s="195" t="str">
        <f t="shared" si="37"/>
        <v/>
      </c>
      <c r="C108" s="507">
        <f>IF(D93="","-",+C107+1)</f>
        <v>2017</v>
      </c>
      <c r="D108" s="508">
        <v>323678.57364341075</v>
      </c>
      <c r="E108" s="516">
        <v>9269.6666666666661</v>
      </c>
      <c r="F108" s="515">
        <v>314408.90697674407</v>
      </c>
      <c r="G108" s="515">
        <v>319043.74031007744</v>
      </c>
      <c r="H108" s="516">
        <v>48024.374867081598</v>
      </c>
      <c r="I108" s="510">
        <v>48024.374867081598</v>
      </c>
      <c r="J108" s="514">
        <f t="shared" si="31"/>
        <v>0</v>
      </c>
      <c r="K108" s="514"/>
      <c r="L108" s="518">
        <f t="shared" si="41"/>
        <v>48024.374867081598</v>
      </c>
      <c r="M108" s="519">
        <f t="shared" si="38"/>
        <v>0</v>
      </c>
      <c r="N108" s="518">
        <f t="shared" si="42"/>
        <v>48024.374867081598</v>
      </c>
      <c r="O108" s="514">
        <f t="shared" si="39"/>
        <v>0</v>
      </c>
      <c r="P108" s="514">
        <f t="shared" si="40"/>
        <v>0</v>
      </c>
      <c r="Q108" s="269"/>
    </row>
    <row r="109" spans="1:17">
      <c r="B109" s="195" t="str">
        <f t="shared" si="37"/>
        <v/>
      </c>
      <c r="C109" s="507">
        <f>IF(D93="","-",+C108+1)</f>
        <v>2018</v>
      </c>
      <c r="D109" s="508">
        <v>314408.90697674407</v>
      </c>
      <c r="E109" s="516">
        <v>9269.6666666666661</v>
      </c>
      <c r="F109" s="515">
        <v>305139.24031007738</v>
      </c>
      <c r="G109" s="515">
        <v>309774.07364341069</v>
      </c>
      <c r="H109" s="516">
        <v>41983.22941148797</v>
      </c>
      <c r="I109" s="510">
        <v>41983.22941148797</v>
      </c>
      <c r="J109" s="514">
        <f t="shared" si="31"/>
        <v>0</v>
      </c>
      <c r="K109" s="514"/>
      <c r="L109" s="518">
        <f t="shared" si="41"/>
        <v>41983.22941148797</v>
      </c>
      <c r="M109" s="519">
        <f t="shared" si="38"/>
        <v>0</v>
      </c>
      <c r="N109" s="518">
        <f t="shared" si="42"/>
        <v>41983.22941148797</v>
      </c>
      <c r="O109" s="514">
        <f t="shared" si="39"/>
        <v>0</v>
      </c>
      <c r="P109" s="514">
        <f t="shared" si="40"/>
        <v>0</v>
      </c>
      <c r="Q109" s="269"/>
    </row>
    <row r="110" spans="1:17">
      <c r="B110" s="195" t="str">
        <f t="shared" si="37"/>
        <v/>
      </c>
      <c r="C110" s="507">
        <f>IF(D93="","-",+C109+1)</f>
        <v>2019</v>
      </c>
      <c r="D110" s="508">
        <v>305139.24031007738</v>
      </c>
      <c r="E110" s="516">
        <v>9054.0930232558148</v>
      </c>
      <c r="F110" s="515">
        <v>296085.14728682156</v>
      </c>
      <c r="G110" s="515">
        <v>300612.19379844947</v>
      </c>
      <c r="H110" s="516">
        <v>41231.786544650007</v>
      </c>
      <c r="I110" s="510">
        <v>41231.786544650007</v>
      </c>
      <c r="J110" s="514">
        <f t="shared" si="31"/>
        <v>0</v>
      </c>
      <c r="K110" s="514"/>
      <c r="L110" s="518">
        <f t="shared" si="41"/>
        <v>41231.786544650007</v>
      </c>
      <c r="M110" s="519">
        <f t="shared" ref="M110:M111" si="43">IF(L110&lt;&gt;0,+H110-L110,0)</f>
        <v>0</v>
      </c>
      <c r="N110" s="518">
        <f t="shared" si="42"/>
        <v>41231.786544650007</v>
      </c>
      <c r="O110" s="514">
        <f t="shared" si="33"/>
        <v>0</v>
      </c>
      <c r="P110" s="514">
        <f t="shared" si="34"/>
        <v>0</v>
      </c>
      <c r="Q110" s="269"/>
    </row>
    <row r="111" spans="1:17">
      <c r="B111" s="195" t="str">
        <f t="shared" si="37"/>
        <v/>
      </c>
      <c r="C111" s="507">
        <f>IF(D93="","-",+C110+1)</f>
        <v>2020</v>
      </c>
      <c r="D111" s="508">
        <v>296085.14728682156</v>
      </c>
      <c r="E111" s="516">
        <v>9269.6666666666661</v>
      </c>
      <c r="F111" s="515">
        <v>286815.48062015488</v>
      </c>
      <c r="G111" s="515">
        <v>291450.31395348825</v>
      </c>
      <c r="H111" s="516">
        <v>40622.093922186577</v>
      </c>
      <c r="I111" s="510">
        <v>40622.093922186577</v>
      </c>
      <c r="J111" s="514">
        <f t="shared" si="31"/>
        <v>0</v>
      </c>
      <c r="K111" s="514"/>
      <c r="L111" s="518">
        <f t="shared" si="41"/>
        <v>40622.093922186577</v>
      </c>
      <c r="M111" s="519">
        <f t="shared" si="43"/>
        <v>0</v>
      </c>
      <c r="N111" s="518">
        <f t="shared" si="42"/>
        <v>40622.093922186577</v>
      </c>
      <c r="O111" s="514">
        <f t="shared" si="33"/>
        <v>0</v>
      </c>
      <c r="P111" s="514">
        <f t="shared" si="34"/>
        <v>0</v>
      </c>
      <c r="Q111" s="269"/>
    </row>
    <row r="112" spans="1:17">
      <c r="B112" s="195" t="str">
        <f t="shared" si="37"/>
        <v/>
      </c>
      <c r="C112" s="507">
        <f>IF(D93="","-",+C111+1)</f>
        <v>2021</v>
      </c>
      <c r="D112" s="508">
        <v>286815.48062015488</v>
      </c>
      <c r="E112" s="516">
        <v>9495.7560975609758</v>
      </c>
      <c r="F112" s="515">
        <v>277319.7245225939</v>
      </c>
      <c r="G112" s="515">
        <v>282067.60257137439</v>
      </c>
      <c r="H112" s="516">
        <v>41514.441787998621</v>
      </c>
      <c r="I112" s="510">
        <v>41514.441787998621</v>
      </c>
      <c r="J112" s="514">
        <f t="shared" si="31"/>
        <v>0</v>
      </c>
      <c r="K112" s="514"/>
      <c r="L112" s="518">
        <f t="shared" ref="L112" si="44">H112</f>
        <v>41514.441787998621</v>
      </c>
      <c r="M112" s="519">
        <f t="shared" ref="M112" si="45">IF(L112&lt;&gt;0,+H112-L112,0)</f>
        <v>0</v>
      </c>
      <c r="N112" s="518">
        <f t="shared" ref="N112" si="46">I112</f>
        <v>41514.441787998621</v>
      </c>
      <c r="O112" s="514">
        <f t="shared" ref="O112" si="47">IF(N112&lt;&gt;0,+I112-N112,0)</f>
        <v>0</v>
      </c>
      <c r="P112" s="514">
        <f t="shared" ref="P112" si="48">+O112-M112</f>
        <v>0</v>
      </c>
      <c r="Q112" s="269"/>
    </row>
    <row r="113" spans="2:17">
      <c r="B113" s="195" t="str">
        <f t="shared" si="37"/>
        <v/>
      </c>
      <c r="C113" s="673">
        <f>IF(D93="","-",+C112+1)</f>
        <v>2022</v>
      </c>
      <c r="D113" s="374">
        <v>277319.7245225939</v>
      </c>
      <c r="E113" s="522">
        <v>9269.6666666666661</v>
      </c>
      <c r="F113" s="523">
        <v>268050.05785592721</v>
      </c>
      <c r="G113" s="523">
        <v>272684.89118926052</v>
      </c>
      <c r="H113" s="526">
        <v>41298.645816011769</v>
      </c>
      <c r="I113" s="577">
        <v>41298.645816011769</v>
      </c>
      <c r="J113" s="514">
        <f t="shared" si="31"/>
        <v>0</v>
      </c>
      <c r="K113" s="514"/>
      <c r="L113" s="525"/>
      <c r="M113" s="514">
        <f t="shared" si="32"/>
        <v>0</v>
      </c>
      <c r="N113" s="525"/>
      <c r="O113" s="514">
        <f t="shared" si="33"/>
        <v>0</v>
      </c>
      <c r="P113" s="514">
        <f t="shared" si="34"/>
        <v>0</v>
      </c>
      <c r="Q113" s="269"/>
    </row>
    <row r="114" spans="2:17">
      <c r="B114" s="195" t="str">
        <f t="shared" si="37"/>
        <v/>
      </c>
      <c r="C114" s="507">
        <f>IF(D93="","-",+C113+1)</f>
        <v>2023</v>
      </c>
      <c r="D114" s="374">
        <f>IF(F113+SUM(E$99:E113)=D$92,F113,D$92-SUM(E$99:E113))</f>
        <v>268050.05785592721</v>
      </c>
      <c r="E114" s="522">
        <f>IF(+J96&lt;F113,J96,D114)</f>
        <v>9495.7560975609758</v>
      </c>
      <c r="F114" s="523">
        <f t="shared" ref="F114:F130" si="49">+D114-E114</f>
        <v>258554.30175836623</v>
      </c>
      <c r="G114" s="523">
        <f t="shared" ref="G114:G130" si="50">+(F114+D114)/2</f>
        <v>263302.17980714672</v>
      </c>
      <c r="H114" s="526">
        <f t="shared" ref="H114:H154" si="51">+J$94*G114+E114</f>
        <v>39384.299340377569</v>
      </c>
      <c r="I114" s="577">
        <f t="shared" ref="I114:I154" si="52">+J$95*G114+E114</f>
        <v>39384.299340377569</v>
      </c>
      <c r="J114" s="514">
        <f t="shared" si="31"/>
        <v>0</v>
      </c>
      <c r="K114" s="514"/>
      <c r="L114" s="525"/>
      <c r="M114" s="514">
        <f t="shared" si="32"/>
        <v>0</v>
      </c>
      <c r="N114" s="525"/>
      <c r="O114" s="514">
        <f t="shared" si="33"/>
        <v>0</v>
      </c>
      <c r="P114" s="514">
        <f t="shared" si="34"/>
        <v>0</v>
      </c>
      <c r="Q114" s="269"/>
    </row>
    <row r="115" spans="2:17">
      <c r="B115" s="195" t="str">
        <f t="shared" si="37"/>
        <v/>
      </c>
      <c r="C115" s="507">
        <f>IF(D93="","-",+C114+1)</f>
        <v>2024</v>
      </c>
      <c r="D115" s="374">
        <f>IF(F114+SUM(E$99:E114)=D$92,F114,D$92-SUM(E$99:E114))</f>
        <v>258554.30175836623</v>
      </c>
      <c r="E115" s="522">
        <f>IF(+J96&lt;F114,J96,D115)</f>
        <v>9495.7560975609758</v>
      </c>
      <c r="F115" s="523">
        <f t="shared" si="49"/>
        <v>249058.54566080525</v>
      </c>
      <c r="G115" s="523">
        <f t="shared" si="50"/>
        <v>253806.42370958574</v>
      </c>
      <c r="H115" s="526">
        <f t="shared" si="51"/>
        <v>38306.395933147636</v>
      </c>
      <c r="I115" s="577">
        <f t="shared" si="52"/>
        <v>38306.395933147636</v>
      </c>
      <c r="J115" s="514">
        <f t="shared" si="31"/>
        <v>0</v>
      </c>
      <c r="K115" s="514"/>
      <c r="L115" s="525"/>
      <c r="M115" s="514">
        <f t="shared" si="32"/>
        <v>0</v>
      </c>
      <c r="N115" s="525"/>
      <c r="O115" s="514">
        <f t="shared" si="33"/>
        <v>0</v>
      </c>
      <c r="P115" s="514">
        <f t="shared" si="34"/>
        <v>0</v>
      </c>
      <c r="Q115" s="269"/>
    </row>
    <row r="116" spans="2:17">
      <c r="B116" s="195" t="str">
        <f t="shared" si="37"/>
        <v/>
      </c>
      <c r="C116" s="507">
        <f>IF(D93="","-",+C115+1)</f>
        <v>2025</v>
      </c>
      <c r="D116" s="374">
        <f>IF(F115+SUM(E$99:E115)=D$92,F115,D$92-SUM(E$99:E115))</f>
        <v>249058.54566080525</v>
      </c>
      <c r="E116" s="522">
        <f>IF(+J96&lt;F115,J96,D116)</f>
        <v>9495.7560975609758</v>
      </c>
      <c r="F116" s="523">
        <f t="shared" si="49"/>
        <v>239562.78956324427</v>
      </c>
      <c r="G116" s="523">
        <f t="shared" si="50"/>
        <v>244310.66761202476</v>
      </c>
      <c r="H116" s="526">
        <f t="shared" si="51"/>
        <v>37228.492525917711</v>
      </c>
      <c r="I116" s="577">
        <f t="shared" si="52"/>
        <v>37228.492525917711</v>
      </c>
      <c r="J116" s="514">
        <f t="shared" si="31"/>
        <v>0</v>
      </c>
      <c r="K116" s="514"/>
      <c r="L116" s="525"/>
      <c r="M116" s="514">
        <f t="shared" si="32"/>
        <v>0</v>
      </c>
      <c r="N116" s="525"/>
      <c r="O116" s="514">
        <f t="shared" si="33"/>
        <v>0</v>
      </c>
      <c r="P116" s="514">
        <f t="shared" si="34"/>
        <v>0</v>
      </c>
      <c r="Q116" s="269"/>
    </row>
    <row r="117" spans="2:17">
      <c r="B117" s="195" t="str">
        <f t="shared" si="37"/>
        <v/>
      </c>
      <c r="C117" s="507">
        <f>IF(D93="","-",+C116+1)</f>
        <v>2026</v>
      </c>
      <c r="D117" s="374">
        <f>IF(F116+SUM(E$99:E116)=D$92,F116,D$92-SUM(E$99:E116))</f>
        <v>239562.78956324427</v>
      </c>
      <c r="E117" s="522">
        <f>IF(+J96&lt;F116,J96,D117)</f>
        <v>9495.7560975609758</v>
      </c>
      <c r="F117" s="523">
        <f t="shared" si="49"/>
        <v>230067.03346568329</v>
      </c>
      <c r="G117" s="523">
        <f t="shared" si="50"/>
        <v>234814.91151446378</v>
      </c>
      <c r="H117" s="526">
        <f t="shared" si="51"/>
        <v>36150.589118687785</v>
      </c>
      <c r="I117" s="577">
        <f t="shared" si="52"/>
        <v>36150.589118687785</v>
      </c>
      <c r="J117" s="514">
        <f t="shared" si="31"/>
        <v>0</v>
      </c>
      <c r="K117" s="514"/>
      <c r="L117" s="525"/>
      <c r="M117" s="514">
        <f t="shared" si="32"/>
        <v>0</v>
      </c>
      <c r="N117" s="525"/>
      <c r="O117" s="514">
        <f t="shared" si="33"/>
        <v>0</v>
      </c>
      <c r="P117" s="514">
        <f t="shared" si="34"/>
        <v>0</v>
      </c>
      <c r="Q117" s="269"/>
    </row>
    <row r="118" spans="2:17">
      <c r="B118" s="195" t="str">
        <f t="shared" si="37"/>
        <v/>
      </c>
      <c r="C118" s="507">
        <f>IF(D93="","-",+C117+1)</f>
        <v>2027</v>
      </c>
      <c r="D118" s="374">
        <f>IF(F117+SUM(E$99:E117)=D$92,F117,D$92-SUM(E$99:E117))</f>
        <v>230067.03346568329</v>
      </c>
      <c r="E118" s="522">
        <f>IF(+J96&lt;F117,J96,D118)</f>
        <v>9495.7560975609758</v>
      </c>
      <c r="F118" s="523">
        <f t="shared" si="49"/>
        <v>220571.2773681223</v>
      </c>
      <c r="G118" s="523">
        <f t="shared" si="50"/>
        <v>225319.15541690279</v>
      </c>
      <c r="H118" s="526">
        <f t="shared" si="51"/>
        <v>35072.685711457852</v>
      </c>
      <c r="I118" s="577">
        <f t="shared" si="52"/>
        <v>35072.685711457852</v>
      </c>
      <c r="J118" s="514">
        <f t="shared" si="31"/>
        <v>0</v>
      </c>
      <c r="K118" s="514"/>
      <c r="L118" s="525"/>
      <c r="M118" s="514">
        <f t="shared" si="32"/>
        <v>0</v>
      </c>
      <c r="N118" s="525"/>
      <c r="O118" s="514">
        <f t="shared" si="33"/>
        <v>0</v>
      </c>
      <c r="P118" s="514">
        <f t="shared" si="34"/>
        <v>0</v>
      </c>
      <c r="Q118" s="269"/>
    </row>
    <row r="119" spans="2:17">
      <c r="B119" s="195" t="str">
        <f t="shared" si="37"/>
        <v/>
      </c>
      <c r="C119" s="507">
        <f>IF(D93="","-",+C118+1)</f>
        <v>2028</v>
      </c>
      <c r="D119" s="374">
        <f>IF(F118+SUM(E$99:E118)=D$92,F118,D$92-SUM(E$99:E118))</f>
        <v>220571.2773681223</v>
      </c>
      <c r="E119" s="522">
        <f>IF(+J96&lt;F118,J96,D119)</f>
        <v>9495.7560975609758</v>
      </c>
      <c r="F119" s="523">
        <f t="shared" si="49"/>
        <v>211075.52127056132</v>
      </c>
      <c r="G119" s="523">
        <f t="shared" si="50"/>
        <v>215823.39931934181</v>
      </c>
      <c r="H119" s="526">
        <f t="shared" si="51"/>
        <v>33994.782304227927</v>
      </c>
      <c r="I119" s="577">
        <f t="shared" si="52"/>
        <v>33994.782304227927</v>
      </c>
      <c r="J119" s="514">
        <f t="shared" si="31"/>
        <v>0</v>
      </c>
      <c r="K119" s="514"/>
      <c r="L119" s="525"/>
      <c r="M119" s="514">
        <f t="shared" si="32"/>
        <v>0</v>
      </c>
      <c r="N119" s="525"/>
      <c r="O119" s="514">
        <f t="shared" si="33"/>
        <v>0</v>
      </c>
      <c r="P119" s="514">
        <f t="shared" si="34"/>
        <v>0</v>
      </c>
      <c r="Q119" s="269"/>
    </row>
    <row r="120" spans="2:17">
      <c r="B120" s="195" t="str">
        <f t="shared" si="37"/>
        <v/>
      </c>
      <c r="C120" s="507">
        <f>IF(D93="","-",+C119+1)</f>
        <v>2029</v>
      </c>
      <c r="D120" s="374">
        <f>IF(F119+SUM(E$99:E119)=D$92,F119,D$92-SUM(E$99:E119))</f>
        <v>211075.52127056132</v>
      </c>
      <c r="E120" s="522">
        <f>IF(+J96&lt;F119,J96,D120)</f>
        <v>9495.7560975609758</v>
      </c>
      <c r="F120" s="523">
        <f t="shared" si="49"/>
        <v>201579.76517300034</v>
      </c>
      <c r="G120" s="523">
        <f t="shared" si="50"/>
        <v>206327.64322178083</v>
      </c>
      <c r="H120" s="526">
        <f t="shared" si="51"/>
        <v>32916.878896997994</v>
      </c>
      <c r="I120" s="577">
        <f t="shared" si="52"/>
        <v>32916.878896997994</v>
      </c>
      <c r="J120" s="514">
        <f t="shared" si="31"/>
        <v>0</v>
      </c>
      <c r="K120" s="514"/>
      <c r="L120" s="525"/>
      <c r="M120" s="514">
        <f t="shared" si="32"/>
        <v>0</v>
      </c>
      <c r="N120" s="525"/>
      <c r="O120" s="514">
        <f t="shared" si="33"/>
        <v>0</v>
      </c>
      <c r="P120" s="514">
        <f t="shared" si="34"/>
        <v>0</v>
      </c>
      <c r="Q120" s="269"/>
    </row>
    <row r="121" spans="2:17">
      <c r="B121" s="195" t="str">
        <f t="shared" si="37"/>
        <v/>
      </c>
      <c r="C121" s="507">
        <f>IF(D93="","-",+C120+1)</f>
        <v>2030</v>
      </c>
      <c r="D121" s="374">
        <f>IF(F120+SUM(E$99:E120)=D$92,F120,D$92-SUM(E$99:E120))</f>
        <v>201579.76517300034</v>
      </c>
      <c r="E121" s="522">
        <f>IF(+J96&lt;F120,J96,D121)</f>
        <v>9495.7560975609758</v>
      </c>
      <c r="F121" s="523">
        <f t="shared" si="49"/>
        <v>192084.00907543936</v>
      </c>
      <c r="G121" s="523">
        <f t="shared" si="50"/>
        <v>196831.88712421985</v>
      </c>
      <c r="H121" s="526">
        <f t="shared" si="51"/>
        <v>31838.975489768069</v>
      </c>
      <c r="I121" s="577">
        <f t="shared" si="52"/>
        <v>31838.975489768069</v>
      </c>
      <c r="J121" s="514">
        <f t="shared" si="31"/>
        <v>0</v>
      </c>
      <c r="K121" s="514"/>
      <c r="L121" s="525"/>
      <c r="M121" s="514">
        <f t="shared" si="32"/>
        <v>0</v>
      </c>
      <c r="N121" s="525"/>
      <c r="O121" s="514">
        <f t="shared" si="33"/>
        <v>0</v>
      </c>
      <c r="P121" s="514">
        <f t="shared" si="34"/>
        <v>0</v>
      </c>
      <c r="Q121" s="269"/>
    </row>
    <row r="122" spans="2:17">
      <c r="B122" s="195" t="str">
        <f t="shared" si="37"/>
        <v/>
      </c>
      <c r="C122" s="507">
        <f>IF(D93="","-",+C121+1)</f>
        <v>2031</v>
      </c>
      <c r="D122" s="374">
        <f>IF(F121+SUM(E$99:E121)=D$92,F121,D$92-SUM(E$99:E121))</f>
        <v>192084.00907543936</v>
      </c>
      <c r="E122" s="522">
        <f>IF(+J96&lt;F121,J96,D122)</f>
        <v>9495.7560975609758</v>
      </c>
      <c r="F122" s="523">
        <f t="shared" si="49"/>
        <v>182588.25297787838</v>
      </c>
      <c r="G122" s="523">
        <f t="shared" si="50"/>
        <v>187336.13102665887</v>
      </c>
      <c r="H122" s="526">
        <f t="shared" si="51"/>
        <v>30761.072082538143</v>
      </c>
      <c r="I122" s="577">
        <f t="shared" si="52"/>
        <v>30761.072082538143</v>
      </c>
      <c r="J122" s="514">
        <f t="shared" si="31"/>
        <v>0</v>
      </c>
      <c r="K122" s="514"/>
      <c r="L122" s="525"/>
      <c r="M122" s="514">
        <f t="shared" si="32"/>
        <v>0</v>
      </c>
      <c r="N122" s="525"/>
      <c r="O122" s="514">
        <f t="shared" si="33"/>
        <v>0</v>
      </c>
      <c r="P122" s="514">
        <f t="shared" si="34"/>
        <v>0</v>
      </c>
      <c r="Q122" s="269"/>
    </row>
    <row r="123" spans="2:17">
      <c r="B123" s="195" t="str">
        <f t="shared" si="37"/>
        <v/>
      </c>
      <c r="C123" s="507">
        <f>IF(D93="","-",+C122+1)</f>
        <v>2032</v>
      </c>
      <c r="D123" s="374">
        <f>IF(F122+SUM(E$99:E122)=D$92,F122,D$92-SUM(E$99:E122))</f>
        <v>182588.25297787838</v>
      </c>
      <c r="E123" s="522">
        <f>IF(+J96&lt;F122,J96,D123)</f>
        <v>9495.7560975609758</v>
      </c>
      <c r="F123" s="523">
        <f t="shared" si="49"/>
        <v>173092.4968803174</v>
      </c>
      <c r="G123" s="523">
        <f t="shared" si="50"/>
        <v>177840.37492909789</v>
      </c>
      <c r="H123" s="526">
        <f t="shared" si="51"/>
        <v>29683.16867530821</v>
      </c>
      <c r="I123" s="577">
        <f t="shared" si="52"/>
        <v>29683.16867530821</v>
      </c>
      <c r="J123" s="514">
        <f t="shared" si="31"/>
        <v>0</v>
      </c>
      <c r="K123" s="514"/>
      <c r="L123" s="525"/>
      <c r="M123" s="514">
        <f t="shared" si="32"/>
        <v>0</v>
      </c>
      <c r="N123" s="525"/>
      <c r="O123" s="514">
        <f t="shared" si="33"/>
        <v>0</v>
      </c>
      <c r="P123" s="514">
        <f t="shared" si="34"/>
        <v>0</v>
      </c>
      <c r="Q123" s="269"/>
    </row>
    <row r="124" spans="2:17">
      <c r="B124" s="195" t="str">
        <f t="shared" si="37"/>
        <v/>
      </c>
      <c r="C124" s="507">
        <f>IF(D93="","-",+C123+1)</f>
        <v>2033</v>
      </c>
      <c r="D124" s="374">
        <f>IF(F123+SUM(E$99:E123)=D$92,F123,D$92-SUM(E$99:E123))</f>
        <v>173092.4968803174</v>
      </c>
      <c r="E124" s="522">
        <f>IF(+J96&lt;F123,J96,D124)</f>
        <v>9495.7560975609758</v>
      </c>
      <c r="F124" s="523">
        <f t="shared" si="49"/>
        <v>163596.74078275642</v>
      </c>
      <c r="G124" s="523">
        <f t="shared" si="50"/>
        <v>168344.61883153691</v>
      </c>
      <c r="H124" s="526">
        <f t="shared" si="51"/>
        <v>28605.265268078285</v>
      </c>
      <c r="I124" s="577">
        <f t="shared" si="52"/>
        <v>28605.265268078285</v>
      </c>
      <c r="J124" s="514">
        <f t="shared" si="31"/>
        <v>0</v>
      </c>
      <c r="K124" s="514"/>
      <c r="L124" s="525"/>
      <c r="M124" s="514">
        <f t="shared" si="32"/>
        <v>0</v>
      </c>
      <c r="N124" s="525"/>
      <c r="O124" s="514">
        <f t="shared" si="33"/>
        <v>0</v>
      </c>
      <c r="P124" s="514">
        <f t="shared" si="34"/>
        <v>0</v>
      </c>
      <c r="Q124" s="269"/>
    </row>
    <row r="125" spans="2:17">
      <c r="B125" s="195" t="str">
        <f t="shared" si="37"/>
        <v/>
      </c>
      <c r="C125" s="507">
        <f>IF(D93="","-",+C124+1)</f>
        <v>2034</v>
      </c>
      <c r="D125" s="374">
        <f>IF(F124+SUM(E$99:E124)=D$92,F124,D$92-SUM(E$99:E124))</f>
        <v>163596.74078275642</v>
      </c>
      <c r="E125" s="522">
        <f>IF(+J96&lt;F124,J96,D125)</f>
        <v>9495.7560975609758</v>
      </c>
      <c r="F125" s="523">
        <f t="shared" si="49"/>
        <v>154100.98468519544</v>
      </c>
      <c r="G125" s="523">
        <f t="shared" si="50"/>
        <v>158848.86273397593</v>
      </c>
      <c r="H125" s="526">
        <f t="shared" si="51"/>
        <v>27527.361860848352</v>
      </c>
      <c r="I125" s="577">
        <f t="shared" si="52"/>
        <v>27527.361860848352</v>
      </c>
      <c r="J125" s="514">
        <f t="shared" si="31"/>
        <v>0</v>
      </c>
      <c r="K125" s="514"/>
      <c r="L125" s="525"/>
      <c r="M125" s="514">
        <f t="shared" si="32"/>
        <v>0</v>
      </c>
      <c r="N125" s="525"/>
      <c r="O125" s="514">
        <f t="shared" si="33"/>
        <v>0</v>
      </c>
      <c r="P125" s="514">
        <f t="shared" si="34"/>
        <v>0</v>
      </c>
      <c r="Q125" s="269"/>
    </row>
    <row r="126" spans="2:17">
      <c r="B126" s="195" t="str">
        <f t="shared" si="37"/>
        <v/>
      </c>
      <c r="C126" s="507">
        <f>IF(D93="","-",+C125+1)</f>
        <v>2035</v>
      </c>
      <c r="D126" s="374">
        <f>IF(F125+SUM(E$99:E125)=D$92,F125,D$92-SUM(E$99:E125))</f>
        <v>154100.98468519544</v>
      </c>
      <c r="E126" s="522">
        <f>IF(+J96&lt;F125,J96,D126)</f>
        <v>9495.7560975609758</v>
      </c>
      <c r="F126" s="523">
        <f t="shared" si="49"/>
        <v>144605.22858763445</v>
      </c>
      <c r="G126" s="523">
        <f t="shared" si="50"/>
        <v>149353.10663641494</v>
      </c>
      <c r="H126" s="526">
        <f t="shared" si="51"/>
        <v>26449.458453618427</v>
      </c>
      <c r="I126" s="577">
        <f t="shared" si="52"/>
        <v>26449.458453618427</v>
      </c>
      <c r="J126" s="514">
        <f t="shared" si="31"/>
        <v>0</v>
      </c>
      <c r="K126" s="514"/>
      <c r="L126" s="525"/>
      <c r="M126" s="514">
        <f t="shared" si="32"/>
        <v>0</v>
      </c>
      <c r="N126" s="525"/>
      <c r="O126" s="514">
        <f t="shared" si="33"/>
        <v>0</v>
      </c>
      <c r="P126" s="514">
        <f t="shared" si="34"/>
        <v>0</v>
      </c>
      <c r="Q126" s="269"/>
    </row>
    <row r="127" spans="2:17">
      <c r="B127" s="195" t="str">
        <f t="shared" si="37"/>
        <v/>
      </c>
      <c r="C127" s="507">
        <f>IF(D93="","-",+C126+1)</f>
        <v>2036</v>
      </c>
      <c r="D127" s="374">
        <f>IF(F126+SUM(E$99:E126)=D$92,F126,D$92-SUM(E$99:E126))</f>
        <v>144605.22858763445</v>
      </c>
      <c r="E127" s="522">
        <f>IF(+J96&lt;F126,J96,D127)</f>
        <v>9495.7560975609758</v>
      </c>
      <c r="F127" s="523">
        <f t="shared" si="49"/>
        <v>135109.47249007347</v>
      </c>
      <c r="G127" s="523">
        <f t="shared" si="50"/>
        <v>139857.35053885396</v>
      </c>
      <c r="H127" s="526">
        <f t="shared" si="51"/>
        <v>25371.555046388497</v>
      </c>
      <c r="I127" s="577">
        <f t="shared" si="52"/>
        <v>25371.555046388497</v>
      </c>
      <c r="J127" s="514">
        <f t="shared" si="31"/>
        <v>0</v>
      </c>
      <c r="K127" s="514"/>
      <c r="L127" s="525"/>
      <c r="M127" s="514">
        <f t="shared" si="32"/>
        <v>0</v>
      </c>
      <c r="N127" s="525"/>
      <c r="O127" s="514">
        <f t="shared" si="33"/>
        <v>0</v>
      </c>
      <c r="P127" s="514">
        <f t="shared" si="34"/>
        <v>0</v>
      </c>
      <c r="Q127" s="269"/>
    </row>
    <row r="128" spans="2:17">
      <c r="B128" s="195" t="str">
        <f t="shared" si="37"/>
        <v/>
      </c>
      <c r="C128" s="507">
        <f>IF(D93="","-",+C127+1)</f>
        <v>2037</v>
      </c>
      <c r="D128" s="374">
        <f>IF(F127+SUM(E$99:E127)=D$92,F127,D$92-SUM(E$99:E127))</f>
        <v>135109.47249007347</v>
      </c>
      <c r="E128" s="522">
        <f>IF(+J96&lt;F127,J96,D128)</f>
        <v>9495.7560975609758</v>
      </c>
      <c r="F128" s="523">
        <f t="shared" si="49"/>
        <v>125613.71639251249</v>
      </c>
      <c r="G128" s="523">
        <f t="shared" si="50"/>
        <v>130361.59444129298</v>
      </c>
      <c r="H128" s="526">
        <f t="shared" si="51"/>
        <v>24293.651639158568</v>
      </c>
      <c r="I128" s="577">
        <f t="shared" si="52"/>
        <v>24293.651639158568</v>
      </c>
      <c r="J128" s="514">
        <f t="shared" si="31"/>
        <v>0</v>
      </c>
      <c r="K128" s="514"/>
      <c r="L128" s="525"/>
      <c r="M128" s="514">
        <f t="shared" si="32"/>
        <v>0</v>
      </c>
      <c r="N128" s="525"/>
      <c r="O128" s="514">
        <f t="shared" si="33"/>
        <v>0</v>
      </c>
      <c r="P128" s="514">
        <f t="shared" si="34"/>
        <v>0</v>
      </c>
      <c r="Q128" s="269"/>
    </row>
    <row r="129" spans="2:17">
      <c r="B129" s="195" t="str">
        <f t="shared" si="37"/>
        <v/>
      </c>
      <c r="C129" s="507">
        <f>IF(D93="","-",+C128+1)</f>
        <v>2038</v>
      </c>
      <c r="D129" s="374">
        <f>IF(F128+SUM(E$99:E128)=D$92,F128,D$92-SUM(E$99:E128))</f>
        <v>125613.71639251249</v>
      </c>
      <c r="E129" s="522">
        <f>IF(+J96&lt;F128,J96,D129)</f>
        <v>9495.7560975609758</v>
      </c>
      <c r="F129" s="523">
        <f t="shared" si="49"/>
        <v>116117.96029495151</v>
      </c>
      <c r="G129" s="523">
        <f t="shared" si="50"/>
        <v>120865.838343732</v>
      </c>
      <c r="H129" s="526">
        <f t="shared" si="51"/>
        <v>23215.748231928643</v>
      </c>
      <c r="I129" s="577">
        <f t="shared" si="52"/>
        <v>23215.748231928643</v>
      </c>
      <c r="J129" s="514">
        <f t="shared" si="31"/>
        <v>0</v>
      </c>
      <c r="K129" s="514"/>
      <c r="L129" s="525"/>
      <c r="M129" s="514">
        <f t="shared" si="32"/>
        <v>0</v>
      </c>
      <c r="N129" s="525"/>
      <c r="O129" s="514">
        <f t="shared" si="33"/>
        <v>0</v>
      </c>
      <c r="P129" s="514">
        <f t="shared" si="34"/>
        <v>0</v>
      </c>
      <c r="Q129" s="269"/>
    </row>
    <row r="130" spans="2:17">
      <c r="B130" s="195" t="str">
        <f t="shared" si="37"/>
        <v/>
      </c>
      <c r="C130" s="507">
        <f>IF(D93="","-",+C129+1)</f>
        <v>2039</v>
      </c>
      <c r="D130" s="374">
        <f>IF(F129+SUM(E$99:E129)=D$92,F129,D$92-SUM(E$99:E129))</f>
        <v>116117.96029495151</v>
      </c>
      <c r="E130" s="522">
        <f>IF(+J96&lt;F129,J96,D130)</f>
        <v>9495.7560975609758</v>
      </c>
      <c r="F130" s="523">
        <f t="shared" si="49"/>
        <v>106622.20419739053</v>
      </c>
      <c r="G130" s="523">
        <f t="shared" si="50"/>
        <v>111370.08224617102</v>
      </c>
      <c r="H130" s="526">
        <f t="shared" si="51"/>
        <v>22137.84482469871</v>
      </c>
      <c r="I130" s="577">
        <f t="shared" si="52"/>
        <v>22137.84482469871</v>
      </c>
      <c r="J130" s="514">
        <f t="shared" si="31"/>
        <v>0</v>
      </c>
      <c r="K130" s="514"/>
      <c r="L130" s="525"/>
      <c r="M130" s="514">
        <f t="shared" si="32"/>
        <v>0</v>
      </c>
      <c r="N130" s="525"/>
      <c r="O130" s="514">
        <f t="shared" si="33"/>
        <v>0</v>
      </c>
      <c r="P130" s="514">
        <f t="shared" si="34"/>
        <v>0</v>
      </c>
      <c r="Q130" s="269"/>
    </row>
    <row r="131" spans="2:17">
      <c r="B131" s="195" t="str">
        <f t="shared" si="37"/>
        <v/>
      </c>
      <c r="C131" s="507">
        <f>IF(D93="","-",+C130+1)</f>
        <v>2040</v>
      </c>
      <c r="D131" s="374">
        <f>IF(F130+SUM(E$99:E130)=D$92,F130,D$92-SUM(E$99:E130))</f>
        <v>106622.20419739053</v>
      </c>
      <c r="E131" s="522">
        <f>IF(+J96&lt;F130,J96,D131)</f>
        <v>9495.7560975609758</v>
      </c>
      <c r="F131" s="523">
        <f t="shared" ref="F131:F154" si="53">+D131-E131</f>
        <v>97126.448099829548</v>
      </c>
      <c r="G131" s="523">
        <f t="shared" ref="G131:G154" si="54">+(F131+D131)/2</f>
        <v>101874.32614861004</v>
      </c>
      <c r="H131" s="526">
        <f t="shared" si="51"/>
        <v>21059.941417468784</v>
      </c>
      <c r="I131" s="577">
        <f t="shared" si="52"/>
        <v>21059.941417468784</v>
      </c>
      <c r="J131" s="514">
        <f t="shared" ref="J131:J154" si="55">+I131-H131</f>
        <v>0</v>
      </c>
      <c r="K131" s="514"/>
      <c r="L131" s="525"/>
      <c r="M131" s="514">
        <f t="shared" ref="M131:M154" si="56">IF(L131&lt;&gt;0,+H131-L131,0)</f>
        <v>0</v>
      </c>
      <c r="N131" s="525"/>
      <c r="O131" s="514">
        <f t="shared" ref="O131:O154" si="57">IF(N131&lt;&gt;0,+I131-N131,0)</f>
        <v>0</v>
      </c>
      <c r="P131" s="514">
        <f t="shared" ref="P131:P154" si="58">+O131-M131</f>
        <v>0</v>
      </c>
      <c r="Q131" s="269"/>
    </row>
    <row r="132" spans="2:17">
      <c r="B132" s="195" t="str">
        <f t="shared" si="37"/>
        <v/>
      </c>
      <c r="C132" s="507">
        <f>IF(D93="","-",+C131+1)</f>
        <v>2041</v>
      </c>
      <c r="D132" s="374">
        <f>IF(F131+SUM(E$99:E131)=D$92,F131,D$92-SUM(E$99:E131))</f>
        <v>97126.448099829548</v>
      </c>
      <c r="E132" s="522">
        <f>IF(+J96&lt;F131,J96,D132)</f>
        <v>9495.7560975609758</v>
      </c>
      <c r="F132" s="523">
        <f t="shared" si="53"/>
        <v>87630.692002268566</v>
      </c>
      <c r="G132" s="523">
        <f t="shared" si="54"/>
        <v>92378.570051049057</v>
      </c>
      <c r="H132" s="526">
        <f t="shared" si="51"/>
        <v>19982.038010238855</v>
      </c>
      <c r="I132" s="577">
        <f t="shared" si="52"/>
        <v>19982.038010238855</v>
      </c>
      <c r="J132" s="514">
        <f t="shared" si="55"/>
        <v>0</v>
      </c>
      <c r="K132" s="514"/>
      <c r="L132" s="525"/>
      <c r="M132" s="514">
        <f t="shared" si="56"/>
        <v>0</v>
      </c>
      <c r="N132" s="525"/>
      <c r="O132" s="514">
        <f t="shared" si="57"/>
        <v>0</v>
      </c>
      <c r="P132" s="514">
        <f t="shared" si="58"/>
        <v>0</v>
      </c>
      <c r="Q132" s="269"/>
    </row>
    <row r="133" spans="2:17">
      <c r="B133" s="195" t="str">
        <f t="shared" si="37"/>
        <v/>
      </c>
      <c r="C133" s="507">
        <f>IF(D93="","-",+C132+1)</f>
        <v>2042</v>
      </c>
      <c r="D133" s="374">
        <f>IF(F132+SUM(E$99:E132)=D$92,F132,D$92-SUM(E$99:E132))</f>
        <v>87630.692002268566</v>
      </c>
      <c r="E133" s="522">
        <f>IF(+J96&lt;F132,J96,D133)</f>
        <v>9495.7560975609758</v>
      </c>
      <c r="F133" s="523">
        <f t="shared" si="53"/>
        <v>78134.935904707585</v>
      </c>
      <c r="G133" s="523">
        <f t="shared" si="54"/>
        <v>82882.813953488076</v>
      </c>
      <c r="H133" s="526">
        <f t="shared" si="51"/>
        <v>18904.134603008926</v>
      </c>
      <c r="I133" s="577">
        <f t="shared" si="52"/>
        <v>18904.134603008926</v>
      </c>
      <c r="J133" s="514">
        <f t="shared" si="55"/>
        <v>0</v>
      </c>
      <c r="K133" s="514"/>
      <c r="L133" s="525"/>
      <c r="M133" s="514">
        <f t="shared" si="56"/>
        <v>0</v>
      </c>
      <c r="N133" s="525"/>
      <c r="O133" s="514">
        <f t="shared" si="57"/>
        <v>0</v>
      </c>
      <c r="P133" s="514">
        <f t="shared" si="58"/>
        <v>0</v>
      </c>
      <c r="Q133" s="269"/>
    </row>
    <row r="134" spans="2:17">
      <c r="B134" s="195" t="str">
        <f t="shared" si="37"/>
        <v/>
      </c>
      <c r="C134" s="507">
        <f>IF(D93="","-",+C133+1)</f>
        <v>2043</v>
      </c>
      <c r="D134" s="374">
        <f>IF(F133+SUM(E$99:E133)=D$92,F133,D$92-SUM(E$99:E133))</f>
        <v>78134.935904707585</v>
      </c>
      <c r="E134" s="522">
        <f>IF(+J96&lt;F133,J96,D134)</f>
        <v>9495.7560975609758</v>
      </c>
      <c r="F134" s="523">
        <f t="shared" si="53"/>
        <v>68639.179807146604</v>
      </c>
      <c r="G134" s="523">
        <f t="shared" si="54"/>
        <v>73387.057855927094</v>
      </c>
      <c r="H134" s="526">
        <f t="shared" si="51"/>
        <v>17826.231195779001</v>
      </c>
      <c r="I134" s="577">
        <f t="shared" si="52"/>
        <v>17826.231195779001</v>
      </c>
      <c r="J134" s="514">
        <f t="shared" si="55"/>
        <v>0</v>
      </c>
      <c r="K134" s="514"/>
      <c r="L134" s="525"/>
      <c r="M134" s="514">
        <f t="shared" si="56"/>
        <v>0</v>
      </c>
      <c r="N134" s="525"/>
      <c r="O134" s="514">
        <f t="shared" si="57"/>
        <v>0</v>
      </c>
      <c r="P134" s="514">
        <f t="shared" si="58"/>
        <v>0</v>
      </c>
      <c r="Q134" s="269"/>
    </row>
    <row r="135" spans="2:17">
      <c r="B135" s="195" t="str">
        <f t="shared" si="37"/>
        <v/>
      </c>
      <c r="C135" s="507">
        <f>IF(D93="","-",+C134+1)</f>
        <v>2044</v>
      </c>
      <c r="D135" s="374">
        <f>IF(F134+SUM(E$99:E134)=D$92,F134,D$92-SUM(E$99:E134))</f>
        <v>68639.179807146604</v>
      </c>
      <c r="E135" s="522">
        <f>IF(+J96&lt;F134,J96,D135)</f>
        <v>9495.7560975609758</v>
      </c>
      <c r="F135" s="523">
        <f t="shared" si="53"/>
        <v>59143.42370958563</v>
      </c>
      <c r="G135" s="523">
        <f t="shared" si="54"/>
        <v>63891.301758366113</v>
      </c>
      <c r="H135" s="526">
        <f t="shared" si="51"/>
        <v>16748.327788549068</v>
      </c>
      <c r="I135" s="577">
        <f t="shared" si="52"/>
        <v>16748.327788549068</v>
      </c>
      <c r="J135" s="514">
        <f t="shared" si="55"/>
        <v>0</v>
      </c>
      <c r="K135" s="514"/>
      <c r="L135" s="525"/>
      <c r="M135" s="514">
        <f t="shared" si="56"/>
        <v>0</v>
      </c>
      <c r="N135" s="525"/>
      <c r="O135" s="514">
        <f t="shared" si="57"/>
        <v>0</v>
      </c>
      <c r="P135" s="514">
        <f t="shared" si="58"/>
        <v>0</v>
      </c>
      <c r="Q135" s="269"/>
    </row>
    <row r="136" spans="2:17">
      <c r="B136" s="195" t="str">
        <f t="shared" si="37"/>
        <v/>
      </c>
      <c r="C136" s="507">
        <f>IF(D93="","-",+C135+1)</f>
        <v>2045</v>
      </c>
      <c r="D136" s="374">
        <f>IF(F135+SUM(E$99:E135)=D$92,F135,D$92-SUM(E$99:E135))</f>
        <v>59143.42370958563</v>
      </c>
      <c r="E136" s="522">
        <f>IF(+J96&lt;F135,J96,D136)</f>
        <v>9495.7560975609758</v>
      </c>
      <c r="F136" s="523">
        <f t="shared" si="53"/>
        <v>49647.667612024656</v>
      </c>
      <c r="G136" s="523">
        <f t="shared" si="54"/>
        <v>54395.545660805146</v>
      </c>
      <c r="H136" s="526">
        <f t="shared" si="51"/>
        <v>15670.424381319142</v>
      </c>
      <c r="I136" s="577">
        <f t="shared" si="52"/>
        <v>15670.424381319142</v>
      </c>
      <c r="J136" s="514">
        <f t="shared" si="55"/>
        <v>0</v>
      </c>
      <c r="K136" s="514"/>
      <c r="L136" s="525"/>
      <c r="M136" s="514">
        <f t="shared" si="56"/>
        <v>0</v>
      </c>
      <c r="N136" s="525"/>
      <c r="O136" s="514">
        <f t="shared" si="57"/>
        <v>0</v>
      </c>
      <c r="P136" s="514">
        <f t="shared" si="58"/>
        <v>0</v>
      </c>
      <c r="Q136" s="269"/>
    </row>
    <row r="137" spans="2:17">
      <c r="B137" s="195" t="str">
        <f t="shared" si="37"/>
        <v/>
      </c>
      <c r="C137" s="507">
        <f>IF(D93="","-",+C136+1)</f>
        <v>2046</v>
      </c>
      <c r="D137" s="374">
        <f>IF(F136+SUM(E$99:E136)=D$92,F136,D$92-SUM(E$99:E136))</f>
        <v>49647.667612024656</v>
      </c>
      <c r="E137" s="522">
        <f>IF(+J96&lt;F136,J96,D137)</f>
        <v>9495.7560975609758</v>
      </c>
      <c r="F137" s="523">
        <f t="shared" si="53"/>
        <v>40151.911514463682</v>
      </c>
      <c r="G137" s="523">
        <f t="shared" si="54"/>
        <v>44899.789563244165</v>
      </c>
      <c r="H137" s="526">
        <f t="shared" si="51"/>
        <v>14592.520974089215</v>
      </c>
      <c r="I137" s="577">
        <f t="shared" si="52"/>
        <v>14592.520974089215</v>
      </c>
      <c r="J137" s="514">
        <f t="shared" si="55"/>
        <v>0</v>
      </c>
      <c r="K137" s="514"/>
      <c r="L137" s="525"/>
      <c r="M137" s="514">
        <f t="shared" si="56"/>
        <v>0</v>
      </c>
      <c r="N137" s="525"/>
      <c r="O137" s="514">
        <f t="shared" si="57"/>
        <v>0</v>
      </c>
      <c r="P137" s="514">
        <f t="shared" si="58"/>
        <v>0</v>
      </c>
      <c r="Q137" s="269"/>
    </row>
    <row r="138" spans="2:17">
      <c r="B138" s="195" t="str">
        <f t="shared" si="37"/>
        <v/>
      </c>
      <c r="C138" s="507">
        <f>IF(D93="","-",+C137+1)</f>
        <v>2047</v>
      </c>
      <c r="D138" s="374">
        <f>IF(F137+SUM(E$99:E137)=D$92,F137,D$92-SUM(E$99:E137))</f>
        <v>40151.911514463682</v>
      </c>
      <c r="E138" s="522">
        <f>IF(+J96&lt;F137,J96,D138)</f>
        <v>9495.7560975609758</v>
      </c>
      <c r="F138" s="523">
        <f t="shared" si="53"/>
        <v>30656.155416902708</v>
      </c>
      <c r="G138" s="523">
        <f t="shared" si="54"/>
        <v>35404.033465683198</v>
      </c>
      <c r="H138" s="526">
        <f t="shared" si="51"/>
        <v>13514.617566859288</v>
      </c>
      <c r="I138" s="577">
        <f t="shared" si="52"/>
        <v>13514.617566859288</v>
      </c>
      <c r="J138" s="514">
        <f t="shared" si="55"/>
        <v>0</v>
      </c>
      <c r="K138" s="514"/>
      <c r="L138" s="525"/>
      <c r="M138" s="514">
        <f t="shared" si="56"/>
        <v>0</v>
      </c>
      <c r="N138" s="525"/>
      <c r="O138" s="514">
        <f t="shared" si="57"/>
        <v>0</v>
      </c>
      <c r="P138" s="514">
        <f t="shared" si="58"/>
        <v>0</v>
      </c>
      <c r="Q138" s="269"/>
    </row>
    <row r="139" spans="2:17">
      <c r="B139" s="195" t="str">
        <f t="shared" si="37"/>
        <v/>
      </c>
      <c r="C139" s="507">
        <f>IF(D93="","-",+C138+1)</f>
        <v>2048</v>
      </c>
      <c r="D139" s="374">
        <f>IF(F138+SUM(E$99:E138)=D$92,F138,D$92-SUM(E$99:E138))</f>
        <v>30656.155416902708</v>
      </c>
      <c r="E139" s="522">
        <f>IF(+J96&lt;F138,J96,D139)</f>
        <v>9495.7560975609758</v>
      </c>
      <c r="F139" s="523">
        <f t="shared" si="53"/>
        <v>21160.399319341734</v>
      </c>
      <c r="G139" s="523">
        <f t="shared" si="54"/>
        <v>25908.277368122221</v>
      </c>
      <c r="H139" s="526">
        <f t="shared" si="51"/>
        <v>12436.71415962936</v>
      </c>
      <c r="I139" s="577">
        <f t="shared" si="52"/>
        <v>12436.71415962936</v>
      </c>
      <c r="J139" s="514">
        <f t="shared" si="55"/>
        <v>0</v>
      </c>
      <c r="K139" s="514"/>
      <c r="L139" s="525"/>
      <c r="M139" s="514">
        <f t="shared" si="56"/>
        <v>0</v>
      </c>
      <c r="N139" s="525"/>
      <c r="O139" s="514">
        <f t="shared" si="57"/>
        <v>0</v>
      </c>
      <c r="P139" s="514">
        <f t="shared" si="58"/>
        <v>0</v>
      </c>
      <c r="Q139" s="269"/>
    </row>
    <row r="140" spans="2:17">
      <c r="B140" s="195" t="str">
        <f t="shared" si="37"/>
        <v/>
      </c>
      <c r="C140" s="507">
        <f>IF(D93="","-",+C139+1)</f>
        <v>2049</v>
      </c>
      <c r="D140" s="374">
        <f>IF(F139+SUM(E$99:E139)=D$92,F139,D$92-SUM(E$99:E139))</f>
        <v>21160.399319341734</v>
      </c>
      <c r="E140" s="522">
        <f>IF(+J96&lt;F139,J96,D140)</f>
        <v>9495.7560975609758</v>
      </c>
      <c r="F140" s="523">
        <f t="shared" si="53"/>
        <v>11664.643221780758</v>
      </c>
      <c r="G140" s="523">
        <f t="shared" si="54"/>
        <v>16412.521270561247</v>
      </c>
      <c r="H140" s="526">
        <f t="shared" si="51"/>
        <v>11358.810752399433</v>
      </c>
      <c r="I140" s="577">
        <f t="shared" si="52"/>
        <v>11358.810752399433</v>
      </c>
      <c r="J140" s="514">
        <f t="shared" si="55"/>
        <v>0</v>
      </c>
      <c r="K140" s="514"/>
      <c r="L140" s="525"/>
      <c r="M140" s="514">
        <f t="shared" si="56"/>
        <v>0</v>
      </c>
      <c r="N140" s="525"/>
      <c r="O140" s="514">
        <f t="shared" si="57"/>
        <v>0</v>
      </c>
      <c r="P140" s="514">
        <f t="shared" si="58"/>
        <v>0</v>
      </c>
      <c r="Q140" s="269"/>
    </row>
    <row r="141" spans="2:17">
      <c r="B141" s="195" t="str">
        <f t="shared" si="37"/>
        <v/>
      </c>
      <c r="C141" s="507">
        <f>IF(D93="","-",+C140+1)</f>
        <v>2050</v>
      </c>
      <c r="D141" s="374">
        <f>IF(F140+SUM(E$99:E140)=D$92,F140,D$92-SUM(E$99:E140))</f>
        <v>11664.643221780758</v>
      </c>
      <c r="E141" s="522">
        <f>IF(+J96&lt;F140,J96,D141)</f>
        <v>9495.7560975609758</v>
      </c>
      <c r="F141" s="523">
        <f t="shared" si="53"/>
        <v>2168.887124219782</v>
      </c>
      <c r="G141" s="523">
        <f t="shared" si="54"/>
        <v>6916.7651730002699</v>
      </c>
      <c r="H141" s="526">
        <f t="shared" si="51"/>
        <v>10280.907345169504</v>
      </c>
      <c r="I141" s="577">
        <f t="shared" si="52"/>
        <v>10280.907345169504</v>
      </c>
      <c r="J141" s="514">
        <f t="shared" si="55"/>
        <v>0</v>
      </c>
      <c r="K141" s="514"/>
      <c r="L141" s="525"/>
      <c r="M141" s="514">
        <f t="shared" si="56"/>
        <v>0</v>
      </c>
      <c r="N141" s="525"/>
      <c r="O141" s="514">
        <f t="shared" si="57"/>
        <v>0</v>
      </c>
      <c r="P141" s="514">
        <f t="shared" si="58"/>
        <v>0</v>
      </c>
      <c r="Q141" s="269"/>
    </row>
    <row r="142" spans="2:17">
      <c r="B142" s="195" t="str">
        <f t="shared" si="37"/>
        <v/>
      </c>
      <c r="C142" s="507">
        <f>IF(D93="","-",+C141+1)</f>
        <v>2051</v>
      </c>
      <c r="D142" s="374">
        <f>IF(F141+SUM(E$99:E141)=D$92,F141,D$92-SUM(E$99:E141))</f>
        <v>2168.887124219782</v>
      </c>
      <c r="E142" s="522">
        <f>IF(+J96&lt;F141,J96,D142)</f>
        <v>2168.887124219782</v>
      </c>
      <c r="F142" s="523">
        <f t="shared" si="53"/>
        <v>0</v>
      </c>
      <c r="G142" s="523">
        <f t="shared" si="54"/>
        <v>1084.443562109891</v>
      </c>
      <c r="H142" s="526">
        <f t="shared" si="51"/>
        <v>2291.9868962165642</v>
      </c>
      <c r="I142" s="577">
        <f t="shared" si="52"/>
        <v>2291.9868962165642</v>
      </c>
      <c r="J142" s="514">
        <f t="shared" si="55"/>
        <v>0</v>
      </c>
      <c r="K142" s="514"/>
      <c r="L142" s="525"/>
      <c r="M142" s="514">
        <f t="shared" si="56"/>
        <v>0</v>
      </c>
      <c r="N142" s="525"/>
      <c r="O142" s="514">
        <f t="shared" si="57"/>
        <v>0</v>
      </c>
      <c r="P142" s="514">
        <f t="shared" si="58"/>
        <v>0</v>
      </c>
      <c r="Q142" s="269"/>
    </row>
    <row r="143" spans="2:17">
      <c r="B143" s="195" t="str">
        <f t="shared" si="37"/>
        <v/>
      </c>
      <c r="C143" s="507">
        <f>IF(D93="","-",+C142+1)</f>
        <v>2052</v>
      </c>
      <c r="D143" s="374">
        <f>IF(F142+SUM(E$99:E142)=D$92,F142,D$92-SUM(E$99:E142))</f>
        <v>0</v>
      </c>
      <c r="E143" s="522">
        <f>IF(+J96&lt;F142,J96,D143)</f>
        <v>0</v>
      </c>
      <c r="F143" s="523">
        <f t="shared" si="53"/>
        <v>0</v>
      </c>
      <c r="G143" s="523">
        <f t="shared" si="54"/>
        <v>0</v>
      </c>
      <c r="H143" s="526">
        <f t="shared" si="51"/>
        <v>0</v>
      </c>
      <c r="I143" s="577">
        <f t="shared" si="52"/>
        <v>0</v>
      </c>
      <c r="J143" s="514">
        <f t="shared" si="55"/>
        <v>0</v>
      </c>
      <c r="K143" s="514"/>
      <c r="L143" s="525"/>
      <c r="M143" s="514">
        <f t="shared" si="56"/>
        <v>0</v>
      </c>
      <c r="N143" s="525"/>
      <c r="O143" s="514">
        <f t="shared" si="57"/>
        <v>0</v>
      </c>
      <c r="P143" s="514">
        <f t="shared" si="58"/>
        <v>0</v>
      </c>
      <c r="Q143" s="269"/>
    </row>
    <row r="144" spans="2:17">
      <c r="B144" s="195" t="str">
        <f t="shared" si="37"/>
        <v/>
      </c>
      <c r="C144" s="507">
        <f>IF(D93="","-",+C143+1)</f>
        <v>2053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53"/>
        <v>0</v>
      </c>
      <c r="G144" s="523">
        <f t="shared" si="54"/>
        <v>0</v>
      </c>
      <c r="H144" s="526">
        <f t="shared" si="51"/>
        <v>0</v>
      </c>
      <c r="I144" s="577">
        <f t="shared" si="52"/>
        <v>0</v>
      </c>
      <c r="J144" s="514">
        <f t="shared" si="55"/>
        <v>0</v>
      </c>
      <c r="K144" s="514"/>
      <c r="L144" s="525"/>
      <c r="M144" s="514">
        <f t="shared" si="56"/>
        <v>0</v>
      </c>
      <c r="N144" s="525"/>
      <c r="O144" s="514">
        <f t="shared" si="57"/>
        <v>0</v>
      </c>
      <c r="P144" s="514">
        <f t="shared" si="58"/>
        <v>0</v>
      </c>
      <c r="Q144" s="269"/>
    </row>
    <row r="145" spans="2:17">
      <c r="B145" s="195" t="str">
        <f t="shared" si="37"/>
        <v/>
      </c>
      <c r="C145" s="507">
        <f>IF(D93="","-",+C144+1)</f>
        <v>2054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53"/>
        <v>0</v>
      </c>
      <c r="G145" s="523">
        <f t="shared" si="54"/>
        <v>0</v>
      </c>
      <c r="H145" s="526">
        <f t="shared" si="51"/>
        <v>0</v>
      </c>
      <c r="I145" s="577">
        <f t="shared" si="52"/>
        <v>0</v>
      </c>
      <c r="J145" s="514">
        <f t="shared" si="55"/>
        <v>0</v>
      </c>
      <c r="K145" s="514"/>
      <c r="L145" s="525"/>
      <c r="M145" s="514">
        <f t="shared" si="56"/>
        <v>0</v>
      </c>
      <c r="N145" s="525"/>
      <c r="O145" s="514">
        <f t="shared" si="57"/>
        <v>0</v>
      </c>
      <c r="P145" s="514">
        <f t="shared" si="58"/>
        <v>0</v>
      </c>
      <c r="Q145" s="269"/>
    </row>
    <row r="146" spans="2:17">
      <c r="B146" s="195" t="str">
        <f t="shared" si="37"/>
        <v/>
      </c>
      <c r="C146" s="507">
        <f>IF(D93="","-",+C145+1)</f>
        <v>2055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53"/>
        <v>0</v>
      </c>
      <c r="G146" s="523">
        <f t="shared" si="54"/>
        <v>0</v>
      </c>
      <c r="H146" s="526">
        <f t="shared" si="51"/>
        <v>0</v>
      </c>
      <c r="I146" s="577">
        <f t="shared" si="52"/>
        <v>0</v>
      </c>
      <c r="J146" s="514">
        <f t="shared" si="55"/>
        <v>0</v>
      </c>
      <c r="K146" s="514"/>
      <c r="L146" s="525"/>
      <c r="M146" s="514">
        <f t="shared" si="56"/>
        <v>0</v>
      </c>
      <c r="N146" s="525"/>
      <c r="O146" s="514">
        <f t="shared" si="57"/>
        <v>0</v>
      </c>
      <c r="P146" s="514">
        <f t="shared" si="58"/>
        <v>0</v>
      </c>
      <c r="Q146" s="269"/>
    </row>
    <row r="147" spans="2:17">
      <c r="B147" s="195" t="str">
        <f t="shared" si="37"/>
        <v/>
      </c>
      <c r="C147" s="507">
        <f>IF(D93="","-",+C146+1)</f>
        <v>2056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53"/>
        <v>0</v>
      </c>
      <c r="G147" s="523">
        <f t="shared" si="54"/>
        <v>0</v>
      </c>
      <c r="H147" s="526">
        <f t="shared" si="51"/>
        <v>0</v>
      </c>
      <c r="I147" s="577">
        <f t="shared" si="52"/>
        <v>0</v>
      </c>
      <c r="J147" s="514">
        <f t="shared" si="55"/>
        <v>0</v>
      </c>
      <c r="K147" s="514"/>
      <c r="L147" s="525"/>
      <c r="M147" s="514">
        <f t="shared" si="56"/>
        <v>0</v>
      </c>
      <c r="N147" s="525"/>
      <c r="O147" s="514">
        <f t="shared" si="57"/>
        <v>0</v>
      </c>
      <c r="P147" s="514">
        <f t="shared" si="58"/>
        <v>0</v>
      </c>
      <c r="Q147" s="269"/>
    </row>
    <row r="148" spans="2:17">
      <c r="B148" s="195" t="str">
        <f t="shared" si="37"/>
        <v/>
      </c>
      <c r="C148" s="507">
        <f>IF(D93="","-",+C147+1)</f>
        <v>2057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53"/>
        <v>0</v>
      </c>
      <c r="G148" s="523">
        <f t="shared" si="54"/>
        <v>0</v>
      </c>
      <c r="H148" s="526">
        <f t="shared" si="51"/>
        <v>0</v>
      </c>
      <c r="I148" s="577">
        <f t="shared" si="52"/>
        <v>0</v>
      </c>
      <c r="J148" s="514">
        <f t="shared" si="55"/>
        <v>0</v>
      </c>
      <c r="K148" s="514"/>
      <c r="L148" s="525"/>
      <c r="M148" s="514">
        <f t="shared" si="56"/>
        <v>0</v>
      </c>
      <c r="N148" s="525"/>
      <c r="O148" s="514">
        <f t="shared" si="57"/>
        <v>0</v>
      </c>
      <c r="P148" s="514">
        <f t="shared" si="58"/>
        <v>0</v>
      </c>
      <c r="Q148" s="269"/>
    </row>
    <row r="149" spans="2:17">
      <c r="B149" s="195" t="str">
        <f t="shared" si="37"/>
        <v/>
      </c>
      <c r="C149" s="507">
        <f>IF(D93="","-",+C148+1)</f>
        <v>2058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53"/>
        <v>0</v>
      </c>
      <c r="G149" s="523">
        <f t="shared" si="54"/>
        <v>0</v>
      </c>
      <c r="H149" s="526">
        <f t="shared" si="51"/>
        <v>0</v>
      </c>
      <c r="I149" s="577">
        <f t="shared" si="52"/>
        <v>0</v>
      </c>
      <c r="J149" s="514">
        <f t="shared" si="55"/>
        <v>0</v>
      </c>
      <c r="K149" s="514"/>
      <c r="L149" s="525"/>
      <c r="M149" s="514">
        <f t="shared" si="56"/>
        <v>0</v>
      </c>
      <c r="N149" s="525"/>
      <c r="O149" s="514">
        <f t="shared" si="57"/>
        <v>0</v>
      </c>
      <c r="P149" s="514">
        <f t="shared" si="58"/>
        <v>0</v>
      </c>
      <c r="Q149" s="269"/>
    </row>
    <row r="150" spans="2:17">
      <c r="B150" s="195" t="str">
        <f t="shared" si="37"/>
        <v/>
      </c>
      <c r="C150" s="507">
        <f>IF(D93="","-",+C149+1)</f>
        <v>2059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53"/>
        <v>0</v>
      </c>
      <c r="G150" s="523">
        <f t="shared" si="54"/>
        <v>0</v>
      </c>
      <c r="H150" s="526">
        <f t="shared" si="51"/>
        <v>0</v>
      </c>
      <c r="I150" s="577">
        <f t="shared" si="52"/>
        <v>0</v>
      </c>
      <c r="J150" s="514">
        <f t="shared" si="55"/>
        <v>0</v>
      </c>
      <c r="K150" s="514"/>
      <c r="L150" s="525"/>
      <c r="M150" s="514">
        <f t="shared" si="56"/>
        <v>0</v>
      </c>
      <c r="N150" s="525"/>
      <c r="O150" s="514">
        <f t="shared" si="57"/>
        <v>0</v>
      </c>
      <c r="P150" s="514">
        <f t="shared" si="58"/>
        <v>0</v>
      </c>
      <c r="Q150" s="269"/>
    </row>
    <row r="151" spans="2:17">
      <c r="B151" s="195" t="str">
        <f t="shared" si="37"/>
        <v/>
      </c>
      <c r="C151" s="507">
        <f>IF(D93="","-",+C150+1)</f>
        <v>2060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53"/>
        <v>0</v>
      </c>
      <c r="G151" s="523">
        <f t="shared" si="54"/>
        <v>0</v>
      </c>
      <c r="H151" s="526">
        <f t="shared" si="51"/>
        <v>0</v>
      </c>
      <c r="I151" s="577">
        <f t="shared" si="52"/>
        <v>0</v>
      </c>
      <c r="J151" s="514">
        <f t="shared" si="55"/>
        <v>0</v>
      </c>
      <c r="K151" s="514"/>
      <c r="L151" s="525"/>
      <c r="M151" s="514">
        <f t="shared" si="56"/>
        <v>0</v>
      </c>
      <c r="N151" s="525"/>
      <c r="O151" s="514">
        <f t="shared" si="57"/>
        <v>0</v>
      </c>
      <c r="P151" s="514">
        <f t="shared" si="58"/>
        <v>0</v>
      </c>
      <c r="Q151" s="269"/>
    </row>
    <row r="152" spans="2:17">
      <c r="B152" s="195" t="str">
        <f t="shared" si="37"/>
        <v/>
      </c>
      <c r="C152" s="507">
        <f>IF(D93="","-",+C151+1)</f>
        <v>2061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53"/>
        <v>0</v>
      </c>
      <c r="G152" s="523">
        <f t="shared" si="54"/>
        <v>0</v>
      </c>
      <c r="H152" s="526">
        <f t="shared" si="51"/>
        <v>0</v>
      </c>
      <c r="I152" s="577">
        <f t="shared" si="52"/>
        <v>0</v>
      </c>
      <c r="J152" s="514">
        <f t="shared" si="55"/>
        <v>0</v>
      </c>
      <c r="K152" s="514"/>
      <c r="L152" s="525"/>
      <c r="M152" s="514">
        <f t="shared" si="56"/>
        <v>0</v>
      </c>
      <c r="N152" s="525"/>
      <c r="O152" s="514">
        <f t="shared" si="57"/>
        <v>0</v>
      </c>
      <c r="P152" s="514">
        <f t="shared" si="58"/>
        <v>0</v>
      </c>
      <c r="Q152" s="269"/>
    </row>
    <row r="153" spans="2:17">
      <c r="B153" s="195" t="str">
        <f t="shared" si="37"/>
        <v/>
      </c>
      <c r="C153" s="507">
        <f>IF(D93="","-",+C152+1)</f>
        <v>2062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53"/>
        <v>0</v>
      </c>
      <c r="G153" s="523">
        <f t="shared" si="54"/>
        <v>0</v>
      </c>
      <c r="H153" s="526">
        <f t="shared" si="51"/>
        <v>0</v>
      </c>
      <c r="I153" s="577">
        <f t="shared" si="52"/>
        <v>0</v>
      </c>
      <c r="J153" s="514">
        <f t="shared" si="55"/>
        <v>0</v>
      </c>
      <c r="K153" s="514"/>
      <c r="L153" s="525"/>
      <c r="M153" s="514">
        <f t="shared" si="56"/>
        <v>0</v>
      </c>
      <c r="N153" s="525"/>
      <c r="O153" s="514">
        <f t="shared" si="57"/>
        <v>0</v>
      </c>
      <c r="P153" s="514">
        <f t="shared" si="58"/>
        <v>0</v>
      </c>
      <c r="Q153" s="269"/>
    </row>
    <row r="154" spans="2:17" ht="13.5" thickBot="1">
      <c r="B154" s="195" t="str">
        <f t="shared" si="37"/>
        <v/>
      </c>
      <c r="C154" s="527">
        <f>IF(D93="","-",+C153+1)</f>
        <v>2063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53"/>
        <v>0</v>
      </c>
      <c r="G154" s="528">
        <f t="shared" si="54"/>
        <v>0</v>
      </c>
      <c r="H154" s="530">
        <f t="shared" si="51"/>
        <v>0</v>
      </c>
      <c r="I154" s="579">
        <f t="shared" si="52"/>
        <v>0</v>
      </c>
      <c r="J154" s="533">
        <f t="shared" si="55"/>
        <v>0</v>
      </c>
      <c r="K154" s="514"/>
      <c r="L154" s="532"/>
      <c r="M154" s="533">
        <f t="shared" si="56"/>
        <v>0</v>
      </c>
      <c r="N154" s="532"/>
      <c r="O154" s="533">
        <f t="shared" si="57"/>
        <v>0</v>
      </c>
      <c r="P154" s="533">
        <f t="shared" si="58"/>
        <v>0</v>
      </c>
      <c r="Q154" s="269"/>
    </row>
    <row r="155" spans="2:17">
      <c r="C155" s="374" t="s">
        <v>78</v>
      </c>
      <c r="D155" s="375"/>
      <c r="E155" s="375">
        <f>SUM(E99:E154)</f>
        <v>389325.99999999988</v>
      </c>
      <c r="F155" s="375"/>
      <c r="G155" s="375"/>
      <c r="H155" s="375">
        <f>SUM(H99:H154)</f>
        <v>1372787.4659596984</v>
      </c>
      <c r="I155" s="375">
        <f>SUM(I99:I154)</f>
        <v>1372787.4659596984</v>
      </c>
      <c r="J155" s="375">
        <f>SUM(J99:J154)</f>
        <v>0</v>
      </c>
      <c r="K155" s="375"/>
      <c r="L155" s="375"/>
      <c r="M155" s="375"/>
      <c r="N155" s="375"/>
      <c r="O155" s="375"/>
      <c r="P155" s="269"/>
      <c r="Q155" s="269"/>
    </row>
    <row r="156" spans="2:17"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  <c r="Q156" s="269"/>
    </row>
    <row r="157" spans="2:17">
      <c r="C157" s="580" t="s">
        <v>92</v>
      </c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  <c r="Q157" s="269"/>
    </row>
    <row r="158" spans="2:17"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  <c r="Q158" s="269"/>
    </row>
    <row r="159" spans="2:17">
      <c r="C159" s="534" t="s">
        <v>97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  <c r="Q159" s="269"/>
    </row>
    <row r="160" spans="2:17">
      <c r="C160" s="581" t="s">
        <v>79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  <c r="Q160" s="269"/>
    </row>
    <row r="161" spans="3:17">
      <c r="C161" s="581" t="s">
        <v>80</v>
      </c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  <c r="Q161" s="269"/>
    </row>
    <row r="162" spans="3:17" ht="18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454" t="s">
        <v>131</v>
      </c>
      <c r="Q162" s="269"/>
    </row>
  </sheetData>
  <phoneticPr fontId="0" type="noConversion"/>
  <conditionalFormatting sqref="C17:C72">
    <cfRule type="cellIs" dxfId="131" priority="1" stopIfTrue="1" operator="equal">
      <formula>$I$10</formula>
    </cfRule>
  </conditionalFormatting>
  <conditionalFormatting sqref="C99:C154">
    <cfRule type="cellIs" dxfId="130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48"/>
  <dimension ref="A1:S137"/>
  <sheetViews>
    <sheetView topLeftCell="F84" zoomScale="70" zoomScaleNormal="70" zoomScaleSheetLayoutView="70" workbookViewId="0">
      <selection activeCell="R132" sqref="R132:R133"/>
    </sheetView>
  </sheetViews>
  <sheetFormatPr defaultColWidth="8.7109375" defaultRowHeight="12.75" customHeight="1"/>
  <cols>
    <col min="1" max="1" width="4.7109375" style="183" customWidth="1"/>
    <col min="2" max="2" width="6.7109375" style="183" customWidth="1"/>
    <col min="3" max="3" width="23.28515625" style="183" customWidth="1"/>
    <col min="4" max="8" width="17.7109375" style="183" customWidth="1"/>
    <col min="9" max="9" width="16.140625" style="183" customWidth="1"/>
    <col min="10" max="10" width="2.140625" style="183" customWidth="1"/>
    <col min="11" max="11" width="17.7109375" style="183" customWidth="1"/>
    <col min="12" max="12" width="16.140625" style="183" customWidth="1"/>
    <col min="13" max="13" width="17.7109375" style="183" customWidth="1"/>
    <col min="14" max="14" width="16.7109375" style="183" customWidth="1"/>
    <col min="15" max="15" width="16.85546875" style="183" customWidth="1"/>
    <col min="16" max="16" width="3.5703125" style="183" bestFit="1" customWidth="1"/>
    <col min="17" max="17" width="4.7109375" style="183" customWidth="1"/>
    <col min="18" max="18" width="15.42578125" style="183" customWidth="1"/>
    <col min="19" max="19" width="81.85546875" style="183" bestFit="1" customWidth="1"/>
    <col min="20" max="22" width="8.7109375" style="183"/>
    <col min="23" max="23" width="9.140625" style="183" customWidth="1"/>
    <col min="24" max="16384" width="8.7109375" style="183"/>
  </cols>
  <sheetData>
    <row r="1" spans="1:18" ht="18">
      <c r="A1" s="687" t="s">
        <v>110</v>
      </c>
      <c r="B1" s="688"/>
      <c r="C1" s="688"/>
      <c r="D1" s="688"/>
      <c r="E1" s="688"/>
      <c r="F1" s="688"/>
      <c r="G1" s="688"/>
      <c r="H1" s="688"/>
      <c r="I1" s="688"/>
      <c r="J1" s="688"/>
    </row>
    <row r="2" spans="1:18" ht="18">
      <c r="A2" s="689" t="str">
        <f>L19&amp;" Cost of Service Formula Rate Projected on "&amp;L19-1&amp;" FF1 Balances"</f>
        <v>2024 Cost of Service Formula Rate Projected on 2023 FF1 Balances</v>
      </c>
      <c r="B2" s="689"/>
      <c r="C2" s="689"/>
      <c r="D2" s="689"/>
      <c r="E2" s="689"/>
      <c r="F2" s="689"/>
      <c r="G2" s="689"/>
      <c r="H2" s="689"/>
      <c r="I2" s="689"/>
      <c r="J2" s="689"/>
    </row>
    <row r="3" spans="1:18" ht="18">
      <c r="A3" s="690" t="s">
        <v>125</v>
      </c>
      <c r="B3" s="689"/>
      <c r="C3" s="689"/>
      <c r="D3" s="689"/>
      <c r="E3" s="689"/>
      <c r="F3" s="689"/>
      <c r="G3" s="689"/>
      <c r="H3" s="689"/>
      <c r="I3" s="689"/>
      <c r="J3" s="689"/>
      <c r="Q3" s="267" t="s">
        <v>111</v>
      </c>
    </row>
    <row r="4" spans="1:18" ht="18">
      <c r="A4" s="689" t="str">
        <f>"Based on a Carrying Charge Derived from ""Historic"" "&amp;L19-1&amp;" Data"</f>
        <v>Based on a Carrying Charge Derived from "Historic" 2023 Data</v>
      </c>
      <c r="B4" s="689"/>
      <c r="C4" s="689"/>
      <c r="D4" s="689"/>
      <c r="E4" s="689"/>
      <c r="F4" s="689"/>
      <c r="G4" s="689"/>
      <c r="H4" s="689"/>
      <c r="I4" s="689"/>
      <c r="J4" s="689"/>
    </row>
    <row r="5" spans="1:18" ht="18">
      <c r="A5" s="691" t="s">
        <v>135</v>
      </c>
      <c r="B5" s="692"/>
      <c r="C5" s="692"/>
      <c r="D5" s="692"/>
      <c r="E5" s="692"/>
      <c r="F5" s="692"/>
      <c r="G5" s="692"/>
      <c r="H5" s="692"/>
      <c r="I5" s="692"/>
      <c r="J5" s="692"/>
      <c r="R5" s="268"/>
    </row>
    <row r="6" spans="1:18">
      <c r="A6" s="269"/>
      <c r="B6" s="269"/>
      <c r="C6" s="269"/>
      <c r="D6" s="270"/>
      <c r="E6" s="269"/>
      <c r="F6" s="269"/>
      <c r="G6" s="269"/>
      <c r="H6" s="271"/>
      <c r="I6" s="269"/>
      <c r="J6" s="272"/>
    </row>
    <row r="7" spans="1:18">
      <c r="D7" s="195"/>
      <c r="H7" s="247"/>
      <c r="J7" s="233"/>
    </row>
    <row r="8" spans="1:18" ht="18">
      <c r="B8" s="273" t="s">
        <v>0</v>
      </c>
      <c r="C8" s="684" t="str">
        <f>"Calculate Return and Income Taxes with "&amp;F13&amp;" basis point ROE increase for Projects Qualified for Incentive."</f>
        <v>Calculate Return and Income Taxes with 0 basis point ROE increase for Projects Qualified for Incentive.</v>
      </c>
      <c r="D8" s="685"/>
      <c r="E8" s="685"/>
      <c r="F8" s="685"/>
      <c r="G8" s="685"/>
      <c r="H8" s="685"/>
      <c r="J8" s="233"/>
    </row>
    <row r="9" spans="1:18">
      <c r="D9" s="195"/>
      <c r="H9" s="247"/>
      <c r="J9" s="233"/>
    </row>
    <row r="10" spans="1:18" ht="15.75">
      <c r="C10" s="274" t="str">
        <f>"A.   Determine 'R' with hypothetical "&amp;F13&amp;" basis point increase in ROE for Identified Projects"</f>
        <v>A.   Determine 'R' with hypothetical 0 basis point increase in ROE for Identified Projects</v>
      </c>
      <c r="D10" s="195"/>
      <c r="H10" s="247"/>
      <c r="J10" s="233"/>
      <c r="K10" s="275"/>
      <c r="L10" s="276"/>
    </row>
    <row r="11" spans="1:18">
      <c r="D11" s="195"/>
      <c r="H11" s="247"/>
      <c r="J11" s="233"/>
    </row>
    <row r="12" spans="1:18">
      <c r="C12" s="277" t="str">
        <f>S105</f>
        <v xml:space="preserve">   ROE w/o incentives  (TCOS, ln 143)</v>
      </c>
      <c r="D12" s="195"/>
      <c r="E12" s="278"/>
      <c r="F12" s="279">
        <f>+R105</f>
        <v>0.105</v>
      </c>
      <c r="G12" s="280"/>
      <c r="H12" s="281"/>
      <c r="I12" s="282"/>
      <c r="J12" s="283"/>
      <c r="K12" s="282"/>
      <c r="L12" s="282"/>
      <c r="M12" s="282"/>
      <c r="N12" s="282"/>
      <c r="O12" s="278"/>
      <c r="P12" s="282"/>
      <c r="Q12" s="269"/>
    </row>
    <row r="13" spans="1:18">
      <c r="C13" s="277" t="s">
        <v>1</v>
      </c>
      <c r="D13" s="195"/>
      <c r="E13" s="278"/>
      <c r="F13" s="284">
        <f>+R106</f>
        <v>0</v>
      </c>
      <c r="G13" s="183" t="s">
        <v>155</v>
      </c>
      <c r="K13" s="282"/>
      <c r="L13" s="282"/>
      <c r="M13" s="282"/>
      <c r="N13" s="282"/>
      <c r="O13" s="278"/>
      <c r="P13" s="282"/>
      <c r="Q13" s="269"/>
    </row>
    <row r="14" spans="1:18" ht="13.5" thickBot="1">
      <c r="C14" s="277" t="str">
        <f>"   ROE with additional "&amp;F13&amp;" basis point incentive"</f>
        <v xml:space="preserve">   ROE with additional 0 basis point incentive</v>
      </c>
      <c r="D14" s="278"/>
      <c r="E14" s="278"/>
      <c r="F14" s="285">
        <f>IF((F12+(F13/10000)&gt;0.1245),"ERROR",F12+(F13/10000))</f>
        <v>0.105</v>
      </c>
      <c r="G14" s="286" t="s">
        <v>2</v>
      </c>
      <c r="H14" s="282"/>
      <c r="I14" s="282"/>
      <c r="J14" s="283"/>
      <c r="K14" s="282"/>
      <c r="L14" s="282"/>
      <c r="M14" s="282"/>
      <c r="N14" s="282"/>
      <c r="O14" s="278"/>
      <c r="P14" s="282"/>
      <c r="Q14" s="269"/>
    </row>
    <row r="15" spans="1:18">
      <c r="C15" s="277" t="s">
        <v>3</v>
      </c>
      <c r="D15" s="195"/>
      <c r="E15" s="278"/>
      <c r="F15" s="285"/>
      <c r="G15" s="278"/>
      <c r="H15" s="282"/>
      <c r="I15" s="282"/>
      <c r="J15" s="283"/>
      <c r="K15" s="678" t="s">
        <v>4</v>
      </c>
      <c r="L15" s="679"/>
      <c r="M15" s="679"/>
      <c r="N15" s="679"/>
      <c r="O15" s="680"/>
      <c r="P15" s="282"/>
      <c r="Q15" s="269"/>
    </row>
    <row r="16" spans="1:18">
      <c r="C16" s="283"/>
      <c r="D16" s="287" t="s">
        <v>5</v>
      </c>
      <c r="E16" s="287" t="s">
        <v>6</v>
      </c>
      <c r="F16" s="288" t="s">
        <v>7</v>
      </c>
      <c r="G16" s="278"/>
      <c r="H16" s="282"/>
      <c r="I16" s="282"/>
      <c r="J16" s="283"/>
      <c r="K16" s="681"/>
      <c r="L16" s="682"/>
      <c r="M16" s="682"/>
      <c r="N16" s="682"/>
      <c r="O16" s="683"/>
      <c r="P16" s="282"/>
      <c r="Q16" s="269"/>
    </row>
    <row r="17" spans="3:17">
      <c r="C17" s="289" t="s">
        <v>8</v>
      </c>
      <c r="D17" s="290">
        <f>+R107</f>
        <v>0.49562326074845731</v>
      </c>
      <c r="E17" s="291">
        <f>+R108</f>
        <v>4.253997333266353E-2</v>
      </c>
      <c r="F17" s="292">
        <f>E17*D17</f>
        <v>2.1083800295287117E-2</v>
      </c>
      <c r="G17" s="278"/>
      <c r="H17" s="282"/>
      <c r="I17" s="293"/>
      <c r="J17" s="294"/>
      <c r="K17" s="295"/>
      <c r="L17" s="296"/>
      <c r="M17" s="283" t="s">
        <v>9</v>
      </c>
      <c r="N17" s="283" t="s">
        <v>10</v>
      </c>
      <c r="O17" s="297" t="s">
        <v>11</v>
      </c>
      <c r="P17" s="282"/>
      <c r="Q17" s="269"/>
    </row>
    <row r="18" spans="3:17">
      <c r="C18" s="289" t="s">
        <v>12</v>
      </c>
      <c r="D18" s="290">
        <f>+R109</f>
        <v>0</v>
      </c>
      <c r="E18" s="291">
        <f>+R110</f>
        <v>0</v>
      </c>
      <c r="F18" s="292">
        <f>E18*D18</f>
        <v>0</v>
      </c>
      <c r="G18" s="298"/>
      <c r="H18" s="298"/>
      <c r="I18" s="299"/>
      <c r="J18" s="300"/>
      <c r="K18" s="301"/>
      <c r="L18" s="233"/>
      <c r="M18" s="233"/>
      <c r="N18" s="233"/>
      <c r="O18" s="302"/>
      <c r="P18" s="298"/>
      <c r="Q18" s="269"/>
    </row>
    <row r="19" spans="3:17" ht="13.5" thickBot="1">
      <c r="C19" s="303" t="s">
        <v>13</v>
      </c>
      <c r="D19" s="290">
        <f>+R111</f>
        <v>0.50437673925154269</v>
      </c>
      <c r="E19" s="291">
        <f>+F14</f>
        <v>0.105</v>
      </c>
      <c r="F19" s="304">
        <f>E19*D19</f>
        <v>5.2959557621411982E-2</v>
      </c>
      <c r="G19" s="298"/>
      <c r="H19" s="298"/>
      <c r="I19" s="285"/>
      <c r="J19" s="300"/>
      <c r="K19" s="305" t="s">
        <v>14</v>
      </c>
      <c r="L19" s="306">
        <f>R104</f>
        <v>2024</v>
      </c>
      <c r="M19" s="307">
        <f>SUM('S.001:S.xyz - blank'!N5)</f>
        <v>80862461.290840074</v>
      </c>
      <c r="N19" s="307">
        <f>SUM('S.001:S.xyz - blank'!N6)</f>
        <v>80862461.290840074</v>
      </c>
      <c r="O19" s="308">
        <f>+N19-M19</f>
        <v>0</v>
      </c>
      <c r="P19" s="299"/>
      <c r="Q19" s="269"/>
    </row>
    <row r="20" spans="3:17">
      <c r="C20" s="277"/>
      <c r="D20" s="278"/>
      <c r="E20" s="309" t="s">
        <v>15</v>
      </c>
      <c r="F20" s="292">
        <f>SUM(F17:F19)</f>
        <v>7.4043357916699096E-2</v>
      </c>
      <c r="G20" s="298"/>
      <c r="H20" s="298"/>
      <c r="I20" s="299"/>
      <c r="J20" s="300"/>
      <c r="M20" s="310" t="str">
        <f>IF(M19=SUM('S.001:S.xyz - blank'!N5),"","ERROR")</f>
        <v/>
      </c>
      <c r="N20" s="310" t="str">
        <f>IF(N19=SUM('S.001:S.xyz - blank'!N6),"","ERROR")</f>
        <v/>
      </c>
      <c r="O20" s="310" t="str">
        <f>IF(O19=SUM('S.001:S.xyz - blank'!N7),"","ERROR")</f>
        <v/>
      </c>
      <c r="P20" s="298"/>
      <c r="Q20" s="269"/>
    </row>
    <row r="21" spans="3:17">
      <c r="D21" s="311"/>
      <c r="E21" s="311"/>
      <c r="F21" s="298"/>
      <c r="G21" s="298"/>
      <c r="H21" s="298"/>
      <c r="I21" s="298"/>
      <c r="J21" s="312"/>
      <c r="K21" s="212" t="s">
        <v>16</v>
      </c>
      <c r="P21" s="298"/>
      <c r="Q21" s="269"/>
    </row>
    <row r="22" spans="3:17" ht="15.75">
      <c r="C22" s="274" t="str">
        <f>"B.   Determine Return using 'R' with hypothetical "&amp;F13&amp;" basis point ROE increase for Identified Projects."</f>
        <v>B.   Determine Return using 'R' with hypothetical 0 basis point ROE increase for Identified Projects.</v>
      </c>
      <c r="D22" s="311"/>
      <c r="E22" s="311"/>
      <c r="F22" s="313"/>
      <c r="G22" s="298"/>
      <c r="H22" s="278"/>
      <c r="I22" s="298"/>
      <c r="J22" s="312"/>
      <c r="K22" s="183" t="s">
        <v>17</v>
      </c>
      <c r="P22" s="298"/>
      <c r="Q22" s="269"/>
    </row>
    <row r="23" spans="3:17">
      <c r="C23" s="283"/>
      <c r="D23" s="311"/>
      <c r="E23" s="311"/>
      <c r="F23" s="312"/>
      <c r="G23" s="312"/>
      <c r="H23" s="312"/>
      <c r="I23" s="312"/>
      <c r="J23" s="312"/>
      <c r="K23" s="299"/>
      <c r="L23" s="314"/>
      <c r="M23" s="249"/>
      <c r="N23" s="299"/>
      <c r="O23" s="298"/>
      <c r="P23" s="312"/>
      <c r="Q23" s="272"/>
    </row>
    <row r="24" spans="3:17">
      <c r="C24" s="277" t="str">
        <f>+S112</f>
        <v xml:space="preserve">   Rate Base  (TCOS, ln 63)</v>
      </c>
      <c r="D24" s="278"/>
      <c r="E24" s="315">
        <f>+R112</f>
        <v>1842574536.7079628</v>
      </c>
      <c r="F24" s="316"/>
      <c r="G24" s="312"/>
      <c r="H24" s="312"/>
      <c r="I24" s="312"/>
      <c r="J24" s="312"/>
      <c r="K24" s="312"/>
      <c r="L24" s="312"/>
      <c r="M24" s="312"/>
      <c r="N24" s="312"/>
      <c r="O24" s="312"/>
      <c r="P24" s="316"/>
      <c r="Q24" s="272"/>
    </row>
    <row r="25" spans="3:17">
      <c r="C25" s="283" t="s">
        <v>18</v>
      </c>
      <c r="D25" s="280"/>
      <c r="E25" s="317">
        <f>F20</f>
        <v>7.4043357916699096E-2</v>
      </c>
      <c r="F25" s="312"/>
      <c r="G25" s="312"/>
      <c r="H25" s="312"/>
      <c r="I25" s="312"/>
      <c r="J25" s="312"/>
      <c r="K25" s="312"/>
      <c r="L25" s="312"/>
      <c r="M25" s="312"/>
      <c r="N25" s="312"/>
      <c r="O25" s="312"/>
      <c r="P25" s="312"/>
      <c r="Q25" s="272"/>
    </row>
    <row r="26" spans="3:17">
      <c r="C26" s="318" t="s">
        <v>19</v>
      </c>
      <c r="D26" s="318"/>
      <c r="E26" s="299">
        <f>E24*E25</f>
        <v>136430405.90966371</v>
      </c>
      <c r="F26" s="312"/>
      <c r="G26" s="312"/>
      <c r="H26" s="312"/>
      <c r="I26" s="300"/>
      <c r="J26" s="300"/>
      <c r="K26" s="300"/>
      <c r="L26" s="300"/>
      <c r="M26" s="300"/>
      <c r="N26" s="300"/>
      <c r="O26" s="312"/>
      <c r="P26" s="312"/>
      <c r="Q26" s="272"/>
    </row>
    <row r="27" spans="3:17">
      <c r="C27" s="319"/>
      <c r="D27" s="282"/>
      <c r="E27" s="282"/>
      <c r="F27" s="312"/>
      <c r="G27" s="312"/>
      <c r="H27" s="312"/>
      <c r="I27" s="300"/>
      <c r="J27" s="300"/>
      <c r="K27" s="300"/>
      <c r="L27" s="300"/>
      <c r="M27" s="300"/>
      <c r="N27" s="300"/>
      <c r="O27" s="312"/>
      <c r="P27" s="312"/>
      <c r="Q27" s="272"/>
    </row>
    <row r="28" spans="3:17" ht="15.75">
      <c r="C28" s="274" t="str">
        <f>"C.   Determine Income Taxes using Return with hypothetical "&amp;F13&amp;" basis point ROE increase for Identified Projects."</f>
        <v>C.   Determine Income Taxes using Return with hypothetical 0 basis point ROE increase for Identified Projects.</v>
      </c>
      <c r="D28" s="320"/>
      <c r="E28" s="320"/>
      <c r="F28" s="321"/>
      <c r="G28" s="321"/>
      <c r="H28" s="321"/>
      <c r="I28" s="322"/>
      <c r="J28" s="322"/>
      <c r="K28" s="322"/>
      <c r="L28" s="322"/>
      <c r="M28" s="322"/>
      <c r="N28" s="322"/>
      <c r="O28" s="321"/>
      <c r="P28" s="321"/>
      <c r="Q28" s="272"/>
    </row>
    <row r="29" spans="3:17">
      <c r="C29" s="277"/>
      <c r="D29" s="282"/>
      <c r="E29" s="282"/>
      <c r="F29" s="312"/>
      <c r="G29" s="312"/>
      <c r="H29" s="312"/>
      <c r="I29" s="300"/>
      <c r="J29" s="300"/>
      <c r="K29" s="300"/>
      <c r="L29" s="300"/>
      <c r="M29" s="300"/>
      <c r="N29" s="300"/>
      <c r="O29" s="312"/>
      <c r="P29" s="312"/>
      <c r="Q29" s="272"/>
    </row>
    <row r="30" spans="3:17">
      <c r="C30" s="283" t="s">
        <v>20</v>
      </c>
      <c r="D30" s="309"/>
      <c r="E30" s="323">
        <f>E26</f>
        <v>136430405.90966371</v>
      </c>
      <c r="F30" s="312"/>
      <c r="G30" s="312"/>
      <c r="H30" s="312"/>
      <c r="I30" s="312"/>
      <c r="J30" s="312"/>
      <c r="K30" s="312"/>
      <c r="L30" s="312"/>
      <c r="M30" s="312"/>
      <c r="N30" s="312"/>
      <c r="O30" s="312"/>
      <c r="P30" s="312"/>
      <c r="Q30" s="272"/>
    </row>
    <row r="31" spans="3:17">
      <c r="C31" s="277" t="str">
        <f>+S113</f>
        <v xml:space="preserve">   Tax Rate  (TCOS, ln 99)</v>
      </c>
      <c r="D31" s="309"/>
      <c r="E31" s="324">
        <f>+R113</f>
        <v>0.24278499999999992</v>
      </c>
      <c r="F31" s="312"/>
      <c r="G31" s="312"/>
      <c r="H31" s="312"/>
      <c r="I31" s="312"/>
      <c r="J31" s="312"/>
      <c r="K31" s="312"/>
      <c r="L31" s="312"/>
      <c r="M31" s="312"/>
      <c r="N31" s="312"/>
      <c r="O31" s="312"/>
      <c r="P31" s="312"/>
      <c r="Q31" s="272"/>
    </row>
    <row r="32" spans="3:17">
      <c r="C32" s="283" t="s">
        <v>21</v>
      </c>
      <c r="D32" s="270"/>
      <c r="E32" s="285">
        <f>IF(F17&gt;0,($E31/(1-$E31))*(1-$F17/$F20),0)</f>
        <v>0.22933000754166397</v>
      </c>
      <c r="F32" s="269"/>
      <c r="G32" s="285"/>
      <c r="H32" s="271"/>
      <c r="I32" s="269"/>
      <c r="J32" s="272"/>
      <c r="K32" s="269"/>
      <c r="L32" s="269"/>
      <c r="M32" s="269"/>
      <c r="N32" s="269"/>
      <c r="O32" s="269"/>
      <c r="P32" s="269"/>
      <c r="Q32" s="269"/>
    </row>
    <row r="33" spans="2:19">
      <c r="C33" s="318" t="s">
        <v>22</v>
      </c>
      <c r="D33" s="325"/>
      <c r="E33" s="326">
        <f>E30*E32</f>
        <v>31287586.016175453</v>
      </c>
      <c r="F33" s="326"/>
      <c r="G33" s="269"/>
      <c r="H33" s="271"/>
      <c r="I33" s="269"/>
      <c r="J33" s="272"/>
      <c r="K33" s="269"/>
      <c r="L33" s="269"/>
      <c r="M33" s="269"/>
      <c r="N33" s="269"/>
      <c r="O33" s="269"/>
      <c r="P33" s="269"/>
      <c r="Q33" s="269"/>
    </row>
    <row r="34" spans="2:19" ht="15">
      <c r="C34" s="277" t="str">
        <f>+S114</f>
        <v xml:space="preserve">   ITC Adjustment  (TCOS, ln 108)</v>
      </c>
      <c r="D34" s="327"/>
      <c r="E34" s="328">
        <f>+R114</f>
        <v>-186082.76315122988</v>
      </c>
      <c r="F34" s="327"/>
      <c r="G34" s="327"/>
      <c r="H34" s="327"/>
      <c r="I34" s="327"/>
      <c r="J34" s="327"/>
      <c r="K34" s="327"/>
      <c r="L34" s="327"/>
      <c r="M34" s="327"/>
      <c r="N34" s="327"/>
      <c r="O34" s="327"/>
      <c r="P34" s="329"/>
      <c r="Q34" s="327"/>
    </row>
    <row r="35" spans="2:19" ht="15">
      <c r="C35" s="277" t="str">
        <f>+S115</f>
        <v xml:space="preserve">   Excess DFIT Adjustment  (TCOS, ln 109)</v>
      </c>
      <c r="D35" s="327"/>
      <c r="E35" s="328">
        <f>+R115</f>
        <v>-601214.01727575471</v>
      </c>
      <c r="F35" s="327"/>
      <c r="G35" s="327"/>
      <c r="H35" s="327"/>
      <c r="I35" s="327"/>
      <c r="J35" s="327"/>
      <c r="K35" s="327"/>
      <c r="L35" s="327"/>
      <c r="M35" s="327"/>
      <c r="N35" s="327"/>
      <c r="O35" s="327"/>
      <c r="P35" s="329"/>
      <c r="Q35" s="327"/>
    </row>
    <row r="36" spans="2:19" ht="15">
      <c r="C36" s="277" t="str">
        <f>+S116</f>
        <v xml:space="preserve">   Tax Effect of Permanent and Flow Through Differences  (TCOS, ln 110)</v>
      </c>
      <c r="D36" s="327"/>
      <c r="E36" s="328">
        <f>+R116</f>
        <v>226004.69760900139</v>
      </c>
      <c r="F36" s="327"/>
      <c r="G36" s="327"/>
      <c r="H36" s="327"/>
      <c r="I36" s="327"/>
      <c r="J36" s="327"/>
      <c r="K36" s="327"/>
      <c r="L36" s="327"/>
      <c r="M36" s="327"/>
      <c r="N36" s="327"/>
      <c r="O36" s="327"/>
      <c r="P36" s="329"/>
      <c r="Q36" s="327"/>
    </row>
    <row r="37" spans="2:19" ht="15">
      <c r="C37" s="319" t="s">
        <v>23</v>
      </c>
      <c r="D37" s="327"/>
      <c r="E37" s="328">
        <f>E33+E34+E35+E36</f>
        <v>30726293.93335747</v>
      </c>
      <c r="F37" s="327"/>
      <c r="G37" s="327"/>
      <c r="H37" s="327"/>
      <c r="I37" s="327"/>
      <c r="J37" s="327"/>
      <c r="K37" s="327"/>
      <c r="L37" s="327"/>
      <c r="M37" s="327"/>
      <c r="N37" s="327"/>
      <c r="O37" s="327"/>
      <c r="P37" s="330"/>
      <c r="Q37" s="327"/>
    </row>
    <row r="38" spans="2:19" ht="12.75" customHeight="1">
      <c r="C38" s="331"/>
      <c r="D38" s="327"/>
      <c r="E38" s="327"/>
      <c r="F38" s="327"/>
      <c r="G38" s="327"/>
      <c r="H38" s="327"/>
      <c r="I38" s="327"/>
      <c r="J38" s="327"/>
      <c r="K38" s="327"/>
      <c r="L38" s="327"/>
      <c r="M38" s="327"/>
      <c r="N38" s="327"/>
      <c r="O38" s="327"/>
      <c r="P38" s="330"/>
      <c r="Q38" s="327"/>
      <c r="R38" s="269"/>
      <c r="S38" s="269"/>
    </row>
    <row r="39" spans="2:19" ht="18.75">
      <c r="B39" s="273" t="s">
        <v>24</v>
      </c>
      <c r="C39" s="332" t="str">
        <f>"Calculate Net Plant Carrying Charge Rate (Fixed Charge Rate or FCR) with hypothetical "&amp;F13&amp;" basis point"</f>
        <v>Calculate Net Plant Carrying Charge Rate (Fixed Charge Rate or FCR) with hypothetical 0 basis point</v>
      </c>
      <c r="D39" s="327"/>
      <c r="E39" s="327"/>
      <c r="F39" s="327"/>
      <c r="G39" s="327"/>
      <c r="H39" s="327"/>
      <c r="I39" s="327"/>
      <c r="J39" s="327"/>
      <c r="K39" s="327"/>
      <c r="L39" s="327"/>
      <c r="M39" s="327"/>
      <c r="N39" s="327"/>
      <c r="O39" s="327"/>
      <c r="P39" s="330"/>
      <c r="Q39" s="327"/>
      <c r="R39" s="269"/>
      <c r="S39" s="269"/>
    </row>
    <row r="40" spans="2:19" ht="15.75" customHeight="1">
      <c r="B40" s="273"/>
      <c r="C40" s="332" t="str">
        <f>"ROE increase."</f>
        <v>ROE increase.</v>
      </c>
      <c r="D40" s="327"/>
      <c r="E40" s="327"/>
      <c r="F40" s="327"/>
      <c r="G40" s="327"/>
      <c r="H40" s="327"/>
      <c r="I40" s="327"/>
      <c r="J40" s="327"/>
      <c r="K40" s="327"/>
      <c r="L40" s="327"/>
      <c r="M40" s="327"/>
      <c r="N40" s="327"/>
      <c r="O40" s="327"/>
      <c r="P40" s="330"/>
      <c r="Q40" s="327"/>
      <c r="R40" s="269"/>
      <c r="S40" s="269"/>
    </row>
    <row r="41" spans="2:19" ht="12.75" customHeight="1">
      <c r="C41" s="331"/>
      <c r="D41" s="327"/>
      <c r="E41" s="327"/>
      <c r="F41" s="327"/>
      <c r="G41" s="327"/>
      <c r="H41" s="327"/>
      <c r="I41" s="327"/>
      <c r="J41" s="327"/>
      <c r="K41" s="327"/>
      <c r="L41" s="327"/>
      <c r="M41" s="327"/>
      <c r="N41" s="327"/>
      <c r="O41" s="327"/>
      <c r="P41" s="330"/>
      <c r="Q41" s="327"/>
      <c r="R41" s="269"/>
      <c r="S41" s="269"/>
    </row>
    <row r="42" spans="2:19" ht="15.75">
      <c r="C42" s="274" t="s">
        <v>25</v>
      </c>
      <c r="D42" s="327"/>
      <c r="E42" s="327"/>
      <c r="F42" s="333"/>
      <c r="G42" s="327"/>
      <c r="H42" s="327"/>
      <c r="I42" s="327"/>
      <c r="J42" s="327"/>
      <c r="K42" s="327"/>
      <c r="L42" s="327"/>
      <c r="M42" s="327"/>
      <c r="N42" s="327"/>
      <c r="O42" s="327"/>
      <c r="P42" s="330"/>
      <c r="Q42" s="327"/>
      <c r="R42" s="269"/>
      <c r="S42" s="269"/>
    </row>
    <row r="43" spans="2:19">
      <c r="B43" s="269"/>
      <c r="C43" s="334"/>
      <c r="D43" s="335"/>
      <c r="E43" s="335"/>
      <c r="F43" s="335"/>
      <c r="G43" s="335"/>
      <c r="H43" s="335"/>
      <c r="I43" s="335"/>
      <c r="J43" s="335"/>
      <c r="K43" s="335"/>
      <c r="L43" s="335"/>
      <c r="M43" s="335"/>
      <c r="N43" s="335"/>
      <c r="O43" s="335"/>
      <c r="P43" s="328"/>
      <c r="Q43" s="335"/>
      <c r="R43" s="269"/>
      <c r="S43" s="269"/>
    </row>
    <row r="44" spans="2:19" ht="12.75" customHeight="1">
      <c r="B44" s="269"/>
      <c r="C44" s="277" t="str">
        <f>+S117</f>
        <v xml:space="preserve">   Net Revenue Requirement  (TCOS, ln 117)</v>
      </c>
      <c r="D44" s="335"/>
      <c r="E44" s="335"/>
      <c r="F44" s="328">
        <f>+R117</f>
        <v>303351471.94286269</v>
      </c>
      <c r="G44" s="335"/>
      <c r="H44" s="335"/>
      <c r="I44" s="335"/>
      <c r="J44" s="335"/>
      <c r="K44" s="335"/>
      <c r="L44" s="335"/>
      <c r="M44" s="335"/>
      <c r="N44" s="335"/>
      <c r="O44" s="335"/>
      <c r="P44" s="328"/>
      <c r="Q44" s="335"/>
      <c r="R44" s="269"/>
      <c r="S44" s="269"/>
    </row>
    <row r="45" spans="2:19">
      <c r="B45" s="269"/>
      <c r="C45" s="277" t="str">
        <f>+S118</f>
        <v xml:space="preserve">   Return  (TCOS, ln 112)</v>
      </c>
      <c r="D45" s="335"/>
      <c r="E45" s="335"/>
      <c r="F45" s="336">
        <f>+R118</f>
        <v>136430405.90966371</v>
      </c>
      <c r="G45" s="337"/>
      <c r="H45" s="337"/>
      <c r="I45" s="337"/>
      <c r="J45" s="337"/>
      <c r="K45" s="337"/>
      <c r="L45" s="337"/>
      <c r="M45" s="337"/>
      <c r="N45" s="337"/>
      <c r="O45" s="337"/>
      <c r="P45" s="328"/>
      <c r="Q45" s="335"/>
      <c r="R45" s="269"/>
      <c r="S45" s="269"/>
    </row>
    <row r="46" spans="2:19">
      <c r="B46" s="269"/>
      <c r="C46" s="277" t="str">
        <f>+S119</f>
        <v xml:space="preserve">   Income Taxes  (TCOS, ln 111)</v>
      </c>
      <c r="D46" s="335"/>
      <c r="E46" s="335"/>
      <c r="F46" s="328">
        <f>+R119</f>
        <v>30726293.93335747</v>
      </c>
      <c r="G46" s="335"/>
      <c r="H46" s="335"/>
      <c r="I46" s="338"/>
      <c r="J46" s="338"/>
      <c r="K46" s="338"/>
      <c r="L46" s="338"/>
      <c r="M46" s="338"/>
      <c r="N46" s="338"/>
      <c r="O46" s="335"/>
      <c r="P46" s="335"/>
      <c r="Q46" s="335"/>
      <c r="R46" s="269"/>
      <c r="S46" s="269"/>
    </row>
    <row r="47" spans="2:19">
      <c r="B47" s="269"/>
      <c r="C47" s="334" t="str">
        <f>+S120</f>
        <v xml:space="preserve">  Gross Margin Taxes  (TCOS, ln 116)</v>
      </c>
      <c r="D47" s="335"/>
      <c r="E47" s="335"/>
      <c r="F47" s="339">
        <f>+R120</f>
        <v>136681.70445528976</v>
      </c>
      <c r="G47" s="335"/>
      <c r="H47" s="335"/>
      <c r="I47" s="338"/>
      <c r="J47" s="338"/>
      <c r="K47" s="338"/>
      <c r="L47" s="338"/>
      <c r="M47" s="338"/>
      <c r="N47" s="338"/>
      <c r="O47" s="335"/>
      <c r="P47" s="335"/>
      <c r="Q47" s="335"/>
      <c r="R47" s="269"/>
      <c r="S47" s="269"/>
    </row>
    <row r="48" spans="2:19">
      <c r="B48" s="269"/>
      <c r="C48" s="340" t="s">
        <v>26</v>
      </c>
      <c r="D48" s="335"/>
      <c r="E48" s="335"/>
      <c r="F48" s="336">
        <f>F44-F45-F46-F47</f>
        <v>136058090.39538622</v>
      </c>
      <c r="G48" s="341"/>
      <c r="H48" s="335"/>
      <c r="I48" s="341"/>
      <c r="J48" s="341"/>
      <c r="K48" s="341"/>
      <c r="L48" s="341"/>
      <c r="M48" s="341"/>
      <c r="N48" s="341"/>
      <c r="O48" s="335"/>
      <c r="P48" s="341"/>
      <c r="Q48" s="335"/>
      <c r="R48" s="269"/>
      <c r="S48" s="269"/>
    </row>
    <row r="49" spans="2:19">
      <c r="B49" s="269"/>
      <c r="C49" s="334"/>
      <c r="D49" s="335"/>
      <c r="E49" s="335"/>
      <c r="F49" s="328"/>
      <c r="G49" s="342"/>
      <c r="H49" s="343"/>
      <c r="I49" s="343"/>
      <c r="J49" s="343"/>
      <c r="K49" s="343"/>
      <c r="L49" s="343"/>
      <c r="M49" s="343"/>
      <c r="N49" s="343"/>
      <c r="O49" s="344"/>
      <c r="P49" s="343"/>
      <c r="Q49" s="345"/>
      <c r="R49" s="269"/>
      <c r="S49" s="269"/>
    </row>
    <row r="50" spans="2:19" ht="15.75">
      <c r="B50" s="269"/>
      <c r="C50" s="274" t="str">
        <f>"B.   Determine Net Revenue Requirement with hypothetical "&amp;F13&amp;" basis point increase in ROE."</f>
        <v>B.   Determine Net Revenue Requirement with hypothetical 0 basis point increase in ROE.</v>
      </c>
      <c r="D50" s="344"/>
      <c r="E50" s="344"/>
      <c r="F50" s="328"/>
      <c r="G50" s="342"/>
      <c r="H50" s="343"/>
      <c r="I50" s="343"/>
      <c r="J50" s="343"/>
      <c r="K50" s="343"/>
      <c r="L50" s="343"/>
      <c r="M50" s="343"/>
      <c r="N50" s="343"/>
      <c r="O50" s="344"/>
      <c r="P50" s="343"/>
      <c r="Q50" s="335"/>
    </row>
    <row r="51" spans="2:19">
      <c r="B51" s="269"/>
      <c r="C51" s="334"/>
      <c r="D51" s="344"/>
      <c r="E51" s="344"/>
      <c r="F51" s="328"/>
      <c r="G51" s="342"/>
      <c r="H51" s="343"/>
      <c r="I51" s="343"/>
      <c r="J51" s="343"/>
      <c r="K51" s="343"/>
      <c r="L51" s="343"/>
      <c r="M51" s="343"/>
      <c r="N51" s="343"/>
      <c r="O51" s="344"/>
      <c r="P51" s="343"/>
      <c r="Q51" s="335"/>
    </row>
    <row r="52" spans="2:19">
      <c r="B52" s="269"/>
      <c r="C52" s="334" t="str">
        <f>C48</f>
        <v xml:space="preserve">   Net Revenue Requirement, Less Return and Taxes</v>
      </c>
      <c r="D52" s="344"/>
      <c r="E52" s="344"/>
      <c r="F52" s="328">
        <f>F48</f>
        <v>136058090.39538622</v>
      </c>
      <c r="G52" s="335"/>
      <c r="H52" s="335"/>
      <c r="I52" s="335"/>
      <c r="J52" s="335"/>
      <c r="K52" s="335"/>
      <c r="L52" s="335"/>
      <c r="M52" s="335"/>
      <c r="N52" s="335"/>
      <c r="O52" s="346"/>
      <c r="P52" s="347"/>
      <c r="Q52" s="348"/>
    </row>
    <row r="53" spans="2:19">
      <c r="B53" s="269"/>
      <c r="C53" s="283" t="s">
        <v>93</v>
      </c>
      <c r="D53" s="349"/>
      <c r="E53" s="340"/>
      <c r="F53" s="350">
        <f>E26</f>
        <v>136430405.90966371</v>
      </c>
      <c r="G53" s="340"/>
      <c r="H53" s="351"/>
      <c r="I53" s="340"/>
      <c r="J53" s="340"/>
      <c r="K53" s="340"/>
      <c r="L53" s="340"/>
      <c r="M53" s="340"/>
      <c r="N53" s="340"/>
      <c r="O53" s="340"/>
      <c r="P53" s="340"/>
      <c r="Q53" s="340"/>
    </row>
    <row r="54" spans="2:19" ht="12.75" customHeight="1">
      <c r="B54" s="269"/>
      <c r="C54" s="277" t="s">
        <v>27</v>
      </c>
      <c r="D54" s="335"/>
      <c r="E54" s="335"/>
      <c r="F54" s="352">
        <f>E37</f>
        <v>30726293.93335747</v>
      </c>
      <c r="G54" s="269"/>
      <c r="H54" s="271"/>
      <c r="I54" s="269"/>
      <c r="J54" s="272"/>
      <c r="K54" s="269"/>
      <c r="L54" s="269"/>
      <c r="M54" s="269"/>
      <c r="N54" s="269"/>
      <c r="O54" s="269"/>
      <c r="P54" s="269"/>
      <c r="Q54" s="269"/>
    </row>
    <row r="55" spans="2:19">
      <c r="B55" s="269"/>
      <c r="C55" s="340" t="str">
        <f>"   Net Revenue Requirement, with "&amp;F13&amp;" Basis Point ROE increase"</f>
        <v xml:space="preserve">   Net Revenue Requirement, with 0 Basis Point ROE increase</v>
      </c>
      <c r="D55" s="270"/>
      <c r="E55" s="269"/>
      <c r="F55" s="326">
        <f>SUM(F52:F54)</f>
        <v>303214790.23840737</v>
      </c>
      <c r="G55" s="269"/>
      <c r="H55" s="271"/>
      <c r="I55" s="269"/>
      <c r="J55" s="272"/>
      <c r="K55" s="269"/>
      <c r="L55" s="269"/>
      <c r="M55" s="269"/>
      <c r="N55" s="269"/>
      <c r="O55" s="269"/>
      <c r="P55" s="269"/>
      <c r="Q55" s="269"/>
      <c r="R55" s="269"/>
      <c r="S55" s="269"/>
    </row>
    <row r="56" spans="2:19">
      <c r="B56" s="269"/>
      <c r="C56" s="353" t="str">
        <f>"   Gross Margin Tax with "&amp;F13&amp;" Basis Point ROE Increase (II C. below)"</f>
        <v xml:space="preserve">   Gross Margin Tax with 0 Basis Point ROE Increase (II C. below)</v>
      </c>
      <c r="D56" s="227"/>
      <c r="E56" s="227"/>
      <c r="F56" s="354">
        <f>+F71</f>
        <v>187662.94765579951</v>
      </c>
      <c r="G56" s="269"/>
      <c r="H56" s="271"/>
      <c r="I56" s="269"/>
      <c r="J56" s="272"/>
      <c r="K56" s="269"/>
      <c r="L56" s="269"/>
      <c r="M56" s="269"/>
      <c r="N56" s="269"/>
      <c r="O56" s="269"/>
      <c r="P56" s="269"/>
      <c r="Q56" s="269"/>
      <c r="R56" s="269"/>
      <c r="S56" s="269"/>
    </row>
    <row r="57" spans="2:19">
      <c r="B57" s="269"/>
      <c r="C57" s="340" t="s">
        <v>28</v>
      </c>
      <c r="D57" s="270"/>
      <c r="E57" s="269"/>
      <c r="F57" s="355">
        <f>+F55+F56</f>
        <v>303402453.18606317</v>
      </c>
      <c r="G57" s="269"/>
      <c r="H57" s="271"/>
      <c r="I57" s="269"/>
      <c r="J57" s="272"/>
      <c r="K57" s="269"/>
      <c r="L57" s="269"/>
      <c r="M57" s="269"/>
      <c r="N57" s="269"/>
      <c r="O57" s="269"/>
      <c r="P57" s="269"/>
      <c r="Q57" s="269"/>
      <c r="R57" s="269"/>
      <c r="S57" s="269"/>
    </row>
    <row r="58" spans="2:19">
      <c r="B58" s="269"/>
      <c r="C58" s="277" t="str">
        <f>+S121</f>
        <v xml:space="preserve">   Less: Depreciation  (TCOS, ln 86)</v>
      </c>
      <c r="D58" s="270"/>
      <c r="E58" s="269"/>
      <c r="F58" s="356">
        <f>+R121</f>
        <v>61993630.053569101</v>
      </c>
      <c r="G58" s="269"/>
      <c r="H58" s="271"/>
      <c r="I58" s="269"/>
      <c r="J58" s="272"/>
      <c r="K58" s="269"/>
      <c r="L58" s="269"/>
      <c r="M58" s="269"/>
      <c r="N58" s="269"/>
      <c r="O58" s="269"/>
      <c r="P58" s="269"/>
      <c r="Q58" s="269"/>
      <c r="R58" s="269"/>
      <c r="S58" s="269"/>
    </row>
    <row r="59" spans="2:19">
      <c r="B59" s="269"/>
      <c r="C59" s="340" t="str">
        <f>"   Net Rev. Req, w/"&amp;F13&amp;" Basis Point ROE increase, less Depreciation"</f>
        <v xml:space="preserve">   Net Rev. Req, w/0 Basis Point ROE increase, less Depreciation</v>
      </c>
      <c r="D59" s="270"/>
      <c r="E59" s="269"/>
      <c r="F59" s="326">
        <f>F57-F58</f>
        <v>241408823.13249406</v>
      </c>
      <c r="G59" s="269"/>
      <c r="H59" s="271"/>
      <c r="I59" s="269"/>
      <c r="J59" s="272"/>
      <c r="K59" s="269"/>
      <c r="L59" s="269"/>
      <c r="M59" s="269"/>
      <c r="N59" s="269"/>
      <c r="O59" s="269"/>
      <c r="P59" s="269"/>
      <c r="Q59" s="269"/>
      <c r="R59" s="269"/>
      <c r="S59" s="269"/>
    </row>
    <row r="60" spans="2:19">
      <c r="B60" s="269"/>
      <c r="C60" s="269"/>
      <c r="D60" s="270"/>
      <c r="E60" s="269"/>
      <c r="F60" s="269"/>
      <c r="G60" s="269"/>
      <c r="H60" s="271"/>
      <c r="I60" s="269"/>
      <c r="J60" s="272"/>
      <c r="K60" s="269"/>
      <c r="L60" s="269"/>
      <c r="M60" s="269"/>
      <c r="N60" s="269"/>
      <c r="O60" s="269"/>
      <c r="P60" s="269"/>
      <c r="Q60" s="269" t="str">
        <f>IF(ROUND(Q59,0)=ROUND(SUM(Q18:Q58),0),"","Error -- check allocations above).")</f>
        <v/>
      </c>
      <c r="R60" s="269"/>
      <c r="S60" s="269"/>
    </row>
    <row r="61" spans="2:19" ht="15.75">
      <c r="B61" s="357"/>
      <c r="C61" s="358" t="str">
        <f>"C.   Determine Gross Margin Tax with hypothetical "&amp;F13&amp;" basis point increase in ROE."</f>
        <v>C.   Determine Gross Margin Tax with hypothetical 0 basis point increase in ROE.</v>
      </c>
      <c r="D61" s="359"/>
      <c r="E61" s="359"/>
      <c r="F61" s="360"/>
      <c r="G61" s="357"/>
      <c r="H61" s="361"/>
      <c r="I61" s="357"/>
      <c r="J61" s="272"/>
      <c r="K61" s="269"/>
      <c r="L61" s="269"/>
      <c r="M61" s="269"/>
      <c r="N61" s="269"/>
      <c r="O61" s="269"/>
      <c r="P61" s="269"/>
      <c r="Q61" s="269"/>
      <c r="R61" s="269"/>
      <c r="S61" s="269"/>
    </row>
    <row r="62" spans="2:19">
      <c r="B62" s="357"/>
      <c r="C62" s="353" t="str">
        <f>"   Net Revenue Requirement before Gross Margin Taxes, with "&amp;F13&amp;" "</f>
        <v xml:space="preserve">   Net Revenue Requirement before Gross Margin Taxes, with 0 </v>
      </c>
      <c r="D62" s="359"/>
      <c r="E62" s="359"/>
      <c r="F62" s="360">
        <f>+F55</f>
        <v>303214790.23840737</v>
      </c>
      <c r="G62" s="357"/>
      <c r="H62" s="361"/>
      <c r="I62" s="357"/>
      <c r="J62" s="272"/>
      <c r="K62" s="269"/>
      <c r="L62" s="269"/>
      <c r="M62" s="269"/>
      <c r="N62" s="269"/>
      <c r="O62" s="269"/>
      <c r="P62" s="269"/>
      <c r="Q62" s="269"/>
      <c r="R62" s="269"/>
      <c r="S62" s="269"/>
    </row>
    <row r="63" spans="2:19">
      <c r="B63" s="357"/>
      <c r="C63" s="353" t="s">
        <v>29</v>
      </c>
      <c r="D63" s="359"/>
      <c r="E63" s="359"/>
      <c r="F63" s="360"/>
      <c r="G63" s="357"/>
      <c r="H63" s="361"/>
      <c r="I63" s="357"/>
      <c r="J63" s="272"/>
      <c r="K63" s="269"/>
      <c r="L63" s="269"/>
      <c r="M63" s="269"/>
      <c r="N63" s="269"/>
      <c r="O63" s="269"/>
      <c r="P63" s="269"/>
      <c r="Q63" s="269"/>
      <c r="R63" s="269"/>
      <c r="S63" s="269"/>
    </row>
    <row r="64" spans="2:19">
      <c r="B64" s="357"/>
      <c r="C64" s="340" t="str">
        <f>+S122</f>
        <v xml:space="preserve">       Apportionment Factor to Texas (Worksheet K, ln 12)</v>
      </c>
      <c r="D64" s="325"/>
      <c r="E64" s="357"/>
      <c r="F64" s="362">
        <f>+R122</f>
        <v>0.44180361742045854</v>
      </c>
      <c r="G64" s="357"/>
      <c r="H64" s="361"/>
      <c r="I64" s="357"/>
      <c r="J64" s="272"/>
      <c r="K64" s="269"/>
      <c r="L64" s="269"/>
      <c r="M64" s="269"/>
      <c r="N64" s="269"/>
      <c r="O64" s="269"/>
      <c r="P64" s="269"/>
      <c r="Q64" s="269"/>
      <c r="R64" s="269"/>
      <c r="S64" s="269"/>
    </row>
    <row r="65" spans="2:19">
      <c r="B65" s="357"/>
      <c r="C65" s="340" t="s">
        <v>30</v>
      </c>
      <c r="D65" s="325"/>
      <c r="E65" s="357"/>
      <c r="F65" s="360">
        <f>+F62*F64</f>
        <v>133961391.18271391</v>
      </c>
      <c r="G65" s="357"/>
      <c r="H65" s="361"/>
      <c r="I65" s="357"/>
      <c r="J65" s="272"/>
      <c r="K65" s="269"/>
      <c r="L65" s="269"/>
      <c r="M65" s="269"/>
      <c r="N65" s="269"/>
      <c r="O65" s="269"/>
      <c r="P65" s="269"/>
      <c r="Q65" s="269"/>
      <c r="R65" s="269"/>
      <c r="S65" s="269"/>
    </row>
    <row r="66" spans="2:19">
      <c r="B66" s="357"/>
      <c r="C66" s="340" t="s">
        <v>393</v>
      </c>
      <c r="D66" s="325"/>
      <c r="E66" s="357"/>
      <c r="F66" s="363">
        <v>0.14000000000000001</v>
      </c>
      <c r="G66" s="357"/>
      <c r="H66" s="361"/>
      <c r="I66" s="357"/>
      <c r="J66" s="272"/>
      <c r="K66" s="269"/>
      <c r="L66" s="269"/>
      <c r="M66" s="269"/>
      <c r="N66" s="269"/>
      <c r="O66" s="269"/>
      <c r="P66" s="269"/>
      <c r="Q66" s="269"/>
      <c r="R66" s="269"/>
      <c r="S66" s="269"/>
    </row>
    <row r="67" spans="2:19">
      <c r="B67" s="357"/>
      <c r="C67" s="340" t="s">
        <v>31</v>
      </c>
      <c r="D67" s="325"/>
      <c r="E67" s="357"/>
      <c r="F67" s="360">
        <f>+F65*F66</f>
        <v>18754594.76557995</v>
      </c>
      <c r="G67" s="357"/>
      <c r="H67" s="361"/>
      <c r="I67" s="357"/>
      <c r="J67" s="272"/>
      <c r="K67" s="269"/>
      <c r="L67" s="269"/>
      <c r="M67" s="269"/>
      <c r="N67" s="269"/>
      <c r="O67" s="269"/>
      <c r="P67" s="269"/>
      <c r="Q67" s="269"/>
      <c r="R67" s="269"/>
      <c r="S67" s="269"/>
    </row>
    <row r="68" spans="2:19">
      <c r="B68" s="357"/>
      <c r="C68" s="340" t="s">
        <v>32</v>
      </c>
      <c r="D68" s="325"/>
      <c r="E68" s="357"/>
      <c r="F68" s="363">
        <v>0.01</v>
      </c>
      <c r="G68" s="357"/>
      <c r="H68" s="361"/>
      <c r="I68" s="357"/>
      <c r="J68" s="272"/>
      <c r="K68" s="269"/>
      <c r="L68" s="269"/>
      <c r="M68" s="269"/>
      <c r="N68" s="269"/>
      <c r="O68" s="269"/>
      <c r="P68" s="269"/>
      <c r="Q68" s="269"/>
      <c r="R68" s="269"/>
      <c r="S68" s="269"/>
    </row>
    <row r="69" spans="2:19">
      <c r="B69" s="357"/>
      <c r="C69" s="340" t="s">
        <v>33</v>
      </c>
      <c r="D69" s="325"/>
      <c r="E69" s="357"/>
      <c r="F69" s="360">
        <f>+F67*F68</f>
        <v>187545.94765579951</v>
      </c>
      <c r="G69" s="357"/>
      <c r="H69" s="361"/>
      <c r="I69" s="357"/>
      <c r="J69" s="272"/>
      <c r="K69" s="269"/>
      <c r="L69" s="269"/>
      <c r="M69" s="269"/>
      <c r="N69" s="269"/>
      <c r="O69" s="269"/>
      <c r="P69" s="269"/>
      <c r="Q69" s="269"/>
      <c r="R69" s="269"/>
      <c r="S69" s="269"/>
    </row>
    <row r="70" spans="2:19">
      <c r="B70" s="357"/>
      <c r="C70" s="340" t="s">
        <v>34</v>
      </c>
      <c r="D70" s="325"/>
      <c r="E70" s="357"/>
      <c r="F70" s="364">
        <f>+ROUND((F69*F66*F64)/(1-F68)*F68,0)</f>
        <v>117</v>
      </c>
      <c r="G70" s="357"/>
      <c r="H70" s="361"/>
      <c r="I70" s="357"/>
      <c r="J70" s="272"/>
      <c r="K70" s="269"/>
      <c r="L70" s="269"/>
      <c r="M70" s="269"/>
      <c r="N70" s="269"/>
      <c r="O70" s="269"/>
      <c r="P70" s="269"/>
      <c r="Q70" s="269"/>
      <c r="R70" s="269"/>
      <c r="S70" s="269"/>
    </row>
    <row r="71" spans="2:19">
      <c r="B71" s="357"/>
      <c r="C71" s="340" t="s">
        <v>35</v>
      </c>
      <c r="D71" s="325"/>
      <c r="E71" s="357"/>
      <c r="F71" s="360">
        <f>+F69+F70</f>
        <v>187662.94765579951</v>
      </c>
      <c r="G71" s="357"/>
      <c r="H71" s="361"/>
      <c r="I71" s="357"/>
      <c r="J71" s="272"/>
      <c r="K71" s="269"/>
      <c r="L71" s="269"/>
      <c r="M71" s="269"/>
      <c r="N71" s="269"/>
      <c r="O71" s="269"/>
      <c r="P71" s="269"/>
      <c r="Q71" s="269"/>
      <c r="R71" s="269"/>
      <c r="S71" s="269"/>
    </row>
    <row r="72" spans="2:19">
      <c r="B72" s="269"/>
      <c r="C72" s="269"/>
      <c r="D72" s="270"/>
      <c r="E72" s="269"/>
      <c r="F72" s="269"/>
      <c r="G72" s="269"/>
      <c r="H72" s="271"/>
      <c r="I72" s="269"/>
      <c r="J72" s="272"/>
      <c r="K72" s="269"/>
      <c r="L72" s="269"/>
      <c r="M72" s="269"/>
      <c r="N72" s="269"/>
      <c r="O72" s="269"/>
      <c r="P72" s="269"/>
      <c r="Q72" s="269"/>
      <c r="R72" s="269"/>
      <c r="S72" s="269"/>
    </row>
    <row r="73" spans="2:19" ht="15.75">
      <c r="B73" s="269"/>
      <c r="C73" s="274" t="str">
        <f>"D.   Determine FCR with hypothetical "&amp;F13&amp;" basis point ROE increase."</f>
        <v>D.   Determine FCR with hypothetical 0 basis point ROE increase.</v>
      </c>
      <c r="D73" s="270"/>
      <c r="E73" s="269"/>
      <c r="F73" s="269"/>
      <c r="G73" s="269"/>
      <c r="H73" s="271"/>
      <c r="I73" s="269"/>
      <c r="J73" s="272"/>
      <c r="K73" s="269"/>
      <c r="L73" s="269"/>
      <c r="M73" s="269"/>
      <c r="N73" s="269"/>
      <c r="O73" s="269"/>
      <c r="P73" s="269"/>
      <c r="Q73" s="269"/>
      <c r="R73" s="269"/>
      <c r="S73" s="269"/>
    </row>
    <row r="74" spans="2:19">
      <c r="B74" s="269"/>
      <c r="C74" s="269"/>
      <c r="D74" s="270"/>
      <c r="E74" s="269"/>
      <c r="F74" s="269"/>
      <c r="G74" s="269"/>
      <c r="H74" s="271"/>
      <c r="I74" s="269"/>
      <c r="J74" s="272"/>
      <c r="K74" s="269"/>
      <c r="L74" s="269"/>
      <c r="M74" s="269"/>
      <c r="N74" s="269"/>
      <c r="O74" s="269"/>
      <c r="P74" s="269"/>
      <c r="Q74" s="269"/>
      <c r="R74" s="269"/>
      <c r="S74" s="269"/>
    </row>
    <row r="75" spans="2:19">
      <c r="B75" s="269"/>
      <c r="C75" s="277" t="str">
        <f>+S123</f>
        <v xml:space="preserve">   Net Transmission Plant  (TCOS, ln 37)</v>
      </c>
      <c r="D75" s="270"/>
      <c r="E75" s="269"/>
      <c r="F75" s="326">
        <f>+R123</f>
        <v>2019272432.5376625</v>
      </c>
      <c r="G75" s="275"/>
      <c r="H75" s="247"/>
      <c r="J75" s="233"/>
      <c r="P75" s="269"/>
      <c r="Q75" s="269"/>
      <c r="R75" s="269"/>
      <c r="S75" s="269"/>
    </row>
    <row r="76" spans="2:19">
      <c r="B76" s="269"/>
      <c r="C76" s="340" t="str">
        <f>"   Net Revenue Requirement, with "&amp;F13&amp;" Basis Point ROE increase"</f>
        <v xml:space="preserve">   Net Revenue Requirement, with 0 Basis Point ROE increase</v>
      </c>
      <c r="D76" s="270"/>
      <c r="E76" s="269"/>
      <c r="F76" s="365">
        <f>F55</f>
        <v>303214790.23840737</v>
      </c>
      <c r="H76" s="247"/>
      <c r="J76" s="233"/>
      <c r="P76" s="269"/>
      <c r="Q76" s="269"/>
      <c r="R76" s="269"/>
      <c r="S76" s="269"/>
    </row>
    <row r="77" spans="2:19">
      <c r="B77" s="269"/>
      <c r="C77" s="340" t="str">
        <f>"   FCR with "&amp;F13&amp;" Basis Point increase in ROE"</f>
        <v xml:space="preserve">   FCR with 0 Basis Point increase in ROE</v>
      </c>
      <c r="D77" s="270"/>
      <c r="E77" s="269"/>
      <c r="F77" s="366">
        <f>IF(F75=0,0,F76/F75)</f>
        <v>0.15016041686725298</v>
      </c>
      <c r="H77" s="247"/>
      <c r="J77" s="233"/>
      <c r="P77" s="269"/>
      <c r="Q77" s="269"/>
      <c r="R77" s="269"/>
      <c r="S77" s="269"/>
    </row>
    <row r="78" spans="2:19">
      <c r="B78" s="269"/>
      <c r="D78" s="270"/>
      <c r="E78" s="269"/>
      <c r="F78" s="357"/>
      <c r="H78" s="247"/>
      <c r="J78" s="233"/>
      <c r="P78" s="269"/>
      <c r="Q78" s="269"/>
      <c r="R78" s="269"/>
      <c r="S78" s="269"/>
    </row>
    <row r="79" spans="2:19">
      <c r="B79" s="269"/>
      <c r="C79" s="340" t="str">
        <f>"   Net Rev. Req, w / "&amp;F13&amp;" Basis Point ROE increase, less Dep."</f>
        <v xml:space="preserve">   Net Rev. Req, w / 0 Basis Point ROE increase, less Dep.</v>
      </c>
      <c r="D79" s="270"/>
      <c r="E79" s="269"/>
      <c r="F79" s="326">
        <f>F59</f>
        <v>241408823.13249406</v>
      </c>
      <c r="G79" s="275"/>
      <c r="H79" s="247"/>
      <c r="J79" s="233"/>
      <c r="P79" s="269"/>
      <c r="Q79" s="269"/>
      <c r="R79" s="269"/>
      <c r="S79" s="269"/>
    </row>
    <row r="80" spans="2:19">
      <c r="B80" s="269"/>
      <c r="C80" s="340" t="str">
        <f>"   FCR with "&amp;F13&amp;" Basis Point ROE increase, less Depreciation"</f>
        <v xml:space="preserve">   FCR with 0 Basis Point ROE increase, less Depreciation</v>
      </c>
      <c r="D80" s="270"/>
      <c r="E80" s="269"/>
      <c r="F80" s="366">
        <f>IF(F75=0,0,F79/F75)-0.000064</f>
        <v>0.11948837898687623</v>
      </c>
      <c r="G80" s="366"/>
      <c r="H80" s="247"/>
      <c r="J80" s="233"/>
      <c r="P80" s="269"/>
      <c r="Q80" s="269"/>
      <c r="R80" s="269"/>
      <c r="S80" s="269"/>
    </row>
    <row r="81" spans="2:19">
      <c r="B81" s="269"/>
      <c r="C81" s="277" t="str">
        <f>+S124</f>
        <v xml:space="preserve">   FCR less Depreciation  (TCOS, ln 10)</v>
      </c>
      <c r="D81" s="270"/>
      <c r="E81" s="269"/>
      <c r="F81" s="367">
        <f>+R124</f>
        <v>0.11952713165403545</v>
      </c>
      <c r="H81" s="247"/>
      <c r="J81" s="233"/>
      <c r="P81" s="269"/>
      <c r="Q81" s="269"/>
      <c r="R81" s="269"/>
      <c r="S81" s="269"/>
    </row>
    <row r="82" spans="2:19">
      <c r="B82" s="269"/>
      <c r="C82" s="686" t="str">
        <f>"   Incremental FCR with "&amp;F13&amp;" Basis Point ROE increase, less Depreciation"</f>
        <v xml:space="preserve">   Incremental FCR with 0 Basis Point ROE increase, less Depreciation</v>
      </c>
      <c r="D82" s="685"/>
      <c r="E82" s="685"/>
      <c r="F82" s="366">
        <f>F80-F81</f>
        <v>-3.8752667159219767E-5</v>
      </c>
      <c r="H82" s="247"/>
      <c r="J82" s="233"/>
      <c r="P82" s="269"/>
      <c r="Q82" s="269"/>
      <c r="R82" s="269"/>
      <c r="S82" s="269"/>
    </row>
    <row r="83" spans="2:19">
      <c r="B83" s="269"/>
      <c r="C83" s="685"/>
      <c r="D83" s="685"/>
      <c r="E83" s="685"/>
      <c r="F83" s="366"/>
      <c r="G83" s="269"/>
      <c r="H83" s="271"/>
      <c r="I83" s="269"/>
      <c r="J83" s="272"/>
      <c r="K83" s="269"/>
      <c r="L83" s="269"/>
      <c r="M83" s="269"/>
      <c r="N83" s="269"/>
      <c r="O83" s="269"/>
      <c r="P83" s="269"/>
      <c r="Q83" s="269"/>
      <c r="R83" s="269"/>
      <c r="S83" s="269"/>
    </row>
    <row r="84" spans="2:19" ht="18.75">
      <c r="B84" s="273" t="s">
        <v>36</v>
      </c>
      <c r="C84" s="332" t="s">
        <v>37</v>
      </c>
      <c r="D84" s="270"/>
      <c r="E84" s="269"/>
      <c r="F84" s="366"/>
      <c r="G84" s="269"/>
      <c r="H84" s="271"/>
      <c r="I84" s="269"/>
      <c r="J84" s="272"/>
      <c r="K84" s="269"/>
      <c r="L84" s="269"/>
      <c r="M84" s="269"/>
      <c r="N84" s="269"/>
      <c r="O84" s="269"/>
      <c r="P84" s="269"/>
      <c r="Q84" s="269"/>
      <c r="R84" s="269"/>
      <c r="S84" s="269"/>
    </row>
    <row r="85" spans="2:19" ht="12.75" customHeight="1">
      <c r="B85" s="273"/>
      <c r="C85" s="332"/>
      <c r="D85" s="270"/>
      <c r="E85" s="269"/>
      <c r="F85" s="366"/>
      <c r="G85" s="269"/>
      <c r="H85" s="271"/>
      <c r="I85" s="269"/>
      <c r="J85" s="272"/>
      <c r="K85" s="269"/>
      <c r="L85" s="269"/>
      <c r="M85" s="269"/>
      <c r="N85" s="269"/>
      <c r="O85" s="269"/>
      <c r="P85" s="269"/>
      <c r="Q85" s="269"/>
      <c r="R85" s="269"/>
      <c r="S85" s="269"/>
    </row>
    <row r="86" spans="2:19" ht="12.75" customHeight="1">
      <c r="B86" s="273"/>
      <c r="C86" s="340" t="s">
        <v>38</v>
      </c>
      <c r="D86" s="270"/>
      <c r="F86" s="361">
        <f>+R125</f>
        <v>2656787023</v>
      </c>
      <c r="G86" s="269" t="s">
        <v>39</v>
      </c>
      <c r="H86" s="271"/>
      <c r="I86" s="269"/>
      <c r="J86" s="272"/>
      <c r="K86" s="269"/>
      <c r="L86" s="269"/>
      <c r="M86" s="269"/>
      <c r="N86" s="269"/>
      <c r="O86" s="269"/>
      <c r="P86" s="269"/>
      <c r="Q86" s="269"/>
      <c r="R86" s="269"/>
      <c r="S86" s="269"/>
    </row>
    <row r="87" spans="2:19" ht="12.75" customHeight="1">
      <c r="B87" s="273"/>
      <c r="C87" s="340" t="s">
        <v>40</v>
      </c>
      <c r="D87" s="270"/>
      <c r="F87" s="368">
        <f>R126</f>
        <v>2970701634</v>
      </c>
      <c r="G87" s="269" t="s">
        <v>39</v>
      </c>
      <c r="H87" s="271"/>
      <c r="I87" s="269"/>
      <c r="J87" s="272"/>
      <c r="K87" s="269"/>
      <c r="L87" s="269"/>
      <c r="M87" s="269"/>
      <c r="N87" s="269"/>
      <c r="O87" s="269"/>
      <c r="P87" s="269"/>
      <c r="Q87" s="269"/>
      <c r="R87" s="269"/>
      <c r="S87" s="269"/>
    </row>
    <row r="88" spans="2:19">
      <c r="B88" s="269"/>
      <c r="C88" s="340"/>
      <c r="D88" s="270"/>
      <c r="F88" s="271">
        <f>+F87+F86</f>
        <v>5627488657</v>
      </c>
      <c r="G88" s="326"/>
      <c r="H88" s="271"/>
      <c r="I88" s="269"/>
      <c r="J88" s="272"/>
      <c r="K88" s="269"/>
      <c r="L88" s="269"/>
      <c r="M88" s="269"/>
      <c r="N88" s="269"/>
      <c r="O88" s="269"/>
      <c r="P88" s="269"/>
      <c r="Q88" s="269"/>
      <c r="R88" s="269"/>
      <c r="S88" s="269"/>
    </row>
    <row r="89" spans="2:19">
      <c r="B89" s="269"/>
      <c r="C89" s="340" t="str">
        <f>S127</f>
        <v>Transmission Plant Average Balance for 2023 (WS A-1 Ln 14 Col (d))</v>
      </c>
      <c r="D89" s="325"/>
      <c r="E89" s="191"/>
      <c r="F89" s="351">
        <f>+F88/2</f>
        <v>2813744328.5</v>
      </c>
      <c r="G89" s="369"/>
      <c r="H89" s="271"/>
      <c r="I89" s="269"/>
      <c r="J89" s="272"/>
      <c r="K89" s="269"/>
      <c r="L89" s="269"/>
      <c r="M89" s="269"/>
      <c r="N89" s="269"/>
      <c r="O89" s="269"/>
      <c r="P89" s="269"/>
      <c r="Q89" s="269"/>
      <c r="R89" s="269"/>
      <c r="S89" s="269"/>
    </row>
    <row r="90" spans="2:19">
      <c r="B90" s="269"/>
      <c r="C90" s="277" t="str">
        <f>S128</f>
        <v>Annual Depreciation Expense  (TCOS, ln 86)</v>
      </c>
      <c r="D90" s="325"/>
      <c r="E90" s="357"/>
      <c r="F90" s="351">
        <f>R128</f>
        <v>64680383.276527703</v>
      </c>
      <c r="G90" s="269"/>
      <c r="H90" s="271"/>
      <c r="I90" s="269"/>
      <c r="J90" s="272"/>
      <c r="K90" s="269"/>
      <c r="L90" s="269"/>
      <c r="M90" s="269"/>
      <c r="N90" s="269"/>
      <c r="O90" s="269"/>
      <c r="P90" s="269"/>
      <c r="Q90" s="269"/>
      <c r="R90" s="269"/>
      <c r="S90" s="269"/>
    </row>
    <row r="91" spans="2:19">
      <c r="B91" s="269"/>
      <c r="C91" s="340" t="s">
        <v>41</v>
      </c>
      <c r="D91" s="270"/>
      <c r="E91" s="269"/>
      <c r="F91" s="366">
        <f>IF(F89=0,0,F90/F89)</f>
        <v>2.298729938658238E-2</v>
      </c>
      <c r="G91" s="269"/>
      <c r="H91" s="370"/>
      <c r="I91" s="269"/>
      <c r="J91" s="272"/>
      <c r="K91" s="269"/>
      <c r="L91" s="269"/>
      <c r="M91" s="269"/>
      <c r="N91" s="269"/>
      <c r="O91" s="269"/>
      <c r="P91" s="269"/>
      <c r="Q91" s="269"/>
      <c r="R91" s="269"/>
      <c r="S91" s="269"/>
    </row>
    <row r="92" spans="2:19">
      <c r="B92" s="269"/>
      <c r="C92" s="340" t="s">
        <v>42</v>
      </c>
      <c r="D92" s="270"/>
      <c r="E92" s="269"/>
      <c r="F92" s="371">
        <f>IF(F91=0,0,1/F91)</f>
        <v>43.50228285553618</v>
      </c>
      <c r="H92" s="271"/>
      <c r="I92" s="269"/>
      <c r="J92" s="272"/>
      <c r="K92" s="269"/>
      <c r="L92" s="269"/>
      <c r="M92" s="269"/>
      <c r="N92" s="269"/>
      <c r="O92" s="269"/>
      <c r="P92" s="269"/>
      <c r="Q92" s="269"/>
      <c r="R92" s="269"/>
      <c r="S92" s="269"/>
    </row>
    <row r="93" spans="2:19">
      <c r="B93" s="269"/>
      <c r="C93" s="340" t="s">
        <v>43</v>
      </c>
      <c r="D93" s="270"/>
      <c r="E93" s="269"/>
      <c r="F93" s="372">
        <f>ROUND(F92,0)</f>
        <v>44</v>
      </c>
      <c r="G93" s="269"/>
      <c r="H93" s="271"/>
      <c r="I93" s="269"/>
      <c r="J93" s="272"/>
      <c r="K93" s="269"/>
      <c r="L93" s="269"/>
      <c r="M93" s="269"/>
      <c r="N93" s="269"/>
      <c r="O93" s="269"/>
      <c r="P93" s="269"/>
      <c r="Q93" s="269"/>
      <c r="R93" s="269"/>
      <c r="S93" s="269"/>
    </row>
    <row r="94" spans="2:19">
      <c r="C94" s="373"/>
      <c r="D94" s="374"/>
      <c r="E94" s="374"/>
      <c r="F94" s="374"/>
      <c r="G94" s="375"/>
      <c r="H94" s="375"/>
      <c r="I94" s="376"/>
      <c r="J94" s="376"/>
      <c r="K94" s="376"/>
      <c r="L94" s="376"/>
      <c r="M94" s="376"/>
      <c r="N94" s="376"/>
      <c r="O94" s="272"/>
      <c r="P94" s="272"/>
      <c r="Q94" s="269"/>
      <c r="R94" s="269"/>
      <c r="S94" s="269"/>
    </row>
    <row r="95" spans="2:19">
      <c r="C95" s="373"/>
      <c r="D95" s="374"/>
      <c r="E95" s="374"/>
      <c r="F95" s="374"/>
      <c r="G95" s="375"/>
      <c r="H95" s="375"/>
      <c r="I95" s="376"/>
      <c r="J95" s="376"/>
      <c r="K95" s="376"/>
      <c r="L95" s="376"/>
      <c r="M95" s="376"/>
      <c r="N95" s="376"/>
      <c r="O95" s="272"/>
      <c r="P95" s="272"/>
      <c r="Q95" s="269"/>
      <c r="R95" s="269"/>
      <c r="S95" s="269"/>
    </row>
    <row r="96" spans="2:19">
      <c r="J96" s="233"/>
      <c r="P96" s="269"/>
      <c r="Q96" s="269"/>
      <c r="R96" s="269"/>
      <c r="S96" s="269"/>
    </row>
    <row r="97" spans="3:19">
      <c r="J97" s="233"/>
      <c r="P97" s="269"/>
      <c r="Q97" s="269"/>
      <c r="R97" s="377" t="s">
        <v>112</v>
      </c>
      <c r="S97" s="183" t="s">
        <v>113</v>
      </c>
    </row>
    <row r="98" spans="3:19">
      <c r="J98" s="233"/>
      <c r="P98" s="269"/>
      <c r="Q98" s="269"/>
    </row>
    <row r="99" spans="3:19">
      <c r="C99" s="267" t="s">
        <v>109</v>
      </c>
      <c r="J99" s="233"/>
      <c r="L99" s="267" t="s">
        <v>108</v>
      </c>
      <c r="P99" s="269"/>
      <c r="Q99" s="269"/>
    </row>
    <row r="100" spans="3:19">
      <c r="J100" s="233"/>
      <c r="P100" s="269"/>
      <c r="Q100" s="269"/>
      <c r="S100" s="262" t="s">
        <v>106</v>
      </c>
    </row>
    <row r="101" spans="3:19">
      <c r="J101" s="233"/>
      <c r="P101" s="269"/>
      <c r="Q101" s="269"/>
      <c r="R101" s="377" t="s">
        <v>103</v>
      </c>
      <c r="S101" s="236" t="s">
        <v>107</v>
      </c>
    </row>
    <row r="102" spans="3:19" ht="13.5" thickBot="1">
      <c r="J102" s="233"/>
      <c r="P102" s="269"/>
      <c r="Q102" s="269"/>
      <c r="R102" s="378" t="s">
        <v>137</v>
      </c>
    </row>
    <row r="103" spans="3:19">
      <c r="J103" s="233"/>
      <c r="P103" s="269"/>
      <c r="Q103" s="269"/>
      <c r="R103" s="379" t="s">
        <v>394</v>
      </c>
      <c r="S103" s="380" t="s">
        <v>127</v>
      </c>
    </row>
    <row r="104" spans="3:19">
      <c r="J104" s="233"/>
      <c r="P104" s="269"/>
      <c r="Q104" s="269"/>
      <c r="R104" s="381">
        <v>2024</v>
      </c>
      <c r="S104" s="382" t="s">
        <v>509</v>
      </c>
    </row>
    <row r="105" spans="3:19">
      <c r="J105" s="233"/>
      <c r="P105" s="269"/>
      <c r="Q105" s="269"/>
      <c r="R105" s="383">
        <v>0.105</v>
      </c>
      <c r="S105" s="382" t="s">
        <v>510</v>
      </c>
    </row>
    <row r="106" spans="3:19">
      <c r="J106" s="233"/>
      <c r="P106" s="269"/>
      <c r="Q106" s="269"/>
      <c r="R106" s="384">
        <v>0</v>
      </c>
      <c r="S106" s="382" t="s">
        <v>1</v>
      </c>
    </row>
    <row r="107" spans="3:19">
      <c r="J107" s="233"/>
      <c r="P107" s="269"/>
      <c r="Q107" s="269"/>
      <c r="R107" s="383">
        <v>0.49562326074845731</v>
      </c>
      <c r="S107" s="385" t="s">
        <v>98</v>
      </c>
    </row>
    <row r="108" spans="3:19">
      <c r="J108" s="233"/>
      <c r="P108" s="269"/>
      <c r="Q108" s="269"/>
      <c r="R108" s="386">
        <v>4.253997333266353E-2</v>
      </c>
      <c r="S108" s="385" t="s">
        <v>99</v>
      </c>
    </row>
    <row r="109" spans="3:19">
      <c r="J109" s="233"/>
      <c r="P109" s="269"/>
      <c r="Q109" s="269"/>
      <c r="R109" s="383">
        <v>0</v>
      </c>
      <c r="S109" s="385" t="s">
        <v>100</v>
      </c>
    </row>
    <row r="110" spans="3:19">
      <c r="J110" s="233"/>
      <c r="P110" s="269"/>
      <c r="Q110" s="269"/>
      <c r="R110" s="386">
        <v>0</v>
      </c>
      <c r="S110" s="385" t="s">
        <v>101</v>
      </c>
    </row>
    <row r="111" spans="3:19">
      <c r="J111" s="233"/>
      <c r="P111" s="269"/>
      <c r="Q111" s="269"/>
      <c r="R111" s="383">
        <v>0.50437673925154269</v>
      </c>
      <c r="S111" s="387" t="s">
        <v>102</v>
      </c>
    </row>
    <row r="112" spans="3:19">
      <c r="J112" s="233"/>
      <c r="P112" s="269"/>
      <c r="Q112" s="269"/>
      <c r="R112" s="388">
        <v>1842574536.7079628</v>
      </c>
      <c r="S112" s="389" t="s">
        <v>449</v>
      </c>
    </row>
    <row r="113" spans="3:19">
      <c r="J113" s="233"/>
      <c r="P113" s="269"/>
      <c r="Q113" s="269"/>
      <c r="R113" s="390">
        <v>0.24278499999999992</v>
      </c>
      <c r="S113" s="391" t="s">
        <v>450</v>
      </c>
    </row>
    <row r="114" spans="3:19">
      <c r="J114" s="233"/>
      <c r="P114" s="269"/>
      <c r="Q114" s="269"/>
      <c r="R114" s="392">
        <v>-186082.76315122988</v>
      </c>
      <c r="S114" s="391" t="s">
        <v>451</v>
      </c>
    </row>
    <row r="115" spans="3:19">
      <c r="J115" s="233"/>
      <c r="P115" s="269"/>
      <c r="Q115" s="269"/>
      <c r="R115" s="392">
        <v>-601214.01727575471</v>
      </c>
      <c r="S115" s="391" t="s">
        <v>436</v>
      </c>
    </row>
    <row r="116" spans="3:19">
      <c r="J116" s="233"/>
      <c r="P116" s="269"/>
      <c r="Q116" s="269"/>
      <c r="R116" s="392">
        <v>226004.69760900139</v>
      </c>
      <c r="S116" s="391" t="s">
        <v>511</v>
      </c>
    </row>
    <row r="117" spans="3:19">
      <c r="C117" s="269"/>
      <c r="D117" s="270"/>
      <c r="E117" s="269"/>
      <c r="F117" s="269"/>
      <c r="G117" s="269"/>
      <c r="H117" s="271"/>
      <c r="I117" s="269"/>
      <c r="J117" s="272"/>
      <c r="K117" s="269"/>
      <c r="L117" s="269"/>
      <c r="M117" s="269"/>
      <c r="N117" s="269"/>
      <c r="P117" s="269"/>
      <c r="Q117" s="269"/>
      <c r="R117" s="392">
        <v>303351471.94286269</v>
      </c>
      <c r="S117" s="391" t="s">
        <v>452</v>
      </c>
    </row>
    <row r="118" spans="3:19">
      <c r="C118" s="269"/>
      <c r="D118" s="270"/>
      <c r="E118" s="269"/>
      <c r="F118" s="269"/>
      <c r="G118" s="269"/>
      <c r="H118" s="271"/>
      <c r="I118" s="269"/>
      <c r="J118" s="272"/>
      <c r="K118" s="269"/>
      <c r="L118" s="269"/>
      <c r="M118" s="269"/>
      <c r="N118" s="269"/>
      <c r="P118" s="269"/>
      <c r="Q118" s="269"/>
      <c r="R118" s="392">
        <v>136430405.90966371</v>
      </c>
      <c r="S118" s="391" t="s">
        <v>453</v>
      </c>
    </row>
    <row r="119" spans="3:19">
      <c r="C119" s="269"/>
      <c r="D119" s="270"/>
      <c r="E119" s="269"/>
      <c r="F119" s="269"/>
      <c r="G119" s="269"/>
      <c r="H119" s="271"/>
      <c r="I119" s="269"/>
      <c r="J119" s="272"/>
      <c r="K119" s="269"/>
      <c r="L119" s="269"/>
      <c r="M119" s="269"/>
      <c r="N119" s="269"/>
      <c r="P119" s="269"/>
      <c r="Q119" s="269"/>
      <c r="R119" s="392">
        <v>30726293.93335747</v>
      </c>
      <c r="S119" s="391" t="s">
        <v>454</v>
      </c>
    </row>
    <row r="120" spans="3:19">
      <c r="C120" s="269"/>
      <c r="D120" s="270"/>
      <c r="E120" s="269"/>
      <c r="F120" s="269"/>
      <c r="G120" s="269"/>
      <c r="H120" s="271"/>
      <c r="I120" s="269"/>
      <c r="J120" s="272"/>
      <c r="K120" s="269"/>
      <c r="L120" s="269"/>
      <c r="M120" s="269"/>
      <c r="N120" s="269"/>
      <c r="P120" s="269"/>
      <c r="Q120" s="269"/>
      <c r="R120" s="392">
        <v>136681.70445528976</v>
      </c>
      <c r="S120" s="391" t="s">
        <v>455</v>
      </c>
    </row>
    <row r="121" spans="3:19">
      <c r="C121" s="269"/>
      <c r="D121" s="270"/>
      <c r="E121" s="269"/>
      <c r="F121" s="269"/>
      <c r="G121" s="269"/>
      <c r="H121" s="271"/>
      <c r="I121" s="269"/>
      <c r="J121" s="272"/>
      <c r="K121" s="269"/>
      <c r="L121" s="269"/>
      <c r="M121" s="269"/>
      <c r="N121" s="269"/>
      <c r="P121" s="269"/>
      <c r="Q121" s="269"/>
      <c r="R121" s="392">
        <v>61993630.053569101</v>
      </c>
      <c r="S121" s="391" t="s">
        <v>456</v>
      </c>
    </row>
    <row r="122" spans="3:19">
      <c r="C122" s="269"/>
      <c r="D122" s="270"/>
      <c r="E122" s="269"/>
      <c r="F122" s="269"/>
      <c r="G122" s="269"/>
      <c r="H122" s="271"/>
      <c r="I122" s="269"/>
      <c r="J122" s="272"/>
      <c r="K122" s="269"/>
      <c r="L122" s="269"/>
      <c r="M122" s="269"/>
      <c r="N122" s="269"/>
      <c r="P122" s="269"/>
      <c r="Q122" s="269"/>
      <c r="R122" s="390">
        <v>0.44180361742045854</v>
      </c>
      <c r="S122" s="391" t="s">
        <v>105</v>
      </c>
    </row>
    <row r="123" spans="3:19">
      <c r="C123" s="269"/>
      <c r="D123" s="270"/>
      <c r="E123" s="269"/>
      <c r="F123" s="269"/>
      <c r="G123" s="269"/>
      <c r="H123" s="271"/>
      <c r="I123" s="269"/>
      <c r="J123" s="272"/>
      <c r="K123" s="269"/>
      <c r="L123" s="269"/>
      <c r="M123" s="269"/>
      <c r="N123" s="269"/>
      <c r="P123" s="269"/>
      <c r="Q123" s="269"/>
      <c r="R123" s="392">
        <v>2019272432.5376625</v>
      </c>
      <c r="S123" s="391" t="s">
        <v>438</v>
      </c>
    </row>
    <row r="124" spans="3:19">
      <c r="C124" s="269"/>
      <c r="D124" s="270"/>
      <c r="E124" s="269"/>
      <c r="F124" s="269"/>
      <c r="G124" s="269"/>
      <c r="H124" s="271"/>
      <c r="I124" s="269"/>
      <c r="J124" s="272"/>
      <c r="K124" s="269"/>
      <c r="L124" s="269"/>
      <c r="M124" s="269"/>
      <c r="N124" s="269"/>
      <c r="P124" s="269"/>
      <c r="Q124" s="269"/>
      <c r="R124" s="667">
        <v>0.11952713165403545</v>
      </c>
      <c r="S124" s="393" t="s">
        <v>439</v>
      </c>
    </row>
    <row r="125" spans="3:19">
      <c r="C125" s="269"/>
      <c r="D125" s="270"/>
      <c r="E125" s="269"/>
      <c r="F125" s="269"/>
      <c r="G125" s="269"/>
      <c r="H125" s="271"/>
      <c r="I125" s="269"/>
      <c r="J125" s="272"/>
      <c r="K125" s="269"/>
      <c r="L125" s="269"/>
      <c r="M125" s="269"/>
      <c r="N125" s="269"/>
      <c r="P125" s="269"/>
      <c r="Q125" s="269"/>
      <c r="R125" s="394">
        <v>2656787023</v>
      </c>
      <c r="S125" s="385" t="s">
        <v>38</v>
      </c>
    </row>
    <row r="126" spans="3:19">
      <c r="C126" s="269"/>
      <c r="D126" s="270"/>
      <c r="E126" s="269"/>
      <c r="F126" s="269"/>
      <c r="G126" s="269"/>
      <c r="H126" s="271"/>
      <c r="I126" s="269"/>
      <c r="J126" s="272"/>
      <c r="K126" s="269"/>
      <c r="L126" s="269"/>
      <c r="M126" s="269"/>
      <c r="N126" s="269"/>
      <c r="P126" s="269"/>
      <c r="Q126" s="269"/>
      <c r="R126" s="394">
        <v>2970701634</v>
      </c>
      <c r="S126" s="387" t="s">
        <v>40</v>
      </c>
    </row>
    <row r="127" spans="3:19">
      <c r="C127" s="269"/>
      <c r="D127" s="270"/>
      <c r="E127" s="269"/>
      <c r="F127" s="269"/>
      <c r="G127" s="269"/>
      <c r="H127" s="271"/>
      <c r="I127" s="269"/>
      <c r="J127" s="272"/>
      <c r="K127" s="269"/>
      <c r="L127" s="269"/>
      <c r="M127" s="269"/>
      <c r="N127" s="269"/>
      <c r="P127" s="269"/>
      <c r="Q127" s="269"/>
      <c r="R127" s="394">
        <v>2774115269</v>
      </c>
      <c r="S127" s="395" t="s">
        <v>514</v>
      </c>
    </row>
    <row r="128" spans="3:19" ht="13.5" thickBot="1">
      <c r="C128" s="269"/>
      <c r="D128" s="270"/>
      <c r="E128" s="269"/>
      <c r="F128" s="269"/>
      <c r="G128" s="269"/>
      <c r="H128" s="271"/>
      <c r="I128" s="269"/>
      <c r="J128" s="272"/>
      <c r="K128" s="269"/>
      <c r="L128" s="269"/>
      <c r="M128" s="269"/>
      <c r="N128" s="269"/>
      <c r="P128" s="269"/>
      <c r="Q128" s="269"/>
      <c r="R128" s="396">
        <v>64680383.276527703</v>
      </c>
      <c r="S128" s="397" t="s">
        <v>512</v>
      </c>
    </row>
    <row r="129" spans="3:19">
      <c r="C129" s="269"/>
      <c r="D129" s="270"/>
      <c r="E129" s="269"/>
      <c r="F129" s="269"/>
      <c r="G129" s="269"/>
      <c r="H129" s="271"/>
      <c r="I129" s="269"/>
      <c r="J129" s="272"/>
      <c r="K129" s="269"/>
      <c r="L129" s="269"/>
      <c r="M129" s="269"/>
      <c r="N129" s="269"/>
      <c r="P129" s="269"/>
      <c r="Q129" s="269"/>
      <c r="R129" s="269"/>
      <c r="S129" s="269"/>
    </row>
    <row r="130" spans="3:19">
      <c r="C130" s="269"/>
      <c r="D130" s="270"/>
      <c r="E130" s="269"/>
      <c r="F130" s="269"/>
      <c r="G130" s="269"/>
      <c r="H130" s="271"/>
      <c r="I130" s="269"/>
      <c r="J130" s="272"/>
      <c r="K130" s="269"/>
      <c r="L130" s="269"/>
      <c r="M130" s="269"/>
      <c r="N130" s="269"/>
      <c r="P130" s="269"/>
      <c r="Q130" s="269"/>
      <c r="R130" s="377" t="s">
        <v>104</v>
      </c>
      <c r="S130" s="269" t="s">
        <v>116</v>
      </c>
    </row>
    <row r="131" spans="3:19" ht="13.5" thickBot="1">
      <c r="C131" s="340"/>
      <c r="D131" s="349"/>
      <c r="E131" s="340"/>
      <c r="F131" s="340"/>
      <c r="G131" s="340"/>
      <c r="H131" s="351"/>
      <c r="I131" s="269"/>
      <c r="J131" s="272"/>
      <c r="K131" s="269"/>
      <c r="L131" s="269"/>
      <c r="M131" s="269"/>
      <c r="N131" s="269"/>
      <c r="P131" s="269"/>
      <c r="Q131" s="269"/>
      <c r="R131" s="378" t="s">
        <v>136</v>
      </c>
      <c r="S131" s="269"/>
    </row>
    <row r="132" spans="3:19">
      <c r="C132" s="340"/>
      <c r="D132" s="349"/>
      <c r="E132" s="340"/>
      <c r="F132" s="340"/>
      <c r="G132" s="340"/>
      <c r="H132" s="351"/>
      <c r="I132" s="269"/>
      <c r="J132" s="272"/>
      <c r="K132" s="269"/>
      <c r="L132" s="269"/>
      <c r="M132" s="269"/>
      <c r="N132" s="269"/>
      <c r="P132" s="269"/>
      <c r="Q132" s="269"/>
      <c r="R132" s="398">
        <f>+M19</f>
        <v>80862461.290840074</v>
      </c>
      <c r="S132" s="269" t="str">
        <f>+K19&amp;" "&amp;M17</f>
        <v>PROJECTED YEAR Rev Require</v>
      </c>
    </row>
    <row r="133" spans="3:19">
      <c r="C133" s="340"/>
      <c r="D133" s="349"/>
      <c r="E133" s="340"/>
      <c r="F133" s="340"/>
      <c r="G133" s="340"/>
      <c r="H133" s="351"/>
      <c r="I133" s="269"/>
      <c r="J133" s="272"/>
      <c r="K133" s="269"/>
      <c r="L133" s="269"/>
      <c r="M133" s="269"/>
      <c r="N133" s="269"/>
      <c r="O133" s="269"/>
      <c r="P133" s="269"/>
      <c r="Q133" s="269"/>
      <c r="R133" s="399">
        <f>+N19</f>
        <v>80862461.290840074</v>
      </c>
      <c r="S133" s="269" t="str">
        <f>K19&amp;" "&amp;N17</f>
        <v>PROJECTED YEAR  W Incentives</v>
      </c>
    </row>
    <row r="134" spans="3:19" ht="13.5" thickBot="1">
      <c r="C134" s="340"/>
      <c r="D134" s="349"/>
      <c r="E134" s="340"/>
      <c r="F134" s="340"/>
      <c r="G134" s="340"/>
      <c r="H134" s="351"/>
      <c r="I134" s="269"/>
      <c r="J134" s="272"/>
      <c r="K134" s="269"/>
      <c r="L134" s="269"/>
      <c r="M134" s="269"/>
      <c r="N134" s="269"/>
      <c r="O134" s="269"/>
      <c r="P134" s="269"/>
      <c r="Q134" s="269"/>
      <c r="R134" s="400">
        <f>+O19</f>
        <v>0</v>
      </c>
      <c r="S134" s="269" t="str">
        <f>K19&amp;" "&amp;O17</f>
        <v>PROJECTED YEAR Incentive Amounts</v>
      </c>
    </row>
    <row r="135" spans="3:19">
      <c r="C135" s="340"/>
      <c r="D135" s="349"/>
      <c r="E135" s="340"/>
      <c r="F135" s="340"/>
      <c r="G135" s="340"/>
      <c r="H135" s="351"/>
      <c r="I135" s="269"/>
      <c r="J135" s="272"/>
      <c r="K135" s="269"/>
      <c r="L135" s="269"/>
      <c r="M135" s="269"/>
      <c r="N135" s="269"/>
      <c r="O135" s="269"/>
      <c r="P135" s="269"/>
      <c r="Q135" s="269"/>
      <c r="R135" s="269"/>
      <c r="S135" s="269"/>
    </row>
    <row r="136" spans="3:19" ht="12.75" customHeight="1">
      <c r="R136" s="269"/>
      <c r="S136" s="269"/>
    </row>
    <row r="137" spans="3:19" ht="12.75" customHeight="1">
      <c r="R137" s="377" t="s">
        <v>114</v>
      </c>
      <c r="S137" s="262" t="s">
        <v>115</v>
      </c>
    </row>
  </sheetData>
  <mergeCells count="8">
    <mergeCell ref="K15:O16"/>
    <mergeCell ref="C8:H8"/>
    <mergeCell ref="C82:E83"/>
    <mergeCell ref="A1:J1"/>
    <mergeCell ref="A2:J2"/>
    <mergeCell ref="A3:J3"/>
    <mergeCell ref="A5:J5"/>
    <mergeCell ref="A4:J4"/>
  </mergeCells>
  <phoneticPr fontId="0" type="noConversion"/>
  <printOptions horizontalCentered="1"/>
  <pageMargins left="0.25" right="0.25" top="0.75" bottom="0.25" header="0.25" footer="0.5"/>
  <pageSetup scale="41" fitToHeight="2" orientation="landscape" horizontalDpi="1200" verticalDpi="1200" r:id="rId1"/>
  <headerFooter alignWithMargins="0">
    <oddHeader xml:space="preserve">&amp;R&amp;16AEP - SPP Formula Rate
SWEPCO TCOS - WS F
Page: &amp;P of &amp;N
</oddHeader>
    <oddFooter>&amp;L&amp;A</oddFooter>
  </headerFooter>
  <drawing r:id="rId2"/>
  <legacyDrawing r:id="rId3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66"/>
  <dimension ref="A1:Q162"/>
  <sheetViews>
    <sheetView topLeftCell="A95" zoomScaleNormal="100" zoomScaleSheetLayoutView="75" workbookViewId="0">
      <selection activeCell="D99" sqref="D99:I113"/>
    </sheetView>
  </sheetViews>
  <sheetFormatPr defaultColWidth="8.7109375" defaultRowHeight="12.75" customHeight="1"/>
  <cols>
    <col min="1" max="1" width="4.7109375" style="183" customWidth="1"/>
    <col min="2" max="2" width="6.7109375" style="183" customWidth="1"/>
    <col min="3" max="3" width="23.28515625" style="183" customWidth="1"/>
    <col min="4" max="8" width="17.7109375" style="183" customWidth="1"/>
    <col min="9" max="9" width="20.42578125" style="183" customWidth="1"/>
    <col min="10" max="10" width="16.42578125" style="183" customWidth="1"/>
    <col min="11" max="11" width="17.7109375" style="183" customWidth="1"/>
    <col min="12" max="12" width="16.140625" style="183" customWidth="1"/>
    <col min="13" max="13" width="17.7109375" style="183" customWidth="1"/>
    <col min="14" max="14" width="16.140625" style="183" customWidth="1"/>
    <col min="15" max="15" width="16.85546875" style="183" customWidth="1"/>
    <col min="16" max="16" width="24.42578125" style="183" customWidth="1"/>
    <col min="17" max="17" width="4.7109375" style="183" customWidth="1"/>
    <col min="18" max="22" width="8.7109375" style="183"/>
    <col min="23" max="23" width="9.140625" style="183" customWidth="1"/>
    <col min="24" max="16384" width="8.7109375" style="183"/>
  </cols>
  <sheetData>
    <row r="1" spans="1:17" ht="20.25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17 of 75</v>
      </c>
      <c r="Q1" s="453"/>
    </row>
    <row r="2" spans="1:17" ht="18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454" t="s">
        <v>129</v>
      </c>
    </row>
    <row r="3" spans="1:17" ht="18.75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 t="str">
        <f>RIGHT(N3,3)</f>
        <v/>
      </c>
      <c r="P3" s="455">
        <v>1</v>
      </c>
    </row>
    <row r="4" spans="1:17" ht="15.75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7" ht="1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189740.54209168235</v>
      </c>
      <c r="P5" s="269"/>
    </row>
    <row r="6" spans="1:17" ht="15.7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189740.54209168235</v>
      </c>
      <c r="O6" s="269"/>
      <c r="P6" s="269"/>
    </row>
    <row r="7" spans="1:17" ht="13.5" thickBot="1">
      <c r="C7" s="467" t="s">
        <v>48</v>
      </c>
      <c r="D7" s="468" t="s">
        <v>238</v>
      </c>
      <c r="E7" s="269"/>
      <c r="F7" s="269"/>
      <c r="G7" s="269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7" ht="13.5" thickBot="1">
      <c r="C8" s="472"/>
      <c r="D8" s="599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7" ht="13.5" thickBot="1">
      <c r="A9" s="191"/>
      <c r="C9" s="476" t="s">
        <v>50</v>
      </c>
      <c r="D9" s="477" t="s">
        <v>163</v>
      </c>
      <c r="E9" s="666" t="s">
        <v>485</v>
      </c>
      <c r="F9" s="478"/>
      <c r="G9" s="478"/>
      <c r="H9" s="478"/>
      <c r="I9" s="479"/>
      <c r="J9" s="480"/>
      <c r="O9" s="481"/>
      <c r="P9" s="272"/>
    </row>
    <row r="10" spans="1:17">
      <c r="C10" s="482" t="s">
        <v>51</v>
      </c>
      <c r="D10" s="483">
        <v>1949836.51</v>
      </c>
      <c r="E10" s="353" t="s">
        <v>52</v>
      </c>
      <c r="F10" s="481"/>
      <c r="G10" s="484"/>
      <c r="H10" s="484"/>
      <c r="I10" s="485">
        <f>+'SWE.WS.F.BPU.ATRR.Projected'!L19</f>
        <v>2024</v>
      </c>
      <c r="J10" s="480"/>
      <c r="K10" s="375" t="s">
        <v>53</v>
      </c>
      <c r="O10" s="272"/>
      <c r="P10" s="272"/>
    </row>
    <row r="11" spans="1:17">
      <c r="C11" s="486" t="s">
        <v>54</v>
      </c>
      <c r="D11" s="487">
        <v>2008</v>
      </c>
      <c r="E11" s="486" t="s">
        <v>55</v>
      </c>
      <c r="F11" s="484"/>
      <c r="G11" s="233"/>
      <c r="H11" s="233"/>
      <c r="I11" s="488"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7">
      <c r="C12" s="486" t="s">
        <v>56</v>
      </c>
      <c r="D12" s="483">
        <v>6</v>
      </c>
      <c r="E12" s="486" t="s">
        <v>57</v>
      </c>
      <c r="F12" s="484"/>
      <c r="G12" s="233"/>
      <c r="H12" s="233"/>
      <c r="I12" s="490">
        <f>'SWE.WS.F.BPU.ATRR.Projected'!$F$81</f>
        <v>0.11952713165403545</v>
      </c>
      <c r="J12" s="425"/>
      <c r="K12" s="183" t="s">
        <v>58</v>
      </c>
      <c r="O12" s="272"/>
      <c r="P12" s="272"/>
    </row>
    <row r="13" spans="1:17">
      <c r="C13" s="486" t="s">
        <v>59</v>
      </c>
      <c r="D13" s="488">
        <f>+'SWE.WS.F.BPU.ATRR.Projected'!F$93</f>
        <v>44</v>
      </c>
      <c r="E13" s="486" t="s">
        <v>60</v>
      </c>
      <c r="F13" s="484"/>
      <c r="G13" s="233"/>
      <c r="H13" s="233"/>
      <c r="I13" s="490">
        <f>IF(G5="",I12,'SWE.WS.F.BPU.ATRR.Projected'!$F$80)</f>
        <v>0.11952713165403545</v>
      </c>
      <c r="J13" s="425"/>
      <c r="K13" s="375" t="s">
        <v>61</v>
      </c>
      <c r="L13" s="324"/>
      <c r="M13" s="324"/>
      <c r="N13" s="324"/>
      <c r="O13" s="272"/>
      <c r="P13" s="272"/>
    </row>
    <row r="14" spans="1:17" ht="13.5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44314.466136363633</v>
      </c>
      <c r="J14" s="375"/>
      <c r="K14" s="375"/>
      <c r="L14" s="375"/>
      <c r="M14" s="375"/>
      <c r="N14" s="375"/>
      <c r="O14" s="272"/>
      <c r="P14" s="272"/>
    </row>
    <row r="15" spans="1:17" ht="38.25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388</v>
      </c>
      <c r="H15" s="495" t="s">
        <v>389</v>
      </c>
      <c r="I15" s="496" t="s">
        <v>260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7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>
      <c r="C17" s="507">
        <f>IF(D11= "","-",D11)</f>
        <v>2008</v>
      </c>
      <c r="D17" s="508">
        <v>1300389</v>
      </c>
      <c r="E17" s="509">
        <v>17573</v>
      </c>
      <c r="F17" s="508">
        <v>1282816</v>
      </c>
      <c r="G17" s="509">
        <v>132261</v>
      </c>
      <c r="H17" s="510">
        <v>132261</v>
      </c>
      <c r="I17" s="511">
        <f t="shared" ref="I17:I48" si="0">H17-G17</f>
        <v>0</v>
      </c>
      <c r="J17" s="511"/>
      <c r="K17" s="512">
        <v>0</v>
      </c>
      <c r="L17" s="597">
        <f t="shared" ref="L17:L48" si="1">IF(K17&lt;&gt;0,+G17-K17,0)</f>
        <v>0</v>
      </c>
      <c r="M17" s="512">
        <v>0</v>
      </c>
      <c r="N17" s="513">
        <f t="shared" ref="N17:N48" si="2">IF(M17&lt;&gt;0,+H17-M17,0)</f>
        <v>0</v>
      </c>
      <c r="O17" s="514">
        <f t="shared" ref="O17:O48" si="3">+N17-L17</f>
        <v>0</v>
      </c>
      <c r="P17" s="272"/>
    </row>
    <row r="18" spans="2:16">
      <c r="B18" s="195" t="str">
        <f>IF(D18=F17,"","IU")</f>
        <v/>
      </c>
      <c r="C18" s="507">
        <f>IF(D11="","-",+C17+1)</f>
        <v>2009</v>
      </c>
      <c r="D18" s="515">
        <v>1282816</v>
      </c>
      <c r="E18" s="516">
        <v>35146</v>
      </c>
      <c r="F18" s="515">
        <v>1247671</v>
      </c>
      <c r="G18" s="516">
        <v>226367</v>
      </c>
      <c r="H18" s="510">
        <v>226367</v>
      </c>
      <c r="I18" s="511">
        <f t="shared" si="0"/>
        <v>0</v>
      </c>
      <c r="J18" s="511"/>
      <c r="K18" s="518">
        <v>226367</v>
      </c>
      <c r="L18" s="514">
        <f t="shared" si="1"/>
        <v>0</v>
      </c>
      <c r="M18" s="518">
        <v>226367</v>
      </c>
      <c r="N18" s="514">
        <f t="shared" si="2"/>
        <v>0</v>
      </c>
      <c r="O18" s="514">
        <f t="shared" si="3"/>
        <v>0</v>
      </c>
      <c r="P18" s="272"/>
    </row>
    <row r="19" spans="2:16">
      <c r="B19" s="195" t="str">
        <f>IF(D19=F18,"","IU")</f>
        <v>IU</v>
      </c>
      <c r="C19" s="507">
        <f>IF(D11="","-",+C18+1)</f>
        <v>2010</v>
      </c>
      <c r="D19" s="515">
        <v>1897117.51</v>
      </c>
      <c r="E19" s="516">
        <v>51311.487105263157</v>
      </c>
      <c r="F19" s="515">
        <v>1845806.0228947368</v>
      </c>
      <c r="G19" s="516">
        <v>316673.78856446606</v>
      </c>
      <c r="H19" s="510">
        <v>316673.78856446606</v>
      </c>
      <c r="I19" s="517">
        <v>0</v>
      </c>
      <c r="J19" s="511"/>
      <c r="K19" s="518">
        <f t="shared" ref="K19:K24" si="4">G19</f>
        <v>316673.78856446606</v>
      </c>
      <c r="L19" s="519">
        <f t="shared" si="1"/>
        <v>0</v>
      </c>
      <c r="M19" s="518">
        <f t="shared" ref="M19:M24" si="5">H19</f>
        <v>316673.78856446606</v>
      </c>
      <c r="N19" s="514">
        <f t="shared" si="2"/>
        <v>0</v>
      </c>
      <c r="O19" s="514">
        <f t="shared" si="3"/>
        <v>0</v>
      </c>
      <c r="P19" s="272"/>
    </row>
    <row r="20" spans="2:16">
      <c r="B20" s="195" t="str">
        <f t="shared" ref="B20:B72" si="6">IF(D20=F19,"","IU")</f>
        <v/>
      </c>
      <c r="C20" s="507">
        <f>IF(D11="","-",+C19+1)</f>
        <v>2011</v>
      </c>
      <c r="D20" s="515">
        <v>1845806.0228947368</v>
      </c>
      <c r="E20" s="516">
        <v>47556.988048780491</v>
      </c>
      <c r="F20" s="515">
        <v>1798249.0348459564</v>
      </c>
      <c r="G20" s="516">
        <v>328429.43288363499</v>
      </c>
      <c r="H20" s="510">
        <v>328429.43288363499</v>
      </c>
      <c r="I20" s="517">
        <v>0</v>
      </c>
      <c r="J20" s="511"/>
      <c r="K20" s="518">
        <f t="shared" si="4"/>
        <v>328429.43288363499</v>
      </c>
      <c r="L20" s="519">
        <f t="shared" si="1"/>
        <v>0</v>
      </c>
      <c r="M20" s="518">
        <f t="shared" si="5"/>
        <v>328429.43288363499</v>
      </c>
      <c r="N20" s="514">
        <f t="shared" si="2"/>
        <v>0</v>
      </c>
      <c r="O20" s="514">
        <f t="shared" si="3"/>
        <v>0</v>
      </c>
      <c r="P20" s="272"/>
    </row>
    <row r="21" spans="2:16">
      <c r="B21" s="195" t="str">
        <f t="shared" si="6"/>
        <v/>
      </c>
      <c r="C21" s="507">
        <f>IF(D12="","-",+C20+1)</f>
        <v>2012</v>
      </c>
      <c r="D21" s="515">
        <v>1798249.0348459564</v>
      </c>
      <c r="E21" s="520">
        <v>46424.678809523808</v>
      </c>
      <c r="F21" s="515">
        <v>1751824.3560364326</v>
      </c>
      <c r="G21" s="516">
        <v>306956.24241271312</v>
      </c>
      <c r="H21" s="510">
        <v>306956.24241271312</v>
      </c>
      <c r="I21" s="517">
        <v>0</v>
      </c>
      <c r="J21" s="511"/>
      <c r="K21" s="518">
        <f t="shared" si="4"/>
        <v>306956.24241271312</v>
      </c>
      <c r="L21" s="519">
        <f t="shared" si="1"/>
        <v>0</v>
      </c>
      <c r="M21" s="518">
        <f t="shared" si="5"/>
        <v>306956.24241271312</v>
      </c>
      <c r="N21" s="514">
        <f t="shared" si="2"/>
        <v>0</v>
      </c>
      <c r="O21" s="514">
        <f t="shared" si="3"/>
        <v>0</v>
      </c>
      <c r="P21" s="272"/>
    </row>
    <row r="22" spans="2:16">
      <c r="B22" s="195" t="str">
        <f t="shared" si="6"/>
        <v/>
      </c>
      <c r="C22" s="507">
        <f>IF(D11="","-",+C21+1)</f>
        <v>2013</v>
      </c>
      <c r="D22" s="608">
        <v>1751824.3560364326</v>
      </c>
      <c r="E22" s="609">
        <v>46424.678809523808</v>
      </c>
      <c r="F22" s="608">
        <v>1705399.6772269087</v>
      </c>
      <c r="G22" s="609">
        <v>285158.60339753365</v>
      </c>
      <c r="H22" s="610">
        <v>285158.60339753365</v>
      </c>
      <c r="I22" s="596">
        <v>0</v>
      </c>
      <c r="J22" s="511"/>
      <c r="K22" s="518">
        <f t="shared" si="4"/>
        <v>285158.60339753365</v>
      </c>
      <c r="L22" s="519">
        <f t="shared" ref="L22:L27" si="7">IF(K22&lt;&gt;0,+G22-K22,0)</f>
        <v>0</v>
      </c>
      <c r="M22" s="518">
        <f t="shared" si="5"/>
        <v>285158.60339753365</v>
      </c>
      <c r="N22" s="514">
        <f t="shared" ref="N22:N27" si="8">IF(M22&lt;&gt;0,+H22-M22,0)</f>
        <v>0</v>
      </c>
      <c r="O22" s="514">
        <f t="shared" ref="O22:O27" si="9">+N22-L22</f>
        <v>0</v>
      </c>
      <c r="P22" s="272"/>
    </row>
    <row r="23" spans="2:16">
      <c r="B23" s="195" t="str">
        <f t="shared" si="6"/>
        <v/>
      </c>
      <c r="C23" s="507">
        <f>IF(D11="","-",+C22+1)</f>
        <v>2014</v>
      </c>
      <c r="D23" s="608">
        <v>1705399.6772269087</v>
      </c>
      <c r="E23" s="609">
        <v>46424.678809523808</v>
      </c>
      <c r="F23" s="608">
        <v>1658974.9984173849</v>
      </c>
      <c r="G23" s="609">
        <v>270237.83902004722</v>
      </c>
      <c r="H23" s="610">
        <v>270237.83902004722</v>
      </c>
      <c r="I23" s="596">
        <v>0</v>
      </c>
      <c r="J23" s="511"/>
      <c r="K23" s="518">
        <f t="shared" si="4"/>
        <v>270237.83902004722</v>
      </c>
      <c r="L23" s="519">
        <f t="shared" si="7"/>
        <v>0</v>
      </c>
      <c r="M23" s="518">
        <f t="shared" si="5"/>
        <v>270237.83902004722</v>
      </c>
      <c r="N23" s="514">
        <f t="shared" si="8"/>
        <v>0</v>
      </c>
      <c r="O23" s="514">
        <f t="shared" si="9"/>
        <v>0</v>
      </c>
      <c r="P23" s="272"/>
    </row>
    <row r="24" spans="2:16">
      <c r="B24" s="195" t="str">
        <f t="shared" si="6"/>
        <v/>
      </c>
      <c r="C24" s="507">
        <f>IF(D11="","-",+C23+1)</f>
        <v>2015</v>
      </c>
      <c r="D24" s="608">
        <v>1658974.9984173849</v>
      </c>
      <c r="E24" s="609">
        <v>46424.678809523808</v>
      </c>
      <c r="F24" s="608">
        <v>1612550.3196078611</v>
      </c>
      <c r="G24" s="609">
        <v>258805.29771582928</v>
      </c>
      <c r="H24" s="610">
        <v>258805.29771582928</v>
      </c>
      <c r="I24" s="511">
        <v>0</v>
      </c>
      <c r="J24" s="511"/>
      <c r="K24" s="518">
        <f t="shared" si="4"/>
        <v>258805.29771582928</v>
      </c>
      <c r="L24" s="519">
        <f t="shared" si="7"/>
        <v>0</v>
      </c>
      <c r="M24" s="518">
        <f t="shared" si="5"/>
        <v>258805.29771582928</v>
      </c>
      <c r="N24" s="514">
        <f t="shared" si="8"/>
        <v>0</v>
      </c>
      <c r="O24" s="514">
        <f t="shared" si="9"/>
        <v>0</v>
      </c>
      <c r="P24" s="272"/>
    </row>
    <row r="25" spans="2:16">
      <c r="B25" s="195" t="str">
        <f t="shared" si="6"/>
        <v/>
      </c>
      <c r="C25" s="507">
        <f>IF(D11="","-",+C24+1)</f>
        <v>2016</v>
      </c>
      <c r="D25" s="608">
        <v>1612550.3196078611</v>
      </c>
      <c r="E25" s="609">
        <v>46424.678809523808</v>
      </c>
      <c r="F25" s="608">
        <v>1566125.6407983373</v>
      </c>
      <c r="G25" s="609">
        <v>250146.26304105911</v>
      </c>
      <c r="H25" s="610">
        <v>250146.26304105911</v>
      </c>
      <c r="I25" s="511">
        <f t="shared" si="0"/>
        <v>0</v>
      </c>
      <c r="J25" s="511"/>
      <c r="K25" s="518">
        <f t="shared" ref="K25:K30" si="10">G25</f>
        <v>250146.26304105911</v>
      </c>
      <c r="L25" s="519">
        <f t="shared" si="7"/>
        <v>0</v>
      </c>
      <c r="M25" s="518">
        <f t="shared" ref="M25:M30" si="11">H25</f>
        <v>250146.26304105911</v>
      </c>
      <c r="N25" s="514">
        <f t="shared" si="8"/>
        <v>0</v>
      </c>
      <c r="O25" s="514">
        <f t="shared" si="9"/>
        <v>0</v>
      </c>
      <c r="P25" s="272"/>
    </row>
    <row r="26" spans="2:16">
      <c r="B26" s="195" t="str">
        <f t="shared" si="6"/>
        <v/>
      </c>
      <c r="C26" s="507">
        <f>IF(D11="","-",+C25+1)</f>
        <v>2017</v>
      </c>
      <c r="D26" s="608">
        <v>1566125.6407983373</v>
      </c>
      <c r="E26" s="609">
        <v>45345.035116279068</v>
      </c>
      <c r="F26" s="608">
        <v>1520780.6056820583</v>
      </c>
      <c r="G26" s="609">
        <v>236567.35307267582</v>
      </c>
      <c r="H26" s="610">
        <v>236567.35307267582</v>
      </c>
      <c r="I26" s="511">
        <f t="shared" si="0"/>
        <v>0</v>
      </c>
      <c r="J26" s="511"/>
      <c r="K26" s="518">
        <f t="shared" si="10"/>
        <v>236567.35307267582</v>
      </c>
      <c r="L26" s="519">
        <f t="shared" si="7"/>
        <v>0</v>
      </c>
      <c r="M26" s="518">
        <f t="shared" si="11"/>
        <v>236567.35307267582</v>
      </c>
      <c r="N26" s="514">
        <f t="shared" si="8"/>
        <v>0</v>
      </c>
      <c r="O26" s="514">
        <f t="shared" si="9"/>
        <v>0</v>
      </c>
      <c r="P26" s="272"/>
    </row>
    <row r="27" spans="2:16">
      <c r="B27" s="195" t="str">
        <f t="shared" si="6"/>
        <v/>
      </c>
      <c r="C27" s="507">
        <f>IF(D11="","-",+C26+1)</f>
        <v>2018</v>
      </c>
      <c r="D27" s="608">
        <v>1520780.6056820583</v>
      </c>
      <c r="E27" s="609">
        <v>47556.988048780491</v>
      </c>
      <c r="F27" s="608">
        <v>1473223.6176332778</v>
      </c>
      <c r="G27" s="609">
        <v>237817.12252361333</v>
      </c>
      <c r="H27" s="610">
        <v>237817.12252361333</v>
      </c>
      <c r="I27" s="511">
        <f t="shared" si="0"/>
        <v>0</v>
      </c>
      <c r="J27" s="511"/>
      <c r="K27" s="518">
        <f t="shared" si="10"/>
        <v>237817.12252361333</v>
      </c>
      <c r="L27" s="519">
        <f t="shared" si="7"/>
        <v>0</v>
      </c>
      <c r="M27" s="518">
        <f t="shared" si="11"/>
        <v>237817.12252361333</v>
      </c>
      <c r="N27" s="514">
        <f t="shared" si="8"/>
        <v>0</v>
      </c>
      <c r="O27" s="514">
        <f t="shared" si="9"/>
        <v>0</v>
      </c>
      <c r="P27" s="272"/>
    </row>
    <row r="28" spans="2:16">
      <c r="B28" s="195" t="str">
        <f t="shared" si="6"/>
        <v/>
      </c>
      <c r="C28" s="507">
        <f>IF(D11="","-",+C27+1)</f>
        <v>2019</v>
      </c>
      <c r="D28" s="608">
        <v>1473223.6176332778</v>
      </c>
      <c r="E28" s="609">
        <v>47556.988048780491</v>
      </c>
      <c r="F28" s="608">
        <v>1425666.6295844973</v>
      </c>
      <c r="G28" s="609">
        <v>231772.90997981158</v>
      </c>
      <c r="H28" s="610">
        <v>231772.90997981158</v>
      </c>
      <c r="I28" s="511">
        <f t="shared" si="0"/>
        <v>0</v>
      </c>
      <c r="J28" s="511"/>
      <c r="K28" s="518">
        <f t="shared" si="10"/>
        <v>231772.90997981158</v>
      </c>
      <c r="L28" s="519">
        <f t="shared" ref="L28" si="12">IF(K28&lt;&gt;0,+G28-K28,0)</f>
        <v>0</v>
      </c>
      <c r="M28" s="518">
        <f t="shared" si="11"/>
        <v>231772.90997981158</v>
      </c>
      <c r="N28" s="514">
        <f t="shared" si="2"/>
        <v>0</v>
      </c>
      <c r="O28" s="514">
        <f t="shared" si="3"/>
        <v>0</v>
      </c>
      <c r="P28" s="272"/>
    </row>
    <row r="29" spans="2:16">
      <c r="B29" s="195" t="str">
        <f t="shared" si="6"/>
        <v/>
      </c>
      <c r="C29" s="507">
        <f>IF(D11="","-",+C28+1)</f>
        <v>2020</v>
      </c>
      <c r="D29" s="608">
        <v>1425666.6295844973</v>
      </c>
      <c r="E29" s="609">
        <v>47556.988048780491</v>
      </c>
      <c r="F29" s="608">
        <v>1378109.6415357168</v>
      </c>
      <c r="G29" s="609">
        <v>191019.8486624895</v>
      </c>
      <c r="H29" s="610">
        <v>191019.8486624895</v>
      </c>
      <c r="I29" s="511">
        <f t="shared" si="0"/>
        <v>0</v>
      </c>
      <c r="J29" s="511"/>
      <c r="K29" s="518">
        <f t="shared" si="10"/>
        <v>191019.8486624895</v>
      </c>
      <c r="L29" s="519">
        <f t="shared" ref="L29" si="13">IF(K29&lt;&gt;0,+G29-K29,0)</f>
        <v>0</v>
      </c>
      <c r="M29" s="518">
        <f t="shared" si="11"/>
        <v>191019.8486624895</v>
      </c>
      <c r="N29" s="514">
        <f t="shared" si="2"/>
        <v>0</v>
      </c>
      <c r="O29" s="514">
        <f t="shared" si="3"/>
        <v>0</v>
      </c>
      <c r="P29" s="272"/>
    </row>
    <row r="30" spans="2:16">
      <c r="B30" s="195" t="str">
        <f t="shared" si="6"/>
        <v>IU</v>
      </c>
      <c r="C30" s="507">
        <f>IF(D11="","-",+C29+1)</f>
        <v>2021</v>
      </c>
      <c r="D30" s="608">
        <v>1380321.5944682183</v>
      </c>
      <c r="E30" s="609">
        <v>46424.678809523808</v>
      </c>
      <c r="F30" s="608">
        <v>1333896.9156586945</v>
      </c>
      <c r="G30" s="609">
        <v>190284.42796565729</v>
      </c>
      <c r="H30" s="610">
        <v>190284.42796565729</v>
      </c>
      <c r="I30" s="511">
        <f t="shared" si="0"/>
        <v>0</v>
      </c>
      <c r="J30" s="511"/>
      <c r="K30" s="518">
        <f t="shared" si="10"/>
        <v>190284.42796565729</v>
      </c>
      <c r="L30" s="519">
        <f t="shared" ref="L30" si="14">IF(K30&lt;&gt;0,+G30-K30,0)</f>
        <v>0</v>
      </c>
      <c r="M30" s="518">
        <f t="shared" si="11"/>
        <v>190284.42796565729</v>
      </c>
      <c r="N30" s="514">
        <f t="shared" si="2"/>
        <v>0</v>
      </c>
      <c r="O30" s="514">
        <f t="shared" si="3"/>
        <v>0</v>
      </c>
      <c r="P30" s="272"/>
    </row>
    <row r="31" spans="2:16">
      <c r="B31" s="195" t="str">
        <f t="shared" si="6"/>
        <v>IU</v>
      </c>
      <c r="C31" s="507">
        <f>IF(D11="","-",+C30+1)</f>
        <v>2022</v>
      </c>
      <c r="D31" s="608">
        <v>1331684.962726193</v>
      </c>
      <c r="E31" s="609">
        <v>46424.678809523808</v>
      </c>
      <c r="F31" s="608">
        <v>1285260.2839166692</v>
      </c>
      <c r="G31" s="609">
        <v>193554.70123512414</v>
      </c>
      <c r="H31" s="610">
        <v>193554.70123512414</v>
      </c>
      <c r="I31" s="511">
        <f t="shared" si="0"/>
        <v>0</v>
      </c>
      <c r="J31" s="511"/>
      <c r="K31" s="518">
        <f t="shared" ref="K31" si="15">G31</f>
        <v>193554.70123512414</v>
      </c>
      <c r="L31" s="519">
        <f t="shared" ref="L31" si="16">IF(K31&lt;&gt;0,+G31-K31,0)</f>
        <v>0</v>
      </c>
      <c r="M31" s="518">
        <f t="shared" ref="M31" si="17">H31</f>
        <v>193554.70123512414</v>
      </c>
      <c r="N31" s="514">
        <f t="shared" si="2"/>
        <v>0</v>
      </c>
      <c r="O31" s="514">
        <f t="shared" si="3"/>
        <v>0</v>
      </c>
      <c r="P31" s="272"/>
    </row>
    <row r="32" spans="2:16">
      <c r="B32" s="195" t="str">
        <f t="shared" si="6"/>
        <v/>
      </c>
      <c r="C32" s="507">
        <f>IF(D11="","-",+C31+1)</f>
        <v>2023</v>
      </c>
      <c r="D32" s="608">
        <v>1285260.2839166692</v>
      </c>
      <c r="E32" s="609">
        <v>46424.678809523808</v>
      </c>
      <c r="F32" s="608">
        <v>1238835.6051071454</v>
      </c>
      <c r="G32" s="609">
        <v>205855.1419160036</v>
      </c>
      <c r="H32" s="610">
        <v>205855.1419160036</v>
      </c>
      <c r="I32" s="511">
        <f t="shared" si="0"/>
        <v>0</v>
      </c>
      <c r="J32" s="511"/>
      <c r="K32" s="518">
        <f t="shared" ref="K32" si="18">G32</f>
        <v>205855.1419160036</v>
      </c>
      <c r="L32" s="519">
        <f t="shared" ref="L32" si="19">IF(K32&lt;&gt;0,+G32-K32,0)</f>
        <v>0</v>
      </c>
      <c r="M32" s="518">
        <f t="shared" ref="M32" si="20">H32</f>
        <v>205855.1419160036</v>
      </c>
      <c r="N32" s="514">
        <f t="shared" ref="N32" si="21">IF(M32&lt;&gt;0,+H32-M32,0)</f>
        <v>0</v>
      </c>
      <c r="O32" s="514">
        <f t="shared" ref="O32" si="22">+N32-L32</f>
        <v>0</v>
      </c>
      <c r="P32" s="272"/>
    </row>
    <row r="33" spans="2:16">
      <c r="B33" s="195" t="str">
        <f t="shared" si="6"/>
        <v/>
      </c>
      <c r="C33" s="673">
        <f>IF(D11="","-",+C32+1)</f>
        <v>2024</v>
      </c>
      <c r="D33" s="523">
        <f>IF(F32+SUM(E$17:E32)=D$10,F32,D$10-SUM(E$17:E32))</f>
        <v>1238835.6051071454</v>
      </c>
      <c r="E33" s="522">
        <f>IF(+I14&lt;F32,I14,D33)</f>
        <v>44314.466136363633</v>
      </c>
      <c r="F33" s="523">
        <f t="shared" ref="F33:F48" si="23">+D33-E33</f>
        <v>1194521.1389707818</v>
      </c>
      <c r="G33" s="524">
        <f t="shared" ref="G33:G72" si="24">+I$12*((D33+F33)/2)+E33</f>
        <v>189740.54209168235</v>
      </c>
      <c r="H33" s="491">
        <f t="shared" ref="H33:H72" si="25">+I$13*((D33+F33)/2)+E33</f>
        <v>189740.54209168235</v>
      </c>
      <c r="I33" s="511">
        <f t="shared" si="0"/>
        <v>0</v>
      </c>
      <c r="J33" s="511"/>
      <c r="K33" s="525"/>
      <c r="L33" s="514">
        <f t="shared" si="1"/>
        <v>0</v>
      </c>
      <c r="M33" s="525"/>
      <c r="N33" s="514">
        <f t="shared" si="2"/>
        <v>0</v>
      </c>
      <c r="O33" s="514">
        <f t="shared" si="3"/>
        <v>0</v>
      </c>
      <c r="P33" s="272"/>
    </row>
    <row r="34" spans="2:16">
      <c r="B34" s="195" t="str">
        <f t="shared" si="6"/>
        <v/>
      </c>
      <c r="C34" s="507">
        <f>IF(D11="","-",+C33+1)</f>
        <v>2025</v>
      </c>
      <c r="D34" s="523">
        <f>IF(F33+SUM(E$17:E33)=D$10,F33,D$10-SUM(E$17:E33))</f>
        <v>1194521.1389707818</v>
      </c>
      <c r="E34" s="522">
        <f>IF(+I14&lt;F33,I14,D34)</f>
        <v>44314.466136363633</v>
      </c>
      <c r="F34" s="523">
        <f t="shared" si="23"/>
        <v>1150206.6728344182</v>
      </c>
      <c r="G34" s="524">
        <f t="shared" si="24"/>
        <v>184443.76106362292</v>
      </c>
      <c r="H34" s="491">
        <f t="shared" si="25"/>
        <v>184443.76106362292</v>
      </c>
      <c r="I34" s="511">
        <f t="shared" si="0"/>
        <v>0</v>
      </c>
      <c r="J34" s="511"/>
      <c r="K34" s="525"/>
      <c r="L34" s="514">
        <f t="shared" si="1"/>
        <v>0</v>
      </c>
      <c r="M34" s="525"/>
      <c r="N34" s="514">
        <f t="shared" si="2"/>
        <v>0</v>
      </c>
      <c r="O34" s="514">
        <f t="shared" si="3"/>
        <v>0</v>
      </c>
      <c r="P34" s="272"/>
    </row>
    <row r="35" spans="2:16">
      <c r="B35" s="195" t="str">
        <f t="shared" si="6"/>
        <v/>
      </c>
      <c r="C35" s="507">
        <f>IF(D11="","-",+C34+1)</f>
        <v>2026</v>
      </c>
      <c r="D35" s="523">
        <f>IF(F34+SUM(E$17:E34)=D$10,F34,D$10-SUM(E$17:E34))</f>
        <v>1150206.6728344182</v>
      </c>
      <c r="E35" s="522">
        <f>IF(+I14&lt;F34,I14,D35)</f>
        <v>44314.466136363633</v>
      </c>
      <c r="F35" s="523">
        <f t="shared" si="23"/>
        <v>1105892.2066980547</v>
      </c>
      <c r="G35" s="524">
        <f t="shared" si="24"/>
        <v>179146.98003556352</v>
      </c>
      <c r="H35" s="491">
        <f t="shared" si="25"/>
        <v>179146.98003556352</v>
      </c>
      <c r="I35" s="511">
        <f t="shared" si="0"/>
        <v>0</v>
      </c>
      <c r="J35" s="511"/>
      <c r="K35" s="525"/>
      <c r="L35" s="514">
        <f t="shared" si="1"/>
        <v>0</v>
      </c>
      <c r="M35" s="525"/>
      <c r="N35" s="514">
        <f t="shared" si="2"/>
        <v>0</v>
      </c>
      <c r="O35" s="514">
        <f t="shared" si="3"/>
        <v>0</v>
      </c>
      <c r="P35" s="272"/>
    </row>
    <row r="36" spans="2:16">
      <c r="B36" s="195" t="str">
        <f t="shared" si="6"/>
        <v/>
      </c>
      <c r="C36" s="507">
        <f>IF(D11="","-",+C35+1)</f>
        <v>2027</v>
      </c>
      <c r="D36" s="523">
        <f>IF(F35+SUM(E$17:E35)=D$10,F35,D$10-SUM(E$17:E35))</f>
        <v>1105892.2066980547</v>
      </c>
      <c r="E36" s="522">
        <f>IF(+I14&lt;F35,I14,D36)</f>
        <v>44314.466136363633</v>
      </c>
      <c r="F36" s="523">
        <f t="shared" si="23"/>
        <v>1061577.7405616911</v>
      </c>
      <c r="G36" s="524">
        <f t="shared" si="24"/>
        <v>173850.19900750407</v>
      </c>
      <c r="H36" s="491">
        <f t="shared" si="25"/>
        <v>173850.19900750407</v>
      </c>
      <c r="I36" s="511">
        <f t="shared" si="0"/>
        <v>0</v>
      </c>
      <c r="J36" s="511"/>
      <c r="K36" s="525"/>
      <c r="L36" s="514">
        <f t="shared" si="1"/>
        <v>0</v>
      </c>
      <c r="M36" s="525"/>
      <c r="N36" s="514">
        <f t="shared" si="2"/>
        <v>0</v>
      </c>
      <c r="O36" s="514">
        <f t="shared" si="3"/>
        <v>0</v>
      </c>
      <c r="P36" s="272"/>
    </row>
    <row r="37" spans="2:16">
      <c r="B37" s="195" t="str">
        <f t="shared" si="6"/>
        <v/>
      </c>
      <c r="C37" s="507">
        <f>IF(D11="","-",+C36+1)</f>
        <v>2028</v>
      </c>
      <c r="D37" s="523">
        <f>IF(F36+SUM(E$17:E36)=D$10,F36,D$10-SUM(E$17:E36))</f>
        <v>1061577.7405616911</v>
      </c>
      <c r="E37" s="522">
        <f>IF(+I14&lt;F36,I14,D37)</f>
        <v>44314.466136363633</v>
      </c>
      <c r="F37" s="523">
        <f t="shared" si="23"/>
        <v>1017263.2744253274</v>
      </c>
      <c r="G37" s="524">
        <f t="shared" si="24"/>
        <v>168553.41797944464</v>
      </c>
      <c r="H37" s="491">
        <f t="shared" si="25"/>
        <v>168553.41797944464</v>
      </c>
      <c r="I37" s="511">
        <f t="shared" si="0"/>
        <v>0</v>
      </c>
      <c r="J37" s="511"/>
      <c r="K37" s="525"/>
      <c r="L37" s="514">
        <f t="shared" si="1"/>
        <v>0</v>
      </c>
      <c r="M37" s="525"/>
      <c r="N37" s="514">
        <f t="shared" si="2"/>
        <v>0</v>
      </c>
      <c r="O37" s="514">
        <f t="shared" si="3"/>
        <v>0</v>
      </c>
      <c r="P37" s="272"/>
    </row>
    <row r="38" spans="2:16">
      <c r="B38" s="195" t="str">
        <f t="shared" si="6"/>
        <v/>
      </c>
      <c r="C38" s="507">
        <f>IF(D11="","-",+C37+1)</f>
        <v>2029</v>
      </c>
      <c r="D38" s="523">
        <f>IF(F37+SUM(E$17:E37)=D$10,F37,D$10-SUM(E$17:E37))</f>
        <v>1017263.2744253274</v>
      </c>
      <c r="E38" s="522">
        <f>IF(+I14&lt;F37,I14,D38)</f>
        <v>44314.466136363633</v>
      </c>
      <c r="F38" s="523">
        <f t="shared" si="23"/>
        <v>972948.80828896374</v>
      </c>
      <c r="G38" s="524">
        <f t="shared" si="24"/>
        <v>163256.63695138521</v>
      </c>
      <c r="H38" s="491">
        <f t="shared" si="25"/>
        <v>163256.63695138521</v>
      </c>
      <c r="I38" s="511">
        <f t="shared" si="0"/>
        <v>0</v>
      </c>
      <c r="J38" s="511"/>
      <c r="K38" s="525"/>
      <c r="L38" s="514">
        <f t="shared" si="1"/>
        <v>0</v>
      </c>
      <c r="M38" s="525"/>
      <c r="N38" s="514">
        <f t="shared" si="2"/>
        <v>0</v>
      </c>
      <c r="O38" s="514">
        <f t="shared" si="3"/>
        <v>0</v>
      </c>
      <c r="P38" s="272"/>
    </row>
    <row r="39" spans="2:16">
      <c r="B39" s="195" t="str">
        <f t="shared" si="6"/>
        <v/>
      </c>
      <c r="C39" s="507">
        <f>IF(D11="","-",+C38+1)</f>
        <v>2030</v>
      </c>
      <c r="D39" s="523">
        <f>IF(F38+SUM(E$17:E38)=D$10,F38,D$10-SUM(E$17:E38))</f>
        <v>972948.80828896374</v>
      </c>
      <c r="E39" s="522">
        <f>IF(+I14&lt;F38,I14,D39)</f>
        <v>44314.466136363633</v>
      </c>
      <c r="F39" s="523">
        <f t="shared" si="23"/>
        <v>928634.34215260006</v>
      </c>
      <c r="G39" s="524">
        <f t="shared" si="24"/>
        <v>157959.85592332578</v>
      </c>
      <c r="H39" s="491">
        <f t="shared" si="25"/>
        <v>157959.85592332578</v>
      </c>
      <c r="I39" s="511">
        <f t="shared" si="0"/>
        <v>0</v>
      </c>
      <c r="J39" s="511"/>
      <c r="K39" s="525"/>
      <c r="L39" s="514">
        <f t="shared" si="1"/>
        <v>0</v>
      </c>
      <c r="M39" s="525"/>
      <c r="N39" s="514">
        <f t="shared" si="2"/>
        <v>0</v>
      </c>
      <c r="O39" s="514">
        <f t="shared" si="3"/>
        <v>0</v>
      </c>
      <c r="P39" s="272"/>
    </row>
    <row r="40" spans="2:16">
      <c r="B40" s="195" t="str">
        <f t="shared" si="6"/>
        <v/>
      </c>
      <c r="C40" s="507">
        <f>IF(D11="","-",+C39+1)</f>
        <v>2031</v>
      </c>
      <c r="D40" s="523">
        <f>IF(F39+SUM(E$17:E39)=D$10,F39,D$10-SUM(E$17:E39))</f>
        <v>928634.34215260006</v>
      </c>
      <c r="E40" s="522">
        <f>IF(+I14&lt;F39,I14,D40)</f>
        <v>44314.466136363633</v>
      </c>
      <c r="F40" s="523">
        <f t="shared" si="23"/>
        <v>884319.87601623638</v>
      </c>
      <c r="G40" s="524">
        <f t="shared" si="24"/>
        <v>152663.07489526636</v>
      </c>
      <c r="H40" s="491">
        <f t="shared" si="25"/>
        <v>152663.07489526636</v>
      </c>
      <c r="I40" s="511">
        <f t="shared" si="0"/>
        <v>0</v>
      </c>
      <c r="J40" s="511"/>
      <c r="K40" s="525"/>
      <c r="L40" s="514">
        <f t="shared" si="1"/>
        <v>0</v>
      </c>
      <c r="M40" s="525"/>
      <c r="N40" s="514">
        <f t="shared" si="2"/>
        <v>0</v>
      </c>
      <c r="O40" s="514">
        <f t="shared" si="3"/>
        <v>0</v>
      </c>
      <c r="P40" s="272"/>
    </row>
    <row r="41" spans="2:16">
      <c r="B41" s="195" t="str">
        <f t="shared" si="6"/>
        <v/>
      </c>
      <c r="C41" s="507">
        <f>IF(D11="","-",+C40+1)</f>
        <v>2032</v>
      </c>
      <c r="D41" s="523">
        <f>IF(F40+SUM(E$17:E40)=D$10,F40,D$10-SUM(E$17:E40))</f>
        <v>884319.87601623638</v>
      </c>
      <c r="E41" s="522">
        <f>IF(+I14&lt;F40,I14,D41)</f>
        <v>44314.466136363633</v>
      </c>
      <c r="F41" s="523">
        <f t="shared" si="23"/>
        <v>840005.40987987269</v>
      </c>
      <c r="G41" s="524">
        <f t="shared" si="24"/>
        <v>147366.2938672069</v>
      </c>
      <c r="H41" s="491">
        <f t="shared" si="25"/>
        <v>147366.2938672069</v>
      </c>
      <c r="I41" s="511">
        <f t="shared" si="0"/>
        <v>0</v>
      </c>
      <c r="J41" s="511"/>
      <c r="K41" s="525"/>
      <c r="L41" s="514">
        <f t="shared" si="1"/>
        <v>0</v>
      </c>
      <c r="M41" s="525"/>
      <c r="N41" s="514">
        <f t="shared" si="2"/>
        <v>0</v>
      </c>
      <c r="O41" s="514">
        <f t="shared" si="3"/>
        <v>0</v>
      </c>
      <c r="P41" s="272"/>
    </row>
    <row r="42" spans="2:16">
      <c r="B42" s="195" t="str">
        <f t="shared" si="6"/>
        <v/>
      </c>
      <c r="C42" s="507">
        <f>IF(D11="","-",+C41+1)</f>
        <v>2033</v>
      </c>
      <c r="D42" s="523">
        <f>IF(F41+SUM(E$17:E41)=D$10,F41,D$10-SUM(E$17:E41))</f>
        <v>840005.40987987269</v>
      </c>
      <c r="E42" s="522">
        <f>IF(+I14&lt;F41,I14,D42)</f>
        <v>44314.466136363633</v>
      </c>
      <c r="F42" s="523">
        <f t="shared" si="23"/>
        <v>795690.94374350901</v>
      </c>
      <c r="G42" s="524">
        <f t="shared" si="24"/>
        <v>142069.51283914747</v>
      </c>
      <c r="H42" s="491">
        <f t="shared" si="25"/>
        <v>142069.51283914747</v>
      </c>
      <c r="I42" s="511">
        <f t="shared" si="0"/>
        <v>0</v>
      </c>
      <c r="J42" s="511"/>
      <c r="K42" s="525"/>
      <c r="L42" s="514">
        <f t="shared" si="1"/>
        <v>0</v>
      </c>
      <c r="M42" s="525"/>
      <c r="N42" s="514">
        <f t="shared" si="2"/>
        <v>0</v>
      </c>
      <c r="O42" s="514">
        <f t="shared" si="3"/>
        <v>0</v>
      </c>
      <c r="P42" s="272"/>
    </row>
    <row r="43" spans="2:16">
      <c r="B43" s="195" t="str">
        <f t="shared" si="6"/>
        <v/>
      </c>
      <c r="C43" s="507">
        <f>IF(D11="","-",+C42+1)</f>
        <v>2034</v>
      </c>
      <c r="D43" s="523">
        <f>IF(F42+SUM(E$17:E42)=D$10,F42,D$10-SUM(E$17:E42))</f>
        <v>795690.94374350901</v>
      </c>
      <c r="E43" s="522">
        <f>IF(+I14&lt;F42,I14,D43)</f>
        <v>44314.466136363633</v>
      </c>
      <c r="F43" s="523">
        <f t="shared" si="23"/>
        <v>751376.47760714532</v>
      </c>
      <c r="G43" s="524">
        <f t="shared" si="24"/>
        <v>136772.73181108802</v>
      </c>
      <c r="H43" s="491">
        <f t="shared" si="25"/>
        <v>136772.73181108802</v>
      </c>
      <c r="I43" s="511">
        <f t="shared" si="0"/>
        <v>0</v>
      </c>
      <c r="J43" s="511"/>
      <c r="K43" s="525"/>
      <c r="L43" s="514">
        <f t="shared" si="1"/>
        <v>0</v>
      </c>
      <c r="M43" s="525"/>
      <c r="N43" s="514">
        <f t="shared" si="2"/>
        <v>0</v>
      </c>
      <c r="O43" s="514">
        <f t="shared" si="3"/>
        <v>0</v>
      </c>
      <c r="P43" s="272"/>
    </row>
    <row r="44" spans="2:16">
      <c r="B44" s="195" t="str">
        <f t="shared" si="6"/>
        <v/>
      </c>
      <c r="C44" s="507">
        <f>IF(D11="","-",+C43+1)</f>
        <v>2035</v>
      </c>
      <c r="D44" s="523">
        <f>IF(F43+SUM(E$17:E43)=D$10,F43,D$10-SUM(E$17:E43))</f>
        <v>751376.47760714532</v>
      </c>
      <c r="E44" s="522">
        <f>IF(+I14&lt;F43,I14,D44)</f>
        <v>44314.466136363633</v>
      </c>
      <c r="F44" s="523">
        <f t="shared" si="23"/>
        <v>707062.01147078164</v>
      </c>
      <c r="G44" s="524">
        <f t="shared" si="24"/>
        <v>131475.95078302859</v>
      </c>
      <c r="H44" s="491">
        <f t="shared" si="25"/>
        <v>131475.95078302859</v>
      </c>
      <c r="I44" s="511">
        <f t="shared" si="0"/>
        <v>0</v>
      </c>
      <c r="J44" s="511"/>
      <c r="K44" s="525"/>
      <c r="L44" s="514">
        <f t="shared" si="1"/>
        <v>0</v>
      </c>
      <c r="M44" s="525"/>
      <c r="N44" s="514">
        <f t="shared" si="2"/>
        <v>0</v>
      </c>
      <c r="O44" s="514">
        <f t="shared" si="3"/>
        <v>0</v>
      </c>
      <c r="P44" s="272"/>
    </row>
    <row r="45" spans="2:16">
      <c r="B45" s="195" t="str">
        <f t="shared" si="6"/>
        <v/>
      </c>
      <c r="C45" s="507">
        <f>IF(D11="","-",+C44+1)</f>
        <v>2036</v>
      </c>
      <c r="D45" s="523">
        <f>IF(F44+SUM(E$17:E44)=D$10,F44,D$10-SUM(E$17:E44))</f>
        <v>707062.01147078164</v>
      </c>
      <c r="E45" s="522">
        <f>IF(+I14&lt;F44,I14,D45)</f>
        <v>44314.466136363633</v>
      </c>
      <c r="F45" s="523">
        <f t="shared" si="23"/>
        <v>662747.54533441796</v>
      </c>
      <c r="G45" s="524">
        <f t="shared" si="24"/>
        <v>126179.16975496913</v>
      </c>
      <c r="H45" s="491">
        <f t="shared" si="25"/>
        <v>126179.16975496913</v>
      </c>
      <c r="I45" s="511">
        <f t="shared" si="0"/>
        <v>0</v>
      </c>
      <c r="J45" s="511"/>
      <c r="K45" s="525"/>
      <c r="L45" s="514">
        <f t="shared" si="1"/>
        <v>0</v>
      </c>
      <c r="M45" s="525"/>
      <c r="N45" s="514">
        <f t="shared" si="2"/>
        <v>0</v>
      </c>
      <c r="O45" s="514">
        <f t="shared" si="3"/>
        <v>0</v>
      </c>
      <c r="P45" s="272"/>
    </row>
    <row r="46" spans="2:16">
      <c r="B46" s="195" t="str">
        <f t="shared" si="6"/>
        <v/>
      </c>
      <c r="C46" s="507">
        <f>IF(D11="","-",+C45+1)</f>
        <v>2037</v>
      </c>
      <c r="D46" s="523">
        <f>IF(F45+SUM(E$17:E45)=D$10,F45,D$10-SUM(E$17:E45))</f>
        <v>662747.54533441796</v>
      </c>
      <c r="E46" s="522">
        <f>IF(+I14&lt;F45,I14,D46)</f>
        <v>44314.466136363633</v>
      </c>
      <c r="F46" s="523">
        <f t="shared" si="23"/>
        <v>618433.07919805427</v>
      </c>
      <c r="G46" s="524">
        <f t="shared" si="24"/>
        <v>120882.38872690973</v>
      </c>
      <c r="H46" s="491">
        <f t="shared" si="25"/>
        <v>120882.38872690973</v>
      </c>
      <c r="I46" s="511">
        <f t="shared" si="0"/>
        <v>0</v>
      </c>
      <c r="J46" s="511"/>
      <c r="K46" s="525"/>
      <c r="L46" s="514">
        <f t="shared" si="1"/>
        <v>0</v>
      </c>
      <c r="M46" s="525"/>
      <c r="N46" s="514">
        <f t="shared" si="2"/>
        <v>0</v>
      </c>
      <c r="O46" s="514">
        <f t="shared" si="3"/>
        <v>0</v>
      </c>
      <c r="P46" s="272"/>
    </row>
    <row r="47" spans="2:16">
      <c r="B47" s="195" t="str">
        <f t="shared" si="6"/>
        <v/>
      </c>
      <c r="C47" s="507">
        <f>IF(D11="","-",+C46+1)</f>
        <v>2038</v>
      </c>
      <c r="D47" s="523">
        <f>IF(F46+SUM(E$17:E46)=D$10,F46,D$10-SUM(E$17:E46))</f>
        <v>618433.07919805427</v>
      </c>
      <c r="E47" s="522">
        <f>IF(+I14&lt;F46,I14,D47)</f>
        <v>44314.466136363633</v>
      </c>
      <c r="F47" s="523">
        <f t="shared" si="23"/>
        <v>574118.61306169059</v>
      </c>
      <c r="G47" s="524">
        <f t="shared" si="24"/>
        <v>115585.60769885028</v>
      </c>
      <c r="H47" s="491">
        <f t="shared" si="25"/>
        <v>115585.60769885028</v>
      </c>
      <c r="I47" s="511">
        <f t="shared" si="0"/>
        <v>0</v>
      </c>
      <c r="J47" s="511"/>
      <c r="K47" s="525"/>
      <c r="L47" s="514">
        <f t="shared" si="1"/>
        <v>0</v>
      </c>
      <c r="M47" s="525"/>
      <c r="N47" s="514">
        <f t="shared" si="2"/>
        <v>0</v>
      </c>
      <c r="O47" s="514">
        <f t="shared" si="3"/>
        <v>0</v>
      </c>
      <c r="P47" s="272"/>
    </row>
    <row r="48" spans="2:16">
      <c r="B48" s="195" t="str">
        <f t="shared" si="6"/>
        <v/>
      </c>
      <c r="C48" s="507">
        <f>IF(D11="","-",+C47+1)</f>
        <v>2039</v>
      </c>
      <c r="D48" s="523">
        <f>IF(F47+SUM(E$17:E47)=D$10,F47,D$10-SUM(E$17:E47))</f>
        <v>574118.61306169059</v>
      </c>
      <c r="E48" s="522">
        <f>IF(+I14&lt;F47,I14,D48)</f>
        <v>44314.466136363633</v>
      </c>
      <c r="F48" s="523">
        <f t="shared" si="23"/>
        <v>529804.1469253269</v>
      </c>
      <c r="G48" s="524">
        <f t="shared" si="24"/>
        <v>110288.82667079085</v>
      </c>
      <c r="H48" s="491">
        <f t="shared" si="25"/>
        <v>110288.82667079085</v>
      </c>
      <c r="I48" s="511">
        <f t="shared" si="0"/>
        <v>0</v>
      </c>
      <c r="J48" s="511"/>
      <c r="K48" s="525"/>
      <c r="L48" s="514">
        <f t="shared" si="1"/>
        <v>0</v>
      </c>
      <c r="M48" s="525"/>
      <c r="N48" s="514">
        <f t="shared" si="2"/>
        <v>0</v>
      </c>
      <c r="O48" s="514">
        <f t="shared" si="3"/>
        <v>0</v>
      </c>
      <c r="P48" s="272"/>
    </row>
    <row r="49" spans="2:17">
      <c r="B49" s="195" t="str">
        <f t="shared" si="6"/>
        <v/>
      </c>
      <c r="C49" s="507">
        <f>IF(D11="","-",+C48+1)</f>
        <v>2040</v>
      </c>
      <c r="D49" s="523">
        <f>IF(F48+SUM(E$17:E48)=D$10,F48,D$10-SUM(E$17:E48))</f>
        <v>529804.1469253269</v>
      </c>
      <c r="E49" s="522">
        <f>IF(+I14&lt;F48,I14,D49)</f>
        <v>44314.466136363633</v>
      </c>
      <c r="F49" s="523">
        <f t="shared" ref="F49:F72" si="26">+D49-E49</f>
        <v>485489.68078896328</v>
      </c>
      <c r="G49" s="524">
        <f t="shared" si="24"/>
        <v>104992.04564273141</v>
      </c>
      <c r="H49" s="491">
        <f t="shared" si="25"/>
        <v>104992.04564273141</v>
      </c>
      <c r="I49" s="511">
        <f t="shared" ref="I49:I72" si="27">H49-G49</f>
        <v>0</v>
      </c>
      <c r="J49" s="511"/>
      <c r="K49" s="525"/>
      <c r="L49" s="514">
        <f t="shared" ref="L49:L72" si="28">IF(K49&lt;&gt;0,+G49-K49,0)</f>
        <v>0</v>
      </c>
      <c r="M49" s="525"/>
      <c r="N49" s="514">
        <f t="shared" ref="N49:N72" si="29">IF(M49&lt;&gt;0,+H49-M49,0)</f>
        <v>0</v>
      </c>
      <c r="O49" s="514">
        <f t="shared" ref="O49:O72" si="30">+N49-L49</f>
        <v>0</v>
      </c>
      <c r="P49" s="272"/>
    </row>
    <row r="50" spans="2:17">
      <c r="B50" s="195" t="str">
        <f t="shared" si="6"/>
        <v/>
      </c>
      <c r="C50" s="507">
        <f>IF(D11="","-",+C49+1)</f>
        <v>2041</v>
      </c>
      <c r="D50" s="523">
        <f>IF(F49+SUM(E$17:E49)=D$10,F49,D$10-SUM(E$17:E49))</f>
        <v>485489.68078896328</v>
      </c>
      <c r="E50" s="522">
        <f>IF(+I14&lt;F49,I14,D50)</f>
        <v>44314.466136363633</v>
      </c>
      <c r="F50" s="523">
        <f t="shared" si="26"/>
        <v>441175.21465259965</v>
      </c>
      <c r="G50" s="524">
        <f t="shared" si="24"/>
        <v>99695.264614671963</v>
      </c>
      <c r="H50" s="491">
        <f t="shared" si="25"/>
        <v>99695.264614671963</v>
      </c>
      <c r="I50" s="511">
        <f t="shared" si="27"/>
        <v>0</v>
      </c>
      <c r="J50" s="511"/>
      <c r="K50" s="525"/>
      <c r="L50" s="514">
        <f t="shared" si="28"/>
        <v>0</v>
      </c>
      <c r="M50" s="525"/>
      <c r="N50" s="514">
        <f t="shared" si="29"/>
        <v>0</v>
      </c>
      <c r="O50" s="514">
        <f t="shared" si="30"/>
        <v>0</v>
      </c>
      <c r="P50" s="272"/>
    </row>
    <row r="51" spans="2:17">
      <c r="B51" s="195" t="str">
        <f t="shared" si="6"/>
        <v/>
      </c>
      <c r="C51" s="507">
        <f>IF(D11="","-",+C50+1)</f>
        <v>2042</v>
      </c>
      <c r="D51" s="523">
        <f>IF(F50+SUM(E$17:E50)=D$10,F50,D$10-SUM(E$17:E50))</f>
        <v>441175.21465259965</v>
      </c>
      <c r="E51" s="522">
        <f>IF(+I14&lt;F50,I14,D51)</f>
        <v>44314.466136363633</v>
      </c>
      <c r="F51" s="523">
        <f t="shared" si="26"/>
        <v>396860.74851623602</v>
      </c>
      <c r="G51" s="524">
        <f t="shared" si="24"/>
        <v>94398.48358661255</v>
      </c>
      <c r="H51" s="491">
        <f t="shared" si="25"/>
        <v>94398.48358661255</v>
      </c>
      <c r="I51" s="511">
        <f t="shared" si="27"/>
        <v>0</v>
      </c>
      <c r="J51" s="511"/>
      <c r="K51" s="525"/>
      <c r="L51" s="514">
        <f t="shared" si="28"/>
        <v>0</v>
      </c>
      <c r="M51" s="525"/>
      <c r="N51" s="514">
        <f t="shared" si="29"/>
        <v>0</v>
      </c>
      <c r="O51" s="514">
        <f t="shared" si="30"/>
        <v>0</v>
      </c>
      <c r="P51" s="272"/>
    </row>
    <row r="52" spans="2:17">
      <c r="B52" s="195" t="str">
        <f t="shared" si="6"/>
        <v/>
      </c>
      <c r="C52" s="507">
        <f>IF(D11="","-",+C51+1)</f>
        <v>2043</v>
      </c>
      <c r="D52" s="523">
        <f>IF(F51+SUM(E$17:E51)=D$10,F51,D$10-SUM(E$17:E51))</f>
        <v>396860.74851623602</v>
      </c>
      <c r="E52" s="522">
        <f>IF(+I14&lt;F51,I14,D52)</f>
        <v>44314.466136363633</v>
      </c>
      <c r="F52" s="523">
        <f t="shared" si="26"/>
        <v>352546.2823798724</v>
      </c>
      <c r="G52" s="524">
        <f t="shared" si="24"/>
        <v>89101.702558553108</v>
      </c>
      <c r="H52" s="491">
        <f t="shared" si="25"/>
        <v>89101.702558553108</v>
      </c>
      <c r="I52" s="511">
        <f t="shared" si="27"/>
        <v>0</v>
      </c>
      <c r="J52" s="511"/>
      <c r="K52" s="525"/>
      <c r="L52" s="514">
        <f t="shared" si="28"/>
        <v>0</v>
      </c>
      <c r="M52" s="525"/>
      <c r="N52" s="514">
        <f t="shared" si="29"/>
        <v>0</v>
      </c>
      <c r="O52" s="514">
        <f t="shared" si="30"/>
        <v>0</v>
      </c>
      <c r="P52" s="272"/>
    </row>
    <row r="53" spans="2:17">
      <c r="B53" s="195" t="str">
        <f t="shared" si="6"/>
        <v/>
      </c>
      <c r="C53" s="507">
        <f>IF(D11="","-",+C52+1)</f>
        <v>2044</v>
      </c>
      <c r="D53" s="523">
        <f>IF(F52+SUM(E$17:E52)=D$10,F52,D$10-SUM(E$17:E52))</f>
        <v>352546.2823798724</v>
      </c>
      <c r="E53" s="522">
        <f>IF(+I14&lt;F52,I14,D53)</f>
        <v>44314.466136363633</v>
      </c>
      <c r="F53" s="523">
        <f t="shared" si="26"/>
        <v>308231.81624350877</v>
      </c>
      <c r="G53" s="524">
        <f t="shared" si="24"/>
        <v>83804.921530493681</v>
      </c>
      <c r="H53" s="491">
        <f t="shared" si="25"/>
        <v>83804.921530493681</v>
      </c>
      <c r="I53" s="511">
        <f t="shared" si="27"/>
        <v>0</v>
      </c>
      <c r="J53" s="511"/>
      <c r="K53" s="525"/>
      <c r="L53" s="514">
        <f t="shared" si="28"/>
        <v>0</v>
      </c>
      <c r="M53" s="525"/>
      <c r="N53" s="514">
        <f t="shared" si="29"/>
        <v>0</v>
      </c>
      <c r="O53" s="514">
        <f t="shared" si="30"/>
        <v>0</v>
      </c>
      <c r="P53" s="272"/>
    </row>
    <row r="54" spans="2:17">
      <c r="B54" s="195" t="str">
        <f t="shared" si="6"/>
        <v/>
      </c>
      <c r="C54" s="507">
        <f>IF(D11="","-",+C53+1)</f>
        <v>2045</v>
      </c>
      <c r="D54" s="523">
        <f>IF(F53+SUM(E$17:E53)=D$10,F53,D$10-SUM(E$17:E53))</f>
        <v>308231.81624350877</v>
      </c>
      <c r="E54" s="522">
        <f>IF(+I14&lt;F53,I14,D54)</f>
        <v>44314.466136363633</v>
      </c>
      <c r="F54" s="523">
        <f t="shared" si="26"/>
        <v>263917.35010714515</v>
      </c>
      <c r="G54" s="524">
        <f t="shared" si="24"/>
        <v>78508.140502434253</v>
      </c>
      <c r="H54" s="491">
        <f t="shared" si="25"/>
        <v>78508.140502434253</v>
      </c>
      <c r="I54" s="511">
        <f t="shared" si="27"/>
        <v>0</v>
      </c>
      <c r="J54" s="511"/>
      <c r="K54" s="525"/>
      <c r="L54" s="514">
        <f t="shared" si="28"/>
        <v>0</v>
      </c>
      <c r="M54" s="525"/>
      <c r="N54" s="514">
        <f t="shared" si="29"/>
        <v>0</v>
      </c>
      <c r="O54" s="514">
        <f t="shared" si="30"/>
        <v>0</v>
      </c>
      <c r="P54" s="272"/>
    </row>
    <row r="55" spans="2:17">
      <c r="B55" s="195" t="str">
        <f t="shared" si="6"/>
        <v/>
      </c>
      <c r="C55" s="507">
        <f>IF(D11="","-",+C54+1)</f>
        <v>2046</v>
      </c>
      <c r="D55" s="523">
        <f>IF(F54+SUM(E$17:E54)=D$10,F54,D$10-SUM(E$17:E54))</f>
        <v>263917.35010714515</v>
      </c>
      <c r="E55" s="522">
        <f>IF(+I14&lt;F54,I14,D55)</f>
        <v>44314.466136363633</v>
      </c>
      <c r="F55" s="523">
        <f t="shared" si="26"/>
        <v>219602.88397078152</v>
      </c>
      <c r="G55" s="524">
        <f t="shared" si="24"/>
        <v>73211.359474374825</v>
      </c>
      <c r="H55" s="491">
        <f t="shared" si="25"/>
        <v>73211.359474374825</v>
      </c>
      <c r="I55" s="511">
        <f t="shared" si="27"/>
        <v>0</v>
      </c>
      <c r="J55" s="511"/>
      <c r="K55" s="525"/>
      <c r="L55" s="514">
        <f t="shared" si="28"/>
        <v>0</v>
      </c>
      <c r="M55" s="525"/>
      <c r="N55" s="514">
        <f t="shared" si="29"/>
        <v>0</v>
      </c>
      <c r="O55" s="514">
        <f t="shared" si="30"/>
        <v>0</v>
      </c>
      <c r="P55" s="272"/>
    </row>
    <row r="56" spans="2:17">
      <c r="B56" s="195" t="str">
        <f t="shared" si="6"/>
        <v/>
      </c>
      <c r="C56" s="507">
        <f>IF(D11="","-",+C55+1)</f>
        <v>2047</v>
      </c>
      <c r="D56" s="523">
        <f>IF(F55+SUM(E$17:E55)=D$10,F55,D$10-SUM(E$17:E55))</f>
        <v>219602.88397078152</v>
      </c>
      <c r="E56" s="522">
        <f>IF(+I14&lt;F55,I14,D56)</f>
        <v>44314.466136363633</v>
      </c>
      <c r="F56" s="523">
        <f t="shared" si="26"/>
        <v>175288.41783441789</v>
      </c>
      <c r="G56" s="524">
        <f t="shared" si="24"/>
        <v>67914.578446315398</v>
      </c>
      <c r="H56" s="491">
        <f t="shared" si="25"/>
        <v>67914.578446315398</v>
      </c>
      <c r="I56" s="511">
        <f t="shared" si="27"/>
        <v>0</v>
      </c>
      <c r="J56" s="511"/>
      <c r="K56" s="525"/>
      <c r="L56" s="514">
        <f t="shared" si="28"/>
        <v>0</v>
      </c>
      <c r="M56" s="525"/>
      <c r="N56" s="514">
        <f t="shared" si="29"/>
        <v>0</v>
      </c>
      <c r="O56" s="514">
        <f t="shared" si="30"/>
        <v>0</v>
      </c>
      <c r="P56" s="272"/>
    </row>
    <row r="57" spans="2:17">
      <c r="B57" s="195" t="str">
        <f t="shared" si="6"/>
        <v/>
      </c>
      <c r="C57" s="507">
        <f>IF(D11="","-",+C56+1)</f>
        <v>2048</v>
      </c>
      <c r="D57" s="523">
        <f>IF(F56+SUM(E$17:E56)=D$10,F56,D$10-SUM(E$17:E56))</f>
        <v>175288.41783441789</v>
      </c>
      <c r="E57" s="522">
        <f>IF(+I14&lt;F56,I14,D57)</f>
        <v>44314.466136363633</v>
      </c>
      <c r="F57" s="523">
        <f t="shared" si="26"/>
        <v>130973.95169805427</v>
      </c>
      <c r="G57" s="524">
        <f t="shared" si="24"/>
        <v>62617.797418255956</v>
      </c>
      <c r="H57" s="491">
        <f t="shared" si="25"/>
        <v>62617.797418255956</v>
      </c>
      <c r="I57" s="511">
        <f t="shared" si="27"/>
        <v>0</v>
      </c>
      <c r="J57" s="511"/>
      <c r="K57" s="525"/>
      <c r="L57" s="514">
        <f t="shared" si="28"/>
        <v>0</v>
      </c>
      <c r="M57" s="525"/>
      <c r="N57" s="514">
        <f t="shared" si="29"/>
        <v>0</v>
      </c>
      <c r="O57" s="514">
        <f t="shared" si="30"/>
        <v>0</v>
      </c>
      <c r="P57" s="272"/>
    </row>
    <row r="58" spans="2:17">
      <c r="B58" s="195" t="str">
        <f t="shared" si="6"/>
        <v/>
      </c>
      <c r="C58" s="507">
        <f>IF(D11="","-",+C57+1)</f>
        <v>2049</v>
      </c>
      <c r="D58" s="523">
        <f>IF(F57+SUM(E$17:E57)=D$10,F57,D$10-SUM(E$17:E57))</f>
        <v>130973.95169805427</v>
      </c>
      <c r="E58" s="522">
        <f>IF(+I14&lt;F57,I14,D58)</f>
        <v>44314.466136363633</v>
      </c>
      <c r="F58" s="523">
        <f t="shared" si="26"/>
        <v>86659.485561690642</v>
      </c>
      <c r="G58" s="524">
        <f t="shared" si="24"/>
        <v>57321.016390196528</v>
      </c>
      <c r="H58" s="491">
        <f t="shared" si="25"/>
        <v>57321.016390196528</v>
      </c>
      <c r="I58" s="511">
        <f t="shared" si="27"/>
        <v>0</v>
      </c>
      <c r="J58" s="511"/>
      <c r="K58" s="525"/>
      <c r="L58" s="514">
        <f t="shared" si="28"/>
        <v>0</v>
      </c>
      <c r="M58" s="525"/>
      <c r="N58" s="514">
        <f t="shared" si="29"/>
        <v>0</v>
      </c>
      <c r="O58" s="514">
        <f t="shared" si="30"/>
        <v>0</v>
      </c>
      <c r="P58" s="272"/>
      <c r="Q58" s="183" t="str">
        <f>IF(ROUND(Q57,0)=ROUND(SUM(Q18:Q56),0),"","Error -- check allocations above).")</f>
        <v/>
      </c>
    </row>
    <row r="59" spans="2:17">
      <c r="B59" s="195" t="str">
        <f t="shared" si="6"/>
        <v/>
      </c>
      <c r="C59" s="507">
        <f>IF(D11="","-",+C58+1)</f>
        <v>2050</v>
      </c>
      <c r="D59" s="523">
        <f>IF(F58+SUM(E$17:E58)=D$10,F58,D$10-SUM(E$17:E58))</f>
        <v>86659.485561690642</v>
      </c>
      <c r="E59" s="522">
        <f>IF(+I14&lt;F58,I14,D59)</f>
        <v>44314.466136363633</v>
      </c>
      <c r="F59" s="523">
        <f t="shared" si="26"/>
        <v>42345.019425327009</v>
      </c>
      <c r="G59" s="524">
        <f t="shared" si="24"/>
        <v>52024.2353621371</v>
      </c>
      <c r="H59" s="491">
        <f t="shared" si="25"/>
        <v>52024.2353621371</v>
      </c>
      <c r="I59" s="511">
        <f t="shared" si="27"/>
        <v>0</v>
      </c>
      <c r="J59" s="511"/>
      <c r="K59" s="525"/>
      <c r="L59" s="514">
        <f t="shared" si="28"/>
        <v>0</v>
      </c>
      <c r="M59" s="525"/>
      <c r="N59" s="514">
        <f t="shared" si="29"/>
        <v>0</v>
      </c>
      <c r="O59" s="514">
        <f t="shared" si="30"/>
        <v>0</v>
      </c>
      <c r="P59" s="272"/>
    </row>
    <row r="60" spans="2:17">
      <c r="B60" s="195" t="str">
        <f t="shared" si="6"/>
        <v/>
      </c>
      <c r="C60" s="507">
        <f>IF(D11="","-",+C59+1)</f>
        <v>2051</v>
      </c>
      <c r="D60" s="523">
        <f>IF(F59+SUM(E$17:E59)=D$10,F59,D$10-SUM(E$17:E59))</f>
        <v>42345.019425327009</v>
      </c>
      <c r="E60" s="522">
        <f>IF(+I14&lt;F59,I14,D60)</f>
        <v>42345.019425327009</v>
      </c>
      <c r="F60" s="523">
        <f t="shared" si="26"/>
        <v>0</v>
      </c>
      <c r="G60" s="524">
        <f t="shared" si="24"/>
        <v>44875.708781198882</v>
      </c>
      <c r="H60" s="491">
        <f t="shared" si="25"/>
        <v>44875.708781198882</v>
      </c>
      <c r="I60" s="511">
        <f t="shared" si="27"/>
        <v>0</v>
      </c>
      <c r="J60" s="511"/>
      <c r="K60" s="525"/>
      <c r="L60" s="514">
        <f t="shared" si="28"/>
        <v>0</v>
      </c>
      <c r="M60" s="525"/>
      <c r="N60" s="514">
        <f t="shared" si="29"/>
        <v>0</v>
      </c>
      <c r="O60" s="514">
        <f t="shared" si="30"/>
        <v>0</v>
      </c>
      <c r="P60" s="272"/>
    </row>
    <row r="61" spans="2:17">
      <c r="B61" s="195" t="str">
        <f t="shared" si="6"/>
        <v/>
      </c>
      <c r="C61" s="507">
        <f>IF(D11="","-",+C60+1)</f>
        <v>2052</v>
      </c>
      <c r="D61" s="523">
        <f>IF(F60+SUM(E$17:E60)=D$10,F60,D$10-SUM(E$17:E60))</f>
        <v>0</v>
      </c>
      <c r="E61" s="522">
        <f>IF(+I14&lt;F60,I14,D61)</f>
        <v>0</v>
      </c>
      <c r="F61" s="523">
        <f t="shared" si="26"/>
        <v>0</v>
      </c>
      <c r="G61" s="526">
        <f t="shared" si="24"/>
        <v>0</v>
      </c>
      <c r="H61" s="491">
        <f t="shared" si="25"/>
        <v>0</v>
      </c>
      <c r="I61" s="511">
        <f t="shared" si="27"/>
        <v>0</v>
      </c>
      <c r="J61" s="511"/>
      <c r="K61" s="525"/>
      <c r="L61" s="514">
        <f t="shared" si="28"/>
        <v>0</v>
      </c>
      <c r="M61" s="525"/>
      <c r="N61" s="514">
        <f t="shared" si="29"/>
        <v>0</v>
      </c>
      <c r="O61" s="514">
        <f t="shared" si="30"/>
        <v>0</v>
      </c>
      <c r="P61" s="272"/>
    </row>
    <row r="62" spans="2:17">
      <c r="B62" s="195" t="str">
        <f t="shared" si="6"/>
        <v/>
      </c>
      <c r="C62" s="507">
        <f>IF(D11="","-",+C61+1)</f>
        <v>2053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26"/>
        <v>0</v>
      </c>
      <c r="G62" s="526">
        <f t="shared" si="24"/>
        <v>0</v>
      </c>
      <c r="H62" s="491">
        <f t="shared" si="25"/>
        <v>0</v>
      </c>
      <c r="I62" s="511">
        <f t="shared" si="27"/>
        <v>0</v>
      </c>
      <c r="J62" s="511"/>
      <c r="K62" s="525"/>
      <c r="L62" s="514">
        <f t="shared" si="28"/>
        <v>0</v>
      </c>
      <c r="M62" s="525"/>
      <c r="N62" s="514">
        <f t="shared" si="29"/>
        <v>0</v>
      </c>
      <c r="O62" s="514">
        <f t="shared" si="30"/>
        <v>0</v>
      </c>
      <c r="P62" s="272"/>
    </row>
    <row r="63" spans="2:17">
      <c r="B63" s="195" t="str">
        <f t="shared" si="6"/>
        <v/>
      </c>
      <c r="C63" s="507">
        <f>IF(D11="","-",+C62+1)</f>
        <v>2054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26"/>
        <v>0</v>
      </c>
      <c r="G63" s="526">
        <f t="shared" si="24"/>
        <v>0</v>
      </c>
      <c r="H63" s="491">
        <f t="shared" si="25"/>
        <v>0</v>
      </c>
      <c r="I63" s="511">
        <f t="shared" si="27"/>
        <v>0</v>
      </c>
      <c r="J63" s="511"/>
      <c r="K63" s="525"/>
      <c r="L63" s="514">
        <f t="shared" si="28"/>
        <v>0</v>
      </c>
      <c r="M63" s="525"/>
      <c r="N63" s="514">
        <f t="shared" si="29"/>
        <v>0</v>
      </c>
      <c r="O63" s="514">
        <f t="shared" si="30"/>
        <v>0</v>
      </c>
      <c r="P63" s="272"/>
    </row>
    <row r="64" spans="2:17">
      <c r="B64" s="195" t="str">
        <f t="shared" si="6"/>
        <v/>
      </c>
      <c r="C64" s="507">
        <f>IF(D11="","-",+C63+1)</f>
        <v>2055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26"/>
        <v>0</v>
      </c>
      <c r="G64" s="526">
        <f t="shared" si="24"/>
        <v>0</v>
      </c>
      <c r="H64" s="491">
        <f t="shared" si="25"/>
        <v>0</v>
      </c>
      <c r="I64" s="511">
        <f t="shared" si="27"/>
        <v>0</v>
      </c>
      <c r="J64" s="511"/>
      <c r="K64" s="525"/>
      <c r="L64" s="514">
        <f t="shared" si="28"/>
        <v>0</v>
      </c>
      <c r="M64" s="525"/>
      <c r="N64" s="514">
        <f t="shared" si="29"/>
        <v>0</v>
      </c>
      <c r="O64" s="514">
        <f t="shared" si="30"/>
        <v>0</v>
      </c>
      <c r="P64" s="272"/>
    </row>
    <row r="65" spans="1:16">
      <c r="B65" s="195" t="str">
        <f t="shared" si="6"/>
        <v/>
      </c>
      <c r="C65" s="507">
        <f>IF(D11="","-",+C64+1)</f>
        <v>2056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26"/>
        <v>0</v>
      </c>
      <c r="G65" s="526">
        <f t="shared" si="24"/>
        <v>0</v>
      </c>
      <c r="H65" s="491">
        <f t="shared" si="25"/>
        <v>0</v>
      </c>
      <c r="I65" s="511">
        <f t="shared" si="27"/>
        <v>0</v>
      </c>
      <c r="J65" s="511"/>
      <c r="K65" s="525"/>
      <c r="L65" s="514">
        <f t="shared" si="28"/>
        <v>0</v>
      </c>
      <c r="M65" s="525"/>
      <c r="N65" s="514">
        <f t="shared" si="29"/>
        <v>0</v>
      </c>
      <c r="O65" s="514">
        <f t="shared" si="30"/>
        <v>0</v>
      </c>
      <c r="P65" s="272"/>
    </row>
    <row r="66" spans="1:16">
      <c r="B66" s="195" t="str">
        <f t="shared" si="6"/>
        <v/>
      </c>
      <c r="C66" s="507">
        <f>IF(D11="","-",+C65+1)</f>
        <v>2057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26"/>
        <v>0</v>
      </c>
      <c r="G66" s="526">
        <f t="shared" si="24"/>
        <v>0</v>
      </c>
      <c r="H66" s="491">
        <f t="shared" si="25"/>
        <v>0</v>
      </c>
      <c r="I66" s="511">
        <f t="shared" si="27"/>
        <v>0</v>
      </c>
      <c r="J66" s="511"/>
      <c r="K66" s="525"/>
      <c r="L66" s="514">
        <f t="shared" si="28"/>
        <v>0</v>
      </c>
      <c r="M66" s="525"/>
      <c r="N66" s="514">
        <f t="shared" si="29"/>
        <v>0</v>
      </c>
      <c r="O66" s="514">
        <f t="shared" si="30"/>
        <v>0</v>
      </c>
      <c r="P66" s="272"/>
    </row>
    <row r="67" spans="1:16">
      <c r="B67" s="195" t="str">
        <f t="shared" si="6"/>
        <v/>
      </c>
      <c r="C67" s="507">
        <f>IF(D11="","-",+C66+1)</f>
        <v>2058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26"/>
        <v>0</v>
      </c>
      <c r="G67" s="526">
        <f t="shared" si="24"/>
        <v>0</v>
      </c>
      <c r="H67" s="491">
        <f t="shared" si="25"/>
        <v>0</v>
      </c>
      <c r="I67" s="511">
        <f t="shared" si="27"/>
        <v>0</v>
      </c>
      <c r="J67" s="511"/>
      <c r="K67" s="525"/>
      <c r="L67" s="514">
        <f t="shared" si="28"/>
        <v>0</v>
      </c>
      <c r="M67" s="525"/>
      <c r="N67" s="514">
        <f t="shared" si="29"/>
        <v>0</v>
      </c>
      <c r="O67" s="514">
        <f t="shared" si="30"/>
        <v>0</v>
      </c>
      <c r="P67" s="272"/>
    </row>
    <row r="68" spans="1:16">
      <c r="B68" s="195" t="str">
        <f t="shared" si="6"/>
        <v/>
      </c>
      <c r="C68" s="507">
        <f>IF(D11="","-",+C67+1)</f>
        <v>2059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26"/>
        <v>0</v>
      </c>
      <c r="G68" s="526">
        <f t="shared" si="24"/>
        <v>0</v>
      </c>
      <c r="H68" s="491">
        <f t="shared" si="25"/>
        <v>0</v>
      </c>
      <c r="I68" s="511">
        <f t="shared" si="27"/>
        <v>0</v>
      </c>
      <c r="J68" s="511"/>
      <c r="K68" s="525"/>
      <c r="L68" s="514">
        <f t="shared" si="28"/>
        <v>0</v>
      </c>
      <c r="M68" s="525"/>
      <c r="N68" s="514">
        <f t="shared" si="29"/>
        <v>0</v>
      </c>
      <c r="O68" s="514">
        <f t="shared" si="30"/>
        <v>0</v>
      </c>
      <c r="P68" s="272"/>
    </row>
    <row r="69" spans="1:16">
      <c r="B69" s="195" t="str">
        <f t="shared" si="6"/>
        <v/>
      </c>
      <c r="C69" s="507">
        <f>IF(D11="","-",+C68+1)</f>
        <v>2060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26"/>
        <v>0</v>
      </c>
      <c r="G69" s="526">
        <f t="shared" si="24"/>
        <v>0</v>
      </c>
      <c r="H69" s="491">
        <f t="shared" si="25"/>
        <v>0</v>
      </c>
      <c r="I69" s="511">
        <f t="shared" si="27"/>
        <v>0</v>
      </c>
      <c r="J69" s="511"/>
      <c r="K69" s="525"/>
      <c r="L69" s="514">
        <f t="shared" si="28"/>
        <v>0</v>
      </c>
      <c r="M69" s="525"/>
      <c r="N69" s="514">
        <f t="shared" si="29"/>
        <v>0</v>
      </c>
      <c r="O69" s="514">
        <f t="shared" si="30"/>
        <v>0</v>
      </c>
      <c r="P69" s="272"/>
    </row>
    <row r="70" spans="1:16">
      <c r="B70" s="195" t="str">
        <f t="shared" si="6"/>
        <v/>
      </c>
      <c r="C70" s="507">
        <f>IF(D11="","-",+C69+1)</f>
        <v>2061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26"/>
        <v>0</v>
      </c>
      <c r="G70" s="526">
        <f t="shared" si="24"/>
        <v>0</v>
      </c>
      <c r="H70" s="491">
        <f t="shared" si="25"/>
        <v>0</v>
      </c>
      <c r="I70" s="511">
        <f t="shared" si="27"/>
        <v>0</v>
      </c>
      <c r="J70" s="511"/>
      <c r="K70" s="525"/>
      <c r="L70" s="514">
        <f t="shared" si="28"/>
        <v>0</v>
      </c>
      <c r="M70" s="525"/>
      <c r="N70" s="514">
        <f t="shared" si="29"/>
        <v>0</v>
      </c>
      <c r="O70" s="514">
        <f t="shared" si="30"/>
        <v>0</v>
      </c>
      <c r="P70" s="272"/>
    </row>
    <row r="71" spans="1:16">
      <c r="B71" s="195" t="str">
        <f t="shared" si="6"/>
        <v/>
      </c>
      <c r="C71" s="507">
        <f>IF(D11="","-",+C70+1)</f>
        <v>2062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26"/>
        <v>0</v>
      </c>
      <c r="G71" s="526">
        <f t="shared" si="24"/>
        <v>0</v>
      </c>
      <c r="H71" s="491">
        <f t="shared" si="25"/>
        <v>0</v>
      </c>
      <c r="I71" s="511">
        <f t="shared" si="27"/>
        <v>0</v>
      </c>
      <c r="J71" s="511"/>
      <c r="K71" s="525"/>
      <c r="L71" s="514">
        <f t="shared" si="28"/>
        <v>0</v>
      </c>
      <c r="M71" s="525"/>
      <c r="N71" s="514">
        <f t="shared" si="29"/>
        <v>0</v>
      </c>
      <c r="O71" s="514">
        <f t="shared" si="30"/>
        <v>0</v>
      </c>
      <c r="P71" s="272"/>
    </row>
    <row r="72" spans="1:16" ht="13.5" thickBot="1">
      <c r="B72" s="195" t="str">
        <f t="shared" si="6"/>
        <v/>
      </c>
      <c r="C72" s="527">
        <f>IF(D11="","-",+C71+1)</f>
        <v>2063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26"/>
        <v>0</v>
      </c>
      <c r="G72" s="530">
        <f t="shared" si="24"/>
        <v>0</v>
      </c>
      <c r="H72" s="471">
        <f t="shared" si="25"/>
        <v>0</v>
      </c>
      <c r="I72" s="531">
        <f t="shared" si="27"/>
        <v>0</v>
      </c>
      <c r="J72" s="511"/>
      <c r="K72" s="532"/>
      <c r="L72" s="533">
        <f t="shared" si="28"/>
        <v>0</v>
      </c>
      <c r="M72" s="532"/>
      <c r="N72" s="533">
        <f t="shared" si="29"/>
        <v>0</v>
      </c>
      <c r="O72" s="533">
        <f t="shared" si="30"/>
        <v>0</v>
      </c>
      <c r="P72" s="272"/>
    </row>
    <row r="73" spans="1:16">
      <c r="C73" s="374" t="s">
        <v>78</v>
      </c>
      <c r="D73" s="375"/>
      <c r="E73" s="375">
        <f>SUM(E17:E72)</f>
        <v>1949836.5099999988</v>
      </c>
      <c r="F73" s="375"/>
      <c r="G73" s="375">
        <f>SUM(G17:G72)</f>
        <v>7170607.17679842</v>
      </c>
      <c r="H73" s="375">
        <f>SUM(H17:H72)</f>
        <v>7170607.17679842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1:16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1:16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1:16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1:16" ht="18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535"/>
      <c r="P77" s="272"/>
    </row>
    <row r="78" spans="1:16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1:16" ht="15">
      <c r="A79" s="536"/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</row>
    <row r="80" spans="1:16" ht="18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7">
      <c r="B81" s="269"/>
      <c r="C81" s="537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7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  <c r="Q82" s="269"/>
    </row>
    <row r="83" spans="1:17" ht="20.25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535" t="str">
        <f ca="1">P1</f>
        <v>SWEPCO Project 17 of 75</v>
      </c>
      <c r="Q83" s="269"/>
    </row>
    <row r="84" spans="1:17" ht="18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454" t="s">
        <v>128</v>
      </c>
      <c r="Q84" s="269"/>
    </row>
    <row r="85" spans="1:17" ht="18.7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  <c r="Q85" s="269"/>
    </row>
    <row r="86" spans="1:17" ht="15.75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2022</v>
      </c>
      <c r="M86" s="541" t="s">
        <v>9</v>
      </c>
      <c r="N86" s="542" t="s">
        <v>159</v>
      </c>
      <c r="O86" s="543" t="s">
        <v>11</v>
      </c>
      <c r="P86" s="269"/>
      <c r="Q86" s="269"/>
    </row>
    <row r="87" spans="1:17" ht="1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391</v>
      </c>
      <c r="M87" s="546">
        <f>IF(J92&lt;D11,0,VLOOKUP(J92,C17:O72,9))</f>
        <v>193554.70123512414</v>
      </c>
      <c r="N87" s="546">
        <f>IF(J92&lt;D11,0,VLOOKUP(J92,C17:O72,11))</f>
        <v>193554.70123512414</v>
      </c>
      <c r="O87" s="547">
        <f>+N87-M87</f>
        <v>0</v>
      </c>
      <c r="P87" s="269"/>
      <c r="Q87" s="269"/>
    </row>
    <row r="88" spans="1:17" ht="15.7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392</v>
      </c>
      <c r="M88" s="550">
        <f>IF(J92&lt;D11,0,VLOOKUP(J92,C99:P154,6))</f>
        <v>199183.09136083254</v>
      </c>
      <c r="N88" s="550">
        <f>IF(J92&lt;D11,0,VLOOKUP(J92,C99:P154,7))</f>
        <v>199183.09136083254</v>
      </c>
      <c r="O88" s="551">
        <f>+N88-M88</f>
        <v>0</v>
      </c>
      <c r="P88" s="269"/>
      <c r="Q88" s="269"/>
    </row>
    <row r="89" spans="1:17" ht="13.5" thickBot="1">
      <c r="C89" s="467" t="s">
        <v>84</v>
      </c>
      <c r="D89" s="552" t="str">
        <f>+D7</f>
        <v>Linwood-McWillie 138 kV Rebuild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5628.3901257083926</v>
      </c>
      <c r="N89" s="555">
        <f>+N88-N87</f>
        <v>5628.3901257083926</v>
      </c>
      <c r="O89" s="556">
        <f>+O88-O87</f>
        <v>0</v>
      </c>
      <c r="P89" s="269"/>
      <c r="Q89" s="269"/>
    </row>
    <row r="90" spans="1:17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  <c r="Q90" s="269"/>
    </row>
    <row r="91" spans="1:17" ht="13.5" thickBot="1">
      <c r="A91" s="191"/>
      <c r="C91" s="558" t="s">
        <v>85</v>
      </c>
      <c r="D91" s="559" t="str">
        <f>+D9</f>
        <v>TP2007019</v>
      </c>
      <c r="E91" s="560"/>
      <c r="F91" s="560"/>
      <c r="G91" s="560"/>
      <c r="H91" s="560"/>
      <c r="I91" s="560"/>
      <c r="J91" s="561"/>
      <c r="K91" s="562"/>
      <c r="P91" s="481"/>
      <c r="Q91" s="269"/>
    </row>
    <row r="92" spans="1:17">
      <c r="C92" s="486" t="s">
        <v>51</v>
      </c>
      <c r="D92" s="483">
        <v>1949836.51</v>
      </c>
      <c r="E92" s="340" t="s">
        <v>86</v>
      </c>
      <c r="H92" s="484"/>
      <c r="I92" s="484"/>
      <c r="J92" s="485">
        <f>+'SWE.WS.G.BPU.ATRR.True-up'!M16</f>
        <v>2022</v>
      </c>
      <c r="K92" s="480"/>
      <c r="L92" s="375" t="s">
        <v>87</v>
      </c>
      <c r="P92" s="272"/>
      <c r="Q92" s="269"/>
    </row>
    <row r="93" spans="1:17">
      <c r="C93" s="486" t="s">
        <v>54</v>
      </c>
      <c r="D93" s="563">
        <f>IF(D11=I10,"",D11)</f>
        <v>2008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  <c r="Q93" s="269"/>
    </row>
    <row r="94" spans="1:17">
      <c r="C94" s="486" t="s">
        <v>56</v>
      </c>
      <c r="D94" s="564">
        <f>IF(D11=I10,"",D12)</f>
        <v>6</v>
      </c>
      <c r="E94" s="486" t="s">
        <v>57</v>
      </c>
      <c r="F94" s="484"/>
      <c r="G94" s="484"/>
      <c r="J94" s="490">
        <f>'SWE.WS.G.BPU.ATRR.True-up'!$F$81</f>
        <v>0.11351422637179906</v>
      </c>
      <c r="K94" s="425"/>
      <c r="L94" s="183" t="s">
        <v>88</v>
      </c>
      <c r="P94" s="272"/>
      <c r="Q94" s="269"/>
    </row>
    <row r="95" spans="1:17">
      <c r="C95" s="486" t="s">
        <v>59</v>
      </c>
      <c r="D95" s="488">
        <f>'SWE.WS.G.BPU.ATRR.True-up'!F$93</f>
        <v>41</v>
      </c>
      <c r="E95" s="486" t="s">
        <v>60</v>
      </c>
      <c r="F95" s="484"/>
      <c r="G95" s="484"/>
      <c r="J95" s="490">
        <f>IF(H87="",J94,'SWE.WS.G.BPU.ATRR.True-up'!$F$80)</f>
        <v>0.11351422637179906</v>
      </c>
      <c r="K95" s="324"/>
      <c r="L95" s="375" t="s">
        <v>61</v>
      </c>
      <c r="M95" s="324"/>
      <c r="N95" s="324"/>
      <c r="O95" s="324"/>
      <c r="P95" s="272"/>
      <c r="Q95" s="269"/>
    </row>
    <row r="96" spans="1:17" ht="13.5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47556.988048780491</v>
      </c>
      <c r="K96" s="375"/>
      <c r="L96" s="375"/>
      <c r="M96" s="375"/>
      <c r="N96" s="375"/>
      <c r="O96" s="375"/>
      <c r="P96" s="272"/>
      <c r="Q96" s="269"/>
    </row>
    <row r="97" spans="1:17" ht="38.25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388</v>
      </c>
      <c r="I97" s="495" t="s">
        <v>389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  <c r="Q97" s="269"/>
    </row>
    <row r="98" spans="1:17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  <c r="Q98" s="269"/>
    </row>
    <row r="99" spans="1:17">
      <c r="C99" s="507">
        <f>IF(D93= "","-",D93)</f>
        <v>2008</v>
      </c>
      <c r="D99" s="508">
        <v>0</v>
      </c>
      <c r="E99" s="516">
        <v>17573</v>
      </c>
      <c r="F99" s="515">
        <v>1282816</v>
      </c>
      <c r="G99" s="574">
        <v>641408</v>
      </c>
      <c r="H99" s="575">
        <v>119814</v>
      </c>
      <c r="I99" s="576">
        <v>119814</v>
      </c>
      <c r="J99" s="613">
        <f t="shared" ref="J99:J130" si="31">+I99-H99</f>
        <v>0</v>
      </c>
      <c r="K99" s="514"/>
      <c r="L99" s="512">
        <v>119814</v>
      </c>
      <c r="M99" s="513">
        <f t="shared" ref="M99:M130" si="32">IF(L99&lt;&gt;0,+H99-L99,0)</f>
        <v>0</v>
      </c>
      <c r="N99" s="512">
        <v>119814</v>
      </c>
      <c r="O99" s="513">
        <f t="shared" ref="O99:O130" si="33">IF(N99&lt;&gt;0,+I99-N99,0)</f>
        <v>0</v>
      </c>
      <c r="P99" s="513">
        <f t="shared" ref="P99:P130" si="34">+O99-M99</f>
        <v>0</v>
      </c>
      <c r="Q99" s="269"/>
    </row>
    <row r="100" spans="1:17">
      <c r="B100" s="195" t="str">
        <f>IF(D100=F99,"","IU")</f>
        <v>IU</v>
      </c>
      <c r="C100" s="507">
        <f>IF(D93="","-",+C99+1)</f>
        <v>2009</v>
      </c>
      <c r="D100" s="508">
        <v>1932263.51</v>
      </c>
      <c r="E100" s="516">
        <v>51311.487105263157</v>
      </c>
      <c r="F100" s="515">
        <v>1880952.0228947368</v>
      </c>
      <c r="G100" s="515">
        <v>1906607.7664473685</v>
      </c>
      <c r="H100" s="516">
        <v>327269.44030165928</v>
      </c>
      <c r="I100" s="510">
        <v>327269.44030165928</v>
      </c>
      <c r="J100" s="613">
        <f t="shared" si="31"/>
        <v>0</v>
      </c>
      <c r="K100" s="514"/>
      <c r="L100" s="518">
        <f t="shared" ref="L100:L105" si="35">H100</f>
        <v>327269.44030165928</v>
      </c>
      <c r="M100" s="519">
        <f t="shared" si="32"/>
        <v>0</v>
      </c>
      <c r="N100" s="518">
        <f t="shared" ref="N100:N105" si="36">I100</f>
        <v>327269.44030165928</v>
      </c>
      <c r="O100" s="514">
        <f t="shared" si="33"/>
        <v>0</v>
      </c>
      <c r="P100" s="514">
        <f t="shared" si="34"/>
        <v>0</v>
      </c>
      <c r="Q100" s="269"/>
    </row>
    <row r="101" spans="1:17">
      <c r="B101" s="195" t="str">
        <f t="shared" ref="B101:B154" si="37">IF(D101=F100,"","IU")</f>
        <v/>
      </c>
      <c r="C101" s="507">
        <f>IF(D93="","-",+C100+1)</f>
        <v>2010</v>
      </c>
      <c r="D101" s="508">
        <v>1880952.0228947368</v>
      </c>
      <c r="E101" s="516">
        <v>47556.988048780491</v>
      </c>
      <c r="F101" s="515">
        <v>1833395.0348459564</v>
      </c>
      <c r="G101" s="515">
        <v>1857173.5288703465</v>
      </c>
      <c r="H101" s="516">
        <v>354150.48973333737</v>
      </c>
      <c r="I101" s="510">
        <v>354150.48973333737</v>
      </c>
      <c r="J101" s="613">
        <f t="shared" si="31"/>
        <v>0</v>
      </c>
      <c r="K101" s="514"/>
      <c r="L101" s="518">
        <f t="shared" si="35"/>
        <v>354150.48973333737</v>
      </c>
      <c r="M101" s="519">
        <f t="shared" si="32"/>
        <v>0</v>
      </c>
      <c r="N101" s="518">
        <f t="shared" si="36"/>
        <v>354150.48973333737</v>
      </c>
      <c r="O101" s="514">
        <f t="shared" si="33"/>
        <v>0</v>
      </c>
      <c r="P101" s="514">
        <f t="shared" si="34"/>
        <v>0</v>
      </c>
      <c r="Q101" s="269"/>
    </row>
    <row r="102" spans="1:17">
      <c r="B102" s="195" t="str">
        <f t="shared" si="37"/>
        <v/>
      </c>
      <c r="C102" s="507">
        <f>IF(D93="","-",+C101+1)</f>
        <v>2011</v>
      </c>
      <c r="D102" s="508">
        <v>1833395.0348459564</v>
      </c>
      <c r="E102" s="520">
        <v>46424.678809523808</v>
      </c>
      <c r="F102" s="515">
        <v>1786970.3560364326</v>
      </c>
      <c r="G102" s="515">
        <v>1810182.6954411943</v>
      </c>
      <c r="H102" s="516">
        <v>318639.77382654941</v>
      </c>
      <c r="I102" s="510">
        <v>318639.77382654941</v>
      </c>
      <c r="J102" s="613">
        <f t="shared" si="31"/>
        <v>0</v>
      </c>
      <c r="K102" s="514"/>
      <c r="L102" s="518">
        <f t="shared" si="35"/>
        <v>318639.77382654941</v>
      </c>
      <c r="M102" s="519">
        <f t="shared" si="32"/>
        <v>0</v>
      </c>
      <c r="N102" s="518">
        <f t="shared" si="36"/>
        <v>318639.77382654941</v>
      </c>
      <c r="O102" s="514">
        <f t="shared" si="33"/>
        <v>0</v>
      </c>
      <c r="P102" s="514">
        <f t="shared" si="34"/>
        <v>0</v>
      </c>
      <c r="Q102" s="269"/>
    </row>
    <row r="103" spans="1:17">
      <c r="B103" s="195" t="str">
        <f t="shared" si="37"/>
        <v/>
      </c>
      <c r="C103" s="507">
        <f>IF(D93="","-",+C102+1)</f>
        <v>2012</v>
      </c>
      <c r="D103" s="508">
        <v>1786970.3560364326</v>
      </c>
      <c r="E103" s="516">
        <v>46424.678809523808</v>
      </c>
      <c r="F103" s="515">
        <v>1740545.6772269087</v>
      </c>
      <c r="G103" s="515">
        <v>1763758.0166316708</v>
      </c>
      <c r="H103" s="516">
        <v>305968.60569385614</v>
      </c>
      <c r="I103" s="510">
        <v>305968.60569385614</v>
      </c>
      <c r="J103" s="613">
        <f t="shared" si="31"/>
        <v>0</v>
      </c>
      <c r="K103" s="514"/>
      <c r="L103" s="518">
        <f t="shared" si="35"/>
        <v>305968.60569385614</v>
      </c>
      <c r="M103" s="519">
        <f t="shared" si="32"/>
        <v>0</v>
      </c>
      <c r="N103" s="518">
        <f t="shared" si="36"/>
        <v>305968.60569385614</v>
      </c>
      <c r="O103" s="514">
        <f t="shared" si="33"/>
        <v>0</v>
      </c>
      <c r="P103" s="514">
        <f t="shared" si="34"/>
        <v>0</v>
      </c>
      <c r="Q103" s="269"/>
    </row>
    <row r="104" spans="1:17">
      <c r="B104" s="195" t="str">
        <f t="shared" si="37"/>
        <v/>
      </c>
      <c r="C104" s="507">
        <f>IF(D93="","-",+C103+1)</f>
        <v>2013</v>
      </c>
      <c r="D104" s="508">
        <v>1740545.6772269087</v>
      </c>
      <c r="E104" s="516">
        <v>46424.678809523808</v>
      </c>
      <c r="F104" s="515">
        <v>1694120.9984173849</v>
      </c>
      <c r="G104" s="515">
        <v>1717333.3378221467</v>
      </c>
      <c r="H104" s="516">
        <v>278765.62951624766</v>
      </c>
      <c r="I104" s="510">
        <v>278765.62951624766</v>
      </c>
      <c r="J104" s="613">
        <v>0</v>
      </c>
      <c r="K104" s="514"/>
      <c r="L104" s="518">
        <f t="shared" si="35"/>
        <v>278765.62951624766</v>
      </c>
      <c r="M104" s="519">
        <f t="shared" ref="M104:M109" si="38">IF(L104&lt;&gt;0,+H104-L104,0)</f>
        <v>0</v>
      </c>
      <c r="N104" s="518">
        <f t="shared" si="36"/>
        <v>278765.62951624766</v>
      </c>
      <c r="O104" s="514">
        <f t="shared" ref="O104:O109" si="39">IF(N104&lt;&gt;0,+I104-N104,0)</f>
        <v>0</v>
      </c>
      <c r="P104" s="514">
        <f t="shared" ref="P104:P109" si="40">+O104-M104</f>
        <v>0</v>
      </c>
      <c r="Q104" s="269"/>
    </row>
    <row r="105" spans="1:17">
      <c r="B105" s="195" t="str">
        <f t="shared" si="37"/>
        <v/>
      </c>
      <c r="C105" s="507">
        <f>IF(D93="","-",+C104+1)</f>
        <v>2014</v>
      </c>
      <c r="D105" s="508">
        <v>1694120.9984173849</v>
      </c>
      <c r="E105" s="516">
        <v>46424.678809523808</v>
      </c>
      <c r="F105" s="515">
        <v>1647696.3196078611</v>
      </c>
      <c r="G105" s="515">
        <v>1670908.6590126231</v>
      </c>
      <c r="H105" s="516">
        <v>273540.36469294201</v>
      </c>
      <c r="I105" s="510">
        <v>273540.36469294201</v>
      </c>
      <c r="J105" s="514">
        <v>0</v>
      </c>
      <c r="K105" s="514"/>
      <c r="L105" s="518">
        <f t="shared" si="35"/>
        <v>273540.36469294201</v>
      </c>
      <c r="M105" s="519">
        <f t="shared" si="38"/>
        <v>0</v>
      </c>
      <c r="N105" s="518">
        <f t="shared" si="36"/>
        <v>273540.36469294201</v>
      </c>
      <c r="O105" s="514">
        <f t="shared" si="39"/>
        <v>0</v>
      </c>
      <c r="P105" s="514">
        <f t="shared" si="40"/>
        <v>0</v>
      </c>
      <c r="Q105" s="269"/>
    </row>
    <row r="106" spans="1:17">
      <c r="B106" s="195" t="str">
        <f t="shared" si="37"/>
        <v/>
      </c>
      <c r="C106" s="507">
        <f>IF(D93="","-",+C105+1)</f>
        <v>2015</v>
      </c>
      <c r="D106" s="508">
        <v>1647696.3196078611</v>
      </c>
      <c r="E106" s="516">
        <v>46424.678809523808</v>
      </c>
      <c r="F106" s="515">
        <v>1601271.6407983373</v>
      </c>
      <c r="G106" s="515">
        <v>1624483.9802030991</v>
      </c>
      <c r="H106" s="516">
        <v>260481.11000678584</v>
      </c>
      <c r="I106" s="510">
        <v>260481.11000678584</v>
      </c>
      <c r="J106" s="514">
        <f t="shared" si="31"/>
        <v>0</v>
      </c>
      <c r="K106" s="514"/>
      <c r="L106" s="518">
        <f t="shared" ref="L106:L111" si="41">H106</f>
        <v>260481.11000678584</v>
      </c>
      <c r="M106" s="519">
        <f t="shared" si="38"/>
        <v>0</v>
      </c>
      <c r="N106" s="518">
        <f t="shared" ref="N106:N111" si="42">I106</f>
        <v>260481.11000678584</v>
      </c>
      <c r="O106" s="514">
        <f t="shared" si="39"/>
        <v>0</v>
      </c>
      <c r="P106" s="514">
        <f t="shared" si="40"/>
        <v>0</v>
      </c>
      <c r="Q106" s="269"/>
    </row>
    <row r="107" spans="1:17">
      <c r="B107" s="195" t="str">
        <f t="shared" si="37"/>
        <v/>
      </c>
      <c r="C107" s="507">
        <f>IF(D93="","-",+C106+1)</f>
        <v>2016</v>
      </c>
      <c r="D107" s="508">
        <v>1601271.6407983373</v>
      </c>
      <c r="E107" s="516">
        <v>45345.035116279068</v>
      </c>
      <c r="F107" s="515">
        <v>1555926.6056820583</v>
      </c>
      <c r="G107" s="515">
        <v>1578599.1232401978</v>
      </c>
      <c r="H107" s="516">
        <v>245748.17532364058</v>
      </c>
      <c r="I107" s="510">
        <v>245748.17532364058</v>
      </c>
      <c r="J107" s="514">
        <f t="shared" si="31"/>
        <v>0</v>
      </c>
      <c r="K107" s="514"/>
      <c r="L107" s="518">
        <f t="shared" si="41"/>
        <v>245748.17532364058</v>
      </c>
      <c r="M107" s="519">
        <f t="shared" si="38"/>
        <v>0</v>
      </c>
      <c r="N107" s="518">
        <f t="shared" si="42"/>
        <v>245748.17532364058</v>
      </c>
      <c r="O107" s="514">
        <f t="shared" si="39"/>
        <v>0</v>
      </c>
      <c r="P107" s="514">
        <f t="shared" si="40"/>
        <v>0</v>
      </c>
      <c r="Q107" s="269"/>
    </row>
    <row r="108" spans="1:17">
      <c r="B108" s="195" t="str">
        <f t="shared" si="37"/>
        <v/>
      </c>
      <c r="C108" s="507">
        <f>IF(D93="","-",+C107+1)</f>
        <v>2017</v>
      </c>
      <c r="D108" s="508">
        <v>1555926.6056820583</v>
      </c>
      <c r="E108" s="516">
        <v>46424.678809523808</v>
      </c>
      <c r="F108" s="515">
        <v>1509501.9268725344</v>
      </c>
      <c r="G108" s="515">
        <v>1532714.2662772965</v>
      </c>
      <c r="H108" s="516">
        <v>232605.71494726205</v>
      </c>
      <c r="I108" s="510">
        <v>232605.71494726205</v>
      </c>
      <c r="J108" s="514">
        <f t="shared" si="31"/>
        <v>0</v>
      </c>
      <c r="K108" s="514"/>
      <c r="L108" s="518">
        <f t="shared" si="41"/>
        <v>232605.71494726205</v>
      </c>
      <c r="M108" s="519">
        <f t="shared" si="38"/>
        <v>0</v>
      </c>
      <c r="N108" s="518">
        <f t="shared" si="42"/>
        <v>232605.71494726205</v>
      </c>
      <c r="O108" s="514">
        <f t="shared" si="39"/>
        <v>0</v>
      </c>
      <c r="P108" s="514">
        <f t="shared" si="40"/>
        <v>0</v>
      </c>
      <c r="Q108" s="269"/>
    </row>
    <row r="109" spans="1:17">
      <c r="B109" s="195" t="str">
        <f t="shared" si="37"/>
        <v/>
      </c>
      <c r="C109" s="507">
        <f>IF(D93="","-",+C108+1)</f>
        <v>2018</v>
      </c>
      <c r="D109" s="508">
        <v>1509501.9268725344</v>
      </c>
      <c r="E109" s="516">
        <v>46424.678809523808</v>
      </c>
      <c r="F109" s="515">
        <v>1463077.2480630106</v>
      </c>
      <c r="G109" s="515">
        <v>1486289.5874677724</v>
      </c>
      <c r="H109" s="516">
        <v>203383.67510232344</v>
      </c>
      <c r="I109" s="510">
        <v>203383.67510232344</v>
      </c>
      <c r="J109" s="514">
        <f t="shared" si="31"/>
        <v>0</v>
      </c>
      <c r="K109" s="514"/>
      <c r="L109" s="518">
        <f t="shared" si="41"/>
        <v>203383.67510232344</v>
      </c>
      <c r="M109" s="519">
        <f t="shared" si="38"/>
        <v>0</v>
      </c>
      <c r="N109" s="518">
        <f t="shared" si="42"/>
        <v>203383.67510232344</v>
      </c>
      <c r="O109" s="514">
        <f t="shared" si="39"/>
        <v>0</v>
      </c>
      <c r="P109" s="514">
        <f t="shared" si="40"/>
        <v>0</v>
      </c>
      <c r="Q109" s="269"/>
    </row>
    <row r="110" spans="1:17">
      <c r="B110" s="195" t="str">
        <f t="shared" si="37"/>
        <v/>
      </c>
      <c r="C110" s="507">
        <f>IF(D93="","-",+C109+1)</f>
        <v>2019</v>
      </c>
      <c r="D110" s="508">
        <v>1463077.2480630106</v>
      </c>
      <c r="E110" s="516">
        <v>45345.035116279068</v>
      </c>
      <c r="F110" s="515">
        <v>1417732.2129467316</v>
      </c>
      <c r="G110" s="515">
        <v>1440404.7305048711</v>
      </c>
      <c r="H110" s="516">
        <v>199526.74471129151</v>
      </c>
      <c r="I110" s="510">
        <v>199526.74471129151</v>
      </c>
      <c r="J110" s="514">
        <f t="shared" si="31"/>
        <v>0</v>
      </c>
      <c r="K110" s="514"/>
      <c r="L110" s="518">
        <f t="shared" si="41"/>
        <v>199526.74471129151</v>
      </c>
      <c r="M110" s="519">
        <f t="shared" ref="M110:M111" si="43">IF(L110&lt;&gt;0,+H110-L110,0)</f>
        <v>0</v>
      </c>
      <c r="N110" s="518">
        <f t="shared" si="42"/>
        <v>199526.74471129151</v>
      </c>
      <c r="O110" s="514">
        <f t="shared" si="33"/>
        <v>0</v>
      </c>
      <c r="P110" s="514">
        <f t="shared" si="34"/>
        <v>0</v>
      </c>
      <c r="Q110" s="269"/>
    </row>
    <row r="111" spans="1:17">
      <c r="B111" s="195" t="str">
        <f t="shared" si="37"/>
        <v/>
      </c>
      <c r="C111" s="507">
        <f>IF(D93="","-",+C110+1)</f>
        <v>2020</v>
      </c>
      <c r="D111" s="508">
        <v>1417732.2129467316</v>
      </c>
      <c r="E111" s="516">
        <v>46424.678809523808</v>
      </c>
      <c r="F111" s="515">
        <v>1371307.5341372078</v>
      </c>
      <c r="G111" s="515">
        <v>1394519.8735419698</v>
      </c>
      <c r="H111" s="516">
        <v>196438.52610487738</v>
      </c>
      <c r="I111" s="510">
        <v>196438.52610487738</v>
      </c>
      <c r="J111" s="514">
        <f t="shared" si="31"/>
        <v>0</v>
      </c>
      <c r="K111" s="514"/>
      <c r="L111" s="518">
        <f t="shared" si="41"/>
        <v>196438.52610487738</v>
      </c>
      <c r="M111" s="519">
        <f t="shared" si="43"/>
        <v>0</v>
      </c>
      <c r="N111" s="518">
        <f t="shared" si="42"/>
        <v>196438.52610487738</v>
      </c>
      <c r="O111" s="514">
        <f t="shared" si="33"/>
        <v>0</v>
      </c>
      <c r="P111" s="514">
        <f t="shared" si="34"/>
        <v>0</v>
      </c>
      <c r="Q111" s="269"/>
    </row>
    <row r="112" spans="1:17">
      <c r="B112" s="195" t="str">
        <f t="shared" si="37"/>
        <v/>
      </c>
      <c r="C112" s="507">
        <f>IF(D93="","-",+C111+1)</f>
        <v>2021</v>
      </c>
      <c r="D112" s="508">
        <v>1371307.5341372078</v>
      </c>
      <c r="E112" s="516">
        <v>47556.988048780491</v>
      </c>
      <c r="F112" s="515">
        <v>1323750.5460884273</v>
      </c>
      <c r="G112" s="515">
        <v>1347529.0401128177</v>
      </c>
      <c r="H112" s="516">
        <v>200520.70455071999</v>
      </c>
      <c r="I112" s="510">
        <v>200520.70455071999</v>
      </c>
      <c r="J112" s="514">
        <f t="shared" si="31"/>
        <v>0</v>
      </c>
      <c r="K112" s="514"/>
      <c r="L112" s="518">
        <f t="shared" ref="L112" si="44">H112</f>
        <v>200520.70455071999</v>
      </c>
      <c r="M112" s="519">
        <f t="shared" ref="M112" si="45">IF(L112&lt;&gt;0,+H112-L112,0)</f>
        <v>0</v>
      </c>
      <c r="N112" s="518">
        <f t="shared" ref="N112" si="46">I112</f>
        <v>200520.70455071999</v>
      </c>
      <c r="O112" s="514">
        <f t="shared" ref="O112" si="47">IF(N112&lt;&gt;0,+I112-N112,0)</f>
        <v>0</v>
      </c>
      <c r="P112" s="514">
        <f t="shared" ref="P112" si="48">+O112-M112</f>
        <v>0</v>
      </c>
      <c r="Q112" s="269"/>
    </row>
    <row r="113" spans="2:17">
      <c r="B113" s="195" t="str">
        <f t="shared" si="37"/>
        <v/>
      </c>
      <c r="C113" s="673">
        <f>IF(D93="","-",+C112+1)</f>
        <v>2022</v>
      </c>
      <c r="D113" s="374">
        <v>1323750.5460884273</v>
      </c>
      <c r="E113" s="522">
        <v>46424.678809523808</v>
      </c>
      <c r="F113" s="523">
        <v>1277325.8672789035</v>
      </c>
      <c r="G113" s="523">
        <v>1300538.2066836655</v>
      </c>
      <c r="H113" s="526">
        <v>199183.09136083254</v>
      </c>
      <c r="I113" s="577">
        <v>199183.09136083254</v>
      </c>
      <c r="J113" s="514">
        <f t="shared" si="31"/>
        <v>0</v>
      </c>
      <c r="K113" s="514"/>
      <c r="L113" s="525"/>
      <c r="M113" s="514">
        <f t="shared" si="32"/>
        <v>0</v>
      </c>
      <c r="N113" s="525"/>
      <c r="O113" s="514">
        <f t="shared" si="33"/>
        <v>0</v>
      </c>
      <c r="P113" s="514">
        <f t="shared" si="34"/>
        <v>0</v>
      </c>
      <c r="Q113" s="269"/>
    </row>
    <row r="114" spans="2:17">
      <c r="B114" s="195" t="str">
        <f t="shared" si="37"/>
        <v/>
      </c>
      <c r="C114" s="507">
        <f>IF(D93="","-",+C113+1)</f>
        <v>2023</v>
      </c>
      <c r="D114" s="374">
        <f>IF(F113+SUM(E$99:E113)=D$92,F113,D$92-SUM(E$99:E113))</f>
        <v>1277325.8672789035</v>
      </c>
      <c r="E114" s="522">
        <f>IF(+J96&lt;F113,J96,D114)</f>
        <v>47556.988048780491</v>
      </c>
      <c r="F114" s="523">
        <f t="shared" ref="F114:F130" si="49">+D114-E114</f>
        <v>1229768.879230123</v>
      </c>
      <c r="G114" s="523">
        <f t="shared" ref="G114:G130" si="50">+(F114+D114)/2</f>
        <v>1253547.3732545134</v>
      </c>
      <c r="H114" s="526">
        <f t="shared" ref="H114:H154" si="51">+J$94*G114+E114</f>
        <v>189852.44834416744</v>
      </c>
      <c r="I114" s="577">
        <f t="shared" ref="I114:I154" si="52">+J$95*G114+E114</f>
        <v>189852.44834416744</v>
      </c>
      <c r="J114" s="514">
        <f t="shared" si="31"/>
        <v>0</v>
      </c>
      <c r="K114" s="514"/>
      <c r="L114" s="525"/>
      <c r="M114" s="514">
        <f t="shared" si="32"/>
        <v>0</v>
      </c>
      <c r="N114" s="525"/>
      <c r="O114" s="514">
        <f t="shared" si="33"/>
        <v>0</v>
      </c>
      <c r="P114" s="514">
        <f t="shared" si="34"/>
        <v>0</v>
      </c>
      <c r="Q114" s="269"/>
    </row>
    <row r="115" spans="2:17">
      <c r="B115" s="195" t="str">
        <f t="shared" si="37"/>
        <v/>
      </c>
      <c r="C115" s="507">
        <f>IF(D93="","-",+C114+1)</f>
        <v>2024</v>
      </c>
      <c r="D115" s="374">
        <f>IF(F114+SUM(E$99:E114)=D$92,F114,D$92-SUM(E$99:E114))</f>
        <v>1229768.879230123</v>
      </c>
      <c r="E115" s="522">
        <f>IF(+J96&lt;F114,J96,D115)</f>
        <v>47556.988048780491</v>
      </c>
      <c r="F115" s="523">
        <f t="shared" si="49"/>
        <v>1182211.8911813425</v>
      </c>
      <c r="G115" s="523">
        <f t="shared" si="50"/>
        <v>1205990.3852057327</v>
      </c>
      <c r="H115" s="526">
        <f t="shared" si="51"/>
        <v>184454.05363723717</v>
      </c>
      <c r="I115" s="577">
        <f t="shared" si="52"/>
        <v>184454.05363723717</v>
      </c>
      <c r="J115" s="514">
        <f t="shared" si="31"/>
        <v>0</v>
      </c>
      <c r="K115" s="514"/>
      <c r="L115" s="525"/>
      <c r="M115" s="514">
        <f t="shared" si="32"/>
        <v>0</v>
      </c>
      <c r="N115" s="525"/>
      <c r="O115" s="514">
        <f t="shared" si="33"/>
        <v>0</v>
      </c>
      <c r="P115" s="514">
        <f t="shared" si="34"/>
        <v>0</v>
      </c>
      <c r="Q115" s="269"/>
    </row>
    <row r="116" spans="2:17">
      <c r="B116" s="195" t="str">
        <f t="shared" si="37"/>
        <v/>
      </c>
      <c r="C116" s="507">
        <f>IF(D93="","-",+C115+1)</f>
        <v>2025</v>
      </c>
      <c r="D116" s="374">
        <f>IF(F115+SUM(E$99:E115)=D$92,F115,D$92-SUM(E$99:E115))</f>
        <v>1182211.8911813425</v>
      </c>
      <c r="E116" s="522">
        <f>IF(+J96&lt;F115,J96,D116)</f>
        <v>47556.988048780491</v>
      </c>
      <c r="F116" s="523">
        <f t="shared" si="49"/>
        <v>1134654.9031325621</v>
      </c>
      <c r="G116" s="523">
        <f t="shared" si="50"/>
        <v>1158433.3971569524</v>
      </c>
      <c r="H116" s="526">
        <f t="shared" si="51"/>
        <v>179055.65893030702</v>
      </c>
      <c r="I116" s="577">
        <f t="shared" si="52"/>
        <v>179055.65893030702</v>
      </c>
      <c r="J116" s="514">
        <f t="shared" si="31"/>
        <v>0</v>
      </c>
      <c r="K116" s="514"/>
      <c r="L116" s="525"/>
      <c r="M116" s="514">
        <f t="shared" si="32"/>
        <v>0</v>
      </c>
      <c r="N116" s="525"/>
      <c r="O116" s="514">
        <f t="shared" si="33"/>
        <v>0</v>
      </c>
      <c r="P116" s="514">
        <f t="shared" si="34"/>
        <v>0</v>
      </c>
      <c r="Q116" s="269"/>
    </row>
    <row r="117" spans="2:17">
      <c r="B117" s="195" t="str">
        <f t="shared" si="37"/>
        <v/>
      </c>
      <c r="C117" s="507">
        <f>IF(D93="","-",+C116+1)</f>
        <v>2026</v>
      </c>
      <c r="D117" s="374">
        <f>IF(F116+SUM(E$99:E116)=D$92,F116,D$92-SUM(E$99:E116))</f>
        <v>1134654.9031325621</v>
      </c>
      <c r="E117" s="522">
        <f>IF(+J96&lt;F116,J96,D117)</f>
        <v>47556.988048780491</v>
      </c>
      <c r="F117" s="523">
        <f t="shared" si="49"/>
        <v>1087097.9150837816</v>
      </c>
      <c r="G117" s="523">
        <f t="shared" si="50"/>
        <v>1110876.4091081717</v>
      </c>
      <c r="H117" s="526">
        <f t="shared" si="51"/>
        <v>173657.26422337675</v>
      </c>
      <c r="I117" s="577">
        <f t="shared" si="52"/>
        <v>173657.26422337675</v>
      </c>
      <c r="J117" s="514">
        <f t="shared" si="31"/>
        <v>0</v>
      </c>
      <c r="K117" s="514"/>
      <c r="L117" s="525"/>
      <c r="M117" s="514">
        <f t="shared" si="32"/>
        <v>0</v>
      </c>
      <c r="N117" s="525"/>
      <c r="O117" s="514">
        <f t="shared" si="33"/>
        <v>0</v>
      </c>
      <c r="P117" s="514">
        <f t="shared" si="34"/>
        <v>0</v>
      </c>
      <c r="Q117" s="269"/>
    </row>
    <row r="118" spans="2:17">
      <c r="B118" s="195" t="str">
        <f t="shared" si="37"/>
        <v/>
      </c>
      <c r="C118" s="507">
        <f>IF(D93="","-",+C117+1)</f>
        <v>2027</v>
      </c>
      <c r="D118" s="374">
        <f>IF(F117+SUM(E$99:E117)=D$92,F117,D$92-SUM(E$99:E117))</f>
        <v>1087097.9150837816</v>
      </c>
      <c r="E118" s="522">
        <f>IF(+J96&lt;F117,J96,D118)</f>
        <v>47556.988048780491</v>
      </c>
      <c r="F118" s="523">
        <f t="shared" si="49"/>
        <v>1039540.9270350011</v>
      </c>
      <c r="G118" s="523">
        <f t="shared" si="50"/>
        <v>1063319.4210593915</v>
      </c>
      <c r="H118" s="526">
        <f t="shared" si="51"/>
        <v>168258.86951644658</v>
      </c>
      <c r="I118" s="577">
        <f t="shared" si="52"/>
        <v>168258.86951644658</v>
      </c>
      <c r="J118" s="514">
        <f t="shared" si="31"/>
        <v>0</v>
      </c>
      <c r="K118" s="514"/>
      <c r="L118" s="525"/>
      <c r="M118" s="514">
        <f t="shared" si="32"/>
        <v>0</v>
      </c>
      <c r="N118" s="525"/>
      <c r="O118" s="514">
        <f t="shared" si="33"/>
        <v>0</v>
      </c>
      <c r="P118" s="514">
        <f t="shared" si="34"/>
        <v>0</v>
      </c>
      <c r="Q118" s="269"/>
    </row>
    <row r="119" spans="2:17">
      <c r="B119" s="195" t="str">
        <f t="shared" si="37"/>
        <v/>
      </c>
      <c r="C119" s="507">
        <f>IF(D93="","-",+C118+1)</f>
        <v>2028</v>
      </c>
      <c r="D119" s="374">
        <f>IF(F118+SUM(E$99:E118)=D$92,F118,D$92-SUM(E$99:E118))</f>
        <v>1039540.9270350011</v>
      </c>
      <c r="E119" s="522">
        <f>IF(+J96&lt;F118,J96,D119)</f>
        <v>47556.988048780491</v>
      </c>
      <c r="F119" s="523">
        <f t="shared" si="49"/>
        <v>991983.93898622063</v>
      </c>
      <c r="G119" s="523">
        <f t="shared" si="50"/>
        <v>1015762.4330106109</v>
      </c>
      <c r="H119" s="526">
        <f t="shared" si="51"/>
        <v>162860.47480951634</v>
      </c>
      <c r="I119" s="577">
        <f t="shared" si="52"/>
        <v>162860.47480951634</v>
      </c>
      <c r="J119" s="514">
        <f t="shared" si="31"/>
        <v>0</v>
      </c>
      <c r="K119" s="514"/>
      <c r="L119" s="525"/>
      <c r="M119" s="514">
        <f t="shared" si="32"/>
        <v>0</v>
      </c>
      <c r="N119" s="525"/>
      <c r="O119" s="514">
        <f t="shared" si="33"/>
        <v>0</v>
      </c>
      <c r="P119" s="514">
        <f t="shared" si="34"/>
        <v>0</v>
      </c>
      <c r="Q119" s="269"/>
    </row>
    <row r="120" spans="2:17">
      <c r="B120" s="195" t="str">
        <f t="shared" si="37"/>
        <v/>
      </c>
      <c r="C120" s="507">
        <f>IF(D93="","-",+C119+1)</f>
        <v>2029</v>
      </c>
      <c r="D120" s="374">
        <f>IF(F119+SUM(E$99:E119)=D$92,F119,D$92-SUM(E$99:E119))</f>
        <v>991983.93898622063</v>
      </c>
      <c r="E120" s="522">
        <f>IF(+J96&lt;F119,J96,D120)</f>
        <v>47556.988048780491</v>
      </c>
      <c r="F120" s="523">
        <f t="shared" si="49"/>
        <v>944426.95093744015</v>
      </c>
      <c r="G120" s="523">
        <f t="shared" si="50"/>
        <v>968205.44496183039</v>
      </c>
      <c r="H120" s="526">
        <f t="shared" si="51"/>
        <v>157462.08010258613</v>
      </c>
      <c r="I120" s="577">
        <f t="shared" si="52"/>
        <v>157462.08010258613</v>
      </c>
      <c r="J120" s="514">
        <f t="shared" si="31"/>
        <v>0</v>
      </c>
      <c r="K120" s="514"/>
      <c r="L120" s="525"/>
      <c r="M120" s="514">
        <f t="shared" si="32"/>
        <v>0</v>
      </c>
      <c r="N120" s="525"/>
      <c r="O120" s="514">
        <f t="shared" si="33"/>
        <v>0</v>
      </c>
      <c r="P120" s="514">
        <f t="shared" si="34"/>
        <v>0</v>
      </c>
      <c r="Q120" s="269"/>
    </row>
    <row r="121" spans="2:17">
      <c r="B121" s="195" t="str">
        <f t="shared" si="37"/>
        <v/>
      </c>
      <c r="C121" s="507">
        <f>IF(D93="","-",+C120+1)</f>
        <v>2030</v>
      </c>
      <c r="D121" s="374">
        <f>IF(F120+SUM(E$99:E120)=D$92,F120,D$92-SUM(E$99:E120))</f>
        <v>944426.95093744015</v>
      </c>
      <c r="E121" s="522">
        <f>IF(+J96&lt;F120,J96,D121)</f>
        <v>47556.988048780491</v>
      </c>
      <c r="F121" s="523">
        <f t="shared" si="49"/>
        <v>896869.96288865968</v>
      </c>
      <c r="G121" s="523">
        <f t="shared" si="50"/>
        <v>920648.45691304991</v>
      </c>
      <c r="H121" s="526">
        <f t="shared" si="51"/>
        <v>152063.68539565592</v>
      </c>
      <c r="I121" s="577">
        <f t="shared" si="52"/>
        <v>152063.68539565592</v>
      </c>
      <c r="J121" s="514">
        <f t="shared" si="31"/>
        <v>0</v>
      </c>
      <c r="K121" s="514"/>
      <c r="L121" s="525"/>
      <c r="M121" s="514">
        <f t="shared" si="32"/>
        <v>0</v>
      </c>
      <c r="N121" s="525"/>
      <c r="O121" s="514">
        <f t="shared" si="33"/>
        <v>0</v>
      </c>
      <c r="P121" s="514">
        <f t="shared" si="34"/>
        <v>0</v>
      </c>
      <c r="Q121" s="269"/>
    </row>
    <row r="122" spans="2:17">
      <c r="B122" s="195" t="str">
        <f t="shared" si="37"/>
        <v/>
      </c>
      <c r="C122" s="507">
        <f>IF(D93="","-",+C121+1)</f>
        <v>2031</v>
      </c>
      <c r="D122" s="374">
        <f>IF(F121+SUM(E$99:E121)=D$92,F121,D$92-SUM(E$99:E121))</f>
        <v>896869.96288865968</v>
      </c>
      <c r="E122" s="522">
        <f>IF(+J96&lt;F121,J96,D122)</f>
        <v>47556.988048780491</v>
      </c>
      <c r="F122" s="523">
        <f t="shared" si="49"/>
        <v>849312.9748398792</v>
      </c>
      <c r="G122" s="523">
        <f t="shared" si="50"/>
        <v>873091.46886426944</v>
      </c>
      <c r="H122" s="526">
        <f t="shared" si="51"/>
        <v>146665.29068872571</v>
      </c>
      <c r="I122" s="577">
        <f t="shared" si="52"/>
        <v>146665.29068872571</v>
      </c>
      <c r="J122" s="514">
        <f t="shared" si="31"/>
        <v>0</v>
      </c>
      <c r="K122" s="514"/>
      <c r="L122" s="525"/>
      <c r="M122" s="514">
        <f t="shared" si="32"/>
        <v>0</v>
      </c>
      <c r="N122" s="525"/>
      <c r="O122" s="514">
        <f t="shared" si="33"/>
        <v>0</v>
      </c>
      <c r="P122" s="514">
        <f t="shared" si="34"/>
        <v>0</v>
      </c>
      <c r="Q122" s="269"/>
    </row>
    <row r="123" spans="2:17">
      <c r="B123" s="195" t="str">
        <f t="shared" si="37"/>
        <v/>
      </c>
      <c r="C123" s="507">
        <f>IF(D93="","-",+C122+1)</f>
        <v>2032</v>
      </c>
      <c r="D123" s="374">
        <f>IF(F122+SUM(E$99:E122)=D$92,F122,D$92-SUM(E$99:E122))</f>
        <v>849312.9748398792</v>
      </c>
      <c r="E123" s="522">
        <f>IF(+J96&lt;F122,J96,D123)</f>
        <v>47556.988048780491</v>
      </c>
      <c r="F123" s="523">
        <f t="shared" si="49"/>
        <v>801755.98679109872</v>
      </c>
      <c r="G123" s="523">
        <f t="shared" si="50"/>
        <v>825534.48081548896</v>
      </c>
      <c r="H123" s="526">
        <f t="shared" si="51"/>
        <v>141266.8959817955</v>
      </c>
      <c r="I123" s="577">
        <f t="shared" si="52"/>
        <v>141266.8959817955</v>
      </c>
      <c r="J123" s="514">
        <f t="shared" si="31"/>
        <v>0</v>
      </c>
      <c r="K123" s="514"/>
      <c r="L123" s="525"/>
      <c r="M123" s="514">
        <f t="shared" si="32"/>
        <v>0</v>
      </c>
      <c r="N123" s="525"/>
      <c r="O123" s="514">
        <f t="shared" si="33"/>
        <v>0</v>
      </c>
      <c r="P123" s="514">
        <f t="shared" si="34"/>
        <v>0</v>
      </c>
      <c r="Q123" s="269"/>
    </row>
    <row r="124" spans="2:17">
      <c r="B124" s="195" t="str">
        <f t="shared" si="37"/>
        <v/>
      </c>
      <c r="C124" s="507">
        <f>IF(D93="","-",+C123+1)</f>
        <v>2033</v>
      </c>
      <c r="D124" s="374">
        <f>IF(F123+SUM(E$99:E123)=D$92,F123,D$92-SUM(E$99:E123))</f>
        <v>801755.98679109872</v>
      </c>
      <c r="E124" s="522">
        <f>IF(+J96&lt;F123,J96,D124)</f>
        <v>47556.988048780491</v>
      </c>
      <c r="F124" s="523">
        <f t="shared" si="49"/>
        <v>754198.99874231825</v>
      </c>
      <c r="G124" s="523">
        <f t="shared" si="50"/>
        <v>777977.49276670848</v>
      </c>
      <c r="H124" s="526">
        <f t="shared" si="51"/>
        <v>135868.5012748653</v>
      </c>
      <c r="I124" s="577">
        <f t="shared" si="52"/>
        <v>135868.5012748653</v>
      </c>
      <c r="J124" s="514">
        <f t="shared" si="31"/>
        <v>0</v>
      </c>
      <c r="K124" s="514"/>
      <c r="L124" s="525"/>
      <c r="M124" s="514">
        <f t="shared" si="32"/>
        <v>0</v>
      </c>
      <c r="N124" s="525"/>
      <c r="O124" s="514">
        <f t="shared" si="33"/>
        <v>0</v>
      </c>
      <c r="P124" s="514">
        <f t="shared" si="34"/>
        <v>0</v>
      </c>
      <c r="Q124" s="269"/>
    </row>
    <row r="125" spans="2:17">
      <c r="B125" s="195" t="str">
        <f t="shared" si="37"/>
        <v/>
      </c>
      <c r="C125" s="507">
        <f>IF(D93="","-",+C124+1)</f>
        <v>2034</v>
      </c>
      <c r="D125" s="374">
        <f>IF(F124+SUM(E$99:E124)=D$92,F124,D$92-SUM(E$99:E124))</f>
        <v>754198.99874231825</v>
      </c>
      <c r="E125" s="522">
        <f>IF(+J96&lt;F124,J96,D125)</f>
        <v>47556.988048780491</v>
      </c>
      <c r="F125" s="523">
        <f t="shared" si="49"/>
        <v>706642.01069353777</v>
      </c>
      <c r="G125" s="523">
        <f t="shared" si="50"/>
        <v>730420.50471792801</v>
      </c>
      <c r="H125" s="526">
        <f t="shared" si="51"/>
        <v>130470.1065679351</v>
      </c>
      <c r="I125" s="577">
        <f t="shared" si="52"/>
        <v>130470.1065679351</v>
      </c>
      <c r="J125" s="514">
        <f t="shared" si="31"/>
        <v>0</v>
      </c>
      <c r="K125" s="514"/>
      <c r="L125" s="525"/>
      <c r="M125" s="514">
        <f t="shared" si="32"/>
        <v>0</v>
      </c>
      <c r="N125" s="525"/>
      <c r="O125" s="514">
        <f t="shared" si="33"/>
        <v>0</v>
      </c>
      <c r="P125" s="514">
        <f t="shared" si="34"/>
        <v>0</v>
      </c>
      <c r="Q125" s="269"/>
    </row>
    <row r="126" spans="2:17">
      <c r="B126" s="195" t="str">
        <f t="shared" si="37"/>
        <v/>
      </c>
      <c r="C126" s="507">
        <f>IF(D93="","-",+C125+1)</f>
        <v>2035</v>
      </c>
      <c r="D126" s="374">
        <f>IF(F125+SUM(E$99:E125)=D$92,F125,D$92-SUM(E$99:E125))</f>
        <v>706642.01069353777</v>
      </c>
      <c r="E126" s="522">
        <f>IF(+J96&lt;F125,J96,D126)</f>
        <v>47556.988048780491</v>
      </c>
      <c r="F126" s="523">
        <f t="shared" si="49"/>
        <v>659085.02264475729</v>
      </c>
      <c r="G126" s="523">
        <f t="shared" si="50"/>
        <v>682863.51666914753</v>
      </c>
      <c r="H126" s="526">
        <f t="shared" si="51"/>
        <v>125071.71186100488</v>
      </c>
      <c r="I126" s="577">
        <f t="shared" si="52"/>
        <v>125071.71186100488</v>
      </c>
      <c r="J126" s="514">
        <f t="shared" si="31"/>
        <v>0</v>
      </c>
      <c r="K126" s="514"/>
      <c r="L126" s="525"/>
      <c r="M126" s="514">
        <f t="shared" si="32"/>
        <v>0</v>
      </c>
      <c r="N126" s="525"/>
      <c r="O126" s="514">
        <f t="shared" si="33"/>
        <v>0</v>
      </c>
      <c r="P126" s="514">
        <f t="shared" si="34"/>
        <v>0</v>
      </c>
      <c r="Q126" s="269"/>
    </row>
    <row r="127" spans="2:17">
      <c r="B127" s="195" t="str">
        <f t="shared" si="37"/>
        <v/>
      </c>
      <c r="C127" s="507">
        <f>IF(D93="","-",+C126+1)</f>
        <v>2036</v>
      </c>
      <c r="D127" s="374">
        <f>IF(F126+SUM(E$99:E126)=D$92,F126,D$92-SUM(E$99:E126))</f>
        <v>659085.02264475729</v>
      </c>
      <c r="E127" s="522">
        <f>IF(+J96&lt;F126,J96,D127)</f>
        <v>47556.988048780491</v>
      </c>
      <c r="F127" s="523">
        <f t="shared" si="49"/>
        <v>611528.03459597682</v>
      </c>
      <c r="G127" s="523">
        <f t="shared" si="50"/>
        <v>635306.52862036705</v>
      </c>
      <c r="H127" s="526">
        <f t="shared" si="51"/>
        <v>119673.31715407467</v>
      </c>
      <c r="I127" s="577">
        <f t="shared" si="52"/>
        <v>119673.31715407467</v>
      </c>
      <c r="J127" s="514">
        <f t="shared" si="31"/>
        <v>0</v>
      </c>
      <c r="K127" s="514"/>
      <c r="L127" s="525"/>
      <c r="M127" s="514">
        <f t="shared" si="32"/>
        <v>0</v>
      </c>
      <c r="N127" s="525"/>
      <c r="O127" s="514">
        <f t="shared" si="33"/>
        <v>0</v>
      </c>
      <c r="P127" s="514">
        <f t="shared" si="34"/>
        <v>0</v>
      </c>
      <c r="Q127" s="269"/>
    </row>
    <row r="128" spans="2:17">
      <c r="B128" s="195" t="str">
        <f t="shared" si="37"/>
        <v/>
      </c>
      <c r="C128" s="507">
        <f>IF(D93="","-",+C127+1)</f>
        <v>2037</v>
      </c>
      <c r="D128" s="374">
        <f>IF(F127+SUM(E$99:E127)=D$92,F127,D$92-SUM(E$99:E127))</f>
        <v>611528.03459597682</v>
      </c>
      <c r="E128" s="522">
        <f>IF(+J96&lt;F127,J96,D128)</f>
        <v>47556.988048780491</v>
      </c>
      <c r="F128" s="523">
        <f t="shared" si="49"/>
        <v>563971.04654719634</v>
      </c>
      <c r="G128" s="523">
        <f t="shared" si="50"/>
        <v>587749.54057158658</v>
      </c>
      <c r="H128" s="526">
        <f t="shared" si="51"/>
        <v>114274.92244714446</v>
      </c>
      <c r="I128" s="577">
        <f t="shared" si="52"/>
        <v>114274.92244714446</v>
      </c>
      <c r="J128" s="514">
        <f t="shared" si="31"/>
        <v>0</v>
      </c>
      <c r="K128" s="514"/>
      <c r="L128" s="525"/>
      <c r="M128" s="514">
        <f t="shared" si="32"/>
        <v>0</v>
      </c>
      <c r="N128" s="525"/>
      <c r="O128" s="514">
        <f t="shared" si="33"/>
        <v>0</v>
      </c>
      <c r="P128" s="514">
        <f t="shared" si="34"/>
        <v>0</v>
      </c>
      <c r="Q128" s="269"/>
    </row>
    <row r="129" spans="2:17">
      <c r="B129" s="195" t="str">
        <f t="shared" si="37"/>
        <v/>
      </c>
      <c r="C129" s="507">
        <f>IF(D93="","-",+C128+1)</f>
        <v>2038</v>
      </c>
      <c r="D129" s="374">
        <f>IF(F128+SUM(E$99:E128)=D$92,F128,D$92-SUM(E$99:E128))</f>
        <v>563971.04654719634</v>
      </c>
      <c r="E129" s="522">
        <f>IF(+J96&lt;F128,J96,D129)</f>
        <v>47556.988048780491</v>
      </c>
      <c r="F129" s="523">
        <f t="shared" si="49"/>
        <v>516414.05849841586</v>
      </c>
      <c r="G129" s="523">
        <f t="shared" si="50"/>
        <v>540192.5525228061</v>
      </c>
      <c r="H129" s="526">
        <f t="shared" si="51"/>
        <v>108876.52774021425</v>
      </c>
      <c r="I129" s="577">
        <f t="shared" si="52"/>
        <v>108876.52774021425</v>
      </c>
      <c r="J129" s="514">
        <f t="shared" si="31"/>
        <v>0</v>
      </c>
      <c r="K129" s="514"/>
      <c r="L129" s="525"/>
      <c r="M129" s="514">
        <f t="shared" si="32"/>
        <v>0</v>
      </c>
      <c r="N129" s="525"/>
      <c r="O129" s="514">
        <f t="shared" si="33"/>
        <v>0</v>
      </c>
      <c r="P129" s="514">
        <f t="shared" si="34"/>
        <v>0</v>
      </c>
      <c r="Q129" s="269"/>
    </row>
    <row r="130" spans="2:17">
      <c r="B130" s="195" t="str">
        <f t="shared" si="37"/>
        <v/>
      </c>
      <c r="C130" s="507">
        <f>IF(D93="","-",+C129+1)</f>
        <v>2039</v>
      </c>
      <c r="D130" s="374">
        <f>IF(F129+SUM(E$99:E129)=D$92,F129,D$92-SUM(E$99:E129))</f>
        <v>516414.05849841586</v>
      </c>
      <c r="E130" s="522">
        <f>IF(+J96&lt;F129,J96,D130)</f>
        <v>47556.988048780491</v>
      </c>
      <c r="F130" s="523">
        <f t="shared" si="49"/>
        <v>468857.07044963539</v>
      </c>
      <c r="G130" s="523">
        <f t="shared" si="50"/>
        <v>492635.56447402562</v>
      </c>
      <c r="H130" s="526">
        <f t="shared" si="51"/>
        <v>103478.13303328404</v>
      </c>
      <c r="I130" s="577">
        <f t="shared" si="52"/>
        <v>103478.13303328404</v>
      </c>
      <c r="J130" s="514">
        <f t="shared" si="31"/>
        <v>0</v>
      </c>
      <c r="K130" s="514"/>
      <c r="L130" s="525"/>
      <c r="M130" s="514">
        <f t="shared" si="32"/>
        <v>0</v>
      </c>
      <c r="N130" s="525"/>
      <c r="O130" s="514">
        <f t="shared" si="33"/>
        <v>0</v>
      </c>
      <c r="P130" s="514">
        <f t="shared" si="34"/>
        <v>0</v>
      </c>
      <c r="Q130" s="269"/>
    </row>
    <row r="131" spans="2:17">
      <c r="B131" s="195" t="str">
        <f t="shared" si="37"/>
        <v/>
      </c>
      <c r="C131" s="507">
        <f>IF(D93="","-",+C130+1)</f>
        <v>2040</v>
      </c>
      <c r="D131" s="374">
        <f>IF(F130+SUM(E$99:E130)=D$92,F130,D$92-SUM(E$99:E130))</f>
        <v>468857.07044963539</v>
      </c>
      <c r="E131" s="522">
        <f>IF(+J96&lt;F130,J96,D131)</f>
        <v>47556.988048780491</v>
      </c>
      <c r="F131" s="523">
        <f t="shared" ref="F131:F154" si="53">+D131-E131</f>
        <v>421300.08240085491</v>
      </c>
      <c r="G131" s="523">
        <f t="shared" ref="G131:G154" si="54">+(F131+D131)/2</f>
        <v>445078.57642524515</v>
      </c>
      <c r="H131" s="526">
        <f t="shared" si="51"/>
        <v>98079.738326353836</v>
      </c>
      <c r="I131" s="577">
        <f t="shared" si="52"/>
        <v>98079.738326353836</v>
      </c>
      <c r="J131" s="514">
        <f t="shared" ref="J131:J154" si="55">+I131-H131</f>
        <v>0</v>
      </c>
      <c r="K131" s="514"/>
      <c r="L131" s="525"/>
      <c r="M131" s="514">
        <f t="shared" ref="M131:M154" si="56">IF(L131&lt;&gt;0,+H131-L131,0)</f>
        <v>0</v>
      </c>
      <c r="N131" s="525"/>
      <c r="O131" s="514">
        <f t="shared" ref="O131:O154" si="57">IF(N131&lt;&gt;0,+I131-N131,0)</f>
        <v>0</v>
      </c>
      <c r="P131" s="514">
        <f t="shared" ref="P131:P154" si="58">+O131-M131</f>
        <v>0</v>
      </c>
      <c r="Q131" s="269"/>
    </row>
    <row r="132" spans="2:17">
      <c r="B132" s="195" t="str">
        <f t="shared" si="37"/>
        <v/>
      </c>
      <c r="C132" s="507">
        <f>IF(D93="","-",+C131+1)</f>
        <v>2041</v>
      </c>
      <c r="D132" s="374">
        <f>IF(F131+SUM(E$99:E131)=D$92,F131,D$92-SUM(E$99:E131))</f>
        <v>421300.08240085491</v>
      </c>
      <c r="E132" s="522">
        <f>IF(+J96&lt;F131,J96,D132)</f>
        <v>47556.988048780491</v>
      </c>
      <c r="F132" s="523">
        <f t="shared" si="53"/>
        <v>373743.09435207443</v>
      </c>
      <c r="G132" s="523">
        <f t="shared" si="54"/>
        <v>397521.58837646467</v>
      </c>
      <c r="H132" s="526">
        <f t="shared" si="51"/>
        <v>92681.343619423627</v>
      </c>
      <c r="I132" s="577">
        <f t="shared" si="52"/>
        <v>92681.343619423627</v>
      </c>
      <c r="J132" s="514">
        <f t="shared" si="55"/>
        <v>0</v>
      </c>
      <c r="K132" s="514"/>
      <c r="L132" s="525"/>
      <c r="M132" s="514">
        <f t="shared" si="56"/>
        <v>0</v>
      </c>
      <c r="N132" s="525"/>
      <c r="O132" s="514">
        <f t="shared" si="57"/>
        <v>0</v>
      </c>
      <c r="P132" s="514">
        <f t="shared" si="58"/>
        <v>0</v>
      </c>
      <c r="Q132" s="269"/>
    </row>
    <row r="133" spans="2:17">
      <c r="B133" s="195" t="str">
        <f t="shared" si="37"/>
        <v/>
      </c>
      <c r="C133" s="507">
        <f>IF(D93="","-",+C132+1)</f>
        <v>2042</v>
      </c>
      <c r="D133" s="374">
        <f>IF(F132+SUM(E$99:E132)=D$92,F132,D$92-SUM(E$99:E132))</f>
        <v>373743.09435207443</v>
      </c>
      <c r="E133" s="522">
        <f>IF(+J96&lt;F132,J96,D133)</f>
        <v>47556.988048780491</v>
      </c>
      <c r="F133" s="523">
        <f t="shared" si="53"/>
        <v>326186.10630329396</v>
      </c>
      <c r="G133" s="523">
        <f t="shared" si="54"/>
        <v>349964.60032768419</v>
      </c>
      <c r="H133" s="526">
        <f t="shared" si="51"/>
        <v>87282.948912493419</v>
      </c>
      <c r="I133" s="577">
        <f t="shared" si="52"/>
        <v>87282.948912493419</v>
      </c>
      <c r="J133" s="514">
        <f t="shared" si="55"/>
        <v>0</v>
      </c>
      <c r="K133" s="514"/>
      <c r="L133" s="525"/>
      <c r="M133" s="514">
        <f t="shared" si="56"/>
        <v>0</v>
      </c>
      <c r="N133" s="525"/>
      <c r="O133" s="514">
        <f t="shared" si="57"/>
        <v>0</v>
      </c>
      <c r="P133" s="514">
        <f t="shared" si="58"/>
        <v>0</v>
      </c>
      <c r="Q133" s="269"/>
    </row>
    <row r="134" spans="2:17">
      <c r="B134" s="195" t="str">
        <f t="shared" si="37"/>
        <v/>
      </c>
      <c r="C134" s="507">
        <f>IF(D93="","-",+C133+1)</f>
        <v>2043</v>
      </c>
      <c r="D134" s="374">
        <f>IF(F133+SUM(E$99:E133)=D$92,F133,D$92-SUM(E$99:E133))</f>
        <v>326186.10630329396</v>
      </c>
      <c r="E134" s="522">
        <f>IF(+J96&lt;F133,J96,D134)</f>
        <v>47556.988048780491</v>
      </c>
      <c r="F134" s="523">
        <f t="shared" si="53"/>
        <v>278629.11825451348</v>
      </c>
      <c r="G134" s="523">
        <f t="shared" si="54"/>
        <v>302407.61227890372</v>
      </c>
      <c r="H134" s="526">
        <f t="shared" si="51"/>
        <v>81884.55420556321</v>
      </c>
      <c r="I134" s="577">
        <f t="shared" si="52"/>
        <v>81884.55420556321</v>
      </c>
      <c r="J134" s="514">
        <f t="shared" si="55"/>
        <v>0</v>
      </c>
      <c r="K134" s="514"/>
      <c r="L134" s="525"/>
      <c r="M134" s="514">
        <f t="shared" si="56"/>
        <v>0</v>
      </c>
      <c r="N134" s="525"/>
      <c r="O134" s="514">
        <f t="shared" si="57"/>
        <v>0</v>
      </c>
      <c r="P134" s="514">
        <f t="shared" si="58"/>
        <v>0</v>
      </c>
      <c r="Q134" s="269"/>
    </row>
    <row r="135" spans="2:17">
      <c r="B135" s="195" t="str">
        <f t="shared" si="37"/>
        <v/>
      </c>
      <c r="C135" s="507">
        <f>IF(D93="","-",+C134+1)</f>
        <v>2044</v>
      </c>
      <c r="D135" s="374">
        <f>IF(F134+SUM(E$99:E134)=D$92,F134,D$92-SUM(E$99:E134))</f>
        <v>278629.11825451348</v>
      </c>
      <c r="E135" s="522">
        <f>IF(+J96&lt;F134,J96,D135)</f>
        <v>47556.988048780491</v>
      </c>
      <c r="F135" s="523">
        <f t="shared" si="53"/>
        <v>231072.130205733</v>
      </c>
      <c r="G135" s="523">
        <f t="shared" si="54"/>
        <v>254850.62423012324</v>
      </c>
      <c r="H135" s="526">
        <f t="shared" si="51"/>
        <v>76486.159498633002</v>
      </c>
      <c r="I135" s="577">
        <f t="shared" si="52"/>
        <v>76486.159498633002</v>
      </c>
      <c r="J135" s="514">
        <f t="shared" si="55"/>
        <v>0</v>
      </c>
      <c r="K135" s="514"/>
      <c r="L135" s="525"/>
      <c r="M135" s="514">
        <f t="shared" si="56"/>
        <v>0</v>
      </c>
      <c r="N135" s="525"/>
      <c r="O135" s="514">
        <f t="shared" si="57"/>
        <v>0</v>
      </c>
      <c r="P135" s="514">
        <f t="shared" si="58"/>
        <v>0</v>
      </c>
      <c r="Q135" s="269"/>
    </row>
    <row r="136" spans="2:17">
      <c r="B136" s="195" t="str">
        <f t="shared" si="37"/>
        <v/>
      </c>
      <c r="C136" s="507">
        <f>IF(D93="","-",+C135+1)</f>
        <v>2045</v>
      </c>
      <c r="D136" s="374">
        <f>IF(F135+SUM(E$99:E135)=D$92,F135,D$92-SUM(E$99:E135))</f>
        <v>231072.130205733</v>
      </c>
      <c r="E136" s="522">
        <f>IF(+J96&lt;F135,J96,D136)</f>
        <v>47556.988048780491</v>
      </c>
      <c r="F136" s="523">
        <f t="shared" si="53"/>
        <v>183515.14215695253</v>
      </c>
      <c r="G136" s="523">
        <f t="shared" si="54"/>
        <v>207293.63618134276</v>
      </c>
      <c r="H136" s="526">
        <f t="shared" si="51"/>
        <v>71087.764791702793</v>
      </c>
      <c r="I136" s="577">
        <f t="shared" si="52"/>
        <v>71087.764791702793</v>
      </c>
      <c r="J136" s="514">
        <f t="shared" si="55"/>
        <v>0</v>
      </c>
      <c r="K136" s="514"/>
      <c r="L136" s="525"/>
      <c r="M136" s="514">
        <f t="shared" si="56"/>
        <v>0</v>
      </c>
      <c r="N136" s="525"/>
      <c r="O136" s="514">
        <f t="shared" si="57"/>
        <v>0</v>
      </c>
      <c r="P136" s="514">
        <f t="shared" si="58"/>
        <v>0</v>
      </c>
      <c r="Q136" s="269"/>
    </row>
    <row r="137" spans="2:17">
      <c r="B137" s="195" t="str">
        <f t="shared" si="37"/>
        <v/>
      </c>
      <c r="C137" s="507">
        <f>IF(D93="","-",+C136+1)</f>
        <v>2046</v>
      </c>
      <c r="D137" s="374">
        <f>IF(F136+SUM(E$99:E136)=D$92,F136,D$92-SUM(E$99:E136))</f>
        <v>183515.14215695253</v>
      </c>
      <c r="E137" s="522">
        <f>IF(+J96&lt;F136,J96,D137)</f>
        <v>47556.988048780491</v>
      </c>
      <c r="F137" s="523">
        <f t="shared" si="53"/>
        <v>135958.15410817205</v>
      </c>
      <c r="G137" s="523">
        <f t="shared" si="54"/>
        <v>159736.64813256229</v>
      </c>
      <c r="H137" s="526">
        <f t="shared" si="51"/>
        <v>65689.370084772585</v>
      </c>
      <c r="I137" s="577">
        <f t="shared" si="52"/>
        <v>65689.370084772585</v>
      </c>
      <c r="J137" s="514">
        <f t="shared" si="55"/>
        <v>0</v>
      </c>
      <c r="K137" s="514"/>
      <c r="L137" s="525"/>
      <c r="M137" s="514">
        <f t="shared" si="56"/>
        <v>0</v>
      </c>
      <c r="N137" s="525"/>
      <c r="O137" s="514">
        <f t="shared" si="57"/>
        <v>0</v>
      </c>
      <c r="P137" s="514">
        <f t="shared" si="58"/>
        <v>0</v>
      </c>
      <c r="Q137" s="269"/>
    </row>
    <row r="138" spans="2:17">
      <c r="B138" s="195" t="str">
        <f t="shared" si="37"/>
        <v/>
      </c>
      <c r="C138" s="507">
        <f>IF(D93="","-",+C137+1)</f>
        <v>2047</v>
      </c>
      <c r="D138" s="374">
        <f>IF(F137+SUM(E$99:E137)=D$92,F137,D$92-SUM(E$99:E137))</f>
        <v>135958.15410817205</v>
      </c>
      <c r="E138" s="522">
        <f>IF(+J96&lt;F137,J96,D138)</f>
        <v>47556.988048780491</v>
      </c>
      <c r="F138" s="523">
        <f t="shared" si="53"/>
        <v>88401.166059391559</v>
      </c>
      <c r="G138" s="523">
        <f t="shared" si="54"/>
        <v>112179.66008378181</v>
      </c>
      <c r="H138" s="526">
        <f t="shared" si="51"/>
        <v>60290.975377842369</v>
      </c>
      <c r="I138" s="577">
        <f t="shared" si="52"/>
        <v>60290.975377842369</v>
      </c>
      <c r="J138" s="514">
        <f t="shared" si="55"/>
        <v>0</v>
      </c>
      <c r="K138" s="514"/>
      <c r="L138" s="525"/>
      <c r="M138" s="514">
        <f t="shared" si="56"/>
        <v>0</v>
      </c>
      <c r="N138" s="525"/>
      <c r="O138" s="514">
        <f t="shared" si="57"/>
        <v>0</v>
      </c>
      <c r="P138" s="514">
        <f t="shared" si="58"/>
        <v>0</v>
      </c>
      <c r="Q138" s="269"/>
    </row>
    <row r="139" spans="2:17">
      <c r="B139" s="195" t="str">
        <f t="shared" si="37"/>
        <v/>
      </c>
      <c r="C139" s="507">
        <f>IF(D93="","-",+C138+1)</f>
        <v>2048</v>
      </c>
      <c r="D139" s="374">
        <f>IF(F138+SUM(E$99:E138)=D$92,F138,D$92-SUM(E$99:E138))</f>
        <v>88401.166059391559</v>
      </c>
      <c r="E139" s="522">
        <f>IF(+J96&lt;F138,J96,D139)</f>
        <v>47556.988048780491</v>
      </c>
      <c r="F139" s="523">
        <f t="shared" si="53"/>
        <v>40844.178010611067</v>
      </c>
      <c r="G139" s="523">
        <f t="shared" si="54"/>
        <v>64622.672035001313</v>
      </c>
      <c r="H139" s="526">
        <f t="shared" si="51"/>
        <v>54892.580670912161</v>
      </c>
      <c r="I139" s="577">
        <f t="shared" si="52"/>
        <v>54892.580670912161</v>
      </c>
      <c r="J139" s="514">
        <f t="shared" si="55"/>
        <v>0</v>
      </c>
      <c r="K139" s="514"/>
      <c r="L139" s="525"/>
      <c r="M139" s="514">
        <f t="shared" si="56"/>
        <v>0</v>
      </c>
      <c r="N139" s="525"/>
      <c r="O139" s="514">
        <f t="shared" si="57"/>
        <v>0</v>
      </c>
      <c r="P139" s="514">
        <f t="shared" si="58"/>
        <v>0</v>
      </c>
      <c r="Q139" s="269"/>
    </row>
    <row r="140" spans="2:17">
      <c r="B140" s="195" t="str">
        <f t="shared" si="37"/>
        <v/>
      </c>
      <c r="C140" s="507">
        <f>IF(D93="","-",+C139+1)</f>
        <v>2049</v>
      </c>
      <c r="D140" s="374">
        <f>IF(F139+SUM(E$99:E139)=D$92,F139,D$92-SUM(E$99:E139))</f>
        <v>40844.178010611067</v>
      </c>
      <c r="E140" s="522">
        <f>IF(+J96&lt;F139,J96,D140)</f>
        <v>40844.178010611067</v>
      </c>
      <c r="F140" s="523">
        <f t="shared" si="53"/>
        <v>0</v>
      </c>
      <c r="G140" s="523">
        <f t="shared" si="54"/>
        <v>20422.089005305534</v>
      </c>
      <c r="H140" s="526">
        <f t="shared" si="51"/>
        <v>43162.375644944346</v>
      </c>
      <c r="I140" s="577">
        <f t="shared" si="52"/>
        <v>43162.375644944346</v>
      </c>
      <c r="J140" s="514">
        <f t="shared" si="55"/>
        <v>0</v>
      </c>
      <c r="K140" s="514"/>
      <c r="L140" s="525"/>
      <c r="M140" s="514">
        <f t="shared" si="56"/>
        <v>0</v>
      </c>
      <c r="N140" s="525"/>
      <c r="O140" s="514">
        <f t="shared" si="57"/>
        <v>0</v>
      </c>
      <c r="P140" s="514">
        <f t="shared" si="58"/>
        <v>0</v>
      </c>
      <c r="Q140" s="269"/>
    </row>
    <row r="141" spans="2:17">
      <c r="B141" s="195" t="str">
        <f t="shared" si="37"/>
        <v/>
      </c>
      <c r="C141" s="507">
        <f>IF(D93="","-",+C140+1)</f>
        <v>2050</v>
      </c>
      <c r="D141" s="374">
        <f>IF(F140+SUM(E$99:E140)=D$92,F140,D$92-SUM(E$99:E140))</f>
        <v>0</v>
      </c>
      <c r="E141" s="522">
        <f>IF(+J96&lt;F140,J96,D141)</f>
        <v>0</v>
      </c>
      <c r="F141" s="523">
        <f t="shared" si="53"/>
        <v>0</v>
      </c>
      <c r="G141" s="523">
        <f t="shared" si="54"/>
        <v>0</v>
      </c>
      <c r="H141" s="526">
        <f t="shared" si="51"/>
        <v>0</v>
      </c>
      <c r="I141" s="577">
        <f t="shared" si="52"/>
        <v>0</v>
      </c>
      <c r="J141" s="514">
        <f t="shared" si="55"/>
        <v>0</v>
      </c>
      <c r="K141" s="514"/>
      <c r="L141" s="525"/>
      <c r="M141" s="514">
        <f t="shared" si="56"/>
        <v>0</v>
      </c>
      <c r="N141" s="525"/>
      <c r="O141" s="514">
        <f t="shared" si="57"/>
        <v>0</v>
      </c>
      <c r="P141" s="514">
        <f t="shared" si="58"/>
        <v>0</v>
      </c>
      <c r="Q141" s="269"/>
    </row>
    <row r="142" spans="2:17">
      <c r="B142" s="195" t="str">
        <f t="shared" si="37"/>
        <v/>
      </c>
      <c r="C142" s="507">
        <f>IF(D93="","-",+C141+1)</f>
        <v>2051</v>
      </c>
      <c r="D142" s="374">
        <f>IF(F141+SUM(E$99:E141)=D$92,F141,D$92-SUM(E$99:E141))</f>
        <v>0</v>
      </c>
      <c r="E142" s="522">
        <f>IF(+J96&lt;F141,J96,D142)</f>
        <v>0</v>
      </c>
      <c r="F142" s="523">
        <f t="shared" si="53"/>
        <v>0</v>
      </c>
      <c r="G142" s="523">
        <f t="shared" si="54"/>
        <v>0</v>
      </c>
      <c r="H142" s="526">
        <f t="shared" si="51"/>
        <v>0</v>
      </c>
      <c r="I142" s="577">
        <f t="shared" si="52"/>
        <v>0</v>
      </c>
      <c r="J142" s="514">
        <f t="shared" si="55"/>
        <v>0</v>
      </c>
      <c r="K142" s="514"/>
      <c r="L142" s="525"/>
      <c r="M142" s="514">
        <f t="shared" si="56"/>
        <v>0</v>
      </c>
      <c r="N142" s="525"/>
      <c r="O142" s="514">
        <f t="shared" si="57"/>
        <v>0</v>
      </c>
      <c r="P142" s="514">
        <f t="shared" si="58"/>
        <v>0</v>
      </c>
      <c r="Q142" s="269"/>
    </row>
    <row r="143" spans="2:17">
      <c r="B143" s="195" t="str">
        <f t="shared" si="37"/>
        <v/>
      </c>
      <c r="C143" s="507">
        <f>IF(D93="","-",+C142+1)</f>
        <v>2052</v>
      </c>
      <c r="D143" s="374">
        <f>IF(F142+SUM(E$99:E142)=D$92,F142,D$92-SUM(E$99:E142))</f>
        <v>0</v>
      </c>
      <c r="E143" s="522">
        <f>IF(+J96&lt;F142,J96,D143)</f>
        <v>0</v>
      </c>
      <c r="F143" s="523">
        <f t="shared" si="53"/>
        <v>0</v>
      </c>
      <c r="G143" s="523">
        <f t="shared" si="54"/>
        <v>0</v>
      </c>
      <c r="H143" s="526">
        <f t="shared" si="51"/>
        <v>0</v>
      </c>
      <c r="I143" s="577">
        <f t="shared" si="52"/>
        <v>0</v>
      </c>
      <c r="J143" s="514">
        <f t="shared" si="55"/>
        <v>0</v>
      </c>
      <c r="K143" s="514"/>
      <c r="L143" s="525"/>
      <c r="M143" s="514">
        <f t="shared" si="56"/>
        <v>0</v>
      </c>
      <c r="N143" s="525"/>
      <c r="O143" s="514">
        <f t="shared" si="57"/>
        <v>0</v>
      </c>
      <c r="P143" s="514">
        <f t="shared" si="58"/>
        <v>0</v>
      </c>
      <c r="Q143" s="269"/>
    </row>
    <row r="144" spans="2:17">
      <c r="B144" s="195" t="str">
        <f t="shared" si="37"/>
        <v/>
      </c>
      <c r="C144" s="507">
        <f>IF(D93="","-",+C143+1)</f>
        <v>2053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53"/>
        <v>0</v>
      </c>
      <c r="G144" s="523">
        <f t="shared" si="54"/>
        <v>0</v>
      </c>
      <c r="H144" s="526">
        <f t="shared" si="51"/>
        <v>0</v>
      </c>
      <c r="I144" s="577">
        <f t="shared" si="52"/>
        <v>0</v>
      </c>
      <c r="J144" s="514">
        <f t="shared" si="55"/>
        <v>0</v>
      </c>
      <c r="K144" s="514"/>
      <c r="L144" s="525"/>
      <c r="M144" s="514">
        <f t="shared" si="56"/>
        <v>0</v>
      </c>
      <c r="N144" s="525"/>
      <c r="O144" s="514">
        <f t="shared" si="57"/>
        <v>0</v>
      </c>
      <c r="P144" s="514">
        <f t="shared" si="58"/>
        <v>0</v>
      </c>
      <c r="Q144" s="269"/>
    </row>
    <row r="145" spans="2:17">
      <c r="B145" s="195" t="str">
        <f t="shared" si="37"/>
        <v/>
      </c>
      <c r="C145" s="507">
        <f>IF(D93="","-",+C144+1)</f>
        <v>2054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53"/>
        <v>0</v>
      </c>
      <c r="G145" s="523">
        <f t="shared" si="54"/>
        <v>0</v>
      </c>
      <c r="H145" s="526">
        <f t="shared" si="51"/>
        <v>0</v>
      </c>
      <c r="I145" s="577">
        <f t="shared" si="52"/>
        <v>0</v>
      </c>
      <c r="J145" s="514">
        <f t="shared" si="55"/>
        <v>0</v>
      </c>
      <c r="K145" s="514"/>
      <c r="L145" s="525"/>
      <c r="M145" s="514">
        <f t="shared" si="56"/>
        <v>0</v>
      </c>
      <c r="N145" s="525"/>
      <c r="O145" s="514">
        <f t="shared" si="57"/>
        <v>0</v>
      </c>
      <c r="P145" s="514">
        <f t="shared" si="58"/>
        <v>0</v>
      </c>
      <c r="Q145" s="269"/>
    </row>
    <row r="146" spans="2:17">
      <c r="B146" s="195" t="str">
        <f t="shared" si="37"/>
        <v/>
      </c>
      <c r="C146" s="507">
        <f>IF(D93="","-",+C145+1)</f>
        <v>2055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53"/>
        <v>0</v>
      </c>
      <c r="G146" s="523">
        <f t="shared" si="54"/>
        <v>0</v>
      </c>
      <c r="H146" s="526">
        <f t="shared" si="51"/>
        <v>0</v>
      </c>
      <c r="I146" s="577">
        <f t="shared" si="52"/>
        <v>0</v>
      </c>
      <c r="J146" s="514">
        <f t="shared" si="55"/>
        <v>0</v>
      </c>
      <c r="K146" s="514"/>
      <c r="L146" s="525"/>
      <c r="M146" s="514">
        <f t="shared" si="56"/>
        <v>0</v>
      </c>
      <c r="N146" s="525"/>
      <c r="O146" s="514">
        <f t="shared" si="57"/>
        <v>0</v>
      </c>
      <c r="P146" s="514">
        <f t="shared" si="58"/>
        <v>0</v>
      </c>
      <c r="Q146" s="269"/>
    </row>
    <row r="147" spans="2:17">
      <c r="B147" s="195" t="str">
        <f t="shared" si="37"/>
        <v/>
      </c>
      <c r="C147" s="507">
        <f>IF(D93="","-",+C146+1)</f>
        <v>2056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53"/>
        <v>0</v>
      </c>
      <c r="G147" s="523">
        <f t="shared" si="54"/>
        <v>0</v>
      </c>
      <c r="H147" s="526">
        <f t="shared" si="51"/>
        <v>0</v>
      </c>
      <c r="I147" s="577">
        <f t="shared" si="52"/>
        <v>0</v>
      </c>
      <c r="J147" s="514">
        <f t="shared" si="55"/>
        <v>0</v>
      </c>
      <c r="K147" s="514"/>
      <c r="L147" s="525"/>
      <c r="M147" s="514">
        <f t="shared" si="56"/>
        <v>0</v>
      </c>
      <c r="N147" s="525"/>
      <c r="O147" s="514">
        <f t="shared" si="57"/>
        <v>0</v>
      </c>
      <c r="P147" s="514">
        <f t="shared" si="58"/>
        <v>0</v>
      </c>
      <c r="Q147" s="269"/>
    </row>
    <row r="148" spans="2:17">
      <c r="B148" s="195" t="str">
        <f t="shared" si="37"/>
        <v/>
      </c>
      <c r="C148" s="507">
        <f>IF(D93="","-",+C147+1)</f>
        <v>2057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53"/>
        <v>0</v>
      </c>
      <c r="G148" s="523">
        <f t="shared" si="54"/>
        <v>0</v>
      </c>
      <c r="H148" s="526">
        <f t="shared" si="51"/>
        <v>0</v>
      </c>
      <c r="I148" s="577">
        <f t="shared" si="52"/>
        <v>0</v>
      </c>
      <c r="J148" s="514">
        <f t="shared" si="55"/>
        <v>0</v>
      </c>
      <c r="K148" s="514"/>
      <c r="L148" s="525"/>
      <c r="M148" s="514">
        <f t="shared" si="56"/>
        <v>0</v>
      </c>
      <c r="N148" s="525"/>
      <c r="O148" s="514">
        <f t="shared" si="57"/>
        <v>0</v>
      </c>
      <c r="P148" s="514">
        <f t="shared" si="58"/>
        <v>0</v>
      </c>
      <c r="Q148" s="269"/>
    </row>
    <row r="149" spans="2:17">
      <c r="B149" s="195" t="str">
        <f t="shared" si="37"/>
        <v/>
      </c>
      <c r="C149" s="507">
        <f>IF(D93="","-",+C148+1)</f>
        <v>2058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53"/>
        <v>0</v>
      </c>
      <c r="G149" s="523">
        <f t="shared" si="54"/>
        <v>0</v>
      </c>
      <c r="H149" s="526">
        <f t="shared" si="51"/>
        <v>0</v>
      </c>
      <c r="I149" s="577">
        <f t="shared" si="52"/>
        <v>0</v>
      </c>
      <c r="J149" s="514">
        <f t="shared" si="55"/>
        <v>0</v>
      </c>
      <c r="K149" s="514"/>
      <c r="L149" s="525"/>
      <c r="M149" s="514">
        <f t="shared" si="56"/>
        <v>0</v>
      </c>
      <c r="N149" s="525"/>
      <c r="O149" s="514">
        <f t="shared" si="57"/>
        <v>0</v>
      </c>
      <c r="P149" s="514">
        <f t="shared" si="58"/>
        <v>0</v>
      </c>
      <c r="Q149" s="269"/>
    </row>
    <row r="150" spans="2:17">
      <c r="B150" s="195" t="str">
        <f t="shared" si="37"/>
        <v/>
      </c>
      <c r="C150" s="507">
        <f>IF(D93="","-",+C149+1)</f>
        <v>2059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53"/>
        <v>0</v>
      </c>
      <c r="G150" s="523">
        <f t="shared" si="54"/>
        <v>0</v>
      </c>
      <c r="H150" s="526">
        <f t="shared" si="51"/>
        <v>0</v>
      </c>
      <c r="I150" s="577">
        <f t="shared" si="52"/>
        <v>0</v>
      </c>
      <c r="J150" s="514">
        <f t="shared" si="55"/>
        <v>0</v>
      </c>
      <c r="K150" s="514"/>
      <c r="L150" s="525"/>
      <c r="M150" s="514">
        <f t="shared" si="56"/>
        <v>0</v>
      </c>
      <c r="N150" s="525"/>
      <c r="O150" s="514">
        <f t="shared" si="57"/>
        <v>0</v>
      </c>
      <c r="P150" s="514">
        <f t="shared" si="58"/>
        <v>0</v>
      </c>
      <c r="Q150" s="269"/>
    </row>
    <row r="151" spans="2:17">
      <c r="B151" s="195" t="str">
        <f t="shared" si="37"/>
        <v/>
      </c>
      <c r="C151" s="507">
        <f>IF(D93="","-",+C150+1)</f>
        <v>2060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53"/>
        <v>0</v>
      </c>
      <c r="G151" s="523">
        <f t="shared" si="54"/>
        <v>0</v>
      </c>
      <c r="H151" s="526">
        <f t="shared" si="51"/>
        <v>0</v>
      </c>
      <c r="I151" s="577">
        <f t="shared" si="52"/>
        <v>0</v>
      </c>
      <c r="J151" s="514">
        <f t="shared" si="55"/>
        <v>0</v>
      </c>
      <c r="K151" s="514"/>
      <c r="L151" s="525"/>
      <c r="M151" s="514">
        <f t="shared" si="56"/>
        <v>0</v>
      </c>
      <c r="N151" s="525"/>
      <c r="O151" s="514">
        <f t="shared" si="57"/>
        <v>0</v>
      </c>
      <c r="P151" s="514">
        <f t="shared" si="58"/>
        <v>0</v>
      </c>
      <c r="Q151" s="269"/>
    </row>
    <row r="152" spans="2:17">
      <c r="B152" s="195" t="str">
        <f t="shared" si="37"/>
        <v/>
      </c>
      <c r="C152" s="507">
        <f>IF(D93="","-",+C151+1)</f>
        <v>2061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53"/>
        <v>0</v>
      </c>
      <c r="G152" s="523">
        <f t="shared" si="54"/>
        <v>0</v>
      </c>
      <c r="H152" s="526">
        <f t="shared" si="51"/>
        <v>0</v>
      </c>
      <c r="I152" s="577">
        <f t="shared" si="52"/>
        <v>0</v>
      </c>
      <c r="J152" s="514">
        <f t="shared" si="55"/>
        <v>0</v>
      </c>
      <c r="K152" s="514"/>
      <c r="L152" s="525"/>
      <c r="M152" s="514">
        <f t="shared" si="56"/>
        <v>0</v>
      </c>
      <c r="N152" s="525"/>
      <c r="O152" s="514">
        <f t="shared" si="57"/>
        <v>0</v>
      </c>
      <c r="P152" s="514">
        <f t="shared" si="58"/>
        <v>0</v>
      </c>
      <c r="Q152" s="269"/>
    </row>
    <row r="153" spans="2:17">
      <c r="B153" s="195" t="str">
        <f t="shared" si="37"/>
        <v/>
      </c>
      <c r="C153" s="507">
        <f>IF(D93="","-",+C152+1)</f>
        <v>2062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53"/>
        <v>0</v>
      </c>
      <c r="G153" s="523">
        <f t="shared" si="54"/>
        <v>0</v>
      </c>
      <c r="H153" s="526">
        <f t="shared" si="51"/>
        <v>0</v>
      </c>
      <c r="I153" s="577">
        <f t="shared" si="52"/>
        <v>0</v>
      </c>
      <c r="J153" s="514">
        <f t="shared" si="55"/>
        <v>0</v>
      </c>
      <c r="K153" s="514"/>
      <c r="L153" s="525"/>
      <c r="M153" s="514">
        <f t="shared" si="56"/>
        <v>0</v>
      </c>
      <c r="N153" s="525"/>
      <c r="O153" s="514">
        <f t="shared" si="57"/>
        <v>0</v>
      </c>
      <c r="P153" s="514">
        <f t="shared" si="58"/>
        <v>0</v>
      </c>
      <c r="Q153" s="269"/>
    </row>
    <row r="154" spans="2:17" ht="13.5" thickBot="1">
      <c r="B154" s="195" t="str">
        <f t="shared" si="37"/>
        <v/>
      </c>
      <c r="C154" s="527">
        <f>IF(D93="","-",+C153+1)</f>
        <v>2063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53"/>
        <v>0</v>
      </c>
      <c r="G154" s="528">
        <f t="shared" si="54"/>
        <v>0</v>
      </c>
      <c r="H154" s="530">
        <f t="shared" si="51"/>
        <v>0</v>
      </c>
      <c r="I154" s="579">
        <f t="shared" si="52"/>
        <v>0</v>
      </c>
      <c r="J154" s="533">
        <f t="shared" si="55"/>
        <v>0</v>
      </c>
      <c r="K154" s="514"/>
      <c r="L154" s="532"/>
      <c r="M154" s="533">
        <f t="shared" si="56"/>
        <v>0</v>
      </c>
      <c r="N154" s="532"/>
      <c r="O154" s="533">
        <f t="shared" si="57"/>
        <v>0</v>
      </c>
      <c r="P154" s="533">
        <f t="shared" si="58"/>
        <v>0</v>
      </c>
      <c r="Q154" s="269"/>
    </row>
    <row r="155" spans="2:17">
      <c r="C155" s="374" t="s">
        <v>78</v>
      </c>
      <c r="D155" s="375"/>
      <c r="E155" s="375">
        <f>SUM(E99:E154)</f>
        <v>1949836.5100000002</v>
      </c>
      <c r="F155" s="375"/>
      <c r="G155" s="375"/>
      <c r="H155" s="375">
        <f>SUM(H99:H154)</f>
        <v>6940883.7987133022</v>
      </c>
      <c r="I155" s="375">
        <f>SUM(I99:I154)</f>
        <v>6940883.7987133022</v>
      </c>
      <c r="J155" s="375">
        <f>SUM(J99:J154)</f>
        <v>0</v>
      </c>
      <c r="K155" s="375"/>
      <c r="L155" s="375"/>
      <c r="M155" s="375"/>
      <c r="N155" s="375"/>
      <c r="O155" s="375"/>
      <c r="P155" s="269"/>
      <c r="Q155" s="269"/>
    </row>
    <row r="156" spans="2:17"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  <c r="Q156" s="269"/>
    </row>
    <row r="157" spans="2:17">
      <c r="C157" s="580" t="s">
        <v>92</v>
      </c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  <c r="Q157" s="269"/>
    </row>
    <row r="158" spans="2:17"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  <c r="Q158" s="269"/>
    </row>
    <row r="159" spans="2:17">
      <c r="C159" s="534" t="s">
        <v>97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  <c r="Q159" s="269"/>
    </row>
    <row r="160" spans="2:17">
      <c r="C160" s="581" t="s">
        <v>79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  <c r="Q160" s="269"/>
    </row>
    <row r="161" spans="3:17">
      <c r="C161" s="581" t="s">
        <v>80</v>
      </c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  <c r="Q161" s="269"/>
    </row>
    <row r="162" spans="3:17" ht="18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454" t="s">
        <v>131</v>
      </c>
      <c r="Q162" s="269"/>
    </row>
  </sheetData>
  <phoneticPr fontId="0" type="noConversion"/>
  <conditionalFormatting sqref="C17:C72">
    <cfRule type="cellIs" dxfId="129" priority="1" stopIfTrue="1" operator="equal">
      <formula>$I$10</formula>
    </cfRule>
  </conditionalFormatting>
  <conditionalFormatting sqref="C99:C154">
    <cfRule type="cellIs" dxfId="128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  <legacyDrawing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67">
    <tabColor indexed="8"/>
  </sheetPr>
  <dimension ref="A1:Q162"/>
  <sheetViews>
    <sheetView view="pageBreakPreview" zoomScale="72" zoomScaleNormal="100" zoomScaleSheetLayoutView="72" workbookViewId="0">
      <selection activeCell="C112" sqref="C112"/>
    </sheetView>
  </sheetViews>
  <sheetFormatPr defaultColWidth="8.7109375" defaultRowHeight="12.75" customHeight="1"/>
  <cols>
    <col min="1" max="1" width="4.7109375" style="183" customWidth="1"/>
    <col min="2" max="2" width="6.7109375" style="183" customWidth="1"/>
    <col min="3" max="3" width="23.28515625" style="183" customWidth="1"/>
    <col min="4" max="8" width="17.7109375" style="183" customWidth="1"/>
    <col min="9" max="9" width="20.42578125" style="183" customWidth="1"/>
    <col min="10" max="10" width="16.42578125" style="183" customWidth="1"/>
    <col min="11" max="11" width="17.7109375" style="183" customWidth="1"/>
    <col min="12" max="12" width="16.140625" style="183" customWidth="1"/>
    <col min="13" max="13" width="17.7109375" style="183" customWidth="1"/>
    <col min="14" max="14" width="16.140625" style="183" customWidth="1"/>
    <col min="15" max="15" width="16.85546875" style="183" customWidth="1"/>
    <col min="16" max="16" width="24.42578125" style="183" customWidth="1"/>
    <col min="17" max="17" width="4.7109375" style="183" customWidth="1"/>
    <col min="18" max="22" width="8.7109375" style="183"/>
    <col min="23" max="23" width="9.140625" style="183" customWidth="1"/>
    <col min="24" max="16384" width="8.7109375" style="183"/>
  </cols>
  <sheetData>
    <row r="1" spans="1:17" ht="20.25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18 of 75</v>
      </c>
      <c r="Q1" s="453"/>
    </row>
    <row r="2" spans="1:17" ht="18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454" t="s">
        <v>129</v>
      </c>
    </row>
    <row r="3" spans="1:17" ht="18.75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 t="str">
        <f>RIGHT(N3,3)</f>
        <v/>
      </c>
      <c r="P3" s="455">
        <v>1</v>
      </c>
    </row>
    <row r="4" spans="1:17" ht="15.75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7" ht="1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0</v>
      </c>
      <c r="P5" s="269"/>
    </row>
    <row r="6" spans="1:17" ht="15.75">
      <c r="C6" s="274"/>
      <c r="D6" s="618" t="s">
        <v>270</v>
      </c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0</v>
      </c>
      <c r="O6" s="269"/>
      <c r="P6" s="269"/>
    </row>
    <row r="7" spans="1:17" ht="13.5" thickBot="1">
      <c r="C7" s="467" t="s">
        <v>48</v>
      </c>
      <c r="D7" s="468" t="s">
        <v>265</v>
      </c>
      <c r="E7" s="269"/>
      <c r="F7" s="269"/>
      <c r="G7" s="269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7" ht="13.5" thickBot="1">
      <c r="C8" s="472"/>
      <c r="D8" s="599" t="str">
        <f>IF(D10&lt;100000,"DOES NOT MEET SPP $100,000 MINIMUM INVESTMENT FOR REGIONAL BPU SHARING.","")</f>
        <v>DOES NOT MEET SPP $100,000 MINIMUM INVESTMENT FOR REGIONAL BPU SHARING.</v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7" ht="13.5" thickBot="1">
      <c r="A9" s="191"/>
      <c r="C9" s="476" t="s">
        <v>50</v>
      </c>
      <c r="D9" s="477" t="s">
        <v>145</v>
      </c>
      <c r="E9" s="478"/>
      <c r="F9" s="478"/>
      <c r="G9" s="478"/>
      <c r="H9" s="478"/>
      <c r="I9" s="479"/>
      <c r="J9" s="480"/>
      <c r="O9" s="481"/>
      <c r="P9" s="272"/>
    </row>
    <row r="10" spans="1:17">
      <c r="C10" s="482" t="s">
        <v>51</v>
      </c>
      <c r="D10" s="483">
        <v>0</v>
      </c>
      <c r="E10" s="353" t="s">
        <v>52</v>
      </c>
      <c r="F10" s="481"/>
      <c r="G10" s="484"/>
      <c r="H10" s="484"/>
      <c r="I10" s="485">
        <f>+'SWE.WS.F.BPU.ATRR.Projected'!L19</f>
        <v>2024</v>
      </c>
      <c r="J10" s="480"/>
      <c r="K10" s="375" t="s">
        <v>53</v>
      </c>
      <c r="O10" s="272"/>
      <c r="P10" s="272"/>
    </row>
    <row r="11" spans="1:17">
      <c r="C11" s="486" t="s">
        <v>54</v>
      </c>
      <c r="D11" s="487">
        <v>2009</v>
      </c>
      <c r="E11" s="486" t="s">
        <v>55</v>
      </c>
      <c r="F11" s="484"/>
      <c r="G11" s="233"/>
      <c r="H11" s="233"/>
      <c r="I11" s="488"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7">
      <c r="C12" s="486" t="s">
        <v>56</v>
      </c>
      <c r="D12" s="483">
        <v>6</v>
      </c>
      <c r="E12" s="486" t="s">
        <v>57</v>
      </c>
      <c r="F12" s="484"/>
      <c r="G12" s="233"/>
      <c r="H12" s="233"/>
      <c r="I12" s="490">
        <f>'SWE.WS.F.BPU.ATRR.Projected'!$F$81</f>
        <v>0.11952713165403545</v>
      </c>
      <c r="J12" s="425"/>
      <c r="K12" s="183" t="s">
        <v>58</v>
      </c>
      <c r="O12" s="272"/>
      <c r="P12" s="272"/>
    </row>
    <row r="13" spans="1:17">
      <c r="C13" s="486" t="s">
        <v>59</v>
      </c>
      <c r="D13" s="488">
        <f>+'SWE.WS.F.BPU.ATRR.Projected'!F$93</f>
        <v>44</v>
      </c>
      <c r="E13" s="486" t="s">
        <v>60</v>
      </c>
      <c r="F13" s="484"/>
      <c r="G13" s="233"/>
      <c r="H13" s="233"/>
      <c r="I13" s="490">
        <f>IF(G5="",I12,'SWE.WS.F.BPU.ATRR.Projected'!$F$80)</f>
        <v>0.11952713165403545</v>
      </c>
      <c r="J13" s="425"/>
      <c r="K13" s="375" t="s">
        <v>61</v>
      </c>
      <c r="L13" s="324"/>
      <c r="M13" s="324"/>
      <c r="N13" s="324"/>
      <c r="O13" s="272"/>
      <c r="P13" s="272"/>
    </row>
    <row r="14" spans="1:17" ht="13.5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0</v>
      </c>
      <c r="J14" s="375"/>
      <c r="K14" s="375"/>
      <c r="L14" s="375"/>
      <c r="M14" s="375"/>
      <c r="N14" s="375"/>
      <c r="O14" s="272"/>
      <c r="P14" s="272"/>
    </row>
    <row r="15" spans="1:17" ht="38.25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388</v>
      </c>
      <c r="H15" s="495" t="s">
        <v>389</v>
      </c>
      <c r="I15" s="496" t="s">
        <v>260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7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600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>
      <c r="C17" s="507">
        <f>IF(D11= "","-",D11)</f>
        <v>2009</v>
      </c>
      <c r="D17" s="374">
        <f>D10</f>
        <v>0</v>
      </c>
      <c r="E17" s="601">
        <f>I14/12*(12-D12)</f>
        <v>0</v>
      </c>
      <c r="F17" s="374">
        <f t="shared" ref="F17:F48" si="0">+D17-E17</f>
        <v>0</v>
      </c>
      <c r="G17" s="601">
        <f t="shared" ref="G17:G48" si="1">+I$12*((D17+F17)/2)+E17</f>
        <v>0</v>
      </c>
      <c r="H17" s="491">
        <f t="shared" ref="H17:H48" si="2">+I$13*((D17+F17)/2)+E17</f>
        <v>0</v>
      </c>
      <c r="I17" s="511">
        <f t="shared" ref="I17:I48" si="3">H17-G17</f>
        <v>0</v>
      </c>
      <c r="J17" s="511"/>
      <c r="K17" s="512">
        <v>0</v>
      </c>
      <c r="L17" s="597">
        <f t="shared" ref="L17:L48" si="4">IF(K17&lt;&gt;0,+G17-K17,0)</f>
        <v>0</v>
      </c>
      <c r="M17" s="512">
        <v>0</v>
      </c>
      <c r="N17" s="513">
        <f t="shared" ref="N17:N48" si="5">IF(M17&lt;&gt;0,+H17-M17,0)</f>
        <v>0</v>
      </c>
      <c r="O17" s="514">
        <f t="shared" ref="O17:O48" si="6">+N17-L17</f>
        <v>0</v>
      </c>
      <c r="P17" s="272"/>
    </row>
    <row r="18" spans="2:16">
      <c r="B18" s="195" t="str">
        <f>IF(D18=F17,"","IU")</f>
        <v/>
      </c>
      <c r="C18" s="507">
        <f>IF(D11="","-",+C17+1)</f>
        <v>2010</v>
      </c>
      <c r="D18" s="523">
        <f t="shared" ref="D18:D24" si="7">F17</f>
        <v>0</v>
      </c>
      <c r="E18" s="522">
        <f>IF(+I14&lt;F17,I14,D18)</f>
        <v>0</v>
      </c>
      <c r="F18" s="523">
        <f t="shared" si="0"/>
        <v>0</v>
      </c>
      <c r="G18" s="524">
        <f t="shared" si="1"/>
        <v>0</v>
      </c>
      <c r="H18" s="491">
        <f t="shared" si="2"/>
        <v>0</v>
      </c>
      <c r="I18" s="511">
        <f t="shared" si="3"/>
        <v>0</v>
      </c>
      <c r="J18" s="511"/>
      <c r="K18" s="525"/>
      <c r="L18" s="514">
        <f t="shared" si="4"/>
        <v>0</v>
      </c>
      <c r="M18" s="525"/>
      <c r="N18" s="514">
        <f t="shared" si="5"/>
        <v>0</v>
      </c>
      <c r="O18" s="514">
        <f t="shared" si="6"/>
        <v>0</v>
      </c>
      <c r="P18" s="272"/>
    </row>
    <row r="19" spans="2:16">
      <c r="B19" s="195" t="str">
        <f>IF(D19=F18,"","IU")</f>
        <v/>
      </c>
      <c r="C19" s="507">
        <f>IF(D11="","-",+C18+1)</f>
        <v>2011</v>
      </c>
      <c r="D19" s="523">
        <f t="shared" si="7"/>
        <v>0</v>
      </c>
      <c r="E19" s="522">
        <f>IF(+I14&lt;F18,I14,D19)</f>
        <v>0</v>
      </c>
      <c r="F19" s="523">
        <f t="shared" si="0"/>
        <v>0</v>
      </c>
      <c r="G19" s="524">
        <f t="shared" si="1"/>
        <v>0</v>
      </c>
      <c r="H19" s="491">
        <f t="shared" si="2"/>
        <v>0</v>
      </c>
      <c r="I19" s="511">
        <f t="shared" si="3"/>
        <v>0</v>
      </c>
      <c r="J19" s="511"/>
      <c r="K19" s="525"/>
      <c r="L19" s="514">
        <f t="shared" si="4"/>
        <v>0</v>
      </c>
      <c r="M19" s="525"/>
      <c r="N19" s="514">
        <f t="shared" si="5"/>
        <v>0</v>
      </c>
      <c r="O19" s="514">
        <f t="shared" si="6"/>
        <v>0</v>
      </c>
      <c r="P19" s="272"/>
    </row>
    <row r="20" spans="2:16">
      <c r="B20" s="195" t="str">
        <f t="shared" ref="B20:B72" si="8">IF(D20=F19,"","IU")</f>
        <v/>
      </c>
      <c r="C20" s="507">
        <f>IF(D11="","-",+C19+1)</f>
        <v>2012</v>
      </c>
      <c r="D20" s="523">
        <f t="shared" si="7"/>
        <v>0</v>
      </c>
      <c r="E20" s="522">
        <f>IF(+I14&lt;F19,I14,D20)</f>
        <v>0</v>
      </c>
      <c r="F20" s="523">
        <f t="shared" si="0"/>
        <v>0</v>
      </c>
      <c r="G20" s="524">
        <f t="shared" si="1"/>
        <v>0</v>
      </c>
      <c r="H20" s="491">
        <f t="shared" si="2"/>
        <v>0</v>
      </c>
      <c r="I20" s="511">
        <f t="shared" si="3"/>
        <v>0</v>
      </c>
      <c r="J20" s="511"/>
      <c r="K20" s="525"/>
      <c r="L20" s="514">
        <f t="shared" si="4"/>
        <v>0</v>
      </c>
      <c r="M20" s="525"/>
      <c r="N20" s="514">
        <f t="shared" si="5"/>
        <v>0</v>
      </c>
      <c r="O20" s="514">
        <f t="shared" si="6"/>
        <v>0</v>
      </c>
      <c r="P20" s="272"/>
    </row>
    <row r="21" spans="2:16">
      <c r="B21" s="195" t="str">
        <f t="shared" si="8"/>
        <v/>
      </c>
      <c r="C21" s="507">
        <f>IF(D12="","-",+C20+1)</f>
        <v>2013</v>
      </c>
      <c r="D21" s="523">
        <f t="shared" si="7"/>
        <v>0</v>
      </c>
      <c r="E21" s="522">
        <f>IF(+I14&lt;F20,I14,D21)</f>
        <v>0</v>
      </c>
      <c r="F21" s="523">
        <f t="shared" si="0"/>
        <v>0</v>
      </c>
      <c r="G21" s="524">
        <f t="shared" si="1"/>
        <v>0</v>
      </c>
      <c r="H21" s="491">
        <f t="shared" si="2"/>
        <v>0</v>
      </c>
      <c r="I21" s="511">
        <f t="shared" si="3"/>
        <v>0</v>
      </c>
      <c r="J21" s="511"/>
      <c r="K21" s="525"/>
      <c r="L21" s="514">
        <f t="shared" si="4"/>
        <v>0</v>
      </c>
      <c r="M21" s="525"/>
      <c r="N21" s="514">
        <f t="shared" si="5"/>
        <v>0</v>
      </c>
      <c r="O21" s="514">
        <f t="shared" si="6"/>
        <v>0</v>
      </c>
      <c r="P21" s="272"/>
    </row>
    <row r="22" spans="2:16">
      <c r="B22" s="195" t="str">
        <f t="shared" si="8"/>
        <v/>
      </c>
      <c r="C22" s="507">
        <f>IF(D11="","-",+C21+1)</f>
        <v>2014</v>
      </c>
      <c r="D22" s="523">
        <f t="shared" si="7"/>
        <v>0</v>
      </c>
      <c r="E22" s="522">
        <f>IF(+I14&lt;F21,I14,D22)</f>
        <v>0</v>
      </c>
      <c r="F22" s="523">
        <f t="shared" si="0"/>
        <v>0</v>
      </c>
      <c r="G22" s="524">
        <f t="shared" si="1"/>
        <v>0</v>
      </c>
      <c r="H22" s="491">
        <f t="shared" si="2"/>
        <v>0</v>
      </c>
      <c r="I22" s="511">
        <f t="shared" si="3"/>
        <v>0</v>
      </c>
      <c r="J22" s="511"/>
      <c r="K22" s="525"/>
      <c r="L22" s="514">
        <f t="shared" si="4"/>
        <v>0</v>
      </c>
      <c r="M22" s="525"/>
      <c r="N22" s="514">
        <f t="shared" si="5"/>
        <v>0</v>
      </c>
      <c r="O22" s="514">
        <f t="shared" si="6"/>
        <v>0</v>
      </c>
      <c r="P22" s="272"/>
    </row>
    <row r="23" spans="2:16">
      <c r="B23" s="195" t="str">
        <f t="shared" si="8"/>
        <v/>
      </c>
      <c r="C23" s="507">
        <f>IF(D11="","-",+C22+1)</f>
        <v>2015</v>
      </c>
      <c r="D23" s="523">
        <f t="shared" si="7"/>
        <v>0</v>
      </c>
      <c r="E23" s="522">
        <f>IF(+I14&lt;F22,I14,D23)</f>
        <v>0</v>
      </c>
      <c r="F23" s="523">
        <f t="shared" si="0"/>
        <v>0</v>
      </c>
      <c r="G23" s="524">
        <f t="shared" si="1"/>
        <v>0</v>
      </c>
      <c r="H23" s="491">
        <f t="shared" si="2"/>
        <v>0</v>
      </c>
      <c r="I23" s="511">
        <f t="shared" si="3"/>
        <v>0</v>
      </c>
      <c r="J23" s="511"/>
      <c r="K23" s="525"/>
      <c r="L23" s="514">
        <f t="shared" si="4"/>
        <v>0</v>
      </c>
      <c r="M23" s="525"/>
      <c r="N23" s="514">
        <f t="shared" si="5"/>
        <v>0</v>
      </c>
      <c r="O23" s="514">
        <f t="shared" si="6"/>
        <v>0</v>
      </c>
      <c r="P23" s="272"/>
    </row>
    <row r="24" spans="2:16">
      <c r="B24" s="195" t="str">
        <f t="shared" si="8"/>
        <v/>
      </c>
      <c r="C24" s="507">
        <f>IF(D11="","-",+C23+1)</f>
        <v>2016</v>
      </c>
      <c r="D24" s="523">
        <f t="shared" si="7"/>
        <v>0</v>
      </c>
      <c r="E24" s="522">
        <f>IF(+I14&lt;F23,I14,D24)</f>
        <v>0</v>
      </c>
      <c r="F24" s="523">
        <f t="shared" si="0"/>
        <v>0</v>
      </c>
      <c r="G24" s="524">
        <f t="shared" si="1"/>
        <v>0</v>
      </c>
      <c r="H24" s="491">
        <f t="shared" si="2"/>
        <v>0</v>
      </c>
      <c r="I24" s="511">
        <f t="shared" si="3"/>
        <v>0</v>
      </c>
      <c r="J24" s="511"/>
      <c r="K24" s="525"/>
      <c r="L24" s="514">
        <f t="shared" si="4"/>
        <v>0</v>
      </c>
      <c r="M24" s="525"/>
      <c r="N24" s="514">
        <f t="shared" si="5"/>
        <v>0</v>
      </c>
      <c r="O24" s="514">
        <f t="shared" si="6"/>
        <v>0</v>
      </c>
      <c r="P24" s="272"/>
    </row>
    <row r="25" spans="2:16">
      <c r="B25" s="195" t="str">
        <f t="shared" si="8"/>
        <v/>
      </c>
      <c r="C25" s="507">
        <f>IF(D11="","-",+C24+1)</f>
        <v>2017</v>
      </c>
      <c r="D25" s="523">
        <f>IF(F24+SUM(E$17:E24)=D$10,F24,D$10-SUM(E$17:E24))</f>
        <v>0</v>
      </c>
      <c r="E25" s="522">
        <f>IF(+I14&lt;F24,I14,D25)</f>
        <v>0</v>
      </c>
      <c r="F25" s="523">
        <f t="shared" si="0"/>
        <v>0</v>
      </c>
      <c r="G25" s="524">
        <f t="shared" si="1"/>
        <v>0</v>
      </c>
      <c r="H25" s="491">
        <f t="shared" si="2"/>
        <v>0</v>
      </c>
      <c r="I25" s="511">
        <f t="shared" si="3"/>
        <v>0</v>
      </c>
      <c r="J25" s="511"/>
      <c r="K25" s="525"/>
      <c r="L25" s="514">
        <f t="shared" si="4"/>
        <v>0</v>
      </c>
      <c r="M25" s="525"/>
      <c r="N25" s="514">
        <f t="shared" si="5"/>
        <v>0</v>
      </c>
      <c r="O25" s="514">
        <f t="shared" si="6"/>
        <v>0</v>
      </c>
      <c r="P25" s="272"/>
    </row>
    <row r="26" spans="2:16">
      <c r="B26" s="195" t="str">
        <f t="shared" si="8"/>
        <v/>
      </c>
      <c r="C26" s="507">
        <f>IF(D11="","-",+C25+1)</f>
        <v>2018</v>
      </c>
      <c r="D26" s="523">
        <f>IF(F25+SUM(E$17:E25)=D$10,F25,D$10-SUM(E$17:E25))</f>
        <v>0</v>
      </c>
      <c r="E26" s="522">
        <f>IF(+I14&lt;F25,I14,D26)</f>
        <v>0</v>
      </c>
      <c r="F26" s="523">
        <f t="shared" si="0"/>
        <v>0</v>
      </c>
      <c r="G26" s="524">
        <f t="shared" si="1"/>
        <v>0</v>
      </c>
      <c r="H26" s="491">
        <f t="shared" si="2"/>
        <v>0</v>
      </c>
      <c r="I26" s="511">
        <f t="shared" si="3"/>
        <v>0</v>
      </c>
      <c r="J26" s="511"/>
      <c r="K26" s="525"/>
      <c r="L26" s="514">
        <f t="shared" si="4"/>
        <v>0</v>
      </c>
      <c r="M26" s="525"/>
      <c r="N26" s="514">
        <f t="shared" si="5"/>
        <v>0</v>
      </c>
      <c r="O26" s="514">
        <f t="shared" si="6"/>
        <v>0</v>
      </c>
      <c r="P26" s="272"/>
    </row>
    <row r="27" spans="2:16">
      <c r="B27" s="195" t="str">
        <f t="shared" si="8"/>
        <v/>
      </c>
      <c r="C27" s="507">
        <f>IF(D11="","-",+C26+1)</f>
        <v>2019</v>
      </c>
      <c r="D27" s="521">
        <f>IF(F26+SUM(E$17:E26)=D$10,F26,D$10-SUM(E$17:E26))</f>
        <v>0</v>
      </c>
      <c r="E27" s="522">
        <f>IF(+I14&lt;F26,I14,D27)</f>
        <v>0</v>
      </c>
      <c r="F27" s="523">
        <f t="shared" si="0"/>
        <v>0</v>
      </c>
      <c r="G27" s="524">
        <f t="shared" si="1"/>
        <v>0</v>
      </c>
      <c r="H27" s="491">
        <f t="shared" si="2"/>
        <v>0</v>
      </c>
      <c r="I27" s="511">
        <f t="shared" si="3"/>
        <v>0</v>
      </c>
      <c r="J27" s="511"/>
      <c r="K27" s="525"/>
      <c r="L27" s="514">
        <f t="shared" si="4"/>
        <v>0</v>
      </c>
      <c r="M27" s="525"/>
      <c r="N27" s="514">
        <f t="shared" si="5"/>
        <v>0</v>
      </c>
      <c r="O27" s="514">
        <f t="shared" si="6"/>
        <v>0</v>
      </c>
      <c r="P27" s="272"/>
    </row>
    <row r="28" spans="2:16">
      <c r="B28" s="195" t="str">
        <f t="shared" si="8"/>
        <v/>
      </c>
      <c r="C28" s="507">
        <f>IF(D11="","-",+C27+1)</f>
        <v>2020</v>
      </c>
      <c r="D28" s="523">
        <f>IF(F27+SUM(E$17:E27)=D$10,F27,D$10-SUM(E$17:E27))</f>
        <v>0</v>
      </c>
      <c r="E28" s="522">
        <f>IF(+I14&lt;F27,I14,D28)</f>
        <v>0</v>
      </c>
      <c r="F28" s="523">
        <f t="shared" si="0"/>
        <v>0</v>
      </c>
      <c r="G28" s="524">
        <f t="shared" si="1"/>
        <v>0</v>
      </c>
      <c r="H28" s="491">
        <f t="shared" si="2"/>
        <v>0</v>
      </c>
      <c r="I28" s="511">
        <f t="shared" si="3"/>
        <v>0</v>
      </c>
      <c r="J28" s="511"/>
      <c r="K28" s="525"/>
      <c r="L28" s="514">
        <f t="shared" si="4"/>
        <v>0</v>
      </c>
      <c r="M28" s="525"/>
      <c r="N28" s="514">
        <f t="shared" si="5"/>
        <v>0</v>
      </c>
      <c r="O28" s="514">
        <f t="shared" si="6"/>
        <v>0</v>
      </c>
      <c r="P28" s="272"/>
    </row>
    <row r="29" spans="2:16">
      <c r="B29" s="195" t="str">
        <f t="shared" si="8"/>
        <v/>
      </c>
      <c r="C29" s="507">
        <f>IF(D11="","-",+C28+1)</f>
        <v>2021</v>
      </c>
      <c r="D29" s="523">
        <f>IF(F28+SUM(E$17:E28)=D$10,F28,D$10-SUM(E$17:E28))</f>
        <v>0</v>
      </c>
      <c r="E29" s="522">
        <f>IF(+I14&lt;F28,I14,D29)</f>
        <v>0</v>
      </c>
      <c r="F29" s="523">
        <f t="shared" si="0"/>
        <v>0</v>
      </c>
      <c r="G29" s="524">
        <f t="shared" si="1"/>
        <v>0</v>
      </c>
      <c r="H29" s="491">
        <f t="shared" si="2"/>
        <v>0</v>
      </c>
      <c r="I29" s="511">
        <f t="shared" si="3"/>
        <v>0</v>
      </c>
      <c r="J29" s="511"/>
      <c r="K29" s="525"/>
      <c r="L29" s="514">
        <f t="shared" si="4"/>
        <v>0</v>
      </c>
      <c r="M29" s="525"/>
      <c r="N29" s="514">
        <f t="shared" si="5"/>
        <v>0</v>
      </c>
      <c r="O29" s="514">
        <f t="shared" si="6"/>
        <v>0</v>
      </c>
      <c r="P29" s="272"/>
    </row>
    <row r="30" spans="2:16">
      <c r="B30" s="195" t="str">
        <f t="shared" si="8"/>
        <v/>
      </c>
      <c r="C30" s="507">
        <f>IF(D11="","-",+C29+1)</f>
        <v>2022</v>
      </c>
      <c r="D30" s="523">
        <f>IF(F29+SUM(E$17:E29)=D$10,F29,D$10-SUM(E$17:E29))</f>
        <v>0</v>
      </c>
      <c r="E30" s="522">
        <f>IF(+I14&lt;F29,I14,D30)</f>
        <v>0</v>
      </c>
      <c r="F30" s="523">
        <f t="shared" si="0"/>
        <v>0</v>
      </c>
      <c r="G30" s="524">
        <f t="shared" si="1"/>
        <v>0</v>
      </c>
      <c r="H30" s="491">
        <f t="shared" si="2"/>
        <v>0</v>
      </c>
      <c r="I30" s="511">
        <f t="shared" si="3"/>
        <v>0</v>
      </c>
      <c r="J30" s="511"/>
      <c r="K30" s="525"/>
      <c r="L30" s="514">
        <f t="shared" si="4"/>
        <v>0</v>
      </c>
      <c r="M30" s="525"/>
      <c r="N30" s="514">
        <f t="shared" si="5"/>
        <v>0</v>
      </c>
      <c r="O30" s="514">
        <f t="shared" si="6"/>
        <v>0</v>
      </c>
      <c r="P30" s="272"/>
    </row>
    <row r="31" spans="2:16">
      <c r="B31" s="195" t="str">
        <f t="shared" si="8"/>
        <v/>
      </c>
      <c r="C31" s="507">
        <f>IF(D11="","-",+C30+1)</f>
        <v>2023</v>
      </c>
      <c r="D31" s="523">
        <f>IF(F30+SUM(E$17:E30)=D$10,F30,D$10-SUM(E$17:E30))</f>
        <v>0</v>
      </c>
      <c r="E31" s="522">
        <f>IF(+I14&lt;F30,I14,D31)</f>
        <v>0</v>
      </c>
      <c r="F31" s="523">
        <f t="shared" si="0"/>
        <v>0</v>
      </c>
      <c r="G31" s="524">
        <f t="shared" si="1"/>
        <v>0</v>
      </c>
      <c r="H31" s="491">
        <f t="shared" si="2"/>
        <v>0</v>
      </c>
      <c r="I31" s="511">
        <f t="shared" si="3"/>
        <v>0</v>
      </c>
      <c r="J31" s="511"/>
      <c r="K31" s="525"/>
      <c r="L31" s="514">
        <f t="shared" si="4"/>
        <v>0</v>
      </c>
      <c r="M31" s="525"/>
      <c r="N31" s="514">
        <f t="shared" si="5"/>
        <v>0</v>
      </c>
      <c r="O31" s="514">
        <f t="shared" si="6"/>
        <v>0</v>
      </c>
      <c r="P31" s="272"/>
    </row>
    <row r="32" spans="2:16">
      <c r="B32" s="195" t="str">
        <f t="shared" si="8"/>
        <v/>
      </c>
      <c r="C32" s="673">
        <f>IF(D11="","-",+C31+1)</f>
        <v>2024</v>
      </c>
      <c r="D32" s="523">
        <f>IF(F31+SUM(E$17:E31)=D$10,F31,D$10-SUM(E$17:E31))</f>
        <v>0</v>
      </c>
      <c r="E32" s="522">
        <f>IF(+I14&lt;F31,I14,D32)</f>
        <v>0</v>
      </c>
      <c r="F32" s="523">
        <f t="shared" si="0"/>
        <v>0</v>
      </c>
      <c r="G32" s="524">
        <f t="shared" si="1"/>
        <v>0</v>
      </c>
      <c r="H32" s="491">
        <f t="shared" si="2"/>
        <v>0</v>
      </c>
      <c r="I32" s="511">
        <f t="shared" si="3"/>
        <v>0</v>
      </c>
      <c r="J32" s="511"/>
      <c r="K32" s="525"/>
      <c r="L32" s="514">
        <f t="shared" si="4"/>
        <v>0</v>
      </c>
      <c r="M32" s="525"/>
      <c r="N32" s="514">
        <f t="shared" si="5"/>
        <v>0</v>
      </c>
      <c r="O32" s="514">
        <f t="shared" si="6"/>
        <v>0</v>
      </c>
      <c r="P32" s="272"/>
    </row>
    <row r="33" spans="2:16">
      <c r="B33" s="195" t="str">
        <f t="shared" si="8"/>
        <v/>
      </c>
      <c r="C33" s="507">
        <f>IF(D11="","-",+C32+1)</f>
        <v>2025</v>
      </c>
      <c r="D33" s="523">
        <f>IF(F32+SUM(E$17:E32)=D$10,F32,D$10-SUM(E$17:E32))</f>
        <v>0</v>
      </c>
      <c r="E33" s="522">
        <f>IF(+I14&lt;F32,I14,D33)</f>
        <v>0</v>
      </c>
      <c r="F33" s="523">
        <f t="shared" si="0"/>
        <v>0</v>
      </c>
      <c r="G33" s="524">
        <f t="shared" si="1"/>
        <v>0</v>
      </c>
      <c r="H33" s="491">
        <f t="shared" si="2"/>
        <v>0</v>
      </c>
      <c r="I33" s="511">
        <f t="shared" si="3"/>
        <v>0</v>
      </c>
      <c r="J33" s="511"/>
      <c r="K33" s="525"/>
      <c r="L33" s="514">
        <f t="shared" si="4"/>
        <v>0</v>
      </c>
      <c r="M33" s="525"/>
      <c r="N33" s="514">
        <f t="shared" si="5"/>
        <v>0</v>
      </c>
      <c r="O33" s="514">
        <f t="shared" si="6"/>
        <v>0</v>
      </c>
      <c r="P33" s="272"/>
    </row>
    <row r="34" spans="2:16">
      <c r="B34" s="195" t="str">
        <f t="shared" si="8"/>
        <v/>
      </c>
      <c r="C34" s="507">
        <f>IF(D11="","-",+C33+1)</f>
        <v>2026</v>
      </c>
      <c r="D34" s="523">
        <f>IF(F33+SUM(E$17:E33)=D$10,F33,D$10-SUM(E$17:E33))</f>
        <v>0</v>
      </c>
      <c r="E34" s="522">
        <f>IF(+I14&lt;F33,I14,D34)</f>
        <v>0</v>
      </c>
      <c r="F34" s="523">
        <f t="shared" si="0"/>
        <v>0</v>
      </c>
      <c r="G34" s="524">
        <f t="shared" si="1"/>
        <v>0</v>
      </c>
      <c r="H34" s="491">
        <f t="shared" si="2"/>
        <v>0</v>
      </c>
      <c r="I34" s="511">
        <f t="shared" si="3"/>
        <v>0</v>
      </c>
      <c r="J34" s="511"/>
      <c r="K34" s="525"/>
      <c r="L34" s="514">
        <f t="shared" si="4"/>
        <v>0</v>
      </c>
      <c r="M34" s="525"/>
      <c r="N34" s="514">
        <f t="shared" si="5"/>
        <v>0</v>
      </c>
      <c r="O34" s="514">
        <f t="shared" si="6"/>
        <v>0</v>
      </c>
      <c r="P34" s="272"/>
    </row>
    <row r="35" spans="2:16">
      <c r="B35" s="195" t="str">
        <f t="shared" si="8"/>
        <v/>
      </c>
      <c r="C35" s="507">
        <f>IF(D11="","-",+C34+1)</f>
        <v>2027</v>
      </c>
      <c r="D35" s="523">
        <f>IF(F34+SUM(E$17:E34)=D$10,F34,D$10-SUM(E$17:E34))</f>
        <v>0</v>
      </c>
      <c r="E35" s="522">
        <f>IF(+I14&lt;F34,I14,D35)</f>
        <v>0</v>
      </c>
      <c r="F35" s="523">
        <f t="shared" si="0"/>
        <v>0</v>
      </c>
      <c r="G35" s="524">
        <f t="shared" si="1"/>
        <v>0</v>
      </c>
      <c r="H35" s="491">
        <f t="shared" si="2"/>
        <v>0</v>
      </c>
      <c r="I35" s="511">
        <f t="shared" si="3"/>
        <v>0</v>
      </c>
      <c r="J35" s="511"/>
      <c r="K35" s="525"/>
      <c r="L35" s="514">
        <f t="shared" si="4"/>
        <v>0</v>
      </c>
      <c r="M35" s="525"/>
      <c r="N35" s="514">
        <f t="shared" si="5"/>
        <v>0</v>
      </c>
      <c r="O35" s="514">
        <f t="shared" si="6"/>
        <v>0</v>
      </c>
      <c r="P35" s="272"/>
    </row>
    <row r="36" spans="2:16">
      <c r="B36" s="195" t="str">
        <f t="shared" si="8"/>
        <v/>
      </c>
      <c r="C36" s="507">
        <f>IF(D11="","-",+C35+1)</f>
        <v>2028</v>
      </c>
      <c r="D36" s="523">
        <f>IF(F35+SUM(E$17:E35)=D$10,F35,D$10-SUM(E$17:E35))</f>
        <v>0</v>
      </c>
      <c r="E36" s="522">
        <f>IF(+I14&lt;F35,I14,D36)</f>
        <v>0</v>
      </c>
      <c r="F36" s="523">
        <f t="shared" si="0"/>
        <v>0</v>
      </c>
      <c r="G36" s="524">
        <f t="shared" si="1"/>
        <v>0</v>
      </c>
      <c r="H36" s="491">
        <f t="shared" si="2"/>
        <v>0</v>
      </c>
      <c r="I36" s="511">
        <f t="shared" si="3"/>
        <v>0</v>
      </c>
      <c r="J36" s="511"/>
      <c r="K36" s="525"/>
      <c r="L36" s="514">
        <f t="shared" si="4"/>
        <v>0</v>
      </c>
      <c r="M36" s="525"/>
      <c r="N36" s="514">
        <f t="shared" si="5"/>
        <v>0</v>
      </c>
      <c r="O36" s="514">
        <f t="shared" si="6"/>
        <v>0</v>
      </c>
      <c r="P36" s="272"/>
    </row>
    <row r="37" spans="2:16">
      <c r="B37" s="195" t="str">
        <f t="shared" si="8"/>
        <v/>
      </c>
      <c r="C37" s="507">
        <f>IF(D11="","-",+C36+1)</f>
        <v>2029</v>
      </c>
      <c r="D37" s="523">
        <f>IF(F36+SUM(E$17:E36)=D$10,F36,D$10-SUM(E$17:E36))</f>
        <v>0</v>
      </c>
      <c r="E37" s="522">
        <f>IF(+I14&lt;F36,I14,D37)</f>
        <v>0</v>
      </c>
      <c r="F37" s="523">
        <f t="shared" si="0"/>
        <v>0</v>
      </c>
      <c r="G37" s="524">
        <f t="shared" si="1"/>
        <v>0</v>
      </c>
      <c r="H37" s="491">
        <f t="shared" si="2"/>
        <v>0</v>
      </c>
      <c r="I37" s="511">
        <f t="shared" si="3"/>
        <v>0</v>
      </c>
      <c r="J37" s="511"/>
      <c r="K37" s="525"/>
      <c r="L37" s="514">
        <f t="shared" si="4"/>
        <v>0</v>
      </c>
      <c r="M37" s="525"/>
      <c r="N37" s="514">
        <f t="shared" si="5"/>
        <v>0</v>
      </c>
      <c r="O37" s="514">
        <f t="shared" si="6"/>
        <v>0</v>
      </c>
      <c r="P37" s="272"/>
    </row>
    <row r="38" spans="2:16">
      <c r="B38" s="195" t="str">
        <f t="shared" si="8"/>
        <v/>
      </c>
      <c r="C38" s="507">
        <f>IF(D11="","-",+C37+1)</f>
        <v>2030</v>
      </c>
      <c r="D38" s="523">
        <f>IF(F37+SUM(E$17:E37)=D$10,F37,D$10-SUM(E$17:E37))</f>
        <v>0</v>
      </c>
      <c r="E38" s="522">
        <f>IF(+I14&lt;F37,I14,D38)</f>
        <v>0</v>
      </c>
      <c r="F38" s="523">
        <f t="shared" si="0"/>
        <v>0</v>
      </c>
      <c r="G38" s="524">
        <f t="shared" si="1"/>
        <v>0</v>
      </c>
      <c r="H38" s="491">
        <f t="shared" si="2"/>
        <v>0</v>
      </c>
      <c r="I38" s="511">
        <f t="shared" si="3"/>
        <v>0</v>
      </c>
      <c r="J38" s="511"/>
      <c r="K38" s="525"/>
      <c r="L38" s="514">
        <f t="shared" si="4"/>
        <v>0</v>
      </c>
      <c r="M38" s="525"/>
      <c r="N38" s="514">
        <f t="shared" si="5"/>
        <v>0</v>
      </c>
      <c r="O38" s="514">
        <f t="shared" si="6"/>
        <v>0</v>
      </c>
      <c r="P38" s="272"/>
    </row>
    <row r="39" spans="2:16">
      <c r="B39" s="195" t="str">
        <f t="shared" si="8"/>
        <v/>
      </c>
      <c r="C39" s="507">
        <f>IF(D11="","-",+C38+1)</f>
        <v>2031</v>
      </c>
      <c r="D39" s="523">
        <f>IF(F38+SUM(E$17:E38)=D$10,F38,D$10-SUM(E$17:E38))</f>
        <v>0</v>
      </c>
      <c r="E39" s="522">
        <f>IF(+I14&lt;F38,I14,D39)</f>
        <v>0</v>
      </c>
      <c r="F39" s="523">
        <f t="shared" si="0"/>
        <v>0</v>
      </c>
      <c r="G39" s="524">
        <f t="shared" si="1"/>
        <v>0</v>
      </c>
      <c r="H39" s="491">
        <f t="shared" si="2"/>
        <v>0</v>
      </c>
      <c r="I39" s="511">
        <f t="shared" si="3"/>
        <v>0</v>
      </c>
      <c r="J39" s="511"/>
      <c r="K39" s="525"/>
      <c r="L39" s="514">
        <f t="shared" si="4"/>
        <v>0</v>
      </c>
      <c r="M39" s="525"/>
      <c r="N39" s="514">
        <f t="shared" si="5"/>
        <v>0</v>
      </c>
      <c r="O39" s="514">
        <f t="shared" si="6"/>
        <v>0</v>
      </c>
      <c r="P39" s="272"/>
    </row>
    <row r="40" spans="2:16">
      <c r="B40" s="195" t="str">
        <f t="shared" si="8"/>
        <v/>
      </c>
      <c r="C40" s="507">
        <f>IF(D11="","-",+C39+1)</f>
        <v>2032</v>
      </c>
      <c r="D40" s="523">
        <f>IF(F39+SUM(E$17:E39)=D$10,F39,D$10-SUM(E$17:E39))</f>
        <v>0</v>
      </c>
      <c r="E40" s="522">
        <f>IF(+I14&lt;F39,I14,D40)</f>
        <v>0</v>
      </c>
      <c r="F40" s="523">
        <f t="shared" si="0"/>
        <v>0</v>
      </c>
      <c r="G40" s="524">
        <f t="shared" si="1"/>
        <v>0</v>
      </c>
      <c r="H40" s="491">
        <f t="shared" si="2"/>
        <v>0</v>
      </c>
      <c r="I40" s="511">
        <f t="shared" si="3"/>
        <v>0</v>
      </c>
      <c r="J40" s="511"/>
      <c r="K40" s="525"/>
      <c r="L40" s="514">
        <f t="shared" si="4"/>
        <v>0</v>
      </c>
      <c r="M40" s="525"/>
      <c r="N40" s="514">
        <f t="shared" si="5"/>
        <v>0</v>
      </c>
      <c r="O40" s="514">
        <f t="shared" si="6"/>
        <v>0</v>
      </c>
      <c r="P40" s="272"/>
    </row>
    <row r="41" spans="2:16">
      <c r="B41" s="195" t="str">
        <f t="shared" si="8"/>
        <v/>
      </c>
      <c r="C41" s="507">
        <f>IF(D11="","-",+C40+1)</f>
        <v>2033</v>
      </c>
      <c r="D41" s="523">
        <f>IF(F40+SUM(E$17:E40)=D$10,F40,D$10-SUM(E$17:E40))</f>
        <v>0</v>
      </c>
      <c r="E41" s="522">
        <f>IF(+I14&lt;F40,I14,D41)</f>
        <v>0</v>
      </c>
      <c r="F41" s="523">
        <f t="shared" si="0"/>
        <v>0</v>
      </c>
      <c r="G41" s="524">
        <f t="shared" si="1"/>
        <v>0</v>
      </c>
      <c r="H41" s="491">
        <f t="shared" si="2"/>
        <v>0</v>
      </c>
      <c r="I41" s="511">
        <f t="shared" si="3"/>
        <v>0</v>
      </c>
      <c r="J41" s="511"/>
      <c r="K41" s="525"/>
      <c r="L41" s="514">
        <f t="shared" si="4"/>
        <v>0</v>
      </c>
      <c r="M41" s="525"/>
      <c r="N41" s="514">
        <f t="shared" si="5"/>
        <v>0</v>
      </c>
      <c r="O41" s="514">
        <f t="shared" si="6"/>
        <v>0</v>
      </c>
      <c r="P41" s="272"/>
    </row>
    <row r="42" spans="2:16">
      <c r="B42" s="195" t="str">
        <f t="shared" si="8"/>
        <v/>
      </c>
      <c r="C42" s="507">
        <f>IF(D11="","-",+C41+1)</f>
        <v>2034</v>
      </c>
      <c r="D42" s="523">
        <f>IF(F41+SUM(E$17:E41)=D$10,F41,D$10-SUM(E$17:E41))</f>
        <v>0</v>
      </c>
      <c r="E42" s="522">
        <f>IF(+I14&lt;F41,I14,D42)</f>
        <v>0</v>
      </c>
      <c r="F42" s="523">
        <f t="shared" si="0"/>
        <v>0</v>
      </c>
      <c r="G42" s="524">
        <f t="shared" si="1"/>
        <v>0</v>
      </c>
      <c r="H42" s="491">
        <f t="shared" si="2"/>
        <v>0</v>
      </c>
      <c r="I42" s="511">
        <f t="shared" si="3"/>
        <v>0</v>
      </c>
      <c r="J42" s="511"/>
      <c r="K42" s="525"/>
      <c r="L42" s="514">
        <f t="shared" si="4"/>
        <v>0</v>
      </c>
      <c r="M42" s="525"/>
      <c r="N42" s="514">
        <f t="shared" si="5"/>
        <v>0</v>
      </c>
      <c r="O42" s="514">
        <f t="shared" si="6"/>
        <v>0</v>
      </c>
      <c r="P42" s="272"/>
    </row>
    <row r="43" spans="2:16">
      <c r="B43" s="195" t="str">
        <f t="shared" si="8"/>
        <v/>
      </c>
      <c r="C43" s="507">
        <f>IF(D11="","-",+C42+1)</f>
        <v>2035</v>
      </c>
      <c r="D43" s="523">
        <f>IF(F42+SUM(E$17:E42)=D$10,F42,D$10-SUM(E$17:E42))</f>
        <v>0</v>
      </c>
      <c r="E43" s="522">
        <f>IF(+I14&lt;F42,I14,D43)</f>
        <v>0</v>
      </c>
      <c r="F43" s="523">
        <f t="shared" si="0"/>
        <v>0</v>
      </c>
      <c r="G43" s="524">
        <f t="shared" si="1"/>
        <v>0</v>
      </c>
      <c r="H43" s="491">
        <f t="shared" si="2"/>
        <v>0</v>
      </c>
      <c r="I43" s="511">
        <f t="shared" si="3"/>
        <v>0</v>
      </c>
      <c r="J43" s="511"/>
      <c r="K43" s="525"/>
      <c r="L43" s="514">
        <f t="shared" si="4"/>
        <v>0</v>
      </c>
      <c r="M43" s="525"/>
      <c r="N43" s="514">
        <f t="shared" si="5"/>
        <v>0</v>
      </c>
      <c r="O43" s="514">
        <f t="shared" si="6"/>
        <v>0</v>
      </c>
      <c r="P43" s="272"/>
    </row>
    <row r="44" spans="2:16">
      <c r="B44" s="195" t="str">
        <f t="shared" si="8"/>
        <v/>
      </c>
      <c r="C44" s="507">
        <f>IF(D11="","-",+C43+1)</f>
        <v>2036</v>
      </c>
      <c r="D44" s="523">
        <f>IF(F43+SUM(E$17:E43)=D$10,F43,D$10-SUM(E$17:E43))</f>
        <v>0</v>
      </c>
      <c r="E44" s="522">
        <f>IF(+I14&lt;F43,I14,D44)</f>
        <v>0</v>
      </c>
      <c r="F44" s="523">
        <f t="shared" si="0"/>
        <v>0</v>
      </c>
      <c r="G44" s="524">
        <f t="shared" si="1"/>
        <v>0</v>
      </c>
      <c r="H44" s="491">
        <f t="shared" si="2"/>
        <v>0</v>
      </c>
      <c r="I44" s="511">
        <f t="shared" si="3"/>
        <v>0</v>
      </c>
      <c r="J44" s="511"/>
      <c r="K44" s="525"/>
      <c r="L44" s="514">
        <f t="shared" si="4"/>
        <v>0</v>
      </c>
      <c r="M44" s="525"/>
      <c r="N44" s="514">
        <f t="shared" si="5"/>
        <v>0</v>
      </c>
      <c r="O44" s="514">
        <f t="shared" si="6"/>
        <v>0</v>
      </c>
      <c r="P44" s="272"/>
    </row>
    <row r="45" spans="2:16">
      <c r="B45" s="195" t="str">
        <f t="shared" si="8"/>
        <v/>
      </c>
      <c r="C45" s="507">
        <f>IF(D11="","-",+C44+1)</f>
        <v>2037</v>
      </c>
      <c r="D45" s="523">
        <f>IF(F44+SUM(E$17:E44)=D$10,F44,D$10-SUM(E$17:E44))</f>
        <v>0</v>
      </c>
      <c r="E45" s="522">
        <f>IF(+I14&lt;F44,I14,D45)</f>
        <v>0</v>
      </c>
      <c r="F45" s="523">
        <f t="shared" si="0"/>
        <v>0</v>
      </c>
      <c r="G45" s="524">
        <f t="shared" si="1"/>
        <v>0</v>
      </c>
      <c r="H45" s="491">
        <f t="shared" si="2"/>
        <v>0</v>
      </c>
      <c r="I45" s="511">
        <f t="shared" si="3"/>
        <v>0</v>
      </c>
      <c r="J45" s="511"/>
      <c r="K45" s="525"/>
      <c r="L45" s="514">
        <f t="shared" si="4"/>
        <v>0</v>
      </c>
      <c r="M45" s="525"/>
      <c r="N45" s="514">
        <f t="shared" si="5"/>
        <v>0</v>
      </c>
      <c r="O45" s="514">
        <f t="shared" si="6"/>
        <v>0</v>
      </c>
      <c r="P45" s="272"/>
    </row>
    <row r="46" spans="2:16">
      <c r="B46" s="195" t="str">
        <f t="shared" si="8"/>
        <v/>
      </c>
      <c r="C46" s="507">
        <f>IF(D11="","-",+C45+1)</f>
        <v>2038</v>
      </c>
      <c r="D46" s="523">
        <f>IF(F45+SUM(E$17:E45)=D$10,F45,D$10-SUM(E$17:E45))</f>
        <v>0</v>
      </c>
      <c r="E46" s="522">
        <f>IF(+I14&lt;F45,I14,D46)</f>
        <v>0</v>
      </c>
      <c r="F46" s="523">
        <f t="shared" si="0"/>
        <v>0</v>
      </c>
      <c r="G46" s="524">
        <f t="shared" si="1"/>
        <v>0</v>
      </c>
      <c r="H46" s="491">
        <f t="shared" si="2"/>
        <v>0</v>
      </c>
      <c r="I46" s="511">
        <f t="shared" si="3"/>
        <v>0</v>
      </c>
      <c r="J46" s="511"/>
      <c r="K46" s="525"/>
      <c r="L46" s="514">
        <f t="shared" si="4"/>
        <v>0</v>
      </c>
      <c r="M46" s="525"/>
      <c r="N46" s="514">
        <f t="shared" si="5"/>
        <v>0</v>
      </c>
      <c r="O46" s="514">
        <f t="shared" si="6"/>
        <v>0</v>
      </c>
      <c r="P46" s="272"/>
    </row>
    <row r="47" spans="2:16">
      <c r="B47" s="195" t="str">
        <f t="shared" si="8"/>
        <v/>
      </c>
      <c r="C47" s="507">
        <f>IF(D11="","-",+C46+1)</f>
        <v>2039</v>
      </c>
      <c r="D47" s="523">
        <f>IF(F46+SUM(E$17:E46)=D$10,F46,D$10-SUM(E$17:E46))</f>
        <v>0</v>
      </c>
      <c r="E47" s="522">
        <f>IF(+I14&lt;F46,I14,D47)</f>
        <v>0</v>
      </c>
      <c r="F47" s="523">
        <f t="shared" si="0"/>
        <v>0</v>
      </c>
      <c r="G47" s="524">
        <f t="shared" si="1"/>
        <v>0</v>
      </c>
      <c r="H47" s="491">
        <f t="shared" si="2"/>
        <v>0</v>
      </c>
      <c r="I47" s="511">
        <f t="shared" si="3"/>
        <v>0</v>
      </c>
      <c r="J47" s="511"/>
      <c r="K47" s="525"/>
      <c r="L47" s="514">
        <f t="shared" si="4"/>
        <v>0</v>
      </c>
      <c r="M47" s="525"/>
      <c r="N47" s="514">
        <f t="shared" si="5"/>
        <v>0</v>
      </c>
      <c r="O47" s="514">
        <f t="shared" si="6"/>
        <v>0</v>
      </c>
      <c r="P47" s="272"/>
    </row>
    <row r="48" spans="2:16">
      <c r="B48" s="195" t="str">
        <f t="shared" si="8"/>
        <v/>
      </c>
      <c r="C48" s="507">
        <f>IF(D11="","-",+C47+1)</f>
        <v>2040</v>
      </c>
      <c r="D48" s="523">
        <f>IF(F47+SUM(E$17:E47)=D$10,F47,D$10-SUM(E$17:E47))</f>
        <v>0</v>
      </c>
      <c r="E48" s="522">
        <f>IF(+I14&lt;F47,I14,D48)</f>
        <v>0</v>
      </c>
      <c r="F48" s="523">
        <f t="shared" si="0"/>
        <v>0</v>
      </c>
      <c r="G48" s="524">
        <f t="shared" si="1"/>
        <v>0</v>
      </c>
      <c r="H48" s="491">
        <f t="shared" si="2"/>
        <v>0</v>
      </c>
      <c r="I48" s="511">
        <f t="shared" si="3"/>
        <v>0</v>
      </c>
      <c r="J48" s="511"/>
      <c r="K48" s="525"/>
      <c r="L48" s="514">
        <f t="shared" si="4"/>
        <v>0</v>
      </c>
      <c r="M48" s="525"/>
      <c r="N48" s="514">
        <f t="shared" si="5"/>
        <v>0</v>
      </c>
      <c r="O48" s="514">
        <f t="shared" si="6"/>
        <v>0</v>
      </c>
      <c r="P48" s="272"/>
    </row>
    <row r="49" spans="2:17">
      <c r="B49" s="195" t="str">
        <f t="shared" si="8"/>
        <v/>
      </c>
      <c r="C49" s="507">
        <f>IF(D11="","-",+C48+1)</f>
        <v>2041</v>
      </c>
      <c r="D49" s="523">
        <f>IF(F48+SUM(E$17:E48)=D$10,F48,D$10-SUM(E$17:E48))</f>
        <v>0</v>
      </c>
      <c r="E49" s="522">
        <f>IF(+I14&lt;F48,I14,D49)</f>
        <v>0</v>
      </c>
      <c r="F49" s="523">
        <f t="shared" ref="F49:F72" si="9">+D49-E49</f>
        <v>0</v>
      </c>
      <c r="G49" s="524">
        <f t="shared" ref="G49:G72" si="10">+I$12*((D49+F49)/2)+E49</f>
        <v>0</v>
      </c>
      <c r="H49" s="491">
        <f t="shared" ref="H49:H72" si="11">+I$13*((D49+F49)/2)+E49</f>
        <v>0</v>
      </c>
      <c r="I49" s="511">
        <f t="shared" ref="I49:I72" si="12">H49-G49</f>
        <v>0</v>
      </c>
      <c r="J49" s="511"/>
      <c r="K49" s="525"/>
      <c r="L49" s="514">
        <f t="shared" ref="L49:L72" si="13">IF(K49&lt;&gt;0,+G49-K49,0)</f>
        <v>0</v>
      </c>
      <c r="M49" s="525"/>
      <c r="N49" s="514">
        <f t="shared" ref="N49:N72" si="14">IF(M49&lt;&gt;0,+H49-M49,0)</f>
        <v>0</v>
      </c>
      <c r="O49" s="514">
        <f t="shared" ref="O49:O72" si="15">+N49-L49</f>
        <v>0</v>
      </c>
      <c r="P49" s="272"/>
    </row>
    <row r="50" spans="2:17">
      <c r="B50" s="195" t="str">
        <f t="shared" si="8"/>
        <v/>
      </c>
      <c r="C50" s="507">
        <f>IF(D11="","-",+C49+1)</f>
        <v>2042</v>
      </c>
      <c r="D50" s="523">
        <f>IF(F49+SUM(E$17:E49)=D$10,F49,D$10-SUM(E$17:E49))</f>
        <v>0</v>
      </c>
      <c r="E50" s="522">
        <f>IF(+I14&lt;F49,I14,D50)</f>
        <v>0</v>
      </c>
      <c r="F50" s="523">
        <f t="shared" si="9"/>
        <v>0</v>
      </c>
      <c r="G50" s="524">
        <f t="shared" si="10"/>
        <v>0</v>
      </c>
      <c r="H50" s="491">
        <f t="shared" si="11"/>
        <v>0</v>
      </c>
      <c r="I50" s="511">
        <f t="shared" si="12"/>
        <v>0</v>
      </c>
      <c r="J50" s="511"/>
      <c r="K50" s="525"/>
      <c r="L50" s="514">
        <f t="shared" si="13"/>
        <v>0</v>
      </c>
      <c r="M50" s="525"/>
      <c r="N50" s="514">
        <f t="shared" si="14"/>
        <v>0</v>
      </c>
      <c r="O50" s="514">
        <f t="shared" si="15"/>
        <v>0</v>
      </c>
      <c r="P50" s="272"/>
    </row>
    <row r="51" spans="2:17">
      <c r="B51" s="195" t="str">
        <f t="shared" si="8"/>
        <v/>
      </c>
      <c r="C51" s="507">
        <f>IF(D11="","-",+C50+1)</f>
        <v>2043</v>
      </c>
      <c r="D51" s="523">
        <f>IF(F50+SUM(E$17:E50)=D$10,F50,D$10-SUM(E$17:E50))</f>
        <v>0</v>
      </c>
      <c r="E51" s="522">
        <f>IF(+I14&lt;F50,I14,D51)</f>
        <v>0</v>
      </c>
      <c r="F51" s="523">
        <f t="shared" si="9"/>
        <v>0</v>
      </c>
      <c r="G51" s="524">
        <f t="shared" si="10"/>
        <v>0</v>
      </c>
      <c r="H51" s="491">
        <f t="shared" si="11"/>
        <v>0</v>
      </c>
      <c r="I51" s="511">
        <f t="shared" si="12"/>
        <v>0</v>
      </c>
      <c r="J51" s="511"/>
      <c r="K51" s="525"/>
      <c r="L51" s="514">
        <f t="shared" si="13"/>
        <v>0</v>
      </c>
      <c r="M51" s="525"/>
      <c r="N51" s="514">
        <f t="shared" si="14"/>
        <v>0</v>
      </c>
      <c r="O51" s="514">
        <f t="shared" si="15"/>
        <v>0</v>
      </c>
      <c r="P51" s="272"/>
    </row>
    <row r="52" spans="2:17">
      <c r="B52" s="195" t="str">
        <f t="shared" si="8"/>
        <v/>
      </c>
      <c r="C52" s="507">
        <f>IF(D11="","-",+C51+1)</f>
        <v>2044</v>
      </c>
      <c r="D52" s="523">
        <f>IF(F51+SUM(E$17:E51)=D$10,F51,D$10-SUM(E$17:E51))</f>
        <v>0</v>
      </c>
      <c r="E52" s="522">
        <f>IF(+I14&lt;F51,I14,D52)</f>
        <v>0</v>
      </c>
      <c r="F52" s="523">
        <f t="shared" si="9"/>
        <v>0</v>
      </c>
      <c r="G52" s="524">
        <f t="shared" si="10"/>
        <v>0</v>
      </c>
      <c r="H52" s="491">
        <f t="shared" si="11"/>
        <v>0</v>
      </c>
      <c r="I52" s="511">
        <f t="shared" si="12"/>
        <v>0</v>
      </c>
      <c r="J52" s="511"/>
      <c r="K52" s="525"/>
      <c r="L52" s="514">
        <f t="shared" si="13"/>
        <v>0</v>
      </c>
      <c r="M52" s="525"/>
      <c r="N52" s="514">
        <f t="shared" si="14"/>
        <v>0</v>
      </c>
      <c r="O52" s="514">
        <f t="shared" si="15"/>
        <v>0</v>
      </c>
      <c r="P52" s="272"/>
    </row>
    <row r="53" spans="2:17">
      <c r="B53" s="195" t="str">
        <f t="shared" si="8"/>
        <v/>
      </c>
      <c r="C53" s="507">
        <f>IF(D11="","-",+C52+1)</f>
        <v>2045</v>
      </c>
      <c r="D53" s="523">
        <f>IF(F52+SUM(E$17:E52)=D$10,F52,D$10-SUM(E$17:E52))</f>
        <v>0</v>
      </c>
      <c r="E53" s="522">
        <f>IF(+I14&lt;F52,I14,D53)</f>
        <v>0</v>
      </c>
      <c r="F53" s="523">
        <f t="shared" si="9"/>
        <v>0</v>
      </c>
      <c r="G53" s="524">
        <f t="shared" si="10"/>
        <v>0</v>
      </c>
      <c r="H53" s="491">
        <f t="shared" si="11"/>
        <v>0</v>
      </c>
      <c r="I53" s="511">
        <f t="shared" si="12"/>
        <v>0</v>
      </c>
      <c r="J53" s="511"/>
      <c r="K53" s="525"/>
      <c r="L53" s="514">
        <f t="shared" si="13"/>
        <v>0</v>
      </c>
      <c r="M53" s="525"/>
      <c r="N53" s="514">
        <f t="shared" si="14"/>
        <v>0</v>
      </c>
      <c r="O53" s="514">
        <f t="shared" si="15"/>
        <v>0</v>
      </c>
      <c r="P53" s="272"/>
    </row>
    <row r="54" spans="2:17">
      <c r="B54" s="195" t="str">
        <f t="shared" si="8"/>
        <v/>
      </c>
      <c r="C54" s="507">
        <f>IF(D11="","-",+C53+1)</f>
        <v>2046</v>
      </c>
      <c r="D54" s="523">
        <f>IF(F53+SUM(E$17:E53)=D$10,F53,D$10-SUM(E$17:E53))</f>
        <v>0</v>
      </c>
      <c r="E54" s="522">
        <f>IF(+I14&lt;F53,I14,D54)</f>
        <v>0</v>
      </c>
      <c r="F54" s="523">
        <f t="shared" si="9"/>
        <v>0</v>
      </c>
      <c r="G54" s="524">
        <f t="shared" si="10"/>
        <v>0</v>
      </c>
      <c r="H54" s="491">
        <f t="shared" si="11"/>
        <v>0</v>
      </c>
      <c r="I54" s="511">
        <f t="shared" si="12"/>
        <v>0</v>
      </c>
      <c r="J54" s="511"/>
      <c r="K54" s="525"/>
      <c r="L54" s="514">
        <f t="shared" si="13"/>
        <v>0</v>
      </c>
      <c r="M54" s="525"/>
      <c r="N54" s="514">
        <f t="shared" si="14"/>
        <v>0</v>
      </c>
      <c r="O54" s="514">
        <f t="shared" si="15"/>
        <v>0</v>
      </c>
      <c r="P54" s="272"/>
    </row>
    <row r="55" spans="2:17">
      <c r="B55" s="195" t="str">
        <f t="shared" si="8"/>
        <v/>
      </c>
      <c r="C55" s="507">
        <f>IF(D11="","-",+C54+1)</f>
        <v>2047</v>
      </c>
      <c r="D55" s="523">
        <f>IF(F54+SUM(E$17:E54)=D$10,F54,D$10-SUM(E$17:E54))</f>
        <v>0</v>
      </c>
      <c r="E55" s="522">
        <f>IF(+I14&lt;F54,I14,D55)</f>
        <v>0</v>
      </c>
      <c r="F55" s="523">
        <f t="shared" si="9"/>
        <v>0</v>
      </c>
      <c r="G55" s="524">
        <f t="shared" si="10"/>
        <v>0</v>
      </c>
      <c r="H55" s="491">
        <f t="shared" si="11"/>
        <v>0</v>
      </c>
      <c r="I55" s="511">
        <f t="shared" si="12"/>
        <v>0</v>
      </c>
      <c r="J55" s="511"/>
      <c r="K55" s="525"/>
      <c r="L55" s="514">
        <f t="shared" si="13"/>
        <v>0</v>
      </c>
      <c r="M55" s="525"/>
      <c r="N55" s="514">
        <f t="shared" si="14"/>
        <v>0</v>
      </c>
      <c r="O55" s="514">
        <f t="shared" si="15"/>
        <v>0</v>
      </c>
      <c r="P55" s="272"/>
    </row>
    <row r="56" spans="2:17">
      <c r="B56" s="195" t="str">
        <f t="shared" si="8"/>
        <v/>
      </c>
      <c r="C56" s="507">
        <f>IF(D11="","-",+C55+1)</f>
        <v>2048</v>
      </c>
      <c r="D56" s="523">
        <f>IF(F55+SUM(E$17:E55)=D$10,F55,D$10-SUM(E$17:E55))</f>
        <v>0</v>
      </c>
      <c r="E56" s="522">
        <f>IF(+I14&lt;F55,I14,D56)</f>
        <v>0</v>
      </c>
      <c r="F56" s="523">
        <f t="shared" si="9"/>
        <v>0</v>
      </c>
      <c r="G56" s="524">
        <f t="shared" si="10"/>
        <v>0</v>
      </c>
      <c r="H56" s="491">
        <f t="shared" si="11"/>
        <v>0</v>
      </c>
      <c r="I56" s="511">
        <f t="shared" si="12"/>
        <v>0</v>
      </c>
      <c r="J56" s="511"/>
      <c r="K56" s="525"/>
      <c r="L56" s="514">
        <f t="shared" si="13"/>
        <v>0</v>
      </c>
      <c r="M56" s="525"/>
      <c r="N56" s="514">
        <f t="shared" si="14"/>
        <v>0</v>
      </c>
      <c r="O56" s="514">
        <f t="shared" si="15"/>
        <v>0</v>
      </c>
      <c r="P56" s="272"/>
    </row>
    <row r="57" spans="2:17">
      <c r="B57" s="195" t="str">
        <f t="shared" si="8"/>
        <v/>
      </c>
      <c r="C57" s="507">
        <f>IF(D11="","-",+C56+1)</f>
        <v>2049</v>
      </c>
      <c r="D57" s="523">
        <f>IF(F56+SUM(E$17:E56)=D$10,F56,D$10-SUM(E$17:E56))</f>
        <v>0</v>
      </c>
      <c r="E57" s="522">
        <f>IF(+I14&lt;F56,I14,D57)</f>
        <v>0</v>
      </c>
      <c r="F57" s="523">
        <f t="shared" si="9"/>
        <v>0</v>
      </c>
      <c r="G57" s="524">
        <f t="shared" si="10"/>
        <v>0</v>
      </c>
      <c r="H57" s="491">
        <f t="shared" si="11"/>
        <v>0</v>
      </c>
      <c r="I57" s="511">
        <f t="shared" si="12"/>
        <v>0</v>
      </c>
      <c r="J57" s="511"/>
      <c r="K57" s="525"/>
      <c r="L57" s="514">
        <f t="shared" si="13"/>
        <v>0</v>
      </c>
      <c r="M57" s="525"/>
      <c r="N57" s="514">
        <f t="shared" si="14"/>
        <v>0</v>
      </c>
      <c r="O57" s="514">
        <f t="shared" si="15"/>
        <v>0</v>
      </c>
      <c r="P57" s="272"/>
    </row>
    <row r="58" spans="2:17">
      <c r="B58" s="195" t="str">
        <f t="shared" si="8"/>
        <v/>
      </c>
      <c r="C58" s="507">
        <f>IF(D11="","-",+C57+1)</f>
        <v>2050</v>
      </c>
      <c r="D58" s="523">
        <f>IF(F57+SUM(E$17:E57)=D$10,F57,D$10-SUM(E$17:E57))</f>
        <v>0</v>
      </c>
      <c r="E58" s="522">
        <f>IF(+I14&lt;F57,I14,D58)</f>
        <v>0</v>
      </c>
      <c r="F58" s="523">
        <f t="shared" si="9"/>
        <v>0</v>
      </c>
      <c r="G58" s="524">
        <f t="shared" si="10"/>
        <v>0</v>
      </c>
      <c r="H58" s="491">
        <f t="shared" si="11"/>
        <v>0</v>
      </c>
      <c r="I58" s="511">
        <f t="shared" si="12"/>
        <v>0</v>
      </c>
      <c r="J58" s="511"/>
      <c r="K58" s="525"/>
      <c r="L58" s="514">
        <f t="shared" si="13"/>
        <v>0</v>
      </c>
      <c r="M58" s="525"/>
      <c r="N58" s="514">
        <f t="shared" si="14"/>
        <v>0</v>
      </c>
      <c r="O58" s="514">
        <f t="shared" si="15"/>
        <v>0</v>
      </c>
      <c r="P58" s="272"/>
      <c r="Q58" s="183" t="str">
        <f>IF(ROUND(Q57,0)=ROUND(SUM(Q18:Q56),0),"","Error -- check allocations above).")</f>
        <v/>
      </c>
    </row>
    <row r="59" spans="2:17">
      <c r="B59" s="195" t="str">
        <f t="shared" si="8"/>
        <v/>
      </c>
      <c r="C59" s="507">
        <f>IF(D11="","-",+C58+1)</f>
        <v>2051</v>
      </c>
      <c r="D59" s="523">
        <f>IF(F58+SUM(E$17:E58)=D$10,F58,D$10-SUM(E$17:E58))</f>
        <v>0</v>
      </c>
      <c r="E59" s="522">
        <f>IF(+I14&lt;F58,I14,D59)</f>
        <v>0</v>
      </c>
      <c r="F59" s="523">
        <f t="shared" si="9"/>
        <v>0</v>
      </c>
      <c r="G59" s="524">
        <f t="shared" si="10"/>
        <v>0</v>
      </c>
      <c r="H59" s="491">
        <f t="shared" si="11"/>
        <v>0</v>
      </c>
      <c r="I59" s="511">
        <f t="shared" si="12"/>
        <v>0</v>
      </c>
      <c r="J59" s="511"/>
      <c r="K59" s="525"/>
      <c r="L59" s="514">
        <f t="shared" si="13"/>
        <v>0</v>
      </c>
      <c r="M59" s="525"/>
      <c r="N59" s="514">
        <f t="shared" si="14"/>
        <v>0</v>
      </c>
      <c r="O59" s="514">
        <f t="shared" si="15"/>
        <v>0</v>
      </c>
      <c r="P59" s="272"/>
    </row>
    <row r="60" spans="2:17">
      <c r="B60" s="195" t="str">
        <f t="shared" si="8"/>
        <v/>
      </c>
      <c r="C60" s="507">
        <f>IF(D11="","-",+C59+1)</f>
        <v>2052</v>
      </c>
      <c r="D60" s="523">
        <f>IF(F59+SUM(E$17:E59)=D$10,F59,D$10-SUM(E$17:E59))</f>
        <v>0</v>
      </c>
      <c r="E60" s="522">
        <f>IF(+I14&lt;F59,I14,D60)</f>
        <v>0</v>
      </c>
      <c r="F60" s="523">
        <f t="shared" si="9"/>
        <v>0</v>
      </c>
      <c r="G60" s="524">
        <f t="shared" si="10"/>
        <v>0</v>
      </c>
      <c r="H60" s="491">
        <f t="shared" si="11"/>
        <v>0</v>
      </c>
      <c r="I60" s="511">
        <f t="shared" si="12"/>
        <v>0</v>
      </c>
      <c r="J60" s="511"/>
      <c r="K60" s="525"/>
      <c r="L60" s="514">
        <f t="shared" si="13"/>
        <v>0</v>
      </c>
      <c r="M60" s="525"/>
      <c r="N60" s="514">
        <f t="shared" si="14"/>
        <v>0</v>
      </c>
      <c r="O60" s="514">
        <f t="shared" si="15"/>
        <v>0</v>
      </c>
      <c r="P60" s="272"/>
    </row>
    <row r="61" spans="2:17">
      <c r="B61" s="195" t="str">
        <f t="shared" si="8"/>
        <v/>
      </c>
      <c r="C61" s="507">
        <f>IF(D11="","-",+C60+1)</f>
        <v>2053</v>
      </c>
      <c r="D61" s="523">
        <f>IF(F60+SUM(E$17:E60)=D$10,F60,D$10-SUM(E$17:E60))</f>
        <v>0</v>
      </c>
      <c r="E61" s="522">
        <f>IF(+I14&lt;F60,I14,D61)</f>
        <v>0</v>
      </c>
      <c r="F61" s="523">
        <f t="shared" si="9"/>
        <v>0</v>
      </c>
      <c r="G61" s="526">
        <f t="shared" si="10"/>
        <v>0</v>
      </c>
      <c r="H61" s="491">
        <f t="shared" si="11"/>
        <v>0</v>
      </c>
      <c r="I61" s="511">
        <f t="shared" si="12"/>
        <v>0</v>
      </c>
      <c r="J61" s="511"/>
      <c r="K61" s="525"/>
      <c r="L61" s="514">
        <f t="shared" si="13"/>
        <v>0</v>
      </c>
      <c r="M61" s="525"/>
      <c r="N61" s="514">
        <f t="shared" si="14"/>
        <v>0</v>
      </c>
      <c r="O61" s="514">
        <f t="shared" si="15"/>
        <v>0</v>
      </c>
      <c r="P61" s="272"/>
    </row>
    <row r="62" spans="2:17">
      <c r="B62" s="195" t="str">
        <f t="shared" si="8"/>
        <v/>
      </c>
      <c r="C62" s="507">
        <f>IF(D11="","-",+C61+1)</f>
        <v>2054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9"/>
        <v>0</v>
      </c>
      <c r="G62" s="526">
        <f t="shared" si="10"/>
        <v>0</v>
      </c>
      <c r="H62" s="491">
        <f t="shared" si="11"/>
        <v>0</v>
      </c>
      <c r="I62" s="511">
        <f t="shared" si="12"/>
        <v>0</v>
      </c>
      <c r="J62" s="511"/>
      <c r="K62" s="525"/>
      <c r="L62" s="514">
        <f t="shared" si="13"/>
        <v>0</v>
      </c>
      <c r="M62" s="525"/>
      <c r="N62" s="514">
        <f t="shared" si="14"/>
        <v>0</v>
      </c>
      <c r="O62" s="514">
        <f t="shared" si="15"/>
        <v>0</v>
      </c>
      <c r="P62" s="272"/>
    </row>
    <row r="63" spans="2:17">
      <c r="B63" s="195" t="str">
        <f t="shared" si="8"/>
        <v/>
      </c>
      <c r="C63" s="507">
        <f>IF(D11="","-",+C62+1)</f>
        <v>2055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9"/>
        <v>0</v>
      </c>
      <c r="G63" s="526">
        <f t="shared" si="10"/>
        <v>0</v>
      </c>
      <c r="H63" s="491">
        <f t="shared" si="11"/>
        <v>0</v>
      </c>
      <c r="I63" s="511">
        <f t="shared" si="12"/>
        <v>0</v>
      </c>
      <c r="J63" s="511"/>
      <c r="K63" s="525"/>
      <c r="L63" s="514">
        <f t="shared" si="13"/>
        <v>0</v>
      </c>
      <c r="M63" s="525"/>
      <c r="N63" s="514">
        <f t="shared" si="14"/>
        <v>0</v>
      </c>
      <c r="O63" s="514">
        <f t="shared" si="15"/>
        <v>0</v>
      </c>
      <c r="P63" s="272"/>
    </row>
    <row r="64" spans="2:17">
      <c r="B64" s="195" t="str">
        <f t="shared" si="8"/>
        <v/>
      </c>
      <c r="C64" s="507">
        <f>IF(D11="","-",+C63+1)</f>
        <v>2056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9"/>
        <v>0</v>
      </c>
      <c r="G64" s="526">
        <f t="shared" si="10"/>
        <v>0</v>
      </c>
      <c r="H64" s="491">
        <f t="shared" si="11"/>
        <v>0</v>
      </c>
      <c r="I64" s="511">
        <f t="shared" si="12"/>
        <v>0</v>
      </c>
      <c r="J64" s="511"/>
      <c r="K64" s="525"/>
      <c r="L64" s="514">
        <f t="shared" si="13"/>
        <v>0</v>
      </c>
      <c r="M64" s="525"/>
      <c r="N64" s="514">
        <f t="shared" si="14"/>
        <v>0</v>
      </c>
      <c r="O64" s="514">
        <f t="shared" si="15"/>
        <v>0</v>
      </c>
      <c r="P64" s="272"/>
    </row>
    <row r="65" spans="1:16">
      <c r="B65" s="195" t="str">
        <f t="shared" si="8"/>
        <v/>
      </c>
      <c r="C65" s="507">
        <f>IF(D11="","-",+C64+1)</f>
        <v>2057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9"/>
        <v>0</v>
      </c>
      <c r="G65" s="526">
        <f t="shared" si="10"/>
        <v>0</v>
      </c>
      <c r="H65" s="491">
        <f t="shared" si="11"/>
        <v>0</v>
      </c>
      <c r="I65" s="511">
        <f t="shared" si="12"/>
        <v>0</v>
      </c>
      <c r="J65" s="511"/>
      <c r="K65" s="525"/>
      <c r="L65" s="514">
        <f t="shared" si="13"/>
        <v>0</v>
      </c>
      <c r="M65" s="525"/>
      <c r="N65" s="514">
        <f t="shared" si="14"/>
        <v>0</v>
      </c>
      <c r="O65" s="514">
        <f t="shared" si="15"/>
        <v>0</v>
      </c>
      <c r="P65" s="272"/>
    </row>
    <row r="66" spans="1:16">
      <c r="B66" s="195" t="str">
        <f t="shared" si="8"/>
        <v/>
      </c>
      <c r="C66" s="507">
        <f>IF(D11="","-",+C65+1)</f>
        <v>2058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9"/>
        <v>0</v>
      </c>
      <c r="G66" s="526">
        <f t="shared" si="10"/>
        <v>0</v>
      </c>
      <c r="H66" s="491">
        <f t="shared" si="11"/>
        <v>0</v>
      </c>
      <c r="I66" s="511">
        <f t="shared" si="12"/>
        <v>0</v>
      </c>
      <c r="J66" s="511"/>
      <c r="K66" s="525"/>
      <c r="L66" s="514">
        <f t="shared" si="13"/>
        <v>0</v>
      </c>
      <c r="M66" s="525"/>
      <c r="N66" s="514">
        <f t="shared" si="14"/>
        <v>0</v>
      </c>
      <c r="O66" s="514">
        <f t="shared" si="15"/>
        <v>0</v>
      </c>
      <c r="P66" s="272"/>
    </row>
    <row r="67" spans="1:16">
      <c r="B67" s="195" t="str">
        <f t="shared" si="8"/>
        <v/>
      </c>
      <c r="C67" s="507">
        <f>IF(D11="","-",+C66+1)</f>
        <v>2059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9"/>
        <v>0</v>
      </c>
      <c r="G67" s="526">
        <f t="shared" si="10"/>
        <v>0</v>
      </c>
      <c r="H67" s="491">
        <f t="shared" si="11"/>
        <v>0</v>
      </c>
      <c r="I67" s="511">
        <f t="shared" si="12"/>
        <v>0</v>
      </c>
      <c r="J67" s="511"/>
      <c r="K67" s="525"/>
      <c r="L67" s="514">
        <f t="shared" si="13"/>
        <v>0</v>
      </c>
      <c r="M67" s="525"/>
      <c r="N67" s="514">
        <f t="shared" si="14"/>
        <v>0</v>
      </c>
      <c r="O67" s="514">
        <f t="shared" si="15"/>
        <v>0</v>
      </c>
      <c r="P67" s="272"/>
    </row>
    <row r="68" spans="1:16">
      <c r="B68" s="195" t="str">
        <f t="shared" si="8"/>
        <v/>
      </c>
      <c r="C68" s="507">
        <f>IF(D11="","-",+C67+1)</f>
        <v>2060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9"/>
        <v>0</v>
      </c>
      <c r="G68" s="526">
        <f t="shared" si="10"/>
        <v>0</v>
      </c>
      <c r="H68" s="491">
        <f t="shared" si="11"/>
        <v>0</v>
      </c>
      <c r="I68" s="511">
        <f t="shared" si="12"/>
        <v>0</v>
      </c>
      <c r="J68" s="511"/>
      <c r="K68" s="525"/>
      <c r="L68" s="514">
        <f t="shared" si="13"/>
        <v>0</v>
      </c>
      <c r="M68" s="525"/>
      <c r="N68" s="514">
        <f t="shared" si="14"/>
        <v>0</v>
      </c>
      <c r="O68" s="514">
        <f t="shared" si="15"/>
        <v>0</v>
      </c>
      <c r="P68" s="272"/>
    </row>
    <row r="69" spans="1:16">
      <c r="B69" s="195" t="str">
        <f t="shared" si="8"/>
        <v/>
      </c>
      <c r="C69" s="507">
        <f>IF(D11="","-",+C68+1)</f>
        <v>2061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9"/>
        <v>0</v>
      </c>
      <c r="G69" s="526">
        <f t="shared" si="10"/>
        <v>0</v>
      </c>
      <c r="H69" s="491">
        <f t="shared" si="11"/>
        <v>0</v>
      </c>
      <c r="I69" s="511">
        <f t="shared" si="12"/>
        <v>0</v>
      </c>
      <c r="J69" s="511"/>
      <c r="K69" s="525"/>
      <c r="L69" s="514">
        <f t="shared" si="13"/>
        <v>0</v>
      </c>
      <c r="M69" s="525"/>
      <c r="N69" s="514">
        <f t="shared" si="14"/>
        <v>0</v>
      </c>
      <c r="O69" s="514">
        <f t="shared" si="15"/>
        <v>0</v>
      </c>
      <c r="P69" s="272"/>
    </row>
    <row r="70" spans="1:16">
      <c r="B70" s="195" t="str">
        <f t="shared" si="8"/>
        <v/>
      </c>
      <c r="C70" s="507">
        <f>IF(D11="","-",+C69+1)</f>
        <v>2062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9"/>
        <v>0</v>
      </c>
      <c r="G70" s="526">
        <f t="shared" si="10"/>
        <v>0</v>
      </c>
      <c r="H70" s="491">
        <f t="shared" si="11"/>
        <v>0</v>
      </c>
      <c r="I70" s="511">
        <f t="shared" si="12"/>
        <v>0</v>
      </c>
      <c r="J70" s="511"/>
      <c r="K70" s="525"/>
      <c r="L70" s="514">
        <f t="shared" si="13"/>
        <v>0</v>
      </c>
      <c r="M70" s="525"/>
      <c r="N70" s="514">
        <f t="shared" si="14"/>
        <v>0</v>
      </c>
      <c r="O70" s="514">
        <f t="shared" si="15"/>
        <v>0</v>
      </c>
      <c r="P70" s="272"/>
    </row>
    <row r="71" spans="1:16">
      <c r="B71" s="195" t="str">
        <f t="shared" si="8"/>
        <v/>
      </c>
      <c r="C71" s="507">
        <f>IF(D11="","-",+C70+1)</f>
        <v>2063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9"/>
        <v>0</v>
      </c>
      <c r="G71" s="526">
        <f t="shared" si="10"/>
        <v>0</v>
      </c>
      <c r="H71" s="491">
        <f t="shared" si="11"/>
        <v>0</v>
      </c>
      <c r="I71" s="511">
        <f t="shared" si="12"/>
        <v>0</v>
      </c>
      <c r="J71" s="511"/>
      <c r="K71" s="525"/>
      <c r="L71" s="514">
        <f t="shared" si="13"/>
        <v>0</v>
      </c>
      <c r="M71" s="525"/>
      <c r="N71" s="514">
        <f t="shared" si="14"/>
        <v>0</v>
      </c>
      <c r="O71" s="514">
        <f t="shared" si="15"/>
        <v>0</v>
      </c>
      <c r="P71" s="272"/>
    </row>
    <row r="72" spans="1:16" ht="13.5" thickBot="1">
      <c r="B72" s="195" t="str">
        <f t="shared" si="8"/>
        <v/>
      </c>
      <c r="C72" s="527">
        <f>IF(D11="","-",+C71+1)</f>
        <v>2064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9"/>
        <v>0</v>
      </c>
      <c r="G72" s="530">
        <f t="shared" si="10"/>
        <v>0</v>
      </c>
      <c r="H72" s="471">
        <f t="shared" si="11"/>
        <v>0</v>
      </c>
      <c r="I72" s="531">
        <f t="shared" si="12"/>
        <v>0</v>
      </c>
      <c r="J72" s="511"/>
      <c r="K72" s="532"/>
      <c r="L72" s="533">
        <f t="shared" si="13"/>
        <v>0</v>
      </c>
      <c r="M72" s="532"/>
      <c r="N72" s="533">
        <f t="shared" si="14"/>
        <v>0</v>
      </c>
      <c r="O72" s="533">
        <f t="shared" si="15"/>
        <v>0</v>
      </c>
      <c r="P72" s="272"/>
    </row>
    <row r="73" spans="1:16">
      <c r="C73" s="374" t="s">
        <v>78</v>
      </c>
      <c r="D73" s="375"/>
      <c r="E73" s="375">
        <f>SUM(E17:E72)</f>
        <v>0</v>
      </c>
      <c r="F73" s="375"/>
      <c r="G73" s="375">
        <f>SUM(G17:G72)</f>
        <v>0</v>
      </c>
      <c r="H73" s="375">
        <f>SUM(H17:H72)</f>
        <v>0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1:16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1:16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1:16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1:16" ht="18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535"/>
      <c r="P77" s="272"/>
    </row>
    <row r="78" spans="1:16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1:16" ht="15">
      <c r="A79" s="536"/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</row>
    <row r="80" spans="1:16" ht="18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7">
      <c r="B81" s="269"/>
      <c r="C81" s="537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7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  <c r="Q82" s="269"/>
    </row>
    <row r="83" spans="1:17" ht="20.25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535" t="str">
        <f ca="1">P1</f>
        <v>SWEPCO Project 18 of 75</v>
      </c>
      <c r="Q83" s="269"/>
    </row>
    <row r="84" spans="1:17" ht="18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454" t="s">
        <v>128</v>
      </c>
      <c r="Q84" s="269"/>
    </row>
    <row r="85" spans="1:17" ht="18.7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  <c r="Q85" s="269"/>
    </row>
    <row r="86" spans="1:17" ht="15.75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2022</v>
      </c>
      <c r="M86" s="541" t="s">
        <v>9</v>
      </c>
      <c r="N86" s="542" t="s">
        <v>159</v>
      </c>
      <c r="O86" s="543" t="s">
        <v>11</v>
      </c>
      <c r="P86" s="269"/>
      <c r="Q86" s="269"/>
    </row>
    <row r="87" spans="1:17" ht="1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391</v>
      </c>
      <c r="M87" s="546">
        <f>IF(J92&lt;D11,0,VLOOKUP(J92,C17:O72,9))</f>
        <v>0</v>
      </c>
      <c r="N87" s="546">
        <f>IF(J92&lt;D11,0,VLOOKUP(J92,C17:O72,11))</f>
        <v>0</v>
      </c>
      <c r="O87" s="547">
        <f>+N87-M87</f>
        <v>0</v>
      </c>
      <c r="P87" s="269"/>
      <c r="Q87" s="269"/>
    </row>
    <row r="88" spans="1:17" ht="15.7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392</v>
      </c>
      <c r="M88" s="550">
        <f>IF(J92&lt;D11,0,VLOOKUP(J92,C99:P154,6))</f>
        <v>0</v>
      </c>
      <c r="N88" s="550">
        <f>IF(J92&lt;D11,0,VLOOKUP(J92,C99:P154,7))</f>
        <v>0</v>
      </c>
      <c r="O88" s="551">
        <f>+N88-M88</f>
        <v>0</v>
      </c>
      <c r="P88" s="269"/>
      <c r="Q88" s="269"/>
    </row>
    <row r="89" spans="1:17" ht="13.5" thickBot="1">
      <c r="C89" s="467" t="s">
        <v>84</v>
      </c>
      <c r="D89" s="552" t="str">
        <f>+D7</f>
        <v>Port Robson (SW 138 kV Loop -- 2008)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0</v>
      </c>
      <c r="N89" s="555">
        <f>+N88-N87</f>
        <v>0</v>
      </c>
      <c r="O89" s="556">
        <f>+O88-O87</f>
        <v>0</v>
      </c>
      <c r="P89" s="269"/>
      <c r="Q89" s="269"/>
    </row>
    <row r="90" spans="1:17" ht="13.5" thickBot="1">
      <c r="C90" s="534"/>
      <c r="D90" s="557" t="str">
        <f>D8</f>
        <v>DOES NOT MEET SPP $100,000 MINIMUM INVESTMENT FOR REGIONAL BPU SHARING.</v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  <c r="Q90" s="269"/>
    </row>
    <row r="91" spans="1:17" ht="13.5" thickBot="1">
      <c r="A91" s="191"/>
      <c r="C91" s="558" t="s">
        <v>85</v>
      </c>
      <c r="D91" s="559" t="str">
        <f>+D9</f>
        <v>TP2007165</v>
      </c>
      <c r="E91" s="560"/>
      <c r="F91" s="560"/>
      <c r="G91" s="560"/>
      <c r="H91" s="560"/>
      <c r="I91" s="560"/>
      <c r="J91" s="561"/>
      <c r="K91" s="562"/>
      <c r="P91" s="481"/>
      <c r="Q91" s="269"/>
    </row>
    <row r="92" spans="1:17">
      <c r="C92" s="486" t="s">
        <v>51</v>
      </c>
      <c r="D92" s="564">
        <f>IF(D11=I10,0,D10)</f>
        <v>0</v>
      </c>
      <c r="E92" s="340" t="s">
        <v>86</v>
      </c>
      <c r="H92" s="484"/>
      <c r="I92" s="484"/>
      <c r="J92" s="485">
        <f>+'SWE.WS.G.BPU.ATRR.True-up'!M16</f>
        <v>2022</v>
      </c>
      <c r="K92" s="480"/>
      <c r="L92" s="375" t="s">
        <v>87</v>
      </c>
      <c r="P92" s="272"/>
      <c r="Q92" s="269"/>
    </row>
    <row r="93" spans="1:17">
      <c r="C93" s="486" t="s">
        <v>54</v>
      </c>
      <c r="D93" s="563">
        <f>IF(D11=I10,"",D11)</f>
        <v>2009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  <c r="Q93" s="269"/>
    </row>
    <row r="94" spans="1:17">
      <c r="C94" s="486" t="s">
        <v>56</v>
      </c>
      <c r="D94" s="564">
        <f>IF(D11=I10,"",D12)</f>
        <v>6</v>
      </c>
      <c r="E94" s="486" t="s">
        <v>57</v>
      </c>
      <c r="F94" s="484"/>
      <c r="G94" s="484"/>
      <c r="J94" s="490">
        <f>'SWE.WS.G.BPU.ATRR.True-up'!$F$81</f>
        <v>0.11351422637179906</v>
      </c>
      <c r="K94" s="425"/>
      <c r="L94" s="183" t="s">
        <v>88</v>
      </c>
      <c r="P94" s="272"/>
      <c r="Q94" s="269"/>
    </row>
    <row r="95" spans="1:17">
      <c r="C95" s="486" t="s">
        <v>59</v>
      </c>
      <c r="D95" s="488">
        <f>'SWE.WS.G.BPU.ATRR.True-up'!F$93</f>
        <v>41</v>
      </c>
      <c r="E95" s="486" t="s">
        <v>60</v>
      </c>
      <c r="F95" s="484"/>
      <c r="G95" s="484"/>
      <c r="J95" s="490">
        <f>IF(H87="",J94,'SWE.WS.G.BPU.ATRR.True-up'!$F$80)</f>
        <v>0.11351422637179906</v>
      </c>
      <c r="K95" s="324"/>
      <c r="L95" s="375" t="s">
        <v>61</v>
      </c>
      <c r="M95" s="324"/>
      <c r="N95" s="324"/>
      <c r="O95" s="324"/>
      <c r="P95" s="272"/>
      <c r="Q95" s="269"/>
    </row>
    <row r="96" spans="1:17" ht="13.5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0</v>
      </c>
      <c r="K96" s="375"/>
      <c r="L96" s="375"/>
      <c r="M96" s="375"/>
      <c r="N96" s="375"/>
      <c r="O96" s="375"/>
      <c r="P96" s="272"/>
      <c r="Q96" s="269"/>
    </row>
    <row r="97" spans="1:17" ht="38.25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388</v>
      </c>
      <c r="I97" s="495" t="s">
        <v>389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  <c r="Q97" s="269"/>
    </row>
    <row r="98" spans="1:17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602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  <c r="Q98" s="269"/>
    </row>
    <row r="99" spans="1:17">
      <c r="C99" s="507">
        <f>IF(D93= "","-",D93)</f>
        <v>2009</v>
      </c>
      <c r="D99" s="374">
        <f>IF(D93=C99,0,D92)</f>
        <v>0</v>
      </c>
      <c r="E99" s="524">
        <f>IF(D11=I10,0,J96/12*(12-D94))</f>
        <v>0</v>
      </c>
      <c r="F99" s="523">
        <f>IF(D93=C99,+D92-E99,+D99-E99)</f>
        <v>0</v>
      </c>
      <c r="G99" s="603">
        <f t="shared" ref="G99:G130" si="16">+(F99+D99)/2</f>
        <v>0</v>
      </c>
      <c r="H99" s="604">
        <f t="shared" ref="H99:H112" si="17">+J$94*G99+E99</f>
        <v>0</v>
      </c>
      <c r="I99" s="605">
        <f t="shared" ref="I99:I112" si="18">+J$95*G99+E99</f>
        <v>0</v>
      </c>
      <c r="J99" s="514">
        <f t="shared" ref="J99:J130" si="19">+I99-H99</f>
        <v>0</v>
      </c>
      <c r="K99" s="514"/>
      <c r="L99" s="619"/>
      <c r="M99" s="513">
        <f t="shared" ref="M99:M130" si="20">IF(L99&lt;&gt;0,+H99-L99,0)</f>
        <v>0</v>
      </c>
      <c r="N99" s="619"/>
      <c r="O99" s="513">
        <f t="shared" ref="O99:O130" si="21">IF(N99&lt;&gt;0,+I99-N99,0)</f>
        <v>0</v>
      </c>
      <c r="P99" s="513">
        <f t="shared" ref="P99:P130" si="22">+O99-M99</f>
        <v>0</v>
      </c>
      <c r="Q99" s="269"/>
    </row>
    <row r="100" spans="1:17">
      <c r="B100" s="195" t="str">
        <f>IF(D100=F99,"","IU")</f>
        <v/>
      </c>
      <c r="C100" s="507">
        <f>IF(D93="","-",+C99+1)</f>
        <v>2010</v>
      </c>
      <c r="D100" s="374">
        <f t="shared" ref="D100:D109" si="23">F99</f>
        <v>0</v>
      </c>
      <c r="E100" s="522">
        <f>IF(+J96&lt;F99,J96,D100)</f>
        <v>0</v>
      </c>
      <c r="F100" s="523">
        <f t="shared" ref="F100:F130" si="24">+D100-E100</f>
        <v>0</v>
      </c>
      <c r="G100" s="523">
        <f t="shared" si="16"/>
        <v>0</v>
      </c>
      <c r="H100" s="526">
        <f t="shared" si="17"/>
        <v>0</v>
      </c>
      <c r="I100" s="577">
        <f t="shared" si="18"/>
        <v>0</v>
      </c>
      <c r="J100" s="514">
        <f t="shared" si="19"/>
        <v>0</v>
      </c>
      <c r="K100" s="514"/>
      <c r="L100" s="525"/>
      <c r="M100" s="514">
        <f t="shared" si="20"/>
        <v>0</v>
      </c>
      <c r="N100" s="525"/>
      <c r="O100" s="514">
        <f t="shared" si="21"/>
        <v>0</v>
      </c>
      <c r="P100" s="514">
        <f t="shared" si="22"/>
        <v>0</v>
      </c>
      <c r="Q100" s="269"/>
    </row>
    <row r="101" spans="1:17">
      <c r="B101" s="195" t="str">
        <f t="shared" ref="B101:B154" si="25">IF(D101=F100,"","IU")</f>
        <v/>
      </c>
      <c r="C101" s="507">
        <f>IF(D93="","-",+C100+1)</f>
        <v>2011</v>
      </c>
      <c r="D101" s="374">
        <f t="shared" si="23"/>
        <v>0</v>
      </c>
      <c r="E101" s="522">
        <f>IF(+J96&lt;F100,J96,D101)</f>
        <v>0</v>
      </c>
      <c r="F101" s="523">
        <f t="shared" si="24"/>
        <v>0</v>
      </c>
      <c r="G101" s="523">
        <f t="shared" si="16"/>
        <v>0</v>
      </c>
      <c r="H101" s="526">
        <f t="shared" si="17"/>
        <v>0</v>
      </c>
      <c r="I101" s="577">
        <f t="shared" si="18"/>
        <v>0</v>
      </c>
      <c r="J101" s="514">
        <f t="shared" si="19"/>
        <v>0</v>
      </c>
      <c r="K101" s="514"/>
      <c r="L101" s="525"/>
      <c r="M101" s="514">
        <f t="shared" si="20"/>
        <v>0</v>
      </c>
      <c r="N101" s="525"/>
      <c r="O101" s="514">
        <f t="shared" si="21"/>
        <v>0</v>
      </c>
      <c r="P101" s="514">
        <f t="shared" si="22"/>
        <v>0</v>
      </c>
      <c r="Q101" s="269"/>
    </row>
    <row r="102" spans="1:17">
      <c r="B102" s="195" t="str">
        <f t="shared" si="25"/>
        <v/>
      </c>
      <c r="C102" s="507">
        <f>IF(D93="","-",+C101+1)</f>
        <v>2012</v>
      </c>
      <c r="D102" s="374">
        <f t="shared" si="23"/>
        <v>0</v>
      </c>
      <c r="E102" s="522">
        <f>IF(+J96&lt;F101,J96,D102)</f>
        <v>0</v>
      </c>
      <c r="F102" s="523">
        <f t="shared" si="24"/>
        <v>0</v>
      </c>
      <c r="G102" s="523">
        <f t="shared" si="16"/>
        <v>0</v>
      </c>
      <c r="H102" s="526">
        <f t="shared" si="17"/>
        <v>0</v>
      </c>
      <c r="I102" s="577">
        <f t="shared" si="18"/>
        <v>0</v>
      </c>
      <c r="J102" s="514">
        <f t="shared" si="19"/>
        <v>0</v>
      </c>
      <c r="K102" s="514"/>
      <c r="L102" s="525"/>
      <c r="M102" s="514">
        <f t="shared" si="20"/>
        <v>0</v>
      </c>
      <c r="N102" s="525"/>
      <c r="O102" s="514">
        <f t="shared" si="21"/>
        <v>0</v>
      </c>
      <c r="P102" s="514">
        <f t="shared" si="22"/>
        <v>0</v>
      </c>
      <c r="Q102" s="269"/>
    </row>
    <row r="103" spans="1:17">
      <c r="B103" s="195" t="str">
        <f t="shared" si="25"/>
        <v/>
      </c>
      <c r="C103" s="507">
        <f>IF(D93="","-",+C102+1)</f>
        <v>2013</v>
      </c>
      <c r="D103" s="374">
        <f t="shared" si="23"/>
        <v>0</v>
      </c>
      <c r="E103" s="522">
        <f>IF(+J96&lt;F102,J96,D103)</f>
        <v>0</v>
      </c>
      <c r="F103" s="523">
        <f t="shared" si="24"/>
        <v>0</v>
      </c>
      <c r="G103" s="523">
        <f t="shared" si="16"/>
        <v>0</v>
      </c>
      <c r="H103" s="526">
        <f t="shared" si="17"/>
        <v>0</v>
      </c>
      <c r="I103" s="577">
        <f t="shared" si="18"/>
        <v>0</v>
      </c>
      <c r="J103" s="514">
        <f t="shared" si="19"/>
        <v>0</v>
      </c>
      <c r="K103" s="514"/>
      <c r="L103" s="525"/>
      <c r="M103" s="514">
        <f t="shared" si="20"/>
        <v>0</v>
      </c>
      <c r="N103" s="525"/>
      <c r="O103" s="514">
        <f t="shared" si="21"/>
        <v>0</v>
      </c>
      <c r="P103" s="514">
        <f t="shared" si="22"/>
        <v>0</v>
      </c>
      <c r="Q103" s="269"/>
    </row>
    <row r="104" spans="1:17">
      <c r="B104" s="195" t="str">
        <f t="shared" si="25"/>
        <v/>
      </c>
      <c r="C104" s="507">
        <f>IF(D93="","-",+C103+1)</f>
        <v>2014</v>
      </c>
      <c r="D104" s="374">
        <f t="shared" si="23"/>
        <v>0</v>
      </c>
      <c r="E104" s="522">
        <f>IF(+J96&lt;F103,J96,D104)</f>
        <v>0</v>
      </c>
      <c r="F104" s="523">
        <f t="shared" si="24"/>
        <v>0</v>
      </c>
      <c r="G104" s="523">
        <f t="shared" si="16"/>
        <v>0</v>
      </c>
      <c r="H104" s="526">
        <f t="shared" si="17"/>
        <v>0</v>
      </c>
      <c r="I104" s="577">
        <f t="shared" si="18"/>
        <v>0</v>
      </c>
      <c r="J104" s="514">
        <f t="shared" si="19"/>
        <v>0</v>
      </c>
      <c r="K104" s="514"/>
      <c r="L104" s="525"/>
      <c r="M104" s="514">
        <f t="shared" si="20"/>
        <v>0</v>
      </c>
      <c r="N104" s="525"/>
      <c r="O104" s="514">
        <f t="shared" si="21"/>
        <v>0</v>
      </c>
      <c r="P104" s="514">
        <f t="shared" si="22"/>
        <v>0</v>
      </c>
      <c r="Q104" s="269"/>
    </row>
    <row r="105" spans="1:17">
      <c r="B105" s="195" t="str">
        <f t="shared" si="25"/>
        <v/>
      </c>
      <c r="C105" s="507">
        <f>IF(D93="","-",+C104+1)</f>
        <v>2015</v>
      </c>
      <c r="D105" s="374">
        <f t="shared" si="23"/>
        <v>0</v>
      </c>
      <c r="E105" s="522">
        <f>IF(+J96&lt;F104,J96,D105)</f>
        <v>0</v>
      </c>
      <c r="F105" s="523">
        <f t="shared" si="24"/>
        <v>0</v>
      </c>
      <c r="G105" s="523">
        <f t="shared" si="16"/>
        <v>0</v>
      </c>
      <c r="H105" s="526">
        <f t="shared" si="17"/>
        <v>0</v>
      </c>
      <c r="I105" s="577">
        <f t="shared" si="18"/>
        <v>0</v>
      </c>
      <c r="J105" s="514">
        <f t="shared" si="19"/>
        <v>0</v>
      </c>
      <c r="K105" s="514"/>
      <c r="L105" s="525"/>
      <c r="M105" s="514">
        <f t="shared" si="20"/>
        <v>0</v>
      </c>
      <c r="N105" s="525"/>
      <c r="O105" s="514">
        <f t="shared" si="21"/>
        <v>0</v>
      </c>
      <c r="P105" s="514">
        <f t="shared" si="22"/>
        <v>0</v>
      </c>
      <c r="Q105" s="269"/>
    </row>
    <row r="106" spans="1:17">
      <c r="B106" s="195" t="str">
        <f t="shared" si="25"/>
        <v/>
      </c>
      <c r="C106" s="507">
        <f>IF(D93="","-",+C105+1)</f>
        <v>2016</v>
      </c>
      <c r="D106" s="374">
        <f t="shared" si="23"/>
        <v>0</v>
      </c>
      <c r="E106" s="522">
        <f>IF(+J96&lt;F105,J96,D106)</f>
        <v>0</v>
      </c>
      <c r="F106" s="523">
        <f t="shared" si="24"/>
        <v>0</v>
      </c>
      <c r="G106" s="523">
        <f t="shared" si="16"/>
        <v>0</v>
      </c>
      <c r="H106" s="526">
        <f t="shared" si="17"/>
        <v>0</v>
      </c>
      <c r="I106" s="577">
        <f t="shared" si="18"/>
        <v>0</v>
      </c>
      <c r="J106" s="514">
        <f t="shared" si="19"/>
        <v>0</v>
      </c>
      <c r="K106" s="514"/>
      <c r="L106" s="525"/>
      <c r="M106" s="514">
        <f t="shared" si="20"/>
        <v>0</v>
      </c>
      <c r="N106" s="525"/>
      <c r="O106" s="514">
        <f t="shared" si="21"/>
        <v>0</v>
      </c>
      <c r="P106" s="514">
        <f t="shared" si="22"/>
        <v>0</v>
      </c>
      <c r="Q106" s="269"/>
    </row>
    <row r="107" spans="1:17">
      <c r="B107" s="195" t="str">
        <f t="shared" si="25"/>
        <v/>
      </c>
      <c r="C107" s="507">
        <f>IF(D93="","-",+C106+1)</f>
        <v>2017</v>
      </c>
      <c r="D107" s="374">
        <f t="shared" si="23"/>
        <v>0</v>
      </c>
      <c r="E107" s="522">
        <f>IF(+J96&lt;F106,J96,D107)</f>
        <v>0</v>
      </c>
      <c r="F107" s="523">
        <f t="shared" si="24"/>
        <v>0</v>
      </c>
      <c r="G107" s="523">
        <f t="shared" si="16"/>
        <v>0</v>
      </c>
      <c r="H107" s="526">
        <f t="shared" si="17"/>
        <v>0</v>
      </c>
      <c r="I107" s="577">
        <f t="shared" si="18"/>
        <v>0</v>
      </c>
      <c r="J107" s="514">
        <f t="shared" si="19"/>
        <v>0</v>
      </c>
      <c r="K107" s="514"/>
      <c r="L107" s="525"/>
      <c r="M107" s="514">
        <f t="shared" si="20"/>
        <v>0</v>
      </c>
      <c r="N107" s="525"/>
      <c r="O107" s="514">
        <f t="shared" si="21"/>
        <v>0</v>
      </c>
      <c r="P107" s="514">
        <f t="shared" si="22"/>
        <v>0</v>
      </c>
      <c r="Q107" s="269"/>
    </row>
    <row r="108" spans="1:17">
      <c r="B108" s="195" t="str">
        <f t="shared" si="25"/>
        <v/>
      </c>
      <c r="C108" s="507">
        <f>IF(D93="","-",+C107+1)</f>
        <v>2018</v>
      </c>
      <c r="D108" s="374">
        <f t="shared" si="23"/>
        <v>0</v>
      </c>
      <c r="E108" s="522">
        <f>IF(+J96&lt;F107,J96,D108)</f>
        <v>0</v>
      </c>
      <c r="F108" s="523">
        <f t="shared" si="24"/>
        <v>0</v>
      </c>
      <c r="G108" s="523">
        <f t="shared" si="16"/>
        <v>0</v>
      </c>
      <c r="H108" s="526">
        <f t="shared" si="17"/>
        <v>0</v>
      </c>
      <c r="I108" s="577">
        <f t="shared" si="18"/>
        <v>0</v>
      </c>
      <c r="J108" s="514">
        <f t="shared" si="19"/>
        <v>0</v>
      </c>
      <c r="K108" s="514"/>
      <c r="L108" s="525"/>
      <c r="M108" s="514">
        <f t="shared" si="20"/>
        <v>0</v>
      </c>
      <c r="N108" s="525"/>
      <c r="O108" s="514">
        <f t="shared" si="21"/>
        <v>0</v>
      </c>
      <c r="P108" s="514">
        <f t="shared" si="22"/>
        <v>0</v>
      </c>
      <c r="Q108" s="269"/>
    </row>
    <row r="109" spans="1:17">
      <c r="B109" s="195" t="str">
        <f t="shared" si="25"/>
        <v/>
      </c>
      <c r="C109" s="507">
        <f>IF(D93="","-",+C108+1)</f>
        <v>2019</v>
      </c>
      <c r="D109" s="374">
        <f t="shared" si="23"/>
        <v>0</v>
      </c>
      <c r="E109" s="522">
        <f>IF(+J96&lt;F108,J96,D109)</f>
        <v>0</v>
      </c>
      <c r="F109" s="523">
        <f t="shared" si="24"/>
        <v>0</v>
      </c>
      <c r="G109" s="523">
        <f t="shared" si="16"/>
        <v>0</v>
      </c>
      <c r="H109" s="526">
        <f t="shared" si="17"/>
        <v>0</v>
      </c>
      <c r="I109" s="577">
        <f t="shared" si="18"/>
        <v>0</v>
      </c>
      <c r="J109" s="514">
        <f t="shared" si="19"/>
        <v>0</v>
      </c>
      <c r="K109" s="514"/>
      <c r="L109" s="525"/>
      <c r="M109" s="514">
        <f t="shared" si="20"/>
        <v>0</v>
      </c>
      <c r="N109" s="525"/>
      <c r="O109" s="514">
        <f t="shared" si="21"/>
        <v>0</v>
      </c>
      <c r="P109" s="514">
        <f t="shared" si="22"/>
        <v>0</v>
      </c>
      <c r="Q109" s="269"/>
    </row>
    <row r="110" spans="1:17">
      <c r="B110" s="195" t="str">
        <f t="shared" si="25"/>
        <v/>
      </c>
      <c r="C110" s="507">
        <f>IF(D93="","-",+C109+1)</f>
        <v>2020</v>
      </c>
      <c r="D110" s="374">
        <f>IF(F109+SUM(E$99:E109)=D$92,F109,D$92-SUM(E$99:E109))</f>
        <v>0</v>
      </c>
      <c r="E110" s="522">
        <f>IF(+J96&lt;F109,J96,D110)</f>
        <v>0</v>
      </c>
      <c r="F110" s="523">
        <f t="shared" si="24"/>
        <v>0</v>
      </c>
      <c r="G110" s="523">
        <f t="shared" si="16"/>
        <v>0</v>
      </c>
      <c r="H110" s="526">
        <f t="shared" si="17"/>
        <v>0</v>
      </c>
      <c r="I110" s="577">
        <f t="shared" si="18"/>
        <v>0</v>
      </c>
      <c r="J110" s="514">
        <f t="shared" si="19"/>
        <v>0</v>
      </c>
      <c r="K110" s="514"/>
      <c r="L110" s="525"/>
      <c r="M110" s="514">
        <f t="shared" si="20"/>
        <v>0</v>
      </c>
      <c r="N110" s="525"/>
      <c r="O110" s="514">
        <f t="shared" si="21"/>
        <v>0</v>
      </c>
      <c r="P110" s="514">
        <f t="shared" si="22"/>
        <v>0</v>
      </c>
      <c r="Q110" s="269"/>
    </row>
    <row r="111" spans="1:17">
      <c r="B111" s="195" t="str">
        <f t="shared" si="25"/>
        <v/>
      </c>
      <c r="C111" s="507">
        <f>IF(D93="","-",+C110+1)</f>
        <v>2021</v>
      </c>
      <c r="D111" s="374">
        <f>IF(F110+SUM(E$99:E110)=D$92,F110,D$92-SUM(E$99:E110))</f>
        <v>0</v>
      </c>
      <c r="E111" s="522">
        <f>IF(+J96&lt;F110,J96,D111)</f>
        <v>0</v>
      </c>
      <c r="F111" s="523">
        <f t="shared" si="24"/>
        <v>0</v>
      </c>
      <c r="G111" s="523">
        <f t="shared" si="16"/>
        <v>0</v>
      </c>
      <c r="H111" s="526">
        <f t="shared" si="17"/>
        <v>0</v>
      </c>
      <c r="I111" s="577">
        <f t="shared" si="18"/>
        <v>0</v>
      </c>
      <c r="J111" s="514">
        <f t="shared" si="19"/>
        <v>0</v>
      </c>
      <c r="K111" s="514"/>
      <c r="L111" s="525"/>
      <c r="M111" s="514">
        <f t="shared" si="20"/>
        <v>0</v>
      </c>
      <c r="N111" s="525"/>
      <c r="O111" s="514">
        <f t="shared" si="21"/>
        <v>0</v>
      </c>
      <c r="P111" s="514">
        <f t="shared" si="22"/>
        <v>0</v>
      </c>
      <c r="Q111" s="269"/>
    </row>
    <row r="112" spans="1:17">
      <c r="B112" s="195" t="str">
        <f t="shared" si="25"/>
        <v/>
      </c>
      <c r="C112" s="673">
        <f>IF(D93="","-",+C111+1)</f>
        <v>2022</v>
      </c>
      <c r="D112" s="374">
        <f>IF(F111+SUM(E$99:E111)=D$92,F111,D$92-SUM(E$99:E111))</f>
        <v>0</v>
      </c>
      <c r="E112" s="522">
        <f>IF(+J96&lt;F111,J96,D112)</f>
        <v>0</v>
      </c>
      <c r="F112" s="523">
        <f t="shared" si="24"/>
        <v>0</v>
      </c>
      <c r="G112" s="523">
        <f t="shared" si="16"/>
        <v>0</v>
      </c>
      <c r="H112" s="526">
        <f t="shared" si="17"/>
        <v>0</v>
      </c>
      <c r="I112" s="577">
        <f t="shared" si="18"/>
        <v>0</v>
      </c>
      <c r="J112" s="514">
        <f t="shared" si="19"/>
        <v>0</v>
      </c>
      <c r="K112" s="514"/>
      <c r="L112" s="525"/>
      <c r="M112" s="514">
        <f t="shared" si="20"/>
        <v>0</v>
      </c>
      <c r="N112" s="525"/>
      <c r="O112" s="514">
        <f t="shared" si="21"/>
        <v>0</v>
      </c>
      <c r="P112" s="514">
        <f t="shared" si="22"/>
        <v>0</v>
      </c>
      <c r="Q112" s="269"/>
    </row>
    <row r="113" spans="2:17">
      <c r="B113" s="195" t="str">
        <f t="shared" si="25"/>
        <v/>
      </c>
      <c r="C113" s="507">
        <f>IF(D93="","-",+C112+1)</f>
        <v>2023</v>
      </c>
      <c r="D113" s="374">
        <f>IF(F112+SUM(E$99:E112)=D$92,F112,D$92-SUM(E$99:E112))</f>
        <v>0</v>
      </c>
      <c r="E113" s="522">
        <f>IF(+J96&lt;F112,J96,D113)</f>
        <v>0</v>
      </c>
      <c r="F113" s="523">
        <f t="shared" si="24"/>
        <v>0</v>
      </c>
      <c r="G113" s="523">
        <f t="shared" si="16"/>
        <v>0</v>
      </c>
      <c r="H113" s="526">
        <f t="shared" ref="H113:H154" si="26">+J$94*G113+E113</f>
        <v>0</v>
      </c>
      <c r="I113" s="577">
        <f t="shared" ref="I113:I154" si="27">+J$95*G113+E113</f>
        <v>0</v>
      </c>
      <c r="J113" s="514">
        <f t="shared" si="19"/>
        <v>0</v>
      </c>
      <c r="K113" s="514"/>
      <c r="L113" s="525"/>
      <c r="M113" s="514">
        <f t="shared" si="20"/>
        <v>0</v>
      </c>
      <c r="N113" s="525"/>
      <c r="O113" s="514">
        <f t="shared" si="21"/>
        <v>0</v>
      </c>
      <c r="P113" s="514">
        <f t="shared" si="22"/>
        <v>0</v>
      </c>
      <c r="Q113" s="269"/>
    </row>
    <row r="114" spans="2:17">
      <c r="B114" s="195" t="str">
        <f t="shared" si="25"/>
        <v/>
      </c>
      <c r="C114" s="507">
        <f>IF(D93="","-",+C113+1)</f>
        <v>2024</v>
      </c>
      <c r="D114" s="374">
        <f>IF(F113+SUM(E$99:E113)=D$92,F113,D$92-SUM(E$99:E113))</f>
        <v>0</v>
      </c>
      <c r="E114" s="522">
        <f>IF(+J96&lt;F113,J96,D114)</f>
        <v>0</v>
      </c>
      <c r="F114" s="523">
        <f t="shared" si="24"/>
        <v>0</v>
      </c>
      <c r="G114" s="523">
        <f t="shared" si="16"/>
        <v>0</v>
      </c>
      <c r="H114" s="526">
        <f t="shared" si="26"/>
        <v>0</v>
      </c>
      <c r="I114" s="577">
        <f t="shared" si="27"/>
        <v>0</v>
      </c>
      <c r="J114" s="514">
        <f t="shared" si="19"/>
        <v>0</v>
      </c>
      <c r="K114" s="514"/>
      <c r="L114" s="525"/>
      <c r="M114" s="514">
        <f t="shared" si="20"/>
        <v>0</v>
      </c>
      <c r="N114" s="525"/>
      <c r="O114" s="514">
        <f t="shared" si="21"/>
        <v>0</v>
      </c>
      <c r="P114" s="514">
        <f t="shared" si="22"/>
        <v>0</v>
      </c>
      <c r="Q114" s="269"/>
    </row>
    <row r="115" spans="2:17">
      <c r="B115" s="195" t="str">
        <f t="shared" si="25"/>
        <v/>
      </c>
      <c r="C115" s="507">
        <f>IF(D93="","-",+C114+1)</f>
        <v>2025</v>
      </c>
      <c r="D115" s="374">
        <f>IF(F114+SUM(E$99:E114)=D$92,F114,D$92-SUM(E$99:E114))</f>
        <v>0</v>
      </c>
      <c r="E115" s="522">
        <f>IF(+J96&lt;F114,J96,D115)</f>
        <v>0</v>
      </c>
      <c r="F115" s="523">
        <f t="shared" si="24"/>
        <v>0</v>
      </c>
      <c r="G115" s="523">
        <f t="shared" si="16"/>
        <v>0</v>
      </c>
      <c r="H115" s="526">
        <f t="shared" si="26"/>
        <v>0</v>
      </c>
      <c r="I115" s="577">
        <f t="shared" si="27"/>
        <v>0</v>
      </c>
      <c r="J115" s="514">
        <f t="shared" si="19"/>
        <v>0</v>
      </c>
      <c r="K115" s="514"/>
      <c r="L115" s="525"/>
      <c r="M115" s="514">
        <f t="shared" si="20"/>
        <v>0</v>
      </c>
      <c r="N115" s="525"/>
      <c r="O115" s="514">
        <f t="shared" si="21"/>
        <v>0</v>
      </c>
      <c r="P115" s="514">
        <f t="shared" si="22"/>
        <v>0</v>
      </c>
      <c r="Q115" s="269"/>
    </row>
    <row r="116" spans="2:17">
      <c r="B116" s="195" t="str">
        <f t="shared" si="25"/>
        <v/>
      </c>
      <c r="C116" s="507">
        <f>IF(D93="","-",+C115+1)</f>
        <v>2026</v>
      </c>
      <c r="D116" s="374">
        <f>IF(F115+SUM(E$99:E115)=D$92,F115,D$92-SUM(E$99:E115))</f>
        <v>0</v>
      </c>
      <c r="E116" s="522">
        <f>IF(+J96&lt;F115,J96,D116)</f>
        <v>0</v>
      </c>
      <c r="F116" s="523">
        <f t="shared" si="24"/>
        <v>0</v>
      </c>
      <c r="G116" s="523">
        <f t="shared" si="16"/>
        <v>0</v>
      </c>
      <c r="H116" s="526">
        <f t="shared" si="26"/>
        <v>0</v>
      </c>
      <c r="I116" s="577">
        <f t="shared" si="27"/>
        <v>0</v>
      </c>
      <c r="J116" s="514">
        <f t="shared" si="19"/>
        <v>0</v>
      </c>
      <c r="K116" s="514"/>
      <c r="L116" s="525"/>
      <c r="M116" s="514">
        <f t="shared" si="20"/>
        <v>0</v>
      </c>
      <c r="N116" s="525"/>
      <c r="O116" s="514">
        <f t="shared" si="21"/>
        <v>0</v>
      </c>
      <c r="P116" s="514">
        <f t="shared" si="22"/>
        <v>0</v>
      </c>
      <c r="Q116" s="269"/>
    </row>
    <row r="117" spans="2:17">
      <c r="B117" s="195" t="str">
        <f t="shared" si="25"/>
        <v/>
      </c>
      <c r="C117" s="507">
        <f>IF(D93="","-",+C116+1)</f>
        <v>2027</v>
      </c>
      <c r="D117" s="374">
        <f>IF(F116+SUM(E$99:E116)=D$92,F116,D$92-SUM(E$99:E116))</f>
        <v>0</v>
      </c>
      <c r="E117" s="522">
        <f>IF(+J96&lt;F116,J96,D117)</f>
        <v>0</v>
      </c>
      <c r="F117" s="523">
        <f t="shared" si="24"/>
        <v>0</v>
      </c>
      <c r="G117" s="523">
        <f t="shared" si="16"/>
        <v>0</v>
      </c>
      <c r="H117" s="526">
        <f t="shared" si="26"/>
        <v>0</v>
      </c>
      <c r="I117" s="577">
        <f t="shared" si="27"/>
        <v>0</v>
      </c>
      <c r="J117" s="514">
        <f t="shared" si="19"/>
        <v>0</v>
      </c>
      <c r="K117" s="514"/>
      <c r="L117" s="525"/>
      <c r="M117" s="514">
        <f t="shared" si="20"/>
        <v>0</v>
      </c>
      <c r="N117" s="525"/>
      <c r="O117" s="514">
        <f t="shared" si="21"/>
        <v>0</v>
      </c>
      <c r="P117" s="514">
        <f t="shared" si="22"/>
        <v>0</v>
      </c>
      <c r="Q117" s="269"/>
    </row>
    <row r="118" spans="2:17">
      <c r="B118" s="195" t="str">
        <f t="shared" si="25"/>
        <v/>
      </c>
      <c r="C118" s="507">
        <f>IF(D93="","-",+C117+1)</f>
        <v>2028</v>
      </c>
      <c r="D118" s="374">
        <f>IF(F117+SUM(E$99:E117)=D$92,F117,D$92-SUM(E$99:E117))</f>
        <v>0</v>
      </c>
      <c r="E118" s="522">
        <f>IF(+J96&lt;F117,J96,D118)</f>
        <v>0</v>
      </c>
      <c r="F118" s="523">
        <f t="shared" si="24"/>
        <v>0</v>
      </c>
      <c r="G118" s="523">
        <f t="shared" si="16"/>
        <v>0</v>
      </c>
      <c r="H118" s="526">
        <f t="shared" si="26"/>
        <v>0</v>
      </c>
      <c r="I118" s="577">
        <f t="shared" si="27"/>
        <v>0</v>
      </c>
      <c r="J118" s="514">
        <f t="shared" si="19"/>
        <v>0</v>
      </c>
      <c r="K118" s="514"/>
      <c r="L118" s="525"/>
      <c r="M118" s="514">
        <f t="shared" si="20"/>
        <v>0</v>
      </c>
      <c r="N118" s="525"/>
      <c r="O118" s="514">
        <f t="shared" si="21"/>
        <v>0</v>
      </c>
      <c r="P118" s="514">
        <f t="shared" si="22"/>
        <v>0</v>
      </c>
      <c r="Q118" s="269"/>
    </row>
    <row r="119" spans="2:17">
      <c r="B119" s="195" t="str">
        <f t="shared" si="25"/>
        <v/>
      </c>
      <c r="C119" s="507">
        <f>IF(D93="","-",+C118+1)</f>
        <v>2029</v>
      </c>
      <c r="D119" s="374">
        <f>IF(F118+SUM(E$99:E118)=D$92,F118,D$92-SUM(E$99:E118))</f>
        <v>0</v>
      </c>
      <c r="E119" s="522">
        <f>IF(+J96&lt;F118,J96,D119)</f>
        <v>0</v>
      </c>
      <c r="F119" s="523">
        <f t="shared" si="24"/>
        <v>0</v>
      </c>
      <c r="G119" s="523">
        <f t="shared" si="16"/>
        <v>0</v>
      </c>
      <c r="H119" s="526">
        <f t="shared" si="26"/>
        <v>0</v>
      </c>
      <c r="I119" s="577">
        <f t="shared" si="27"/>
        <v>0</v>
      </c>
      <c r="J119" s="514">
        <f t="shared" si="19"/>
        <v>0</v>
      </c>
      <c r="K119" s="514"/>
      <c r="L119" s="525"/>
      <c r="M119" s="514">
        <f t="shared" si="20"/>
        <v>0</v>
      </c>
      <c r="N119" s="525"/>
      <c r="O119" s="514">
        <f t="shared" si="21"/>
        <v>0</v>
      </c>
      <c r="P119" s="514">
        <f t="shared" si="22"/>
        <v>0</v>
      </c>
      <c r="Q119" s="269"/>
    </row>
    <row r="120" spans="2:17">
      <c r="B120" s="195" t="str">
        <f t="shared" si="25"/>
        <v/>
      </c>
      <c r="C120" s="507">
        <f>IF(D93="","-",+C119+1)</f>
        <v>2030</v>
      </c>
      <c r="D120" s="374">
        <f>IF(F119+SUM(E$99:E119)=D$92,F119,D$92-SUM(E$99:E119))</f>
        <v>0</v>
      </c>
      <c r="E120" s="522">
        <f>IF(+J96&lt;F119,J96,D120)</f>
        <v>0</v>
      </c>
      <c r="F120" s="523">
        <f t="shared" si="24"/>
        <v>0</v>
      </c>
      <c r="G120" s="523">
        <f t="shared" si="16"/>
        <v>0</v>
      </c>
      <c r="H120" s="526">
        <f t="shared" si="26"/>
        <v>0</v>
      </c>
      <c r="I120" s="577">
        <f t="shared" si="27"/>
        <v>0</v>
      </c>
      <c r="J120" s="514">
        <f t="shared" si="19"/>
        <v>0</v>
      </c>
      <c r="K120" s="514"/>
      <c r="L120" s="525"/>
      <c r="M120" s="514">
        <f t="shared" si="20"/>
        <v>0</v>
      </c>
      <c r="N120" s="525"/>
      <c r="O120" s="514">
        <f t="shared" si="21"/>
        <v>0</v>
      </c>
      <c r="P120" s="514">
        <f t="shared" si="22"/>
        <v>0</v>
      </c>
      <c r="Q120" s="269"/>
    </row>
    <row r="121" spans="2:17">
      <c r="B121" s="195" t="str">
        <f t="shared" si="25"/>
        <v/>
      </c>
      <c r="C121" s="507">
        <f>IF(D93="","-",+C120+1)</f>
        <v>2031</v>
      </c>
      <c r="D121" s="374">
        <f>IF(F120+SUM(E$99:E120)=D$92,F120,D$92-SUM(E$99:E120))</f>
        <v>0</v>
      </c>
      <c r="E121" s="522">
        <f>IF(+J96&lt;F120,J96,D121)</f>
        <v>0</v>
      </c>
      <c r="F121" s="523">
        <f t="shared" si="24"/>
        <v>0</v>
      </c>
      <c r="G121" s="523">
        <f t="shared" si="16"/>
        <v>0</v>
      </c>
      <c r="H121" s="526">
        <f t="shared" si="26"/>
        <v>0</v>
      </c>
      <c r="I121" s="577">
        <f t="shared" si="27"/>
        <v>0</v>
      </c>
      <c r="J121" s="514">
        <f t="shared" si="19"/>
        <v>0</v>
      </c>
      <c r="K121" s="514"/>
      <c r="L121" s="525"/>
      <c r="M121" s="514">
        <f t="shared" si="20"/>
        <v>0</v>
      </c>
      <c r="N121" s="525"/>
      <c r="O121" s="514">
        <f t="shared" si="21"/>
        <v>0</v>
      </c>
      <c r="P121" s="514">
        <f t="shared" si="22"/>
        <v>0</v>
      </c>
      <c r="Q121" s="269"/>
    </row>
    <row r="122" spans="2:17">
      <c r="B122" s="195" t="str">
        <f t="shared" si="25"/>
        <v/>
      </c>
      <c r="C122" s="507">
        <f>IF(D93="","-",+C121+1)</f>
        <v>2032</v>
      </c>
      <c r="D122" s="374">
        <f>IF(F121+SUM(E$99:E121)=D$92,F121,D$92-SUM(E$99:E121))</f>
        <v>0</v>
      </c>
      <c r="E122" s="522">
        <f>IF(+J96&lt;F121,J96,D122)</f>
        <v>0</v>
      </c>
      <c r="F122" s="523">
        <f t="shared" si="24"/>
        <v>0</v>
      </c>
      <c r="G122" s="523">
        <f t="shared" si="16"/>
        <v>0</v>
      </c>
      <c r="H122" s="526">
        <f t="shared" si="26"/>
        <v>0</v>
      </c>
      <c r="I122" s="577">
        <f t="shared" si="27"/>
        <v>0</v>
      </c>
      <c r="J122" s="514">
        <f t="shared" si="19"/>
        <v>0</v>
      </c>
      <c r="K122" s="514"/>
      <c r="L122" s="525"/>
      <c r="M122" s="514">
        <f t="shared" si="20"/>
        <v>0</v>
      </c>
      <c r="N122" s="525"/>
      <c r="O122" s="514">
        <f t="shared" si="21"/>
        <v>0</v>
      </c>
      <c r="P122" s="514">
        <f t="shared" si="22"/>
        <v>0</v>
      </c>
      <c r="Q122" s="269"/>
    </row>
    <row r="123" spans="2:17">
      <c r="B123" s="195" t="str">
        <f t="shared" si="25"/>
        <v/>
      </c>
      <c r="C123" s="507">
        <f>IF(D93="","-",+C122+1)</f>
        <v>2033</v>
      </c>
      <c r="D123" s="374">
        <f>IF(F122+SUM(E$99:E122)=D$92,F122,D$92-SUM(E$99:E122))</f>
        <v>0</v>
      </c>
      <c r="E123" s="522">
        <f>IF(+J96&lt;F122,J96,D123)</f>
        <v>0</v>
      </c>
      <c r="F123" s="523">
        <f t="shared" si="24"/>
        <v>0</v>
      </c>
      <c r="G123" s="523">
        <f t="shared" si="16"/>
        <v>0</v>
      </c>
      <c r="H123" s="526">
        <f t="shared" si="26"/>
        <v>0</v>
      </c>
      <c r="I123" s="577">
        <f t="shared" si="27"/>
        <v>0</v>
      </c>
      <c r="J123" s="514">
        <f t="shared" si="19"/>
        <v>0</v>
      </c>
      <c r="K123" s="514"/>
      <c r="L123" s="525"/>
      <c r="M123" s="514">
        <f t="shared" si="20"/>
        <v>0</v>
      </c>
      <c r="N123" s="525"/>
      <c r="O123" s="514">
        <f t="shared" si="21"/>
        <v>0</v>
      </c>
      <c r="P123" s="514">
        <f t="shared" si="22"/>
        <v>0</v>
      </c>
      <c r="Q123" s="269"/>
    </row>
    <row r="124" spans="2:17">
      <c r="B124" s="195" t="str">
        <f t="shared" si="25"/>
        <v/>
      </c>
      <c r="C124" s="507">
        <f>IF(D93="","-",+C123+1)</f>
        <v>2034</v>
      </c>
      <c r="D124" s="374">
        <f>IF(F123+SUM(E$99:E123)=D$92,F123,D$92-SUM(E$99:E123))</f>
        <v>0</v>
      </c>
      <c r="E124" s="522">
        <f>IF(+J96&lt;F123,J96,D124)</f>
        <v>0</v>
      </c>
      <c r="F124" s="523">
        <f t="shared" si="24"/>
        <v>0</v>
      </c>
      <c r="G124" s="523">
        <f t="shared" si="16"/>
        <v>0</v>
      </c>
      <c r="H124" s="526">
        <f t="shared" si="26"/>
        <v>0</v>
      </c>
      <c r="I124" s="577">
        <f t="shared" si="27"/>
        <v>0</v>
      </c>
      <c r="J124" s="514">
        <f t="shared" si="19"/>
        <v>0</v>
      </c>
      <c r="K124" s="514"/>
      <c r="L124" s="525"/>
      <c r="M124" s="514">
        <f t="shared" si="20"/>
        <v>0</v>
      </c>
      <c r="N124" s="525"/>
      <c r="O124" s="514">
        <f t="shared" si="21"/>
        <v>0</v>
      </c>
      <c r="P124" s="514">
        <f t="shared" si="22"/>
        <v>0</v>
      </c>
      <c r="Q124" s="269"/>
    </row>
    <row r="125" spans="2:17">
      <c r="B125" s="195" t="str">
        <f t="shared" si="25"/>
        <v/>
      </c>
      <c r="C125" s="507">
        <f>IF(D93="","-",+C124+1)</f>
        <v>2035</v>
      </c>
      <c r="D125" s="374">
        <f>IF(F124+SUM(E$99:E124)=D$92,F124,D$92-SUM(E$99:E124))</f>
        <v>0</v>
      </c>
      <c r="E125" s="522">
        <f>IF(+J96&lt;F124,J96,D125)</f>
        <v>0</v>
      </c>
      <c r="F125" s="523">
        <f t="shared" si="24"/>
        <v>0</v>
      </c>
      <c r="G125" s="523">
        <f t="shared" si="16"/>
        <v>0</v>
      </c>
      <c r="H125" s="526">
        <f t="shared" si="26"/>
        <v>0</v>
      </c>
      <c r="I125" s="577">
        <f t="shared" si="27"/>
        <v>0</v>
      </c>
      <c r="J125" s="514">
        <f t="shared" si="19"/>
        <v>0</v>
      </c>
      <c r="K125" s="514"/>
      <c r="L125" s="525"/>
      <c r="M125" s="514">
        <f t="shared" si="20"/>
        <v>0</v>
      </c>
      <c r="N125" s="525"/>
      <c r="O125" s="514">
        <f t="shared" si="21"/>
        <v>0</v>
      </c>
      <c r="P125" s="514">
        <f t="shared" si="22"/>
        <v>0</v>
      </c>
      <c r="Q125" s="269"/>
    </row>
    <row r="126" spans="2:17">
      <c r="B126" s="195" t="str">
        <f t="shared" si="25"/>
        <v/>
      </c>
      <c r="C126" s="507">
        <f>IF(D93="","-",+C125+1)</f>
        <v>2036</v>
      </c>
      <c r="D126" s="374">
        <f>IF(F125+SUM(E$99:E125)=D$92,F125,D$92-SUM(E$99:E125))</f>
        <v>0</v>
      </c>
      <c r="E126" s="522">
        <f>IF(+J96&lt;F125,J96,D126)</f>
        <v>0</v>
      </c>
      <c r="F126" s="523">
        <f t="shared" si="24"/>
        <v>0</v>
      </c>
      <c r="G126" s="523">
        <f t="shared" si="16"/>
        <v>0</v>
      </c>
      <c r="H126" s="526">
        <f t="shared" si="26"/>
        <v>0</v>
      </c>
      <c r="I126" s="577">
        <f t="shared" si="27"/>
        <v>0</v>
      </c>
      <c r="J126" s="514">
        <f t="shared" si="19"/>
        <v>0</v>
      </c>
      <c r="K126" s="514"/>
      <c r="L126" s="525"/>
      <c r="M126" s="514">
        <f t="shared" si="20"/>
        <v>0</v>
      </c>
      <c r="N126" s="525"/>
      <c r="O126" s="514">
        <f t="shared" si="21"/>
        <v>0</v>
      </c>
      <c r="P126" s="514">
        <f t="shared" si="22"/>
        <v>0</v>
      </c>
      <c r="Q126" s="269"/>
    </row>
    <row r="127" spans="2:17">
      <c r="B127" s="195" t="str">
        <f t="shared" si="25"/>
        <v/>
      </c>
      <c r="C127" s="507">
        <f>IF(D93="","-",+C126+1)</f>
        <v>2037</v>
      </c>
      <c r="D127" s="374">
        <f>IF(F126+SUM(E$99:E126)=D$92,F126,D$92-SUM(E$99:E126))</f>
        <v>0</v>
      </c>
      <c r="E127" s="522">
        <f>IF(+J96&lt;F126,J96,D127)</f>
        <v>0</v>
      </c>
      <c r="F127" s="523">
        <f t="shared" si="24"/>
        <v>0</v>
      </c>
      <c r="G127" s="523">
        <f t="shared" si="16"/>
        <v>0</v>
      </c>
      <c r="H127" s="526">
        <f t="shared" si="26"/>
        <v>0</v>
      </c>
      <c r="I127" s="577">
        <f t="shared" si="27"/>
        <v>0</v>
      </c>
      <c r="J127" s="514">
        <f t="shared" si="19"/>
        <v>0</v>
      </c>
      <c r="K127" s="514"/>
      <c r="L127" s="525"/>
      <c r="M127" s="514">
        <f t="shared" si="20"/>
        <v>0</v>
      </c>
      <c r="N127" s="525"/>
      <c r="O127" s="514">
        <f t="shared" si="21"/>
        <v>0</v>
      </c>
      <c r="P127" s="514">
        <f t="shared" si="22"/>
        <v>0</v>
      </c>
      <c r="Q127" s="269"/>
    </row>
    <row r="128" spans="2:17">
      <c r="B128" s="195" t="str">
        <f t="shared" si="25"/>
        <v/>
      </c>
      <c r="C128" s="507">
        <f>IF(D93="","-",+C127+1)</f>
        <v>2038</v>
      </c>
      <c r="D128" s="374">
        <f>IF(F127+SUM(E$99:E127)=D$92,F127,D$92-SUM(E$99:E127))</f>
        <v>0</v>
      </c>
      <c r="E128" s="522">
        <f>IF(+J96&lt;F127,J96,D128)</f>
        <v>0</v>
      </c>
      <c r="F128" s="523">
        <f t="shared" si="24"/>
        <v>0</v>
      </c>
      <c r="G128" s="523">
        <f t="shared" si="16"/>
        <v>0</v>
      </c>
      <c r="H128" s="526">
        <f t="shared" si="26"/>
        <v>0</v>
      </c>
      <c r="I128" s="577">
        <f t="shared" si="27"/>
        <v>0</v>
      </c>
      <c r="J128" s="514">
        <f t="shared" si="19"/>
        <v>0</v>
      </c>
      <c r="K128" s="514"/>
      <c r="L128" s="525"/>
      <c r="M128" s="514">
        <f t="shared" si="20"/>
        <v>0</v>
      </c>
      <c r="N128" s="525"/>
      <c r="O128" s="514">
        <f t="shared" si="21"/>
        <v>0</v>
      </c>
      <c r="P128" s="514">
        <f t="shared" si="22"/>
        <v>0</v>
      </c>
      <c r="Q128" s="269"/>
    </row>
    <row r="129" spans="2:17">
      <c r="B129" s="195" t="str">
        <f t="shared" si="25"/>
        <v/>
      </c>
      <c r="C129" s="507">
        <f>IF(D93="","-",+C128+1)</f>
        <v>2039</v>
      </c>
      <c r="D129" s="374">
        <f>IF(F128+SUM(E$99:E128)=D$92,F128,D$92-SUM(E$99:E128))</f>
        <v>0</v>
      </c>
      <c r="E129" s="522">
        <f>IF(+J96&lt;F128,J96,D129)</f>
        <v>0</v>
      </c>
      <c r="F129" s="523">
        <f t="shared" si="24"/>
        <v>0</v>
      </c>
      <c r="G129" s="523">
        <f t="shared" si="16"/>
        <v>0</v>
      </c>
      <c r="H129" s="526">
        <f t="shared" si="26"/>
        <v>0</v>
      </c>
      <c r="I129" s="577">
        <f t="shared" si="27"/>
        <v>0</v>
      </c>
      <c r="J129" s="514">
        <f t="shared" si="19"/>
        <v>0</v>
      </c>
      <c r="K129" s="514"/>
      <c r="L129" s="525"/>
      <c r="M129" s="514">
        <f t="shared" si="20"/>
        <v>0</v>
      </c>
      <c r="N129" s="525"/>
      <c r="O129" s="514">
        <f t="shared" si="21"/>
        <v>0</v>
      </c>
      <c r="P129" s="514">
        <f t="shared" si="22"/>
        <v>0</v>
      </c>
      <c r="Q129" s="269"/>
    </row>
    <row r="130" spans="2:17">
      <c r="B130" s="195" t="str">
        <f t="shared" si="25"/>
        <v/>
      </c>
      <c r="C130" s="507">
        <f>IF(D93="","-",+C129+1)</f>
        <v>2040</v>
      </c>
      <c r="D130" s="374">
        <f>IF(F129+SUM(E$99:E129)=D$92,F129,D$92-SUM(E$99:E129))</f>
        <v>0</v>
      </c>
      <c r="E130" s="522">
        <f>IF(+J96&lt;F129,J96,D130)</f>
        <v>0</v>
      </c>
      <c r="F130" s="523">
        <f t="shared" si="24"/>
        <v>0</v>
      </c>
      <c r="G130" s="523">
        <f t="shared" si="16"/>
        <v>0</v>
      </c>
      <c r="H130" s="526">
        <f t="shared" si="26"/>
        <v>0</v>
      </c>
      <c r="I130" s="577">
        <f t="shared" si="27"/>
        <v>0</v>
      </c>
      <c r="J130" s="514">
        <f t="shared" si="19"/>
        <v>0</v>
      </c>
      <c r="K130" s="514"/>
      <c r="L130" s="525"/>
      <c r="M130" s="514">
        <f t="shared" si="20"/>
        <v>0</v>
      </c>
      <c r="N130" s="525"/>
      <c r="O130" s="514">
        <f t="shared" si="21"/>
        <v>0</v>
      </c>
      <c r="P130" s="514">
        <f t="shared" si="22"/>
        <v>0</v>
      </c>
      <c r="Q130" s="269"/>
    </row>
    <row r="131" spans="2:17">
      <c r="B131" s="195" t="str">
        <f t="shared" si="25"/>
        <v/>
      </c>
      <c r="C131" s="507">
        <f>IF(D93="","-",+C130+1)</f>
        <v>2041</v>
      </c>
      <c r="D131" s="374">
        <f>IF(F130+SUM(E$99:E130)=D$92,F130,D$92-SUM(E$99:E130))</f>
        <v>0</v>
      </c>
      <c r="E131" s="522">
        <f>IF(+J96&lt;F130,J96,D131)</f>
        <v>0</v>
      </c>
      <c r="F131" s="523">
        <f t="shared" ref="F131:F154" si="28">+D131-E131</f>
        <v>0</v>
      </c>
      <c r="G131" s="523">
        <f t="shared" ref="G131:G154" si="29">+(F131+D131)/2</f>
        <v>0</v>
      </c>
      <c r="H131" s="526">
        <f t="shared" si="26"/>
        <v>0</v>
      </c>
      <c r="I131" s="577">
        <f t="shared" si="27"/>
        <v>0</v>
      </c>
      <c r="J131" s="514">
        <f t="shared" ref="J131:J154" si="30">+I131-H131</f>
        <v>0</v>
      </c>
      <c r="K131" s="514"/>
      <c r="L131" s="525"/>
      <c r="M131" s="514">
        <f t="shared" ref="M131:M154" si="31">IF(L131&lt;&gt;0,+H131-L131,0)</f>
        <v>0</v>
      </c>
      <c r="N131" s="525"/>
      <c r="O131" s="514">
        <f t="shared" ref="O131:O154" si="32">IF(N131&lt;&gt;0,+I131-N131,0)</f>
        <v>0</v>
      </c>
      <c r="P131" s="514">
        <f t="shared" ref="P131:P154" si="33">+O131-M131</f>
        <v>0</v>
      </c>
      <c r="Q131" s="269"/>
    </row>
    <row r="132" spans="2:17">
      <c r="B132" s="195" t="str">
        <f t="shared" si="25"/>
        <v/>
      </c>
      <c r="C132" s="507">
        <f>IF(D93="","-",+C131+1)</f>
        <v>2042</v>
      </c>
      <c r="D132" s="374">
        <f>IF(F131+SUM(E$99:E131)=D$92,F131,D$92-SUM(E$99:E131))</f>
        <v>0</v>
      </c>
      <c r="E132" s="522">
        <f>IF(+J96&lt;F131,J96,D132)</f>
        <v>0</v>
      </c>
      <c r="F132" s="523">
        <f t="shared" si="28"/>
        <v>0</v>
      </c>
      <c r="G132" s="523">
        <f t="shared" si="29"/>
        <v>0</v>
      </c>
      <c r="H132" s="526">
        <f t="shared" si="26"/>
        <v>0</v>
      </c>
      <c r="I132" s="577">
        <f t="shared" si="27"/>
        <v>0</v>
      </c>
      <c r="J132" s="514">
        <f t="shared" si="30"/>
        <v>0</v>
      </c>
      <c r="K132" s="514"/>
      <c r="L132" s="525"/>
      <c r="M132" s="514">
        <f t="shared" si="31"/>
        <v>0</v>
      </c>
      <c r="N132" s="525"/>
      <c r="O132" s="514">
        <f t="shared" si="32"/>
        <v>0</v>
      </c>
      <c r="P132" s="514">
        <f t="shared" si="33"/>
        <v>0</v>
      </c>
      <c r="Q132" s="269"/>
    </row>
    <row r="133" spans="2:17">
      <c r="B133" s="195" t="str">
        <f t="shared" si="25"/>
        <v/>
      </c>
      <c r="C133" s="507">
        <f>IF(D93="","-",+C132+1)</f>
        <v>2043</v>
      </c>
      <c r="D133" s="374">
        <f>IF(F132+SUM(E$99:E132)=D$92,F132,D$92-SUM(E$99:E132))</f>
        <v>0</v>
      </c>
      <c r="E133" s="522">
        <f>IF(+J96&lt;F132,J96,D133)</f>
        <v>0</v>
      </c>
      <c r="F133" s="523">
        <f t="shared" si="28"/>
        <v>0</v>
      </c>
      <c r="G133" s="523">
        <f t="shared" si="29"/>
        <v>0</v>
      </c>
      <c r="H133" s="526">
        <f t="shared" si="26"/>
        <v>0</v>
      </c>
      <c r="I133" s="577">
        <f t="shared" si="27"/>
        <v>0</v>
      </c>
      <c r="J133" s="514">
        <f t="shared" si="30"/>
        <v>0</v>
      </c>
      <c r="K133" s="514"/>
      <c r="L133" s="525"/>
      <c r="M133" s="514">
        <f t="shared" si="31"/>
        <v>0</v>
      </c>
      <c r="N133" s="525"/>
      <c r="O133" s="514">
        <f t="shared" si="32"/>
        <v>0</v>
      </c>
      <c r="P133" s="514">
        <f t="shared" si="33"/>
        <v>0</v>
      </c>
      <c r="Q133" s="269"/>
    </row>
    <row r="134" spans="2:17">
      <c r="B134" s="195" t="str">
        <f t="shared" si="25"/>
        <v/>
      </c>
      <c r="C134" s="507">
        <f>IF(D93="","-",+C133+1)</f>
        <v>2044</v>
      </c>
      <c r="D134" s="374">
        <f>IF(F133+SUM(E$99:E133)=D$92,F133,D$92-SUM(E$99:E133))</f>
        <v>0</v>
      </c>
      <c r="E134" s="522">
        <f>IF(+J96&lt;F133,J96,D134)</f>
        <v>0</v>
      </c>
      <c r="F134" s="523">
        <f t="shared" si="28"/>
        <v>0</v>
      </c>
      <c r="G134" s="523">
        <f t="shared" si="29"/>
        <v>0</v>
      </c>
      <c r="H134" s="526">
        <f t="shared" si="26"/>
        <v>0</v>
      </c>
      <c r="I134" s="577">
        <f t="shared" si="27"/>
        <v>0</v>
      </c>
      <c r="J134" s="514">
        <f t="shared" si="30"/>
        <v>0</v>
      </c>
      <c r="K134" s="514"/>
      <c r="L134" s="525"/>
      <c r="M134" s="514">
        <f t="shared" si="31"/>
        <v>0</v>
      </c>
      <c r="N134" s="525"/>
      <c r="O134" s="514">
        <f t="shared" si="32"/>
        <v>0</v>
      </c>
      <c r="P134" s="514">
        <f t="shared" si="33"/>
        <v>0</v>
      </c>
      <c r="Q134" s="269"/>
    </row>
    <row r="135" spans="2:17">
      <c r="B135" s="195" t="str">
        <f t="shared" si="25"/>
        <v/>
      </c>
      <c r="C135" s="507">
        <f>IF(D93="","-",+C134+1)</f>
        <v>2045</v>
      </c>
      <c r="D135" s="374">
        <f>IF(F134+SUM(E$99:E134)=D$92,F134,D$92-SUM(E$99:E134))</f>
        <v>0</v>
      </c>
      <c r="E135" s="522">
        <f>IF(+J96&lt;F134,J96,D135)</f>
        <v>0</v>
      </c>
      <c r="F135" s="523">
        <f t="shared" si="28"/>
        <v>0</v>
      </c>
      <c r="G135" s="523">
        <f t="shared" si="29"/>
        <v>0</v>
      </c>
      <c r="H135" s="526">
        <f t="shared" si="26"/>
        <v>0</v>
      </c>
      <c r="I135" s="577">
        <f t="shared" si="27"/>
        <v>0</v>
      </c>
      <c r="J135" s="514">
        <f t="shared" si="30"/>
        <v>0</v>
      </c>
      <c r="K135" s="514"/>
      <c r="L135" s="525"/>
      <c r="M135" s="514">
        <f t="shared" si="31"/>
        <v>0</v>
      </c>
      <c r="N135" s="525"/>
      <c r="O135" s="514">
        <f t="shared" si="32"/>
        <v>0</v>
      </c>
      <c r="P135" s="514">
        <f t="shared" si="33"/>
        <v>0</v>
      </c>
      <c r="Q135" s="269"/>
    </row>
    <row r="136" spans="2:17">
      <c r="B136" s="195" t="str">
        <f t="shared" si="25"/>
        <v/>
      </c>
      <c r="C136" s="507">
        <f>IF(D93="","-",+C135+1)</f>
        <v>2046</v>
      </c>
      <c r="D136" s="374">
        <f>IF(F135+SUM(E$99:E135)=D$92,F135,D$92-SUM(E$99:E135))</f>
        <v>0</v>
      </c>
      <c r="E136" s="522">
        <f>IF(+J96&lt;F135,J96,D136)</f>
        <v>0</v>
      </c>
      <c r="F136" s="523">
        <f t="shared" si="28"/>
        <v>0</v>
      </c>
      <c r="G136" s="523">
        <f t="shared" si="29"/>
        <v>0</v>
      </c>
      <c r="H136" s="526">
        <f t="shared" si="26"/>
        <v>0</v>
      </c>
      <c r="I136" s="577">
        <f t="shared" si="27"/>
        <v>0</v>
      </c>
      <c r="J136" s="514">
        <f t="shared" si="30"/>
        <v>0</v>
      </c>
      <c r="K136" s="514"/>
      <c r="L136" s="525"/>
      <c r="M136" s="514">
        <f t="shared" si="31"/>
        <v>0</v>
      </c>
      <c r="N136" s="525"/>
      <c r="O136" s="514">
        <f t="shared" si="32"/>
        <v>0</v>
      </c>
      <c r="P136" s="514">
        <f t="shared" si="33"/>
        <v>0</v>
      </c>
      <c r="Q136" s="269"/>
    </row>
    <row r="137" spans="2:17">
      <c r="B137" s="195" t="str">
        <f t="shared" si="25"/>
        <v/>
      </c>
      <c r="C137" s="507">
        <f>IF(D93="","-",+C136+1)</f>
        <v>2047</v>
      </c>
      <c r="D137" s="374">
        <f>IF(F136+SUM(E$99:E136)=D$92,F136,D$92-SUM(E$99:E136))</f>
        <v>0</v>
      </c>
      <c r="E137" s="522">
        <f>IF(+J96&lt;F136,J96,D137)</f>
        <v>0</v>
      </c>
      <c r="F137" s="523">
        <f t="shared" si="28"/>
        <v>0</v>
      </c>
      <c r="G137" s="523">
        <f t="shared" si="29"/>
        <v>0</v>
      </c>
      <c r="H137" s="526">
        <f t="shared" si="26"/>
        <v>0</v>
      </c>
      <c r="I137" s="577">
        <f t="shared" si="27"/>
        <v>0</v>
      </c>
      <c r="J137" s="514">
        <f t="shared" si="30"/>
        <v>0</v>
      </c>
      <c r="K137" s="514"/>
      <c r="L137" s="525"/>
      <c r="M137" s="514">
        <f t="shared" si="31"/>
        <v>0</v>
      </c>
      <c r="N137" s="525"/>
      <c r="O137" s="514">
        <f t="shared" si="32"/>
        <v>0</v>
      </c>
      <c r="P137" s="514">
        <f t="shared" si="33"/>
        <v>0</v>
      </c>
      <c r="Q137" s="269"/>
    </row>
    <row r="138" spans="2:17">
      <c r="B138" s="195" t="str">
        <f t="shared" si="25"/>
        <v/>
      </c>
      <c r="C138" s="507">
        <f>IF(D93="","-",+C137+1)</f>
        <v>2048</v>
      </c>
      <c r="D138" s="374">
        <f>IF(F137+SUM(E$99:E137)=D$92,F137,D$92-SUM(E$99:E137))</f>
        <v>0</v>
      </c>
      <c r="E138" s="522">
        <f>IF(+J96&lt;F137,J96,D138)</f>
        <v>0</v>
      </c>
      <c r="F138" s="523">
        <f t="shared" si="28"/>
        <v>0</v>
      </c>
      <c r="G138" s="523">
        <f t="shared" si="29"/>
        <v>0</v>
      </c>
      <c r="H138" s="526">
        <f t="shared" si="26"/>
        <v>0</v>
      </c>
      <c r="I138" s="577">
        <f t="shared" si="27"/>
        <v>0</v>
      </c>
      <c r="J138" s="514">
        <f t="shared" si="30"/>
        <v>0</v>
      </c>
      <c r="K138" s="514"/>
      <c r="L138" s="525"/>
      <c r="M138" s="514">
        <f t="shared" si="31"/>
        <v>0</v>
      </c>
      <c r="N138" s="525"/>
      <c r="O138" s="514">
        <f t="shared" si="32"/>
        <v>0</v>
      </c>
      <c r="P138" s="514">
        <f t="shared" si="33"/>
        <v>0</v>
      </c>
      <c r="Q138" s="269"/>
    </row>
    <row r="139" spans="2:17">
      <c r="B139" s="195" t="str">
        <f t="shared" si="25"/>
        <v/>
      </c>
      <c r="C139" s="507">
        <f>IF(D93="","-",+C138+1)</f>
        <v>2049</v>
      </c>
      <c r="D139" s="374">
        <f>IF(F138+SUM(E$99:E138)=D$92,F138,D$92-SUM(E$99:E138))</f>
        <v>0</v>
      </c>
      <c r="E139" s="522">
        <f>IF(+J96&lt;F138,J96,D139)</f>
        <v>0</v>
      </c>
      <c r="F139" s="523">
        <f t="shared" si="28"/>
        <v>0</v>
      </c>
      <c r="G139" s="523">
        <f t="shared" si="29"/>
        <v>0</v>
      </c>
      <c r="H139" s="526">
        <f t="shared" si="26"/>
        <v>0</v>
      </c>
      <c r="I139" s="577">
        <f t="shared" si="27"/>
        <v>0</v>
      </c>
      <c r="J139" s="514">
        <f t="shared" si="30"/>
        <v>0</v>
      </c>
      <c r="K139" s="514"/>
      <c r="L139" s="525"/>
      <c r="M139" s="514">
        <f t="shared" si="31"/>
        <v>0</v>
      </c>
      <c r="N139" s="525"/>
      <c r="O139" s="514">
        <f t="shared" si="32"/>
        <v>0</v>
      </c>
      <c r="P139" s="514">
        <f t="shared" si="33"/>
        <v>0</v>
      </c>
      <c r="Q139" s="269"/>
    </row>
    <row r="140" spans="2:17">
      <c r="B140" s="195" t="str">
        <f t="shared" si="25"/>
        <v/>
      </c>
      <c r="C140" s="507">
        <f>IF(D93="","-",+C139+1)</f>
        <v>2050</v>
      </c>
      <c r="D140" s="374">
        <f>IF(F139+SUM(E$99:E139)=D$92,F139,D$92-SUM(E$99:E139))</f>
        <v>0</v>
      </c>
      <c r="E140" s="522">
        <f>IF(+J96&lt;F139,J96,D140)</f>
        <v>0</v>
      </c>
      <c r="F140" s="523">
        <f t="shared" si="28"/>
        <v>0</v>
      </c>
      <c r="G140" s="523">
        <f t="shared" si="29"/>
        <v>0</v>
      </c>
      <c r="H140" s="526">
        <f t="shared" si="26"/>
        <v>0</v>
      </c>
      <c r="I140" s="577">
        <f t="shared" si="27"/>
        <v>0</v>
      </c>
      <c r="J140" s="514">
        <f t="shared" si="30"/>
        <v>0</v>
      </c>
      <c r="K140" s="514"/>
      <c r="L140" s="525"/>
      <c r="M140" s="514">
        <f t="shared" si="31"/>
        <v>0</v>
      </c>
      <c r="N140" s="525"/>
      <c r="O140" s="514">
        <f t="shared" si="32"/>
        <v>0</v>
      </c>
      <c r="P140" s="514">
        <f t="shared" si="33"/>
        <v>0</v>
      </c>
      <c r="Q140" s="269"/>
    </row>
    <row r="141" spans="2:17">
      <c r="B141" s="195" t="str">
        <f t="shared" si="25"/>
        <v/>
      </c>
      <c r="C141" s="507">
        <f>IF(D93="","-",+C140+1)</f>
        <v>2051</v>
      </c>
      <c r="D141" s="374">
        <f>IF(F140+SUM(E$99:E140)=D$92,F140,D$92-SUM(E$99:E140))</f>
        <v>0</v>
      </c>
      <c r="E141" s="522">
        <f>IF(+J96&lt;F140,J96,D141)</f>
        <v>0</v>
      </c>
      <c r="F141" s="523">
        <f t="shared" si="28"/>
        <v>0</v>
      </c>
      <c r="G141" s="523">
        <f t="shared" si="29"/>
        <v>0</v>
      </c>
      <c r="H141" s="526">
        <f t="shared" si="26"/>
        <v>0</v>
      </c>
      <c r="I141" s="577">
        <f t="shared" si="27"/>
        <v>0</v>
      </c>
      <c r="J141" s="514">
        <f t="shared" si="30"/>
        <v>0</v>
      </c>
      <c r="K141" s="514"/>
      <c r="L141" s="525"/>
      <c r="M141" s="514">
        <f t="shared" si="31"/>
        <v>0</v>
      </c>
      <c r="N141" s="525"/>
      <c r="O141" s="514">
        <f t="shared" si="32"/>
        <v>0</v>
      </c>
      <c r="P141" s="514">
        <f t="shared" si="33"/>
        <v>0</v>
      </c>
      <c r="Q141" s="269"/>
    </row>
    <row r="142" spans="2:17">
      <c r="B142" s="195" t="str">
        <f t="shared" si="25"/>
        <v/>
      </c>
      <c r="C142" s="507">
        <f>IF(D93="","-",+C141+1)</f>
        <v>2052</v>
      </c>
      <c r="D142" s="374">
        <f>IF(F141+SUM(E$99:E141)=D$92,F141,D$92-SUM(E$99:E141))</f>
        <v>0</v>
      </c>
      <c r="E142" s="522">
        <f>IF(+J96&lt;F141,J96,D142)</f>
        <v>0</v>
      </c>
      <c r="F142" s="523">
        <f t="shared" si="28"/>
        <v>0</v>
      </c>
      <c r="G142" s="523">
        <f t="shared" si="29"/>
        <v>0</v>
      </c>
      <c r="H142" s="526">
        <f t="shared" si="26"/>
        <v>0</v>
      </c>
      <c r="I142" s="577">
        <f t="shared" si="27"/>
        <v>0</v>
      </c>
      <c r="J142" s="514">
        <f t="shared" si="30"/>
        <v>0</v>
      </c>
      <c r="K142" s="514"/>
      <c r="L142" s="525"/>
      <c r="M142" s="514">
        <f t="shared" si="31"/>
        <v>0</v>
      </c>
      <c r="N142" s="525"/>
      <c r="O142" s="514">
        <f t="shared" si="32"/>
        <v>0</v>
      </c>
      <c r="P142" s="514">
        <f t="shared" si="33"/>
        <v>0</v>
      </c>
      <c r="Q142" s="269"/>
    </row>
    <row r="143" spans="2:17">
      <c r="B143" s="195" t="str">
        <f t="shared" si="25"/>
        <v/>
      </c>
      <c r="C143" s="507">
        <f>IF(D93="","-",+C142+1)</f>
        <v>2053</v>
      </c>
      <c r="D143" s="374">
        <f>IF(F142+SUM(E$99:E142)=D$92,F142,D$92-SUM(E$99:E142))</f>
        <v>0</v>
      </c>
      <c r="E143" s="522">
        <f>IF(+J96&lt;F142,J96,D143)</f>
        <v>0</v>
      </c>
      <c r="F143" s="523">
        <f t="shared" si="28"/>
        <v>0</v>
      </c>
      <c r="G143" s="523">
        <f t="shared" si="29"/>
        <v>0</v>
      </c>
      <c r="H143" s="526">
        <f t="shared" si="26"/>
        <v>0</v>
      </c>
      <c r="I143" s="577">
        <f t="shared" si="27"/>
        <v>0</v>
      </c>
      <c r="J143" s="514">
        <f t="shared" si="30"/>
        <v>0</v>
      </c>
      <c r="K143" s="514"/>
      <c r="L143" s="525"/>
      <c r="M143" s="514">
        <f t="shared" si="31"/>
        <v>0</v>
      </c>
      <c r="N143" s="525"/>
      <c r="O143" s="514">
        <f t="shared" si="32"/>
        <v>0</v>
      </c>
      <c r="P143" s="514">
        <f t="shared" si="33"/>
        <v>0</v>
      </c>
      <c r="Q143" s="269"/>
    </row>
    <row r="144" spans="2:17">
      <c r="B144" s="195" t="str">
        <f t="shared" si="25"/>
        <v/>
      </c>
      <c r="C144" s="507">
        <f>IF(D93="","-",+C143+1)</f>
        <v>2054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28"/>
        <v>0</v>
      </c>
      <c r="G144" s="523">
        <f t="shared" si="29"/>
        <v>0</v>
      </c>
      <c r="H144" s="526">
        <f t="shared" si="26"/>
        <v>0</v>
      </c>
      <c r="I144" s="577">
        <f t="shared" si="27"/>
        <v>0</v>
      </c>
      <c r="J144" s="514">
        <f t="shared" si="30"/>
        <v>0</v>
      </c>
      <c r="K144" s="514"/>
      <c r="L144" s="525"/>
      <c r="M144" s="514">
        <f t="shared" si="31"/>
        <v>0</v>
      </c>
      <c r="N144" s="525"/>
      <c r="O144" s="514">
        <f t="shared" si="32"/>
        <v>0</v>
      </c>
      <c r="P144" s="514">
        <f t="shared" si="33"/>
        <v>0</v>
      </c>
      <c r="Q144" s="269"/>
    </row>
    <row r="145" spans="2:17">
      <c r="B145" s="195" t="str">
        <f t="shared" si="25"/>
        <v/>
      </c>
      <c r="C145" s="507">
        <f>IF(D93="","-",+C144+1)</f>
        <v>2055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28"/>
        <v>0</v>
      </c>
      <c r="G145" s="523">
        <f t="shared" si="29"/>
        <v>0</v>
      </c>
      <c r="H145" s="526">
        <f t="shared" si="26"/>
        <v>0</v>
      </c>
      <c r="I145" s="577">
        <f t="shared" si="27"/>
        <v>0</v>
      </c>
      <c r="J145" s="514">
        <f t="shared" si="30"/>
        <v>0</v>
      </c>
      <c r="K145" s="514"/>
      <c r="L145" s="525"/>
      <c r="M145" s="514">
        <f t="shared" si="31"/>
        <v>0</v>
      </c>
      <c r="N145" s="525"/>
      <c r="O145" s="514">
        <f t="shared" si="32"/>
        <v>0</v>
      </c>
      <c r="P145" s="514">
        <f t="shared" si="33"/>
        <v>0</v>
      </c>
      <c r="Q145" s="269"/>
    </row>
    <row r="146" spans="2:17">
      <c r="B146" s="195" t="str">
        <f t="shared" si="25"/>
        <v/>
      </c>
      <c r="C146" s="507">
        <f>IF(D93="","-",+C145+1)</f>
        <v>2056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28"/>
        <v>0</v>
      </c>
      <c r="G146" s="523">
        <f t="shared" si="29"/>
        <v>0</v>
      </c>
      <c r="H146" s="526">
        <f t="shared" si="26"/>
        <v>0</v>
      </c>
      <c r="I146" s="577">
        <f t="shared" si="27"/>
        <v>0</v>
      </c>
      <c r="J146" s="514">
        <f t="shared" si="30"/>
        <v>0</v>
      </c>
      <c r="K146" s="514"/>
      <c r="L146" s="525"/>
      <c r="M146" s="514">
        <f t="shared" si="31"/>
        <v>0</v>
      </c>
      <c r="N146" s="525"/>
      <c r="O146" s="514">
        <f t="shared" si="32"/>
        <v>0</v>
      </c>
      <c r="P146" s="514">
        <f t="shared" si="33"/>
        <v>0</v>
      </c>
      <c r="Q146" s="269"/>
    </row>
    <row r="147" spans="2:17">
      <c r="B147" s="195" t="str">
        <f t="shared" si="25"/>
        <v/>
      </c>
      <c r="C147" s="507">
        <f>IF(D93="","-",+C146+1)</f>
        <v>2057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28"/>
        <v>0</v>
      </c>
      <c r="G147" s="523">
        <f t="shared" si="29"/>
        <v>0</v>
      </c>
      <c r="H147" s="526">
        <f t="shared" si="26"/>
        <v>0</v>
      </c>
      <c r="I147" s="577">
        <f t="shared" si="27"/>
        <v>0</v>
      </c>
      <c r="J147" s="514">
        <f t="shared" si="30"/>
        <v>0</v>
      </c>
      <c r="K147" s="514"/>
      <c r="L147" s="525"/>
      <c r="M147" s="514">
        <f t="shared" si="31"/>
        <v>0</v>
      </c>
      <c r="N147" s="525"/>
      <c r="O147" s="514">
        <f t="shared" si="32"/>
        <v>0</v>
      </c>
      <c r="P147" s="514">
        <f t="shared" si="33"/>
        <v>0</v>
      </c>
      <c r="Q147" s="269"/>
    </row>
    <row r="148" spans="2:17">
      <c r="B148" s="195" t="str">
        <f t="shared" si="25"/>
        <v/>
      </c>
      <c r="C148" s="507">
        <f>IF(D93="","-",+C147+1)</f>
        <v>2058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28"/>
        <v>0</v>
      </c>
      <c r="G148" s="523">
        <f t="shared" si="29"/>
        <v>0</v>
      </c>
      <c r="H148" s="526">
        <f t="shared" si="26"/>
        <v>0</v>
      </c>
      <c r="I148" s="577">
        <f t="shared" si="27"/>
        <v>0</v>
      </c>
      <c r="J148" s="514">
        <f t="shared" si="30"/>
        <v>0</v>
      </c>
      <c r="K148" s="514"/>
      <c r="L148" s="525"/>
      <c r="M148" s="514">
        <f t="shared" si="31"/>
        <v>0</v>
      </c>
      <c r="N148" s="525"/>
      <c r="O148" s="514">
        <f t="shared" si="32"/>
        <v>0</v>
      </c>
      <c r="P148" s="514">
        <f t="shared" si="33"/>
        <v>0</v>
      </c>
      <c r="Q148" s="269"/>
    </row>
    <row r="149" spans="2:17">
      <c r="B149" s="195" t="str">
        <f t="shared" si="25"/>
        <v/>
      </c>
      <c r="C149" s="507">
        <f>IF(D93="","-",+C148+1)</f>
        <v>2059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28"/>
        <v>0</v>
      </c>
      <c r="G149" s="523">
        <f t="shared" si="29"/>
        <v>0</v>
      </c>
      <c r="H149" s="526">
        <f t="shared" si="26"/>
        <v>0</v>
      </c>
      <c r="I149" s="577">
        <f t="shared" si="27"/>
        <v>0</v>
      </c>
      <c r="J149" s="514">
        <f t="shared" si="30"/>
        <v>0</v>
      </c>
      <c r="K149" s="514"/>
      <c r="L149" s="525"/>
      <c r="M149" s="514">
        <f t="shared" si="31"/>
        <v>0</v>
      </c>
      <c r="N149" s="525"/>
      <c r="O149" s="514">
        <f t="shared" si="32"/>
        <v>0</v>
      </c>
      <c r="P149" s="514">
        <f t="shared" si="33"/>
        <v>0</v>
      </c>
      <c r="Q149" s="269"/>
    </row>
    <row r="150" spans="2:17">
      <c r="B150" s="195" t="str">
        <f t="shared" si="25"/>
        <v/>
      </c>
      <c r="C150" s="507">
        <f>IF(D93="","-",+C149+1)</f>
        <v>2060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28"/>
        <v>0</v>
      </c>
      <c r="G150" s="523">
        <f t="shared" si="29"/>
        <v>0</v>
      </c>
      <c r="H150" s="526">
        <f t="shared" si="26"/>
        <v>0</v>
      </c>
      <c r="I150" s="577">
        <f t="shared" si="27"/>
        <v>0</v>
      </c>
      <c r="J150" s="514">
        <f t="shared" si="30"/>
        <v>0</v>
      </c>
      <c r="K150" s="514"/>
      <c r="L150" s="525"/>
      <c r="M150" s="514">
        <f t="shared" si="31"/>
        <v>0</v>
      </c>
      <c r="N150" s="525"/>
      <c r="O150" s="514">
        <f t="shared" si="32"/>
        <v>0</v>
      </c>
      <c r="P150" s="514">
        <f t="shared" si="33"/>
        <v>0</v>
      </c>
      <c r="Q150" s="269"/>
    </row>
    <row r="151" spans="2:17">
      <c r="B151" s="195" t="str">
        <f t="shared" si="25"/>
        <v/>
      </c>
      <c r="C151" s="507">
        <f>IF(D93="","-",+C150+1)</f>
        <v>2061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28"/>
        <v>0</v>
      </c>
      <c r="G151" s="523">
        <f t="shared" si="29"/>
        <v>0</v>
      </c>
      <c r="H151" s="526">
        <f t="shared" si="26"/>
        <v>0</v>
      </c>
      <c r="I151" s="577">
        <f t="shared" si="27"/>
        <v>0</v>
      </c>
      <c r="J151" s="514">
        <f t="shared" si="30"/>
        <v>0</v>
      </c>
      <c r="K151" s="514"/>
      <c r="L151" s="525"/>
      <c r="M151" s="514">
        <f t="shared" si="31"/>
        <v>0</v>
      </c>
      <c r="N151" s="525"/>
      <c r="O151" s="514">
        <f t="shared" si="32"/>
        <v>0</v>
      </c>
      <c r="P151" s="514">
        <f t="shared" si="33"/>
        <v>0</v>
      </c>
      <c r="Q151" s="269"/>
    </row>
    <row r="152" spans="2:17">
      <c r="B152" s="195" t="str">
        <f t="shared" si="25"/>
        <v/>
      </c>
      <c r="C152" s="507">
        <f>IF(D93="","-",+C151+1)</f>
        <v>2062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28"/>
        <v>0</v>
      </c>
      <c r="G152" s="523">
        <f t="shared" si="29"/>
        <v>0</v>
      </c>
      <c r="H152" s="526">
        <f t="shared" si="26"/>
        <v>0</v>
      </c>
      <c r="I152" s="577">
        <f t="shared" si="27"/>
        <v>0</v>
      </c>
      <c r="J152" s="514">
        <f t="shared" si="30"/>
        <v>0</v>
      </c>
      <c r="K152" s="514"/>
      <c r="L152" s="525"/>
      <c r="M152" s="514">
        <f t="shared" si="31"/>
        <v>0</v>
      </c>
      <c r="N152" s="525"/>
      <c r="O152" s="514">
        <f t="shared" si="32"/>
        <v>0</v>
      </c>
      <c r="P152" s="514">
        <f t="shared" si="33"/>
        <v>0</v>
      </c>
      <c r="Q152" s="269"/>
    </row>
    <row r="153" spans="2:17">
      <c r="B153" s="195" t="str">
        <f t="shared" si="25"/>
        <v/>
      </c>
      <c r="C153" s="507">
        <f>IF(D93="","-",+C152+1)</f>
        <v>2063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28"/>
        <v>0</v>
      </c>
      <c r="G153" s="523">
        <f t="shared" si="29"/>
        <v>0</v>
      </c>
      <c r="H153" s="526">
        <f t="shared" si="26"/>
        <v>0</v>
      </c>
      <c r="I153" s="577">
        <f t="shared" si="27"/>
        <v>0</v>
      </c>
      <c r="J153" s="514">
        <f t="shared" si="30"/>
        <v>0</v>
      </c>
      <c r="K153" s="514"/>
      <c r="L153" s="525"/>
      <c r="M153" s="514">
        <f t="shared" si="31"/>
        <v>0</v>
      </c>
      <c r="N153" s="525"/>
      <c r="O153" s="514">
        <f t="shared" si="32"/>
        <v>0</v>
      </c>
      <c r="P153" s="514">
        <f t="shared" si="33"/>
        <v>0</v>
      </c>
      <c r="Q153" s="269"/>
    </row>
    <row r="154" spans="2:17" ht="13.5" thickBot="1">
      <c r="B154" s="195" t="str">
        <f t="shared" si="25"/>
        <v/>
      </c>
      <c r="C154" s="527">
        <f>IF(D93="","-",+C153+1)</f>
        <v>2064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28"/>
        <v>0</v>
      </c>
      <c r="G154" s="528">
        <f t="shared" si="29"/>
        <v>0</v>
      </c>
      <c r="H154" s="530">
        <f t="shared" si="26"/>
        <v>0</v>
      </c>
      <c r="I154" s="579">
        <f t="shared" si="27"/>
        <v>0</v>
      </c>
      <c r="J154" s="533">
        <f t="shared" si="30"/>
        <v>0</v>
      </c>
      <c r="K154" s="514"/>
      <c r="L154" s="532"/>
      <c r="M154" s="533">
        <f t="shared" si="31"/>
        <v>0</v>
      </c>
      <c r="N154" s="532"/>
      <c r="O154" s="533">
        <f t="shared" si="32"/>
        <v>0</v>
      </c>
      <c r="P154" s="533">
        <f t="shared" si="33"/>
        <v>0</v>
      </c>
      <c r="Q154" s="269"/>
    </row>
    <row r="155" spans="2:17">
      <c r="C155" s="374" t="s">
        <v>78</v>
      </c>
      <c r="D155" s="375"/>
      <c r="E155" s="375">
        <f>SUM(E99:E154)</f>
        <v>0</v>
      </c>
      <c r="F155" s="375"/>
      <c r="G155" s="375"/>
      <c r="H155" s="375">
        <f>SUM(H99:H154)</f>
        <v>0</v>
      </c>
      <c r="I155" s="375">
        <f>SUM(I99:I154)</f>
        <v>0</v>
      </c>
      <c r="J155" s="375">
        <f>SUM(J99:J154)</f>
        <v>0</v>
      </c>
      <c r="K155" s="375"/>
      <c r="L155" s="375"/>
      <c r="M155" s="375"/>
      <c r="N155" s="375"/>
      <c r="O155" s="375"/>
      <c r="P155" s="269"/>
      <c r="Q155" s="269"/>
    </row>
    <row r="156" spans="2:17"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  <c r="Q156" s="269"/>
    </row>
    <row r="157" spans="2:17">
      <c r="C157" s="580" t="s">
        <v>92</v>
      </c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  <c r="Q157" s="269"/>
    </row>
    <row r="158" spans="2:17"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  <c r="Q158" s="269"/>
    </row>
    <row r="159" spans="2:17">
      <c r="C159" s="534" t="s">
        <v>97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  <c r="Q159" s="269"/>
    </row>
    <row r="160" spans="2:17">
      <c r="C160" s="581" t="s">
        <v>79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  <c r="Q160" s="269"/>
    </row>
    <row r="161" spans="3:17">
      <c r="C161" s="581" t="s">
        <v>80</v>
      </c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  <c r="Q161" s="269"/>
    </row>
    <row r="162" spans="3:17" ht="18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454" t="s">
        <v>131</v>
      </c>
      <c r="Q162" s="269"/>
    </row>
  </sheetData>
  <phoneticPr fontId="0" type="noConversion"/>
  <conditionalFormatting sqref="C17:C72">
    <cfRule type="cellIs" dxfId="127" priority="1" stopIfTrue="1" operator="equal">
      <formula>$I$10</formula>
    </cfRule>
  </conditionalFormatting>
  <conditionalFormatting sqref="C99:C154">
    <cfRule type="cellIs" dxfId="126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68"/>
  <dimension ref="A1:Q162"/>
  <sheetViews>
    <sheetView topLeftCell="A95" zoomScaleNormal="100" zoomScaleSheetLayoutView="75" workbookViewId="0">
      <selection activeCell="D99" sqref="D99:I113"/>
    </sheetView>
  </sheetViews>
  <sheetFormatPr defaultRowHeight="12.75" customHeight="1"/>
  <cols>
    <col min="1" max="1" width="4.7109375" customWidth="1"/>
    <col min="2" max="2" width="6.7109375" customWidth="1"/>
    <col min="3" max="3" width="23.28515625" customWidth="1"/>
    <col min="4" max="8" width="17.7109375" customWidth="1"/>
    <col min="9" max="9" width="20.42578125" customWidth="1"/>
    <col min="10" max="10" width="16.42578125" customWidth="1"/>
    <col min="11" max="11" width="17.7109375" customWidth="1"/>
    <col min="12" max="12" width="16.140625" customWidth="1"/>
    <col min="13" max="13" width="17.7109375" customWidth="1"/>
    <col min="14" max="14" width="16.140625" customWidth="1"/>
    <col min="15" max="15" width="16.85546875" customWidth="1"/>
    <col min="16" max="16" width="24.42578125" customWidth="1"/>
    <col min="17" max="17" width="4.7109375" customWidth="1"/>
    <col min="18" max="18" width="9.140625" customWidth="1"/>
    <col min="23" max="23" width="9.140625" customWidth="1"/>
  </cols>
  <sheetData>
    <row r="1" spans="1:17" ht="20.25">
      <c r="A1" s="118" t="s">
        <v>133</v>
      </c>
      <c r="B1" s="1"/>
      <c r="C1" s="10"/>
      <c r="D1" s="2"/>
      <c r="E1" s="1"/>
      <c r="F1" s="15"/>
      <c r="G1" s="1"/>
      <c r="H1" s="3"/>
      <c r="J1" s="7"/>
      <c r="K1" s="20"/>
      <c r="L1" s="20"/>
      <c r="M1" s="20"/>
      <c r="P1" s="124" t="str">
        <f ca="1">"SWEPCO Project "&amp;RIGHT(MID(CELL("filename",$A$1),FIND("]",CELL("filename",$A$1))+1,256),2)&amp;" of "&amp;COUNT('S.001:S.xyz - blank'!$P$3)-1</f>
        <v>SWEPCO Project 19 of 75</v>
      </c>
      <c r="Q1" s="19"/>
    </row>
    <row r="2" spans="1:17" ht="18">
      <c r="B2" s="1"/>
      <c r="C2" s="1"/>
      <c r="D2" s="2"/>
      <c r="E2" s="1"/>
      <c r="F2" s="1"/>
      <c r="G2" s="1"/>
      <c r="H2" s="3"/>
      <c r="I2" s="1"/>
      <c r="J2" s="4"/>
      <c r="K2" s="1"/>
      <c r="L2" s="1"/>
      <c r="M2" s="1"/>
      <c r="N2" s="1"/>
      <c r="P2" s="112" t="s">
        <v>129</v>
      </c>
    </row>
    <row r="3" spans="1:17" ht="18.75">
      <c r="B3" s="5" t="s">
        <v>44</v>
      </c>
      <c r="C3" s="14" t="s">
        <v>45</v>
      </c>
      <c r="D3" s="2"/>
      <c r="E3" s="1"/>
      <c r="F3" s="1"/>
      <c r="G3" s="1"/>
      <c r="H3" s="3"/>
      <c r="I3" s="3"/>
      <c r="J3" s="22"/>
      <c r="K3" s="3"/>
      <c r="L3" s="3"/>
      <c r="M3" s="3"/>
      <c r="N3" s="3"/>
      <c r="O3" s="1" t="str">
        <f>RIGHT(N3,3)</f>
        <v/>
      </c>
      <c r="P3" s="114">
        <v>1</v>
      </c>
    </row>
    <row r="4" spans="1:17" ht="15.75" thickBot="1">
      <c r="C4" s="13"/>
      <c r="D4" s="2"/>
      <c r="E4" s="1"/>
      <c r="F4" s="1"/>
      <c r="G4" s="1"/>
      <c r="H4" s="3"/>
      <c r="I4" s="3"/>
      <c r="J4" s="22"/>
      <c r="K4" s="3"/>
      <c r="L4" s="3"/>
      <c r="M4" s="3"/>
      <c r="N4" s="3"/>
      <c r="O4" s="1"/>
      <c r="P4" s="1"/>
    </row>
    <row r="5" spans="1:17" ht="15">
      <c r="C5" s="23" t="s">
        <v>46</v>
      </c>
      <c r="D5" s="2"/>
      <c r="E5" s="1"/>
      <c r="F5" s="1"/>
      <c r="G5" s="24"/>
      <c r="H5" s="1" t="s">
        <v>47</v>
      </c>
      <c r="I5" s="1"/>
      <c r="J5" s="4"/>
      <c r="K5" s="143" t="s">
        <v>157</v>
      </c>
      <c r="L5" s="25"/>
      <c r="M5" s="26"/>
      <c r="N5" s="27">
        <f>VLOOKUP(I10,C17:I72,5)</f>
        <v>436065.41351434769</v>
      </c>
      <c r="P5" s="1"/>
    </row>
    <row r="6" spans="1:17" ht="15.75">
      <c r="C6" s="8"/>
      <c r="D6" s="2"/>
      <c r="E6" s="1"/>
      <c r="F6" s="1"/>
      <c r="G6" s="1"/>
      <c r="H6" s="28"/>
      <c r="I6" s="28"/>
      <c r="J6" s="29"/>
      <c r="K6" s="144" t="s">
        <v>158</v>
      </c>
      <c r="L6" s="30"/>
      <c r="M6" s="4"/>
      <c r="N6" s="31">
        <f>VLOOKUP(I10,C17:I72,6)</f>
        <v>436065.41351434769</v>
      </c>
      <c r="O6" s="1"/>
      <c r="P6" s="1"/>
    </row>
    <row r="7" spans="1:17" ht="13.5" thickBot="1">
      <c r="C7" s="32" t="s">
        <v>48</v>
      </c>
      <c r="D7" s="147" t="s">
        <v>240</v>
      </c>
      <c r="E7" s="1"/>
      <c r="F7" s="1"/>
      <c r="G7" s="1"/>
      <c r="H7" s="3"/>
      <c r="I7" s="3"/>
      <c r="J7" s="22"/>
      <c r="K7" s="33" t="s">
        <v>49</v>
      </c>
      <c r="L7" s="34"/>
      <c r="M7" s="34"/>
      <c r="N7" s="35">
        <f>+N6-N5</f>
        <v>0</v>
      </c>
      <c r="O7" s="1"/>
      <c r="P7" s="1"/>
    </row>
    <row r="8" spans="1:17" ht="13.5" thickBot="1">
      <c r="C8" s="36"/>
      <c r="D8" s="122" t="str">
        <f>IF(D10&lt;100000,"DOES NOT MEET SPP $100,000 MINIMUM INVESTMENT FOR REGIONAL BPU SHARING.","")</f>
        <v/>
      </c>
      <c r="E8" s="37"/>
      <c r="F8" s="37"/>
      <c r="G8" s="37"/>
      <c r="H8" s="37"/>
      <c r="I8" s="37"/>
      <c r="J8" s="16"/>
      <c r="K8" s="37"/>
      <c r="L8" s="37"/>
      <c r="M8" s="37"/>
      <c r="N8" s="37"/>
      <c r="O8" s="16"/>
      <c r="P8" s="10"/>
    </row>
    <row r="9" spans="1:17" ht="13.5" thickBot="1">
      <c r="A9" s="17"/>
      <c r="C9" s="38" t="s">
        <v>50</v>
      </c>
      <c r="D9" s="110" t="s">
        <v>154</v>
      </c>
      <c r="E9" s="666" t="s">
        <v>476</v>
      </c>
      <c r="F9" s="39"/>
      <c r="G9" s="39"/>
      <c r="H9" s="39"/>
      <c r="I9" s="40"/>
      <c r="J9" s="41"/>
      <c r="O9" s="42"/>
      <c r="P9" s="4"/>
    </row>
    <row r="10" spans="1:17">
      <c r="C10" s="43" t="s">
        <v>51</v>
      </c>
      <c r="D10" s="44">
        <v>4480168</v>
      </c>
      <c r="E10" s="12" t="s">
        <v>52</v>
      </c>
      <c r="F10" s="42"/>
      <c r="G10" s="45"/>
      <c r="H10" s="45"/>
      <c r="I10" s="46">
        <f>+'SWE.WS.F.BPU.ATRR.Projected'!L19</f>
        <v>2024</v>
      </c>
      <c r="J10" s="41"/>
      <c r="K10" s="22" t="s">
        <v>53</v>
      </c>
      <c r="O10" s="4"/>
      <c r="P10" s="4"/>
    </row>
    <row r="11" spans="1:17">
      <c r="C11" s="47" t="s">
        <v>54</v>
      </c>
      <c r="D11" s="48">
        <v>2008</v>
      </c>
      <c r="E11" s="47" t="s">
        <v>55</v>
      </c>
      <c r="F11" s="45"/>
      <c r="G11" s="7"/>
      <c r="H11" s="7"/>
      <c r="I11" s="49">
        <v>0</v>
      </c>
      <c r="J11" s="50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4"/>
      <c r="P11" s="4"/>
    </row>
    <row r="12" spans="1:17">
      <c r="C12" s="47" t="s">
        <v>56</v>
      </c>
      <c r="D12" s="44">
        <v>5</v>
      </c>
      <c r="E12" s="47" t="s">
        <v>57</v>
      </c>
      <c r="F12" s="45"/>
      <c r="G12" s="7"/>
      <c r="H12" s="7"/>
      <c r="I12" s="51">
        <f>'SWE.WS.F.BPU.ATRR.Projected'!$F$81</f>
        <v>0.11952713165403545</v>
      </c>
      <c r="J12" s="52"/>
      <c r="K12" t="s">
        <v>58</v>
      </c>
      <c r="O12" s="4"/>
      <c r="P12" s="4"/>
    </row>
    <row r="13" spans="1:17">
      <c r="C13" s="47" t="s">
        <v>59</v>
      </c>
      <c r="D13" s="49">
        <f>+'SWE.WS.F.BPU.ATRR.Projected'!F$93</f>
        <v>44</v>
      </c>
      <c r="E13" s="47" t="s">
        <v>60</v>
      </c>
      <c r="F13" s="45"/>
      <c r="G13" s="7"/>
      <c r="H13" s="7"/>
      <c r="I13" s="51">
        <f>IF(G5="",I12,'SWE.WS.F.BPU.ATRR.Projected'!$F$80)</f>
        <v>0.11952713165403545</v>
      </c>
      <c r="J13" s="52"/>
      <c r="K13" s="22" t="s">
        <v>61</v>
      </c>
      <c r="L13" s="11"/>
      <c r="M13" s="11"/>
      <c r="N13" s="11"/>
      <c r="O13" s="4"/>
      <c r="P13" s="4"/>
    </row>
    <row r="14" spans="1:17" ht="13.5" thickBot="1">
      <c r="C14" s="47" t="s">
        <v>62</v>
      </c>
      <c r="D14" s="48" t="s">
        <v>63</v>
      </c>
      <c r="E14" s="4" t="s">
        <v>64</v>
      </c>
      <c r="F14" s="45"/>
      <c r="G14" s="7"/>
      <c r="H14" s="7"/>
      <c r="I14" s="53">
        <f>IF(D10=0,0,D10/D13)</f>
        <v>101822</v>
      </c>
      <c r="J14" s="22"/>
      <c r="K14" s="22"/>
      <c r="L14" s="22"/>
      <c r="M14" s="22"/>
      <c r="N14" s="22"/>
      <c r="O14" s="4"/>
      <c r="P14" s="4"/>
    </row>
    <row r="15" spans="1:17" ht="38.25">
      <c r="C15" s="54" t="s">
        <v>51</v>
      </c>
      <c r="D15" s="55" t="s">
        <v>65</v>
      </c>
      <c r="E15" s="55" t="s">
        <v>66</v>
      </c>
      <c r="F15" s="55" t="s">
        <v>67</v>
      </c>
      <c r="G15" s="180" t="s">
        <v>388</v>
      </c>
      <c r="H15" s="181" t="s">
        <v>389</v>
      </c>
      <c r="I15" s="152" t="s">
        <v>260</v>
      </c>
      <c r="J15" s="56"/>
      <c r="K15" s="146" t="s">
        <v>227</v>
      </c>
      <c r="L15" s="57" t="s">
        <v>69</v>
      </c>
      <c r="M15" s="146" t="s">
        <v>227</v>
      </c>
      <c r="N15" s="57" t="s">
        <v>69</v>
      </c>
      <c r="O15" s="57" t="s">
        <v>70</v>
      </c>
      <c r="P15" s="4"/>
    </row>
    <row r="16" spans="1:17" ht="13.5" thickBot="1">
      <c r="C16" s="58" t="s">
        <v>71</v>
      </c>
      <c r="D16" s="58" t="s">
        <v>72</v>
      </c>
      <c r="E16" s="58" t="s">
        <v>73</v>
      </c>
      <c r="F16" s="58" t="s">
        <v>72</v>
      </c>
      <c r="G16" s="179" t="s">
        <v>74</v>
      </c>
      <c r="H16" s="59" t="s">
        <v>75</v>
      </c>
      <c r="I16" s="60" t="s">
        <v>94</v>
      </c>
      <c r="J16" s="61" t="s">
        <v>76</v>
      </c>
      <c r="K16" s="62" t="s">
        <v>77</v>
      </c>
      <c r="L16" s="62" t="s">
        <v>77</v>
      </c>
      <c r="M16" s="62" t="s">
        <v>95</v>
      </c>
      <c r="N16" s="63" t="s">
        <v>95</v>
      </c>
      <c r="O16" s="62" t="s">
        <v>95</v>
      </c>
      <c r="P16" s="4"/>
    </row>
    <row r="17" spans="2:16">
      <c r="C17" s="64">
        <f>IF(D11= "","-",D11)</f>
        <v>2008</v>
      </c>
      <c r="D17" s="155">
        <v>2811966</v>
      </c>
      <c r="E17" s="156">
        <v>44333</v>
      </c>
      <c r="F17" s="155">
        <v>2767633</v>
      </c>
      <c r="G17" s="156">
        <v>327116</v>
      </c>
      <c r="H17" s="157">
        <v>327116</v>
      </c>
      <c r="I17" s="175">
        <f t="shared" ref="I17:I48" si="0">H17-G17</f>
        <v>0</v>
      </c>
      <c r="J17" s="67"/>
      <c r="K17" s="131">
        <v>0</v>
      </c>
      <c r="L17" s="82">
        <f t="shared" ref="L17:L48" si="1">IF(K17&lt;&gt;0,+G17-K17,0)</f>
        <v>0</v>
      </c>
      <c r="M17" s="131">
        <v>0</v>
      </c>
      <c r="N17" s="68">
        <f t="shared" ref="N17:N48" si="2">IF(M17&lt;&gt;0,+H17-M17,0)</f>
        <v>0</v>
      </c>
      <c r="O17" s="69">
        <f t="shared" ref="O17:O48" si="3">+N17-L17</f>
        <v>0</v>
      </c>
      <c r="P17" s="4"/>
    </row>
    <row r="18" spans="2:16">
      <c r="B18" s="9" t="str">
        <f>IF(D18=F17,"","IU")</f>
        <v/>
      </c>
      <c r="C18" s="64">
        <f>IF(D11="","-",+C17+1)</f>
        <v>2009</v>
      </c>
      <c r="D18" s="159">
        <v>2767633</v>
      </c>
      <c r="E18" s="158">
        <v>75999</v>
      </c>
      <c r="F18" s="159">
        <v>2691634</v>
      </c>
      <c r="G18" s="158">
        <v>488525</v>
      </c>
      <c r="H18" s="157">
        <v>488525</v>
      </c>
      <c r="I18" s="175">
        <f t="shared" si="0"/>
        <v>0</v>
      </c>
      <c r="J18" s="67"/>
      <c r="K18" s="133">
        <v>488525</v>
      </c>
      <c r="L18" s="69">
        <f t="shared" si="1"/>
        <v>0</v>
      </c>
      <c r="M18" s="133">
        <v>488525</v>
      </c>
      <c r="N18" s="69">
        <f t="shared" si="2"/>
        <v>0</v>
      </c>
      <c r="O18" s="69">
        <f t="shared" si="3"/>
        <v>0</v>
      </c>
      <c r="P18" s="4"/>
    </row>
    <row r="19" spans="2:16">
      <c r="B19" s="9" t="str">
        <f>IF(D19=F18,"","IU")</f>
        <v>IU</v>
      </c>
      <c r="C19" s="64">
        <f>IF(D11="","-",+C18+1)</f>
        <v>2010</v>
      </c>
      <c r="D19" s="159">
        <v>4359835.62</v>
      </c>
      <c r="E19" s="158">
        <v>117899.14789473685</v>
      </c>
      <c r="F19" s="159">
        <v>4241936.4721052628</v>
      </c>
      <c r="G19" s="158">
        <v>727741.14153838763</v>
      </c>
      <c r="H19" s="157">
        <v>727741.14153838763</v>
      </c>
      <c r="I19" s="176">
        <v>0</v>
      </c>
      <c r="J19" s="67"/>
      <c r="K19" s="133">
        <f t="shared" ref="K19:K24" si="4">G19</f>
        <v>727741.14153838763</v>
      </c>
      <c r="L19" s="132">
        <f t="shared" si="1"/>
        <v>0</v>
      </c>
      <c r="M19" s="133">
        <f t="shared" ref="M19:M24" si="5">H19</f>
        <v>727741.14153838763</v>
      </c>
      <c r="N19" s="69">
        <f t="shared" si="2"/>
        <v>0</v>
      </c>
      <c r="O19" s="69">
        <f t="shared" si="3"/>
        <v>0</v>
      </c>
      <c r="P19" s="4"/>
    </row>
    <row r="20" spans="2:16">
      <c r="B20" s="9" t="str">
        <f t="shared" ref="B20:B72" si="6">IF(D20=F19,"","IU")</f>
        <v/>
      </c>
      <c r="C20" s="64">
        <f>IF(D11="","-",+C19+1)</f>
        <v>2011</v>
      </c>
      <c r="D20" s="159">
        <v>4241936.4721052628</v>
      </c>
      <c r="E20" s="158">
        <v>109272.38097560976</v>
      </c>
      <c r="F20" s="159">
        <v>4132664.0911296532</v>
      </c>
      <c r="G20" s="158">
        <v>754762.21273088234</v>
      </c>
      <c r="H20" s="157">
        <v>754762.21273088234</v>
      </c>
      <c r="I20" s="176">
        <v>0</v>
      </c>
      <c r="J20" s="67"/>
      <c r="K20" s="133">
        <f t="shared" si="4"/>
        <v>754762.21273088234</v>
      </c>
      <c r="L20" s="132">
        <f t="shared" si="1"/>
        <v>0</v>
      </c>
      <c r="M20" s="133">
        <f t="shared" si="5"/>
        <v>754762.21273088234</v>
      </c>
      <c r="N20" s="69">
        <f t="shared" si="2"/>
        <v>0</v>
      </c>
      <c r="O20" s="69">
        <f t="shared" si="3"/>
        <v>0</v>
      </c>
      <c r="P20" s="4"/>
    </row>
    <row r="21" spans="2:16">
      <c r="B21" s="9" t="str">
        <f t="shared" si="6"/>
        <v/>
      </c>
      <c r="C21" s="64">
        <f>IF(D12="","-",+C20+1)</f>
        <v>2012</v>
      </c>
      <c r="D21" s="159">
        <v>4132664.0911296532</v>
      </c>
      <c r="E21" s="166">
        <v>106670.65761904762</v>
      </c>
      <c r="F21" s="159">
        <v>4025993.4335106057</v>
      </c>
      <c r="G21" s="158">
        <v>705416.96496110456</v>
      </c>
      <c r="H21" s="157">
        <v>705416.96496110456</v>
      </c>
      <c r="I21" s="176">
        <v>0</v>
      </c>
      <c r="J21" s="67"/>
      <c r="K21" s="133">
        <f t="shared" si="4"/>
        <v>705416.96496110456</v>
      </c>
      <c r="L21" s="132">
        <f t="shared" si="1"/>
        <v>0</v>
      </c>
      <c r="M21" s="133">
        <f t="shared" si="5"/>
        <v>705416.96496110456</v>
      </c>
      <c r="N21" s="69">
        <f t="shared" si="2"/>
        <v>0</v>
      </c>
      <c r="O21" s="69">
        <f t="shared" si="3"/>
        <v>0</v>
      </c>
      <c r="P21" s="4"/>
    </row>
    <row r="22" spans="2:16">
      <c r="B22" s="9" t="str">
        <f t="shared" si="6"/>
        <v/>
      </c>
      <c r="C22" s="64">
        <f>IF(D11="","-",+C21+1)</f>
        <v>2013</v>
      </c>
      <c r="D22" s="173">
        <v>4025993.4335106057</v>
      </c>
      <c r="E22" s="174">
        <v>106670.65761904762</v>
      </c>
      <c r="F22" s="173">
        <v>3919322.7758915583</v>
      </c>
      <c r="G22" s="174">
        <v>655325.21672934014</v>
      </c>
      <c r="H22" s="172">
        <v>655325.21672934014</v>
      </c>
      <c r="I22" s="175">
        <v>0</v>
      </c>
      <c r="J22" s="67"/>
      <c r="K22" s="133">
        <f t="shared" si="4"/>
        <v>655325.21672934014</v>
      </c>
      <c r="L22" s="132">
        <f t="shared" ref="L22:L27" si="7">IF(K22&lt;&gt;0,+G22-K22,0)</f>
        <v>0</v>
      </c>
      <c r="M22" s="133">
        <f t="shared" si="5"/>
        <v>655325.21672934014</v>
      </c>
      <c r="N22" s="69">
        <f t="shared" ref="N22:N27" si="8">IF(M22&lt;&gt;0,+H22-M22,0)</f>
        <v>0</v>
      </c>
      <c r="O22" s="69">
        <f t="shared" ref="O22:O27" si="9">+N22-L22</f>
        <v>0</v>
      </c>
      <c r="P22" s="4"/>
    </row>
    <row r="23" spans="2:16">
      <c r="B23" s="9" t="str">
        <f t="shared" si="6"/>
        <v/>
      </c>
      <c r="C23" s="64">
        <f>IF(D11="","-",+C22+1)</f>
        <v>2014</v>
      </c>
      <c r="D23" s="173">
        <v>3919322.7758915583</v>
      </c>
      <c r="E23" s="174">
        <v>106670.65761904762</v>
      </c>
      <c r="F23" s="173">
        <v>3812652.1182725108</v>
      </c>
      <c r="G23" s="174">
        <v>621037.49267561059</v>
      </c>
      <c r="H23" s="172">
        <v>621037.49267561059</v>
      </c>
      <c r="I23" s="175">
        <v>0</v>
      </c>
      <c r="J23" s="67"/>
      <c r="K23" s="133">
        <f t="shared" si="4"/>
        <v>621037.49267561059</v>
      </c>
      <c r="L23" s="132">
        <f t="shared" si="7"/>
        <v>0</v>
      </c>
      <c r="M23" s="133">
        <f t="shared" si="5"/>
        <v>621037.49267561059</v>
      </c>
      <c r="N23" s="69">
        <f t="shared" si="8"/>
        <v>0</v>
      </c>
      <c r="O23" s="69">
        <f t="shared" si="9"/>
        <v>0</v>
      </c>
      <c r="P23" s="4"/>
    </row>
    <row r="24" spans="2:16">
      <c r="B24" s="9" t="str">
        <f t="shared" si="6"/>
        <v/>
      </c>
      <c r="C24" s="64">
        <f>IF(D11="","-",+C23+1)</f>
        <v>2015</v>
      </c>
      <c r="D24" s="173">
        <v>3812652.1182725108</v>
      </c>
      <c r="E24" s="174">
        <v>106670.65761904762</v>
      </c>
      <c r="F24" s="173">
        <v>3705981.4606534634</v>
      </c>
      <c r="G24" s="174">
        <v>594766.20831186429</v>
      </c>
      <c r="H24" s="172">
        <v>594766.20831186429</v>
      </c>
      <c r="I24" s="67">
        <v>0</v>
      </c>
      <c r="J24" s="67"/>
      <c r="K24" s="133">
        <f t="shared" si="4"/>
        <v>594766.20831186429</v>
      </c>
      <c r="L24" s="132">
        <f t="shared" si="7"/>
        <v>0</v>
      </c>
      <c r="M24" s="133">
        <f t="shared" si="5"/>
        <v>594766.20831186429</v>
      </c>
      <c r="N24" s="69">
        <f t="shared" si="8"/>
        <v>0</v>
      </c>
      <c r="O24" s="69">
        <f t="shared" si="9"/>
        <v>0</v>
      </c>
      <c r="P24" s="4"/>
    </row>
    <row r="25" spans="2:16">
      <c r="B25" s="9" t="str">
        <f t="shared" si="6"/>
        <v/>
      </c>
      <c r="C25" s="64">
        <f>IF(D11="","-",+C24+1)</f>
        <v>2016</v>
      </c>
      <c r="D25" s="173">
        <v>3705981.4606534634</v>
      </c>
      <c r="E25" s="174">
        <v>106670.65761904762</v>
      </c>
      <c r="F25" s="173">
        <v>3599310.8030344159</v>
      </c>
      <c r="G25" s="174">
        <v>574868.91696308763</v>
      </c>
      <c r="H25" s="172">
        <v>574868.91696308763</v>
      </c>
      <c r="I25" s="67">
        <f t="shared" si="0"/>
        <v>0</v>
      </c>
      <c r="J25" s="67"/>
      <c r="K25" s="133">
        <f t="shared" ref="K25:K30" si="10">G25</f>
        <v>574868.91696308763</v>
      </c>
      <c r="L25" s="132">
        <f t="shared" si="7"/>
        <v>0</v>
      </c>
      <c r="M25" s="133">
        <f t="shared" ref="M25:M30" si="11">H25</f>
        <v>574868.91696308763</v>
      </c>
      <c r="N25" s="69">
        <f t="shared" si="8"/>
        <v>0</v>
      </c>
      <c r="O25" s="69">
        <f t="shared" si="9"/>
        <v>0</v>
      </c>
      <c r="P25" s="4"/>
    </row>
    <row r="26" spans="2:16">
      <c r="B26" s="9" t="str">
        <f t="shared" si="6"/>
        <v/>
      </c>
      <c r="C26" s="64">
        <f>IF(D11="","-",+C25+1)</f>
        <v>2017</v>
      </c>
      <c r="D26" s="173">
        <v>3599310.8030344159</v>
      </c>
      <c r="E26" s="174">
        <v>104189.94465116279</v>
      </c>
      <c r="F26" s="173">
        <v>3495120.8583832532</v>
      </c>
      <c r="G26" s="174">
        <v>543663.50120193616</v>
      </c>
      <c r="H26" s="172">
        <v>543663.50120193616</v>
      </c>
      <c r="I26" s="67">
        <f t="shared" si="0"/>
        <v>0</v>
      </c>
      <c r="J26" s="67"/>
      <c r="K26" s="133">
        <f t="shared" si="10"/>
        <v>543663.50120193616</v>
      </c>
      <c r="L26" s="132">
        <f t="shared" si="7"/>
        <v>0</v>
      </c>
      <c r="M26" s="133">
        <f t="shared" si="11"/>
        <v>543663.50120193616</v>
      </c>
      <c r="N26" s="69">
        <f t="shared" si="8"/>
        <v>0</v>
      </c>
      <c r="O26" s="69">
        <f t="shared" si="9"/>
        <v>0</v>
      </c>
      <c r="P26" s="4"/>
    </row>
    <row r="27" spans="2:16">
      <c r="B27" s="9" t="str">
        <f t="shared" si="6"/>
        <v/>
      </c>
      <c r="C27" s="64">
        <f>IF(D11="","-",+C26+1)</f>
        <v>2018</v>
      </c>
      <c r="D27" s="173">
        <v>3495120.8583832532</v>
      </c>
      <c r="E27" s="174">
        <v>109272.38097560976</v>
      </c>
      <c r="F27" s="173">
        <v>3385848.4774076436</v>
      </c>
      <c r="G27" s="174">
        <v>546537.67971827346</v>
      </c>
      <c r="H27" s="172">
        <v>546537.67971827346</v>
      </c>
      <c r="I27" s="67">
        <f t="shared" si="0"/>
        <v>0</v>
      </c>
      <c r="J27" s="67"/>
      <c r="K27" s="133">
        <f t="shared" si="10"/>
        <v>546537.67971827346</v>
      </c>
      <c r="L27" s="132">
        <f t="shared" si="7"/>
        <v>0</v>
      </c>
      <c r="M27" s="133">
        <f t="shared" si="11"/>
        <v>546537.67971827346</v>
      </c>
      <c r="N27" s="69">
        <f t="shared" si="8"/>
        <v>0</v>
      </c>
      <c r="O27" s="69">
        <f t="shared" si="9"/>
        <v>0</v>
      </c>
      <c r="P27" s="4"/>
    </row>
    <row r="28" spans="2:16">
      <c r="B28" s="9" t="str">
        <f t="shared" si="6"/>
        <v/>
      </c>
      <c r="C28" s="64">
        <f>IF(D11="","-",+C27+1)</f>
        <v>2019</v>
      </c>
      <c r="D28" s="173">
        <v>3385848.4774076436</v>
      </c>
      <c r="E28" s="174">
        <v>109272.38097560976</v>
      </c>
      <c r="F28" s="173">
        <v>3276576.0964320339</v>
      </c>
      <c r="G28" s="174">
        <v>532649.80492043286</v>
      </c>
      <c r="H28" s="172">
        <v>532649.80492043286</v>
      </c>
      <c r="I28" s="67">
        <f t="shared" si="0"/>
        <v>0</v>
      </c>
      <c r="J28" s="67"/>
      <c r="K28" s="133">
        <f t="shared" si="10"/>
        <v>532649.80492043286</v>
      </c>
      <c r="L28" s="132">
        <f t="shared" ref="L28" si="12">IF(K28&lt;&gt;0,+G28-K28,0)</f>
        <v>0</v>
      </c>
      <c r="M28" s="133">
        <f t="shared" si="11"/>
        <v>532649.80492043286</v>
      </c>
      <c r="N28" s="69">
        <f t="shared" si="2"/>
        <v>0</v>
      </c>
      <c r="O28" s="69">
        <f t="shared" si="3"/>
        <v>0</v>
      </c>
      <c r="P28" s="4"/>
    </row>
    <row r="29" spans="2:16">
      <c r="B29" s="9" t="str">
        <f t="shared" si="6"/>
        <v/>
      </c>
      <c r="C29" s="64">
        <f>IF(D11="","-",+C28+1)</f>
        <v>2020</v>
      </c>
      <c r="D29" s="173">
        <v>3276576.0964320339</v>
      </c>
      <c r="E29" s="174">
        <v>109272.38097560976</v>
      </c>
      <c r="F29" s="173">
        <v>3167303.7154564243</v>
      </c>
      <c r="G29" s="174">
        <v>438991.06815712724</v>
      </c>
      <c r="H29" s="172">
        <v>438991.06815712724</v>
      </c>
      <c r="I29" s="67">
        <f t="shared" si="0"/>
        <v>0</v>
      </c>
      <c r="J29" s="67"/>
      <c r="K29" s="133">
        <f t="shared" si="10"/>
        <v>438991.06815712724</v>
      </c>
      <c r="L29" s="132">
        <f t="shared" ref="L29" si="13">IF(K29&lt;&gt;0,+G29-K29,0)</f>
        <v>0</v>
      </c>
      <c r="M29" s="133">
        <f t="shared" si="11"/>
        <v>438991.06815712724</v>
      </c>
      <c r="N29" s="69">
        <f t="shared" si="2"/>
        <v>0</v>
      </c>
      <c r="O29" s="69">
        <f t="shared" si="3"/>
        <v>0</v>
      </c>
      <c r="P29" s="4"/>
    </row>
    <row r="30" spans="2:16">
      <c r="B30" s="9" t="str">
        <f t="shared" si="6"/>
        <v>IU</v>
      </c>
      <c r="C30" s="64">
        <f>IF(D11="","-",+C29+1)</f>
        <v>2021</v>
      </c>
      <c r="D30" s="173">
        <v>3172386.1517808703</v>
      </c>
      <c r="E30" s="174">
        <v>106670.65761904762</v>
      </c>
      <c r="F30" s="173">
        <v>3065715.4941618228</v>
      </c>
      <c r="G30" s="174">
        <v>437304.22107294126</v>
      </c>
      <c r="H30" s="172">
        <v>437304.22107294126</v>
      </c>
      <c r="I30" s="67">
        <f t="shared" si="0"/>
        <v>0</v>
      </c>
      <c r="J30" s="67"/>
      <c r="K30" s="133">
        <f t="shared" si="10"/>
        <v>437304.22107294126</v>
      </c>
      <c r="L30" s="132">
        <f t="shared" ref="L30" si="14">IF(K30&lt;&gt;0,+G30-K30,0)</f>
        <v>0</v>
      </c>
      <c r="M30" s="133">
        <f t="shared" si="11"/>
        <v>437304.22107294126</v>
      </c>
      <c r="N30" s="69">
        <f t="shared" si="2"/>
        <v>0</v>
      </c>
      <c r="O30" s="69">
        <f t="shared" si="3"/>
        <v>0</v>
      </c>
      <c r="P30" s="4"/>
    </row>
    <row r="31" spans="2:16">
      <c r="B31" s="9" t="str">
        <f t="shared" si="6"/>
        <v>IU</v>
      </c>
      <c r="C31" s="64">
        <f>IF(D11="","-",+C30+1)</f>
        <v>2022</v>
      </c>
      <c r="D31" s="173">
        <v>3060633.0578373754</v>
      </c>
      <c r="E31" s="174">
        <v>106670.65761904762</v>
      </c>
      <c r="F31" s="173">
        <v>2953962.400218328</v>
      </c>
      <c r="G31" s="174">
        <v>444823.534818093</v>
      </c>
      <c r="H31" s="172">
        <v>444823.534818093</v>
      </c>
      <c r="I31" s="67">
        <f t="shared" si="0"/>
        <v>0</v>
      </c>
      <c r="J31" s="67"/>
      <c r="K31" s="133">
        <f t="shared" ref="K31" si="15">G31</f>
        <v>444823.534818093</v>
      </c>
      <c r="L31" s="132">
        <f t="shared" ref="L31" si="16">IF(K31&lt;&gt;0,+G31-K31,0)</f>
        <v>0</v>
      </c>
      <c r="M31" s="133">
        <f t="shared" ref="M31" si="17">H31</f>
        <v>444823.534818093</v>
      </c>
      <c r="N31" s="69">
        <f t="shared" si="2"/>
        <v>0</v>
      </c>
      <c r="O31" s="69">
        <f t="shared" si="3"/>
        <v>0</v>
      </c>
      <c r="P31" s="4"/>
    </row>
    <row r="32" spans="2:16">
      <c r="B32" s="9" t="str">
        <f t="shared" si="6"/>
        <v>IU</v>
      </c>
      <c r="C32" s="64">
        <f>IF(D11="","-",+C31+1)</f>
        <v>2023</v>
      </c>
      <c r="D32" s="173">
        <v>2953962.7802183279</v>
      </c>
      <c r="E32" s="174">
        <v>106670.66666666667</v>
      </c>
      <c r="F32" s="173">
        <v>2847292.1135516614</v>
      </c>
      <c r="G32" s="174">
        <v>473097.6151571942</v>
      </c>
      <c r="H32" s="172">
        <v>473097.6151571942</v>
      </c>
      <c r="I32" s="67">
        <f t="shared" si="0"/>
        <v>0</v>
      </c>
      <c r="J32" s="67"/>
      <c r="K32" s="133">
        <f t="shared" ref="K32" si="18">G32</f>
        <v>473097.6151571942</v>
      </c>
      <c r="L32" s="132">
        <f t="shared" ref="L32" si="19">IF(K32&lt;&gt;0,+G32-K32,0)</f>
        <v>0</v>
      </c>
      <c r="M32" s="133">
        <f t="shared" ref="M32" si="20">H32</f>
        <v>473097.6151571942</v>
      </c>
      <c r="N32" s="69">
        <f t="shared" ref="N32" si="21">IF(M32&lt;&gt;0,+H32-M32,0)</f>
        <v>0</v>
      </c>
      <c r="O32" s="69">
        <f t="shared" ref="O32" si="22">+N32-L32</f>
        <v>0</v>
      </c>
      <c r="P32" s="4"/>
    </row>
    <row r="33" spans="2:16">
      <c r="B33" s="9" t="str">
        <f t="shared" si="6"/>
        <v/>
      </c>
      <c r="C33" s="674">
        <f>IF(D11="","-",+C32+1)</f>
        <v>2024</v>
      </c>
      <c r="D33" s="70">
        <f>IF(F32+SUM(E$17:E32)=D$10,F32,D$10-SUM(E$17:E32))</f>
        <v>2847292.1135516614</v>
      </c>
      <c r="E33" s="71">
        <f>IF(+I14&lt;F32,I14,D33)</f>
        <v>101822</v>
      </c>
      <c r="F33" s="70">
        <f t="shared" ref="F33:F48" si="23">+D33-E33</f>
        <v>2745470.1135516614</v>
      </c>
      <c r="G33" s="72">
        <f t="shared" ref="G33:G72" si="24">+I$12*((D33+F33)/2)+E33</f>
        <v>436065.41351434769</v>
      </c>
      <c r="H33" s="53">
        <f t="shared" ref="H33:H72" si="25">+I$13*((D33+F33)/2)+E33</f>
        <v>436065.41351434769</v>
      </c>
      <c r="I33" s="67">
        <f t="shared" si="0"/>
        <v>0</v>
      </c>
      <c r="J33" s="67"/>
      <c r="K33" s="150"/>
      <c r="L33" s="69">
        <f t="shared" si="1"/>
        <v>0</v>
      </c>
      <c r="M33" s="150"/>
      <c r="N33" s="69">
        <f t="shared" si="2"/>
        <v>0</v>
      </c>
      <c r="O33" s="69">
        <f t="shared" si="3"/>
        <v>0</v>
      </c>
      <c r="P33" s="4"/>
    </row>
    <row r="34" spans="2:16">
      <c r="B34" s="9" t="str">
        <f t="shared" si="6"/>
        <v/>
      </c>
      <c r="C34" s="64">
        <f>IF(D11="","-",+C33+1)</f>
        <v>2025</v>
      </c>
      <c r="D34" s="70">
        <f>IF(F33+SUM(E$17:E33)=D$10,F33,D$10-SUM(E$17:E33))</f>
        <v>2745470.1135516614</v>
      </c>
      <c r="E34" s="71">
        <f>IF(+I14&lt;F33,I14,D34)</f>
        <v>101822</v>
      </c>
      <c r="F34" s="70">
        <f t="shared" si="23"/>
        <v>2643648.1135516614</v>
      </c>
      <c r="G34" s="72">
        <f t="shared" si="24"/>
        <v>423894.9219150705</v>
      </c>
      <c r="H34" s="53">
        <f t="shared" si="25"/>
        <v>423894.9219150705</v>
      </c>
      <c r="I34" s="67">
        <f t="shared" si="0"/>
        <v>0</v>
      </c>
      <c r="J34" s="67"/>
      <c r="K34" s="150"/>
      <c r="L34" s="69">
        <f t="shared" si="1"/>
        <v>0</v>
      </c>
      <c r="M34" s="150"/>
      <c r="N34" s="69">
        <f t="shared" si="2"/>
        <v>0</v>
      </c>
      <c r="O34" s="69">
        <f t="shared" si="3"/>
        <v>0</v>
      </c>
      <c r="P34" s="4"/>
    </row>
    <row r="35" spans="2:16">
      <c r="B35" s="9" t="str">
        <f t="shared" si="6"/>
        <v/>
      </c>
      <c r="C35" s="64">
        <f>IF(D11="","-",+C34+1)</f>
        <v>2026</v>
      </c>
      <c r="D35" s="70">
        <f>IF(F34+SUM(E$17:E34)=D$10,F34,D$10-SUM(E$17:E34))</f>
        <v>2643648.1135516614</v>
      </c>
      <c r="E35" s="71">
        <f>IF(+I14&lt;F34,I14,D35)</f>
        <v>101822</v>
      </c>
      <c r="F35" s="70">
        <f t="shared" si="23"/>
        <v>2541826.1135516614</v>
      </c>
      <c r="G35" s="72">
        <f t="shared" si="24"/>
        <v>411724.43031579326</v>
      </c>
      <c r="H35" s="53">
        <f t="shared" si="25"/>
        <v>411724.43031579326</v>
      </c>
      <c r="I35" s="67">
        <f t="shared" si="0"/>
        <v>0</v>
      </c>
      <c r="J35" s="67"/>
      <c r="K35" s="150"/>
      <c r="L35" s="69">
        <f t="shared" si="1"/>
        <v>0</v>
      </c>
      <c r="M35" s="150"/>
      <c r="N35" s="69">
        <f t="shared" si="2"/>
        <v>0</v>
      </c>
      <c r="O35" s="69">
        <f t="shared" si="3"/>
        <v>0</v>
      </c>
      <c r="P35" s="4"/>
    </row>
    <row r="36" spans="2:16">
      <c r="B36" s="9" t="str">
        <f t="shared" si="6"/>
        <v/>
      </c>
      <c r="C36" s="64">
        <f>IF(D11="","-",+C35+1)</f>
        <v>2027</v>
      </c>
      <c r="D36" s="70">
        <f>IF(F35+SUM(E$17:E35)=D$10,F35,D$10-SUM(E$17:E35))</f>
        <v>2541826.1135516614</v>
      </c>
      <c r="E36" s="71">
        <f>IF(+I14&lt;F35,I14,D36)</f>
        <v>101822</v>
      </c>
      <c r="F36" s="70">
        <f t="shared" si="23"/>
        <v>2440004.1135516614</v>
      </c>
      <c r="G36" s="72">
        <f t="shared" si="24"/>
        <v>399553.93871651607</v>
      </c>
      <c r="H36" s="53">
        <f t="shared" si="25"/>
        <v>399553.93871651607</v>
      </c>
      <c r="I36" s="67">
        <f t="shared" si="0"/>
        <v>0</v>
      </c>
      <c r="J36" s="67"/>
      <c r="K36" s="150"/>
      <c r="L36" s="69">
        <f t="shared" si="1"/>
        <v>0</v>
      </c>
      <c r="M36" s="150"/>
      <c r="N36" s="69">
        <f t="shared" si="2"/>
        <v>0</v>
      </c>
      <c r="O36" s="69">
        <f t="shared" si="3"/>
        <v>0</v>
      </c>
      <c r="P36" s="4"/>
    </row>
    <row r="37" spans="2:16">
      <c r="B37" s="9" t="str">
        <f t="shared" si="6"/>
        <v/>
      </c>
      <c r="C37" s="64">
        <f>IF(D11="","-",+C36+1)</f>
        <v>2028</v>
      </c>
      <c r="D37" s="70">
        <f>IF(F36+SUM(E$17:E36)=D$10,F36,D$10-SUM(E$17:E36))</f>
        <v>2440004.1135516614</v>
      </c>
      <c r="E37" s="71">
        <f>IF(+I14&lt;F36,I14,D37)</f>
        <v>101822</v>
      </c>
      <c r="F37" s="70">
        <f t="shared" si="23"/>
        <v>2338182.1135516614</v>
      </c>
      <c r="G37" s="72">
        <f t="shared" si="24"/>
        <v>387383.44711723889</v>
      </c>
      <c r="H37" s="53">
        <f t="shared" si="25"/>
        <v>387383.44711723889</v>
      </c>
      <c r="I37" s="67">
        <f t="shared" si="0"/>
        <v>0</v>
      </c>
      <c r="J37" s="67"/>
      <c r="K37" s="150"/>
      <c r="L37" s="69">
        <f t="shared" si="1"/>
        <v>0</v>
      </c>
      <c r="M37" s="150"/>
      <c r="N37" s="69">
        <f t="shared" si="2"/>
        <v>0</v>
      </c>
      <c r="O37" s="69">
        <f t="shared" si="3"/>
        <v>0</v>
      </c>
      <c r="P37" s="4"/>
    </row>
    <row r="38" spans="2:16">
      <c r="B38" s="9" t="str">
        <f t="shared" si="6"/>
        <v/>
      </c>
      <c r="C38" s="64">
        <f>IF(D11="","-",+C37+1)</f>
        <v>2029</v>
      </c>
      <c r="D38" s="70">
        <f>IF(F37+SUM(E$17:E37)=D$10,F37,D$10-SUM(E$17:E37))</f>
        <v>2338182.1135516614</v>
      </c>
      <c r="E38" s="71">
        <f>IF(+I14&lt;F37,I14,D38)</f>
        <v>101822</v>
      </c>
      <c r="F38" s="70">
        <f t="shared" si="23"/>
        <v>2236360.1135516614</v>
      </c>
      <c r="G38" s="72">
        <f t="shared" si="24"/>
        <v>375212.9555179617</v>
      </c>
      <c r="H38" s="53">
        <f t="shared" si="25"/>
        <v>375212.9555179617</v>
      </c>
      <c r="I38" s="67">
        <f t="shared" si="0"/>
        <v>0</v>
      </c>
      <c r="J38" s="67"/>
      <c r="K38" s="150"/>
      <c r="L38" s="69">
        <f t="shared" si="1"/>
        <v>0</v>
      </c>
      <c r="M38" s="150"/>
      <c r="N38" s="69">
        <f t="shared" si="2"/>
        <v>0</v>
      </c>
      <c r="O38" s="69">
        <f t="shared" si="3"/>
        <v>0</v>
      </c>
      <c r="P38" s="4"/>
    </row>
    <row r="39" spans="2:16">
      <c r="B39" s="9" t="str">
        <f t="shared" si="6"/>
        <v/>
      </c>
      <c r="C39" s="64">
        <f>IF(D11="","-",+C38+1)</f>
        <v>2030</v>
      </c>
      <c r="D39" s="70">
        <f>IF(F38+SUM(E$17:E38)=D$10,F38,D$10-SUM(E$17:E38))</f>
        <v>2236360.1135516614</v>
      </c>
      <c r="E39" s="71">
        <f>IF(+I14&lt;F38,I14,D39)</f>
        <v>101822</v>
      </c>
      <c r="F39" s="70">
        <f t="shared" si="23"/>
        <v>2134538.1135516614</v>
      </c>
      <c r="G39" s="72">
        <f t="shared" si="24"/>
        <v>363042.46391868452</v>
      </c>
      <c r="H39" s="53">
        <f t="shared" si="25"/>
        <v>363042.46391868452</v>
      </c>
      <c r="I39" s="67">
        <f t="shared" si="0"/>
        <v>0</v>
      </c>
      <c r="J39" s="67"/>
      <c r="K39" s="150"/>
      <c r="L39" s="69">
        <f t="shared" si="1"/>
        <v>0</v>
      </c>
      <c r="M39" s="150"/>
      <c r="N39" s="69">
        <f t="shared" si="2"/>
        <v>0</v>
      </c>
      <c r="O39" s="69">
        <f t="shared" si="3"/>
        <v>0</v>
      </c>
      <c r="P39" s="4"/>
    </row>
    <row r="40" spans="2:16">
      <c r="B40" s="9" t="str">
        <f t="shared" si="6"/>
        <v/>
      </c>
      <c r="C40" s="64">
        <f>IF(D11="","-",+C39+1)</f>
        <v>2031</v>
      </c>
      <c r="D40" s="70">
        <f>IF(F39+SUM(E$17:E39)=D$10,F39,D$10-SUM(E$17:E39))</f>
        <v>2134538.1135516614</v>
      </c>
      <c r="E40" s="71">
        <f>IF(+I14&lt;F39,I14,D40)</f>
        <v>101822</v>
      </c>
      <c r="F40" s="70">
        <f t="shared" si="23"/>
        <v>2032716.1135516614</v>
      </c>
      <c r="G40" s="72">
        <f t="shared" si="24"/>
        <v>350871.97231940727</v>
      </c>
      <c r="H40" s="53">
        <f t="shared" si="25"/>
        <v>350871.97231940727</v>
      </c>
      <c r="I40" s="67">
        <f t="shared" si="0"/>
        <v>0</v>
      </c>
      <c r="J40" s="67"/>
      <c r="K40" s="150"/>
      <c r="L40" s="69">
        <f t="shared" si="1"/>
        <v>0</v>
      </c>
      <c r="M40" s="150"/>
      <c r="N40" s="69">
        <f t="shared" si="2"/>
        <v>0</v>
      </c>
      <c r="O40" s="69">
        <f t="shared" si="3"/>
        <v>0</v>
      </c>
      <c r="P40" s="4"/>
    </row>
    <row r="41" spans="2:16">
      <c r="B41" s="9" t="str">
        <f t="shared" si="6"/>
        <v/>
      </c>
      <c r="C41" s="64">
        <f>IF(D11="","-",+C40+1)</f>
        <v>2032</v>
      </c>
      <c r="D41" s="70">
        <f>IF(F40+SUM(E$17:E40)=D$10,F40,D$10-SUM(E$17:E40))</f>
        <v>2032716.1135516614</v>
      </c>
      <c r="E41" s="71">
        <f>IF(+I14&lt;F40,I14,D41)</f>
        <v>101822</v>
      </c>
      <c r="F41" s="70">
        <f t="shared" si="23"/>
        <v>1930894.1135516614</v>
      </c>
      <c r="G41" s="72">
        <f t="shared" si="24"/>
        <v>338701.48072013009</v>
      </c>
      <c r="H41" s="53">
        <f t="shared" si="25"/>
        <v>338701.48072013009</v>
      </c>
      <c r="I41" s="67">
        <f t="shared" si="0"/>
        <v>0</v>
      </c>
      <c r="J41" s="67"/>
      <c r="K41" s="150"/>
      <c r="L41" s="69">
        <f t="shared" si="1"/>
        <v>0</v>
      </c>
      <c r="M41" s="150"/>
      <c r="N41" s="69">
        <f t="shared" si="2"/>
        <v>0</v>
      </c>
      <c r="O41" s="69">
        <f t="shared" si="3"/>
        <v>0</v>
      </c>
      <c r="P41" s="4"/>
    </row>
    <row r="42" spans="2:16">
      <c r="B42" s="9" t="str">
        <f t="shared" si="6"/>
        <v/>
      </c>
      <c r="C42" s="64">
        <f>IF(D11="","-",+C41+1)</f>
        <v>2033</v>
      </c>
      <c r="D42" s="70">
        <f>IF(F41+SUM(E$17:E41)=D$10,F41,D$10-SUM(E$17:E41))</f>
        <v>1930894.1135516614</v>
      </c>
      <c r="E42" s="71">
        <f>IF(+I14&lt;F41,I14,D42)</f>
        <v>101822</v>
      </c>
      <c r="F42" s="70">
        <f t="shared" si="23"/>
        <v>1829072.1135516614</v>
      </c>
      <c r="G42" s="72">
        <f t="shared" si="24"/>
        <v>326530.9891208529</v>
      </c>
      <c r="H42" s="53">
        <f t="shared" si="25"/>
        <v>326530.9891208529</v>
      </c>
      <c r="I42" s="67">
        <f t="shared" si="0"/>
        <v>0</v>
      </c>
      <c r="J42" s="67"/>
      <c r="K42" s="150"/>
      <c r="L42" s="69">
        <f t="shared" si="1"/>
        <v>0</v>
      </c>
      <c r="M42" s="150"/>
      <c r="N42" s="69">
        <f t="shared" si="2"/>
        <v>0</v>
      </c>
      <c r="O42" s="69">
        <f t="shared" si="3"/>
        <v>0</v>
      </c>
      <c r="P42" s="4"/>
    </row>
    <row r="43" spans="2:16">
      <c r="B43" s="9" t="str">
        <f t="shared" si="6"/>
        <v/>
      </c>
      <c r="C43" s="64">
        <f>IF(D11="","-",+C42+1)</f>
        <v>2034</v>
      </c>
      <c r="D43" s="70">
        <f>IF(F42+SUM(E$17:E42)=D$10,F42,D$10-SUM(E$17:E42))</f>
        <v>1829072.1135516614</v>
      </c>
      <c r="E43" s="71">
        <f>IF(+I14&lt;F42,I14,D43)</f>
        <v>101822</v>
      </c>
      <c r="F43" s="70">
        <f t="shared" si="23"/>
        <v>1727250.1135516614</v>
      </c>
      <c r="G43" s="72">
        <f t="shared" si="24"/>
        <v>314360.49752157566</v>
      </c>
      <c r="H43" s="53">
        <f t="shared" si="25"/>
        <v>314360.49752157566</v>
      </c>
      <c r="I43" s="67">
        <f t="shared" si="0"/>
        <v>0</v>
      </c>
      <c r="J43" s="67"/>
      <c r="K43" s="150"/>
      <c r="L43" s="69">
        <f t="shared" si="1"/>
        <v>0</v>
      </c>
      <c r="M43" s="150"/>
      <c r="N43" s="69">
        <f t="shared" si="2"/>
        <v>0</v>
      </c>
      <c r="O43" s="69">
        <f t="shared" si="3"/>
        <v>0</v>
      </c>
      <c r="P43" s="4"/>
    </row>
    <row r="44" spans="2:16">
      <c r="B44" s="9" t="str">
        <f t="shared" si="6"/>
        <v/>
      </c>
      <c r="C44" s="64">
        <f>IF(D11="","-",+C43+1)</f>
        <v>2035</v>
      </c>
      <c r="D44" s="70">
        <f>IF(F43+SUM(E$17:E43)=D$10,F43,D$10-SUM(E$17:E43))</f>
        <v>1727250.1135516614</v>
      </c>
      <c r="E44" s="71">
        <f>IF(+I14&lt;F43,I14,D44)</f>
        <v>101822</v>
      </c>
      <c r="F44" s="70">
        <f t="shared" si="23"/>
        <v>1625428.1135516614</v>
      </c>
      <c r="G44" s="72">
        <f t="shared" si="24"/>
        <v>302190.00592229853</v>
      </c>
      <c r="H44" s="53">
        <f t="shared" si="25"/>
        <v>302190.00592229853</v>
      </c>
      <c r="I44" s="67">
        <f t="shared" si="0"/>
        <v>0</v>
      </c>
      <c r="J44" s="67"/>
      <c r="K44" s="150"/>
      <c r="L44" s="69">
        <f t="shared" si="1"/>
        <v>0</v>
      </c>
      <c r="M44" s="150"/>
      <c r="N44" s="69">
        <f t="shared" si="2"/>
        <v>0</v>
      </c>
      <c r="O44" s="69">
        <f t="shared" si="3"/>
        <v>0</v>
      </c>
      <c r="P44" s="4"/>
    </row>
    <row r="45" spans="2:16">
      <c r="B45" s="9" t="str">
        <f t="shared" si="6"/>
        <v/>
      </c>
      <c r="C45" s="64">
        <f>IF(D11="","-",+C44+1)</f>
        <v>2036</v>
      </c>
      <c r="D45" s="70">
        <f>IF(F44+SUM(E$17:E44)=D$10,F44,D$10-SUM(E$17:E44))</f>
        <v>1625428.1135516614</v>
      </c>
      <c r="E45" s="71">
        <f>IF(+I14&lt;F44,I14,D45)</f>
        <v>101822</v>
      </c>
      <c r="F45" s="70">
        <f t="shared" si="23"/>
        <v>1523606.1135516614</v>
      </c>
      <c r="G45" s="72">
        <f t="shared" si="24"/>
        <v>290019.51432302129</v>
      </c>
      <c r="H45" s="53">
        <f t="shared" si="25"/>
        <v>290019.51432302129</v>
      </c>
      <c r="I45" s="67">
        <f t="shared" si="0"/>
        <v>0</v>
      </c>
      <c r="J45" s="67"/>
      <c r="K45" s="150"/>
      <c r="L45" s="69">
        <f t="shared" si="1"/>
        <v>0</v>
      </c>
      <c r="M45" s="150"/>
      <c r="N45" s="69">
        <f t="shared" si="2"/>
        <v>0</v>
      </c>
      <c r="O45" s="69">
        <f t="shared" si="3"/>
        <v>0</v>
      </c>
      <c r="P45" s="4"/>
    </row>
    <row r="46" spans="2:16">
      <c r="B46" s="9" t="str">
        <f t="shared" si="6"/>
        <v/>
      </c>
      <c r="C46" s="64">
        <f>IF(D11="","-",+C45+1)</f>
        <v>2037</v>
      </c>
      <c r="D46" s="70">
        <f>IF(F45+SUM(E$17:E45)=D$10,F45,D$10-SUM(E$17:E45))</f>
        <v>1523606.1135516614</v>
      </c>
      <c r="E46" s="71">
        <f>IF(+I14&lt;F45,I14,D46)</f>
        <v>101822</v>
      </c>
      <c r="F46" s="70">
        <f t="shared" si="23"/>
        <v>1421784.1135516614</v>
      </c>
      <c r="G46" s="72">
        <f t="shared" si="24"/>
        <v>277849.0227237441</v>
      </c>
      <c r="H46" s="53">
        <f t="shared" si="25"/>
        <v>277849.0227237441</v>
      </c>
      <c r="I46" s="67">
        <f t="shared" si="0"/>
        <v>0</v>
      </c>
      <c r="J46" s="67"/>
      <c r="K46" s="150"/>
      <c r="L46" s="69">
        <f t="shared" si="1"/>
        <v>0</v>
      </c>
      <c r="M46" s="150"/>
      <c r="N46" s="69">
        <f t="shared" si="2"/>
        <v>0</v>
      </c>
      <c r="O46" s="69">
        <f t="shared" si="3"/>
        <v>0</v>
      </c>
      <c r="P46" s="4"/>
    </row>
    <row r="47" spans="2:16">
      <c r="B47" s="9" t="str">
        <f t="shared" si="6"/>
        <v/>
      </c>
      <c r="C47" s="64">
        <f>IF(D11="","-",+C46+1)</f>
        <v>2038</v>
      </c>
      <c r="D47" s="70">
        <f>IF(F46+SUM(E$17:E46)=D$10,F46,D$10-SUM(E$17:E46))</f>
        <v>1421784.1135516614</v>
      </c>
      <c r="E47" s="71">
        <f>IF(+I14&lt;F46,I14,D47)</f>
        <v>101822</v>
      </c>
      <c r="F47" s="70">
        <f t="shared" si="23"/>
        <v>1319962.1135516614</v>
      </c>
      <c r="G47" s="72">
        <f t="shared" si="24"/>
        <v>265678.53112446691</v>
      </c>
      <c r="H47" s="53">
        <f t="shared" si="25"/>
        <v>265678.53112446691</v>
      </c>
      <c r="I47" s="67">
        <f t="shared" si="0"/>
        <v>0</v>
      </c>
      <c r="J47" s="67"/>
      <c r="K47" s="150"/>
      <c r="L47" s="69">
        <f t="shared" si="1"/>
        <v>0</v>
      </c>
      <c r="M47" s="150"/>
      <c r="N47" s="69">
        <f t="shared" si="2"/>
        <v>0</v>
      </c>
      <c r="O47" s="69">
        <f t="shared" si="3"/>
        <v>0</v>
      </c>
      <c r="P47" s="4"/>
    </row>
    <row r="48" spans="2:16">
      <c r="B48" s="9" t="str">
        <f t="shared" si="6"/>
        <v/>
      </c>
      <c r="C48" s="64">
        <f>IF(D11="","-",+C47+1)</f>
        <v>2039</v>
      </c>
      <c r="D48" s="70">
        <f>IF(F47+SUM(E$17:E47)=D$10,F47,D$10-SUM(E$17:E47))</f>
        <v>1319962.1135516614</v>
      </c>
      <c r="E48" s="71">
        <f>IF(+I14&lt;F47,I14,D48)</f>
        <v>101822</v>
      </c>
      <c r="F48" s="70">
        <f t="shared" si="23"/>
        <v>1218140.1135516614</v>
      </c>
      <c r="G48" s="72">
        <f t="shared" si="24"/>
        <v>253508.03952518973</v>
      </c>
      <c r="H48" s="53">
        <f t="shared" si="25"/>
        <v>253508.03952518973</v>
      </c>
      <c r="I48" s="67">
        <f t="shared" si="0"/>
        <v>0</v>
      </c>
      <c r="J48" s="67"/>
      <c r="K48" s="150"/>
      <c r="L48" s="69">
        <f t="shared" si="1"/>
        <v>0</v>
      </c>
      <c r="M48" s="150"/>
      <c r="N48" s="69">
        <f t="shared" si="2"/>
        <v>0</v>
      </c>
      <c r="O48" s="69">
        <f t="shared" si="3"/>
        <v>0</v>
      </c>
      <c r="P48" s="4"/>
    </row>
    <row r="49" spans="2:17">
      <c r="B49" s="9" t="str">
        <f t="shared" si="6"/>
        <v/>
      </c>
      <c r="C49" s="64">
        <f>IF(D11="","-",+C48+1)</f>
        <v>2040</v>
      </c>
      <c r="D49" s="70">
        <f>IF(F48+SUM(E$17:E48)=D$10,F48,D$10-SUM(E$17:E48))</f>
        <v>1218140.1135516614</v>
      </c>
      <c r="E49" s="71">
        <f>IF(+I14&lt;F48,I14,D49)</f>
        <v>101822</v>
      </c>
      <c r="F49" s="70">
        <f t="shared" ref="F49:F72" si="26">+D49-E49</f>
        <v>1116318.1135516614</v>
      </c>
      <c r="G49" s="72">
        <f t="shared" si="24"/>
        <v>241337.54792591251</v>
      </c>
      <c r="H49" s="53">
        <f t="shared" si="25"/>
        <v>241337.54792591251</v>
      </c>
      <c r="I49" s="67">
        <f t="shared" ref="I49:I72" si="27">H49-G49</f>
        <v>0</v>
      </c>
      <c r="J49" s="67"/>
      <c r="K49" s="150"/>
      <c r="L49" s="69">
        <f t="shared" ref="L49:L72" si="28">IF(K49&lt;&gt;0,+G49-K49,0)</f>
        <v>0</v>
      </c>
      <c r="M49" s="150"/>
      <c r="N49" s="69">
        <f t="shared" ref="N49:N72" si="29">IF(M49&lt;&gt;0,+H49-M49,0)</f>
        <v>0</v>
      </c>
      <c r="O49" s="69">
        <f t="shared" ref="O49:O72" si="30">+N49-L49</f>
        <v>0</v>
      </c>
      <c r="P49" s="4"/>
    </row>
    <row r="50" spans="2:17">
      <c r="B50" s="9" t="str">
        <f t="shared" si="6"/>
        <v/>
      </c>
      <c r="C50" s="64">
        <f>IF(D11="","-",+C49+1)</f>
        <v>2041</v>
      </c>
      <c r="D50" s="70">
        <f>IF(F49+SUM(E$17:E49)=D$10,F49,D$10-SUM(E$17:E49))</f>
        <v>1116318.1135516614</v>
      </c>
      <c r="E50" s="71">
        <f>IF(+I14&lt;F49,I14,D50)</f>
        <v>101822</v>
      </c>
      <c r="F50" s="70">
        <f t="shared" si="26"/>
        <v>1014496.1135516614</v>
      </c>
      <c r="G50" s="72">
        <f t="shared" si="24"/>
        <v>229167.05632663533</v>
      </c>
      <c r="H50" s="53">
        <f t="shared" si="25"/>
        <v>229167.05632663533</v>
      </c>
      <c r="I50" s="67">
        <f t="shared" si="27"/>
        <v>0</v>
      </c>
      <c r="J50" s="67"/>
      <c r="K50" s="150"/>
      <c r="L50" s="69">
        <f t="shared" si="28"/>
        <v>0</v>
      </c>
      <c r="M50" s="150"/>
      <c r="N50" s="69">
        <f t="shared" si="29"/>
        <v>0</v>
      </c>
      <c r="O50" s="69">
        <f t="shared" si="30"/>
        <v>0</v>
      </c>
      <c r="P50" s="4"/>
    </row>
    <row r="51" spans="2:17">
      <c r="B51" s="9" t="str">
        <f t="shared" si="6"/>
        <v/>
      </c>
      <c r="C51" s="64">
        <f>IF(D11="","-",+C50+1)</f>
        <v>2042</v>
      </c>
      <c r="D51" s="70">
        <f>IF(F50+SUM(E$17:E50)=D$10,F50,D$10-SUM(E$17:E50))</f>
        <v>1014496.1135516614</v>
      </c>
      <c r="E51" s="71">
        <f>IF(+I14&lt;F50,I14,D51)</f>
        <v>101822</v>
      </c>
      <c r="F51" s="70">
        <f t="shared" si="26"/>
        <v>912674.11355166137</v>
      </c>
      <c r="G51" s="72">
        <f t="shared" si="24"/>
        <v>216996.56472735811</v>
      </c>
      <c r="H51" s="53">
        <f t="shared" si="25"/>
        <v>216996.56472735811</v>
      </c>
      <c r="I51" s="67">
        <f t="shared" si="27"/>
        <v>0</v>
      </c>
      <c r="J51" s="67"/>
      <c r="K51" s="150"/>
      <c r="L51" s="69">
        <f t="shared" si="28"/>
        <v>0</v>
      </c>
      <c r="M51" s="150"/>
      <c r="N51" s="69">
        <f t="shared" si="29"/>
        <v>0</v>
      </c>
      <c r="O51" s="69">
        <f t="shared" si="30"/>
        <v>0</v>
      </c>
      <c r="P51" s="4"/>
    </row>
    <row r="52" spans="2:17">
      <c r="B52" s="9" t="str">
        <f t="shared" si="6"/>
        <v/>
      </c>
      <c r="C52" s="64">
        <f>IF(D11="","-",+C51+1)</f>
        <v>2043</v>
      </c>
      <c r="D52" s="70">
        <f>IF(F51+SUM(E$17:E51)=D$10,F51,D$10-SUM(E$17:E51))</f>
        <v>912674.11355166137</v>
      </c>
      <c r="E52" s="71">
        <f>IF(+I14&lt;F51,I14,D52)</f>
        <v>101822</v>
      </c>
      <c r="F52" s="70">
        <f t="shared" si="26"/>
        <v>810852.11355166137</v>
      </c>
      <c r="G52" s="72">
        <f t="shared" si="24"/>
        <v>204826.07312808093</v>
      </c>
      <c r="H52" s="53">
        <f t="shared" si="25"/>
        <v>204826.07312808093</v>
      </c>
      <c r="I52" s="67">
        <f t="shared" si="27"/>
        <v>0</v>
      </c>
      <c r="J52" s="67"/>
      <c r="K52" s="150"/>
      <c r="L52" s="69">
        <f t="shared" si="28"/>
        <v>0</v>
      </c>
      <c r="M52" s="150"/>
      <c r="N52" s="69">
        <f t="shared" si="29"/>
        <v>0</v>
      </c>
      <c r="O52" s="69">
        <f t="shared" si="30"/>
        <v>0</v>
      </c>
      <c r="P52" s="4"/>
    </row>
    <row r="53" spans="2:17">
      <c r="B53" s="9" t="str">
        <f t="shared" si="6"/>
        <v/>
      </c>
      <c r="C53" s="64">
        <f>IF(D11="","-",+C52+1)</f>
        <v>2044</v>
      </c>
      <c r="D53" s="70">
        <f>IF(F52+SUM(E$17:E52)=D$10,F52,D$10-SUM(E$17:E52))</f>
        <v>810852.11355166137</v>
      </c>
      <c r="E53" s="71">
        <f>IF(+I14&lt;F52,I14,D53)</f>
        <v>101822</v>
      </c>
      <c r="F53" s="70">
        <f t="shared" si="26"/>
        <v>709030.11355166137</v>
      </c>
      <c r="G53" s="72">
        <f t="shared" si="24"/>
        <v>192655.58152880374</v>
      </c>
      <c r="H53" s="53">
        <f t="shared" si="25"/>
        <v>192655.58152880374</v>
      </c>
      <c r="I53" s="67">
        <f t="shared" si="27"/>
        <v>0</v>
      </c>
      <c r="J53" s="67"/>
      <c r="K53" s="150"/>
      <c r="L53" s="69">
        <f t="shared" si="28"/>
        <v>0</v>
      </c>
      <c r="M53" s="150"/>
      <c r="N53" s="69">
        <f t="shared" si="29"/>
        <v>0</v>
      </c>
      <c r="O53" s="69">
        <f t="shared" si="30"/>
        <v>0</v>
      </c>
      <c r="P53" s="4"/>
    </row>
    <row r="54" spans="2:17">
      <c r="B54" s="9" t="str">
        <f t="shared" si="6"/>
        <v/>
      </c>
      <c r="C54" s="64">
        <f>IF(D11="","-",+C53+1)</f>
        <v>2045</v>
      </c>
      <c r="D54" s="70">
        <f>IF(F53+SUM(E$17:E53)=D$10,F53,D$10-SUM(E$17:E53))</f>
        <v>709030.11355166137</v>
      </c>
      <c r="E54" s="71">
        <f>IF(+I14&lt;F53,I14,D54)</f>
        <v>101822</v>
      </c>
      <c r="F54" s="70">
        <f t="shared" si="26"/>
        <v>607208.11355166137</v>
      </c>
      <c r="G54" s="72">
        <f t="shared" si="24"/>
        <v>180485.08992952653</v>
      </c>
      <c r="H54" s="53">
        <f t="shared" si="25"/>
        <v>180485.08992952653</v>
      </c>
      <c r="I54" s="67">
        <f t="shared" si="27"/>
        <v>0</v>
      </c>
      <c r="J54" s="67"/>
      <c r="K54" s="150"/>
      <c r="L54" s="69">
        <f t="shared" si="28"/>
        <v>0</v>
      </c>
      <c r="M54" s="150"/>
      <c r="N54" s="69">
        <f t="shared" si="29"/>
        <v>0</v>
      </c>
      <c r="O54" s="69">
        <f t="shared" si="30"/>
        <v>0</v>
      </c>
      <c r="P54" s="4"/>
    </row>
    <row r="55" spans="2:17">
      <c r="B55" s="9" t="str">
        <f t="shared" si="6"/>
        <v/>
      </c>
      <c r="C55" s="64">
        <f>IF(D11="","-",+C54+1)</f>
        <v>2046</v>
      </c>
      <c r="D55" s="70">
        <f>IF(F54+SUM(E$17:E54)=D$10,F54,D$10-SUM(E$17:E54))</f>
        <v>607208.11355166137</v>
      </c>
      <c r="E55" s="71">
        <f>IF(+I14&lt;F54,I14,D55)</f>
        <v>101822</v>
      </c>
      <c r="F55" s="70">
        <f t="shared" si="26"/>
        <v>505386.11355166137</v>
      </c>
      <c r="G55" s="72">
        <f t="shared" si="24"/>
        <v>168314.59833024934</v>
      </c>
      <c r="H55" s="53">
        <f t="shared" si="25"/>
        <v>168314.59833024934</v>
      </c>
      <c r="I55" s="67">
        <f t="shared" si="27"/>
        <v>0</v>
      </c>
      <c r="J55" s="67"/>
      <c r="K55" s="150"/>
      <c r="L55" s="69">
        <f t="shared" si="28"/>
        <v>0</v>
      </c>
      <c r="M55" s="150"/>
      <c r="N55" s="69">
        <f t="shared" si="29"/>
        <v>0</v>
      </c>
      <c r="O55" s="69">
        <f t="shared" si="30"/>
        <v>0</v>
      </c>
      <c r="P55" s="4"/>
    </row>
    <row r="56" spans="2:17">
      <c r="B56" s="9" t="str">
        <f t="shared" si="6"/>
        <v/>
      </c>
      <c r="C56" s="64">
        <f>IF(D11="","-",+C55+1)</f>
        <v>2047</v>
      </c>
      <c r="D56" s="70">
        <f>IF(F55+SUM(E$17:E55)=D$10,F55,D$10-SUM(E$17:E55))</f>
        <v>505386.11355166137</v>
      </c>
      <c r="E56" s="71">
        <f>IF(+I14&lt;F55,I14,D56)</f>
        <v>101822</v>
      </c>
      <c r="F56" s="70">
        <f t="shared" si="26"/>
        <v>403564.11355166137</v>
      </c>
      <c r="G56" s="72">
        <f t="shared" si="24"/>
        <v>156144.10673097213</v>
      </c>
      <c r="H56" s="53">
        <f t="shared" si="25"/>
        <v>156144.10673097213</v>
      </c>
      <c r="I56" s="67">
        <f t="shared" si="27"/>
        <v>0</v>
      </c>
      <c r="J56" s="67"/>
      <c r="K56" s="150"/>
      <c r="L56" s="69">
        <f t="shared" si="28"/>
        <v>0</v>
      </c>
      <c r="M56" s="150"/>
      <c r="N56" s="69">
        <f t="shared" si="29"/>
        <v>0</v>
      </c>
      <c r="O56" s="69">
        <f t="shared" si="30"/>
        <v>0</v>
      </c>
      <c r="P56" s="4"/>
    </row>
    <row r="57" spans="2:17">
      <c r="B57" s="9" t="str">
        <f t="shared" si="6"/>
        <v/>
      </c>
      <c r="C57" s="64">
        <f>IF(D11="","-",+C56+1)</f>
        <v>2048</v>
      </c>
      <c r="D57" s="70">
        <f>IF(F56+SUM(E$17:E56)=D$10,F56,D$10-SUM(E$17:E56))</f>
        <v>403564.11355166137</v>
      </c>
      <c r="E57" s="71">
        <f>IF(+I14&lt;F56,I14,D57)</f>
        <v>101822</v>
      </c>
      <c r="F57" s="70">
        <f t="shared" si="26"/>
        <v>301742.11355166137</v>
      </c>
      <c r="G57" s="72">
        <f t="shared" si="24"/>
        <v>143973.61513169494</v>
      </c>
      <c r="H57" s="53">
        <f t="shared" si="25"/>
        <v>143973.61513169494</v>
      </c>
      <c r="I57" s="67">
        <f t="shared" si="27"/>
        <v>0</v>
      </c>
      <c r="J57" s="67"/>
      <c r="K57" s="150"/>
      <c r="L57" s="69">
        <f t="shared" si="28"/>
        <v>0</v>
      </c>
      <c r="M57" s="150"/>
      <c r="N57" s="69">
        <f t="shared" si="29"/>
        <v>0</v>
      </c>
      <c r="O57" s="69">
        <f t="shared" si="30"/>
        <v>0</v>
      </c>
      <c r="P57" s="4"/>
    </row>
    <row r="58" spans="2:17">
      <c r="B58" s="9" t="str">
        <f t="shared" si="6"/>
        <v/>
      </c>
      <c r="C58" s="64">
        <f>IF(D11="","-",+C57+1)</f>
        <v>2049</v>
      </c>
      <c r="D58" s="70">
        <f>IF(F57+SUM(E$17:E57)=D$10,F57,D$10-SUM(E$17:E57))</f>
        <v>301742.11355166137</v>
      </c>
      <c r="E58" s="71">
        <f>IF(+I14&lt;F57,I14,D58)</f>
        <v>101822</v>
      </c>
      <c r="F58" s="70">
        <f t="shared" si="26"/>
        <v>199920.11355166137</v>
      </c>
      <c r="G58" s="72">
        <f t="shared" si="24"/>
        <v>131803.12353241775</v>
      </c>
      <c r="H58" s="53">
        <f t="shared" si="25"/>
        <v>131803.12353241775</v>
      </c>
      <c r="I58" s="67">
        <f t="shared" si="27"/>
        <v>0</v>
      </c>
      <c r="J58" s="67"/>
      <c r="K58" s="150"/>
      <c r="L58" s="69">
        <f t="shared" si="28"/>
        <v>0</v>
      </c>
      <c r="M58" s="150"/>
      <c r="N58" s="69">
        <f t="shared" si="29"/>
        <v>0</v>
      </c>
      <c r="O58" s="69">
        <f t="shared" si="30"/>
        <v>0</v>
      </c>
      <c r="P58" s="4"/>
      <c r="Q58" t="str">
        <f>IF(ROUND(Q57,0)=ROUND(SUM(Q18:Q56),0),"","Error -- check allocations above).")</f>
        <v/>
      </c>
    </row>
    <row r="59" spans="2:17">
      <c r="B59" s="9" t="str">
        <f t="shared" si="6"/>
        <v/>
      </c>
      <c r="C59" s="64">
        <f>IF(D11="","-",+C58+1)</f>
        <v>2050</v>
      </c>
      <c r="D59" s="70">
        <f>IF(F58+SUM(E$17:E58)=D$10,F58,D$10-SUM(E$17:E58))</f>
        <v>199920.11355166137</v>
      </c>
      <c r="E59" s="71">
        <f>IF(+I14&lt;F58,I14,D59)</f>
        <v>101822</v>
      </c>
      <c r="F59" s="70">
        <f t="shared" si="26"/>
        <v>98098.113551661372</v>
      </c>
      <c r="G59" s="72">
        <f t="shared" si="24"/>
        <v>119632.63193314054</v>
      </c>
      <c r="H59" s="53">
        <f t="shared" si="25"/>
        <v>119632.63193314054</v>
      </c>
      <c r="I59" s="67">
        <f t="shared" si="27"/>
        <v>0</v>
      </c>
      <c r="J59" s="67"/>
      <c r="K59" s="150"/>
      <c r="L59" s="69">
        <f t="shared" si="28"/>
        <v>0</v>
      </c>
      <c r="M59" s="150"/>
      <c r="N59" s="69">
        <f t="shared" si="29"/>
        <v>0</v>
      </c>
      <c r="O59" s="69">
        <f t="shared" si="30"/>
        <v>0</v>
      </c>
      <c r="P59" s="4"/>
    </row>
    <row r="60" spans="2:17">
      <c r="B60" s="9" t="str">
        <f t="shared" si="6"/>
        <v/>
      </c>
      <c r="C60" s="64">
        <f>IF(D11="","-",+C59+1)</f>
        <v>2051</v>
      </c>
      <c r="D60" s="70">
        <f>IF(F59+SUM(E$17:E59)=D$10,F59,D$10-SUM(E$17:E59))</f>
        <v>98098.113551661372</v>
      </c>
      <c r="E60" s="71">
        <f>IF(+I14&lt;F59,I14,D60)</f>
        <v>98098.113551661372</v>
      </c>
      <c r="F60" s="70">
        <f t="shared" si="26"/>
        <v>0</v>
      </c>
      <c r="G60" s="72">
        <f t="shared" si="24"/>
        <v>103960.80661841235</v>
      </c>
      <c r="H60" s="53">
        <f t="shared" si="25"/>
        <v>103960.80661841235</v>
      </c>
      <c r="I60" s="67">
        <f t="shared" si="27"/>
        <v>0</v>
      </c>
      <c r="J60" s="67"/>
      <c r="K60" s="150"/>
      <c r="L60" s="69">
        <f t="shared" si="28"/>
        <v>0</v>
      </c>
      <c r="M60" s="150"/>
      <c r="N60" s="69">
        <f t="shared" si="29"/>
        <v>0</v>
      </c>
      <c r="O60" s="69">
        <f t="shared" si="30"/>
        <v>0</v>
      </c>
      <c r="P60" s="4"/>
    </row>
    <row r="61" spans="2:17">
      <c r="B61" s="9" t="str">
        <f t="shared" si="6"/>
        <v/>
      </c>
      <c r="C61" s="64">
        <f>IF(D11="","-",+C60+1)</f>
        <v>2052</v>
      </c>
      <c r="D61" s="70">
        <f>IF(F60+SUM(E$17:E60)=D$10,F60,D$10-SUM(E$17:E60))</f>
        <v>0</v>
      </c>
      <c r="E61" s="71">
        <f>IF(+I14&lt;F60,I14,D61)</f>
        <v>0</v>
      </c>
      <c r="F61" s="70">
        <f t="shared" si="26"/>
        <v>0</v>
      </c>
      <c r="G61" s="73">
        <f t="shared" si="24"/>
        <v>0</v>
      </c>
      <c r="H61" s="53">
        <f t="shared" si="25"/>
        <v>0</v>
      </c>
      <c r="I61" s="67">
        <f t="shared" si="27"/>
        <v>0</v>
      </c>
      <c r="J61" s="67"/>
      <c r="K61" s="150"/>
      <c r="L61" s="69">
        <f t="shared" si="28"/>
        <v>0</v>
      </c>
      <c r="M61" s="150"/>
      <c r="N61" s="69">
        <f t="shared" si="29"/>
        <v>0</v>
      </c>
      <c r="O61" s="69">
        <f t="shared" si="30"/>
        <v>0</v>
      </c>
      <c r="P61" s="4"/>
    </row>
    <row r="62" spans="2:17">
      <c r="B62" s="9" t="str">
        <f t="shared" si="6"/>
        <v/>
      </c>
      <c r="C62" s="64">
        <f>IF(D11="","-",+C61+1)</f>
        <v>2053</v>
      </c>
      <c r="D62" s="70">
        <f>IF(F61+SUM(E$17:E61)=D$10,F61,D$10-SUM(E$17:E61))</f>
        <v>0</v>
      </c>
      <c r="E62" s="71">
        <f>IF(+I14&lt;F61,I14,D62)</f>
        <v>0</v>
      </c>
      <c r="F62" s="70">
        <f t="shared" si="26"/>
        <v>0</v>
      </c>
      <c r="G62" s="73">
        <f t="shared" si="24"/>
        <v>0</v>
      </c>
      <c r="H62" s="53">
        <f t="shared" si="25"/>
        <v>0</v>
      </c>
      <c r="I62" s="67">
        <f t="shared" si="27"/>
        <v>0</v>
      </c>
      <c r="J62" s="67"/>
      <c r="K62" s="150"/>
      <c r="L62" s="69">
        <f t="shared" si="28"/>
        <v>0</v>
      </c>
      <c r="M62" s="150"/>
      <c r="N62" s="69">
        <f t="shared" si="29"/>
        <v>0</v>
      </c>
      <c r="O62" s="69">
        <f t="shared" si="30"/>
        <v>0</v>
      </c>
      <c r="P62" s="4"/>
    </row>
    <row r="63" spans="2:17">
      <c r="B63" s="9" t="str">
        <f t="shared" si="6"/>
        <v/>
      </c>
      <c r="C63" s="64">
        <f>IF(D11="","-",+C62+1)</f>
        <v>2054</v>
      </c>
      <c r="D63" s="70">
        <f>IF(F62+SUM(E$17:E62)=D$10,F62,D$10-SUM(E$17:E62))</f>
        <v>0</v>
      </c>
      <c r="E63" s="71">
        <f>IF(+I14&lt;F62,I14,D63)</f>
        <v>0</v>
      </c>
      <c r="F63" s="70">
        <f t="shared" si="26"/>
        <v>0</v>
      </c>
      <c r="G63" s="73">
        <f t="shared" si="24"/>
        <v>0</v>
      </c>
      <c r="H63" s="53">
        <f t="shared" si="25"/>
        <v>0</v>
      </c>
      <c r="I63" s="67">
        <f t="shared" si="27"/>
        <v>0</v>
      </c>
      <c r="J63" s="67"/>
      <c r="K63" s="150"/>
      <c r="L63" s="69">
        <f t="shared" si="28"/>
        <v>0</v>
      </c>
      <c r="M63" s="150"/>
      <c r="N63" s="69">
        <f t="shared" si="29"/>
        <v>0</v>
      </c>
      <c r="O63" s="69">
        <f t="shared" si="30"/>
        <v>0</v>
      </c>
      <c r="P63" s="4"/>
    </row>
    <row r="64" spans="2:17">
      <c r="B64" s="9" t="str">
        <f t="shared" si="6"/>
        <v/>
      </c>
      <c r="C64" s="64">
        <f>IF(D11="","-",+C63+1)</f>
        <v>2055</v>
      </c>
      <c r="D64" s="70">
        <f>IF(F63+SUM(E$17:E63)=D$10,F63,D$10-SUM(E$17:E63))</f>
        <v>0</v>
      </c>
      <c r="E64" s="71">
        <f>IF(+I14&lt;F63,I14,D64)</f>
        <v>0</v>
      </c>
      <c r="F64" s="70">
        <f t="shared" si="26"/>
        <v>0</v>
      </c>
      <c r="G64" s="73">
        <f t="shared" si="24"/>
        <v>0</v>
      </c>
      <c r="H64" s="53">
        <f t="shared" si="25"/>
        <v>0</v>
      </c>
      <c r="I64" s="67">
        <f t="shared" si="27"/>
        <v>0</v>
      </c>
      <c r="J64" s="67"/>
      <c r="K64" s="150"/>
      <c r="L64" s="69">
        <f t="shared" si="28"/>
        <v>0</v>
      </c>
      <c r="M64" s="150"/>
      <c r="N64" s="69">
        <f t="shared" si="29"/>
        <v>0</v>
      </c>
      <c r="O64" s="69">
        <f t="shared" si="30"/>
        <v>0</v>
      </c>
      <c r="P64" s="4"/>
    </row>
    <row r="65" spans="1:16">
      <c r="B65" s="9" t="str">
        <f t="shared" si="6"/>
        <v/>
      </c>
      <c r="C65" s="64">
        <f>IF(D11="","-",+C64+1)</f>
        <v>2056</v>
      </c>
      <c r="D65" s="70">
        <f>IF(F64+SUM(E$17:E64)=D$10,F64,D$10-SUM(E$17:E64))</f>
        <v>0</v>
      </c>
      <c r="E65" s="71">
        <f>IF(+I14&lt;F64,I14,D65)</f>
        <v>0</v>
      </c>
      <c r="F65" s="70">
        <f t="shared" si="26"/>
        <v>0</v>
      </c>
      <c r="G65" s="73">
        <f t="shared" si="24"/>
        <v>0</v>
      </c>
      <c r="H65" s="53">
        <f t="shared" si="25"/>
        <v>0</v>
      </c>
      <c r="I65" s="67">
        <f t="shared" si="27"/>
        <v>0</v>
      </c>
      <c r="J65" s="67"/>
      <c r="K65" s="150"/>
      <c r="L65" s="69">
        <f t="shared" si="28"/>
        <v>0</v>
      </c>
      <c r="M65" s="150"/>
      <c r="N65" s="69">
        <f t="shared" si="29"/>
        <v>0</v>
      </c>
      <c r="O65" s="69">
        <f t="shared" si="30"/>
        <v>0</v>
      </c>
      <c r="P65" s="4"/>
    </row>
    <row r="66" spans="1:16">
      <c r="B66" s="9" t="str">
        <f t="shared" si="6"/>
        <v/>
      </c>
      <c r="C66" s="64">
        <f>IF(D11="","-",+C65+1)</f>
        <v>2057</v>
      </c>
      <c r="D66" s="70">
        <f>IF(F65+SUM(E$17:E65)=D$10,F65,D$10-SUM(E$17:E65))</f>
        <v>0</v>
      </c>
      <c r="E66" s="71">
        <f>IF(+I14&lt;F65,I14,D66)</f>
        <v>0</v>
      </c>
      <c r="F66" s="70">
        <f t="shared" si="26"/>
        <v>0</v>
      </c>
      <c r="G66" s="73">
        <f t="shared" si="24"/>
        <v>0</v>
      </c>
      <c r="H66" s="53">
        <f t="shared" si="25"/>
        <v>0</v>
      </c>
      <c r="I66" s="67">
        <f t="shared" si="27"/>
        <v>0</v>
      </c>
      <c r="J66" s="67"/>
      <c r="K66" s="150"/>
      <c r="L66" s="69">
        <f t="shared" si="28"/>
        <v>0</v>
      </c>
      <c r="M66" s="150"/>
      <c r="N66" s="69">
        <f t="shared" si="29"/>
        <v>0</v>
      </c>
      <c r="O66" s="69">
        <f t="shared" si="30"/>
        <v>0</v>
      </c>
      <c r="P66" s="4"/>
    </row>
    <row r="67" spans="1:16">
      <c r="B67" s="9" t="str">
        <f t="shared" si="6"/>
        <v/>
      </c>
      <c r="C67" s="64">
        <f>IF(D11="","-",+C66+1)</f>
        <v>2058</v>
      </c>
      <c r="D67" s="70">
        <f>IF(F66+SUM(E$17:E66)=D$10,F66,D$10-SUM(E$17:E66))</f>
        <v>0</v>
      </c>
      <c r="E67" s="71">
        <f>IF(+I14&lt;F66,I14,D67)</f>
        <v>0</v>
      </c>
      <c r="F67" s="70">
        <f t="shared" si="26"/>
        <v>0</v>
      </c>
      <c r="G67" s="73">
        <f t="shared" si="24"/>
        <v>0</v>
      </c>
      <c r="H67" s="53">
        <f t="shared" si="25"/>
        <v>0</v>
      </c>
      <c r="I67" s="67">
        <f t="shared" si="27"/>
        <v>0</v>
      </c>
      <c r="J67" s="67"/>
      <c r="K67" s="150"/>
      <c r="L67" s="69">
        <f t="shared" si="28"/>
        <v>0</v>
      </c>
      <c r="M67" s="150"/>
      <c r="N67" s="69">
        <f t="shared" si="29"/>
        <v>0</v>
      </c>
      <c r="O67" s="69">
        <f t="shared" si="30"/>
        <v>0</v>
      </c>
      <c r="P67" s="4"/>
    </row>
    <row r="68" spans="1:16">
      <c r="B68" s="9" t="str">
        <f t="shared" si="6"/>
        <v/>
      </c>
      <c r="C68" s="64">
        <f>IF(D11="","-",+C67+1)</f>
        <v>2059</v>
      </c>
      <c r="D68" s="70">
        <f>IF(F67+SUM(E$17:E67)=D$10,F67,D$10-SUM(E$17:E67))</f>
        <v>0</v>
      </c>
      <c r="E68" s="71">
        <f>IF(+I14&lt;F67,I14,D68)</f>
        <v>0</v>
      </c>
      <c r="F68" s="70">
        <f t="shared" si="26"/>
        <v>0</v>
      </c>
      <c r="G68" s="73">
        <f t="shared" si="24"/>
        <v>0</v>
      </c>
      <c r="H68" s="53">
        <f t="shared" si="25"/>
        <v>0</v>
      </c>
      <c r="I68" s="67">
        <f t="shared" si="27"/>
        <v>0</v>
      </c>
      <c r="J68" s="67"/>
      <c r="K68" s="150"/>
      <c r="L68" s="69">
        <f t="shared" si="28"/>
        <v>0</v>
      </c>
      <c r="M68" s="150"/>
      <c r="N68" s="69">
        <f t="shared" si="29"/>
        <v>0</v>
      </c>
      <c r="O68" s="69">
        <f t="shared" si="30"/>
        <v>0</v>
      </c>
      <c r="P68" s="4"/>
    </row>
    <row r="69" spans="1:16">
      <c r="B69" s="9" t="str">
        <f t="shared" si="6"/>
        <v/>
      </c>
      <c r="C69" s="64">
        <f>IF(D11="","-",+C68+1)</f>
        <v>2060</v>
      </c>
      <c r="D69" s="70">
        <f>IF(F68+SUM(E$17:E68)=D$10,F68,D$10-SUM(E$17:E68))</f>
        <v>0</v>
      </c>
      <c r="E69" s="71">
        <f>IF(+I14&lt;F68,I14,D69)</f>
        <v>0</v>
      </c>
      <c r="F69" s="70">
        <f t="shared" si="26"/>
        <v>0</v>
      </c>
      <c r="G69" s="73">
        <f t="shared" si="24"/>
        <v>0</v>
      </c>
      <c r="H69" s="53">
        <f t="shared" si="25"/>
        <v>0</v>
      </c>
      <c r="I69" s="67">
        <f t="shared" si="27"/>
        <v>0</v>
      </c>
      <c r="J69" s="67"/>
      <c r="K69" s="150"/>
      <c r="L69" s="69">
        <f t="shared" si="28"/>
        <v>0</v>
      </c>
      <c r="M69" s="150"/>
      <c r="N69" s="69">
        <f t="shared" si="29"/>
        <v>0</v>
      </c>
      <c r="O69" s="69">
        <f t="shared" si="30"/>
        <v>0</v>
      </c>
      <c r="P69" s="4"/>
    </row>
    <row r="70" spans="1:16">
      <c r="B70" s="9" t="str">
        <f t="shared" si="6"/>
        <v/>
      </c>
      <c r="C70" s="64">
        <f>IF(D11="","-",+C69+1)</f>
        <v>2061</v>
      </c>
      <c r="D70" s="70">
        <f>IF(F69+SUM(E$17:E69)=D$10,F69,D$10-SUM(E$17:E69))</f>
        <v>0</v>
      </c>
      <c r="E70" s="71">
        <f>IF(+I14&lt;F69,I14,D70)</f>
        <v>0</v>
      </c>
      <c r="F70" s="70">
        <f t="shared" si="26"/>
        <v>0</v>
      </c>
      <c r="G70" s="73">
        <f t="shared" si="24"/>
        <v>0</v>
      </c>
      <c r="H70" s="53">
        <f t="shared" si="25"/>
        <v>0</v>
      </c>
      <c r="I70" s="67">
        <f t="shared" si="27"/>
        <v>0</v>
      </c>
      <c r="J70" s="67"/>
      <c r="K70" s="150"/>
      <c r="L70" s="69">
        <f t="shared" si="28"/>
        <v>0</v>
      </c>
      <c r="M70" s="150"/>
      <c r="N70" s="69">
        <f t="shared" si="29"/>
        <v>0</v>
      </c>
      <c r="O70" s="69">
        <f t="shared" si="30"/>
        <v>0</v>
      </c>
      <c r="P70" s="4"/>
    </row>
    <row r="71" spans="1:16">
      <c r="B71" s="9" t="str">
        <f t="shared" si="6"/>
        <v/>
      </c>
      <c r="C71" s="64">
        <f>IF(D11="","-",+C70+1)</f>
        <v>2062</v>
      </c>
      <c r="D71" s="70">
        <f>IF(F70+SUM(E$17:E70)=D$10,F70,D$10-SUM(E$17:E70))</f>
        <v>0</v>
      </c>
      <c r="E71" s="71">
        <f>IF(+I14&lt;F70,I14,D71)</f>
        <v>0</v>
      </c>
      <c r="F71" s="70">
        <f t="shared" si="26"/>
        <v>0</v>
      </c>
      <c r="G71" s="73">
        <f t="shared" si="24"/>
        <v>0</v>
      </c>
      <c r="H71" s="53">
        <f t="shared" si="25"/>
        <v>0</v>
      </c>
      <c r="I71" s="67">
        <f t="shared" si="27"/>
        <v>0</v>
      </c>
      <c r="J71" s="67"/>
      <c r="K71" s="150"/>
      <c r="L71" s="69">
        <f t="shared" si="28"/>
        <v>0</v>
      </c>
      <c r="M71" s="150"/>
      <c r="N71" s="69">
        <f t="shared" si="29"/>
        <v>0</v>
      </c>
      <c r="O71" s="69">
        <f t="shared" si="30"/>
        <v>0</v>
      </c>
      <c r="P71" s="4"/>
    </row>
    <row r="72" spans="1:16" ht="13.5" thickBot="1">
      <c r="B72" s="9" t="str">
        <f t="shared" si="6"/>
        <v/>
      </c>
      <c r="C72" s="74">
        <f>IF(D11="","-",+C71+1)</f>
        <v>2063</v>
      </c>
      <c r="D72" s="75">
        <f>IF(F71+SUM(E$17:E71)=D$10,F71,D$10-SUM(E$17:E71))</f>
        <v>0</v>
      </c>
      <c r="E72" s="76">
        <f>IF(+I14&lt;F71,I14,D72)</f>
        <v>0</v>
      </c>
      <c r="F72" s="75">
        <f t="shared" si="26"/>
        <v>0</v>
      </c>
      <c r="G72" s="77">
        <f t="shared" si="24"/>
        <v>0</v>
      </c>
      <c r="H72" s="35">
        <f t="shared" si="25"/>
        <v>0</v>
      </c>
      <c r="I72" s="78">
        <f t="shared" si="27"/>
        <v>0</v>
      </c>
      <c r="J72" s="67"/>
      <c r="K72" s="151"/>
      <c r="L72" s="79">
        <f t="shared" si="28"/>
        <v>0</v>
      </c>
      <c r="M72" s="151"/>
      <c r="N72" s="79">
        <f t="shared" si="29"/>
        <v>0</v>
      </c>
      <c r="O72" s="79">
        <f t="shared" si="30"/>
        <v>0</v>
      </c>
      <c r="P72" s="4"/>
    </row>
    <row r="73" spans="1:16">
      <c r="C73" s="65" t="s">
        <v>78</v>
      </c>
      <c r="D73" s="22"/>
      <c r="E73" s="22">
        <f>SUM(E17:E72)</f>
        <v>4480168</v>
      </c>
      <c r="F73" s="22"/>
      <c r="G73" s="22">
        <f>SUM(G17:G72)</f>
        <v>16472510.999115778</v>
      </c>
      <c r="H73" s="22">
        <f>SUM(H17:H72)</f>
        <v>16472510.999115778</v>
      </c>
      <c r="I73" s="22">
        <f>SUM(I17:I72)</f>
        <v>0</v>
      </c>
      <c r="J73" s="22"/>
      <c r="K73" s="22"/>
      <c r="L73" s="22"/>
      <c r="M73" s="22"/>
      <c r="N73" s="22"/>
      <c r="O73" s="4"/>
      <c r="P73" s="4"/>
    </row>
    <row r="74" spans="1:16">
      <c r="D74" s="2"/>
      <c r="E74" s="1"/>
      <c r="F74" s="1"/>
      <c r="G74" s="1"/>
      <c r="H74" s="3"/>
      <c r="I74" s="3"/>
      <c r="J74" s="22"/>
      <c r="K74" s="3"/>
      <c r="L74" s="3"/>
      <c r="M74" s="3"/>
      <c r="N74" s="3"/>
      <c r="O74" s="1"/>
      <c r="P74" s="1"/>
    </row>
    <row r="75" spans="1:16">
      <c r="C75" s="80" t="s">
        <v>96</v>
      </c>
      <c r="D75" s="2"/>
      <c r="E75" s="1"/>
      <c r="F75" s="1"/>
      <c r="G75" s="1"/>
      <c r="H75" s="3"/>
      <c r="I75" s="3"/>
      <c r="J75" s="22"/>
      <c r="K75" s="3"/>
      <c r="L75" s="3"/>
      <c r="M75" s="3"/>
      <c r="N75" s="3"/>
      <c r="O75" s="1"/>
      <c r="P75" s="1"/>
    </row>
    <row r="76" spans="1:16">
      <c r="C76" s="32" t="s">
        <v>79</v>
      </c>
      <c r="D76" s="2"/>
      <c r="E76" s="1"/>
      <c r="F76" s="1"/>
      <c r="G76" s="1"/>
      <c r="H76" s="3"/>
      <c r="I76" s="3"/>
      <c r="J76" s="22"/>
      <c r="K76" s="3"/>
      <c r="L76" s="3"/>
      <c r="M76" s="3"/>
      <c r="N76" s="3"/>
      <c r="O76" s="4"/>
      <c r="P76" s="4"/>
    </row>
    <row r="77" spans="1:16" ht="18">
      <c r="C77" s="32" t="s">
        <v>80</v>
      </c>
      <c r="D77" s="65"/>
      <c r="E77" s="65"/>
      <c r="F77" s="65"/>
      <c r="G77" s="22"/>
      <c r="H77" s="22"/>
      <c r="I77" s="81"/>
      <c r="J77" s="81"/>
      <c r="K77" s="81"/>
      <c r="L77" s="81"/>
      <c r="M77" s="81"/>
      <c r="N77" s="81"/>
      <c r="O77" s="21"/>
      <c r="P77" s="4"/>
    </row>
    <row r="78" spans="1:16">
      <c r="C78" s="32"/>
      <c r="D78" s="65"/>
      <c r="E78" s="65"/>
      <c r="F78" s="65"/>
      <c r="G78" s="22"/>
      <c r="H78" s="22"/>
      <c r="I78" s="81"/>
      <c r="J78" s="81"/>
      <c r="K78" s="81"/>
      <c r="L78" s="81"/>
      <c r="M78" s="81"/>
      <c r="N78" s="81"/>
      <c r="O78" s="4"/>
      <c r="P78" s="1"/>
    </row>
    <row r="79" spans="1:16" ht="15">
      <c r="A79" s="116"/>
      <c r="B79" s="1"/>
      <c r="C79" s="10"/>
      <c r="D79" s="2"/>
      <c r="E79" s="1"/>
      <c r="F79" s="18"/>
      <c r="G79" s="1"/>
      <c r="H79" s="3"/>
      <c r="I79" s="1"/>
      <c r="J79" s="4"/>
      <c r="K79" s="1"/>
      <c r="L79" s="1"/>
      <c r="M79" s="1"/>
      <c r="N79" s="1"/>
    </row>
    <row r="80" spans="1:16" ht="18">
      <c r="B80" s="1"/>
      <c r="C80" s="117"/>
      <c r="D80" s="2"/>
      <c r="E80" s="1"/>
      <c r="F80" s="18"/>
      <c r="G80" s="1"/>
      <c r="H80" s="3"/>
      <c r="I80" s="1"/>
      <c r="J80" s="4"/>
      <c r="K80" s="1"/>
      <c r="L80" s="1"/>
      <c r="M80" s="1"/>
      <c r="N80" s="1"/>
      <c r="P80" s="119" t="s">
        <v>130</v>
      </c>
    </row>
    <row r="81" spans="1:17">
      <c r="B81" s="1"/>
      <c r="C81" s="117"/>
      <c r="D81" s="2"/>
      <c r="E81" s="1"/>
      <c r="F81" s="18"/>
      <c r="G81" s="1"/>
      <c r="H81" s="3"/>
      <c r="I81" s="1"/>
      <c r="J81" s="4"/>
      <c r="K81" s="1"/>
      <c r="L81" s="1"/>
      <c r="M81" s="1"/>
      <c r="N81" s="1"/>
      <c r="O81" s="1"/>
      <c r="P81" s="1"/>
    </row>
    <row r="82" spans="1:17">
      <c r="B82" s="1"/>
      <c r="C82" s="10"/>
      <c r="D82" s="2"/>
      <c r="E82" s="1"/>
      <c r="F82" s="18"/>
      <c r="G82" s="1"/>
      <c r="H82" s="3"/>
      <c r="I82" s="1"/>
      <c r="J82" s="4"/>
      <c r="K82" s="1"/>
      <c r="L82" s="1"/>
      <c r="M82" s="1"/>
      <c r="N82" s="1"/>
      <c r="O82" s="1"/>
      <c r="P82" s="1"/>
      <c r="Q82" s="1"/>
    </row>
    <row r="83" spans="1:17" ht="20.25">
      <c r="A83" s="118" t="s">
        <v>134</v>
      </c>
      <c r="B83" s="1"/>
      <c r="C83" s="10"/>
      <c r="D83" s="2"/>
      <c r="E83" s="1"/>
      <c r="F83" s="15"/>
      <c r="G83" s="15"/>
      <c r="H83" s="1"/>
      <c r="I83" s="3"/>
      <c r="K83" s="7"/>
      <c r="L83" s="20"/>
      <c r="M83" s="20"/>
      <c r="P83" s="21" t="str">
        <f ca="1">P1</f>
        <v>SWEPCO Project 19 of 75</v>
      </c>
      <c r="Q83" s="1"/>
    </row>
    <row r="84" spans="1:17" ht="18">
      <c r="B84" s="1"/>
      <c r="C84" s="1"/>
      <c r="D84" s="2"/>
      <c r="E84" s="1"/>
      <c r="F84" s="1"/>
      <c r="G84" s="1"/>
      <c r="H84" s="1"/>
      <c r="I84" s="3"/>
      <c r="J84" s="1"/>
      <c r="K84" s="4"/>
      <c r="L84" s="1"/>
      <c r="M84" s="1"/>
      <c r="P84" s="112" t="s">
        <v>128</v>
      </c>
      <c r="Q84" s="1"/>
    </row>
    <row r="85" spans="1:17" ht="18.75" thickBot="1">
      <c r="B85" s="5" t="s">
        <v>44</v>
      </c>
      <c r="C85" s="84" t="s">
        <v>83</v>
      </c>
      <c r="D85" s="2"/>
      <c r="E85" s="1"/>
      <c r="F85" s="1"/>
      <c r="G85" s="1"/>
      <c r="H85" s="1"/>
      <c r="I85" s="3"/>
      <c r="J85" s="3"/>
      <c r="K85" s="22"/>
      <c r="L85" s="3"/>
      <c r="M85" s="3"/>
      <c r="N85" s="3"/>
      <c r="O85" s="22"/>
      <c r="P85" s="1"/>
      <c r="Q85" s="1"/>
    </row>
    <row r="86" spans="1:17" ht="15.75" thickBot="1">
      <c r="C86" s="13"/>
      <c r="D86" s="2"/>
      <c r="E86" s="1"/>
      <c r="F86" s="1"/>
      <c r="G86" s="1"/>
      <c r="H86" s="1"/>
      <c r="I86" s="3"/>
      <c r="J86" s="3"/>
      <c r="K86" s="22"/>
      <c r="L86" s="140">
        <f>+J92</f>
        <v>2022</v>
      </c>
      <c r="M86" s="141" t="s">
        <v>9</v>
      </c>
      <c r="N86" s="145" t="s">
        <v>159</v>
      </c>
      <c r="O86" s="142" t="s">
        <v>11</v>
      </c>
      <c r="P86" s="1"/>
      <c r="Q86" s="1"/>
    </row>
    <row r="87" spans="1:17" ht="15">
      <c r="C87" s="111" t="s">
        <v>46</v>
      </c>
      <c r="D87" s="2"/>
      <c r="E87" s="1"/>
      <c r="F87" s="1"/>
      <c r="G87" s="1"/>
      <c r="H87" s="24"/>
      <c r="I87" s="1" t="s">
        <v>47</v>
      </c>
      <c r="J87" s="1"/>
      <c r="K87" s="136"/>
      <c r="L87" s="134" t="s">
        <v>391</v>
      </c>
      <c r="M87" s="85">
        <f>IF(J92&lt;D11,0,VLOOKUP(J92,C17:O72,9))</f>
        <v>444823.534818093</v>
      </c>
      <c r="N87" s="85">
        <f>IF(J92&lt;D11,0,VLOOKUP(J92,C17:O72,11))</f>
        <v>444823.534818093</v>
      </c>
      <c r="O87" s="86">
        <f>+N87-M87</f>
        <v>0</v>
      </c>
      <c r="P87" s="1"/>
      <c r="Q87" s="1"/>
    </row>
    <row r="88" spans="1:17" ht="15.75">
      <c r="C88" s="8"/>
      <c r="D88" s="2"/>
      <c r="E88" s="1"/>
      <c r="F88" s="1"/>
      <c r="G88" s="1"/>
      <c r="H88" s="1"/>
      <c r="I88" s="28"/>
      <c r="J88" s="28"/>
      <c r="K88" s="138"/>
      <c r="L88" s="139" t="s">
        <v>392</v>
      </c>
      <c r="M88" s="87">
        <f>IF(J92&lt;D11,0,VLOOKUP(J92,C99:P154,6))</f>
        <v>457201.30033225642</v>
      </c>
      <c r="N88" s="87">
        <f>IF(J92&lt;D11,0,VLOOKUP(J92,C99:P154,7))</f>
        <v>457201.30033225642</v>
      </c>
      <c r="O88" s="88">
        <f>+N88-M88</f>
        <v>0</v>
      </c>
      <c r="P88" s="1"/>
      <c r="Q88" s="1"/>
    </row>
    <row r="89" spans="1:17" ht="13.5" thickBot="1">
      <c r="C89" s="32" t="s">
        <v>84</v>
      </c>
      <c r="D89" s="121" t="str">
        <f>+D7</f>
        <v>Wallace Lake-Prt Robson-Red Point 138 kV Loop</v>
      </c>
      <c r="E89" s="1"/>
      <c r="F89" s="1"/>
      <c r="G89" s="1"/>
      <c r="H89" s="1"/>
      <c r="I89" s="3"/>
      <c r="J89" s="3"/>
      <c r="K89" s="137"/>
      <c r="L89" s="135" t="s">
        <v>156</v>
      </c>
      <c r="M89" s="90">
        <f>+M88-M87</f>
        <v>12377.765514163417</v>
      </c>
      <c r="N89" s="90">
        <f>+N88-N87</f>
        <v>12377.765514163417</v>
      </c>
      <c r="O89" s="91">
        <f>+O88-O87</f>
        <v>0</v>
      </c>
      <c r="P89" s="1"/>
      <c r="Q89" s="1"/>
    </row>
    <row r="90" spans="1:17" ht="13.5" thickBot="1">
      <c r="C90" s="80"/>
      <c r="D90" s="83" t="str">
        <f>D8</f>
        <v/>
      </c>
      <c r="E90" s="18"/>
      <c r="F90" s="18"/>
      <c r="G90" s="18"/>
      <c r="H90" s="37"/>
      <c r="I90" s="3"/>
      <c r="J90" s="3"/>
      <c r="K90" s="22"/>
      <c r="L90" s="3"/>
      <c r="M90" s="3"/>
      <c r="N90" s="3"/>
      <c r="O90" s="22"/>
      <c r="P90" s="1"/>
      <c r="Q90" s="1"/>
    </row>
    <row r="91" spans="1:17" ht="13.5" thickBot="1">
      <c r="A91" s="17"/>
      <c r="C91" s="92" t="s">
        <v>85</v>
      </c>
      <c r="D91" s="109" t="str">
        <f>+D9</f>
        <v>TP2005142</v>
      </c>
      <c r="E91" s="93"/>
      <c r="F91" s="93"/>
      <c r="G91" s="93"/>
      <c r="H91" s="93"/>
      <c r="I91" s="93"/>
      <c r="J91" s="113"/>
      <c r="K91" s="94"/>
      <c r="P91" s="42"/>
      <c r="Q91" s="1"/>
    </row>
    <row r="92" spans="1:17">
      <c r="C92" s="47" t="s">
        <v>51</v>
      </c>
      <c r="D92" s="44">
        <v>4480167.62</v>
      </c>
      <c r="E92" s="10" t="s">
        <v>86</v>
      </c>
      <c r="H92" s="45"/>
      <c r="I92" s="45"/>
      <c r="J92" s="46">
        <f>+'SWE.WS.G.BPU.ATRR.True-up'!M16</f>
        <v>2022</v>
      </c>
      <c r="K92" s="41"/>
      <c r="L92" s="22" t="s">
        <v>87</v>
      </c>
      <c r="P92" s="4"/>
      <c r="Q92" s="1"/>
    </row>
    <row r="93" spans="1:17">
      <c r="C93" s="47" t="s">
        <v>54</v>
      </c>
      <c r="D93" s="106">
        <f>IF(D11=I10,"",D11)</f>
        <v>2008</v>
      </c>
      <c r="E93" s="47" t="s">
        <v>55</v>
      </c>
      <c r="F93" s="45"/>
      <c r="G93" s="45"/>
      <c r="J93" s="49">
        <f>IF(H87="",0,'SWE.WS.G.BPU.ATRR.True-up'!$F$13)</f>
        <v>0</v>
      </c>
      <c r="K93" s="50"/>
      <c r="L93" t="str">
        <f>"          INPUT TRUE-UP ARR (WITH &amp; WITHOUT INCENTIVES) FROM EACH PRIOR YEAR"</f>
        <v xml:space="preserve">          INPUT TRUE-UP ARR (WITH &amp; WITHOUT INCENTIVES) FROM EACH PRIOR YEAR</v>
      </c>
      <c r="P93" s="4"/>
      <c r="Q93" s="1"/>
    </row>
    <row r="94" spans="1:17">
      <c r="C94" s="47" t="s">
        <v>56</v>
      </c>
      <c r="D94" s="105">
        <f>IF(D11=I10,"",D12)</f>
        <v>5</v>
      </c>
      <c r="E94" s="47" t="s">
        <v>57</v>
      </c>
      <c r="F94" s="45"/>
      <c r="G94" s="45"/>
      <c r="J94" s="51">
        <f>'SWE.WS.G.BPU.ATRR.True-up'!$F$81</f>
        <v>0.11351422637179906</v>
      </c>
      <c r="K94" s="52"/>
      <c r="L94" t="s">
        <v>88</v>
      </c>
      <c r="P94" s="4"/>
      <c r="Q94" s="1"/>
    </row>
    <row r="95" spans="1:17">
      <c r="C95" s="47" t="s">
        <v>59</v>
      </c>
      <c r="D95" s="49">
        <f>'SWE.WS.G.BPU.ATRR.True-up'!F$93</f>
        <v>41</v>
      </c>
      <c r="E95" s="47" t="s">
        <v>60</v>
      </c>
      <c r="F95" s="45"/>
      <c r="G95" s="45"/>
      <c r="J95" s="51">
        <f>IF(H87="",J94,'SWE.WS.G.BPU.ATRR.True-up'!$F$80)</f>
        <v>0.11351422637179906</v>
      </c>
      <c r="K95" s="11"/>
      <c r="L95" s="22" t="s">
        <v>61</v>
      </c>
      <c r="M95" s="11"/>
      <c r="N95" s="11"/>
      <c r="O95" s="11"/>
      <c r="P95" s="4"/>
      <c r="Q95" s="1"/>
    </row>
    <row r="96" spans="1:17" ht="13.5" thickBot="1">
      <c r="C96" s="47" t="s">
        <v>62</v>
      </c>
      <c r="D96" s="107" t="str">
        <f>+D14</f>
        <v>No</v>
      </c>
      <c r="E96" s="89" t="s">
        <v>64</v>
      </c>
      <c r="F96" s="95"/>
      <c r="G96" s="95"/>
      <c r="H96" s="96"/>
      <c r="I96" s="96"/>
      <c r="J96" s="35">
        <f>IF(D92=0,0,D92/D95)</f>
        <v>109272.38097560976</v>
      </c>
      <c r="K96" s="22"/>
      <c r="L96" s="22"/>
      <c r="M96" s="22"/>
      <c r="N96" s="22"/>
      <c r="O96" s="22"/>
      <c r="P96" s="4"/>
      <c r="Q96" s="1"/>
    </row>
    <row r="97" spans="1:17" ht="38.25">
      <c r="A97" s="6"/>
      <c r="B97" s="6"/>
      <c r="C97" s="97" t="s">
        <v>51</v>
      </c>
      <c r="D97" s="98" t="s">
        <v>65</v>
      </c>
      <c r="E97" s="57" t="s">
        <v>66</v>
      </c>
      <c r="F97" s="57" t="s">
        <v>67</v>
      </c>
      <c r="G97" s="55" t="s">
        <v>89</v>
      </c>
      <c r="H97" s="180" t="s">
        <v>388</v>
      </c>
      <c r="I97" s="181" t="s">
        <v>389</v>
      </c>
      <c r="J97" s="97" t="s">
        <v>90</v>
      </c>
      <c r="K97" s="99"/>
      <c r="L97" s="146" t="s">
        <v>228</v>
      </c>
      <c r="M97" s="57" t="s">
        <v>91</v>
      </c>
      <c r="N97" s="146" t="s">
        <v>228</v>
      </c>
      <c r="O97" s="57" t="s">
        <v>91</v>
      </c>
      <c r="P97" s="57" t="s">
        <v>70</v>
      </c>
      <c r="Q97" s="1"/>
    </row>
    <row r="98" spans="1:17" ht="13.5" thickBot="1">
      <c r="C98" s="58" t="s">
        <v>71</v>
      </c>
      <c r="D98" s="100" t="s">
        <v>72</v>
      </c>
      <c r="E98" s="58" t="s">
        <v>73</v>
      </c>
      <c r="F98" s="58" t="s">
        <v>72</v>
      </c>
      <c r="G98" s="58" t="s">
        <v>72</v>
      </c>
      <c r="H98" s="178" t="s">
        <v>74</v>
      </c>
      <c r="I98" s="59" t="s">
        <v>75</v>
      </c>
      <c r="J98" s="60" t="s">
        <v>94</v>
      </c>
      <c r="K98" s="61"/>
      <c r="L98" s="62" t="s">
        <v>77</v>
      </c>
      <c r="M98" s="62" t="s">
        <v>77</v>
      </c>
      <c r="N98" s="62" t="s">
        <v>95</v>
      </c>
      <c r="O98" s="62" t="s">
        <v>95</v>
      </c>
      <c r="P98" s="62" t="s">
        <v>95</v>
      </c>
      <c r="Q98" s="1"/>
    </row>
    <row r="99" spans="1:17">
      <c r="C99" s="64">
        <f>IF(D93= "","-",D93)</f>
        <v>2008</v>
      </c>
      <c r="D99" s="155">
        <v>0</v>
      </c>
      <c r="E99" s="158">
        <v>44333</v>
      </c>
      <c r="F99" s="159">
        <v>2767633</v>
      </c>
      <c r="G99" s="162">
        <v>1383817</v>
      </c>
      <c r="H99" s="160">
        <v>264915</v>
      </c>
      <c r="I99" s="161">
        <v>264915</v>
      </c>
      <c r="J99" s="177">
        <f t="shared" ref="J99:J130" si="31">+I99-H99</f>
        <v>0</v>
      </c>
      <c r="K99" s="69"/>
      <c r="L99" s="131">
        <v>264915</v>
      </c>
      <c r="M99" s="68">
        <f t="shared" ref="M99:M130" si="32">IF(L99&lt;&gt;0,+H99-L99,0)</f>
        <v>0</v>
      </c>
      <c r="N99" s="131">
        <v>264915</v>
      </c>
      <c r="O99" s="68">
        <f t="shared" ref="O99:O130" si="33">IF(N99&lt;&gt;0,+I99-N99,0)</f>
        <v>0</v>
      </c>
      <c r="P99" s="68">
        <f t="shared" ref="P99:P130" si="34">+O99-M99</f>
        <v>0</v>
      </c>
      <c r="Q99" s="1"/>
    </row>
    <row r="100" spans="1:17">
      <c r="B100" s="9" t="str">
        <f>IF(D100=F99,"","IU")</f>
        <v>IU</v>
      </c>
      <c r="C100" s="64">
        <f>IF(D93="","-",+C99+1)</f>
        <v>2009</v>
      </c>
      <c r="D100" s="155">
        <v>4435834.62</v>
      </c>
      <c r="E100" s="158">
        <v>117899.14789473685</v>
      </c>
      <c r="F100" s="159">
        <v>4317935.4721052628</v>
      </c>
      <c r="G100" s="159">
        <v>4376885.046052631</v>
      </c>
      <c r="H100" s="158">
        <v>751399.2625697077</v>
      </c>
      <c r="I100" s="157">
        <v>751399.2625697077</v>
      </c>
      <c r="J100" s="177">
        <f t="shared" si="31"/>
        <v>0</v>
      </c>
      <c r="K100" s="69"/>
      <c r="L100" s="133">
        <f t="shared" ref="L100:L105" si="35">H100</f>
        <v>751399.2625697077</v>
      </c>
      <c r="M100" s="132">
        <f t="shared" si="32"/>
        <v>0</v>
      </c>
      <c r="N100" s="133">
        <f t="shared" ref="N100:N105" si="36">I100</f>
        <v>751399.2625697077</v>
      </c>
      <c r="O100" s="69">
        <f t="shared" si="33"/>
        <v>0</v>
      </c>
      <c r="P100" s="69">
        <f t="shared" si="34"/>
        <v>0</v>
      </c>
      <c r="Q100" s="1"/>
    </row>
    <row r="101" spans="1:17">
      <c r="B101" s="9" t="str">
        <f t="shared" ref="B101:B154" si="37">IF(D101=F100,"","IU")</f>
        <v/>
      </c>
      <c r="C101" s="64">
        <f>IF(D93="","-",+C100+1)</f>
        <v>2010</v>
      </c>
      <c r="D101" s="155">
        <v>4317935.4721052628</v>
      </c>
      <c r="E101" s="158">
        <v>109272.38097560976</v>
      </c>
      <c r="F101" s="159">
        <v>4208663.0911296532</v>
      </c>
      <c r="G101" s="159">
        <v>4263299.281617458</v>
      </c>
      <c r="H101" s="158">
        <v>813083.75625157298</v>
      </c>
      <c r="I101" s="157">
        <v>813083.75625157298</v>
      </c>
      <c r="J101" s="177">
        <f t="shared" si="31"/>
        <v>0</v>
      </c>
      <c r="K101" s="69"/>
      <c r="L101" s="133">
        <f t="shared" si="35"/>
        <v>813083.75625157298</v>
      </c>
      <c r="M101" s="132">
        <f t="shared" si="32"/>
        <v>0</v>
      </c>
      <c r="N101" s="133">
        <f t="shared" si="36"/>
        <v>813083.75625157298</v>
      </c>
      <c r="O101" s="69">
        <f t="shared" si="33"/>
        <v>0</v>
      </c>
      <c r="P101" s="69">
        <f t="shared" si="34"/>
        <v>0</v>
      </c>
      <c r="Q101" s="1"/>
    </row>
    <row r="102" spans="1:17">
      <c r="B102" s="9" t="str">
        <f t="shared" si="37"/>
        <v/>
      </c>
      <c r="C102" s="64">
        <f>IF(D93="","-",+C101+1)</f>
        <v>2011</v>
      </c>
      <c r="D102" s="155">
        <v>4208663.0911296532</v>
      </c>
      <c r="E102" s="166">
        <v>106670.65761904762</v>
      </c>
      <c r="F102" s="159">
        <v>4101992.4335106057</v>
      </c>
      <c r="G102" s="159">
        <v>4155327.7623201292</v>
      </c>
      <c r="H102" s="158">
        <v>731548.43625186454</v>
      </c>
      <c r="I102" s="157">
        <v>731548.43625186454</v>
      </c>
      <c r="J102" s="177">
        <f t="shared" si="31"/>
        <v>0</v>
      </c>
      <c r="K102" s="69"/>
      <c r="L102" s="133">
        <f t="shared" si="35"/>
        <v>731548.43625186454</v>
      </c>
      <c r="M102" s="132">
        <f t="shared" si="32"/>
        <v>0</v>
      </c>
      <c r="N102" s="133">
        <f t="shared" si="36"/>
        <v>731548.43625186454</v>
      </c>
      <c r="O102" s="69">
        <f t="shared" si="33"/>
        <v>0</v>
      </c>
      <c r="P102" s="69">
        <f t="shared" si="34"/>
        <v>0</v>
      </c>
      <c r="Q102" s="1"/>
    </row>
    <row r="103" spans="1:17">
      <c r="B103" s="9" t="str">
        <f t="shared" si="37"/>
        <v/>
      </c>
      <c r="C103" s="64">
        <f>IF(D93="","-",+C102+1)</f>
        <v>2012</v>
      </c>
      <c r="D103" s="155">
        <v>4101992.4335106057</v>
      </c>
      <c r="E103" s="158">
        <v>106670.65761904762</v>
      </c>
      <c r="F103" s="159">
        <v>3995321.7758915583</v>
      </c>
      <c r="G103" s="159">
        <v>4048657.1047010822</v>
      </c>
      <c r="H103" s="158">
        <v>702446.4690702348</v>
      </c>
      <c r="I103" s="157">
        <v>702446.4690702348</v>
      </c>
      <c r="J103" s="177">
        <f t="shared" si="31"/>
        <v>0</v>
      </c>
      <c r="K103" s="69"/>
      <c r="L103" s="133">
        <f t="shared" si="35"/>
        <v>702446.4690702348</v>
      </c>
      <c r="M103" s="132">
        <f t="shared" si="32"/>
        <v>0</v>
      </c>
      <c r="N103" s="133">
        <f t="shared" si="36"/>
        <v>702446.4690702348</v>
      </c>
      <c r="O103" s="69">
        <f t="shared" si="33"/>
        <v>0</v>
      </c>
      <c r="P103" s="69">
        <f t="shared" si="34"/>
        <v>0</v>
      </c>
      <c r="Q103" s="1"/>
    </row>
    <row r="104" spans="1:17">
      <c r="B104" s="9" t="str">
        <f t="shared" si="37"/>
        <v/>
      </c>
      <c r="C104" s="64">
        <f>IF(D93="","-",+C103+1)</f>
        <v>2013</v>
      </c>
      <c r="D104" s="155">
        <v>3995321.7758915583</v>
      </c>
      <c r="E104" s="158">
        <v>106670.65761904762</v>
      </c>
      <c r="F104" s="159">
        <v>3888651.1182725108</v>
      </c>
      <c r="G104" s="159">
        <v>3941986.4470820343</v>
      </c>
      <c r="H104" s="158">
        <v>569687.88299572084</v>
      </c>
      <c r="I104" s="157">
        <v>569687.88299572084</v>
      </c>
      <c r="J104" s="177">
        <f t="shared" si="31"/>
        <v>0</v>
      </c>
      <c r="K104" s="69"/>
      <c r="L104" s="133">
        <f t="shared" si="35"/>
        <v>569687.88299572084</v>
      </c>
      <c r="M104" s="132">
        <f t="shared" ref="M104:M109" si="38">IF(L104&lt;&gt;0,+H104-L104,0)</f>
        <v>0</v>
      </c>
      <c r="N104" s="133">
        <f t="shared" si="36"/>
        <v>569687.88299572084</v>
      </c>
      <c r="O104" s="69">
        <f t="shared" ref="O104:O109" si="39">IF(N104&lt;&gt;0,+I104-N104,0)</f>
        <v>0</v>
      </c>
      <c r="P104" s="69">
        <f t="shared" ref="P104:P109" si="40">+O104-M104</f>
        <v>0</v>
      </c>
      <c r="Q104" s="1"/>
    </row>
    <row r="105" spans="1:17">
      <c r="B105" s="9" t="str">
        <f t="shared" si="37"/>
        <v/>
      </c>
      <c r="C105" s="64">
        <f>IF(D93="","-",+C104+1)</f>
        <v>2014</v>
      </c>
      <c r="D105" s="155">
        <v>3888651.1182725108</v>
      </c>
      <c r="E105" s="158">
        <v>106670.65761904762</v>
      </c>
      <c r="F105" s="159">
        <v>3781980.4606534634</v>
      </c>
      <c r="G105" s="159">
        <v>3835315.7894629873</v>
      </c>
      <c r="H105" s="158">
        <v>627980.04901218251</v>
      </c>
      <c r="I105" s="157">
        <v>627980.04901218251</v>
      </c>
      <c r="J105" s="69">
        <v>0</v>
      </c>
      <c r="K105" s="69"/>
      <c r="L105" s="133">
        <f t="shared" si="35"/>
        <v>627980.04901218251</v>
      </c>
      <c r="M105" s="132">
        <f t="shared" si="38"/>
        <v>0</v>
      </c>
      <c r="N105" s="133">
        <f t="shared" si="36"/>
        <v>627980.04901218251</v>
      </c>
      <c r="O105" s="69">
        <f t="shared" si="39"/>
        <v>0</v>
      </c>
      <c r="P105" s="69">
        <f t="shared" si="40"/>
        <v>0</v>
      </c>
      <c r="Q105" s="1"/>
    </row>
    <row r="106" spans="1:17">
      <c r="B106" s="9" t="str">
        <f t="shared" si="37"/>
        <v/>
      </c>
      <c r="C106" s="64">
        <f>IF(D93="","-",+C105+1)</f>
        <v>2015</v>
      </c>
      <c r="D106" s="155">
        <v>3781980.4606534634</v>
      </c>
      <c r="E106" s="158">
        <v>106670.65761904762</v>
      </c>
      <c r="F106" s="159">
        <v>3675309.8030344159</v>
      </c>
      <c r="G106" s="159">
        <v>3728645.1318439394</v>
      </c>
      <c r="H106" s="158">
        <v>597990.04263617261</v>
      </c>
      <c r="I106" s="157">
        <v>597990.04263617261</v>
      </c>
      <c r="J106" s="69">
        <f t="shared" si="31"/>
        <v>0</v>
      </c>
      <c r="K106" s="69"/>
      <c r="L106" s="133">
        <f t="shared" ref="L106:L111" si="41">H106</f>
        <v>597990.04263617261</v>
      </c>
      <c r="M106" s="132">
        <f t="shared" si="38"/>
        <v>0</v>
      </c>
      <c r="N106" s="133">
        <f t="shared" ref="N106:N111" si="42">I106</f>
        <v>597990.04263617261</v>
      </c>
      <c r="O106" s="69">
        <f t="shared" si="39"/>
        <v>0</v>
      </c>
      <c r="P106" s="69">
        <f t="shared" si="40"/>
        <v>0</v>
      </c>
      <c r="Q106" s="1"/>
    </row>
    <row r="107" spans="1:17">
      <c r="B107" s="9" t="str">
        <f t="shared" si="37"/>
        <v>IU</v>
      </c>
      <c r="C107" s="64">
        <f>IF(D93="","-",+C106+1)</f>
        <v>2016</v>
      </c>
      <c r="D107" s="155">
        <v>3677790.5160023002</v>
      </c>
      <c r="E107" s="158">
        <v>104189.94465116279</v>
      </c>
      <c r="F107" s="159">
        <v>3573600.5713511375</v>
      </c>
      <c r="G107" s="159">
        <v>3625695.5436767191</v>
      </c>
      <c r="H107" s="158">
        <v>564471.95145808836</v>
      </c>
      <c r="I107" s="157">
        <v>564471.95145808836</v>
      </c>
      <c r="J107" s="69">
        <f t="shared" si="31"/>
        <v>0</v>
      </c>
      <c r="K107" s="69"/>
      <c r="L107" s="133">
        <f t="shared" si="41"/>
        <v>564471.95145808836</v>
      </c>
      <c r="M107" s="132">
        <f t="shared" si="38"/>
        <v>0</v>
      </c>
      <c r="N107" s="133">
        <f t="shared" si="42"/>
        <v>564471.95145808836</v>
      </c>
      <c r="O107" s="69">
        <f t="shared" si="39"/>
        <v>0</v>
      </c>
      <c r="P107" s="69">
        <f t="shared" si="40"/>
        <v>0</v>
      </c>
      <c r="Q107" s="1"/>
    </row>
    <row r="108" spans="1:17">
      <c r="B108" s="9" t="str">
        <f t="shared" si="37"/>
        <v>IU</v>
      </c>
      <c r="C108" s="64">
        <f>IF(D93="","-",+C107+1)</f>
        <v>2017</v>
      </c>
      <c r="D108" s="155">
        <v>3571119.8583832523</v>
      </c>
      <c r="E108" s="158">
        <v>106670.65761904762</v>
      </c>
      <c r="F108" s="159">
        <v>3464449.2007642048</v>
      </c>
      <c r="G108" s="159">
        <v>3517784.5295737283</v>
      </c>
      <c r="H108" s="158">
        <v>533981.0722445295</v>
      </c>
      <c r="I108" s="157">
        <v>533981.0722445295</v>
      </c>
      <c r="J108" s="69">
        <f t="shared" si="31"/>
        <v>0</v>
      </c>
      <c r="K108" s="69"/>
      <c r="L108" s="133">
        <f t="shared" si="41"/>
        <v>533981.0722445295</v>
      </c>
      <c r="M108" s="132">
        <f t="shared" si="38"/>
        <v>0</v>
      </c>
      <c r="N108" s="133">
        <f t="shared" si="42"/>
        <v>533981.0722445295</v>
      </c>
      <c r="O108" s="69">
        <f t="shared" si="39"/>
        <v>0</v>
      </c>
      <c r="P108" s="69">
        <f t="shared" si="40"/>
        <v>0</v>
      </c>
      <c r="Q108" s="1"/>
    </row>
    <row r="109" spans="1:17">
      <c r="B109" s="9" t="str">
        <f t="shared" si="37"/>
        <v/>
      </c>
      <c r="C109" s="64">
        <f>IF(D93="","-",+C108+1)</f>
        <v>2018</v>
      </c>
      <c r="D109" s="155">
        <v>3464449.2007642048</v>
      </c>
      <c r="E109" s="158">
        <v>106670.65761904762</v>
      </c>
      <c r="F109" s="159">
        <v>3357778.5431451574</v>
      </c>
      <c r="G109" s="159">
        <v>3411113.8719546814</v>
      </c>
      <c r="H109" s="158">
        <v>466899.92525095958</v>
      </c>
      <c r="I109" s="157">
        <v>466899.92525095958</v>
      </c>
      <c r="J109" s="69">
        <f t="shared" si="31"/>
        <v>0</v>
      </c>
      <c r="K109" s="69"/>
      <c r="L109" s="133">
        <f t="shared" si="41"/>
        <v>466899.92525095958</v>
      </c>
      <c r="M109" s="132">
        <f t="shared" si="38"/>
        <v>0</v>
      </c>
      <c r="N109" s="133">
        <f t="shared" si="42"/>
        <v>466899.92525095958</v>
      </c>
      <c r="O109" s="69">
        <f t="shared" si="39"/>
        <v>0</v>
      </c>
      <c r="P109" s="69">
        <f t="shared" si="40"/>
        <v>0</v>
      </c>
      <c r="Q109" s="1"/>
    </row>
    <row r="110" spans="1:17">
      <c r="B110" s="9" t="str">
        <f t="shared" si="37"/>
        <v>IU</v>
      </c>
      <c r="C110" s="64">
        <f>IF(D93="","-",+C109+1)</f>
        <v>2019</v>
      </c>
      <c r="D110" s="155">
        <v>3360259.2561130421</v>
      </c>
      <c r="E110" s="158">
        <v>104189.94465116279</v>
      </c>
      <c r="F110" s="159">
        <v>3256069.3114618794</v>
      </c>
      <c r="G110" s="159">
        <v>3308164.283787461</v>
      </c>
      <c r="H110" s="158">
        <v>458297.65763870062</v>
      </c>
      <c r="I110" s="157">
        <v>458297.65763870062</v>
      </c>
      <c r="J110" s="69">
        <f t="shared" si="31"/>
        <v>0</v>
      </c>
      <c r="K110" s="69"/>
      <c r="L110" s="133">
        <f t="shared" si="41"/>
        <v>458297.65763870062</v>
      </c>
      <c r="M110" s="132">
        <f t="shared" ref="M110:M111" si="43">IF(L110&lt;&gt;0,+H110-L110,0)</f>
        <v>0</v>
      </c>
      <c r="N110" s="133">
        <f t="shared" si="42"/>
        <v>458297.65763870062</v>
      </c>
      <c r="O110" s="69">
        <f t="shared" si="33"/>
        <v>0</v>
      </c>
      <c r="P110" s="69">
        <f t="shared" si="34"/>
        <v>0</v>
      </c>
      <c r="Q110" s="1"/>
    </row>
    <row r="111" spans="1:17">
      <c r="B111" s="9" t="str">
        <f t="shared" si="37"/>
        <v>IU</v>
      </c>
      <c r="C111" s="64">
        <f>IF(D93="","-",+C110+1)</f>
        <v>2020</v>
      </c>
      <c r="D111" s="155">
        <v>3253588.5984939942</v>
      </c>
      <c r="E111" s="158">
        <v>106670.65761904762</v>
      </c>
      <c r="F111" s="159">
        <v>3146917.9408749468</v>
      </c>
      <c r="G111" s="159">
        <v>3200253.2696844703</v>
      </c>
      <c r="H111" s="158">
        <v>450934.16681202245</v>
      </c>
      <c r="I111" s="157">
        <v>450934.16681202245</v>
      </c>
      <c r="J111" s="69">
        <f t="shared" si="31"/>
        <v>0</v>
      </c>
      <c r="K111" s="69"/>
      <c r="L111" s="133">
        <f t="shared" si="41"/>
        <v>450934.16681202245</v>
      </c>
      <c r="M111" s="132">
        <f t="shared" si="43"/>
        <v>0</v>
      </c>
      <c r="N111" s="133">
        <f t="shared" si="42"/>
        <v>450934.16681202245</v>
      </c>
      <c r="O111" s="69">
        <f t="shared" si="33"/>
        <v>0</v>
      </c>
      <c r="P111" s="69">
        <f t="shared" si="34"/>
        <v>0</v>
      </c>
      <c r="Q111" s="1"/>
    </row>
    <row r="112" spans="1:17">
      <c r="B112" s="9" t="str">
        <f t="shared" si="37"/>
        <v>IU</v>
      </c>
      <c r="C112" s="64">
        <f>IF(D93="","-",+C111+1)</f>
        <v>2021</v>
      </c>
      <c r="D112" s="155">
        <v>3144316.2175183846</v>
      </c>
      <c r="E112" s="158">
        <v>109272.38097560976</v>
      </c>
      <c r="F112" s="159">
        <v>3035043.8365427749</v>
      </c>
      <c r="G112" s="159">
        <v>3089680.0270305797</v>
      </c>
      <c r="H112" s="158">
        <v>459995.01898038521</v>
      </c>
      <c r="I112" s="157">
        <v>459995.01898038521</v>
      </c>
      <c r="J112" s="69">
        <f t="shared" si="31"/>
        <v>0</v>
      </c>
      <c r="K112" s="69"/>
      <c r="L112" s="133">
        <f t="shared" ref="L112" si="44">H112</f>
        <v>459995.01898038521</v>
      </c>
      <c r="M112" s="132">
        <f t="shared" ref="M112" si="45">IF(L112&lt;&gt;0,+H112-L112,0)</f>
        <v>0</v>
      </c>
      <c r="N112" s="133">
        <f t="shared" ref="N112" si="46">I112</f>
        <v>459995.01898038521</v>
      </c>
      <c r="O112" s="69">
        <f t="shared" ref="O112" si="47">IF(N112&lt;&gt;0,+I112-N112,0)</f>
        <v>0</v>
      </c>
      <c r="P112" s="69">
        <f t="shared" ref="P112" si="48">+O112-M112</f>
        <v>0</v>
      </c>
      <c r="Q112" s="1"/>
    </row>
    <row r="113" spans="2:17">
      <c r="B113" s="9" t="str">
        <f t="shared" si="37"/>
        <v>IU</v>
      </c>
      <c r="C113" s="674">
        <f>IF(D93="","-",+C112+1)</f>
        <v>2022</v>
      </c>
      <c r="D113" s="65">
        <v>3037645.5598993371</v>
      </c>
      <c r="E113" s="71">
        <v>106670.65761904762</v>
      </c>
      <c r="F113" s="70">
        <v>2930974.9022802897</v>
      </c>
      <c r="G113" s="70">
        <v>2984310.2310898136</v>
      </c>
      <c r="H113" s="73">
        <v>457201.30033225642</v>
      </c>
      <c r="I113" s="127">
        <v>457201.30033225642</v>
      </c>
      <c r="J113" s="69">
        <f t="shared" si="31"/>
        <v>0</v>
      </c>
      <c r="K113" s="69"/>
      <c r="L113" s="150"/>
      <c r="M113" s="69">
        <f t="shared" si="32"/>
        <v>0</v>
      </c>
      <c r="N113" s="150"/>
      <c r="O113" s="69">
        <f t="shared" si="33"/>
        <v>0</v>
      </c>
      <c r="P113" s="69">
        <f t="shared" si="34"/>
        <v>0</v>
      </c>
      <c r="Q113" s="1"/>
    </row>
    <row r="114" spans="2:17">
      <c r="B114" s="9" t="str">
        <f t="shared" si="37"/>
        <v/>
      </c>
      <c r="C114" s="64">
        <f>IF(D93="","-",+C113+1)</f>
        <v>2023</v>
      </c>
      <c r="D114" s="65">
        <f>IF(F113+SUM(E$99:E113)=D$92,F113,D$92-SUM(E$99:E113))</f>
        <v>2930974.9022802897</v>
      </c>
      <c r="E114" s="71">
        <f>IF(+J96&lt;F113,J96,D114)</f>
        <v>109272.38097560976</v>
      </c>
      <c r="F114" s="70">
        <f t="shared" ref="F114:F130" si="49">+D114-E114</f>
        <v>2821702.52130468</v>
      </c>
      <c r="G114" s="70">
        <f t="shared" ref="G114:G130" si="50">+(F114+D114)/2</f>
        <v>2876338.7117924849</v>
      </c>
      <c r="H114" s="73">
        <f t="shared" ref="H114:H154" si="51">+J$94*G114+E114</f>
        <v>435777.74462799076</v>
      </c>
      <c r="I114" s="127">
        <f t="shared" ref="I114:I154" si="52">+J$95*G114+E114</f>
        <v>435777.74462799076</v>
      </c>
      <c r="J114" s="69">
        <f t="shared" si="31"/>
        <v>0</v>
      </c>
      <c r="K114" s="69"/>
      <c r="L114" s="150"/>
      <c r="M114" s="69">
        <f t="shared" si="32"/>
        <v>0</v>
      </c>
      <c r="N114" s="150"/>
      <c r="O114" s="69">
        <f t="shared" si="33"/>
        <v>0</v>
      </c>
      <c r="P114" s="69">
        <f t="shared" si="34"/>
        <v>0</v>
      </c>
      <c r="Q114" s="1"/>
    </row>
    <row r="115" spans="2:17">
      <c r="B115" s="9" t="str">
        <f t="shared" si="37"/>
        <v/>
      </c>
      <c r="C115" s="64">
        <f>IF(D93="","-",+C114+1)</f>
        <v>2024</v>
      </c>
      <c r="D115" s="65">
        <f>IF(F114+SUM(E$99:E114)=D$92,F114,D$92-SUM(E$99:E114))</f>
        <v>2821702.52130468</v>
      </c>
      <c r="E115" s="71">
        <f>IF(+J96&lt;F114,J96,D115)</f>
        <v>109272.38097560976</v>
      </c>
      <c r="F115" s="70">
        <f t="shared" si="49"/>
        <v>2712430.1403290704</v>
      </c>
      <c r="G115" s="70">
        <f t="shared" si="50"/>
        <v>2767066.3308168752</v>
      </c>
      <c r="H115" s="73">
        <f t="shared" si="51"/>
        <v>423373.77483773994</v>
      </c>
      <c r="I115" s="127">
        <f t="shared" si="52"/>
        <v>423373.77483773994</v>
      </c>
      <c r="J115" s="69">
        <f t="shared" si="31"/>
        <v>0</v>
      </c>
      <c r="K115" s="69"/>
      <c r="L115" s="150"/>
      <c r="M115" s="69">
        <f t="shared" si="32"/>
        <v>0</v>
      </c>
      <c r="N115" s="150"/>
      <c r="O115" s="69">
        <f t="shared" si="33"/>
        <v>0</v>
      </c>
      <c r="P115" s="69">
        <f t="shared" si="34"/>
        <v>0</v>
      </c>
      <c r="Q115" s="1"/>
    </row>
    <row r="116" spans="2:17">
      <c r="B116" s="9" t="str">
        <f t="shared" si="37"/>
        <v/>
      </c>
      <c r="C116" s="64">
        <f>IF(D93="","-",+C115+1)</f>
        <v>2025</v>
      </c>
      <c r="D116" s="65">
        <f>IF(F115+SUM(E$99:E115)=D$92,F115,D$92-SUM(E$99:E115))</f>
        <v>2712430.1403290704</v>
      </c>
      <c r="E116" s="71">
        <f>IF(+J96&lt;F115,J96,D116)</f>
        <v>109272.38097560976</v>
      </c>
      <c r="F116" s="70">
        <f t="shared" si="49"/>
        <v>2603157.7593534607</v>
      </c>
      <c r="G116" s="70">
        <f t="shared" si="50"/>
        <v>2657793.9498412656</v>
      </c>
      <c r="H116" s="73">
        <f t="shared" si="51"/>
        <v>410969.80504748912</v>
      </c>
      <c r="I116" s="127">
        <f t="shared" si="52"/>
        <v>410969.80504748912</v>
      </c>
      <c r="J116" s="69">
        <f t="shared" si="31"/>
        <v>0</v>
      </c>
      <c r="K116" s="69"/>
      <c r="L116" s="150"/>
      <c r="M116" s="69">
        <f t="shared" si="32"/>
        <v>0</v>
      </c>
      <c r="N116" s="150"/>
      <c r="O116" s="69">
        <f t="shared" si="33"/>
        <v>0</v>
      </c>
      <c r="P116" s="69">
        <f t="shared" si="34"/>
        <v>0</v>
      </c>
      <c r="Q116" s="1"/>
    </row>
    <row r="117" spans="2:17">
      <c r="B117" s="9" t="str">
        <f t="shared" si="37"/>
        <v/>
      </c>
      <c r="C117" s="64">
        <f>IF(D93="","-",+C116+1)</f>
        <v>2026</v>
      </c>
      <c r="D117" s="65">
        <f>IF(F116+SUM(E$99:E116)=D$92,F116,D$92-SUM(E$99:E116))</f>
        <v>2603157.7593534607</v>
      </c>
      <c r="E117" s="71">
        <f>IF(+J96&lt;F116,J96,D117)</f>
        <v>109272.38097560976</v>
      </c>
      <c r="F117" s="70">
        <f t="shared" si="49"/>
        <v>2493885.3783778511</v>
      </c>
      <c r="G117" s="70">
        <f t="shared" si="50"/>
        <v>2548521.5688656559</v>
      </c>
      <c r="H117" s="73">
        <f t="shared" si="51"/>
        <v>398565.8352572383</v>
      </c>
      <c r="I117" s="127">
        <f t="shared" si="52"/>
        <v>398565.8352572383</v>
      </c>
      <c r="J117" s="69">
        <f t="shared" si="31"/>
        <v>0</v>
      </c>
      <c r="K117" s="69"/>
      <c r="L117" s="150"/>
      <c r="M117" s="69">
        <f t="shared" si="32"/>
        <v>0</v>
      </c>
      <c r="N117" s="150"/>
      <c r="O117" s="69">
        <f t="shared" si="33"/>
        <v>0</v>
      </c>
      <c r="P117" s="69">
        <f t="shared" si="34"/>
        <v>0</v>
      </c>
      <c r="Q117" s="1"/>
    </row>
    <row r="118" spans="2:17">
      <c r="B118" s="9" t="str">
        <f t="shared" si="37"/>
        <v/>
      </c>
      <c r="C118" s="64">
        <f>IF(D93="","-",+C117+1)</f>
        <v>2027</v>
      </c>
      <c r="D118" s="65">
        <f>IF(F117+SUM(E$99:E117)=D$92,F117,D$92-SUM(E$99:E117))</f>
        <v>2493885.3783778511</v>
      </c>
      <c r="E118" s="71">
        <f>IF(+J96&lt;F117,J96,D118)</f>
        <v>109272.38097560976</v>
      </c>
      <c r="F118" s="70">
        <f t="shared" si="49"/>
        <v>2384612.9974022415</v>
      </c>
      <c r="G118" s="70">
        <f t="shared" si="50"/>
        <v>2439249.1878900463</v>
      </c>
      <c r="H118" s="73">
        <f t="shared" si="51"/>
        <v>386161.86546698748</v>
      </c>
      <c r="I118" s="127">
        <f t="shared" si="52"/>
        <v>386161.86546698748</v>
      </c>
      <c r="J118" s="69">
        <f t="shared" si="31"/>
        <v>0</v>
      </c>
      <c r="K118" s="69"/>
      <c r="L118" s="150"/>
      <c r="M118" s="69">
        <f t="shared" si="32"/>
        <v>0</v>
      </c>
      <c r="N118" s="150"/>
      <c r="O118" s="69">
        <f t="shared" si="33"/>
        <v>0</v>
      </c>
      <c r="P118" s="69">
        <f t="shared" si="34"/>
        <v>0</v>
      </c>
      <c r="Q118" s="1"/>
    </row>
    <row r="119" spans="2:17">
      <c r="B119" s="9" t="str">
        <f t="shared" si="37"/>
        <v/>
      </c>
      <c r="C119" s="64">
        <f>IF(D93="","-",+C118+1)</f>
        <v>2028</v>
      </c>
      <c r="D119" s="65">
        <f>IF(F118+SUM(E$99:E118)=D$92,F118,D$92-SUM(E$99:E118))</f>
        <v>2384612.9974022415</v>
      </c>
      <c r="E119" s="71">
        <f>IF(+J96&lt;F118,J96,D119)</f>
        <v>109272.38097560976</v>
      </c>
      <c r="F119" s="70">
        <f t="shared" si="49"/>
        <v>2275340.6164266318</v>
      </c>
      <c r="G119" s="70">
        <f t="shared" si="50"/>
        <v>2329976.8069144366</v>
      </c>
      <c r="H119" s="73">
        <f t="shared" si="51"/>
        <v>373757.89567673666</v>
      </c>
      <c r="I119" s="127">
        <f t="shared" si="52"/>
        <v>373757.89567673666</v>
      </c>
      <c r="J119" s="69">
        <f t="shared" si="31"/>
        <v>0</v>
      </c>
      <c r="K119" s="69"/>
      <c r="L119" s="150"/>
      <c r="M119" s="69">
        <f t="shared" si="32"/>
        <v>0</v>
      </c>
      <c r="N119" s="150"/>
      <c r="O119" s="69">
        <f t="shared" si="33"/>
        <v>0</v>
      </c>
      <c r="P119" s="69">
        <f t="shared" si="34"/>
        <v>0</v>
      </c>
      <c r="Q119" s="1"/>
    </row>
    <row r="120" spans="2:17">
      <c r="B120" s="9" t="str">
        <f t="shared" si="37"/>
        <v/>
      </c>
      <c r="C120" s="64">
        <f>IF(D93="","-",+C119+1)</f>
        <v>2029</v>
      </c>
      <c r="D120" s="65">
        <f>IF(F119+SUM(E$99:E119)=D$92,F119,D$92-SUM(E$99:E119))</f>
        <v>2275340.6164266318</v>
      </c>
      <c r="E120" s="71">
        <f>IF(+J96&lt;F119,J96,D120)</f>
        <v>109272.38097560976</v>
      </c>
      <c r="F120" s="70">
        <f t="shared" si="49"/>
        <v>2166068.2354510222</v>
      </c>
      <c r="G120" s="70">
        <f t="shared" si="50"/>
        <v>2220704.425938827</v>
      </c>
      <c r="H120" s="73">
        <f t="shared" si="51"/>
        <v>361353.92588648584</v>
      </c>
      <c r="I120" s="127">
        <f t="shared" si="52"/>
        <v>361353.92588648584</v>
      </c>
      <c r="J120" s="69">
        <f t="shared" si="31"/>
        <v>0</v>
      </c>
      <c r="K120" s="69"/>
      <c r="L120" s="150"/>
      <c r="M120" s="69">
        <f t="shared" si="32"/>
        <v>0</v>
      </c>
      <c r="N120" s="150"/>
      <c r="O120" s="69">
        <f t="shared" si="33"/>
        <v>0</v>
      </c>
      <c r="P120" s="69">
        <f t="shared" si="34"/>
        <v>0</v>
      </c>
      <c r="Q120" s="1"/>
    </row>
    <row r="121" spans="2:17">
      <c r="B121" s="9" t="str">
        <f t="shared" si="37"/>
        <v/>
      </c>
      <c r="C121" s="64">
        <f>IF(D93="","-",+C120+1)</f>
        <v>2030</v>
      </c>
      <c r="D121" s="65">
        <f>IF(F120+SUM(E$99:E120)=D$92,F120,D$92-SUM(E$99:E120))</f>
        <v>2166068.2354510222</v>
      </c>
      <c r="E121" s="71">
        <f>IF(+J96&lt;F120,J96,D121)</f>
        <v>109272.38097560976</v>
      </c>
      <c r="F121" s="70">
        <f t="shared" si="49"/>
        <v>2056795.8544754125</v>
      </c>
      <c r="G121" s="70">
        <f t="shared" si="50"/>
        <v>2111432.0449632173</v>
      </c>
      <c r="H121" s="73">
        <f t="shared" si="51"/>
        <v>348949.95609623502</v>
      </c>
      <c r="I121" s="127">
        <f t="shared" si="52"/>
        <v>348949.95609623502</v>
      </c>
      <c r="J121" s="69">
        <f t="shared" si="31"/>
        <v>0</v>
      </c>
      <c r="K121" s="69"/>
      <c r="L121" s="150"/>
      <c r="M121" s="69">
        <f t="shared" si="32"/>
        <v>0</v>
      </c>
      <c r="N121" s="150"/>
      <c r="O121" s="69">
        <f t="shared" si="33"/>
        <v>0</v>
      </c>
      <c r="P121" s="69">
        <f t="shared" si="34"/>
        <v>0</v>
      </c>
      <c r="Q121" s="1"/>
    </row>
    <row r="122" spans="2:17">
      <c r="B122" s="9" t="str">
        <f t="shared" si="37"/>
        <v/>
      </c>
      <c r="C122" s="64">
        <f>IF(D93="","-",+C121+1)</f>
        <v>2031</v>
      </c>
      <c r="D122" s="65">
        <f>IF(F121+SUM(E$99:E121)=D$92,F121,D$92-SUM(E$99:E121))</f>
        <v>2056795.8544754125</v>
      </c>
      <c r="E122" s="71">
        <f>IF(+J96&lt;F121,J96,D122)</f>
        <v>109272.38097560976</v>
      </c>
      <c r="F122" s="70">
        <f t="shared" si="49"/>
        <v>1947523.4734998029</v>
      </c>
      <c r="G122" s="70">
        <f t="shared" si="50"/>
        <v>2002159.6639876077</v>
      </c>
      <c r="H122" s="73">
        <f t="shared" si="51"/>
        <v>336545.9863059842</v>
      </c>
      <c r="I122" s="127">
        <f t="shared" si="52"/>
        <v>336545.9863059842</v>
      </c>
      <c r="J122" s="69">
        <f t="shared" si="31"/>
        <v>0</v>
      </c>
      <c r="K122" s="69"/>
      <c r="L122" s="150"/>
      <c r="M122" s="69">
        <f t="shared" si="32"/>
        <v>0</v>
      </c>
      <c r="N122" s="150"/>
      <c r="O122" s="69">
        <f t="shared" si="33"/>
        <v>0</v>
      </c>
      <c r="P122" s="69">
        <f t="shared" si="34"/>
        <v>0</v>
      </c>
      <c r="Q122" s="1"/>
    </row>
    <row r="123" spans="2:17">
      <c r="B123" s="9" t="str">
        <f t="shared" si="37"/>
        <v/>
      </c>
      <c r="C123" s="64">
        <f>IF(D93="","-",+C122+1)</f>
        <v>2032</v>
      </c>
      <c r="D123" s="65">
        <f>IF(F122+SUM(E$99:E122)=D$92,F122,D$92-SUM(E$99:E122))</f>
        <v>1947523.4734998029</v>
      </c>
      <c r="E123" s="71">
        <f>IF(+J96&lt;F122,J96,D123)</f>
        <v>109272.38097560976</v>
      </c>
      <c r="F123" s="70">
        <f t="shared" si="49"/>
        <v>1838251.0925241932</v>
      </c>
      <c r="G123" s="70">
        <f t="shared" si="50"/>
        <v>1892887.283011998</v>
      </c>
      <c r="H123" s="73">
        <f t="shared" si="51"/>
        <v>324142.01651573338</v>
      </c>
      <c r="I123" s="127">
        <f t="shared" si="52"/>
        <v>324142.01651573338</v>
      </c>
      <c r="J123" s="69">
        <f t="shared" si="31"/>
        <v>0</v>
      </c>
      <c r="K123" s="69"/>
      <c r="L123" s="150"/>
      <c r="M123" s="69">
        <f t="shared" si="32"/>
        <v>0</v>
      </c>
      <c r="N123" s="150"/>
      <c r="O123" s="69">
        <f t="shared" si="33"/>
        <v>0</v>
      </c>
      <c r="P123" s="69">
        <f t="shared" si="34"/>
        <v>0</v>
      </c>
      <c r="Q123" s="1"/>
    </row>
    <row r="124" spans="2:17">
      <c r="B124" s="9" t="str">
        <f t="shared" si="37"/>
        <v/>
      </c>
      <c r="C124" s="64">
        <f>IF(D93="","-",+C123+1)</f>
        <v>2033</v>
      </c>
      <c r="D124" s="65">
        <f>IF(F123+SUM(E$99:E123)=D$92,F123,D$92-SUM(E$99:E123))</f>
        <v>1838251.0925241932</v>
      </c>
      <c r="E124" s="71">
        <f>IF(+J96&lt;F123,J96,D124)</f>
        <v>109272.38097560976</v>
      </c>
      <c r="F124" s="70">
        <f t="shared" si="49"/>
        <v>1728978.7115485836</v>
      </c>
      <c r="G124" s="70">
        <f t="shared" si="50"/>
        <v>1783614.9020363884</v>
      </c>
      <c r="H124" s="73">
        <f t="shared" si="51"/>
        <v>311738.04672548256</v>
      </c>
      <c r="I124" s="127">
        <f t="shared" si="52"/>
        <v>311738.04672548256</v>
      </c>
      <c r="J124" s="69">
        <f t="shared" si="31"/>
        <v>0</v>
      </c>
      <c r="K124" s="69"/>
      <c r="L124" s="150"/>
      <c r="M124" s="69">
        <f t="shared" si="32"/>
        <v>0</v>
      </c>
      <c r="N124" s="150"/>
      <c r="O124" s="69">
        <f t="shared" si="33"/>
        <v>0</v>
      </c>
      <c r="P124" s="69">
        <f t="shared" si="34"/>
        <v>0</v>
      </c>
      <c r="Q124" s="1"/>
    </row>
    <row r="125" spans="2:17">
      <c r="B125" s="9" t="str">
        <f t="shared" si="37"/>
        <v/>
      </c>
      <c r="C125" s="64">
        <f>IF(D93="","-",+C124+1)</f>
        <v>2034</v>
      </c>
      <c r="D125" s="65">
        <f>IF(F124+SUM(E$99:E124)=D$92,F124,D$92-SUM(E$99:E124))</f>
        <v>1728978.7115485836</v>
      </c>
      <c r="E125" s="71">
        <f>IF(+J96&lt;F124,J96,D125)</f>
        <v>109272.38097560976</v>
      </c>
      <c r="F125" s="70">
        <f t="shared" si="49"/>
        <v>1619706.3305729739</v>
      </c>
      <c r="G125" s="70">
        <f t="shared" si="50"/>
        <v>1674342.5210607788</v>
      </c>
      <c r="H125" s="73">
        <f t="shared" si="51"/>
        <v>299334.07693523174</v>
      </c>
      <c r="I125" s="127">
        <f t="shared" si="52"/>
        <v>299334.07693523174</v>
      </c>
      <c r="J125" s="69">
        <f t="shared" si="31"/>
        <v>0</v>
      </c>
      <c r="K125" s="69"/>
      <c r="L125" s="150"/>
      <c r="M125" s="69">
        <f t="shared" si="32"/>
        <v>0</v>
      </c>
      <c r="N125" s="150"/>
      <c r="O125" s="69">
        <f t="shared" si="33"/>
        <v>0</v>
      </c>
      <c r="P125" s="69">
        <f t="shared" si="34"/>
        <v>0</v>
      </c>
      <c r="Q125" s="1"/>
    </row>
    <row r="126" spans="2:17">
      <c r="B126" s="9" t="str">
        <f t="shared" si="37"/>
        <v/>
      </c>
      <c r="C126" s="64">
        <f>IF(D93="","-",+C125+1)</f>
        <v>2035</v>
      </c>
      <c r="D126" s="65">
        <f>IF(F125+SUM(E$99:E125)=D$92,F125,D$92-SUM(E$99:E125))</f>
        <v>1619706.3305729739</v>
      </c>
      <c r="E126" s="71">
        <f>IF(+J96&lt;F125,J96,D126)</f>
        <v>109272.38097560976</v>
      </c>
      <c r="F126" s="70">
        <f t="shared" si="49"/>
        <v>1510433.9495973643</v>
      </c>
      <c r="G126" s="70">
        <f t="shared" si="50"/>
        <v>1565070.1400851691</v>
      </c>
      <c r="H126" s="73">
        <f t="shared" si="51"/>
        <v>286930.10714498092</v>
      </c>
      <c r="I126" s="127">
        <f t="shared" si="52"/>
        <v>286930.10714498092</v>
      </c>
      <c r="J126" s="69">
        <f t="shared" si="31"/>
        <v>0</v>
      </c>
      <c r="K126" s="69"/>
      <c r="L126" s="150"/>
      <c r="M126" s="69">
        <f t="shared" si="32"/>
        <v>0</v>
      </c>
      <c r="N126" s="150"/>
      <c r="O126" s="69">
        <f t="shared" si="33"/>
        <v>0</v>
      </c>
      <c r="P126" s="69">
        <f t="shared" si="34"/>
        <v>0</v>
      </c>
      <c r="Q126" s="1"/>
    </row>
    <row r="127" spans="2:17">
      <c r="B127" s="9" t="str">
        <f t="shared" si="37"/>
        <v/>
      </c>
      <c r="C127" s="64">
        <f>IF(D93="","-",+C126+1)</f>
        <v>2036</v>
      </c>
      <c r="D127" s="65">
        <f>IF(F126+SUM(E$99:E126)=D$92,F126,D$92-SUM(E$99:E126))</f>
        <v>1510433.9495973643</v>
      </c>
      <c r="E127" s="71">
        <f>IF(+J96&lt;F126,J96,D127)</f>
        <v>109272.38097560976</v>
      </c>
      <c r="F127" s="70">
        <f t="shared" si="49"/>
        <v>1401161.5686217546</v>
      </c>
      <c r="G127" s="70">
        <f t="shared" si="50"/>
        <v>1455797.7591095595</v>
      </c>
      <c r="H127" s="73">
        <f t="shared" si="51"/>
        <v>274526.1373547301</v>
      </c>
      <c r="I127" s="127">
        <f t="shared" si="52"/>
        <v>274526.1373547301</v>
      </c>
      <c r="J127" s="69">
        <f t="shared" si="31"/>
        <v>0</v>
      </c>
      <c r="K127" s="69"/>
      <c r="L127" s="150"/>
      <c r="M127" s="69">
        <f t="shared" si="32"/>
        <v>0</v>
      </c>
      <c r="N127" s="150"/>
      <c r="O127" s="69">
        <f t="shared" si="33"/>
        <v>0</v>
      </c>
      <c r="P127" s="69">
        <f t="shared" si="34"/>
        <v>0</v>
      </c>
      <c r="Q127" s="1"/>
    </row>
    <row r="128" spans="2:17">
      <c r="B128" s="9" t="str">
        <f t="shared" si="37"/>
        <v/>
      </c>
      <c r="C128" s="64">
        <f>IF(D93="","-",+C127+1)</f>
        <v>2037</v>
      </c>
      <c r="D128" s="65">
        <f>IF(F127+SUM(E$99:E127)=D$92,F127,D$92-SUM(E$99:E127))</f>
        <v>1401161.5686217546</v>
      </c>
      <c r="E128" s="71">
        <f>IF(+J96&lt;F127,J96,D128)</f>
        <v>109272.38097560976</v>
      </c>
      <c r="F128" s="70">
        <f t="shared" si="49"/>
        <v>1291889.187646145</v>
      </c>
      <c r="G128" s="70">
        <f t="shared" si="50"/>
        <v>1346525.3781339498</v>
      </c>
      <c r="H128" s="73">
        <f t="shared" si="51"/>
        <v>262122.16756447926</v>
      </c>
      <c r="I128" s="127">
        <f t="shared" si="52"/>
        <v>262122.16756447926</v>
      </c>
      <c r="J128" s="69">
        <f t="shared" si="31"/>
        <v>0</v>
      </c>
      <c r="K128" s="69"/>
      <c r="L128" s="150"/>
      <c r="M128" s="69">
        <f t="shared" si="32"/>
        <v>0</v>
      </c>
      <c r="N128" s="150"/>
      <c r="O128" s="69">
        <f t="shared" si="33"/>
        <v>0</v>
      </c>
      <c r="P128" s="69">
        <f t="shared" si="34"/>
        <v>0</v>
      </c>
      <c r="Q128" s="1"/>
    </row>
    <row r="129" spans="2:17">
      <c r="B129" s="9" t="str">
        <f t="shared" si="37"/>
        <v/>
      </c>
      <c r="C129" s="64">
        <f>IF(D93="","-",+C128+1)</f>
        <v>2038</v>
      </c>
      <c r="D129" s="65">
        <f>IF(F128+SUM(E$99:E128)=D$92,F128,D$92-SUM(E$99:E128))</f>
        <v>1291889.187646145</v>
      </c>
      <c r="E129" s="71">
        <f>IF(+J96&lt;F128,J96,D129)</f>
        <v>109272.38097560976</v>
      </c>
      <c r="F129" s="70">
        <f t="shared" si="49"/>
        <v>1182616.8066705354</v>
      </c>
      <c r="G129" s="70">
        <f t="shared" si="50"/>
        <v>1237252.9971583402</v>
      </c>
      <c r="H129" s="73">
        <f t="shared" si="51"/>
        <v>249718.19777422844</v>
      </c>
      <c r="I129" s="127">
        <f t="shared" si="52"/>
        <v>249718.19777422844</v>
      </c>
      <c r="J129" s="69">
        <f t="shared" si="31"/>
        <v>0</v>
      </c>
      <c r="K129" s="69"/>
      <c r="L129" s="150"/>
      <c r="M129" s="69">
        <f t="shared" si="32"/>
        <v>0</v>
      </c>
      <c r="N129" s="150"/>
      <c r="O129" s="69">
        <f t="shared" si="33"/>
        <v>0</v>
      </c>
      <c r="P129" s="69">
        <f t="shared" si="34"/>
        <v>0</v>
      </c>
      <c r="Q129" s="1"/>
    </row>
    <row r="130" spans="2:17">
      <c r="B130" s="9" t="str">
        <f t="shared" si="37"/>
        <v/>
      </c>
      <c r="C130" s="64">
        <f>IF(D93="","-",+C129+1)</f>
        <v>2039</v>
      </c>
      <c r="D130" s="65">
        <f>IF(F129+SUM(E$99:E129)=D$92,F129,D$92-SUM(E$99:E129))</f>
        <v>1182616.8066705354</v>
      </c>
      <c r="E130" s="71">
        <f>IF(+J96&lt;F129,J96,D130)</f>
        <v>109272.38097560976</v>
      </c>
      <c r="F130" s="70">
        <f t="shared" si="49"/>
        <v>1073344.4256949257</v>
      </c>
      <c r="G130" s="70">
        <f t="shared" si="50"/>
        <v>1127980.6161827305</v>
      </c>
      <c r="H130" s="73">
        <f t="shared" si="51"/>
        <v>237314.22798397765</v>
      </c>
      <c r="I130" s="127">
        <f t="shared" si="52"/>
        <v>237314.22798397765</v>
      </c>
      <c r="J130" s="69">
        <f t="shared" si="31"/>
        <v>0</v>
      </c>
      <c r="K130" s="69"/>
      <c r="L130" s="150"/>
      <c r="M130" s="69">
        <f t="shared" si="32"/>
        <v>0</v>
      </c>
      <c r="N130" s="150"/>
      <c r="O130" s="69">
        <f t="shared" si="33"/>
        <v>0</v>
      </c>
      <c r="P130" s="69">
        <f t="shared" si="34"/>
        <v>0</v>
      </c>
      <c r="Q130" s="1"/>
    </row>
    <row r="131" spans="2:17">
      <c r="B131" s="9" t="str">
        <f t="shared" si="37"/>
        <v/>
      </c>
      <c r="C131" s="64">
        <f>IF(D93="","-",+C130+1)</f>
        <v>2040</v>
      </c>
      <c r="D131" s="65">
        <f>IF(F130+SUM(E$99:E130)=D$92,F130,D$92-SUM(E$99:E130))</f>
        <v>1073344.4256949257</v>
      </c>
      <c r="E131" s="71">
        <f>IF(+J96&lt;F130,J96,D131)</f>
        <v>109272.38097560976</v>
      </c>
      <c r="F131" s="70">
        <f t="shared" ref="F131:F154" si="53">+D131-E131</f>
        <v>964072.04471931595</v>
      </c>
      <c r="G131" s="70">
        <f t="shared" ref="G131:G154" si="54">+(F131+D131)/2</f>
        <v>1018708.2352071209</v>
      </c>
      <c r="H131" s="73">
        <f t="shared" si="51"/>
        <v>224910.2581937268</v>
      </c>
      <c r="I131" s="127">
        <f t="shared" si="52"/>
        <v>224910.2581937268</v>
      </c>
      <c r="J131" s="69">
        <f t="shared" ref="J131:J154" si="55">+I131-H131</f>
        <v>0</v>
      </c>
      <c r="K131" s="69"/>
      <c r="L131" s="150"/>
      <c r="M131" s="69">
        <f t="shared" ref="M131:M154" si="56">IF(L131&lt;&gt;0,+H131-L131,0)</f>
        <v>0</v>
      </c>
      <c r="N131" s="150"/>
      <c r="O131" s="69">
        <f t="shared" ref="O131:O154" si="57">IF(N131&lt;&gt;0,+I131-N131,0)</f>
        <v>0</v>
      </c>
      <c r="P131" s="69">
        <f t="shared" ref="P131:P154" si="58">+O131-M131</f>
        <v>0</v>
      </c>
      <c r="Q131" s="1"/>
    </row>
    <row r="132" spans="2:17">
      <c r="B132" s="9" t="str">
        <f t="shared" si="37"/>
        <v/>
      </c>
      <c r="C132" s="64">
        <f>IF(D93="","-",+C131+1)</f>
        <v>2041</v>
      </c>
      <c r="D132" s="65">
        <f>IF(F131+SUM(E$99:E131)=D$92,F131,D$92-SUM(E$99:E131))</f>
        <v>964072.04471931595</v>
      </c>
      <c r="E132" s="71">
        <f>IF(+J96&lt;F131,J96,D132)</f>
        <v>109272.38097560976</v>
      </c>
      <c r="F132" s="70">
        <f t="shared" si="53"/>
        <v>854799.66374370619</v>
      </c>
      <c r="G132" s="70">
        <f t="shared" si="54"/>
        <v>909435.85423151101</v>
      </c>
      <c r="H132" s="73">
        <f t="shared" si="51"/>
        <v>212506.28840347595</v>
      </c>
      <c r="I132" s="127">
        <f t="shared" si="52"/>
        <v>212506.28840347595</v>
      </c>
      <c r="J132" s="69">
        <f t="shared" si="55"/>
        <v>0</v>
      </c>
      <c r="K132" s="69"/>
      <c r="L132" s="150"/>
      <c r="M132" s="69">
        <f t="shared" si="56"/>
        <v>0</v>
      </c>
      <c r="N132" s="150"/>
      <c r="O132" s="69">
        <f t="shared" si="57"/>
        <v>0</v>
      </c>
      <c r="P132" s="69">
        <f t="shared" si="58"/>
        <v>0</v>
      </c>
      <c r="Q132" s="1"/>
    </row>
    <row r="133" spans="2:17">
      <c r="B133" s="9" t="str">
        <f t="shared" si="37"/>
        <v/>
      </c>
      <c r="C133" s="64">
        <f>IF(D93="","-",+C132+1)</f>
        <v>2042</v>
      </c>
      <c r="D133" s="65">
        <f>IF(F132+SUM(E$99:E132)=D$92,F132,D$92-SUM(E$99:E132))</f>
        <v>854799.66374370619</v>
      </c>
      <c r="E133" s="71">
        <f>IF(+J96&lt;F132,J96,D133)</f>
        <v>109272.38097560976</v>
      </c>
      <c r="F133" s="70">
        <f t="shared" si="53"/>
        <v>745527.28276809643</v>
      </c>
      <c r="G133" s="70">
        <f t="shared" si="54"/>
        <v>800163.47325590136</v>
      </c>
      <c r="H133" s="73">
        <f t="shared" si="51"/>
        <v>200102.31861322513</v>
      </c>
      <c r="I133" s="127">
        <f t="shared" si="52"/>
        <v>200102.31861322513</v>
      </c>
      <c r="J133" s="69">
        <f t="shared" si="55"/>
        <v>0</v>
      </c>
      <c r="K133" s="69"/>
      <c r="L133" s="150"/>
      <c r="M133" s="69">
        <f t="shared" si="56"/>
        <v>0</v>
      </c>
      <c r="N133" s="150"/>
      <c r="O133" s="69">
        <f t="shared" si="57"/>
        <v>0</v>
      </c>
      <c r="P133" s="69">
        <f t="shared" si="58"/>
        <v>0</v>
      </c>
      <c r="Q133" s="1"/>
    </row>
    <row r="134" spans="2:17">
      <c r="B134" s="9" t="str">
        <f t="shared" si="37"/>
        <v/>
      </c>
      <c r="C134" s="64">
        <f>IF(D93="","-",+C133+1)</f>
        <v>2043</v>
      </c>
      <c r="D134" s="65">
        <f>IF(F133+SUM(E$99:E133)=D$92,F133,D$92-SUM(E$99:E133))</f>
        <v>745527.28276809643</v>
      </c>
      <c r="E134" s="71">
        <f>IF(+J96&lt;F133,J96,D134)</f>
        <v>109272.38097560976</v>
      </c>
      <c r="F134" s="70">
        <f t="shared" si="53"/>
        <v>636254.90179248666</v>
      </c>
      <c r="G134" s="70">
        <f t="shared" si="54"/>
        <v>690891.09228029149</v>
      </c>
      <c r="H134" s="73">
        <f t="shared" si="51"/>
        <v>187698.34882297428</v>
      </c>
      <c r="I134" s="127">
        <f t="shared" si="52"/>
        <v>187698.34882297428</v>
      </c>
      <c r="J134" s="69">
        <f t="shared" si="55"/>
        <v>0</v>
      </c>
      <c r="K134" s="69"/>
      <c r="L134" s="150"/>
      <c r="M134" s="69">
        <f t="shared" si="56"/>
        <v>0</v>
      </c>
      <c r="N134" s="150"/>
      <c r="O134" s="69">
        <f t="shared" si="57"/>
        <v>0</v>
      </c>
      <c r="P134" s="69">
        <f t="shared" si="58"/>
        <v>0</v>
      </c>
      <c r="Q134" s="1"/>
    </row>
    <row r="135" spans="2:17">
      <c r="B135" s="9" t="str">
        <f t="shared" si="37"/>
        <v/>
      </c>
      <c r="C135" s="64">
        <f>IF(D93="","-",+C134+1)</f>
        <v>2044</v>
      </c>
      <c r="D135" s="65">
        <f>IF(F134+SUM(E$99:E134)=D$92,F134,D$92-SUM(E$99:E134))</f>
        <v>636254.90179248666</v>
      </c>
      <c r="E135" s="71">
        <f>IF(+J96&lt;F134,J96,D135)</f>
        <v>109272.38097560976</v>
      </c>
      <c r="F135" s="70">
        <f t="shared" si="53"/>
        <v>526982.5208168769</v>
      </c>
      <c r="G135" s="70">
        <f t="shared" si="54"/>
        <v>581618.71130468184</v>
      </c>
      <c r="H135" s="73">
        <f t="shared" si="51"/>
        <v>175294.37903272346</v>
      </c>
      <c r="I135" s="127">
        <f t="shared" si="52"/>
        <v>175294.37903272346</v>
      </c>
      <c r="J135" s="69">
        <f t="shared" si="55"/>
        <v>0</v>
      </c>
      <c r="K135" s="69"/>
      <c r="L135" s="150"/>
      <c r="M135" s="69">
        <f t="shared" si="56"/>
        <v>0</v>
      </c>
      <c r="N135" s="150"/>
      <c r="O135" s="69">
        <f t="shared" si="57"/>
        <v>0</v>
      </c>
      <c r="P135" s="69">
        <f t="shared" si="58"/>
        <v>0</v>
      </c>
      <c r="Q135" s="1"/>
    </row>
    <row r="136" spans="2:17">
      <c r="B136" s="9" t="str">
        <f t="shared" si="37"/>
        <v/>
      </c>
      <c r="C136" s="64">
        <f>IF(D93="","-",+C135+1)</f>
        <v>2045</v>
      </c>
      <c r="D136" s="65">
        <f>IF(F135+SUM(E$99:E135)=D$92,F135,D$92-SUM(E$99:E135))</f>
        <v>526982.5208168769</v>
      </c>
      <c r="E136" s="71">
        <f>IF(+J96&lt;F135,J96,D136)</f>
        <v>109272.38097560976</v>
      </c>
      <c r="F136" s="70">
        <f t="shared" si="53"/>
        <v>417710.13984126714</v>
      </c>
      <c r="G136" s="70">
        <f t="shared" si="54"/>
        <v>472346.33032907202</v>
      </c>
      <c r="H136" s="73">
        <f t="shared" si="51"/>
        <v>162890.40924247261</v>
      </c>
      <c r="I136" s="127">
        <f t="shared" si="52"/>
        <v>162890.40924247261</v>
      </c>
      <c r="J136" s="69">
        <f t="shared" si="55"/>
        <v>0</v>
      </c>
      <c r="K136" s="69"/>
      <c r="L136" s="150"/>
      <c r="M136" s="69">
        <f t="shared" si="56"/>
        <v>0</v>
      </c>
      <c r="N136" s="150"/>
      <c r="O136" s="69">
        <f t="shared" si="57"/>
        <v>0</v>
      </c>
      <c r="P136" s="69">
        <f t="shared" si="58"/>
        <v>0</v>
      </c>
      <c r="Q136" s="1"/>
    </row>
    <row r="137" spans="2:17">
      <c r="B137" s="9" t="str">
        <f t="shared" si="37"/>
        <v/>
      </c>
      <c r="C137" s="64">
        <f>IF(D93="","-",+C136+1)</f>
        <v>2046</v>
      </c>
      <c r="D137" s="65">
        <f>IF(F136+SUM(E$99:E136)=D$92,F136,D$92-SUM(E$99:E136))</f>
        <v>417710.13984126714</v>
      </c>
      <c r="E137" s="71">
        <f>IF(+J96&lt;F136,J96,D137)</f>
        <v>109272.38097560976</v>
      </c>
      <c r="F137" s="70">
        <f t="shared" si="53"/>
        <v>308437.75886565738</v>
      </c>
      <c r="G137" s="70">
        <f t="shared" si="54"/>
        <v>363073.94935346226</v>
      </c>
      <c r="H137" s="73">
        <f t="shared" si="51"/>
        <v>150486.43945222179</v>
      </c>
      <c r="I137" s="127">
        <f t="shared" si="52"/>
        <v>150486.43945222179</v>
      </c>
      <c r="J137" s="69">
        <f t="shared" si="55"/>
        <v>0</v>
      </c>
      <c r="K137" s="69"/>
      <c r="L137" s="150"/>
      <c r="M137" s="69">
        <f t="shared" si="56"/>
        <v>0</v>
      </c>
      <c r="N137" s="150"/>
      <c r="O137" s="69">
        <f t="shared" si="57"/>
        <v>0</v>
      </c>
      <c r="P137" s="69">
        <f t="shared" si="58"/>
        <v>0</v>
      </c>
      <c r="Q137" s="1"/>
    </row>
    <row r="138" spans="2:17">
      <c r="B138" s="9" t="str">
        <f t="shared" si="37"/>
        <v/>
      </c>
      <c r="C138" s="64">
        <f>IF(D93="","-",+C137+1)</f>
        <v>2047</v>
      </c>
      <c r="D138" s="65">
        <f>IF(F137+SUM(E$99:E137)=D$92,F137,D$92-SUM(E$99:E137))</f>
        <v>308437.75886565738</v>
      </c>
      <c r="E138" s="71">
        <f>IF(+J96&lt;F137,J96,D138)</f>
        <v>109272.38097560976</v>
      </c>
      <c r="F138" s="70">
        <f t="shared" si="53"/>
        <v>199165.37789004762</v>
      </c>
      <c r="G138" s="70">
        <f t="shared" si="54"/>
        <v>253801.5683778525</v>
      </c>
      <c r="H138" s="73">
        <f t="shared" si="51"/>
        <v>138082.46966197094</v>
      </c>
      <c r="I138" s="127">
        <f t="shared" si="52"/>
        <v>138082.46966197094</v>
      </c>
      <c r="J138" s="69">
        <f t="shared" si="55"/>
        <v>0</v>
      </c>
      <c r="K138" s="69"/>
      <c r="L138" s="150"/>
      <c r="M138" s="69">
        <f t="shared" si="56"/>
        <v>0</v>
      </c>
      <c r="N138" s="150"/>
      <c r="O138" s="69">
        <f t="shared" si="57"/>
        <v>0</v>
      </c>
      <c r="P138" s="69">
        <f t="shared" si="58"/>
        <v>0</v>
      </c>
      <c r="Q138" s="1"/>
    </row>
    <row r="139" spans="2:17">
      <c r="B139" s="9" t="str">
        <f t="shared" si="37"/>
        <v/>
      </c>
      <c r="C139" s="64">
        <f>IF(D93="","-",+C138+1)</f>
        <v>2048</v>
      </c>
      <c r="D139" s="65">
        <f>IF(F138+SUM(E$99:E138)=D$92,F138,D$92-SUM(E$99:E138))</f>
        <v>199165.37789004762</v>
      </c>
      <c r="E139" s="71">
        <f>IF(+J96&lt;F138,J96,D139)</f>
        <v>109272.38097560976</v>
      </c>
      <c r="F139" s="70">
        <f t="shared" si="53"/>
        <v>89892.996914437856</v>
      </c>
      <c r="G139" s="70">
        <f t="shared" si="54"/>
        <v>144529.18740224274</v>
      </c>
      <c r="H139" s="73">
        <f t="shared" si="51"/>
        <v>125678.49987172011</v>
      </c>
      <c r="I139" s="127">
        <f t="shared" si="52"/>
        <v>125678.49987172011</v>
      </c>
      <c r="J139" s="69">
        <f t="shared" si="55"/>
        <v>0</v>
      </c>
      <c r="K139" s="69"/>
      <c r="L139" s="150"/>
      <c r="M139" s="69">
        <f t="shared" si="56"/>
        <v>0</v>
      </c>
      <c r="N139" s="150"/>
      <c r="O139" s="69">
        <f t="shared" si="57"/>
        <v>0</v>
      </c>
      <c r="P139" s="69">
        <f t="shared" si="58"/>
        <v>0</v>
      </c>
      <c r="Q139" s="1"/>
    </row>
    <row r="140" spans="2:17">
      <c r="B140" s="9" t="str">
        <f t="shared" si="37"/>
        <v/>
      </c>
      <c r="C140" s="64">
        <f>IF(D93="","-",+C139+1)</f>
        <v>2049</v>
      </c>
      <c r="D140" s="65">
        <f>IF(F139+SUM(E$99:E139)=D$92,F139,D$92-SUM(E$99:E139))</f>
        <v>89892.996914437856</v>
      </c>
      <c r="E140" s="71">
        <f>IF(+J96&lt;F139,J96,D140)</f>
        <v>89892.996914437856</v>
      </c>
      <c r="F140" s="70">
        <f t="shared" si="53"/>
        <v>0</v>
      </c>
      <c r="G140" s="70">
        <f t="shared" si="54"/>
        <v>44946.498457218928</v>
      </c>
      <c r="H140" s="73">
        <f t="shared" si="51"/>
        <v>94995.063914930317</v>
      </c>
      <c r="I140" s="127">
        <f t="shared" si="52"/>
        <v>94995.063914930317</v>
      </c>
      <c r="J140" s="69">
        <f t="shared" si="55"/>
        <v>0</v>
      </c>
      <c r="K140" s="69"/>
      <c r="L140" s="150"/>
      <c r="M140" s="69">
        <f t="shared" si="56"/>
        <v>0</v>
      </c>
      <c r="N140" s="150"/>
      <c r="O140" s="69">
        <f t="shared" si="57"/>
        <v>0</v>
      </c>
      <c r="P140" s="69">
        <f t="shared" si="58"/>
        <v>0</v>
      </c>
      <c r="Q140" s="1"/>
    </row>
    <row r="141" spans="2:17">
      <c r="B141" s="9" t="str">
        <f t="shared" si="37"/>
        <v/>
      </c>
      <c r="C141" s="64">
        <f>IF(D93="","-",+C140+1)</f>
        <v>2050</v>
      </c>
      <c r="D141" s="65">
        <f>IF(F140+SUM(E$99:E140)=D$92,F140,D$92-SUM(E$99:E140))</f>
        <v>0</v>
      </c>
      <c r="E141" s="71">
        <f>IF(+J96&lt;F140,J96,D141)</f>
        <v>0</v>
      </c>
      <c r="F141" s="70">
        <f t="shared" si="53"/>
        <v>0</v>
      </c>
      <c r="G141" s="70">
        <f t="shared" si="54"/>
        <v>0</v>
      </c>
      <c r="H141" s="73">
        <f t="shared" si="51"/>
        <v>0</v>
      </c>
      <c r="I141" s="127">
        <f t="shared" si="52"/>
        <v>0</v>
      </c>
      <c r="J141" s="69">
        <f t="shared" si="55"/>
        <v>0</v>
      </c>
      <c r="K141" s="69"/>
      <c r="L141" s="150"/>
      <c r="M141" s="69">
        <f t="shared" si="56"/>
        <v>0</v>
      </c>
      <c r="N141" s="150"/>
      <c r="O141" s="69">
        <f t="shared" si="57"/>
        <v>0</v>
      </c>
      <c r="P141" s="69">
        <f t="shared" si="58"/>
        <v>0</v>
      </c>
      <c r="Q141" s="1"/>
    </row>
    <row r="142" spans="2:17">
      <c r="B142" s="9" t="str">
        <f t="shared" si="37"/>
        <v/>
      </c>
      <c r="C142" s="64">
        <f>IF(D93="","-",+C141+1)</f>
        <v>2051</v>
      </c>
      <c r="D142" s="65">
        <f>IF(F141+SUM(E$99:E141)=D$92,F141,D$92-SUM(E$99:E141))</f>
        <v>0</v>
      </c>
      <c r="E142" s="71">
        <f>IF(+J96&lt;F141,J96,D142)</f>
        <v>0</v>
      </c>
      <c r="F142" s="70">
        <f t="shared" si="53"/>
        <v>0</v>
      </c>
      <c r="G142" s="70">
        <f t="shared" si="54"/>
        <v>0</v>
      </c>
      <c r="H142" s="73">
        <f t="shared" si="51"/>
        <v>0</v>
      </c>
      <c r="I142" s="127">
        <f t="shared" si="52"/>
        <v>0</v>
      </c>
      <c r="J142" s="69">
        <f t="shared" si="55"/>
        <v>0</v>
      </c>
      <c r="K142" s="69"/>
      <c r="L142" s="150"/>
      <c r="M142" s="69">
        <f t="shared" si="56"/>
        <v>0</v>
      </c>
      <c r="N142" s="150"/>
      <c r="O142" s="69">
        <f t="shared" si="57"/>
        <v>0</v>
      </c>
      <c r="P142" s="69">
        <f t="shared" si="58"/>
        <v>0</v>
      </c>
      <c r="Q142" s="1"/>
    </row>
    <row r="143" spans="2:17">
      <c r="B143" s="9" t="str">
        <f t="shared" si="37"/>
        <v/>
      </c>
      <c r="C143" s="64">
        <f>IF(D93="","-",+C142+1)</f>
        <v>2052</v>
      </c>
      <c r="D143" s="65">
        <f>IF(F142+SUM(E$99:E142)=D$92,F142,D$92-SUM(E$99:E142))</f>
        <v>0</v>
      </c>
      <c r="E143" s="71">
        <f>IF(+J96&lt;F142,J96,D143)</f>
        <v>0</v>
      </c>
      <c r="F143" s="70">
        <f t="shared" si="53"/>
        <v>0</v>
      </c>
      <c r="G143" s="70">
        <f t="shared" si="54"/>
        <v>0</v>
      </c>
      <c r="H143" s="73">
        <f t="shared" si="51"/>
        <v>0</v>
      </c>
      <c r="I143" s="127">
        <f t="shared" si="52"/>
        <v>0</v>
      </c>
      <c r="J143" s="69">
        <f t="shared" si="55"/>
        <v>0</v>
      </c>
      <c r="K143" s="69"/>
      <c r="L143" s="150"/>
      <c r="M143" s="69">
        <f t="shared" si="56"/>
        <v>0</v>
      </c>
      <c r="N143" s="150"/>
      <c r="O143" s="69">
        <f t="shared" si="57"/>
        <v>0</v>
      </c>
      <c r="P143" s="69">
        <f t="shared" si="58"/>
        <v>0</v>
      </c>
      <c r="Q143" s="1"/>
    </row>
    <row r="144" spans="2:17">
      <c r="B144" s="9" t="str">
        <f t="shared" si="37"/>
        <v/>
      </c>
      <c r="C144" s="64">
        <f>IF(D93="","-",+C143+1)</f>
        <v>2053</v>
      </c>
      <c r="D144" s="65">
        <f>IF(F143+SUM(E$99:E143)=D$92,F143,D$92-SUM(E$99:E143))</f>
        <v>0</v>
      </c>
      <c r="E144" s="71">
        <f>IF(+J96&lt;F143,J96,D144)</f>
        <v>0</v>
      </c>
      <c r="F144" s="70">
        <f t="shared" si="53"/>
        <v>0</v>
      </c>
      <c r="G144" s="70">
        <f t="shared" si="54"/>
        <v>0</v>
      </c>
      <c r="H144" s="73">
        <f t="shared" si="51"/>
        <v>0</v>
      </c>
      <c r="I144" s="127">
        <f t="shared" si="52"/>
        <v>0</v>
      </c>
      <c r="J144" s="69">
        <f t="shared" si="55"/>
        <v>0</v>
      </c>
      <c r="K144" s="69"/>
      <c r="L144" s="150"/>
      <c r="M144" s="69">
        <f t="shared" si="56"/>
        <v>0</v>
      </c>
      <c r="N144" s="150"/>
      <c r="O144" s="69">
        <f t="shared" si="57"/>
        <v>0</v>
      </c>
      <c r="P144" s="69">
        <f t="shared" si="58"/>
        <v>0</v>
      </c>
      <c r="Q144" s="1"/>
    </row>
    <row r="145" spans="2:17">
      <c r="B145" s="9" t="str">
        <f t="shared" si="37"/>
        <v/>
      </c>
      <c r="C145" s="64">
        <f>IF(D93="","-",+C144+1)</f>
        <v>2054</v>
      </c>
      <c r="D145" s="65">
        <f>IF(F144+SUM(E$99:E144)=D$92,F144,D$92-SUM(E$99:E144))</f>
        <v>0</v>
      </c>
      <c r="E145" s="71">
        <f>IF(+J96&lt;F144,J96,D145)</f>
        <v>0</v>
      </c>
      <c r="F145" s="70">
        <f t="shared" si="53"/>
        <v>0</v>
      </c>
      <c r="G145" s="70">
        <f t="shared" si="54"/>
        <v>0</v>
      </c>
      <c r="H145" s="73">
        <f t="shared" si="51"/>
        <v>0</v>
      </c>
      <c r="I145" s="127">
        <f t="shared" si="52"/>
        <v>0</v>
      </c>
      <c r="J145" s="69">
        <f t="shared" si="55"/>
        <v>0</v>
      </c>
      <c r="K145" s="69"/>
      <c r="L145" s="150"/>
      <c r="M145" s="69">
        <f t="shared" si="56"/>
        <v>0</v>
      </c>
      <c r="N145" s="150"/>
      <c r="O145" s="69">
        <f t="shared" si="57"/>
        <v>0</v>
      </c>
      <c r="P145" s="69">
        <f t="shared" si="58"/>
        <v>0</v>
      </c>
      <c r="Q145" s="1"/>
    </row>
    <row r="146" spans="2:17">
      <c r="B146" s="9" t="str">
        <f t="shared" si="37"/>
        <v/>
      </c>
      <c r="C146" s="64">
        <f>IF(D93="","-",+C145+1)</f>
        <v>2055</v>
      </c>
      <c r="D146" s="65">
        <f>IF(F145+SUM(E$99:E145)=D$92,F145,D$92-SUM(E$99:E145))</f>
        <v>0</v>
      </c>
      <c r="E146" s="71">
        <f>IF(+J96&lt;F145,J96,D146)</f>
        <v>0</v>
      </c>
      <c r="F146" s="70">
        <f t="shared" si="53"/>
        <v>0</v>
      </c>
      <c r="G146" s="70">
        <f t="shared" si="54"/>
        <v>0</v>
      </c>
      <c r="H146" s="73">
        <f t="shared" si="51"/>
        <v>0</v>
      </c>
      <c r="I146" s="127">
        <f t="shared" si="52"/>
        <v>0</v>
      </c>
      <c r="J146" s="69">
        <f t="shared" si="55"/>
        <v>0</v>
      </c>
      <c r="K146" s="69"/>
      <c r="L146" s="150"/>
      <c r="M146" s="69">
        <f t="shared" si="56"/>
        <v>0</v>
      </c>
      <c r="N146" s="150"/>
      <c r="O146" s="69">
        <f t="shared" si="57"/>
        <v>0</v>
      </c>
      <c r="P146" s="69">
        <f t="shared" si="58"/>
        <v>0</v>
      </c>
      <c r="Q146" s="1"/>
    </row>
    <row r="147" spans="2:17">
      <c r="B147" s="9" t="str">
        <f t="shared" si="37"/>
        <v/>
      </c>
      <c r="C147" s="64">
        <f>IF(D93="","-",+C146+1)</f>
        <v>2056</v>
      </c>
      <c r="D147" s="65">
        <f>IF(F146+SUM(E$99:E146)=D$92,F146,D$92-SUM(E$99:E146))</f>
        <v>0</v>
      </c>
      <c r="E147" s="71">
        <f>IF(+J96&lt;F146,J96,D147)</f>
        <v>0</v>
      </c>
      <c r="F147" s="70">
        <f t="shared" si="53"/>
        <v>0</v>
      </c>
      <c r="G147" s="70">
        <f t="shared" si="54"/>
        <v>0</v>
      </c>
      <c r="H147" s="73">
        <f t="shared" si="51"/>
        <v>0</v>
      </c>
      <c r="I147" s="127">
        <f t="shared" si="52"/>
        <v>0</v>
      </c>
      <c r="J147" s="69">
        <f t="shared" si="55"/>
        <v>0</v>
      </c>
      <c r="K147" s="69"/>
      <c r="L147" s="150"/>
      <c r="M147" s="69">
        <f t="shared" si="56"/>
        <v>0</v>
      </c>
      <c r="N147" s="150"/>
      <c r="O147" s="69">
        <f t="shared" si="57"/>
        <v>0</v>
      </c>
      <c r="P147" s="69">
        <f t="shared" si="58"/>
        <v>0</v>
      </c>
      <c r="Q147" s="1"/>
    </row>
    <row r="148" spans="2:17">
      <c r="B148" s="9" t="str">
        <f t="shared" si="37"/>
        <v/>
      </c>
      <c r="C148" s="64">
        <f>IF(D93="","-",+C147+1)</f>
        <v>2057</v>
      </c>
      <c r="D148" s="65">
        <f>IF(F147+SUM(E$99:E147)=D$92,F147,D$92-SUM(E$99:E147))</f>
        <v>0</v>
      </c>
      <c r="E148" s="71">
        <f>IF(+J96&lt;F147,J96,D148)</f>
        <v>0</v>
      </c>
      <c r="F148" s="70">
        <f t="shared" si="53"/>
        <v>0</v>
      </c>
      <c r="G148" s="70">
        <f t="shared" si="54"/>
        <v>0</v>
      </c>
      <c r="H148" s="73">
        <f t="shared" si="51"/>
        <v>0</v>
      </c>
      <c r="I148" s="127">
        <f t="shared" si="52"/>
        <v>0</v>
      </c>
      <c r="J148" s="69">
        <f t="shared" si="55"/>
        <v>0</v>
      </c>
      <c r="K148" s="69"/>
      <c r="L148" s="150"/>
      <c r="M148" s="69">
        <f t="shared" si="56"/>
        <v>0</v>
      </c>
      <c r="N148" s="150"/>
      <c r="O148" s="69">
        <f t="shared" si="57"/>
        <v>0</v>
      </c>
      <c r="P148" s="69">
        <f t="shared" si="58"/>
        <v>0</v>
      </c>
      <c r="Q148" s="1"/>
    </row>
    <row r="149" spans="2:17">
      <c r="B149" s="9" t="str">
        <f t="shared" si="37"/>
        <v/>
      </c>
      <c r="C149" s="64">
        <f>IF(D93="","-",+C148+1)</f>
        <v>2058</v>
      </c>
      <c r="D149" s="65">
        <f>IF(F148+SUM(E$99:E148)=D$92,F148,D$92-SUM(E$99:E148))</f>
        <v>0</v>
      </c>
      <c r="E149" s="71">
        <f>IF(+J96&lt;F148,J96,D149)</f>
        <v>0</v>
      </c>
      <c r="F149" s="70">
        <f t="shared" si="53"/>
        <v>0</v>
      </c>
      <c r="G149" s="70">
        <f t="shared" si="54"/>
        <v>0</v>
      </c>
      <c r="H149" s="73">
        <f t="shared" si="51"/>
        <v>0</v>
      </c>
      <c r="I149" s="127">
        <f t="shared" si="52"/>
        <v>0</v>
      </c>
      <c r="J149" s="69">
        <f t="shared" si="55"/>
        <v>0</v>
      </c>
      <c r="K149" s="69"/>
      <c r="L149" s="150"/>
      <c r="M149" s="69">
        <f t="shared" si="56"/>
        <v>0</v>
      </c>
      <c r="N149" s="150"/>
      <c r="O149" s="69">
        <f t="shared" si="57"/>
        <v>0</v>
      </c>
      <c r="P149" s="69">
        <f t="shared" si="58"/>
        <v>0</v>
      </c>
      <c r="Q149" s="1"/>
    </row>
    <row r="150" spans="2:17">
      <c r="B150" s="9" t="str">
        <f t="shared" si="37"/>
        <v/>
      </c>
      <c r="C150" s="64">
        <f>IF(D93="","-",+C149+1)</f>
        <v>2059</v>
      </c>
      <c r="D150" s="65">
        <f>IF(F149+SUM(E$99:E149)=D$92,F149,D$92-SUM(E$99:E149))</f>
        <v>0</v>
      </c>
      <c r="E150" s="71">
        <f>IF(+J96&lt;F149,J96,D150)</f>
        <v>0</v>
      </c>
      <c r="F150" s="70">
        <f t="shared" si="53"/>
        <v>0</v>
      </c>
      <c r="G150" s="70">
        <f t="shared" si="54"/>
        <v>0</v>
      </c>
      <c r="H150" s="73">
        <f t="shared" si="51"/>
        <v>0</v>
      </c>
      <c r="I150" s="127">
        <f t="shared" si="52"/>
        <v>0</v>
      </c>
      <c r="J150" s="69">
        <f t="shared" si="55"/>
        <v>0</v>
      </c>
      <c r="K150" s="69"/>
      <c r="L150" s="150"/>
      <c r="M150" s="69">
        <f t="shared" si="56"/>
        <v>0</v>
      </c>
      <c r="N150" s="150"/>
      <c r="O150" s="69">
        <f t="shared" si="57"/>
        <v>0</v>
      </c>
      <c r="P150" s="69">
        <f t="shared" si="58"/>
        <v>0</v>
      </c>
      <c r="Q150" s="1"/>
    </row>
    <row r="151" spans="2:17">
      <c r="B151" s="9" t="str">
        <f t="shared" si="37"/>
        <v/>
      </c>
      <c r="C151" s="64">
        <f>IF(D93="","-",+C150+1)</f>
        <v>2060</v>
      </c>
      <c r="D151" s="65">
        <f>IF(F150+SUM(E$99:E150)=D$92,F150,D$92-SUM(E$99:E150))</f>
        <v>0</v>
      </c>
      <c r="E151" s="71">
        <f>IF(+J96&lt;F150,J96,D151)</f>
        <v>0</v>
      </c>
      <c r="F151" s="70">
        <f t="shared" si="53"/>
        <v>0</v>
      </c>
      <c r="G151" s="70">
        <f t="shared" si="54"/>
        <v>0</v>
      </c>
      <c r="H151" s="73">
        <f t="shared" si="51"/>
        <v>0</v>
      </c>
      <c r="I151" s="127">
        <f t="shared" si="52"/>
        <v>0</v>
      </c>
      <c r="J151" s="69">
        <f t="shared" si="55"/>
        <v>0</v>
      </c>
      <c r="K151" s="69"/>
      <c r="L151" s="150"/>
      <c r="M151" s="69">
        <f t="shared" si="56"/>
        <v>0</v>
      </c>
      <c r="N151" s="150"/>
      <c r="O151" s="69">
        <f t="shared" si="57"/>
        <v>0</v>
      </c>
      <c r="P151" s="69">
        <f t="shared" si="58"/>
        <v>0</v>
      </c>
      <c r="Q151" s="1"/>
    </row>
    <row r="152" spans="2:17">
      <c r="B152" s="9" t="str">
        <f t="shared" si="37"/>
        <v/>
      </c>
      <c r="C152" s="64">
        <f>IF(D93="","-",+C151+1)</f>
        <v>2061</v>
      </c>
      <c r="D152" s="65">
        <f>IF(F151+SUM(E$99:E151)=D$92,F151,D$92-SUM(E$99:E151))</f>
        <v>0</v>
      </c>
      <c r="E152" s="71">
        <f>IF(+J96&lt;F151,J96,D152)</f>
        <v>0</v>
      </c>
      <c r="F152" s="70">
        <f t="shared" si="53"/>
        <v>0</v>
      </c>
      <c r="G152" s="70">
        <f t="shared" si="54"/>
        <v>0</v>
      </c>
      <c r="H152" s="73">
        <f t="shared" si="51"/>
        <v>0</v>
      </c>
      <c r="I152" s="127">
        <f t="shared" si="52"/>
        <v>0</v>
      </c>
      <c r="J152" s="69">
        <f t="shared" si="55"/>
        <v>0</v>
      </c>
      <c r="K152" s="69"/>
      <c r="L152" s="150"/>
      <c r="M152" s="69">
        <f t="shared" si="56"/>
        <v>0</v>
      </c>
      <c r="N152" s="150"/>
      <c r="O152" s="69">
        <f t="shared" si="57"/>
        <v>0</v>
      </c>
      <c r="P152" s="69">
        <f t="shared" si="58"/>
        <v>0</v>
      </c>
      <c r="Q152" s="1"/>
    </row>
    <row r="153" spans="2:17">
      <c r="B153" s="9" t="str">
        <f t="shared" si="37"/>
        <v/>
      </c>
      <c r="C153" s="64">
        <f>IF(D93="","-",+C152+1)</f>
        <v>2062</v>
      </c>
      <c r="D153" s="65">
        <f>IF(F152+SUM(E$99:E152)=D$92,F152,D$92-SUM(E$99:E152))</f>
        <v>0</v>
      </c>
      <c r="E153" s="71">
        <f>IF(+J96&lt;F152,J96,D153)</f>
        <v>0</v>
      </c>
      <c r="F153" s="70">
        <f t="shared" si="53"/>
        <v>0</v>
      </c>
      <c r="G153" s="70">
        <f t="shared" si="54"/>
        <v>0</v>
      </c>
      <c r="H153" s="73">
        <f t="shared" si="51"/>
        <v>0</v>
      </c>
      <c r="I153" s="127">
        <f t="shared" si="52"/>
        <v>0</v>
      </c>
      <c r="J153" s="69">
        <f t="shared" si="55"/>
        <v>0</v>
      </c>
      <c r="K153" s="69"/>
      <c r="L153" s="150"/>
      <c r="M153" s="69">
        <f t="shared" si="56"/>
        <v>0</v>
      </c>
      <c r="N153" s="150"/>
      <c r="O153" s="69">
        <f t="shared" si="57"/>
        <v>0</v>
      </c>
      <c r="P153" s="69">
        <f t="shared" si="58"/>
        <v>0</v>
      </c>
      <c r="Q153" s="1"/>
    </row>
    <row r="154" spans="2:17" ht="13.5" thickBot="1">
      <c r="B154" s="9" t="str">
        <f t="shared" si="37"/>
        <v/>
      </c>
      <c r="C154" s="74">
        <f>IF(D93="","-",+C153+1)</f>
        <v>2063</v>
      </c>
      <c r="D154" s="102">
        <f>IF(F153+SUM(E$99:E153)=D$92,F153,D$92-SUM(E$99:E153))</f>
        <v>0</v>
      </c>
      <c r="E154" s="76">
        <f>IF(+J96&lt;F153,J96,D154)</f>
        <v>0</v>
      </c>
      <c r="F154" s="75">
        <f t="shared" si="53"/>
        <v>0</v>
      </c>
      <c r="G154" s="75">
        <f t="shared" si="54"/>
        <v>0</v>
      </c>
      <c r="H154" s="77">
        <f t="shared" si="51"/>
        <v>0</v>
      </c>
      <c r="I154" s="128">
        <f t="shared" si="52"/>
        <v>0</v>
      </c>
      <c r="J154" s="79">
        <f t="shared" si="55"/>
        <v>0</v>
      </c>
      <c r="K154" s="69"/>
      <c r="L154" s="151"/>
      <c r="M154" s="79">
        <f t="shared" si="56"/>
        <v>0</v>
      </c>
      <c r="N154" s="151"/>
      <c r="O154" s="79">
        <f t="shared" si="57"/>
        <v>0</v>
      </c>
      <c r="P154" s="79">
        <f t="shared" si="58"/>
        <v>0</v>
      </c>
      <c r="Q154" s="1"/>
    </row>
    <row r="155" spans="2:17">
      <c r="C155" s="65" t="s">
        <v>78</v>
      </c>
      <c r="D155" s="22"/>
      <c r="E155" s="22">
        <f>SUM(E99:E154)</f>
        <v>4480167.62</v>
      </c>
      <c r="F155" s="22"/>
      <c r="G155" s="22"/>
      <c r="H155" s="22">
        <f>SUM(H99:H154)</f>
        <v>15844758.233915569</v>
      </c>
      <c r="I155" s="22">
        <f>SUM(I99:I154)</f>
        <v>15844758.233915569</v>
      </c>
      <c r="J155" s="22">
        <f>SUM(J99:J154)</f>
        <v>0</v>
      </c>
      <c r="K155" s="22"/>
      <c r="L155" s="22"/>
      <c r="M155" s="22"/>
      <c r="N155" s="22"/>
      <c r="O155" s="22"/>
      <c r="P155" s="1"/>
      <c r="Q155" s="1"/>
    </row>
    <row r="156" spans="2:17">
      <c r="D156" s="2"/>
      <c r="E156" s="1"/>
      <c r="F156" s="1"/>
      <c r="G156" s="1"/>
      <c r="H156" s="1"/>
      <c r="I156" s="3"/>
      <c r="J156" s="3"/>
      <c r="K156" s="22"/>
      <c r="L156" s="3"/>
      <c r="M156" s="3"/>
      <c r="N156" s="3"/>
      <c r="O156" s="3"/>
      <c r="P156" s="1"/>
      <c r="Q156" s="1"/>
    </row>
    <row r="157" spans="2:17">
      <c r="C157" s="103" t="s">
        <v>92</v>
      </c>
      <c r="D157" s="2"/>
      <c r="E157" s="1"/>
      <c r="F157" s="1"/>
      <c r="G157" s="1"/>
      <c r="H157" s="1"/>
      <c r="I157" s="3"/>
      <c r="J157" s="3"/>
      <c r="K157" s="22"/>
      <c r="L157" s="3"/>
      <c r="M157" s="3"/>
      <c r="N157" s="3"/>
      <c r="O157" s="3"/>
      <c r="P157" s="1"/>
      <c r="Q157" s="1"/>
    </row>
    <row r="158" spans="2:17">
      <c r="D158" s="2"/>
      <c r="E158" s="1"/>
      <c r="F158" s="1"/>
      <c r="G158" s="1"/>
      <c r="H158" s="1"/>
      <c r="I158" s="3"/>
      <c r="J158" s="3"/>
      <c r="K158" s="22"/>
      <c r="L158" s="3"/>
      <c r="M158" s="3"/>
      <c r="N158" s="3"/>
      <c r="O158" s="3"/>
      <c r="P158" s="1"/>
      <c r="Q158" s="1"/>
    </row>
    <row r="159" spans="2:17">
      <c r="C159" s="80" t="s">
        <v>97</v>
      </c>
      <c r="D159" s="65"/>
      <c r="E159" s="65"/>
      <c r="F159" s="65"/>
      <c r="G159" s="65"/>
      <c r="H159" s="22"/>
      <c r="I159" s="22"/>
      <c r="J159" s="81"/>
      <c r="K159" s="81"/>
      <c r="L159" s="81"/>
      <c r="M159" s="81"/>
      <c r="N159" s="81"/>
      <c r="O159" s="81"/>
      <c r="P159" s="1"/>
      <c r="Q159" s="1"/>
    </row>
    <row r="160" spans="2:17">
      <c r="C160" s="104" t="s">
        <v>79</v>
      </c>
      <c r="D160" s="65"/>
      <c r="E160" s="65"/>
      <c r="F160" s="65"/>
      <c r="G160" s="65"/>
      <c r="H160" s="22"/>
      <c r="I160" s="22"/>
      <c r="J160" s="81"/>
      <c r="K160" s="81"/>
      <c r="L160" s="81"/>
      <c r="M160" s="81"/>
      <c r="N160" s="81"/>
      <c r="O160" s="81"/>
      <c r="P160" s="1"/>
      <c r="Q160" s="1"/>
    </row>
    <row r="161" spans="3:17">
      <c r="C161" s="104" t="s">
        <v>80</v>
      </c>
      <c r="D161" s="65"/>
      <c r="E161" s="65"/>
      <c r="F161" s="65"/>
      <c r="G161" s="65"/>
      <c r="H161" s="22"/>
      <c r="I161" s="22"/>
      <c r="J161" s="81"/>
      <c r="K161" s="81"/>
      <c r="L161" s="81"/>
      <c r="M161" s="81"/>
      <c r="N161" s="81"/>
      <c r="O161" s="81"/>
      <c r="P161" s="1"/>
      <c r="Q161" s="1"/>
    </row>
    <row r="162" spans="3:17" ht="18">
      <c r="C162" s="104"/>
      <c r="D162" s="65"/>
      <c r="E162" s="65"/>
      <c r="F162" s="65"/>
      <c r="G162" s="65"/>
      <c r="H162" s="22"/>
      <c r="I162" s="22"/>
      <c r="J162" s="81"/>
      <c r="K162" s="81"/>
      <c r="L162" s="81"/>
      <c r="M162" s="81"/>
      <c r="N162" s="81"/>
      <c r="P162" s="112" t="s">
        <v>131</v>
      </c>
      <c r="Q162" s="1"/>
    </row>
  </sheetData>
  <phoneticPr fontId="0" type="noConversion"/>
  <conditionalFormatting sqref="C17:C72">
    <cfRule type="cellIs" dxfId="125" priority="1" stopIfTrue="1" operator="equal">
      <formula>$I$10</formula>
    </cfRule>
  </conditionalFormatting>
  <conditionalFormatting sqref="C99:C154">
    <cfRule type="cellIs" dxfId="124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69">
    <tabColor indexed="8"/>
  </sheetPr>
  <dimension ref="A1:Q162"/>
  <sheetViews>
    <sheetView view="pageBreakPreview" topLeftCell="A85" zoomScale="75" zoomScaleNormal="100" zoomScaleSheetLayoutView="75" workbookViewId="0">
      <selection activeCell="C113" sqref="C113"/>
    </sheetView>
  </sheetViews>
  <sheetFormatPr defaultRowHeight="12.75" customHeight="1"/>
  <cols>
    <col min="1" max="1" width="4.7109375" customWidth="1"/>
    <col min="2" max="2" width="6.7109375" customWidth="1"/>
    <col min="3" max="3" width="23.28515625" customWidth="1"/>
    <col min="4" max="8" width="17.7109375" customWidth="1"/>
    <col min="9" max="9" width="20.42578125" customWidth="1"/>
    <col min="10" max="10" width="16.42578125" customWidth="1"/>
    <col min="11" max="11" width="17.7109375" customWidth="1"/>
    <col min="12" max="12" width="16.140625" customWidth="1"/>
    <col min="13" max="13" width="17.7109375" customWidth="1"/>
    <col min="14" max="14" width="16.140625" customWidth="1"/>
    <col min="15" max="15" width="16.85546875" customWidth="1"/>
    <col min="16" max="16" width="24.42578125" customWidth="1"/>
    <col min="17" max="17" width="4.7109375" customWidth="1"/>
    <col min="23" max="23" width="9.140625" customWidth="1"/>
  </cols>
  <sheetData>
    <row r="1" spans="1:17" ht="20.25">
      <c r="A1" s="118" t="s">
        <v>133</v>
      </c>
      <c r="B1" s="1"/>
      <c r="C1" s="10"/>
      <c r="D1" s="2"/>
      <c r="E1" s="1"/>
      <c r="F1" s="15"/>
      <c r="G1" s="1"/>
      <c r="H1" s="3"/>
      <c r="J1" s="7"/>
      <c r="K1" s="20"/>
      <c r="L1" s="20"/>
      <c r="M1" s="20"/>
      <c r="P1" s="124" t="str">
        <f ca="1">"SWEPCO Project "&amp;RIGHT(MID(CELL("filename",$A$1),FIND("]",CELL("filename",$A$1))+1,256),2)&amp;" of "&amp;COUNT('S.001:S.xyz - blank'!$P$3)-1</f>
        <v>SWEPCO Project 20 of 75</v>
      </c>
      <c r="Q1" s="19"/>
    </row>
    <row r="2" spans="1:17" ht="18">
      <c r="B2" s="1"/>
      <c r="C2" s="1"/>
      <c r="D2" s="2"/>
      <c r="E2" s="1"/>
      <c r="F2" s="1"/>
      <c r="G2" s="1"/>
      <c r="H2" s="3"/>
      <c r="I2" s="1"/>
      <c r="J2" s="4"/>
      <c r="K2" s="1"/>
      <c r="L2" s="1"/>
      <c r="M2" s="1"/>
      <c r="N2" s="1"/>
      <c r="P2" s="112" t="s">
        <v>129</v>
      </c>
    </row>
    <row r="3" spans="1:17" ht="18.75">
      <c r="B3" s="5" t="s">
        <v>44</v>
      </c>
      <c r="C3" s="14" t="s">
        <v>45</v>
      </c>
      <c r="D3" s="2"/>
      <c r="E3" s="1"/>
      <c r="F3" s="1"/>
      <c r="G3" s="1"/>
      <c r="H3" s="3"/>
      <c r="I3" s="3"/>
      <c r="J3" s="22"/>
      <c r="K3" s="3"/>
      <c r="L3" s="3"/>
      <c r="M3" s="3"/>
      <c r="N3" s="3"/>
      <c r="O3" s="1" t="str">
        <f>RIGHT(N3,3)</f>
        <v/>
      </c>
      <c r="P3" s="114">
        <v>1</v>
      </c>
    </row>
    <row r="4" spans="1:17" ht="15.75" thickBot="1">
      <c r="C4" s="13"/>
      <c r="D4" s="2"/>
      <c r="E4" s="1"/>
      <c r="F4" s="1"/>
      <c r="G4" s="1"/>
      <c r="H4" s="3"/>
      <c r="I4" s="3"/>
      <c r="J4" s="22"/>
      <c r="K4" s="3"/>
      <c r="L4" s="3"/>
      <c r="M4" s="3"/>
      <c r="N4" s="3"/>
      <c r="O4" s="1"/>
      <c r="P4" s="1"/>
    </row>
    <row r="5" spans="1:17" ht="15">
      <c r="C5" s="23" t="s">
        <v>46</v>
      </c>
      <c r="D5" s="2"/>
      <c r="E5" s="1"/>
      <c r="F5" s="1"/>
      <c r="G5" s="24"/>
      <c r="H5" s="1" t="s">
        <v>47</v>
      </c>
      <c r="I5" s="1"/>
      <c r="J5" s="4"/>
      <c r="K5" s="143" t="s">
        <v>157</v>
      </c>
      <c r="L5" s="25"/>
      <c r="M5" s="26"/>
      <c r="N5" s="27">
        <f>VLOOKUP(I10,C17:I72,5)</f>
        <v>0</v>
      </c>
      <c r="P5" s="1"/>
    </row>
    <row r="6" spans="1:17" ht="15.75">
      <c r="C6" s="8"/>
      <c r="D6" s="154" t="s">
        <v>276</v>
      </c>
      <c r="E6" s="103"/>
      <c r="F6" s="103"/>
      <c r="G6" s="1"/>
      <c r="H6" s="28"/>
      <c r="I6" s="28"/>
      <c r="J6" s="29"/>
      <c r="K6" s="144" t="s">
        <v>158</v>
      </c>
      <c r="L6" s="30"/>
      <c r="M6" s="4"/>
      <c r="N6" s="31">
        <f>VLOOKUP(I10,C17:I72,6)</f>
        <v>0</v>
      </c>
      <c r="O6" s="1"/>
      <c r="P6" s="1"/>
    </row>
    <row r="7" spans="1:17" ht="13.5" thickBot="1">
      <c r="C7" s="32" t="s">
        <v>48</v>
      </c>
      <c r="D7" s="148" t="s">
        <v>241</v>
      </c>
      <c r="E7" s="1"/>
      <c r="F7" s="1"/>
      <c r="G7" s="80"/>
      <c r="H7" s="3"/>
      <c r="I7" s="3"/>
      <c r="J7" s="22"/>
      <c r="K7" s="33" t="s">
        <v>49</v>
      </c>
      <c r="L7" s="34"/>
      <c r="M7" s="34"/>
      <c r="N7" s="35">
        <f>+N6-N5</f>
        <v>0</v>
      </c>
      <c r="O7" s="1"/>
      <c r="P7" s="1"/>
    </row>
    <row r="8" spans="1:17" ht="13.5" thickBot="1">
      <c r="C8" s="36"/>
      <c r="D8" s="164" t="s">
        <v>275</v>
      </c>
      <c r="E8" s="37"/>
      <c r="F8" s="37"/>
      <c r="G8" s="37"/>
      <c r="H8" s="37"/>
      <c r="I8" s="37"/>
      <c r="J8" s="16"/>
      <c r="K8" s="37"/>
      <c r="L8" s="37"/>
      <c r="M8" s="37"/>
      <c r="N8" s="37"/>
      <c r="O8" s="16"/>
      <c r="P8" s="10"/>
    </row>
    <row r="9" spans="1:17" ht="13.5" thickBot="1">
      <c r="A9" s="17"/>
      <c r="C9" s="38" t="s">
        <v>50</v>
      </c>
      <c r="D9" s="110" t="s">
        <v>142</v>
      </c>
      <c r="E9" s="39"/>
      <c r="F9" s="39"/>
      <c r="G9" s="39"/>
      <c r="H9" s="39"/>
      <c r="I9" s="40"/>
      <c r="J9" s="41"/>
      <c r="O9" s="42"/>
      <c r="P9" s="4"/>
    </row>
    <row r="10" spans="1:17">
      <c r="C10" s="43" t="s">
        <v>51</v>
      </c>
      <c r="D10" s="44">
        <v>0</v>
      </c>
      <c r="E10" s="12" t="s">
        <v>52</v>
      </c>
      <c r="F10" s="42"/>
      <c r="G10" s="45"/>
      <c r="H10" s="45"/>
      <c r="I10" s="46">
        <f>+'SWE.WS.F.BPU.ATRR.Projected'!L19</f>
        <v>2024</v>
      </c>
      <c r="J10" s="41"/>
      <c r="K10" s="22" t="s">
        <v>53</v>
      </c>
      <c r="O10" s="4"/>
      <c r="P10" s="4"/>
    </row>
    <row r="11" spans="1:17">
      <c r="C11" s="47" t="s">
        <v>54</v>
      </c>
      <c r="D11" s="48">
        <v>2008</v>
      </c>
      <c r="E11" s="47" t="s">
        <v>55</v>
      </c>
      <c r="F11" s="45"/>
      <c r="G11" s="7"/>
      <c r="H11" s="7"/>
      <c r="I11" s="49">
        <v>0</v>
      </c>
      <c r="J11" s="50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4"/>
      <c r="P11" s="4"/>
    </row>
    <row r="12" spans="1:17">
      <c r="C12" s="47" t="s">
        <v>56</v>
      </c>
      <c r="D12" s="44">
        <v>11</v>
      </c>
      <c r="E12" s="47" t="s">
        <v>57</v>
      </c>
      <c r="F12" s="45"/>
      <c r="G12" s="7"/>
      <c r="H12" s="7"/>
      <c r="I12" s="51">
        <f>'SWE.WS.F.BPU.ATRR.Projected'!$F$81</f>
        <v>0.11952713165403545</v>
      </c>
      <c r="J12" s="52"/>
      <c r="K12" t="s">
        <v>58</v>
      </c>
      <c r="O12" s="4"/>
      <c r="P12" s="4"/>
    </row>
    <row r="13" spans="1:17">
      <c r="C13" s="47" t="s">
        <v>59</v>
      </c>
      <c r="D13" s="49">
        <f>+'SWE.WS.F.BPU.ATRR.Projected'!F$93</f>
        <v>44</v>
      </c>
      <c r="E13" s="47" t="s">
        <v>60</v>
      </c>
      <c r="F13" s="45"/>
      <c r="G13" s="7"/>
      <c r="H13" s="7"/>
      <c r="I13" s="51">
        <f>IF(G5="",I12,'SWE.WS.F.BPU.ATRR.Projected'!$F$80)</f>
        <v>0.11952713165403545</v>
      </c>
      <c r="J13" s="52"/>
      <c r="K13" s="22" t="s">
        <v>61</v>
      </c>
      <c r="L13" s="11"/>
      <c r="M13" s="11"/>
      <c r="N13" s="11"/>
      <c r="O13" s="4"/>
      <c r="P13" s="4"/>
    </row>
    <row r="14" spans="1:17" ht="13.5" thickBot="1">
      <c r="C14" s="47" t="s">
        <v>62</v>
      </c>
      <c r="D14" s="48" t="s">
        <v>63</v>
      </c>
      <c r="E14" s="4" t="s">
        <v>64</v>
      </c>
      <c r="F14" s="45"/>
      <c r="G14" s="7"/>
      <c r="H14" s="7"/>
      <c r="I14" s="53">
        <f>IF(D10=0,0,D10/D13)</f>
        <v>0</v>
      </c>
      <c r="J14" s="22"/>
      <c r="K14" s="22"/>
      <c r="L14" s="22"/>
      <c r="M14" s="22"/>
      <c r="N14" s="22"/>
      <c r="O14" s="4"/>
      <c r="P14" s="4"/>
    </row>
    <row r="15" spans="1:17" ht="38.25">
      <c r="C15" s="54" t="s">
        <v>51</v>
      </c>
      <c r="D15" s="55" t="s">
        <v>65</v>
      </c>
      <c r="E15" s="55" t="s">
        <v>66</v>
      </c>
      <c r="F15" s="55" t="s">
        <v>67</v>
      </c>
      <c r="G15" s="180" t="s">
        <v>388</v>
      </c>
      <c r="H15" s="181" t="s">
        <v>389</v>
      </c>
      <c r="I15" s="152" t="s">
        <v>260</v>
      </c>
      <c r="J15" s="56"/>
      <c r="K15" s="146" t="s">
        <v>227</v>
      </c>
      <c r="L15" s="57" t="s">
        <v>69</v>
      </c>
      <c r="M15" s="146" t="s">
        <v>227</v>
      </c>
      <c r="N15" s="57" t="s">
        <v>69</v>
      </c>
      <c r="O15" s="57" t="s">
        <v>70</v>
      </c>
      <c r="P15" s="4"/>
    </row>
    <row r="16" spans="1:17" ht="13.5" thickBot="1">
      <c r="C16" s="58" t="s">
        <v>71</v>
      </c>
      <c r="D16" s="58" t="s">
        <v>72</v>
      </c>
      <c r="E16" s="58" t="s">
        <v>73</v>
      </c>
      <c r="F16" s="58" t="s">
        <v>72</v>
      </c>
      <c r="G16" s="179" t="s">
        <v>74</v>
      </c>
      <c r="H16" s="59" t="s">
        <v>75</v>
      </c>
      <c r="I16" s="60" t="s">
        <v>94</v>
      </c>
      <c r="J16" s="61" t="s">
        <v>76</v>
      </c>
      <c r="K16" s="62" t="s">
        <v>77</v>
      </c>
      <c r="L16" s="62" t="s">
        <v>77</v>
      </c>
      <c r="M16" s="62" t="s">
        <v>95</v>
      </c>
      <c r="N16" s="63" t="s">
        <v>95</v>
      </c>
      <c r="O16" s="62" t="s">
        <v>95</v>
      </c>
      <c r="P16" s="4"/>
    </row>
    <row r="17" spans="2:16">
      <c r="C17" s="64">
        <f>IF(D11= "","-",D11)</f>
        <v>2008</v>
      </c>
      <c r="D17" s="162">
        <v>1165466</v>
      </c>
      <c r="E17" s="162">
        <v>2625</v>
      </c>
      <c r="F17" s="162">
        <v>1162841</v>
      </c>
      <c r="G17" s="162">
        <v>32328</v>
      </c>
      <c r="H17" s="162">
        <v>32328</v>
      </c>
      <c r="I17" s="67">
        <f t="shared" ref="I17:I48" si="0">H17-G17</f>
        <v>0</v>
      </c>
      <c r="J17" s="67"/>
      <c r="K17" s="131">
        <v>0</v>
      </c>
      <c r="L17" s="68">
        <f t="shared" ref="L17:L48" si="1">IF(K17&lt;&gt;0,+G17-K17,0)</f>
        <v>0</v>
      </c>
      <c r="M17" s="131">
        <v>0</v>
      </c>
      <c r="N17" s="68">
        <f t="shared" ref="N17:N48" si="2">IF(M17&lt;&gt;0,+H17-M17,0)</f>
        <v>0</v>
      </c>
      <c r="O17" s="69">
        <f t="shared" ref="O17:O48" si="3">+N17-L17</f>
        <v>0</v>
      </c>
      <c r="P17" s="4"/>
    </row>
    <row r="18" spans="2:16">
      <c r="B18" s="9" t="str">
        <f>IF(D18=F17,"","IU")</f>
        <v/>
      </c>
      <c r="C18" s="64">
        <f>IF(D11="","-",+C17+1)</f>
        <v>2009</v>
      </c>
      <c r="D18" s="159">
        <v>1162841</v>
      </c>
      <c r="E18" s="159">
        <v>31499</v>
      </c>
      <c r="F18" s="159">
        <v>1131342</v>
      </c>
      <c r="G18" s="159">
        <v>204891</v>
      </c>
      <c r="H18" s="159">
        <v>204891</v>
      </c>
      <c r="I18" s="67">
        <f t="shared" si="0"/>
        <v>0</v>
      </c>
      <c r="J18" s="67"/>
      <c r="K18" s="133">
        <v>204891</v>
      </c>
      <c r="L18" s="69">
        <f t="shared" si="1"/>
        <v>0</v>
      </c>
      <c r="M18" s="133">
        <v>204891</v>
      </c>
      <c r="N18" s="69">
        <f t="shared" si="2"/>
        <v>0</v>
      </c>
      <c r="O18" s="69">
        <f t="shared" si="3"/>
        <v>0</v>
      </c>
      <c r="P18" s="4"/>
    </row>
    <row r="19" spans="2:16">
      <c r="B19" s="9" t="str">
        <f>IF(D19=F18,"","IU")</f>
        <v/>
      </c>
      <c r="C19" s="64">
        <f>IF(D11="","-",+C18+1)</f>
        <v>2010</v>
      </c>
      <c r="D19" s="159">
        <v>1131342</v>
      </c>
      <c r="E19" s="158">
        <v>30670.157894736843</v>
      </c>
      <c r="F19" s="159">
        <v>1100671.8421052631</v>
      </c>
      <c r="G19" s="158">
        <v>188908.24442689336</v>
      </c>
      <c r="H19" s="157">
        <v>188908.24442689336</v>
      </c>
      <c r="I19" s="163">
        <v>0</v>
      </c>
      <c r="J19" s="67"/>
      <c r="K19" s="133">
        <f>G19</f>
        <v>188908.24442689336</v>
      </c>
      <c r="L19" s="132">
        <f t="shared" si="1"/>
        <v>0</v>
      </c>
      <c r="M19" s="133">
        <f>H19</f>
        <v>188908.24442689336</v>
      </c>
      <c r="N19" s="69">
        <f t="shared" si="2"/>
        <v>0</v>
      </c>
      <c r="O19" s="69">
        <f t="shared" si="3"/>
        <v>0</v>
      </c>
      <c r="P19" s="4"/>
    </row>
    <row r="20" spans="2:16">
      <c r="B20" s="9" t="str">
        <f t="shared" ref="B20:B72" si="4">IF(D20=F19,"","IU")</f>
        <v>IU</v>
      </c>
      <c r="C20" s="64">
        <f>IF(D11="","-",+C19+1)</f>
        <v>2011</v>
      </c>
      <c r="D20" s="159">
        <v>0</v>
      </c>
      <c r="E20" s="158">
        <v>0</v>
      </c>
      <c r="F20" s="159">
        <v>0</v>
      </c>
      <c r="G20" s="158">
        <v>0</v>
      </c>
      <c r="H20" s="157">
        <v>0</v>
      </c>
      <c r="I20" s="163">
        <v>0</v>
      </c>
      <c r="J20" s="67"/>
      <c r="K20" s="133">
        <f>G20</f>
        <v>0</v>
      </c>
      <c r="L20" s="132">
        <f t="shared" si="1"/>
        <v>0</v>
      </c>
      <c r="M20" s="133">
        <f>H20</f>
        <v>0</v>
      </c>
      <c r="N20" s="69">
        <f t="shared" si="2"/>
        <v>0</v>
      </c>
      <c r="O20" s="69">
        <f t="shared" si="3"/>
        <v>0</v>
      </c>
      <c r="P20" s="4"/>
    </row>
    <row r="21" spans="2:16">
      <c r="B21" s="9" t="str">
        <f t="shared" si="4"/>
        <v/>
      </c>
      <c r="C21" s="64">
        <f>IF(D12="","-",+C20+1)</f>
        <v>2012</v>
      </c>
      <c r="D21" s="169">
        <v>0</v>
      </c>
      <c r="E21" s="168">
        <f>IF(+I14&lt;F20,I14,D21)</f>
        <v>0</v>
      </c>
      <c r="F21" s="169">
        <f t="shared" ref="F21:F48" si="5">+D21-E21</f>
        <v>0</v>
      </c>
      <c r="G21" s="170">
        <f>+I12*F21+E21</f>
        <v>0</v>
      </c>
      <c r="H21" s="171">
        <f>+I13*F21+E21</f>
        <v>0</v>
      </c>
      <c r="I21" s="67">
        <f t="shared" si="0"/>
        <v>0</v>
      </c>
      <c r="J21" s="67"/>
      <c r="K21" s="133"/>
      <c r="L21" s="132">
        <f t="shared" si="1"/>
        <v>0</v>
      </c>
      <c r="M21" s="133"/>
      <c r="N21" s="69">
        <f t="shared" si="2"/>
        <v>0</v>
      </c>
      <c r="O21" s="69">
        <f t="shared" si="3"/>
        <v>0</v>
      </c>
      <c r="P21" s="4"/>
    </row>
    <row r="22" spans="2:16">
      <c r="B22" s="9" t="str">
        <f t="shared" si="4"/>
        <v/>
      </c>
      <c r="C22" s="64">
        <f>IF(D11="","-",+C21+1)</f>
        <v>2013</v>
      </c>
      <c r="D22" s="70">
        <v>0</v>
      </c>
      <c r="E22" s="71">
        <f>IF(+I14&lt;F21,I14,D22)</f>
        <v>0</v>
      </c>
      <c r="F22" s="70">
        <f t="shared" si="5"/>
        <v>0</v>
      </c>
      <c r="G22" s="72">
        <f t="shared" ref="G22:G53" si="6">+I$12*((D22+F22)/2)+E22</f>
        <v>0</v>
      </c>
      <c r="H22" s="53">
        <f t="shared" ref="H22:H53" si="7">+I$13*((D22+F22)/2)+E22</f>
        <v>0</v>
      </c>
      <c r="I22" s="67">
        <f t="shared" si="0"/>
        <v>0</v>
      </c>
      <c r="J22" s="67"/>
      <c r="K22" s="150"/>
      <c r="L22" s="69">
        <f t="shared" si="1"/>
        <v>0</v>
      </c>
      <c r="M22" s="150"/>
      <c r="N22" s="69">
        <f t="shared" si="2"/>
        <v>0</v>
      </c>
      <c r="O22" s="69">
        <f t="shared" si="3"/>
        <v>0</v>
      </c>
      <c r="P22" s="4"/>
    </row>
    <row r="23" spans="2:16">
      <c r="B23" s="9" t="str">
        <f t="shared" si="4"/>
        <v/>
      </c>
      <c r="C23" s="64">
        <f>IF(D11="","-",+C22+1)</f>
        <v>2014</v>
      </c>
      <c r="D23" s="70">
        <v>0</v>
      </c>
      <c r="E23" s="71">
        <f>IF(+I14&lt;F22,I14,D23)</f>
        <v>0</v>
      </c>
      <c r="F23" s="70">
        <f t="shared" si="5"/>
        <v>0</v>
      </c>
      <c r="G23" s="72">
        <f t="shared" si="6"/>
        <v>0</v>
      </c>
      <c r="H23" s="53">
        <f t="shared" si="7"/>
        <v>0</v>
      </c>
      <c r="I23" s="67">
        <f t="shared" si="0"/>
        <v>0</v>
      </c>
      <c r="J23" s="67"/>
      <c r="K23" s="150"/>
      <c r="L23" s="69">
        <f t="shared" si="1"/>
        <v>0</v>
      </c>
      <c r="M23" s="150"/>
      <c r="N23" s="69">
        <f t="shared" si="2"/>
        <v>0</v>
      </c>
      <c r="O23" s="69">
        <f t="shared" si="3"/>
        <v>0</v>
      </c>
      <c r="P23" s="4"/>
    </row>
    <row r="24" spans="2:16">
      <c r="B24" s="9" t="str">
        <f t="shared" si="4"/>
        <v/>
      </c>
      <c r="C24" s="64">
        <f>IF(D11="","-",+C23+1)</f>
        <v>2015</v>
      </c>
      <c r="D24" s="70">
        <v>0</v>
      </c>
      <c r="E24" s="71">
        <f>IF(+I14&lt;F23,I14,D24)</f>
        <v>0</v>
      </c>
      <c r="F24" s="70">
        <f t="shared" si="5"/>
        <v>0</v>
      </c>
      <c r="G24" s="72">
        <f t="shared" si="6"/>
        <v>0</v>
      </c>
      <c r="H24" s="53">
        <f t="shared" si="7"/>
        <v>0</v>
      </c>
      <c r="I24" s="67">
        <f t="shared" si="0"/>
        <v>0</v>
      </c>
      <c r="J24" s="67"/>
      <c r="K24" s="150"/>
      <c r="L24" s="69">
        <f t="shared" si="1"/>
        <v>0</v>
      </c>
      <c r="M24" s="150"/>
      <c r="N24" s="69">
        <f t="shared" si="2"/>
        <v>0</v>
      </c>
      <c r="O24" s="69">
        <f t="shared" si="3"/>
        <v>0</v>
      </c>
      <c r="P24" s="4"/>
    </row>
    <row r="25" spans="2:16">
      <c r="B25" s="9" t="str">
        <f t="shared" si="4"/>
        <v/>
      </c>
      <c r="C25" s="64">
        <f>IF(D11="","-",+C24+1)</f>
        <v>2016</v>
      </c>
      <c r="D25" s="70">
        <v>0</v>
      </c>
      <c r="E25" s="71">
        <f>IF(+I14&lt;F24,I14,D25)</f>
        <v>0</v>
      </c>
      <c r="F25" s="70">
        <f t="shared" si="5"/>
        <v>0</v>
      </c>
      <c r="G25" s="72">
        <f t="shared" si="6"/>
        <v>0</v>
      </c>
      <c r="H25" s="53">
        <f t="shared" si="7"/>
        <v>0</v>
      </c>
      <c r="I25" s="67">
        <f t="shared" si="0"/>
        <v>0</v>
      </c>
      <c r="J25" s="67"/>
      <c r="K25" s="150"/>
      <c r="L25" s="69">
        <f t="shared" si="1"/>
        <v>0</v>
      </c>
      <c r="M25" s="150"/>
      <c r="N25" s="69">
        <f t="shared" si="2"/>
        <v>0</v>
      </c>
      <c r="O25" s="69">
        <f t="shared" si="3"/>
        <v>0</v>
      </c>
      <c r="P25" s="4"/>
    </row>
    <row r="26" spans="2:16">
      <c r="B26" s="9" t="str">
        <f t="shared" si="4"/>
        <v/>
      </c>
      <c r="C26" s="64">
        <f>IF(D11="","-",+C25+1)</f>
        <v>2017</v>
      </c>
      <c r="D26" s="70">
        <v>0</v>
      </c>
      <c r="E26" s="71">
        <f>IF(+I14&lt;F25,I14,D26)</f>
        <v>0</v>
      </c>
      <c r="F26" s="70">
        <f t="shared" si="5"/>
        <v>0</v>
      </c>
      <c r="G26" s="72">
        <f t="shared" si="6"/>
        <v>0</v>
      </c>
      <c r="H26" s="53">
        <f t="shared" si="7"/>
        <v>0</v>
      </c>
      <c r="I26" s="67">
        <f t="shared" si="0"/>
        <v>0</v>
      </c>
      <c r="J26" s="67"/>
      <c r="K26" s="150"/>
      <c r="L26" s="69">
        <f t="shared" si="1"/>
        <v>0</v>
      </c>
      <c r="M26" s="150"/>
      <c r="N26" s="69">
        <f t="shared" si="2"/>
        <v>0</v>
      </c>
      <c r="O26" s="69">
        <f t="shared" si="3"/>
        <v>0</v>
      </c>
      <c r="P26" s="4"/>
    </row>
    <row r="27" spans="2:16">
      <c r="B27" s="9" t="str">
        <f t="shared" si="4"/>
        <v/>
      </c>
      <c r="C27" s="64">
        <f>IF(D11="","-",+C26+1)</f>
        <v>2018</v>
      </c>
      <c r="D27" s="70">
        <v>0</v>
      </c>
      <c r="E27" s="71">
        <f>IF(+I14&lt;F26,I14,D27)</f>
        <v>0</v>
      </c>
      <c r="F27" s="70">
        <f t="shared" si="5"/>
        <v>0</v>
      </c>
      <c r="G27" s="72">
        <f t="shared" si="6"/>
        <v>0</v>
      </c>
      <c r="H27" s="53">
        <f t="shared" si="7"/>
        <v>0</v>
      </c>
      <c r="I27" s="67">
        <f t="shared" si="0"/>
        <v>0</v>
      </c>
      <c r="J27" s="67"/>
      <c r="K27" s="150"/>
      <c r="L27" s="69">
        <f t="shared" si="1"/>
        <v>0</v>
      </c>
      <c r="M27" s="150"/>
      <c r="N27" s="69">
        <f t="shared" si="2"/>
        <v>0</v>
      </c>
      <c r="O27" s="69">
        <f t="shared" si="3"/>
        <v>0</v>
      </c>
      <c r="P27" s="4"/>
    </row>
    <row r="28" spans="2:16">
      <c r="B28" s="9" t="str">
        <f t="shared" si="4"/>
        <v/>
      </c>
      <c r="C28" s="64">
        <f>IF(D11="","-",+C27+1)</f>
        <v>2019</v>
      </c>
      <c r="D28" s="70">
        <v>0</v>
      </c>
      <c r="E28" s="71">
        <f>IF(+I14&lt;F27,I14,D28)</f>
        <v>0</v>
      </c>
      <c r="F28" s="70">
        <f t="shared" si="5"/>
        <v>0</v>
      </c>
      <c r="G28" s="72">
        <f t="shared" si="6"/>
        <v>0</v>
      </c>
      <c r="H28" s="53">
        <f t="shared" si="7"/>
        <v>0</v>
      </c>
      <c r="I28" s="67">
        <f t="shared" si="0"/>
        <v>0</v>
      </c>
      <c r="J28" s="67"/>
      <c r="K28" s="150"/>
      <c r="L28" s="69">
        <f t="shared" si="1"/>
        <v>0</v>
      </c>
      <c r="M28" s="150"/>
      <c r="N28" s="69">
        <f t="shared" si="2"/>
        <v>0</v>
      </c>
      <c r="O28" s="69">
        <f t="shared" si="3"/>
        <v>0</v>
      </c>
      <c r="P28" s="4"/>
    </row>
    <row r="29" spans="2:16">
      <c r="B29" s="9" t="str">
        <f t="shared" si="4"/>
        <v/>
      </c>
      <c r="C29" s="64">
        <f>IF(D11="","-",+C28+1)</f>
        <v>2020</v>
      </c>
      <c r="D29" s="70">
        <v>0</v>
      </c>
      <c r="E29" s="71">
        <f>IF(+I14&lt;F28,I14,D29)</f>
        <v>0</v>
      </c>
      <c r="F29" s="70">
        <f t="shared" si="5"/>
        <v>0</v>
      </c>
      <c r="G29" s="72">
        <f t="shared" si="6"/>
        <v>0</v>
      </c>
      <c r="H29" s="53">
        <f t="shared" si="7"/>
        <v>0</v>
      </c>
      <c r="I29" s="67">
        <f t="shared" si="0"/>
        <v>0</v>
      </c>
      <c r="J29" s="67"/>
      <c r="K29" s="150"/>
      <c r="L29" s="69">
        <f t="shared" si="1"/>
        <v>0</v>
      </c>
      <c r="M29" s="150"/>
      <c r="N29" s="69">
        <f t="shared" si="2"/>
        <v>0</v>
      </c>
      <c r="O29" s="69">
        <f t="shared" si="3"/>
        <v>0</v>
      </c>
      <c r="P29" s="4"/>
    </row>
    <row r="30" spans="2:16">
      <c r="B30" s="9" t="str">
        <f t="shared" si="4"/>
        <v/>
      </c>
      <c r="C30" s="64">
        <f>IF(D11="","-",+C29+1)</f>
        <v>2021</v>
      </c>
      <c r="D30" s="70">
        <v>0</v>
      </c>
      <c r="E30" s="71">
        <f>IF(+I14&lt;F29,I14,D30)</f>
        <v>0</v>
      </c>
      <c r="F30" s="70">
        <f t="shared" si="5"/>
        <v>0</v>
      </c>
      <c r="G30" s="72">
        <f t="shared" si="6"/>
        <v>0</v>
      </c>
      <c r="H30" s="53">
        <f t="shared" si="7"/>
        <v>0</v>
      </c>
      <c r="I30" s="67">
        <f t="shared" si="0"/>
        <v>0</v>
      </c>
      <c r="J30" s="67"/>
      <c r="K30" s="150"/>
      <c r="L30" s="69">
        <f t="shared" si="1"/>
        <v>0</v>
      </c>
      <c r="M30" s="150"/>
      <c r="N30" s="69">
        <f t="shared" si="2"/>
        <v>0</v>
      </c>
      <c r="O30" s="69">
        <f t="shared" si="3"/>
        <v>0</v>
      </c>
      <c r="P30" s="4"/>
    </row>
    <row r="31" spans="2:16">
      <c r="B31" s="9" t="str">
        <f t="shared" si="4"/>
        <v/>
      </c>
      <c r="C31" s="64">
        <f>IF(D11="","-",+C30+1)</f>
        <v>2022</v>
      </c>
      <c r="D31" s="70">
        <v>0</v>
      </c>
      <c r="E31" s="71">
        <f>IF(+I14&lt;F30,I14,D31)</f>
        <v>0</v>
      </c>
      <c r="F31" s="70">
        <f t="shared" si="5"/>
        <v>0</v>
      </c>
      <c r="G31" s="72">
        <f t="shared" si="6"/>
        <v>0</v>
      </c>
      <c r="H31" s="53">
        <f t="shared" si="7"/>
        <v>0</v>
      </c>
      <c r="I31" s="67">
        <f t="shared" si="0"/>
        <v>0</v>
      </c>
      <c r="J31" s="67"/>
      <c r="K31" s="150"/>
      <c r="L31" s="69">
        <f t="shared" si="1"/>
        <v>0</v>
      </c>
      <c r="M31" s="150"/>
      <c r="N31" s="69">
        <f t="shared" si="2"/>
        <v>0</v>
      </c>
      <c r="O31" s="69">
        <f t="shared" si="3"/>
        <v>0</v>
      </c>
      <c r="P31" s="4"/>
    </row>
    <row r="32" spans="2:16">
      <c r="B32" s="9" t="str">
        <f t="shared" si="4"/>
        <v/>
      </c>
      <c r="C32" s="64">
        <f>IF(D11="","-",+C31+1)</f>
        <v>2023</v>
      </c>
      <c r="D32" s="70">
        <v>0</v>
      </c>
      <c r="E32" s="71">
        <f>IF(+I14&lt;F31,I14,D32)</f>
        <v>0</v>
      </c>
      <c r="F32" s="70">
        <f t="shared" si="5"/>
        <v>0</v>
      </c>
      <c r="G32" s="72">
        <f t="shared" si="6"/>
        <v>0</v>
      </c>
      <c r="H32" s="53">
        <f t="shared" si="7"/>
        <v>0</v>
      </c>
      <c r="I32" s="67">
        <f t="shared" si="0"/>
        <v>0</v>
      </c>
      <c r="J32" s="67"/>
      <c r="K32" s="150"/>
      <c r="L32" s="69">
        <f t="shared" si="1"/>
        <v>0</v>
      </c>
      <c r="M32" s="150"/>
      <c r="N32" s="69">
        <f t="shared" si="2"/>
        <v>0</v>
      </c>
      <c r="O32" s="69">
        <f t="shared" si="3"/>
        <v>0</v>
      </c>
      <c r="P32" s="4"/>
    </row>
    <row r="33" spans="2:16">
      <c r="B33" s="9" t="str">
        <f t="shared" si="4"/>
        <v/>
      </c>
      <c r="C33" s="674">
        <f>IF(D11="","-",+C32+1)</f>
        <v>2024</v>
      </c>
      <c r="D33" s="70">
        <v>0</v>
      </c>
      <c r="E33" s="71">
        <f>IF(+I14&lt;F32,I14,D33)</f>
        <v>0</v>
      </c>
      <c r="F33" s="70">
        <f t="shared" si="5"/>
        <v>0</v>
      </c>
      <c r="G33" s="72">
        <f t="shared" si="6"/>
        <v>0</v>
      </c>
      <c r="H33" s="53">
        <f t="shared" si="7"/>
        <v>0</v>
      </c>
      <c r="I33" s="67">
        <f t="shared" si="0"/>
        <v>0</v>
      </c>
      <c r="J33" s="67"/>
      <c r="K33" s="150"/>
      <c r="L33" s="69">
        <f t="shared" si="1"/>
        <v>0</v>
      </c>
      <c r="M33" s="150"/>
      <c r="N33" s="69">
        <f t="shared" si="2"/>
        <v>0</v>
      </c>
      <c r="O33" s="69">
        <f t="shared" si="3"/>
        <v>0</v>
      </c>
      <c r="P33" s="4"/>
    </row>
    <row r="34" spans="2:16">
      <c r="B34" s="9" t="str">
        <f t="shared" si="4"/>
        <v/>
      </c>
      <c r="C34" s="64">
        <f>IF(D11="","-",+C33+1)</f>
        <v>2025</v>
      </c>
      <c r="D34" s="70">
        <v>0</v>
      </c>
      <c r="E34" s="71">
        <f>IF(+I14&lt;F33,I14,D34)</f>
        <v>0</v>
      </c>
      <c r="F34" s="70">
        <f t="shared" si="5"/>
        <v>0</v>
      </c>
      <c r="G34" s="72">
        <f t="shared" si="6"/>
        <v>0</v>
      </c>
      <c r="H34" s="53">
        <f t="shared" si="7"/>
        <v>0</v>
      </c>
      <c r="I34" s="67">
        <f t="shared" si="0"/>
        <v>0</v>
      </c>
      <c r="J34" s="67"/>
      <c r="K34" s="150"/>
      <c r="L34" s="69">
        <f t="shared" si="1"/>
        <v>0</v>
      </c>
      <c r="M34" s="150"/>
      <c r="N34" s="69">
        <f t="shared" si="2"/>
        <v>0</v>
      </c>
      <c r="O34" s="69">
        <f t="shared" si="3"/>
        <v>0</v>
      </c>
      <c r="P34" s="4"/>
    </row>
    <row r="35" spans="2:16">
      <c r="B35" s="9" t="str">
        <f t="shared" si="4"/>
        <v/>
      </c>
      <c r="C35" s="64">
        <f>IF(D11="","-",+C34+1)</f>
        <v>2026</v>
      </c>
      <c r="D35" s="70">
        <v>0</v>
      </c>
      <c r="E35" s="71">
        <f>IF(+I14&lt;F34,I14,D35)</f>
        <v>0</v>
      </c>
      <c r="F35" s="70">
        <f t="shared" si="5"/>
        <v>0</v>
      </c>
      <c r="G35" s="72">
        <f t="shared" si="6"/>
        <v>0</v>
      </c>
      <c r="H35" s="53">
        <f t="shared" si="7"/>
        <v>0</v>
      </c>
      <c r="I35" s="67">
        <f t="shared" si="0"/>
        <v>0</v>
      </c>
      <c r="J35" s="67"/>
      <c r="K35" s="150"/>
      <c r="L35" s="69">
        <f t="shared" si="1"/>
        <v>0</v>
      </c>
      <c r="M35" s="150"/>
      <c r="N35" s="69">
        <f t="shared" si="2"/>
        <v>0</v>
      </c>
      <c r="O35" s="69">
        <f t="shared" si="3"/>
        <v>0</v>
      </c>
      <c r="P35" s="4"/>
    </row>
    <row r="36" spans="2:16">
      <c r="B36" s="9" t="str">
        <f t="shared" si="4"/>
        <v/>
      </c>
      <c r="C36" s="64">
        <f>IF(D11="","-",+C35+1)</f>
        <v>2027</v>
      </c>
      <c r="D36" s="70">
        <v>0</v>
      </c>
      <c r="E36" s="71">
        <f>IF(+I14&lt;F35,I14,D36)</f>
        <v>0</v>
      </c>
      <c r="F36" s="70">
        <f t="shared" si="5"/>
        <v>0</v>
      </c>
      <c r="G36" s="72">
        <f t="shared" si="6"/>
        <v>0</v>
      </c>
      <c r="H36" s="53">
        <f t="shared" si="7"/>
        <v>0</v>
      </c>
      <c r="I36" s="67">
        <f t="shared" si="0"/>
        <v>0</v>
      </c>
      <c r="J36" s="67"/>
      <c r="K36" s="150"/>
      <c r="L36" s="69">
        <f t="shared" si="1"/>
        <v>0</v>
      </c>
      <c r="M36" s="150"/>
      <c r="N36" s="69">
        <f t="shared" si="2"/>
        <v>0</v>
      </c>
      <c r="O36" s="69">
        <f t="shared" si="3"/>
        <v>0</v>
      </c>
      <c r="P36" s="4"/>
    </row>
    <row r="37" spans="2:16">
      <c r="B37" s="9" t="str">
        <f t="shared" si="4"/>
        <v/>
      </c>
      <c r="C37" s="64">
        <f>IF(D11="","-",+C36+1)</f>
        <v>2028</v>
      </c>
      <c r="D37" s="70">
        <v>0</v>
      </c>
      <c r="E37" s="71">
        <f>IF(+I14&lt;F36,I14,D37)</f>
        <v>0</v>
      </c>
      <c r="F37" s="70">
        <f t="shared" si="5"/>
        <v>0</v>
      </c>
      <c r="G37" s="72">
        <f t="shared" si="6"/>
        <v>0</v>
      </c>
      <c r="H37" s="53">
        <f t="shared" si="7"/>
        <v>0</v>
      </c>
      <c r="I37" s="67">
        <f t="shared" si="0"/>
        <v>0</v>
      </c>
      <c r="J37" s="67"/>
      <c r="K37" s="150"/>
      <c r="L37" s="69">
        <f t="shared" si="1"/>
        <v>0</v>
      </c>
      <c r="M37" s="150"/>
      <c r="N37" s="69">
        <f t="shared" si="2"/>
        <v>0</v>
      </c>
      <c r="O37" s="69">
        <f t="shared" si="3"/>
        <v>0</v>
      </c>
      <c r="P37" s="4"/>
    </row>
    <row r="38" spans="2:16">
      <c r="B38" s="9" t="str">
        <f t="shared" si="4"/>
        <v/>
      </c>
      <c r="C38" s="64">
        <f>IF(D11="","-",+C37+1)</f>
        <v>2029</v>
      </c>
      <c r="D38" s="70">
        <v>0</v>
      </c>
      <c r="E38" s="71">
        <f>IF(+I14&lt;F37,I14,D38)</f>
        <v>0</v>
      </c>
      <c r="F38" s="70">
        <f t="shared" si="5"/>
        <v>0</v>
      </c>
      <c r="G38" s="72">
        <f t="shared" si="6"/>
        <v>0</v>
      </c>
      <c r="H38" s="53">
        <f t="shared" si="7"/>
        <v>0</v>
      </c>
      <c r="I38" s="67">
        <f t="shared" si="0"/>
        <v>0</v>
      </c>
      <c r="J38" s="67"/>
      <c r="K38" s="150"/>
      <c r="L38" s="69">
        <f t="shared" si="1"/>
        <v>0</v>
      </c>
      <c r="M38" s="150"/>
      <c r="N38" s="69">
        <f t="shared" si="2"/>
        <v>0</v>
      </c>
      <c r="O38" s="69">
        <f t="shared" si="3"/>
        <v>0</v>
      </c>
      <c r="P38" s="4"/>
    </row>
    <row r="39" spans="2:16">
      <c r="B39" s="9" t="str">
        <f t="shared" si="4"/>
        <v/>
      </c>
      <c r="C39" s="64">
        <f>IF(D11="","-",+C38+1)</f>
        <v>2030</v>
      </c>
      <c r="D39" s="70">
        <v>0</v>
      </c>
      <c r="E39" s="71">
        <f>IF(+I14&lt;F38,I14,D39)</f>
        <v>0</v>
      </c>
      <c r="F39" s="70">
        <f t="shared" si="5"/>
        <v>0</v>
      </c>
      <c r="G39" s="72">
        <f t="shared" si="6"/>
        <v>0</v>
      </c>
      <c r="H39" s="53">
        <f t="shared" si="7"/>
        <v>0</v>
      </c>
      <c r="I39" s="67">
        <f t="shared" si="0"/>
        <v>0</v>
      </c>
      <c r="J39" s="67"/>
      <c r="K39" s="150"/>
      <c r="L39" s="69">
        <f t="shared" si="1"/>
        <v>0</v>
      </c>
      <c r="M39" s="150"/>
      <c r="N39" s="69">
        <f t="shared" si="2"/>
        <v>0</v>
      </c>
      <c r="O39" s="69">
        <f t="shared" si="3"/>
        <v>0</v>
      </c>
      <c r="P39" s="4"/>
    </row>
    <row r="40" spans="2:16">
      <c r="B40" s="9" t="str">
        <f t="shared" si="4"/>
        <v/>
      </c>
      <c r="C40" s="64">
        <f>IF(D11="","-",+C39+1)</f>
        <v>2031</v>
      </c>
      <c r="D40" s="70">
        <v>0</v>
      </c>
      <c r="E40" s="71">
        <f>IF(+I14&lt;F39,I14,D40)</f>
        <v>0</v>
      </c>
      <c r="F40" s="70">
        <f t="shared" si="5"/>
        <v>0</v>
      </c>
      <c r="G40" s="72">
        <f t="shared" si="6"/>
        <v>0</v>
      </c>
      <c r="H40" s="53">
        <f t="shared" si="7"/>
        <v>0</v>
      </c>
      <c r="I40" s="67">
        <f t="shared" si="0"/>
        <v>0</v>
      </c>
      <c r="J40" s="67"/>
      <c r="K40" s="150"/>
      <c r="L40" s="69">
        <f t="shared" si="1"/>
        <v>0</v>
      </c>
      <c r="M40" s="150"/>
      <c r="N40" s="69">
        <f t="shared" si="2"/>
        <v>0</v>
      </c>
      <c r="O40" s="69">
        <f t="shared" si="3"/>
        <v>0</v>
      </c>
      <c r="P40" s="4"/>
    </row>
    <row r="41" spans="2:16">
      <c r="B41" s="9" t="str">
        <f t="shared" si="4"/>
        <v/>
      </c>
      <c r="C41" s="64">
        <f>IF(D11="","-",+C40+1)</f>
        <v>2032</v>
      </c>
      <c r="D41" s="70">
        <v>0</v>
      </c>
      <c r="E41" s="71">
        <f>IF(+I14&lt;F40,I14,D41)</f>
        <v>0</v>
      </c>
      <c r="F41" s="70">
        <f t="shared" si="5"/>
        <v>0</v>
      </c>
      <c r="G41" s="72">
        <f t="shared" si="6"/>
        <v>0</v>
      </c>
      <c r="H41" s="53">
        <f t="shared" si="7"/>
        <v>0</v>
      </c>
      <c r="I41" s="67">
        <f t="shared" si="0"/>
        <v>0</v>
      </c>
      <c r="J41" s="67"/>
      <c r="K41" s="150"/>
      <c r="L41" s="69">
        <f t="shared" si="1"/>
        <v>0</v>
      </c>
      <c r="M41" s="150"/>
      <c r="N41" s="69">
        <f t="shared" si="2"/>
        <v>0</v>
      </c>
      <c r="O41" s="69">
        <f t="shared" si="3"/>
        <v>0</v>
      </c>
      <c r="P41" s="4"/>
    </row>
    <row r="42" spans="2:16">
      <c r="B42" s="9" t="str">
        <f t="shared" si="4"/>
        <v/>
      </c>
      <c r="C42" s="64">
        <f>IF(D11="","-",+C41+1)</f>
        <v>2033</v>
      </c>
      <c r="D42" s="70">
        <v>0</v>
      </c>
      <c r="E42" s="71">
        <f>IF(+I14&lt;F41,I14,D42)</f>
        <v>0</v>
      </c>
      <c r="F42" s="70">
        <f t="shared" si="5"/>
        <v>0</v>
      </c>
      <c r="G42" s="72">
        <f t="shared" si="6"/>
        <v>0</v>
      </c>
      <c r="H42" s="53">
        <f t="shared" si="7"/>
        <v>0</v>
      </c>
      <c r="I42" s="67">
        <f t="shared" si="0"/>
        <v>0</v>
      </c>
      <c r="J42" s="67"/>
      <c r="K42" s="150"/>
      <c r="L42" s="69">
        <f t="shared" si="1"/>
        <v>0</v>
      </c>
      <c r="M42" s="150"/>
      <c r="N42" s="69">
        <f t="shared" si="2"/>
        <v>0</v>
      </c>
      <c r="O42" s="69">
        <f t="shared" si="3"/>
        <v>0</v>
      </c>
      <c r="P42" s="4"/>
    </row>
    <row r="43" spans="2:16">
      <c r="B43" s="9" t="str">
        <f t="shared" si="4"/>
        <v/>
      </c>
      <c r="C43" s="64">
        <f>IF(D11="","-",+C42+1)</f>
        <v>2034</v>
      </c>
      <c r="D43" s="70">
        <v>0</v>
      </c>
      <c r="E43" s="71">
        <f>IF(+I14&lt;F42,I14,D43)</f>
        <v>0</v>
      </c>
      <c r="F43" s="70">
        <f t="shared" si="5"/>
        <v>0</v>
      </c>
      <c r="G43" s="72">
        <f t="shared" si="6"/>
        <v>0</v>
      </c>
      <c r="H43" s="53">
        <f t="shared" si="7"/>
        <v>0</v>
      </c>
      <c r="I43" s="67">
        <f t="shared" si="0"/>
        <v>0</v>
      </c>
      <c r="J43" s="67"/>
      <c r="K43" s="150"/>
      <c r="L43" s="69">
        <f t="shared" si="1"/>
        <v>0</v>
      </c>
      <c r="M43" s="150"/>
      <c r="N43" s="69">
        <f t="shared" si="2"/>
        <v>0</v>
      </c>
      <c r="O43" s="69">
        <f t="shared" si="3"/>
        <v>0</v>
      </c>
      <c r="P43" s="4"/>
    </row>
    <row r="44" spans="2:16">
      <c r="B44" s="9" t="str">
        <f t="shared" si="4"/>
        <v/>
      </c>
      <c r="C44" s="64">
        <f>IF(D11="","-",+C43+1)</f>
        <v>2035</v>
      </c>
      <c r="D44" s="70">
        <v>0</v>
      </c>
      <c r="E44" s="71">
        <f>IF(+I14&lt;F43,I14,D44)</f>
        <v>0</v>
      </c>
      <c r="F44" s="70">
        <f t="shared" si="5"/>
        <v>0</v>
      </c>
      <c r="G44" s="72">
        <f t="shared" si="6"/>
        <v>0</v>
      </c>
      <c r="H44" s="53">
        <f t="shared" si="7"/>
        <v>0</v>
      </c>
      <c r="I44" s="67">
        <f t="shared" si="0"/>
        <v>0</v>
      </c>
      <c r="J44" s="67"/>
      <c r="K44" s="150"/>
      <c r="L44" s="69">
        <f t="shared" si="1"/>
        <v>0</v>
      </c>
      <c r="M44" s="150"/>
      <c r="N44" s="69">
        <f t="shared" si="2"/>
        <v>0</v>
      </c>
      <c r="O44" s="69">
        <f t="shared" si="3"/>
        <v>0</v>
      </c>
      <c r="P44" s="4"/>
    </row>
    <row r="45" spans="2:16">
      <c r="B45" s="9" t="str">
        <f t="shared" si="4"/>
        <v/>
      </c>
      <c r="C45" s="64">
        <f>IF(D11="","-",+C44+1)</f>
        <v>2036</v>
      </c>
      <c r="D45" s="70">
        <v>0</v>
      </c>
      <c r="E45" s="71">
        <f>IF(+I14&lt;F44,I14,D45)</f>
        <v>0</v>
      </c>
      <c r="F45" s="70">
        <f t="shared" si="5"/>
        <v>0</v>
      </c>
      <c r="G45" s="72">
        <f t="shared" si="6"/>
        <v>0</v>
      </c>
      <c r="H45" s="53">
        <f t="shared" si="7"/>
        <v>0</v>
      </c>
      <c r="I45" s="67">
        <f t="shared" si="0"/>
        <v>0</v>
      </c>
      <c r="J45" s="67"/>
      <c r="K45" s="150"/>
      <c r="L45" s="69">
        <f t="shared" si="1"/>
        <v>0</v>
      </c>
      <c r="M45" s="150"/>
      <c r="N45" s="69">
        <f t="shared" si="2"/>
        <v>0</v>
      </c>
      <c r="O45" s="69">
        <f t="shared" si="3"/>
        <v>0</v>
      </c>
      <c r="P45" s="4"/>
    </row>
    <row r="46" spans="2:16">
      <c r="B46" s="9" t="str">
        <f t="shared" si="4"/>
        <v/>
      </c>
      <c r="C46" s="64">
        <f>IF(D11="","-",+C45+1)</f>
        <v>2037</v>
      </c>
      <c r="D46" s="70">
        <v>0</v>
      </c>
      <c r="E46" s="71">
        <f>IF(+I14&lt;F45,I14,D46)</f>
        <v>0</v>
      </c>
      <c r="F46" s="70">
        <f t="shared" si="5"/>
        <v>0</v>
      </c>
      <c r="G46" s="72">
        <f t="shared" si="6"/>
        <v>0</v>
      </c>
      <c r="H46" s="53">
        <f t="shared" si="7"/>
        <v>0</v>
      </c>
      <c r="I46" s="67">
        <f t="shared" si="0"/>
        <v>0</v>
      </c>
      <c r="J46" s="67"/>
      <c r="K46" s="150"/>
      <c r="L46" s="69">
        <f t="shared" si="1"/>
        <v>0</v>
      </c>
      <c r="M46" s="150"/>
      <c r="N46" s="69">
        <f t="shared" si="2"/>
        <v>0</v>
      </c>
      <c r="O46" s="69">
        <f t="shared" si="3"/>
        <v>0</v>
      </c>
      <c r="P46" s="4"/>
    </row>
    <row r="47" spans="2:16">
      <c r="B47" s="9" t="str">
        <f t="shared" si="4"/>
        <v/>
      </c>
      <c r="C47" s="64">
        <f>IF(D11="","-",+C46+1)</f>
        <v>2038</v>
      </c>
      <c r="D47" s="70">
        <v>0</v>
      </c>
      <c r="E47" s="71">
        <f>IF(+I14&lt;F46,I14,D47)</f>
        <v>0</v>
      </c>
      <c r="F47" s="70">
        <f t="shared" si="5"/>
        <v>0</v>
      </c>
      <c r="G47" s="72">
        <f t="shared" si="6"/>
        <v>0</v>
      </c>
      <c r="H47" s="53">
        <f t="shared" si="7"/>
        <v>0</v>
      </c>
      <c r="I47" s="67">
        <f t="shared" si="0"/>
        <v>0</v>
      </c>
      <c r="J47" s="67"/>
      <c r="K47" s="150"/>
      <c r="L47" s="69">
        <f t="shared" si="1"/>
        <v>0</v>
      </c>
      <c r="M47" s="150"/>
      <c r="N47" s="69">
        <f t="shared" si="2"/>
        <v>0</v>
      </c>
      <c r="O47" s="69">
        <f t="shared" si="3"/>
        <v>0</v>
      </c>
      <c r="P47" s="4"/>
    </row>
    <row r="48" spans="2:16">
      <c r="B48" s="9" t="str">
        <f t="shared" si="4"/>
        <v/>
      </c>
      <c r="C48" s="64">
        <f>IF(D11="","-",+C47+1)</f>
        <v>2039</v>
      </c>
      <c r="D48" s="70">
        <v>0</v>
      </c>
      <c r="E48" s="71">
        <f>IF(+I14&lt;F47,I14,D48)</f>
        <v>0</v>
      </c>
      <c r="F48" s="70">
        <f t="shared" si="5"/>
        <v>0</v>
      </c>
      <c r="G48" s="72">
        <f t="shared" si="6"/>
        <v>0</v>
      </c>
      <c r="H48" s="53">
        <f t="shared" si="7"/>
        <v>0</v>
      </c>
      <c r="I48" s="67">
        <f t="shared" si="0"/>
        <v>0</v>
      </c>
      <c r="J48" s="67"/>
      <c r="K48" s="150"/>
      <c r="L48" s="69">
        <f t="shared" si="1"/>
        <v>0</v>
      </c>
      <c r="M48" s="150"/>
      <c r="N48" s="69">
        <f t="shared" si="2"/>
        <v>0</v>
      </c>
      <c r="O48" s="69">
        <f t="shared" si="3"/>
        <v>0</v>
      </c>
      <c r="P48" s="4"/>
    </row>
    <row r="49" spans="2:17">
      <c r="B49" s="9" t="str">
        <f t="shared" si="4"/>
        <v/>
      </c>
      <c r="C49" s="64">
        <f>IF(D11="","-",+C48+1)</f>
        <v>2040</v>
      </c>
      <c r="D49" s="70">
        <v>0</v>
      </c>
      <c r="E49" s="71">
        <f>IF(+I14&lt;F48,I14,D49)</f>
        <v>0</v>
      </c>
      <c r="F49" s="70">
        <f t="shared" ref="F49:F72" si="8">+D49-E49</f>
        <v>0</v>
      </c>
      <c r="G49" s="72">
        <f t="shared" si="6"/>
        <v>0</v>
      </c>
      <c r="H49" s="53">
        <f t="shared" si="7"/>
        <v>0</v>
      </c>
      <c r="I49" s="67">
        <f t="shared" ref="I49:I72" si="9">H49-G49</f>
        <v>0</v>
      </c>
      <c r="J49" s="67"/>
      <c r="K49" s="150"/>
      <c r="L49" s="69">
        <f t="shared" ref="L49:L72" si="10">IF(K49&lt;&gt;0,+G49-K49,0)</f>
        <v>0</v>
      </c>
      <c r="M49" s="150"/>
      <c r="N49" s="69">
        <f t="shared" ref="N49:N72" si="11">IF(M49&lt;&gt;0,+H49-M49,0)</f>
        <v>0</v>
      </c>
      <c r="O49" s="69">
        <f t="shared" ref="O49:O72" si="12">+N49-L49</f>
        <v>0</v>
      </c>
      <c r="P49" s="4"/>
    </row>
    <row r="50" spans="2:17">
      <c r="B50" s="9" t="str">
        <f t="shared" si="4"/>
        <v/>
      </c>
      <c r="C50" s="64">
        <f>IF(D11="","-",+C49+1)</f>
        <v>2041</v>
      </c>
      <c r="D50" s="70">
        <v>0</v>
      </c>
      <c r="E50" s="71">
        <f>IF(+I14&lt;F49,I14,D50)</f>
        <v>0</v>
      </c>
      <c r="F50" s="70">
        <f t="shared" si="8"/>
        <v>0</v>
      </c>
      <c r="G50" s="72">
        <f t="shared" si="6"/>
        <v>0</v>
      </c>
      <c r="H50" s="53">
        <f t="shared" si="7"/>
        <v>0</v>
      </c>
      <c r="I50" s="67">
        <f t="shared" si="9"/>
        <v>0</v>
      </c>
      <c r="J50" s="67"/>
      <c r="K50" s="150"/>
      <c r="L50" s="69">
        <f t="shared" si="10"/>
        <v>0</v>
      </c>
      <c r="M50" s="150"/>
      <c r="N50" s="69">
        <f t="shared" si="11"/>
        <v>0</v>
      </c>
      <c r="O50" s="69">
        <f t="shared" si="12"/>
        <v>0</v>
      </c>
      <c r="P50" s="4"/>
    </row>
    <row r="51" spans="2:17">
      <c r="B51" s="9" t="str">
        <f t="shared" si="4"/>
        <v/>
      </c>
      <c r="C51" s="64">
        <f>IF(D11="","-",+C50+1)</f>
        <v>2042</v>
      </c>
      <c r="D51" s="70">
        <v>0</v>
      </c>
      <c r="E51" s="71">
        <f>IF(+I14&lt;F50,I14,D51)</f>
        <v>0</v>
      </c>
      <c r="F51" s="70">
        <f t="shared" si="8"/>
        <v>0</v>
      </c>
      <c r="G51" s="72">
        <f t="shared" si="6"/>
        <v>0</v>
      </c>
      <c r="H51" s="53">
        <f t="shared" si="7"/>
        <v>0</v>
      </c>
      <c r="I51" s="67">
        <f t="shared" si="9"/>
        <v>0</v>
      </c>
      <c r="J51" s="67"/>
      <c r="K51" s="150"/>
      <c r="L51" s="69">
        <f t="shared" si="10"/>
        <v>0</v>
      </c>
      <c r="M51" s="150"/>
      <c r="N51" s="69">
        <f t="shared" si="11"/>
        <v>0</v>
      </c>
      <c r="O51" s="69">
        <f t="shared" si="12"/>
        <v>0</v>
      </c>
      <c r="P51" s="4"/>
    </row>
    <row r="52" spans="2:17">
      <c r="B52" s="9" t="str">
        <f t="shared" si="4"/>
        <v/>
      </c>
      <c r="C52" s="64">
        <f>IF(D11="","-",+C51+1)</f>
        <v>2043</v>
      </c>
      <c r="D52" s="70">
        <v>0</v>
      </c>
      <c r="E52" s="71">
        <f>IF(+I14&lt;F51,I14,D52)</f>
        <v>0</v>
      </c>
      <c r="F52" s="70">
        <f t="shared" si="8"/>
        <v>0</v>
      </c>
      <c r="G52" s="72">
        <f t="shared" si="6"/>
        <v>0</v>
      </c>
      <c r="H52" s="53">
        <f t="shared" si="7"/>
        <v>0</v>
      </c>
      <c r="I52" s="67">
        <f t="shared" si="9"/>
        <v>0</v>
      </c>
      <c r="J52" s="67"/>
      <c r="K52" s="150"/>
      <c r="L52" s="69">
        <f t="shared" si="10"/>
        <v>0</v>
      </c>
      <c r="M52" s="150"/>
      <c r="N52" s="69">
        <f t="shared" si="11"/>
        <v>0</v>
      </c>
      <c r="O52" s="69">
        <f t="shared" si="12"/>
        <v>0</v>
      </c>
      <c r="P52" s="4"/>
    </row>
    <row r="53" spans="2:17">
      <c r="B53" s="9" t="str">
        <f t="shared" si="4"/>
        <v/>
      </c>
      <c r="C53" s="64">
        <f>IF(D11="","-",+C52+1)</f>
        <v>2044</v>
      </c>
      <c r="D53" s="70">
        <v>0</v>
      </c>
      <c r="E53" s="71">
        <f>IF(+I14&lt;F52,I14,D53)</f>
        <v>0</v>
      </c>
      <c r="F53" s="70">
        <f t="shared" si="8"/>
        <v>0</v>
      </c>
      <c r="G53" s="72">
        <f t="shared" si="6"/>
        <v>0</v>
      </c>
      <c r="H53" s="53">
        <f t="shared" si="7"/>
        <v>0</v>
      </c>
      <c r="I53" s="67">
        <f t="shared" si="9"/>
        <v>0</v>
      </c>
      <c r="J53" s="67"/>
      <c r="K53" s="150"/>
      <c r="L53" s="69">
        <f t="shared" si="10"/>
        <v>0</v>
      </c>
      <c r="M53" s="150"/>
      <c r="N53" s="69">
        <f t="shared" si="11"/>
        <v>0</v>
      </c>
      <c r="O53" s="69">
        <f t="shared" si="12"/>
        <v>0</v>
      </c>
      <c r="P53" s="4"/>
    </row>
    <row r="54" spans="2:17">
      <c r="B54" s="9" t="str">
        <f t="shared" si="4"/>
        <v/>
      </c>
      <c r="C54" s="64">
        <f>IF(D11="","-",+C53+1)</f>
        <v>2045</v>
      </c>
      <c r="D54" s="70">
        <v>0</v>
      </c>
      <c r="E54" s="71">
        <f>IF(+I14&lt;F53,I14,D54)</f>
        <v>0</v>
      </c>
      <c r="F54" s="70">
        <f t="shared" si="8"/>
        <v>0</v>
      </c>
      <c r="G54" s="72">
        <f t="shared" ref="G54:G72" si="13">+I$12*((D54+F54)/2)+E54</f>
        <v>0</v>
      </c>
      <c r="H54" s="53">
        <f t="shared" ref="H54:H72" si="14">+I$13*((D54+F54)/2)+E54</f>
        <v>0</v>
      </c>
      <c r="I54" s="67">
        <f t="shared" si="9"/>
        <v>0</v>
      </c>
      <c r="J54" s="67"/>
      <c r="K54" s="150"/>
      <c r="L54" s="69">
        <f t="shared" si="10"/>
        <v>0</v>
      </c>
      <c r="M54" s="150"/>
      <c r="N54" s="69">
        <f t="shared" si="11"/>
        <v>0</v>
      </c>
      <c r="O54" s="69">
        <f t="shared" si="12"/>
        <v>0</v>
      </c>
      <c r="P54" s="4"/>
    </row>
    <row r="55" spans="2:17">
      <c r="B55" s="9" t="str">
        <f t="shared" si="4"/>
        <v/>
      </c>
      <c r="C55" s="64">
        <f>IF(D11="","-",+C54+1)</f>
        <v>2046</v>
      </c>
      <c r="D55" s="70">
        <v>0</v>
      </c>
      <c r="E55" s="71">
        <f>IF(+I14&lt;F54,I14,D55)</f>
        <v>0</v>
      </c>
      <c r="F55" s="70">
        <f t="shared" si="8"/>
        <v>0</v>
      </c>
      <c r="G55" s="72">
        <f t="shared" si="13"/>
        <v>0</v>
      </c>
      <c r="H55" s="53">
        <f t="shared" si="14"/>
        <v>0</v>
      </c>
      <c r="I55" s="67">
        <f t="shared" si="9"/>
        <v>0</v>
      </c>
      <c r="J55" s="67"/>
      <c r="K55" s="150"/>
      <c r="L55" s="69">
        <f t="shared" si="10"/>
        <v>0</v>
      </c>
      <c r="M55" s="150"/>
      <c r="N55" s="69">
        <f t="shared" si="11"/>
        <v>0</v>
      </c>
      <c r="O55" s="69">
        <f t="shared" si="12"/>
        <v>0</v>
      </c>
      <c r="P55" s="4"/>
    </row>
    <row r="56" spans="2:17">
      <c r="B56" s="9" t="str">
        <f t="shared" si="4"/>
        <v/>
      </c>
      <c r="C56" s="64">
        <f>IF(D11="","-",+C55+1)</f>
        <v>2047</v>
      </c>
      <c r="D56" s="70">
        <v>0</v>
      </c>
      <c r="E56" s="71">
        <f>IF(+I14&lt;F55,I14,D56)</f>
        <v>0</v>
      </c>
      <c r="F56" s="70">
        <f t="shared" si="8"/>
        <v>0</v>
      </c>
      <c r="G56" s="72">
        <f t="shared" si="13"/>
        <v>0</v>
      </c>
      <c r="H56" s="53">
        <f t="shared" si="14"/>
        <v>0</v>
      </c>
      <c r="I56" s="67">
        <f t="shared" si="9"/>
        <v>0</v>
      </c>
      <c r="J56" s="67"/>
      <c r="K56" s="150"/>
      <c r="L56" s="69">
        <f t="shared" si="10"/>
        <v>0</v>
      </c>
      <c r="M56" s="150"/>
      <c r="N56" s="69">
        <f t="shared" si="11"/>
        <v>0</v>
      </c>
      <c r="O56" s="69">
        <f t="shared" si="12"/>
        <v>0</v>
      </c>
      <c r="P56" s="4"/>
    </row>
    <row r="57" spans="2:17">
      <c r="B57" s="9" t="str">
        <f t="shared" si="4"/>
        <v/>
      </c>
      <c r="C57" s="64">
        <f>IF(D11="","-",+C56+1)</f>
        <v>2048</v>
      </c>
      <c r="D57" s="70">
        <v>0</v>
      </c>
      <c r="E57" s="71">
        <f>IF(+I14&lt;F56,I14,D57)</f>
        <v>0</v>
      </c>
      <c r="F57" s="70">
        <f t="shared" si="8"/>
        <v>0</v>
      </c>
      <c r="G57" s="72">
        <f t="shared" si="13"/>
        <v>0</v>
      </c>
      <c r="H57" s="53">
        <f t="shared" si="14"/>
        <v>0</v>
      </c>
      <c r="I57" s="67">
        <f t="shared" si="9"/>
        <v>0</v>
      </c>
      <c r="J57" s="67"/>
      <c r="K57" s="150"/>
      <c r="L57" s="69">
        <f t="shared" si="10"/>
        <v>0</v>
      </c>
      <c r="M57" s="150"/>
      <c r="N57" s="69">
        <f t="shared" si="11"/>
        <v>0</v>
      </c>
      <c r="O57" s="69">
        <f t="shared" si="12"/>
        <v>0</v>
      </c>
      <c r="P57" s="4"/>
    </row>
    <row r="58" spans="2:17">
      <c r="B58" s="9" t="str">
        <f t="shared" si="4"/>
        <v/>
      </c>
      <c r="C58" s="64">
        <f>IF(D11="","-",+C57+1)</f>
        <v>2049</v>
      </c>
      <c r="D58" s="70">
        <v>0</v>
      </c>
      <c r="E58" s="71">
        <f>IF(+I14&lt;F57,I14,D58)</f>
        <v>0</v>
      </c>
      <c r="F58" s="70">
        <f t="shared" si="8"/>
        <v>0</v>
      </c>
      <c r="G58" s="72">
        <f t="shared" si="13"/>
        <v>0</v>
      </c>
      <c r="H58" s="53">
        <f t="shared" si="14"/>
        <v>0</v>
      </c>
      <c r="I58" s="67">
        <f t="shared" si="9"/>
        <v>0</v>
      </c>
      <c r="J58" s="67"/>
      <c r="K58" s="150"/>
      <c r="L58" s="69">
        <f t="shared" si="10"/>
        <v>0</v>
      </c>
      <c r="M58" s="150"/>
      <c r="N58" s="69">
        <f t="shared" si="11"/>
        <v>0</v>
      </c>
      <c r="O58" s="69">
        <f t="shared" si="12"/>
        <v>0</v>
      </c>
      <c r="P58" s="4"/>
      <c r="Q58" t="str">
        <f>IF(ROUND(Q57,0)=ROUND(SUM(Q18:Q56),0),"","Error -- check allocations above).")</f>
        <v/>
      </c>
    </row>
    <row r="59" spans="2:17">
      <c r="B59" s="9" t="str">
        <f t="shared" si="4"/>
        <v/>
      </c>
      <c r="C59" s="64">
        <f>IF(D11="","-",+C58+1)</f>
        <v>2050</v>
      </c>
      <c r="D59" s="70">
        <v>0</v>
      </c>
      <c r="E59" s="71">
        <f>IF(+I14&lt;F58,I14,D59)</f>
        <v>0</v>
      </c>
      <c r="F59" s="70">
        <f t="shared" si="8"/>
        <v>0</v>
      </c>
      <c r="G59" s="72">
        <f t="shared" si="13"/>
        <v>0</v>
      </c>
      <c r="H59" s="53">
        <f t="shared" si="14"/>
        <v>0</v>
      </c>
      <c r="I59" s="67">
        <f t="shared" si="9"/>
        <v>0</v>
      </c>
      <c r="J59" s="67"/>
      <c r="K59" s="150"/>
      <c r="L59" s="69">
        <f t="shared" si="10"/>
        <v>0</v>
      </c>
      <c r="M59" s="150"/>
      <c r="N59" s="69">
        <f t="shared" si="11"/>
        <v>0</v>
      </c>
      <c r="O59" s="69">
        <f t="shared" si="12"/>
        <v>0</v>
      </c>
      <c r="P59" s="4"/>
    </row>
    <row r="60" spans="2:17">
      <c r="B60" s="9" t="str">
        <f t="shared" si="4"/>
        <v/>
      </c>
      <c r="C60" s="64">
        <f>IF(D11="","-",+C59+1)</f>
        <v>2051</v>
      </c>
      <c r="D60" s="70">
        <v>0</v>
      </c>
      <c r="E60" s="71">
        <f>IF(+I14&lt;F59,I14,D60)</f>
        <v>0</v>
      </c>
      <c r="F60" s="70">
        <f t="shared" si="8"/>
        <v>0</v>
      </c>
      <c r="G60" s="72">
        <f t="shared" si="13"/>
        <v>0</v>
      </c>
      <c r="H60" s="53">
        <f t="shared" si="14"/>
        <v>0</v>
      </c>
      <c r="I60" s="67">
        <f t="shared" si="9"/>
        <v>0</v>
      </c>
      <c r="J60" s="67"/>
      <c r="K60" s="150"/>
      <c r="L60" s="69">
        <f t="shared" si="10"/>
        <v>0</v>
      </c>
      <c r="M60" s="150"/>
      <c r="N60" s="69">
        <f t="shared" si="11"/>
        <v>0</v>
      </c>
      <c r="O60" s="69">
        <f t="shared" si="12"/>
        <v>0</v>
      </c>
      <c r="P60" s="4"/>
    </row>
    <row r="61" spans="2:17">
      <c r="B61" s="9" t="str">
        <f t="shared" si="4"/>
        <v/>
      </c>
      <c r="C61" s="64">
        <f>IF(D11="","-",+C60+1)</f>
        <v>2052</v>
      </c>
      <c r="D61" s="70">
        <v>0</v>
      </c>
      <c r="E61" s="71">
        <f>IF(+I14&lt;F60,I14,D61)</f>
        <v>0</v>
      </c>
      <c r="F61" s="70">
        <f t="shared" si="8"/>
        <v>0</v>
      </c>
      <c r="G61" s="73">
        <f t="shared" si="13"/>
        <v>0</v>
      </c>
      <c r="H61" s="53">
        <f t="shared" si="14"/>
        <v>0</v>
      </c>
      <c r="I61" s="67">
        <f t="shared" si="9"/>
        <v>0</v>
      </c>
      <c r="J61" s="67"/>
      <c r="K61" s="150"/>
      <c r="L61" s="69">
        <f t="shared" si="10"/>
        <v>0</v>
      </c>
      <c r="M61" s="150"/>
      <c r="N61" s="69">
        <f t="shared" si="11"/>
        <v>0</v>
      </c>
      <c r="O61" s="69">
        <f t="shared" si="12"/>
        <v>0</v>
      </c>
      <c r="P61" s="4"/>
    </row>
    <row r="62" spans="2:17">
      <c r="B62" s="9" t="str">
        <f t="shared" si="4"/>
        <v/>
      </c>
      <c r="C62" s="64">
        <f>IF(D11="","-",+C61+1)</f>
        <v>2053</v>
      </c>
      <c r="D62" s="70">
        <v>0</v>
      </c>
      <c r="E62" s="71">
        <f>IF(+I14&lt;F61,I14,D62)</f>
        <v>0</v>
      </c>
      <c r="F62" s="70">
        <f t="shared" si="8"/>
        <v>0</v>
      </c>
      <c r="G62" s="73">
        <f t="shared" si="13"/>
        <v>0</v>
      </c>
      <c r="H62" s="53">
        <f t="shared" si="14"/>
        <v>0</v>
      </c>
      <c r="I62" s="67">
        <f t="shared" si="9"/>
        <v>0</v>
      </c>
      <c r="J62" s="67"/>
      <c r="K62" s="150"/>
      <c r="L62" s="69">
        <f t="shared" si="10"/>
        <v>0</v>
      </c>
      <c r="M62" s="150"/>
      <c r="N62" s="69">
        <f t="shared" si="11"/>
        <v>0</v>
      </c>
      <c r="O62" s="69">
        <f t="shared" si="12"/>
        <v>0</v>
      </c>
      <c r="P62" s="4"/>
    </row>
    <row r="63" spans="2:17">
      <c r="B63" s="9" t="str">
        <f t="shared" si="4"/>
        <v/>
      </c>
      <c r="C63" s="64">
        <f>IF(D11="","-",+C62+1)</f>
        <v>2054</v>
      </c>
      <c r="D63" s="70">
        <v>0</v>
      </c>
      <c r="E63" s="71">
        <f>IF(+I14&lt;F62,I14,D63)</f>
        <v>0</v>
      </c>
      <c r="F63" s="70">
        <f t="shared" si="8"/>
        <v>0</v>
      </c>
      <c r="G63" s="73">
        <f t="shared" si="13"/>
        <v>0</v>
      </c>
      <c r="H63" s="53">
        <f t="shared" si="14"/>
        <v>0</v>
      </c>
      <c r="I63" s="67">
        <f t="shared" si="9"/>
        <v>0</v>
      </c>
      <c r="J63" s="67"/>
      <c r="K63" s="150"/>
      <c r="L63" s="69">
        <f t="shared" si="10"/>
        <v>0</v>
      </c>
      <c r="M63" s="150"/>
      <c r="N63" s="69">
        <f t="shared" si="11"/>
        <v>0</v>
      </c>
      <c r="O63" s="69">
        <f t="shared" si="12"/>
        <v>0</v>
      </c>
      <c r="P63" s="4"/>
    </row>
    <row r="64" spans="2:17">
      <c r="B64" s="9" t="str">
        <f t="shared" si="4"/>
        <v/>
      </c>
      <c r="C64" s="64">
        <f>IF(D11="","-",+C63+1)</f>
        <v>2055</v>
      </c>
      <c r="D64" s="70">
        <v>0</v>
      </c>
      <c r="E64" s="71">
        <f>IF(+I14&lt;F63,I14,D64)</f>
        <v>0</v>
      </c>
      <c r="F64" s="70">
        <f t="shared" si="8"/>
        <v>0</v>
      </c>
      <c r="G64" s="73">
        <f t="shared" si="13"/>
        <v>0</v>
      </c>
      <c r="H64" s="53">
        <f t="shared" si="14"/>
        <v>0</v>
      </c>
      <c r="I64" s="67">
        <f t="shared" si="9"/>
        <v>0</v>
      </c>
      <c r="J64" s="67"/>
      <c r="K64" s="150"/>
      <c r="L64" s="69">
        <f t="shared" si="10"/>
        <v>0</v>
      </c>
      <c r="M64" s="150"/>
      <c r="N64" s="69">
        <f t="shared" si="11"/>
        <v>0</v>
      </c>
      <c r="O64" s="69">
        <f t="shared" si="12"/>
        <v>0</v>
      </c>
      <c r="P64" s="4"/>
    </row>
    <row r="65" spans="1:16">
      <c r="B65" s="9" t="str">
        <f t="shared" si="4"/>
        <v/>
      </c>
      <c r="C65" s="64">
        <f>IF(D11="","-",+C64+1)</f>
        <v>2056</v>
      </c>
      <c r="D65" s="70">
        <v>0</v>
      </c>
      <c r="E65" s="71">
        <f>IF(+I14&lt;F64,I14,D65)</f>
        <v>0</v>
      </c>
      <c r="F65" s="70">
        <f t="shared" si="8"/>
        <v>0</v>
      </c>
      <c r="G65" s="73">
        <f t="shared" si="13"/>
        <v>0</v>
      </c>
      <c r="H65" s="53">
        <f t="shared" si="14"/>
        <v>0</v>
      </c>
      <c r="I65" s="67">
        <f t="shared" si="9"/>
        <v>0</v>
      </c>
      <c r="J65" s="67"/>
      <c r="K65" s="150"/>
      <c r="L65" s="69">
        <f t="shared" si="10"/>
        <v>0</v>
      </c>
      <c r="M65" s="150"/>
      <c r="N65" s="69">
        <f t="shared" si="11"/>
        <v>0</v>
      </c>
      <c r="O65" s="69">
        <f t="shared" si="12"/>
        <v>0</v>
      </c>
      <c r="P65" s="4"/>
    </row>
    <row r="66" spans="1:16">
      <c r="B66" s="9" t="str">
        <f t="shared" si="4"/>
        <v/>
      </c>
      <c r="C66" s="64">
        <f>IF(D11="","-",+C65+1)</f>
        <v>2057</v>
      </c>
      <c r="D66" s="70">
        <v>0</v>
      </c>
      <c r="E66" s="71">
        <f>IF(+I14&lt;F65,I14,D66)</f>
        <v>0</v>
      </c>
      <c r="F66" s="70">
        <f t="shared" si="8"/>
        <v>0</v>
      </c>
      <c r="G66" s="73">
        <f t="shared" si="13"/>
        <v>0</v>
      </c>
      <c r="H66" s="53">
        <f t="shared" si="14"/>
        <v>0</v>
      </c>
      <c r="I66" s="67">
        <f t="shared" si="9"/>
        <v>0</v>
      </c>
      <c r="J66" s="67"/>
      <c r="K66" s="150"/>
      <c r="L66" s="69">
        <f t="shared" si="10"/>
        <v>0</v>
      </c>
      <c r="M66" s="150"/>
      <c r="N66" s="69">
        <f t="shared" si="11"/>
        <v>0</v>
      </c>
      <c r="O66" s="69">
        <f t="shared" si="12"/>
        <v>0</v>
      </c>
      <c r="P66" s="4"/>
    </row>
    <row r="67" spans="1:16">
      <c r="B67" s="9" t="str">
        <f t="shared" si="4"/>
        <v/>
      </c>
      <c r="C67" s="64">
        <f>IF(D11="","-",+C66+1)</f>
        <v>2058</v>
      </c>
      <c r="D67" s="70">
        <v>0</v>
      </c>
      <c r="E67" s="71">
        <f>IF(+I14&lt;F66,I14,D67)</f>
        <v>0</v>
      </c>
      <c r="F67" s="70">
        <f t="shared" si="8"/>
        <v>0</v>
      </c>
      <c r="G67" s="73">
        <f t="shared" si="13"/>
        <v>0</v>
      </c>
      <c r="H67" s="53">
        <f t="shared" si="14"/>
        <v>0</v>
      </c>
      <c r="I67" s="67">
        <f t="shared" si="9"/>
        <v>0</v>
      </c>
      <c r="J67" s="67"/>
      <c r="K67" s="150"/>
      <c r="L67" s="69">
        <f t="shared" si="10"/>
        <v>0</v>
      </c>
      <c r="M67" s="150"/>
      <c r="N67" s="69">
        <f t="shared" si="11"/>
        <v>0</v>
      </c>
      <c r="O67" s="69">
        <f t="shared" si="12"/>
        <v>0</v>
      </c>
      <c r="P67" s="4"/>
    </row>
    <row r="68" spans="1:16">
      <c r="B68" s="9" t="str">
        <f t="shared" si="4"/>
        <v/>
      </c>
      <c r="C68" s="64">
        <f>IF(D11="","-",+C67+1)</f>
        <v>2059</v>
      </c>
      <c r="D68" s="70">
        <v>0</v>
      </c>
      <c r="E68" s="71">
        <f>IF(+I14&lt;F67,I14,D68)</f>
        <v>0</v>
      </c>
      <c r="F68" s="70">
        <f t="shared" si="8"/>
        <v>0</v>
      </c>
      <c r="G68" s="73">
        <f t="shared" si="13"/>
        <v>0</v>
      </c>
      <c r="H68" s="53">
        <f t="shared" si="14"/>
        <v>0</v>
      </c>
      <c r="I68" s="67">
        <f t="shared" si="9"/>
        <v>0</v>
      </c>
      <c r="J68" s="67"/>
      <c r="K68" s="150"/>
      <c r="L68" s="69">
        <f t="shared" si="10"/>
        <v>0</v>
      </c>
      <c r="M68" s="150"/>
      <c r="N68" s="69">
        <f t="shared" si="11"/>
        <v>0</v>
      </c>
      <c r="O68" s="69">
        <f t="shared" si="12"/>
        <v>0</v>
      </c>
      <c r="P68" s="4"/>
    </row>
    <row r="69" spans="1:16">
      <c r="B69" s="9" t="str">
        <f t="shared" si="4"/>
        <v/>
      </c>
      <c r="C69" s="64">
        <f>IF(D11="","-",+C68+1)</f>
        <v>2060</v>
      </c>
      <c r="D69" s="70">
        <v>0</v>
      </c>
      <c r="E69" s="71">
        <f>IF(+I14&lt;F68,I14,D69)</f>
        <v>0</v>
      </c>
      <c r="F69" s="70">
        <f t="shared" si="8"/>
        <v>0</v>
      </c>
      <c r="G69" s="73">
        <f t="shared" si="13"/>
        <v>0</v>
      </c>
      <c r="H69" s="53">
        <f t="shared" si="14"/>
        <v>0</v>
      </c>
      <c r="I69" s="67">
        <f t="shared" si="9"/>
        <v>0</v>
      </c>
      <c r="J69" s="67"/>
      <c r="K69" s="150"/>
      <c r="L69" s="69">
        <f t="shared" si="10"/>
        <v>0</v>
      </c>
      <c r="M69" s="150"/>
      <c r="N69" s="69">
        <f t="shared" si="11"/>
        <v>0</v>
      </c>
      <c r="O69" s="69">
        <f t="shared" si="12"/>
        <v>0</v>
      </c>
      <c r="P69" s="4"/>
    </row>
    <row r="70" spans="1:16">
      <c r="B70" s="9" t="str">
        <f t="shared" si="4"/>
        <v/>
      </c>
      <c r="C70" s="64">
        <f>IF(D11="","-",+C69+1)</f>
        <v>2061</v>
      </c>
      <c r="D70" s="70">
        <v>0</v>
      </c>
      <c r="E70" s="71">
        <f>IF(+I14&lt;F69,I14,D70)</f>
        <v>0</v>
      </c>
      <c r="F70" s="70">
        <f t="shared" si="8"/>
        <v>0</v>
      </c>
      <c r="G70" s="73">
        <f t="shared" si="13"/>
        <v>0</v>
      </c>
      <c r="H70" s="53">
        <f t="shared" si="14"/>
        <v>0</v>
      </c>
      <c r="I70" s="67">
        <f t="shared" si="9"/>
        <v>0</v>
      </c>
      <c r="J70" s="67"/>
      <c r="K70" s="150"/>
      <c r="L70" s="69">
        <f t="shared" si="10"/>
        <v>0</v>
      </c>
      <c r="M70" s="150"/>
      <c r="N70" s="69">
        <f t="shared" si="11"/>
        <v>0</v>
      </c>
      <c r="O70" s="69">
        <f t="shared" si="12"/>
        <v>0</v>
      </c>
      <c r="P70" s="4"/>
    </row>
    <row r="71" spans="1:16">
      <c r="B71" s="9" t="str">
        <f t="shared" si="4"/>
        <v/>
      </c>
      <c r="C71" s="64">
        <f>IF(D11="","-",+C70+1)</f>
        <v>2062</v>
      </c>
      <c r="D71" s="70">
        <v>0</v>
      </c>
      <c r="E71" s="71">
        <f>IF(+I14&lt;F70,I14,D71)</f>
        <v>0</v>
      </c>
      <c r="F71" s="70">
        <f t="shared" si="8"/>
        <v>0</v>
      </c>
      <c r="G71" s="73">
        <f t="shared" si="13"/>
        <v>0</v>
      </c>
      <c r="H71" s="53">
        <f t="shared" si="14"/>
        <v>0</v>
      </c>
      <c r="I71" s="67">
        <f t="shared" si="9"/>
        <v>0</v>
      </c>
      <c r="J71" s="67"/>
      <c r="K71" s="150"/>
      <c r="L71" s="69">
        <f t="shared" si="10"/>
        <v>0</v>
      </c>
      <c r="M71" s="150"/>
      <c r="N71" s="69">
        <f t="shared" si="11"/>
        <v>0</v>
      </c>
      <c r="O71" s="69">
        <f t="shared" si="12"/>
        <v>0</v>
      </c>
      <c r="P71" s="4"/>
    </row>
    <row r="72" spans="1:16" ht="13.5" thickBot="1">
      <c r="B72" s="9" t="str">
        <f t="shared" si="4"/>
        <v/>
      </c>
      <c r="C72" s="74">
        <f>IF(D11="","-",+C71+1)</f>
        <v>2063</v>
      </c>
      <c r="D72" s="75">
        <v>0</v>
      </c>
      <c r="E72" s="76">
        <f>IF(+I14&lt;F71,I14,D72)</f>
        <v>0</v>
      </c>
      <c r="F72" s="75">
        <f t="shared" si="8"/>
        <v>0</v>
      </c>
      <c r="G72" s="77">
        <f t="shared" si="13"/>
        <v>0</v>
      </c>
      <c r="H72" s="35">
        <f t="shared" si="14"/>
        <v>0</v>
      </c>
      <c r="I72" s="78">
        <f t="shared" si="9"/>
        <v>0</v>
      </c>
      <c r="J72" s="67"/>
      <c r="K72" s="151"/>
      <c r="L72" s="79">
        <f t="shared" si="10"/>
        <v>0</v>
      </c>
      <c r="M72" s="151"/>
      <c r="N72" s="79">
        <f t="shared" si="11"/>
        <v>0</v>
      </c>
      <c r="O72" s="79">
        <f t="shared" si="12"/>
        <v>0</v>
      </c>
      <c r="P72" s="4"/>
    </row>
    <row r="73" spans="1:16">
      <c r="C73" s="65" t="s">
        <v>78</v>
      </c>
      <c r="D73" s="22"/>
      <c r="E73" s="22"/>
      <c r="F73" s="22"/>
      <c r="G73" s="22"/>
      <c r="H73" s="22"/>
      <c r="I73" s="22">
        <f>SUM(I17:I72)</f>
        <v>0</v>
      </c>
      <c r="J73" s="22"/>
      <c r="K73" s="22"/>
      <c r="L73" s="22"/>
      <c r="M73" s="22"/>
      <c r="N73" s="22"/>
      <c r="O73" s="4"/>
      <c r="P73" s="4"/>
    </row>
    <row r="74" spans="1:16">
      <c r="D74" s="2"/>
      <c r="E74" s="1"/>
      <c r="F74" s="1"/>
      <c r="G74" s="1"/>
      <c r="H74" s="3"/>
      <c r="I74" s="3"/>
      <c r="J74" s="22"/>
      <c r="K74" s="3"/>
      <c r="L74" s="3"/>
      <c r="M74" s="3"/>
      <c r="N74" s="3"/>
      <c r="O74" s="1"/>
      <c r="P74" s="1"/>
    </row>
    <row r="75" spans="1:16">
      <c r="C75" s="80" t="s">
        <v>96</v>
      </c>
      <c r="D75" s="2"/>
      <c r="E75" s="1"/>
      <c r="F75" s="1"/>
      <c r="G75" s="1"/>
      <c r="H75" s="3"/>
      <c r="I75" s="3"/>
      <c r="J75" s="22"/>
      <c r="K75" s="3"/>
      <c r="L75" s="3"/>
      <c r="M75" s="3"/>
      <c r="N75" s="3"/>
      <c r="O75" s="1"/>
      <c r="P75" s="1"/>
    </row>
    <row r="76" spans="1:16">
      <c r="C76" s="32" t="s">
        <v>79</v>
      </c>
      <c r="D76" s="2"/>
      <c r="E76" s="1"/>
      <c r="F76" s="1"/>
      <c r="G76" s="1"/>
      <c r="H76" s="3"/>
      <c r="I76" s="3"/>
      <c r="J76" s="22"/>
      <c r="K76" s="3"/>
      <c r="L76" s="3"/>
      <c r="M76" s="3"/>
      <c r="N76" s="3"/>
      <c r="O76" s="4"/>
      <c r="P76" s="4"/>
    </row>
    <row r="77" spans="1:16" ht="18">
      <c r="C77" s="32" t="s">
        <v>80</v>
      </c>
      <c r="D77" s="65"/>
      <c r="E77" s="65"/>
      <c r="F77" s="65"/>
      <c r="G77" s="22"/>
      <c r="H77" s="22"/>
      <c r="I77" s="81"/>
      <c r="J77" s="81"/>
      <c r="K77" s="81"/>
      <c r="L77" s="81"/>
      <c r="M77" s="81"/>
      <c r="N77" s="81"/>
      <c r="O77" s="21"/>
      <c r="P77" s="4"/>
    </row>
    <row r="78" spans="1:16">
      <c r="C78" s="32"/>
      <c r="D78" s="65"/>
      <c r="E78" s="65"/>
      <c r="F78" s="65"/>
      <c r="G78" s="22"/>
      <c r="H78" s="22"/>
      <c r="I78" s="81"/>
      <c r="J78" s="81"/>
      <c r="K78" s="81"/>
      <c r="L78" s="81"/>
      <c r="M78" s="81"/>
      <c r="N78" s="81"/>
      <c r="O78" s="4"/>
      <c r="P78" s="1"/>
    </row>
    <row r="79" spans="1:16" ht="15">
      <c r="A79" s="116"/>
      <c r="B79" s="1"/>
      <c r="C79" s="10"/>
      <c r="D79" s="2"/>
      <c r="E79" s="1"/>
      <c r="F79" s="18"/>
      <c r="G79" s="1"/>
      <c r="H79" s="3"/>
      <c r="I79" s="1"/>
      <c r="J79" s="4"/>
      <c r="K79" s="1"/>
      <c r="L79" s="1"/>
      <c r="M79" s="1"/>
      <c r="N79" s="1"/>
    </row>
    <row r="80" spans="1:16" ht="18">
      <c r="B80" s="1"/>
      <c r="C80" s="117"/>
      <c r="D80" s="2"/>
      <c r="E80" s="1"/>
      <c r="F80" s="18"/>
      <c r="G80" s="1"/>
      <c r="H80" s="3"/>
      <c r="I80" s="1"/>
      <c r="J80" s="4"/>
      <c r="K80" s="1"/>
      <c r="L80" s="1"/>
      <c r="M80" s="1"/>
      <c r="N80" s="1"/>
      <c r="P80" s="119" t="s">
        <v>130</v>
      </c>
    </row>
    <row r="81" spans="1:17">
      <c r="B81" s="1"/>
      <c r="C81" s="117"/>
      <c r="D81" s="2"/>
      <c r="E81" s="1"/>
      <c r="F81" s="18"/>
      <c r="G81" s="1"/>
      <c r="H81" s="3"/>
      <c r="I81" s="1"/>
      <c r="J81" s="4"/>
      <c r="K81" s="1"/>
      <c r="L81" s="1"/>
      <c r="M81" s="1"/>
      <c r="N81" s="1"/>
      <c r="O81" s="1"/>
      <c r="P81" s="1"/>
    </row>
    <row r="82" spans="1:17">
      <c r="B82" s="1"/>
      <c r="C82" s="10"/>
      <c r="D82" s="2"/>
      <c r="E82" s="1"/>
      <c r="F82" s="18"/>
      <c r="G82" s="1"/>
      <c r="H82" s="3"/>
      <c r="I82" s="1"/>
      <c r="J82" s="4"/>
      <c r="K82" s="1"/>
      <c r="L82" s="1"/>
      <c r="M82" s="1"/>
      <c r="N82" s="1"/>
      <c r="O82" s="1"/>
      <c r="P82" s="1"/>
      <c r="Q82" s="1"/>
    </row>
    <row r="83" spans="1:17" ht="20.25">
      <c r="A83" s="118" t="s">
        <v>134</v>
      </c>
      <c r="B83" s="1"/>
      <c r="C83" s="10"/>
      <c r="D83" s="2"/>
      <c r="E83" s="1"/>
      <c r="F83" s="15"/>
      <c r="G83" s="15"/>
      <c r="H83" s="1"/>
      <c r="I83" s="3"/>
      <c r="K83" s="7"/>
      <c r="L83" s="20"/>
      <c r="M83" s="20"/>
      <c r="P83" s="21" t="str">
        <f ca="1">P1</f>
        <v>SWEPCO Project 20 of 75</v>
      </c>
      <c r="Q83" s="1"/>
    </row>
    <row r="84" spans="1:17" ht="18">
      <c r="B84" s="1"/>
      <c r="C84" s="1"/>
      <c r="D84" s="2"/>
      <c r="E84" s="1"/>
      <c r="F84" s="1"/>
      <c r="G84" s="1"/>
      <c r="H84" s="1"/>
      <c r="I84" s="3"/>
      <c r="J84" s="1"/>
      <c r="K84" s="4"/>
      <c r="L84" s="1"/>
      <c r="M84" s="1"/>
      <c r="P84" s="112" t="s">
        <v>128</v>
      </c>
      <c r="Q84" s="1"/>
    </row>
    <row r="85" spans="1:17" ht="18.75" thickBot="1">
      <c r="B85" s="5" t="s">
        <v>44</v>
      </c>
      <c r="C85" s="84" t="s">
        <v>83</v>
      </c>
      <c r="D85" s="2"/>
      <c r="E85" s="1"/>
      <c r="F85" s="1"/>
      <c r="G85" s="1"/>
      <c r="H85" s="1"/>
      <c r="I85" s="3"/>
      <c r="J85" s="3"/>
      <c r="K85" s="22"/>
      <c r="L85" s="3"/>
      <c r="M85" s="3"/>
      <c r="N85" s="3"/>
      <c r="O85" s="22"/>
      <c r="P85" s="1"/>
      <c r="Q85" s="1"/>
    </row>
    <row r="86" spans="1:17" ht="15.75" thickBot="1">
      <c r="C86" s="13"/>
      <c r="D86" s="2"/>
      <c r="E86" s="1"/>
      <c r="F86" s="1"/>
      <c r="G86" s="1"/>
      <c r="H86" s="1"/>
      <c r="I86" s="3"/>
      <c r="J86" s="3"/>
      <c r="K86" s="22"/>
      <c r="L86" s="140">
        <f>+J92</f>
        <v>2022</v>
      </c>
      <c r="M86" s="141" t="s">
        <v>9</v>
      </c>
      <c r="N86" s="145" t="s">
        <v>159</v>
      </c>
      <c r="O86" s="142" t="s">
        <v>11</v>
      </c>
      <c r="P86" s="1"/>
      <c r="Q86" s="1"/>
    </row>
    <row r="87" spans="1:17" ht="15">
      <c r="C87" s="111" t="s">
        <v>46</v>
      </c>
      <c r="D87" s="2"/>
      <c r="E87" s="1"/>
      <c r="F87" s="1"/>
      <c r="G87" s="1"/>
      <c r="H87" s="24"/>
      <c r="I87" s="1" t="s">
        <v>47</v>
      </c>
      <c r="J87" s="1"/>
      <c r="K87" s="136"/>
      <c r="L87" s="134" t="s">
        <v>391</v>
      </c>
      <c r="M87" s="85">
        <v>0</v>
      </c>
      <c r="N87" s="85">
        <v>0</v>
      </c>
      <c r="O87" s="86">
        <f>+N87-M87</f>
        <v>0</v>
      </c>
      <c r="P87" s="1"/>
      <c r="Q87" s="1"/>
    </row>
    <row r="88" spans="1:17" ht="15.75">
      <c r="C88" s="8"/>
      <c r="D88" s="2"/>
      <c r="E88" s="1"/>
      <c r="F88" s="1"/>
      <c r="G88" s="1"/>
      <c r="H88" s="1"/>
      <c r="I88" s="28"/>
      <c r="J88" s="28"/>
      <c r="K88" s="138"/>
      <c r="L88" s="139" t="s">
        <v>392</v>
      </c>
      <c r="M88" s="87">
        <f>IF(J92&lt;D11,0,VLOOKUP(J92,C99:P154,6))</f>
        <v>0</v>
      </c>
      <c r="N88" s="87">
        <f>IF(J92&lt;D11,0,VLOOKUP(J92,C99:P154,7))</f>
        <v>0</v>
      </c>
      <c r="O88" s="88">
        <f>+N88-M88</f>
        <v>0</v>
      </c>
      <c r="P88" s="1"/>
      <c r="Q88" s="1"/>
    </row>
    <row r="89" spans="1:17" ht="13.5" thickBot="1">
      <c r="C89" s="32" t="s">
        <v>84</v>
      </c>
      <c r="D89" s="148" t="str">
        <f>D7</f>
        <v>[NW Ark Area Improve - 2008]  Elm Springs, East Rogers, Shipe Road Stations</v>
      </c>
      <c r="E89" s="1"/>
      <c r="F89" s="1"/>
      <c r="G89" s="1"/>
      <c r="H89" s="1"/>
      <c r="I89" s="3"/>
      <c r="J89" s="3"/>
      <c r="K89" s="137"/>
      <c r="L89" s="135" t="s">
        <v>156</v>
      </c>
      <c r="M89" s="90">
        <f>+M88-M87</f>
        <v>0</v>
      </c>
      <c r="N89" s="90">
        <f>+N88-N87</f>
        <v>0</v>
      </c>
      <c r="O89" s="91">
        <f>+O88-O87</f>
        <v>0</v>
      </c>
      <c r="P89" s="1"/>
      <c r="Q89" s="1"/>
    </row>
    <row r="90" spans="1:17" ht="13.5" thickBot="1">
      <c r="C90" s="80"/>
      <c r="D90" s="165" t="str">
        <f>D8</f>
        <v>***2008 INVESTMENT NOW INCLUDED IN PROJECT S.003 ABOVE***</v>
      </c>
      <c r="E90" s="18"/>
      <c r="F90" s="18"/>
      <c r="G90" s="18"/>
      <c r="H90" s="37"/>
      <c r="I90" s="3"/>
      <c r="J90" s="3"/>
      <c r="K90" s="22"/>
      <c r="L90" s="3"/>
      <c r="M90" s="3"/>
      <c r="N90" s="3"/>
      <c r="O90" s="22"/>
      <c r="P90" s="1"/>
      <c r="Q90" s="1"/>
    </row>
    <row r="91" spans="1:17" ht="13.5" thickBot="1">
      <c r="A91" s="17"/>
      <c r="C91" s="92" t="s">
        <v>85</v>
      </c>
      <c r="D91" s="109" t="str">
        <f>+D9</f>
        <v>TP2007103</v>
      </c>
      <c r="E91" s="93"/>
      <c r="F91" s="93"/>
      <c r="G91" s="93"/>
      <c r="H91" s="93"/>
      <c r="I91" s="93"/>
      <c r="J91" s="113"/>
      <c r="K91" s="94"/>
      <c r="P91" s="42"/>
      <c r="Q91" s="1"/>
    </row>
    <row r="92" spans="1:17">
      <c r="C92" s="47" t="s">
        <v>51</v>
      </c>
      <c r="D92" s="44">
        <v>0</v>
      </c>
      <c r="E92" s="10" t="s">
        <v>86</v>
      </c>
      <c r="H92" s="45"/>
      <c r="I92" s="45"/>
      <c r="J92" s="46">
        <f>+'SWE.WS.G.BPU.ATRR.True-up'!M16</f>
        <v>2022</v>
      </c>
      <c r="K92" s="41"/>
      <c r="L92" s="22" t="s">
        <v>87</v>
      </c>
      <c r="P92" s="4"/>
      <c r="Q92" s="1"/>
    </row>
    <row r="93" spans="1:17">
      <c r="C93" s="47" t="s">
        <v>54</v>
      </c>
      <c r="D93" s="106">
        <f>IF(D11=I10,"",D11)</f>
        <v>2008</v>
      </c>
      <c r="E93" s="47" t="s">
        <v>55</v>
      </c>
      <c r="F93" s="45"/>
      <c r="G93" s="45"/>
      <c r="J93" s="49">
        <f>IF(H87="",0,'SWE.WS.G.BPU.ATRR.True-up'!$F$13)</f>
        <v>0</v>
      </c>
      <c r="K93" s="50"/>
      <c r="L93" t="str">
        <f>"          INPUT TRUE-UP ARR (WITH &amp; WITHOUT INCENTIVES) FROM EACH PRIOR YEAR"</f>
        <v xml:space="preserve">          INPUT TRUE-UP ARR (WITH &amp; WITHOUT INCENTIVES) FROM EACH PRIOR YEAR</v>
      </c>
      <c r="P93" s="4"/>
      <c r="Q93" s="1"/>
    </row>
    <row r="94" spans="1:17">
      <c r="C94" s="47" t="s">
        <v>56</v>
      </c>
      <c r="D94" s="105">
        <f>IF(D11=I10,"",D12)</f>
        <v>11</v>
      </c>
      <c r="E94" s="47" t="s">
        <v>57</v>
      </c>
      <c r="F94" s="45"/>
      <c r="G94" s="45"/>
      <c r="J94" s="51">
        <f>'SWE.WS.G.BPU.ATRR.True-up'!$F$81</f>
        <v>0.11351422637179906</v>
      </c>
      <c r="K94" s="52"/>
      <c r="L94" t="s">
        <v>88</v>
      </c>
      <c r="P94" s="4"/>
      <c r="Q94" s="1"/>
    </row>
    <row r="95" spans="1:17">
      <c r="C95" s="47" t="s">
        <v>59</v>
      </c>
      <c r="D95" s="49">
        <f>'SWE.WS.G.BPU.ATRR.True-up'!F$93</f>
        <v>41</v>
      </c>
      <c r="E95" s="47" t="s">
        <v>60</v>
      </c>
      <c r="F95" s="45"/>
      <c r="G95" s="45"/>
      <c r="J95" s="51">
        <f>IF(H87="",J94,'SWE.WS.G.BPU.ATRR.True-up'!$F$80)</f>
        <v>0.11351422637179906</v>
      </c>
      <c r="K95" s="11"/>
      <c r="L95" s="22" t="s">
        <v>61</v>
      </c>
      <c r="M95" s="11"/>
      <c r="N95" s="11"/>
      <c r="O95" s="11"/>
      <c r="P95" s="4"/>
      <c r="Q95" s="1"/>
    </row>
    <row r="96" spans="1:17" ht="13.5" thickBot="1">
      <c r="C96" s="47" t="s">
        <v>62</v>
      </c>
      <c r="D96" s="107" t="str">
        <f>+D14</f>
        <v>No</v>
      </c>
      <c r="E96" s="89" t="s">
        <v>64</v>
      </c>
      <c r="F96" s="95"/>
      <c r="G96" s="95"/>
      <c r="H96" s="96"/>
      <c r="I96" s="96"/>
      <c r="J96" s="35">
        <f>IF(D92=0,0,D92/D95)</f>
        <v>0</v>
      </c>
      <c r="K96" s="22"/>
      <c r="L96" s="22"/>
      <c r="M96" s="22"/>
      <c r="N96" s="22"/>
      <c r="O96" s="22"/>
      <c r="P96" s="4"/>
      <c r="Q96" s="1"/>
    </row>
    <row r="97" spans="1:17" ht="38.25">
      <c r="A97" s="6"/>
      <c r="B97" s="6"/>
      <c r="C97" s="97" t="s">
        <v>51</v>
      </c>
      <c r="D97" s="98" t="s">
        <v>65</v>
      </c>
      <c r="E97" s="57" t="s">
        <v>66</v>
      </c>
      <c r="F97" s="57" t="s">
        <v>67</v>
      </c>
      <c r="G97" s="55" t="s">
        <v>89</v>
      </c>
      <c r="H97" s="180" t="s">
        <v>388</v>
      </c>
      <c r="I97" s="181" t="s">
        <v>389</v>
      </c>
      <c r="J97" s="97" t="s">
        <v>90</v>
      </c>
      <c r="K97" s="99"/>
      <c r="L97" s="146" t="s">
        <v>228</v>
      </c>
      <c r="M97" s="57" t="s">
        <v>91</v>
      </c>
      <c r="N97" s="146" t="s">
        <v>228</v>
      </c>
      <c r="O97" s="57" t="s">
        <v>91</v>
      </c>
      <c r="P97" s="57" t="s">
        <v>70</v>
      </c>
      <c r="Q97" s="1"/>
    </row>
    <row r="98" spans="1:17" ht="13.5" thickBot="1">
      <c r="C98" s="58" t="s">
        <v>71</v>
      </c>
      <c r="D98" s="100" t="s">
        <v>72</v>
      </c>
      <c r="E98" s="58" t="s">
        <v>73</v>
      </c>
      <c r="F98" s="58" t="s">
        <v>72</v>
      </c>
      <c r="G98" s="58" t="s">
        <v>72</v>
      </c>
      <c r="H98" s="178" t="s">
        <v>74</v>
      </c>
      <c r="I98" s="59" t="s">
        <v>75</v>
      </c>
      <c r="J98" s="60" t="s">
        <v>94</v>
      </c>
      <c r="K98" s="61"/>
      <c r="L98" s="62" t="s">
        <v>77</v>
      </c>
      <c r="M98" s="62" t="s">
        <v>77</v>
      </c>
      <c r="N98" s="62" t="s">
        <v>95</v>
      </c>
      <c r="O98" s="62" t="s">
        <v>95</v>
      </c>
      <c r="P98" s="62" t="s">
        <v>95</v>
      </c>
      <c r="Q98" s="1"/>
    </row>
    <row r="99" spans="1:17">
      <c r="C99" s="64">
        <f>IF(D93= "","-",D93)</f>
        <v>2008</v>
      </c>
      <c r="D99" s="155">
        <v>0</v>
      </c>
      <c r="E99" s="158">
        <v>2625</v>
      </c>
      <c r="F99" s="159">
        <v>1162841</v>
      </c>
      <c r="G99" s="162">
        <v>581421</v>
      </c>
      <c r="H99" s="160">
        <v>95304</v>
      </c>
      <c r="I99" s="161">
        <v>95304</v>
      </c>
      <c r="J99" s="69">
        <f t="shared" ref="J99:J130" si="15">+I99-H99</f>
        <v>0</v>
      </c>
      <c r="K99" s="69"/>
      <c r="L99" s="131">
        <v>95304</v>
      </c>
      <c r="M99" s="82">
        <f t="shared" ref="M99:M130" si="16">IF(L99&lt;&gt;0,+H99-L99,0)</f>
        <v>0</v>
      </c>
      <c r="N99" s="131">
        <v>95304</v>
      </c>
      <c r="O99" s="68">
        <f t="shared" ref="O99:O130" si="17">IF(N99&lt;&gt;0,+I99-N99,0)</f>
        <v>0</v>
      </c>
      <c r="P99" s="68">
        <f t="shared" ref="P99:P130" si="18">+O99-M99</f>
        <v>0</v>
      </c>
      <c r="Q99" s="1"/>
    </row>
    <row r="100" spans="1:17">
      <c r="B100" s="9" t="str">
        <f>IF(D100=F99,"","IU")</f>
        <v/>
      </c>
      <c r="C100" s="64">
        <f>IF(D93="","-",+C99+1)</f>
        <v>2009</v>
      </c>
      <c r="D100" s="155">
        <v>1162841</v>
      </c>
      <c r="E100" s="158">
        <v>30670.157894736843</v>
      </c>
      <c r="F100" s="159">
        <v>1132170.8421052631</v>
      </c>
      <c r="G100" s="159">
        <v>1147505.9210526315</v>
      </c>
      <c r="H100" s="158">
        <v>196757.48368197863</v>
      </c>
      <c r="I100" s="157">
        <v>196757.48368197863</v>
      </c>
      <c r="J100" s="69">
        <f t="shared" si="15"/>
        <v>0</v>
      </c>
      <c r="K100" s="69"/>
      <c r="L100" s="133">
        <f>H100</f>
        <v>196757.48368197863</v>
      </c>
      <c r="M100" s="132">
        <f t="shared" si="16"/>
        <v>0</v>
      </c>
      <c r="N100" s="133">
        <f>I100</f>
        <v>196757.48368197863</v>
      </c>
      <c r="O100" s="69">
        <f t="shared" si="17"/>
        <v>0</v>
      </c>
      <c r="P100" s="69">
        <f t="shared" si="18"/>
        <v>0</v>
      </c>
      <c r="Q100" s="1"/>
    </row>
    <row r="101" spans="1:17">
      <c r="B101" s="9" t="str">
        <f t="shared" ref="B101:B154" si="19">IF(D101=F100,"","IU")</f>
        <v>IU</v>
      </c>
      <c r="C101" s="64">
        <f>IF(D93="","-",+C100+1)</f>
        <v>2010</v>
      </c>
      <c r="D101" s="167">
        <v>0</v>
      </c>
      <c r="E101" s="168">
        <f>IF(+J96&lt;F100,J96,D101)</f>
        <v>0</v>
      </c>
      <c r="F101" s="169">
        <f t="shared" ref="F101:F130" si="20">+D101-E101</f>
        <v>0</v>
      </c>
      <c r="G101" s="169">
        <f t="shared" ref="G101:G130" si="21">+(F101+D101)/2</f>
        <v>0</v>
      </c>
      <c r="H101" s="170">
        <f t="shared" ref="H101:H130" si="22">+J$94*G101+E101</f>
        <v>0</v>
      </c>
      <c r="I101" s="171">
        <f t="shared" ref="I101:I130" si="23">+J$95*G101+E101</f>
        <v>0</v>
      </c>
      <c r="J101" s="69">
        <f t="shared" si="15"/>
        <v>0</v>
      </c>
      <c r="K101" s="69"/>
      <c r="L101" s="133"/>
      <c r="M101" s="69">
        <f t="shared" si="16"/>
        <v>0</v>
      </c>
      <c r="N101" s="133"/>
      <c r="O101" s="69">
        <f t="shared" si="17"/>
        <v>0</v>
      </c>
      <c r="P101" s="69">
        <f t="shared" si="18"/>
        <v>0</v>
      </c>
      <c r="Q101" s="1"/>
    </row>
    <row r="102" spans="1:17">
      <c r="B102" s="9" t="str">
        <f t="shared" si="19"/>
        <v/>
      </c>
      <c r="C102" s="64">
        <f>IF(D93="","-",+C101+1)</f>
        <v>2011</v>
      </c>
      <c r="D102" s="167">
        <v>0</v>
      </c>
      <c r="E102" s="168">
        <f>IF(+J96&lt;F101,J96,D102)</f>
        <v>0</v>
      </c>
      <c r="F102" s="169">
        <f t="shared" si="20"/>
        <v>0</v>
      </c>
      <c r="G102" s="169">
        <f t="shared" si="21"/>
        <v>0</v>
      </c>
      <c r="H102" s="170">
        <f t="shared" si="22"/>
        <v>0</v>
      </c>
      <c r="I102" s="171">
        <f t="shared" si="23"/>
        <v>0</v>
      </c>
      <c r="J102" s="69">
        <f t="shared" si="15"/>
        <v>0</v>
      </c>
      <c r="K102" s="69"/>
      <c r="L102" s="133"/>
      <c r="M102" s="69">
        <f t="shared" si="16"/>
        <v>0</v>
      </c>
      <c r="N102" s="133"/>
      <c r="O102" s="69">
        <f t="shared" si="17"/>
        <v>0</v>
      </c>
      <c r="P102" s="69">
        <f t="shared" si="18"/>
        <v>0</v>
      </c>
      <c r="Q102" s="1"/>
    </row>
    <row r="103" spans="1:17">
      <c r="B103" s="9" t="str">
        <f t="shared" si="19"/>
        <v/>
      </c>
      <c r="C103" s="64">
        <f>IF(D93="","-",+C102+1)</f>
        <v>2012</v>
      </c>
      <c r="D103" s="155">
        <v>0</v>
      </c>
      <c r="E103" s="158">
        <v>0</v>
      </c>
      <c r="F103" s="159">
        <v>0</v>
      </c>
      <c r="G103" s="159">
        <v>0</v>
      </c>
      <c r="H103" s="158">
        <v>0</v>
      </c>
      <c r="I103" s="157">
        <v>0</v>
      </c>
      <c r="J103" s="69">
        <f t="shared" si="15"/>
        <v>0</v>
      </c>
      <c r="K103" s="69"/>
      <c r="L103" s="133">
        <f>H103</f>
        <v>0</v>
      </c>
      <c r="M103" s="132">
        <f t="shared" si="16"/>
        <v>0</v>
      </c>
      <c r="N103" s="133">
        <f>I103</f>
        <v>0</v>
      </c>
      <c r="O103" s="69">
        <f t="shared" si="17"/>
        <v>0</v>
      </c>
      <c r="P103" s="69">
        <f t="shared" si="18"/>
        <v>0</v>
      </c>
      <c r="Q103" s="1"/>
    </row>
    <row r="104" spans="1:17">
      <c r="B104" s="9" t="str">
        <f t="shared" si="19"/>
        <v/>
      </c>
      <c r="C104" s="64">
        <f>IF(D93="","-",+C103+1)</f>
        <v>2013</v>
      </c>
      <c r="D104" s="65">
        <v>0</v>
      </c>
      <c r="E104" s="71">
        <f>IF(+J96&lt;F103,J96,D104)</f>
        <v>0</v>
      </c>
      <c r="F104" s="70">
        <f t="shared" si="20"/>
        <v>0</v>
      </c>
      <c r="G104" s="70">
        <f t="shared" si="21"/>
        <v>0</v>
      </c>
      <c r="H104" s="73">
        <f t="shared" si="22"/>
        <v>0</v>
      </c>
      <c r="I104" s="127">
        <f t="shared" si="23"/>
        <v>0</v>
      </c>
      <c r="J104" s="69">
        <f t="shared" si="15"/>
        <v>0</v>
      </c>
      <c r="K104" s="69"/>
      <c r="L104" s="150"/>
      <c r="M104" s="69">
        <f t="shared" si="16"/>
        <v>0</v>
      </c>
      <c r="N104" s="150"/>
      <c r="O104" s="69">
        <f t="shared" si="17"/>
        <v>0</v>
      </c>
      <c r="P104" s="69">
        <f t="shared" si="18"/>
        <v>0</v>
      </c>
      <c r="Q104" s="1"/>
    </row>
    <row r="105" spans="1:17">
      <c r="B105" s="9" t="str">
        <f t="shared" si="19"/>
        <v/>
      </c>
      <c r="C105" s="64">
        <f>IF(D93="","-",+C104+1)</f>
        <v>2014</v>
      </c>
      <c r="D105" s="65">
        <v>0</v>
      </c>
      <c r="E105" s="71">
        <f>IF(+J96&lt;F104,J96,D105)</f>
        <v>0</v>
      </c>
      <c r="F105" s="70">
        <f t="shared" si="20"/>
        <v>0</v>
      </c>
      <c r="G105" s="70">
        <f t="shared" si="21"/>
        <v>0</v>
      </c>
      <c r="H105" s="73">
        <f t="shared" si="22"/>
        <v>0</v>
      </c>
      <c r="I105" s="127">
        <f t="shared" si="23"/>
        <v>0</v>
      </c>
      <c r="J105" s="69">
        <f t="shared" si="15"/>
        <v>0</v>
      </c>
      <c r="K105" s="69"/>
      <c r="L105" s="150"/>
      <c r="M105" s="69">
        <f t="shared" si="16"/>
        <v>0</v>
      </c>
      <c r="N105" s="150"/>
      <c r="O105" s="69">
        <f t="shared" si="17"/>
        <v>0</v>
      </c>
      <c r="P105" s="69">
        <f t="shared" si="18"/>
        <v>0</v>
      </c>
      <c r="Q105" s="1"/>
    </row>
    <row r="106" spans="1:17">
      <c r="B106" s="9" t="str">
        <f t="shared" si="19"/>
        <v/>
      </c>
      <c r="C106" s="64">
        <f>IF(D93="","-",+C105+1)</f>
        <v>2015</v>
      </c>
      <c r="D106" s="65">
        <v>0</v>
      </c>
      <c r="E106" s="71">
        <f>IF(+J96&lt;F105,J96,D106)</f>
        <v>0</v>
      </c>
      <c r="F106" s="70">
        <f t="shared" si="20"/>
        <v>0</v>
      </c>
      <c r="G106" s="70">
        <f t="shared" si="21"/>
        <v>0</v>
      </c>
      <c r="H106" s="73">
        <f t="shared" si="22"/>
        <v>0</v>
      </c>
      <c r="I106" s="127">
        <f t="shared" si="23"/>
        <v>0</v>
      </c>
      <c r="J106" s="69">
        <f t="shared" si="15"/>
        <v>0</v>
      </c>
      <c r="K106" s="69"/>
      <c r="L106" s="150"/>
      <c r="M106" s="69">
        <f t="shared" si="16"/>
        <v>0</v>
      </c>
      <c r="N106" s="150"/>
      <c r="O106" s="69">
        <f t="shared" si="17"/>
        <v>0</v>
      </c>
      <c r="P106" s="69">
        <f t="shared" si="18"/>
        <v>0</v>
      </c>
      <c r="Q106" s="1"/>
    </row>
    <row r="107" spans="1:17">
      <c r="B107" s="9" t="str">
        <f t="shared" si="19"/>
        <v/>
      </c>
      <c r="C107" s="64">
        <f>IF(D93="","-",+C106+1)</f>
        <v>2016</v>
      </c>
      <c r="D107" s="65">
        <v>0</v>
      </c>
      <c r="E107" s="71">
        <f>IF(+J96&lt;F106,J96,D107)</f>
        <v>0</v>
      </c>
      <c r="F107" s="70">
        <f t="shared" si="20"/>
        <v>0</v>
      </c>
      <c r="G107" s="70">
        <f t="shared" si="21"/>
        <v>0</v>
      </c>
      <c r="H107" s="73">
        <f t="shared" si="22"/>
        <v>0</v>
      </c>
      <c r="I107" s="127">
        <f t="shared" si="23"/>
        <v>0</v>
      </c>
      <c r="J107" s="69">
        <f t="shared" si="15"/>
        <v>0</v>
      </c>
      <c r="K107" s="69"/>
      <c r="L107" s="150"/>
      <c r="M107" s="69">
        <f t="shared" si="16"/>
        <v>0</v>
      </c>
      <c r="N107" s="150"/>
      <c r="O107" s="69">
        <f t="shared" si="17"/>
        <v>0</v>
      </c>
      <c r="P107" s="69">
        <f t="shared" si="18"/>
        <v>0</v>
      </c>
      <c r="Q107" s="1"/>
    </row>
    <row r="108" spans="1:17">
      <c r="B108" s="9" t="str">
        <f t="shared" si="19"/>
        <v/>
      </c>
      <c r="C108" s="64">
        <f>IF(D93="","-",+C107+1)</f>
        <v>2017</v>
      </c>
      <c r="D108" s="65">
        <v>0</v>
      </c>
      <c r="E108" s="71">
        <f>IF(+J96&lt;F107,J96,D108)</f>
        <v>0</v>
      </c>
      <c r="F108" s="70">
        <f t="shared" si="20"/>
        <v>0</v>
      </c>
      <c r="G108" s="70">
        <f t="shared" si="21"/>
        <v>0</v>
      </c>
      <c r="H108" s="73">
        <f t="shared" si="22"/>
        <v>0</v>
      </c>
      <c r="I108" s="127">
        <f t="shared" si="23"/>
        <v>0</v>
      </c>
      <c r="J108" s="69">
        <f t="shared" si="15"/>
        <v>0</v>
      </c>
      <c r="K108" s="69"/>
      <c r="L108" s="150"/>
      <c r="M108" s="69">
        <f t="shared" si="16"/>
        <v>0</v>
      </c>
      <c r="N108" s="150"/>
      <c r="O108" s="69">
        <f t="shared" si="17"/>
        <v>0</v>
      </c>
      <c r="P108" s="69">
        <f t="shared" si="18"/>
        <v>0</v>
      </c>
      <c r="Q108" s="1"/>
    </row>
    <row r="109" spans="1:17">
      <c r="B109" s="9" t="str">
        <f t="shared" si="19"/>
        <v/>
      </c>
      <c r="C109" s="64">
        <f>IF(D93="","-",+C108+1)</f>
        <v>2018</v>
      </c>
      <c r="D109" s="65">
        <v>0</v>
      </c>
      <c r="E109" s="71">
        <f>IF(+J96&lt;F108,J96,D109)</f>
        <v>0</v>
      </c>
      <c r="F109" s="70">
        <f t="shared" si="20"/>
        <v>0</v>
      </c>
      <c r="G109" s="70">
        <f t="shared" si="21"/>
        <v>0</v>
      </c>
      <c r="H109" s="73">
        <f t="shared" si="22"/>
        <v>0</v>
      </c>
      <c r="I109" s="127">
        <f t="shared" si="23"/>
        <v>0</v>
      </c>
      <c r="J109" s="69">
        <f t="shared" si="15"/>
        <v>0</v>
      </c>
      <c r="K109" s="69"/>
      <c r="L109" s="150"/>
      <c r="M109" s="69">
        <f t="shared" si="16"/>
        <v>0</v>
      </c>
      <c r="N109" s="150"/>
      <c r="O109" s="69">
        <f t="shared" si="17"/>
        <v>0</v>
      </c>
      <c r="P109" s="69">
        <f t="shared" si="18"/>
        <v>0</v>
      </c>
      <c r="Q109" s="1"/>
    </row>
    <row r="110" spans="1:17">
      <c r="B110" s="9" t="str">
        <f t="shared" si="19"/>
        <v/>
      </c>
      <c r="C110" s="64">
        <f>IF(D93="","-",+C109+1)</f>
        <v>2019</v>
      </c>
      <c r="D110" s="65">
        <v>0</v>
      </c>
      <c r="E110" s="71">
        <f>IF(+J96&lt;F109,J96,D110)</f>
        <v>0</v>
      </c>
      <c r="F110" s="70">
        <f t="shared" si="20"/>
        <v>0</v>
      </c>
      <c r="G110" s="70">
        <f t="shared" si="21"/>
        <v>0</v>
      </c>
      <c r="H110" s="73">
        <f t="shared" si="22"/>
        <v>0</v>
      </c>
      <c r="I110" s="127">
        <f t="shared" si="23"/>
        <v>0</v>
      </c>
      <c r="J110" s="69">
        <f t="shared" si="15"/>
        <v>0</v>
      </c>
      <c r="K110" s="69"/>
      <c r="L110" s="150"/>
      <c r="M110" s="69">
        <f t="shared" si="16"/>
        <v>0</v>
      </c>
      <c r="N110" s="150"/>
      <c r="O110" s="69">
        <f t="shared" si="17"/>
        <v>0</v>
      </c>
      <c r="P110" s="69">
        <f t="shared" si="18"/>
        <v>0</v>
      </c>
      <c r="Q110" s="1"/>
    </row>
    <row r="111" spans="1:17">
      <c r="B111" s="9" t="str">
        <f t="shared" si="19"/>
        <v/>
      </c>
      <c r="C111" s="64">
        <f>IF(D93="","-",+C110+1)</f>
        <v>2020</v>
      </c>
      <c r="D111" s="65">
        <v>0</v>
      </c>
      <c r="E111" s="71">
        <f>IF(+J96&lt;F110,J96,D111)</f>
        <v>0</v>
      </c>
      <c r="F111" s="70">
        <f t="shared" si="20"/>
        <v>0</v>
      </c>
      <c r="G111" s="70">
        <f t="shared" si="21"/>
        <v>0</v>
      </c>
      <c r="H111" s="73">
        <f t="shared" si="22"/>
        <v>0</v>
      </c>
      <c r="I111" s="127">
        <f t="shared" si="23"/>
        <v>0</v>
      </c>
      <c r="J111" s="69">
        <f t="shared" si="15"/>
        <v>0</v>
      </c>
      <c r="K111" s="69"/>
      <c r="L111" s="150"/>
      <c r="M111" s="69">
        <f t="shared" si="16"/>
        <v>0</v>
      </c>
      <c r="N111" s="150"/>
      <c r="O111" s="69">
        <f t="shared" si="17"/>
        <v>0</v>
      </c>
      <c r="P111" s="69">
        <f t="shared" si="18"/>
        <v>0</v>
      </c>
      <c r="Q111" s="1"/>
    </row>
    <row r="112" spans="1:17">
      <c r="B112" s="9" t="str">
        <f t="shared" si="19"/>
        <v/>
      </c>
      <c r="C112" s="64">
        <f>IF(D93="","-",+C111+1)</f>
        <v>2021</v>
      </c>
      <c r="D112" s="65">
        <v>0</v>
      </c>
      <c r="E112" s="71">
        <f>IF(+J96&lt;F111,J96,D112)</f>
        <v>0</v>
      </c>
      <c r="F112" s="70">
        <f t="shared" si="20"/>
        <v>0</v>
      </c>
      <c r="G112" s="70">
        <f t="shared" si="21"/>
        <v>0</v>
      </c>
      <c r="H112" s="73">
        <f t="shared" si="22"/>
        <v>0</v>
      </c>
      <c r="I112" s="127">
        <f t="shared" si="23"/>
        <v>0</v>
      </c>
      <c r="J112" s="69">
        <f t="shared" si="15"/>
        <v>0</v>
      </c>
      <c r="K112" s="69"/>
      <c r="L112" s="150"/>
      <c r="M112" s="69">
        <f t="shared" si="16"/>
        <v>0</v>
      </c>
      <c r="N112" s="150"/>
      <c r="O112" s="69">
        <f t="shared" si="17"/>
        <v>0</v>
      </c>
      <c r="P112" s="69">
        <f t="shared" si="18"/>
        <v>0</v>
      </c>
      <c r="Q112" s="1"/>
    </row>
    <row r="113" spans="2:17">
      <c r="B113" s="9" t="str">
        <f t="shared" si="19"/>
        <v/>
      </c>
      <c r="C113" s="674">
        <f>IF(D93="","-",+C112+1)</f>
        <v>2022</v>
      </c>
      <c r="D113" s="65">
        <v>0</v>
      </c>
      <c r="E113" s="71">
        <f>IF(+J96&lt;F112,J96,D113)</f>
        <v>0</v>
      </c>
      <c r="F113" s="70">
        <f t="shared" si="20"/>
        <v>0</v>
      </c>
      <c r="G113" s="70">
        <f t="shared" si="21"/>
        <v>0</v>
      </c>
      <c r="H113" s="73">
        <f t="shared" si="22"/>
        <v>0</v>
      </c>
      <c r="I113" s="127">
        <f t="shared" si="23"/>
        <v>0</v>
      </c>
      <c r="J113" s="69">
        <f t="shared" si="15"/>
        <v>0</v>
      </c>
      <c r="K113" s="69"/>
      <c r="L113" s="150"/>
      <c r="M113" s="69">
        <f t="shared" si="16"/>
        <v>0</v>
      </c>
      <c r="N113" s="150"/>
      <c r="O113" s="69">
        <f t="shared" si="17"/>
        <v>0</v>
      </c>
      <c r="P113" s="69">
        <f t="shared" si="18"/>
        <v>0</v>
      </c>
      <c r="Q113" s="1"/>
    </row>
    <row r="114" spans="2:17">
      <c r="B114" s="9" t="str">
        <f t="shared" si="19"/>
        <v/>
      </c>
      <c r="C114" s="64">
        <f>IF(D93="","-",+C113+1)</f>
        <v>2023</v>
      </c>
      <c r="D114" s="65">
        <v>0</v>
      </c>
      <c r="E114" s="71">
        <f>IF(+J96&lt;F113,J96,D114)</f>
        <v>0</v>
      </c>
      <c r="F114" s="70">
        <f t="shared" si="20"/>
        <v>0</v>
      </c>
      <c r="G114" s="70">
        <f t="shared" si="21"/>
        <v>0</v>
      </c>
      <c r="H114" s="73">
        <f t="shared" si="22"/>
        <v>0</v>
      </c>
      <c r="I114" s="127">
        <f t="shared" si="23"/>
        <v>0</v>
      </c>
      <c r="J114" s="69">
        <f t="shared" si="15"/>
        <v>0</v>
      </c>
      <c r="K114" s="69"/>
      <c r="L114" s="150"/>
      <c r="M114" s="69">
        <f t="shared" si="16"/>
        <v>0</v>
      </c>
      <c r="N114" s="150"/>
      <c r="O114" s="69">
        <f t="shared" si="17"/>
        <v>0</v>
      </c>
      <c r="P114" s="69">
        <f t="shared" si="18"/>
        <v>0</v>
      </c>
      <c r="Q114" s="1"/>
    </row>
    <row r="115" spans="2:17">
      <c r="B115" s="9" t="str">
        <f t="shared" si="19"/>
        <v/>
      </c>
      <c r="C115" s="64">
        <f>IF(D93="","-",+C114+1)</f>
        <v>2024</v>
      </c>
      <c r="D115" s="65">
        <v>0</v>
      </c>
      <c r="E115" s="71">
        <f>IF(+J96&lt;F114,J96,D115)</f>
        <v>0</v>
      </c>
      <c r="F115" s="70">
        <f t="shared" si="20"/>
        <v>0</v>
      </c>
      <c r="G115" s="70">
        <f t="shared" si="21"/>
        <v>0</v>
      </c>
      <c r="H115" s="73">
        <f t="shared" si="22"/>
        <v>0</v>
      </c>
      <c r="I115" s="127">
        <f t="shared" si="23"/>
        <v>0</v>
      </c>
      <c r="J115" s="69">
        <f t="shared" si="15"/>
        <v>0</v>
      </c>
      <c r="K115" s="69"/>
      <c r="L115" s="150"/>
      <c r="M115" s="69">
        <f t="shared" si="16"/>
        <v>0</v>
      </c>
      <c r="N115" s="150"/>
      <c r="O115" s="69">
        <f t="shared" si="17"/>
        <v>0</v>
      </c>
      <c r="P115" s="69">
        <f t="shared" si="18"/>
        <v>0</v>
      </c>
      <c r="Q115" s="1"/>
    </row>
    <row r="116" spans="2:17">
      <c r="B116" s="9" t="str">
        <f t="shared" si="19"/>
        <v/>
      </c>
      <c r="C116" s="64">
        <f>IF(D93="","-",+C115+1)</f>
        <v>2025</v>
      </c>
      <c r="D116" s="65">
        <v>0</v>
      </c>
      <c r="E116" s="71">
        <f>IF(+J96&lt;F115,J96,D116)</f>
        <v>0</v>
      </c>
      <c r="F116" s="70">
        <f t="shared" si="20"/>
        <v>0</v>
      </c>
      <c r="G116" s="70">
        <f t="shared" si="21"/>
        <v>0</v>
      </c>
      <c r="H116" s="73">
        <f t="shared" si="22"/>
        <v>0</v>
      </c>
      <c r="I116" s="127">
        <f t="shared" si="23"/>
        <v>0</v>
      </c>
      <c r="J116" s="69">
        <f t="shared" si="15"/>
        <v>0</v>
      </c>
      <c r="K116" s="69"/>
      <c r="L116" s="150"/>
      <c r="M116" s="69">
        <f t="shared" si="16"/>
        <v>0</v>
      </c>
      <c r="N116" s="150"/>
      <c r="O116" s="69">
        <f t="shared" si="17"/>
        <v>0</v>
      </c>
      <c r="P116" s="69">
        <f t="shared" si="18"/>
        <v>0</v>
      </c>
      <c r="Q116" s="1"/>
    </row>
    <row r="117" spans="2:17">
      <c r="B117" s="9" t="str">
        <f t="shared" si="19"/>
        <v/>
      </c>
      <c r="C117" s="64">
        <f>IF(D93="","-",+C116+1)</f>
        <v>2026</v>
      </c>
      <c r="D117" s="65">
        <v>0</v>
      </c>
      <c r="E117" s="71">
        <f>IF(+J96&lt;F116,J96,D117)</f>
        <v>0</v>
      </c>
      <c r="F117" s="70">
        <f t="shared" si="20"/>
        <v>0</v>
      </c>
      <c r="G117" s="70">
        <f t="shared" si="21"/>
        <v>0</v>
      </c>
      <c r="H117" s="73">
        <f t="shared" si="22"/>
        <v>0</v>
      </c>
      <c r="I117" s="127">
        <f t="shared" si="23"/>
        <v>0</v>
      </c>
      <c r="J117" s="69">
        <f t="shared" si="15"/>
        <v>0</v>
      </c>
      <c r="K117" s="69"/>
      <c r="L117" s="150"/>
      <c r="M117" s="69">
        <f t="shared" si="16"/>
        <v>0</v>
      </c>
      <c r="N117" s="150"/>
      <c r="O117" s="69">
        <f t="shared" si="17"/>
        <v>0</v>
      </c>
      <c r="P117" s="69">
        <f t="shared" si="18"/>
        <v>0</v>
      </c>
      <c r="Q117" s="1"/>
    </row>
    <row r="118" spans="2:17">
      <c r="B118" s="9" t="str">
        <f t="shared" si="19"/>
        <v/>
      </c>
      <c r="C118" s="64">
        <f>IF(D93="","-",+C117+1)</f>
        <v>2027</v>
      </c>
      <c r="D118" s="65">
        <v>0</v>
      </c>
      <c r="E118" s="71">
        <f>IF(+J96&lt;F117,J96,D118)</f>
        <v>0</v>
      </c>
      <c r="F118" s="70">
        <f t="shared" si="20"/>
        <v>0</v>
      </c>
      <c r="G118" s="70">
        <f t="shared" si="21"/>
        <v>0</v>
      </c>
      <c r="H118" s="73">
        <f t="shared" si="22"/>
        <v>0</v>
      </c>
      <c r="I118" s="127">
        <f t="shared" si="23"/>
        <v>0</v>
      </c>
      <c r="J118" s="69">
        <f t="shared" si="15"/>
        <v>0</v>
      </c>
      <c r="K118" s="69"/>
      <c r="L118" s="150"/>
      <c r="M118" s="69">
        <f t="shared" si="16"/>
        <v>0</v>
      </c>
      <c r="N118" s="150"/>
      <c r="O118" s="69">
        <f t="shared" si="17"/>
        <v>0</v>
      </c>
      <c r="P118" s="69">
        <f t="shared" si="18"/>
        <v>0</v>
      </c>
      <c r="Q118" s="1"/>
    </row>
    <row r="119" spans="2:17">
      <c r="B119" s="9" t="str">
        <f t="shared" si="19"/>
        <v/>
      </c>
      <c r="C119" s="64">
        <f>IF(D93="","-",+C118+1)</f>
        <v>2028</v>
      </c>
      <c r="D119" s="65">
        <v>0</v>
      </c>
      <c r="E119" s="71">
        <f>IF(+J96&lt;F118,J96,D119)</f>
        <v>0</v>
      </c>
      <c r="F119" s="70">
        <f t="shared" si="20"/>
        <v>0</v>
      </c>
      <c r="G119" s="70">
        <f t="shared" si="21"/>
        <v>0</v>
      </c>
      <c r="H119" s="73">
        <f t="shared" si="22"/>
        <v>0</v>
      </c>
      <c r="I119" s="127">
        <f t="shared" si="23"/>
        <v>0</v>
      </c>
      <c r="J119" s="69">
        <f t="shared" si="15"/>
        <v>0</v>
      </c>
      <c r="K119" s="69"/>
      <c r="L119" s="150"/>
      <c r="M119" s="69">
        <f t="shared" si="16"/>
        <v>0</v>
      </c>
      <c r="N119" s="150"/>
      <c r="O119" s="69">
        <f t="shared" si="17"/>
        <v>0</v>
      </c>
      <c r="P119" s="69">
        <f t="shared" si="18"/>
        <v>0</v>
      </c>
      <c r="Q119" s="1"/>
    </row>
    <row r="120" spans="2:17">
      <c r="B120" s="9" t="str">
        <f t="shared" si="19"/>
        <v/>
      </c>
      <c r="C120" s="64">
        <f>IF(D93="","-",+C119+1)</f>
        <v>2029</v>
      </c>
      <c r="D120" s="65">
        <v>0</v>
      </c>
      <c r="E120" s="71">
        <f>IF(+J96&lt;F119,J96,D120)</f>
        <v>0</v>
      </c>
      <c r="F120" s="70">
        <f t="shared" si="20"/>
        <v>0</v>
      </c>
      <c r="G120" s="70">
        <f t="shared" si="21"/>
        <v>0</v>
      </c>
      <c r="H120" s="73">
        <f t="shared" si="22"/>
        <v>0</v>
      </c>
      <c r="I120" s="127">
        <f t="shared" si="23"/>
        <v>0</v>
      </c>
      <c r="J120" s="69">
        <f t="shared" si="15"/>
        <v>0</v>
      </c>
      <c r="K120" s="69"/>
      <c r="L120" s="150"/>
      <c r="M120" s="69">
        <f t="shared" si="16"/>
        <v>0</v>
      </c>
      <c r="N120" s="150"/>
      <c r="O120" s="69">
        <f t="shared" si="17"/>
        <v>0</v>
      </c>
      <c r="P120" s="69">
        <f t="shared" si="18"/>
        <v>0</v>
      </c>
      <c r="Q120" s="1"/>
    </row>
    <row r="121" spans="2:17">
      <c r="B121" s="9" t="str">
        <f t="shared" si="19"/>
        <v/>
      </c>
      <c r="C121" s="64">
        <f>IF(D93="","-",+C120+1)</f>
        <v>2030</v>
      </c>
      <c r="D121" s="65">
        <v>0</v>
      </c>
      <c r="E121" s="71">
        <f>IF(+J96&lt;F120,J96,D121)</f>
        <v>0</v>
      </c>
      <c r="F121" s="70">
        <f t="shared" si="20"/>
        <v>0</v>
      </c>
      <c r="G121" s="70">
        <f t="shared" si="21"/>
        <v>0</v>
      </c>
      <c r="H121" s="73">
        <f t="shared" si="22"/>
        <v>0</v>
      </c>
      <c r="I121" s="127">
        <f t="shared" si="23"/>
        <v>0</v>
      </c>
      <c r="J121" s="69">
        <f t="shared" si="15"/>
        <v>0</v>
      </c>
      <c r="K121" s="69"/>
      <c r="L121" s="150"/>
      <c r="M121" s="69">
        <f t="shared" si="16"/>
        <v>0</v>
      </c>
      <c r="N121" s="150"/>
      <c r="O121" s="69">
        <f t="shared" si="17"/>
        <v>0</v>
      </c>
      <c r="P121" s="69">
        <f t="shared" si="18"/>
        <v>0</v>
      </c>
      <c r="Q121" s="1"/>
    </row>
    <row r="122" spans="2:17">
      <c r="B122" s="9" t="str">
        <f t="shared" si="19"/>
        <v/>
      </c>
      <c r="C122" s="64">
        <f>IF(D93="","-",+C121+1)</f>
        <v>2031</v>
      </c>
      <c r="D122" s="65">
        <v>0</v>
      </c>
      <c r="E122" s="71">
        <f>IF(+J96&lt;F121,J96,D122)</f>
        <v>0</v>
      </c>
      <c r="F122" s="70">
        <f t="shared" si="20"/>
        <v>0</v>
      </c>
      <c r="G122" s="70">
        <f t="shared" si="21"/>
        <v>0</v>
      </c>
      <c r="H122" s="73">
        <f t="shared" si="22"/>
        <v>0</v>
      </c>
      <c r="I122" s="127">
        <f t="shared" si="23"/>
        <v>0</v>
      </c>
      <c r="J122" s="69">
        <f t="shared" si="15"/>
        <v>0</v>
      </c>
      <c r="K122" s="69"/>
      <c r="L122" s="150"/>
      <c r="M122" s="69">
        <f t="shared" si="16"/>
        <v>0</v>
      </c>
      <c r="N122" s="150"/>
      <c r="O122" s="69">
        <f t="shared" si="17"/>
        <v>0</v>
      </c>
      <c r="P122" s="69">
        <f t="shared" si="18"/>
        <v>0</v>
      </c>
      <c r="Q122" s="1"/>
    </row>
    <row r="123" spans="2:17">
      <c r="B123" s="9" t="str">
        <f t="shared" si="19"/>
        <v/>
      </c>
      <c r="C123" s="64">
        <f>IF(D93="","-",+C122+1)</f>
        <v>2032</v>
      </c>
      <c r="D123" s="65">
        <v>0</v>
      </c>
      <c r="E123" s="71">
        <f>IF(+J96&lt;F122,J96,D123)</f>
        <v>0</v>
      </c>
      <c r="F123" s="70">
        <f t="shared" si="20"/>
        <v>0</v>
      </c>
      <c r="G123" s="70">
        <f t="shared" si="21"/>
        <v>0</v>
      </c>
      <c r="H123" s="73">
        <f t="shared" si="22"/>
        <v>0</v>
      </c>
      <c r="I123" s="127">
        <f t="shared" si="23"/>
        <v>0</v>
      </c>
      <c r="J123" s="69">
        <f t="shared" si="15"/>
        <v>0</v>
      </c>
      <c r="K123" s="69"/>
      <c r="L123" s="150"/>
      <c r="M123" s="69">
        <f t="shared" si="16"/>
        <v>0</v>
      </c>
      <c r="N123" s="150"/>
      <c r="O123" s="69">
        <f t="shared" si="17"/>
        <v>0</v>
      </c>
      <c r="P123" s="69">
        <f t="shared" si="18"/>
        <v>0</v>
      </c>
      <c r="Q123" s="1"/>
    </row>
    <row r="124" spans="2:17">
      <c r="B124" s="9" t="str">
        <f t="shared" si="19"/>
        <v/>
      </c>
      <c r="C124" s="64">
        <f>IF(D93="","-",+C123+1)</f>
        <v>2033</v>
      </c>
      <c r="D124" s="65">
        <v>0</v>
      </c>
      <c r="E124" s="71">
        <f>IF(+J96&lt;F123,J96,D124)</f>
        <v>0</v>
      </c>
      <c r="F124" s="70">
        <f t="shared" si="20"/>
        <v>0</v>
      </c>
      <c r="G124" s="70">
        <f t="shared" si="21"/>
        <v>0</v>
      </c>
      <c r="H124" s="73">
        <f t="shared" si="22"/>
        <v>0</v>
      </c>
      <c r="I124" s="127">
        <f t="shared" si="23"/>
        <v>0</v>
      </c>
      <c r="J124" s="69">
        <f t="shared" si="15"/>
        <v>0</v>
      </c>
      <c r="K124" s="69"/>
      <c r="L124" s="150"/>
      <c r="M124" s="69">
        <f t="shared" si="16"/>
        <v>0</v>
      </c>
      <c r="N124" s="150"/>
      <c r="O124" s="69">
        <f t="shared" si="17"/>
        <v>0</v>
      </c>
      <c r="P124" s="69">
        <f t="shared" si="18"/>
        <v>0</v>
      </c>
      <c r="Q124" s="1"/>
    </row>
    <row r="125" spans="2:17">
      <c r="B125" s="9" t="str">
        <f t="shared" si="19"/>
        <v/>
      </c>
      <c r="C125" s="64">
        <f>IF(D93="","-",+C124+1)</f>
        <v>2034</v>
      </c>
      <c r="D125" s="65">
        <v>0</v>
      </c>
      <c r="E125" s="71">
        <f>IF(+J96&lt;F124,J96,D125)</f>
        <v>0</v>
      </c>
      <c r="F125" s="70">
        <f t="shared" si="20"/>
        <v>0</v>
      </c>
      <c r="G125" s="70">
        <f t="shared" si="21"/>
        <v>0</v>
      </c>
      <c r="H125" s="73">
        <f t="shared" si="22"/>
        <v>0</v>
      </c>
      <c r="I125" s="127">
        <f t="shared" si="23"/>
        <v>0</v>
      </c>
      <c r="J125" s="69">
        <f t="shared" si="15"/>
        <v>0</v>
      </c>
      <c r="K125" s="69"/>
      <c r="L125" s="150"/>
      <c r="M125" s="69">
        <f t="shared" si="16"/>
        <v>0</v>
      </c>
      <c r="N125" s="150"/>
      <c r="O125" s="69">
        <f t="shared" si="17"/>
        <v>0</v>
      </c>
      <c r="P125" s="69">
        <f t="shared" si="18"/>
        <v>0</v>
      </c>
      <c r="Q125" s="1"/>
    </row>
    <row r="126" spans="2:17">
      <c r="B126" s="9" t="str">
        <f t="shared" si="19"/>
        <v/>
      </c>
      <c r="C126" s="64">
        <f>IF(D93="","-",+C125+1)</f>
        <v>2035</v>
      </c>
      <c r="D126" s="65">
        <v>0</v>
      </c>
      <c r="E126" s="71">
        <f>IF(+J96&lt;F125,J96,D126)</f>
        <v>0</v>
      </c>
      <c r="F126" s="70">
        <f t="shared" si="20"/>
        <v>0</v>
      </c>
      <c r="G126" s="70">
        <f t="shared" si="21"/>
        <v>0</v>
      </c>
      <c r="H126" s="73">
        <f t="shared" si="22"/>
        <v>0</v>
      </c>
      <c r="I126" s="127">
        <f t="shared" si="23"/>
        <v>0</v>
      </c>
      <c r="J126" s="69">
        <f t="shared" si="15"/>
        <v>0</v>
      </c>
      <c r="K126" s="69"/>
      <c r="L126" s="150"/>
      <c r="M126" s="69">
        <f t="shared" si="16"/>
        <v>0</v>
      </c>
      <c r="N126" s="150"/>
      <c r="O126" s="69">
        <f t="shared" si="17"/>
        <v>0</v>
      </c>
      <c r="P126" s="69">
        <f t="shared" si="18"/>
        <v>0</v>
      </c>
      <c r="Q126" s="1"/>
    </row>
    <row r="127" spans="2:17">
      <c r="B127" s="9" t="str">
        <f t="shared" si="19"/>
        <v/>
      </c>
      <c r="C127" s="64">
        <f>IF(D93="","-",+C126+1)</f>
        <v>2036</v>
      </c>
      <c r="D127" s="65">
        <v>0</v>
      </c>
      <c r="E127" s="71">
        <f>IF(+J96&lt;F126,J96,D127)</f>
        <v>0</v>
      </c>
      <c r="F127" s="70">
        <f t="shared" si="20"/>
        <v>0</v>
      </c>
      <c r="G127" s="70">
        <f t="shared" si="21"/>
        <v>0</v>
      </c>
      <c r="H127" s="73">
        <f t="shared" si="22"/>
        <v>0</v>
      </c>
      <c r="I127" s="127">
        <f t="shared" si="23"/>
        <v>0</v>
      </c>
      <c r="J127" s="69">
        <f t="shared" si="15"/>
        <v>0</v>
      </c>
      <c r="K127" s="69"/>
      <c r="L127" s="150"/>
      <c r="M127" s="69">
        <f t="shared" si="16"/>
        <v>0</v>
      </c>
      <c r="N127" s="150"/>
      <c r="O127" s="69">
        <f t="shared" si="17"/>
        <v>0</v>
      </c>
      <c r="P127" s="69">
        <f t="shared" si="18"/>
        <v>0</v>
      </c>
      <c r="Q127" s="1"/>
    </row>
    <row r="128" spans="2:17">
      <c r="B128" s="9" t="str">
        <f t="shared" si="19"/>
        <v/>
      </c>
      <c r="C128" s="64">
        <f>IF(D93="","-",+C127+1)</f>
        <v>2037</v>
      </c>
      <c r="D128" s="65">
        <v>0</v>
      </c>
      <c r="E128" s="71">
        <f>IF(+J96&lt;F127,J96,D128)</f>
        <v>0</v>
      </c>
      <c r="F128" s="70">
        <f t="shared" si="20"/>
        <v>0</v>
      </c>
      <c r="G128" s="70">
        <f t="shared" si="21"/>
        <v>0</v>
      </c>
      <c r="H128" s="73">
        <f t="shared" si="22"/>
        <v>0</v>
      </c>
      <c r="I128" s="127">
        <f t="shared" si="23"/>
        <v>0</v>
      </c>
      <c r="J128" s="69">
        <f t="shared" si="15"/>
        <v>0</v>
      </c>
      <c r="K128" s="69"/>
      <c r="L128" s="150"/>
      <c r="M128" s="69">
        <f t="shared" si="16"/>
        <v>0</v>
      </c>
      <c r="N128" s="150"/>
      <c r="O128" s="69">
        <f t="shared" si="17"/>
        <v>0</v>
      </c>
      <c r="P128" s="69">
        <f t="shared" si="18"/>
        <v>0</v>
      </c>
      <c r="Q128" s="1"/>
    </row>
    <row r="129" spans="2:17">
      <c r="B129" s="9" t="str">
        <f t="shared" si="19"/>
        <v/>
      </c>
      <c r="C129" s="64">
        <f>IF(D93="","-",+C128+1)</f>
        <v>2038</v>
      </c>
      <c r="D129" s="65">
        <v>0</v>
      </c>
      <c r="E129" s="71">
        <f>IF(+J96&lt;F128,J96,D129)</f>
        <v>0</v>
      </c>
      <c r="F129" s="70">
        <f t="shared" si="20"/>
        <v>0</v>
      </c>
      <c r="G129" s="70">
        <f t="shared" si="21"/>
        <v>0</v>
      </c>
      <c r="H129" s="73">
        <f t="shared" si="22"/>
        <v>0</v>
      </c>
      <c r="I129" s="127">
        <f t="shared" si="23"/>
        <v>0</v>
      </c>
      <c r="J129" s="69">
        <f t="shared" si="15"/>
        <v>0</v>
      </c>
      <c r="K129" s="69"/>
      <c r="L129" s="150"/>
      <c r="M129" s="69">
        <f t="shared" si="16"/>
        <v>0</v>
      </c>
      <c r="N129" s="150"/>
      <c r="O129" s="69">
        <f t="shared" si="17"/>
        <v>0</v>
      </c>
      <c r="P129" s="69">
        <f t="shared" si="18"/>
        <v>0</v>
      </c>
      <c r="Q129" s="1"/>
    </row>
    <row r="130" spans="2:17">
      <c r="B130" s="9" t="str">
        <f t="shared" si="19"/>
        <v/>
      </c>
      <c r="C130" s="64">
        <f>IF(D93="","-",+C129+1)</f>
        <v>2039</v>
      </c>
      <c r="D130" s="65">
        <v>0</v>
      </c>
      <c r="E130" s="71">
        <f>IF(+J96&lt;F129,J96,D130)</f>
        <v>0</v>
      </c>
      <c r="F130" s="70">
        <f t="shared" si="20"/>
        <v>0</v>
      </c>
      <c r="G130" s="70">
        <f t="shared" si="21"/>
        <v>0</v>
      </c>
      <c r="H130" s="73">
        <f t="shared" si="22"/>
        <v>0</v>
      </c>
      <c r="I130" s="127">
        <f t="shared" si="23"/>
        <v>0</v>
      </c>
      <c r="J130" s="69">
        <f t="shared" si="15"/>
        <v>0</v>
      </c>
      <c r="K130" s="69"/>
      <c r="L130" s="150"/>
      <c r="M130" s="69">
        <f t="shared" si="16"/>
        <v>0</v>
      </c>
      <c r="N130" s="150"/>
      <c r="O130" s="69">
        <f t="shared" si="17"/>
        <v>0</v>
      </c>
      <c r="P130" s="69">
        <f t="shared" si="18"/>
        <v>0</v>
      </c>
      <c r="Q130" s="1"/>
    </row>
    <row r="131" spans="2:17">
      <c r="B131" s="9" t="str">
        <f t="shared" si="19"/>
        <v/>
      </c>
      <c r="C131" s="64">
        <f>IF(D93="","-",+C130+1)</f>
        <v>2040</v>
      </c>
      <c r="D131" s="65">
        <v>0</v>
      </c>
      <c r="E131" s="71">
        <f>IF(+J96&lt;F130,J96,D131)</f>
        <v>0</v>
      </c>
      <c r="F131" s="70">
        <f t="shared" ref="F131:F154" si="24">+D131-E131</f>
        <v>0</v>
      </c>
      <c r="G131" s="70">
        <f t="shared" ref="G131:G154" si="25">+(F131+D131)/2</f>
        <v>0</v>
      </c>
      <c r="H131" s="73">
        <f t="shared" ref="H131:H154" si="26">+J$94*G131+E131</f>
        <v>0</v>
      </c>
      <c r="I131" s="127">
        <f t="shared" ref="I131:I154" si="27">+J$95*G131+E131</f>
        <v>0</v>
      </c>
      <c r="J131" s="69">
        <f t="shared" ref="J131:J154" si="28">+I131-H131</f>
        <v>0</v>
      </c>
      <c r="K131" s="69"/>
      <c r="L131" s="150"/>
      <c r="M131" s="69">
        <f t="shared" ref="M131:M154" si="29">IF(L131&lt;&gt;0,+H131-L131,0)</f>
        <v>0</v>
      </c>
      <c r="N131" s="150"/>
      <c r="O131" s="69">
        <f t="shared" ref="O131:O154" si="30">IF(N131&lt;&gt;0,+I131-N131,0)</f>
        <v>0</v>
      </c>
      <c r="P131" s="69">
        <f t="shared" ref="P131:P154" si="31">+O131-M131</f>
        <v>0</v>
      </c>
      <c r="Q131" s="1"/>
    </row>
    <row r="132" spans="2:17">
      <c r="B132" s="9" t="str">
        <f t="shared" si="19"/>
        <v/>
      </c>
      <c r="C132" s="64">
        <f>IF(D93="","-",+C131+1)</f>
        <v>2041</v>
      </c>
      <c r="D132" s="65">
        <v>0</v>
      </c>
      <c r="E132" s="71">
        <f>IF(+J96&lt;F131,J96,D132)</f>
        <v>0</v>
      </c>
      <c r="F132" s="70">
        <f t="shared" si="24"/>
        <v>0</v>
      </c>
      <c r="G132" s="70">
        <f t="shared" si="25"/>
        <v>0</v>
      </c>
      <c r="H132" s="73">
        <f t="shared" si="26"/>
        <v>0</v>
      </c>
      <c r="I132" s="127">
        <f t="shared" si="27"/>
        <v>0</v>
      </c>
      <c r="J132" s="69">
        <f t="shared" si="28"/>
        <v>0</v>
      </c>
      <c r="K132" s="69"/>
      <c r="L132" s="150"/>
      <c r="M132" s="69">
        <f t="shared" si="29"/>
        <v>0</v>
      </c>
      <c r="N132" s="150"/>
      <c r="O132" s="69">
        <f t="shared" si="30"/>
        <v>0</v>
      </c>
      <c r="P132" s="69">
        <f t="shared" si="31"/>
        <v>0</v>
      </c>
      <c r="Q132" s="1"/>
    </row>
    <row r="133" spans="2:17">
      <c r="B133" s="9" t="str">
        <f t="shared" si="19"/>
        <v/>
      </c>
      <c r="C133" s="64">
        <f>IF(D93="","-",+C132+1)</f>
        <v>2042</v>
      </c>
      <c r="D133" s="65">
        <v>0</v>
      </c>
      <c r="E133" s="71">
        <f>IF(+J96&lt;F132,J96,D133)</f>
        <v>0</v>
      </c>
      <c r="F133" s="70">
        <f t="shared" si="24"/>
        <v>0</v>
      </c>
      <c r="G133" s="70">
        <f t="shared" si="25"/>
        <v>0</v>
      </c>
      <c r="H133" s="73">
        <f t="shared" si="26"/>
        <v>0</v>
      </c>
      <c r="I133" s="127">
        <f t="shared" si="27"/>
        <v>0</v>
      </c>
      <c r="J133" s="69">
        <f t="shared" si="28"/>
        <v>0</v>
      </c>
      <c r="K133" s="69"/>
      <c r="L133" s="150"/>
      <c r="M133" s="69">
        <f t="shared" si="29"/>
        <v>0</v>
      </c>
      <c r="N133" s="150"/>
      <c r="O133" s="69">
        <f t="shared" si="30"/>
        <v>0</v>
      </c>
      <c r="P133" s="69">
        <f t="shared" si="31"/>
        <v>0</v>
      </c>
      <c r="Q133" s="1"/>
    </row>
    <row r="134" spans="2:17">
      <c r="B134" s="9" t="str">
        <f t="shared" si="19"/>
        <v/>
      </c>
      <c r="C134" s="64">
        <f>IF(D93="","-",+C133+1)</f>
        <v>2043</v>
      </c>
      <c r="D134" s="65">
        <v>0</v>
      </c>
      <c r="E134" s="71">
        <f>IF(+J96&lt;F133,J96,D134)</f>
        <v>0</v>
      </c>
      <c r="F134" s="70">
        <f t="shared" si="24"/>
        <v>0</v>
      </c>
      <c r="G134" s="70">
        <f t="shared" si="25"/>
        <v>0</v>
      </c>
      <c r="H134" s="73">
        <f t="shared" si="26"/>
        <v>0</v>
      </c>
      <c r="I134" s="127">
        <f t="shared" si="27"/>
        <v>0</v>
      </c>
      <c r="J134" s="69">
        <f t="shared" si="28"/>
        <v>0</v>
      </c>
      <c r="K134" s="69"/>
      <c r="L134" s="150"/>
      <c r="M134" s="69">
        <f t="shared" si="29"/>
        <v>0</v>
      </c>
      <c r="N134" s="150"/>
      <c r="O134" s="69">
        <f t="shared" si="30"/>
        <v>0</v>
      </c>
      <c r="P134" s="69">
        <f t="shared" si="31"/>
        <v>0</v>
      </c>
      <c r="Q134" s="1"/>
    </row>
    <row r="135" spans="2:17">
      <c r="B135" s="9" t="str">
        <f t="shared" si="19"/>
        <v/>
      </c>
      <c r="C135" s="64">
        <f>IF(D93="","-",+C134+1)</f>
        <v>2044</v>
      </c>
      <c r="D135" s="65">
        <v>0</v>
      </c>
      <c r="E135" s="71">
        <f>IF(+J96&lt;F134,J96,D135)</f>
        <v>0</v>
      </c>
      <c r="F135" s="70">
        <f t="shared" si="24"/>
        <v>0</v>
      </c>
      <c r="G135" s="70">
        <f t="shared" si="25"/>
        <v>0</v>
      </c>
      <c r="H135" s="73">
        <f t="shared" si="26"/>
        <v>0</v>
      </c>
      <c r="I135" s="127">
        <f t="shared" si="27"/>
        <v>0</v>
      </c>
      <c r="J135" s="69">
        <f t="shared" si="28"/>
        <v>0</v>
      </c>
      <c r="K135" s="69"/>
      <c r="L135" s="150"/>
      <c r="M135" s="69">
        <f t="shared" si="29"/>
        <v>0</v>
      </c>
      <c r="N135" s="150"/>
      <c r="O135" s="69">
        <f t="shared" si="30"/>
        <v>0</v>
      </c>
      <c r="P135" s="69">
        <f t="shared" si="31"/>
        <v>0</v>
      </c>
      <c r="Q135" s="1"/>
    </row>
    <row r="136" spans="2:17">
      <c r="B136" s="9" t="str">
        <f t="shared" si="19"/>
        <v/>
      </c>
      <c r="C136" s="64">
        <f>IF(D93="","-",+C135+1)</f>
        <v>2045</v>
      </c>
      <c r="D136" s="65">
        <v>0</v>
      </c>
      <c r="E136" s="71">
        <f>IF(+J96&lt;F135,J96,D136)</f>
        <v>0</v>
      </c>
      <c r="F136" s="70">
        <f t="shared" si="24"/>
        <v>0</v>
      </c>
      <c r="G136" s="70">
        <f t="shared" si="25"/>
        <v>0</v>
      </c>
      <c r="H136" s="73">
        <f t="shared" si="26"/>
        <v>0</v>
      </c>
      <c r="I136" s="127">
        <f t="shared" si="27"/>
        <v>0</v>
      </c>
      <c r="J136" s="69">
        <f t="shared" si="28"/>
        <v>0</v>
      </c>
      <c r="K136" s="69"/>
      <c r="L136" s="150"/>
      <c r="M136" s="69">
        <f t="shared" si="29"/>
        <v>0</v>
      </c>
      <c r="N136" s="150"/>
      <c r="O136" s="69">
        <f t="shared" si="30"/>
        <v>0</v>
      </c>
      <c r="P136" s="69">
        <f t="shared" si="31"/>
        <v>0</v>
      </c>
      <c r="Q136" s="1"/>
    </row>
    <row r="137" spans="2:17">
      <c r="B137" s="9" t="str">
        <f t="shared" si="19"/>
        <v/>
      </c>
      <c r="C137" s="64">
        <f>IF(D93="","-",+C136+1)</f>
        <v>2046</v>
      </c>
      <c r="D137" s="65">
        <v>0</v>
      </c>
      <c r="E137" s="71">
        <f>IF(+J96&lt;F136,J96,D137)</f>
        <v>0</v>
      </c>
      <c r="F137" s="70">
        <f t="shared" si="24"/>
        <v>0</v>
      </c>
      <c r="G137" s="70">
        <f t="shared" si="25"/>
        <v>0</v>
      </c>
      <c r="H137" s="73">
        <f t="shared" si="26"/>
        <v>0</v>
      </c>
      <c r="I137" s="127">
        <f t="shared" si="27"/>
        <v>0</v>
      </c>
      <c r="J137" s="69">
        <f t="shared" si="28"/>
        <v>0</v>
      </c>
      <c r="K137" s="69"/>
      <c r="L137" s="150"/>
      <c r="M137" s="69">
        <f t="shared" si="29"/>
        <v>0</v>
      </c>
      <c r="N137" s="150"/>
      <c r="O137" s="69">
        <f t="shared" si="30"/>
        <v>0</v>
      </c>
      <c r="P137" s="69">
        <f t="shared" si="31"/>
        <v>0</v>
      </c>
      <c r="Q137" s="1"/>
    </row>
    <row r="138" spans="2:17">
      <c r="B138" s="9" t="str">
        <f t="shared" si="19"/>
        <v/>
      </c>
      <c r="C138" s="64">
        <f>IF(D93="","-",+C137+1)</f>
        <v>2047</v>
      </c>
      <c r="D138" s="65">
        <v>0</v>
      </c>
      <c r="E138" s="71">
        <f>IF(+J96&lt;F137,J96,D138)</f>
        <v>0</v>
      </c>
      <c r="F138" s="70">
        <f t="shared" si="24"/>
        <v>0</v>
      </c>
      <c r="G138" s="70">
        <f t="shared" si="25"/>
        <v>0</v>
      </c>
      <c r="H138" s="73">
        <f t="shared" si="26"/>
        <v>0</v>
      </c>
      <c r="I138" s="127">
        <f t="shared" si="27"/>
        <v>0</v>
      </c>
      <c r="J138" s="69">
        <f t="shared" si="28"/>
        <v>0</v>
      </c>
      <c r="K138" s="69"/>
      <c r="L138" s="150"/>
      <c r="M138" s="69">
        <f t="shared" si="29"/>
        <v>0</v>
      </c>
      <c r="N138" s="150"/>
      <c r="O138" s="69">
        <f t="shared" si="30"/>
        <v>0</v>
      </c>
      <c r="P138" s="69">
        <f t="shared" si="31"/>
        <v>0</v>
      </c>
      <c r="Q138" s="1"/>
    </row>
    <row r="139" spans="2:17">
      <c r="B139" s="9" t="str">
        <f t="shared" si="19"/>
        <v/>
      </c>
      <c r="C139" s="64">
        <f>IF(D93="","-",+C138+1)</f>
        <v>2048</v>
      </c>
      <c r="D139" s="65">
        <v>0</v>
      </c>
      <c r="E139" s="71">
        <f>IF(+J96&lt;F138,J96,D139)</f>
        <v>0</v>
      </c>
      <c r="F139" s="70">
        <f t="shared" si="24"/>
        <v>0</v>
      </c>
      <c r="G139" s="70">
        <f t="shared" si="25"/>
        <v>0</v>
      </c>
      <c r="H139" s="73">
        <f t="shared" si="26"/>
        <v>0</v>
      </c>
      <c r="I139" s="127">
        <f t="shared" si="27"/>
        <v>0</v>
      </c>
      <c r="J139" s="69">
        <f t="shared" si="28"/>
        <v>0</v>
      </c>
      <c r="K139" s="69"/>
      <c r="L139" s="150"/>
      <c r="M139" s="69">
        <f t="shared" si="29"/>
        <v>0</v>
      </c>
      <c r="N139" s="150"/>
      <c r="O139" s="69">
        <f t="shared" si="30"/>
        <v>0</v>
      </c>
      <c r="P139" s="69">
        <f t="shared" si="31"/>
        <v>0</v>
      </c>
      <c r="Q139" s="1"/>
    </row>
    <row r="140" spans="2:17">
      <c r="B140" s="9" t="str">
        <f t="shared" si="19"/>
        <v/>
      </c>
      <c r="C140" s="64">
        <f>IF(D93="","-",+C139+1)</f>
        <v>2049</v>
      </c>
      <c r="D140" s="65">
        <v>0</v>
      </c>
      <c r="E140" s="71">
        <f>IF(+J96&lt;F139,J96,D140)</f>
        <v>0</v>
      </c>
      <c r="F140" s="70">
        <f t="shared" si="24"/>
        <v>0</v>
      </c>
      <c r="G140" s="70">
        <f t="shared" si="25"/>
        <v>0</v>
      </c>
      <c r="H140" s="73">
        <f t="shared" si="26"/>
        <v>0</v>
      </c>
      <c r="I140" s="127">
        <f t="shared" si="27"/>
        <v>0</v>
      </c>
      <c r="J140" s="69">
        <f t="shared" si="28"/>
        <v>0</v>
      </c>
      <c r="K140" s="69"/>
      <c r="L140" s="150"/>
      <c r="M140" s="69">
        <f t="shared" si="29"/>
        <v>0</v>
      </c>
      <c r="N140" s="150"/>
      <c r="O140" s="69">
        <f t="shared" si="30"/>
        <v>0</v>
      </c>
      <c r="P140" s="69">
        <f t="shared" si="31"/>
        <v>0</v>
      </c>
      <c r="Q140" s="1"/>
    </row>
    <row r="141" spans="2:17">
      <c r="B141" s="9" t="str">
        <f t="shared" si="19"/>
        <v/>
      </c>
      <c r="C141" s="64">
        <f>IF(D93="","-",+C140+1)</f>
        <v>2050</v>
      </c>
      <c r="D141" s="65">
        <v>0</v>
      </c>
      <c r="E141" s="71">
        <f>IF(+J96&lt;F140,J96,D141)</f>
        <v>0</v>
      </c>
      <c r="F141" s="70">
        <f t="shared" si="24"/>
        <v>0</v>
      </c>
      <c r="G141" s="70">
        <f t="shared" si="25"/>
        <v>0</v>
      </c>
      <c r="H141" s="73">
        <f t="shared" si="26"/>
        <v>0</v>
      </c>
      <c r="I141" s="127">
        <f t="shared" si="27"/>
        <v>0</v>
      </c>
      <c r="J141" s="69">
        <f t="shared" si="28"/>
        <v>0</v>
      </c>
      <c r="K141" s="69"/>
      <c r="L141" s="150"/>
      <c r="M141" s="69">
        <f t="shared" si="29"/>
        <v>0</v>
      </c>
      <c r="N141" s="150"/>
      <c r="O141" s="69">
        <f t="shared" si="30"/>
        <v>0</v>
      </c>
      <c r="P141" s="69">
        <f t="shared" si="31"/>
        <v>0</v>
      </c>
      <c r="Q141" s="1"/>
    </row>
    <row r="142" spans="2:17">
      <c r="B142" s="9" t="str">
        <f t="shared" si="19"/>
        <v/>
      </c>
      <c r="C142" s="64">
        <f>IF(D93="","-",+C141+1)</f>
        <v>2051</v>
      </c>
      <c r="D142" s="65">
        <v>0</v>
      </c>
      <c r="E142" s="71">
        <f>IF(+J96&lt;F141,J96,D142)</f>
        <v>0</v>
      </c>
      <c r="F142" s="70">
        <f t="shared" si="24"/>
        <v>0</v>
      </c>
      <c r="G142" s="70">
        <f t="shared" si="25"/>
        <v>0</v>
      </c>
      <c r="H142" s="73">
        <f t="shared" si="26"/>
        <v>0</v>
      </c>
      <c r="I142" s="127">
        <f t="shared" si="27"/>
        <v>0</v>
      </c>
      <c r="J142" s="69">
        <f t="shared" si="28"/>
        <v>0</v>
      </c>
      <c r="K142" s="69"/>
      <c r="L142" s="150"/>
      <c r="M142" s="69">
        <f t="shared" si="29"/>
        <v>0</v>
      </c>
      <c r="N142" s="150"/>
      <c r="O142" s="69">
        <f t="shared" si="30"/>
        <v>0</v>
      </c>
      <c r="P142" s="69">
        <f t="shared" si="31"/>
        <v>0</v>
      </c>
      <c r="Q142" s="1"/>
    </row>
    <row r="143" spans="2:17">
      <c r="B143" s="9" t="str">
        <f t="shared" si="19"/>
        <v/>
      </c>
      <c r="C143" s="64">
        <f>IF(D93="","-",+C142+1)</f>
        <v>2052</v>
      </c>
      <c r="D143" s="65">
        <v>0</v>
      </c>
      <c r="E143" s="71">
        <f>IF(+J96&lt;F142,J96,D143)</f>
        <v>0</v>
      </c>
      <c r="F143" s="70">
        <f t="shared" si="24"/>
        <v>0</v>
      </c>
      <c r="G143" s="70">
        <f t="shared" si="25"/>
        <v>0</v>
      </c>
      <c r="H143" s="73">
        <f t="shared" si="26"/>
        <v>0</v>
      </c>
      <c r="I143" s="127">
        <f t="shared" si="27"/>
        <v>0</v>
      </c>
      <c r="J143" s="69">
        <f t="shared" si="28"/>
        <v>0</v>
      </c>
      <c r="K143" s="69"/>
      <c r="L143" s="150"/>
      <c r="M143" s="69">
        <f t="shared" si="29"/>
        <v>0</v>
      </c>
      <c r="N143" s="150"/>
      <c r="O143" s="69">
        <f t="shared" si="30"/>
        <v>0</v>
      </c>
      <c r="P143" s="69">
        <f t="shared" si="31"/>
        <v>0</v>
      </c>
      <c r="Q143" s="1"/>
    </row>
    <row r="144" spans="2:17">
      <c r="B144" s="9" t="str">
        <f t="shared" si="19"/>
        <v/>
      </c>
      <c r="C144" s="64">
        <f>IF(D93="","-",+C143+1)</f>
        <v>2053</v>
      </c>
      <c r="D144" s="65">
        <v>0</v>
      </c>
      <c r="E144" s="71">
        <f>IF(+J96&lt;F143,J96,D144)</f>
        <v>0</v>
      </c>
      <c r="F144" s="70">
        <f t="shared" si="24"/>
        <v>0</v>
      </c>
      <c r="G144" s="70">
        <f t="shared" si="25"/>
        <v>0</v>
      </c>
      <c r="H144" s="73">
        <f t="shared" si="26"/>
        <v>0</v>
      </c>
      <c r="I144" s="127">
        <f t="shared" si="27"/>
        <v>0</v>
      </c>
      <c r="J144" s="69">
        <f t="shared" si="28"/>
        <v>0</v>
      </c>
      <c r="K144" s="69"/>
      <c r="L144" s="150"/>
      <c r="M144" s="69">
        <f t="shared" si="29"/>
        <v>0</v>
      </c>
      <c r="N144" s="150"/>
      <c r="O144" s="69">
        <f t="shared" si="30"/>
        <v>0</v>
      </c>
      <c r="P144" s="69">
        <f t="shared" si="31"/>
        <v>0</v>
      </c>
      <c r="Q144" s="1"/>
    </row>
    <row r="145" spans="2:17">
      <c r="B145" s="9" t="str">
        <f t="shared" si="19"/>
        <v/>
      </c>
      <c r="C145" s="64">
        <f>IF(D93="","-",+C144+1)</f>
        <v>2054</v>
      </c>
      <c r="D145" s="65">
        <v>0</v>
      </c>
      <c r="E145" s="71">
        <f>IF(+J96&lt;F144,J96,D145)</f>
        <v>0</v>
      </c>
      <c r="F145" s="70">
        <f t="shared" si="24"/>
        <v>0</v>
      </c>
      <c r="G145" s="70">
        <f t="shared" si="25"/>
        <v>0</v>
      </c>
      <c r="H145" s="73">
        <f t="shared" si="26"/>
        <v>0</v>
      </c>
      <c r="I145" s="127">
        <f t="shared" si="27"/>
        <v>0</v>
      </c>
      <c r="J145" s="69">
        <f t="shared" si="28"/>
        <v>0</v>
      </c>
      <c r="K145" s="69"/>
      <c r="L145" s="150"/>
      <c r="M145" s="69">
        <f t="shared" si="29"/>
        <v>0</v>
      </c>
      <c r="N145" s="150"/>
      <c r="O145" s="69">
        <f t="shared" si="30"/>
        <v>0</v>
      </c>
      <c r="P145" s="69">
        <f t="shared" si="31"/>
        <v>0</v>
      </c>
      <c r="Q145" s="1"/>
    </row>
    <row r="146" spans="2:17">
      <c r="B146" s="9" t="str">
        <f t="shared" si="19"/>
        <v/>
      </c>
      <c r="C146" s="64">
        <f>IF(D93="","-",+C145+1)</f>
        <v>2055</v>
      </c>
      <c r="D146" s="65">
        <v>0</v>
      </c>
      <c r="E146" s="71">
        <f>IF(+J96&lt;F145,J96,D146)</f>
        <v>0</v>
      </c>
      <c r="F146" s="70">
        <f t="shared" si="24"/>
        <v>0</v>
      </c>
      <c r="G146" s="70">
        <f t="shared" si="25"/>
        <v>0</v>
      </c>
      <c r="H146" s="73">
        <f t="shared" si="26"/>
        <v>0</v>
      </c>
      <c r="I146" s="127">
        <f t="shared" si="27"/>
        <v>0</v>
      </c>
      <c r="J146" s="69">
        <f t="shared" si="28"/>
        <v>0</v>
      </c>
      <c r="K146" s="69"/>
      <c r="L146" s="150"/>
      <c r="M146" s="69">
        <f t="shared" si="29"/>
        <v>0</v>
      </c>
      <c r="N146" s="150"/>
      <c r="O146" s="69">
        <f t="shared" si="30"/>
        <v>0</v>
      </c>
      <c r="P146" s="69">
        <f t="shared" si="31"/>
        <v>0</v>
      </c>
      <c r="Q146" s="1"/>
    </row>
    <row r="147" spans="2:17">
      <c r="B147" s="9" t="str">
        <f t="shared" si="19"/>
        <v/>
      </c>
      <c r="C147" s="64">
        <f>IF(D93="","-",+C146+1)</f>
        <v>2056</v>
      </c>
      <c r="D147" s="65">
        <v>0</v>
      </c>
      <c r="E147" s="71">
        <f>IF(+J96&lt;F146,J96,D147)</f>
        <v>0</v>
      </c>
      <c r="F147" s="70">
        <f t="shared" si="24"/>
        <v>0</v>
      </c>
      <c r="G147" s="70">
        <f t="shared" si="25"/>
        <v>0</v>
      </c>
      <c r="H147" s="73">
        <f t="shared" si="26"/>
        <v>0</v>
      </c>
      <c r="I147" s="127">
        <f t="shared" si="27"/>
        <v>0</v>
      </c>
      <c r="J147" s="69">
        <f t="shared" si="28"/>
        <v>0</v>
      </c>
      <c r="K147" s="69"/>
      <c r="L147" s="150"/>
      <c r="M147" s="69">
        <f t="shared" si="29"/>
        <v>0</v>
      </c>
      <c r="N147" s="150"/>
      <c r="O147" s="69">
        <f t="shared" si="30"/>
        <v>0</v>
      </c>
      <c r="P147" s="69">
        <f t="shared" si="31"/>
        <v>0</v>
      </c>
      <c r="Q147" s="1"/>
    </row>
    <row r="148" spans="2:17">
      <c r="B148" s="9" t="str">
        <f t="shared" si="19"/>
        <v/>
      </c>
      <c r="C148" s="64">
        <f>IF(D93="","-",+C147+1)</f>
        <v>2057</v>
      </c>
      <c r="D148" s="65">
        <v>0</v>
      </c>
      <c r="E148" s="71">
        <f>IF(+J96&lt;F147,J96,D148)</f>
        <v>0</v>
      </c>
      <c r="F148" s="70">
        <f t="shared" si="24"/>
        <v>0</v>
      </c>
      <c r="G148" s="70">
        <f t="shared" si="25"/>
        <v>0</v>
      </c>
      <c r="H148" s="73">
        <f t="shared" si="26"/>
        <v>0</v>
      </c>
      <c r="I148" s="127">
        <f t="shared" si="27"/>
        <v>0</v>
      </c>
      <c r="J148" s="69">
        <f t="shared" si="28"/>
        <v>0</v>
      </c>
      <c r="K148" s="69"/>
      <c r="L148" s="150"/>
      <c r="M148" s="69">
        <f t="shared" si="29"/>
        <v>0</v>
      </c>
      <c r="N148" s="150"/>
      <c r="O148" s="69">
        <f t="shared" si="30"/>
        <v>0</v>
      </c>
      <c r="P148" s="69">
        <f t="shared" si="31"/>
        <v>0</v>
      </c>
      <c r="Q148" s="1"/>
    </row>
    <row r="149" spans="2:17">
      <c r="B149" s="9" t="str">
        <f t="shared" si="19"/>
        <v/>
      </c>
      <c r="C149" s="64">
        <f>IF(D93="","-",+C148+1)</f>
        <v>2058</v>
      </c>
      <c r="D149" s="65">
        <v>0</v>
      </c>
      <c r="E149" s="71">
        <f>IF(+J96&lt;F148,J96,D149)</f>
        <v>0</v>
      </c>
      <c r="F149" s="70">
        <f t="shared" si="24"/>
        <v>0</v>
      </c>
      <c r="G149" s="70">
        <f t="shared" si="25"/>
        <v>0</v>
      </c>
      <c r="H149" s="73">
        <f t="shared" si="26"/>
        <v>0</v>
      </c>
      <c r="I149" s="127">
        <f t="shared" si="27"/>
        <v>0</v>
      </c>
      <c r="J149" s="69">
        <f t="shared" si="28"/>
        <v>0</v>
      </c>
      <c r="K149" s="69"/>
      <c r="L149" s="150"/>
      <c r="M149" s="69">
        <f t="shared" si="29"/>
        <v>0</v>
      </c>
      <c r="N149" s="150"/>
      <c r="O149" s="69">
        <f t="shared" si="30"/>
        <v>0</v>
      </c>
      <c r="P149" s="69">
        <f t="shared" si="31"/>
        <v>0</v>
      </c>
      <c r="Q149" s="1"/>
    </row>
    <row r="150" spans="2:17">
      <c r="B150" s="9" t="str">
        <f t="shared" si="19"/>
        <v/>
      </c>
      <c r="C150" s="64">
        <f>IF(D93="","-",+C149+1)</f>
        <v>2059</v>
      </c>
      <c r="D150" s="65">
        <v>0</v>
      </c>
      <c r="E150" s="71">
        <f>IF(+J96&lt;F149,J96,D150)</f>
        <v>0</v>
      </c>
      <c r="F150" s="70">
        <f t="shared" si="24"/>
        <v>0</v>
      </c>
      <c r="G150" s="70">
        <f t="shared" si="25"/>
        <v>0</v>
      </c>
      <c r="H150" s="73">
        <f t="shared" si="26"/>
        <v>0</v>
      </c>
      <c r="I150" s="127">
        <f t="shared" si="27"/>
        <v>0</v>
      </c>
      <c r="J150" s="69">
        <f t="shared" si="28"/>
        <v>0</v>
      </c>
      <c r="K150" s="69"/>
      <c r="L150" s="150"/>
      <c r="M150" s="69">
        <f t="shared" si="29"/>
        <v>0</v>
      </c>
      <c r="N150" s="150"/>
      <c r="O150" s="69">
        <f t="shared" si="30"/>
        <v>0</v>
      </c>
      <c r="P150" s="69">
        <f t="shared" si="31"/>
        <v>0</v>
      </c>
      <c r="Q150" s="1"/>
    </row>
    <row r="151" spans="2:17">
      <c r="B151" s="9" t="str">
        <f t="shared" si="19"/>
        <v/>
      </c>
      <c r="C151" s="64">
        <f>IF(D93="","-",+C150+1)</f>
        <v>2060</v>
      </c>
      <c r="D151" s="65">
        <v>0</v>
      </c>
      <c r="E151" s="71">
        <f>IF(+J96&lt;F150,J96,D151)</f>
        <v>0</v>
      </c>
      <c r="F151" s="70">
        <f t="shared" si="24"/>
        <v>0</v>
      </c>
      <c r="G151" s="70">
        <f t="shared" si="25"/>
        <v>0</v>
      </c>
      <c r="H151" s="73">
        <f t="shared" si="26"/>
        <v>0</v>
      </c>
      <c r="I151" s="127">
        <f t="shared" si="27"/>
        <v>0</v>
      </c>
      <c r="J151" s="69">
        <f t="shared" si="28"/>
        <v>0</v>
      </c>
      <c r="K151" s="69"/>
      <c r="L151" s="150"/>
      <c r="M151" s="69">
        <f t="shared" si="29"/>
        <v>0</v>
      </c>
      <c r="N151" s="150"/>
      <c r="O151" s="69">
        <f t="shared" si="30"/>
        <v>0</v>
      </c>
      <c r="P151" s="69">
        <f t="shared" si="31"/>
        <v>0</v>
      </c>
      <c r="Q151" s="1"/>
    </row>
    <row r="152" spans="2:17">
      <c r="B152" s="9" t="str">
        <f t="shared" si="19"/>
        <v/>
      </c>
      <c r="C152" s="64">
        <f>IF(D93="","-",+C151+1)</f>
        <v>2061</v>
      </c>
      <c r="D152" s="65">
        <v>0</v>
      </c>
      <c r="E152" s="71">
        <f>IF(+J96&lt;F151,J96,D152)</f>
        <v>0</v>
      </c>
      <c r="F152" s="70">
        <f t="shared" si="24"/>
        <v>0</v>
      </c>
      <c r="G152" s="70">
        <f t="shared" si="25"/>
        <v>0</v>
      </c>
      <c r="H152" s="73">
        <f t="shared" si="26"/>
        <v>0</v>
      </c>
      <c r="I152" s="127">
        <f t="shared" si="27"/>
        <v>0</v>
      </c>
      <c r="J152" s="69">
        <f t="shared" si="28"/>
        <v>0</v>
      </c>
      <c r="K152" s="69"/>
      <c r="L152" s="150"/>
      <c r="M152" s="69">
        <f t="shared" si="29"/>
        <v>0</v>
      </c>
      <c r="N152" s="150"/>
      <c r="O152" s="69">
        <f t="shared" si="30"/>
        <v>0</v>
      </c>
      <c r="P152" s="69">
        <f t="shared" si="31"/>
        <v>0</v>
      </c>
      <c r="Q152" s="1"/>
    </row>
    <row r="153" spans="2:17">
      <c r="B153" s="9" t="str">
        <f t="shared" si="19"/>
        <v/>
      </c>
      <c r="C153" s="64">
        <f>IF(D93="","-",+C152+1)</f>
        <v>2062</v>
      </c>
      <c r="D153" s="65">
        <v>0</v>
      </c>
      <c r="E153" s="71">
        <f>IF(+J96&lt;F152,J96,D153)</f>
        <v>0</v>
      </c>
      <c r="F153" s="70">
        <f t="shared" si="24"/>
        <v>0</v>
      </c>
      <c r="G153" s="70">
        <f t="shared" si="25"/>
        <v>0</v>
      </c>
      <c r="H153" s="73">
        <f t="shared" si="26"/>
        <v>0</v>
      </c>
      <c r="I153" s="127">
        <f t="shared" si="27"/>
        <v>0</v>
      </c>
      <c r="J153" s="69">
        <f t="shared" si="28"/>
        <v>0</v>
      </c>
      <c r="K153" s="69"/>
      <c r="L153" s="150"/>
      <c r="M153" s="69">
        <f t="shared" si="29"/>
        <v>0</v>
      </c>
      <c r="N153" s="150"/>
      <c r="O153" s="69">
        <f t="shared" si="30"/>
        <v>0</v>
      </c>
      <c r="P153" s="69">
        <f t="shared" si="31"/>
        <v>0</v>
      </c>
      <c r="Q153" s="1"/>
    </row>
    <row r="154" spans="2:17" ht="13.5" thickBot="1">
      <c r="B154" s="9" t="str">
        <f t="shared" si="19"/>
        <v/>
      </c>
      <c r="C154" s="74">
        <f>IF(D93="","-",+C153+1)</f>
        <v>2063</v>
      </c>
      <c r="D154" s="102">
        <v>0</v>
      </c>
      <c r="E154" s="76">
        <f>IF(+J96&lt;F153,J96,D154)</f>
        <v>0</v>
      </c>
      <c r="F154" s="75">
        <f t="shared" si="24"/>
        <v>0</v>
      </c>
      <c r="G154" s="75">
        <f t="shared" si="25"/>
        <v>0</v>
      </c>
      <c r="H154" s="77">
        <f t="shared" si="26"/>
        <v>0</v>
      </c>
      <c r="I154" s="128">
        <f t="shared" si="27"/>
        <v>0</v>
      </c>
      <c r="J154" s="79">
        <f t="shared" si="28"/>
        <v>0</v>
      </c>
      <c r="K154" s="69"/>
      <c r="L154" s="151"/>
      <c r="M154" s="79">
        <f t="shared" si="29"/>
        <v>0</v>
      </c>
      <c r="N154" s="151"/>
      <c r="O154" s="79">
        <f t="shared" si="30"/>
        <v>0</v>
      </c>
      <c r="P154" s="79">
        <f t="shared" si="31"/>
        <v>0</v>
      </c>
      <c r="Q154" s="1"/>
    </row>
    <row r="155" spans="2:17">
      <c r="C155" s="65" t="s">
        <v>78</v>
      </c>
      <c r="D155" s="22"/>
      <c r="E155" s="22"/>
      <c r="F155" s="22"/>
      <c r="G155" s="22"/>
      <c r="H155" s="22"/>
      <c r="I155" s="22"/>
      <c r="J155" s="22">
        <f>SUM(J99:J154)</f>
        <v>0</v>
      </c>
      <c r="K155" s="22"/>
      <c r="L155" s="22"/>
      <c r="M155" s="22"/>
      <c r="N155" s="22"/>
      <c r="O155" s="22"/>
      <c r="P155" s="1"/>
      <c r="Q155" s="1"/>
    </row>
    <row r="156" spans="2:17">
      <c r="D156" s="2"/>
      <c r="E156" s="1"/>
      <c r="F156" s="1"/>
      <c r="G156" s="1"/>
      <c r="H156" s="1"/>
      <c r="I156" s="3"/>
      <c r="J156" s="3"/>
      <c r="K156" s="22"/>
      <c r="L156" s="3"/>
      <c r="M156" s="3"/>
      <c r="N156" s="3"/>
      <c r="O156" s="3"/>
      <c r="P156" s="1"/>
      <c r="Q156" s="1"/>
    </row>
    <row r="157" spans="2:17">
      <c r="C157" s="103" t="s">
        <v>92</v>
      </c>
      <c r="D157" s="2"/>
      <c r="E157" s="1"/>
      <c r="F157" s="1"/>
      <c r="G157" s="1"/>
      <c r="H157" s="1"/>
      <c r="I157" s="3"/>
      <c r="J157" s="3"/>
      <c r="K157" s="22"/>
      <c r="L157" s="3"/>
      <c r="M157" s="3"/>
      <c r="N157" s="3"/>
      <c r="O157" s="3"/>
      <c r="P157" s="1"/>
      <c r="Q157" s="1"/>
    </row>
    <row r="158" spans="2:17">
      <c r="D158" s="2"/>
      <c r="E158" s="1"/>
      <c r="F158" s="1"/>
      <c r="G158" s="1"/>
      <c r="H158" s="1"/>
      <c r="I158" s="3"/>
      <c r="J158" s="3"/>
      <c r="K158" s="22"/>
      <c r="L158" s="3"/>
      <c r="M158" s="3"/>
      <c r="N158" s="3"/>
      <c r="O158" s="3"/>
      <c r="P158" s="1"/>
      <c r="Q158" s="1"/>
    </row>
    <row r="159" spans="2:17">
      <c r="C159" s="80" t="s">
        <v>97</v>
      </c>
      <c r="D159" s="65"/>
      <c r="E159" s="65"/>
      <c r="F159" s="65"/>
      <c r="G159" s="65"/>
      <c r="H159" s="22"/>
      <c r="I159" s="22"/>
      <c r="J159" s="81"/>
      <c r="K159" s="81"/>
      <c r="L159" s="81"/>
      <c r="M159" s="81"/>
      <c r="N159" s="81"/>
      <c r="O159" s="81"/>
      <c r="P159" s="1"/>
      <c r="Q159" s="1"/>
    </row>
    <row r="160" spans="2:17">
      <c r="C160" s="104" t="s">
        <v>79</v>
      </c>
      <c r="D160" s="65"/>
      <c r="E160" s="65"/>
      <c r="F160" s="65"/>
      <c r="G160" s="65"/>
      <c r="H160" s="22"/>
      <c r="I160" s="22"/>
      <c r="J160" s="81"/>
      <c r="K160" s="81"/>
      <c r="L160" s="81"/>
      <c r="M160" s="81"/>
      <c r="N160" s="81"/>
      <c r="O160" s="81"/>
      <c r="P160" s="1"/>
      <c r="Q160" s="1"/>
    </row>
    <row r="161" spans="3:17">
      <c r="C161" s="104" t="s">
        <v>80</v>
      </c>
      <c r="D161" s="65"/>
      <c r="E161" s="65"/>
      <c r="F161" s="65"/>
      <c r="G161" s="65"/>
      <c r="H161" s="22"/>
      <c r="I161" s="22"/>
      <c r="J161" s="81"/>
      <c r="K161" s="81"/>
      <c r="L161" s="81"/>
      <c r="M161" s="81"/>
      <c r="N161" s="81"/>
      <c r="O161" s="81"/>
      <c r="P161" s="1"/>
      <c r="Q161" s="1"/>
    </row>
    <row r="162" spans="3:17" ht="18">
      <c r="C162" s="104"/>
      <c r="D162" s="65"/>
      <c r="E162" s="65"/>
      <c r="F162" s="65"/>
      <c r="G162" s="65"/>
      <c r="H162" s="22"/>
      <c r="I162" s="22"/>
      <c r="J162" s="81"/>
      <c r="K162" s="81"/>
      <c r="L162" s="81"/>
      <c r="M162" s="81"/>
      <c r="N162" s="81"/>
      <c r="P162" s="112" t="s">
        <v>131</v>
      </c>
      <c r="Q162" s="1"/>
    </row>
  </sheetData>
  <phoneticPr fontId="0" type="noConversion"/>
  <conditionalFormatting sqref="C17:C72">
    <cfRule type="cellIs" dxfId="123" priority="1" stopIfTrue="1" operator="equal">
      <formula>$I$10</formula>
    </cfRule>
  </conditionalFormatting>
  <conditionalFormatting sqref="C99:C154">
    <cfRule type="cellIs" dxfId="122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  <legacyDrawing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72"/>
  <dimension ref="A1:Q162"/>
  <sheetViews>
    <sheetView topLeftCell="A89" zoomScaleNormal="100" zoomScaleSheetLayoutView="75" workbookViewId="0">
      <selection activeCell="D99" sqref="D99:I111"/>
    </sheetView>
  </sheetViews>
  <sheetFormatPr defaultColWidth="8.7109375" defaultRowHeight="12.75" customHeight="1"/>
  <cols>
    <col min="1" max="1" width="4.7109375" style="183" customWidth="1"/>
    <col min="2" max="2" width="6.7109375" style="183" customWidth="1"/>
    <col min="3" max="3" width="23.28515625" style="183" customWidth="1"/>
    <col min="4" max="8" width="17.7109375" style="183" customWidth="1"/>
    <col min="9" max="9" width="20.42578125" style="183" customWidth="1"/>
    <col min="10" max="10" width="16.42578125" style="183" customWidth="1"/>
    <col min="11" max="11" width="17.7109375" style="183" customWidth="1"/>
    <col min="12" max="12" width="16.140625" style="183" customWidth="1"/>
    <col min="13" max="13" width="17.7109375" style="183" customWidth="1"/>
    <col min="14" max="14" width="16.140625" style="183" customWidth="1"/>
    <col min="15" max="15" width="16.85546875" style="183" customWidth="1"/>
    <col min="16" max="16" width="24.42578125" style="183" customWidth="1"/>
    <col min="17" max="17" width="4.7109375" style="183" customWidth="1"/>
    <col min="18" max="22" width="8.7109375" style="183"/>
    <col min="23" max="23" width="9.140625" style="183" customWidth="1"/>
    <col min="24" max="16384" width="8.7109375" style="183"/>
  </cols>
  <sheetData>
    <row r="1" spans="1:17" ht="20.25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21 of 75</v>
      </c>
      <c r="Q1" s="453"/>
    </row>
    <row r="2" spans="1:17" ht="18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454" t="s">
        <v>129</v>
      </c>
    </row>
    <row r="3" spans="1:17" ht="18.75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 t="str">
        <f>RIGHT(N3,3)</f>
        <v/>
      </c>
      <c r="P3" s="455">
        <v>1</v>
      </c>
    </row>
    <row r="4" spans="1:17" ht="15.75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7" ht="1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166712.5440494052</v>
      </c>
      <c r="P5" s="269"/>
    </row>
    <row r="6" spans="1:17" ht="15.7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166712.5440494052</v>
      </c>
      <c r="O6" s="269"/>
      <c r="P6" s="269"/>
    </row>
    <row r="7" spans="1:17" ht="13.5" thickBot="1">
      <c r="C7" s="467" t="s">
        <v>48</v>
      </c>
      <c r="D7" s="620" t="s">
        <v>261</v>
      </c>
      <c r="E7" s="269"/>
      <c r="F7" s="269"/>
      <c r="G7" s="534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7" ht="13.5" thickBot="1">
      <c r="C8" s="472"/>
      <c r="D8" s="473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7" ht="13.5" thickBot="1">
      <c r="A9" s="191"/>
      <c r="C9" s="476" t="s">
        <v>50</v>
      </c>
      <c r="D9" s="477" t="s">
        <v>248</v>
      </c>
      <c r="E9" s="666" t="s">
        <v>486</v>
      </c>
      <c r="F9" s="478"/>
      <c r="G9" s="478"/>
      <c r="H9" s="478"/>
      <c r="I9" s="479"/>
      <c r="J9" s="480"/>
      <c r="O9" s="481"/>
      <c r="P9" s="272"/>
    </row>
    <row r="10" spans="1:17">
      <c r="C10" s="482" t="s">
        <v>51</v>
      </c>
      <c r="D10" s="483">
        <v>1642817</v>
      </c>
      <c r="E10" s="353" t="s">
        <v>52</v>
      </c>
      <c r="F10" s="481"/>
      <c r="G10" s="484"/>
      <c r="H10" s="484"/>
      <c r="I10" s="485">
        <f>+'SWE.WS.F.BPU.ATRR.Projected'!L19</f>
        <v>2024</v>
      </c>
      <c r="J10" s="480"/>
      <c r="K10" s="375" t="s">
        <v>53</v>
      </c>
      <c r="O10" s="272"/>
      <c r="P10" s="272"/>
    </row>
    <row r="11" spans="1:17">
      <c r="C11" s="486" t="s">
        <v>54</v>
      </c>
      <c r="D11" s="487">
        <v>2010</v>
      </c>
      <c r="E11" s="486" t="s">
        <v>55</v>
      </c>
      <c r="F11" s="484"/>
      <c r="G11" s="233"/>
      <c r="H11" s="233"/>
      <c r="I11" s="488"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7">
      <c r="C12" s="486" t="s">
        <v>56</v>
      </c>
      <c r="D12" s="483">
        <v>6</v>
      </c>
      <c r="E12" s="486" t="s">
        <v>57</v>
      </c>
      <c r="F12" s="484"/>
      <c r="G12" s="233"/>
      <c r="H12" s="233"/>
      <c r="I12" s="490">
        <f>'SWE.WS.F.BPU.ATRR.Projected'!$F$81</f>
        <v>0.11952713165403545</v>
      </c>
      <c r="J12" s="425"/>
      <c r="K12" s="183" t="s">
        <v>58</v>
      </c>
      <c r="O12" s="272"/>
      <c r="P12" s="272"/>
    </row>
    <row r="13" spans="1:17">
      <c r="C13" s="486" t="s">
        <v>59</v>
      </c>
      <c r="D13" s="488">
        <f>+'SWE.WS.F.BPU.ATRR.Projected'!F$93</f>
        <v>44</v>
      </c>
      <c r="E13" s="486" t="s">
        <v>60</v>
      </c>
      <c r="F13" s="484"/>
      <c r="G13" s="233"/>
      <c r="H13" s="233"/>
      <c r="I13" s="490">
        <f>IF(G5="",I12,'SWE.WS.F.BPU.ATRR.Projected'!$F$80)</f>
        <v>0.11952713165403545</v>
      </c>
      <c r="J13" s="425"/>
      <c r="K13" s="375" t="s">
        <v>61</v>
      </c>
      <c r="L13" s="324"/>
      <c r="M13" s="324"/>
      <c r="N13" s="324"/>
      <c r="O13" s="272"/>
      <c r="P13" s="272"/>
    </row>
    <row r="14" spans="1:17" ht="13.5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37336.75</v>
      </c>
      <c r="J14" s="375"/>
      <c r="K14" s="375"/>
      <c r="L14" s="375"/>
      <c r="M14" s="375"/>
      <c r="N14" s="375"/>
      <c r="O14" s="272"/>
      <c r="P14" s="272"/>
    </row>
    <row r="15" spans="1:17" ht="38.25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388</v>
      </c>
      <c r="H15" s="495" t="s">
        <v>389</v>
      </c>
      <c r="I15" s="496" t="s">
        <v>260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7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>
      <c r="C17" s="507">
        <f>IF(D11= "","-",D11)</f>
        <v>2010</v>
      </c>
      <c r="D17" s="508">
        <v>2389000</v>
      </c>
      <c r="E17" s="509">
        <v>31434.210526315794</v>
      </c>
      <c r="F17" s="508">
        <v>2357565.789473684</v>
      </c>
      <c r="G17" s="509">
        <v>370369.65443341201</v>
      </c>
      <c r="H17" s="510">
        <v>370369.65443341201</v>
      </c>
      <c r="I17" s="517">
        <v>0</v>
      </c>
      <c r="J17" s="511"/>
      <c r="K17" s="512">
        <f t="shared" ref="K17:K22" si="0">G17</f>
        <v>370369.65443341201</v>
      </c>
      <c r="L17" s="597">
        <f t="shared" ref="L17:L48" si="1">IF(K17&lt;&gt;0,+G17-K17,0)</f>
        <v>0</v>
      </c>
      <c r="M17" s="512">
        <f t="shared" ref="M17:M22" si="2">H17</f>
        <v>370369.65443341201</v>
      </c>
      <c r="N17" s="513">
        <f t="shared" ref="N17:N48" si="3">IF(M17&lt;&gt;0,+H17-M17,0)</f>
        <v>0</v>
      </c>
      <c r="O17" s="514">
        <f t="shared" ref="O17:O48" si="4">+N17-L17</f>
        <v>0</v>
      </c>
      <c r="P17" s="272"/>
    </row>
    <row r="18" spans="2:16">
      <c r="B18" s="195" t="str">
        <f>IF(D18=F17,"","IU")</f>
        <v>IU</v>
      </c>
      <c r="C18" s="507">
        <f>IF(D11="","-",+C17+1)</f>
        <v>2011</v>
      </c>
      <c r="D18" s="515">
        <v>1578368.7894736843</v>
      </c>
      <c r="E18" s="516">
        <v>39263.487804878052</v>
      </c>
      <c r="F18" s="515">
        <v>1539105.3016688062</v>
      </c>
      <c r="G18" s="516">
        <v>279659.70688308566</v>
      </c>
      <c r="H18" s="510">
        <v>279659.70688308566</v>
      </c>
      <c r="I18" s="517">
        <v>0</v>
      </c>
      <c r="J18" s="511"/>
      <c r="K18" s="518">
        <f t="shared" si="0"/>
        <v>279659.70688308566</v>
      </c>
      <c r="L18" s="519">
        <f t="shared" si="1"/>
        <v>0</v>
      </c>
      <c r="M18" s="518">
        <f t="shared" si="2"/>
        <v>279659.70688308566</v>
      </c>
      <c r="N18" s="514">
        <f t="shared" si="3"/>
        <v>0</v>
      </c>
      <c r="O18" s="514">
        <f t="shared" si="4"/>
        <v>0</v>
      </c>
      <c r="P18" s="272"/>
    </row>
    <row r="19" spans="2:16">
      <c r="B19" s="195" t="str">
        <f>IF(D19=F18,"","IU")</f>
        <v>IU</v>
      </c>
      <c r="C19" s="507">
        <f>IF(D11="","-",+C18+1)</f>
        <v>2012</v>
      </c>
      <c r="D19" s="515">
        <v>1568274.3016688062</v>
      </c>
      <c r="E19" s="516">
        <v>39023.142857142855</v>
      </c>
      <c r="F19" s="515">
        <v>1529251.1588116633</v>
      </c>
      <c r="G19" s="516">
        <v>266453.58939381945</v>
      </c>
      <c r="H19" s="510">
        <v>266453.58939381945</v>
      </c>
      <c r="I19" s="517">
        <v>0</v>
      </c>
      <c r="J19" s="511"/>
      <c r="K19" s="518">
        <f t="shared" si="0"/>
        <v>266453.58939381945</v>
      </c>
      <c r="L19" s="519">
        <f t="shared" si="1"/>
        <v>0</v>
      </c>
      <c r="M19" s="518">
        <f t="shared" si="2"/>
        <v>266453.58939381945</v>
      </c>
      <c r="N19" s="514">
        <f t="shared" si="3"/>
        <v>0</v>
      </c>
      <c r="O19" s="514">
        <f t="shared" si="4"/>
        <v>0</v>
      </c>
      <c r="P19" s="272"/>
    </row>
    <row r="20" spans="2:16">
      <c r="B20" s="195" t="str">
        <f t="shared" ref="B20:B72" si="5">IF(D20=F19,"","IU")</f>
        <v/>
      </c>
      <c r="C20" s="507">
        <f>IF(D11="","-",+C19+1)</f>
        <v>2013</v>
      </c>
      <c r="D20" s="608">
        <v>1529251.1588116633</v>
      </c>
      <c r="E20" s="609">
        <v>39023.142857142855</v>
      </c>
      <c r="F20" s="608">
        <v>1490228.0159545203</v>
      </c>
      <c r="G20" s="609">
        <v>247635.81443822815</v>
      </c>
      <c r="H20" s="610">
        <v>247635.81443822815</v>
      </c>
      <c r="I20" s="596">
        <v>0</v>
      </c>
      <c r="J20" s="511"/>
      <c r="K20" s="518">
        <f t="shared" si="0"/>
        <v>247635.81443822815</v>
      </c>
      <c r="L20" s="519">
        <f t="shared" ref="L20:L25" si="6">IF(K20&lt;&gt;0,+G20-K20,0)</f>
        <v>0</v>
      </c>
      <c r="M20" s="518">
        <f t="shared" si="2"/>
        <v>247635.81443822815</v>
      </c>
      <c r="N20" s="514">
        <f t="shared" ref="N20:N25" si="7">IF(M20&lt;&gt;0,+H20-M20,0)</f>
        <v>0</v>
      </c>
      <c r="O20" s="514">
        <f t="shared" ref="O20:O25" si="8">+N20-L20</f>
        <v>0</v>
      </c>
      <c r="P20" s="272"/>
    </row>
    <row r="21" spans="2:16">
      <c r="B21" s="195" t="str">
        <f t="shared" si="5"/>
        <v/>
      </c>
      <c r="C21" s="507">
        <f>IF(D12="","-",+C20+1)</f>
        <v>2014</v>
      </c>
      <c r="D21" s="608">
        <v>1490228.0159545203</v>
      </c>
      <c r="E21" s="609">
        <v>39023.142857142855</v>
      </c>
      <c r="F21" s="608">
        <v>1451204.8730973774</v>
      </c>
      <c r="G21" s="609">
        <v>234805.92986157897</v>
      </c>
      <c r="H21" s="610">
        <v>234805.92986157897</v>
      </c>
      <c r="I21" s="596">
        <v>0</v>
      </c>
      <c r="J21" s="511"/>
      <c r="K21" s="518">
        <f t="shared" si="0"/>
        <v>234805.92986157897</v>
      </c>
      <c r="L21" s="519">
        <f t="shared" si="6"/>
        <v>0</v>
      </c>
      <c r="M21" s="518">
        <f t="shared" si="2"/>
        <v>234805.92986157897</v>
      </c>
      <c r="N21" s="514">
        <f t="shared" si="7"/>
        <v>0</v>
      </c>
      <c r="O21" s="514">
        <f t="shared" si="8"/>
        <v>0</v>
      </c>
      <c r="P21" s="272"/>
    </row>
    <row r="22" spans="2:16">
      <c r="B22" s="195" t="str">
        <f t="shared" si="5"/>
        <v>IU</v>
      </c>
      <c r="C22" s="507">
        <f>IF(D11="","-",+C21+1)</f>
        <v>2015</v>
      </c>
      <c r="D22" s="608">
        <v>1455049.8730973776</v>
      </c>
      <c r="E22" s="609">
        <v>39114.690476190473</v>
      </c>
      <c r="F22" s="608">
        <v>1415935.1826211871</v>
      </c>
      <c r="G22" s="609">
        <v>225600.1518969718</v>
      </c>
      <c r="H22" s="610">
        <v>225600.1518969718</v>
      </c>
      <c r="I22" s="511">
        <v>0</v>
      </c>
      <c r="J22" s="511"/>
      <c r="K22" s="518">
        <f t="shared" si="0"/>
        <v>225600.1518969718</v>
      </c>
      <c r="L22" s="519">
        <f t="shared" si="6"/>
        <v>0</v>
      </c>
      <c r="M22" s="518">
        <f t="shared" si="2"/>
        <v>225600.1518969718</v>
      </c>
      <c r="N22" s="514">
        <f t="shared" si="7"/>
        <v>0</v>
      </c>
      <c r="O22" s="514">
        <f t="shared" si="8"/>
        <v>0</v>
      </c>
      <c r="P22" s="272"/>
    </row>
    <row r="23" spans="2:16">
      <c r="B23" s="195" t="str">
        <f t="shared" si="5"/>
        <v/>
      </c>
      <c r="C23" s="507">
        <f>IF(D11="","-",+C22+1)</f>
        <v>2016</v>
      </c>
      <c r="D23" s="608">
        <v>1415935.1826211871</v>
      </c>
      <c r="E23" s="609">
        <v>39114.690476190473</v>
      </c>
      <c r="F23" s="608">
        <v>1376820.4921449965</v>
      </c>
      <c r="G23" s="609">
        <v>218211.46569994657</v>
      </c>
      <c r="H23" s="610">
        <v>218211.46569994657</v>
      </c>
      <c r="I23" s="511">
        <f t="shared" ref="I23:I48" si="9">H23-G23</f>
        <v>0</v>
      </c>
      <c r="J23" s="511"/>
      <c r="K23" s="518">
        <f t="shared" ref="K23:K28" si="10">G23</f>
        <v>218211.46569994657</v>
      </c>
      <c r="L23" s="519">
        <f t="shared" si="6"/>
        <v>0</v>
      </c>
      <c r="M23" s="518">
        <f t="shared" ref="M23:M28" si="11">H23</f>
        <v>218211.46569994657</v>
      </c>
      <c r="N23" s="514">
        <f t="shared" si="7"/>
        <v>0</v>
      </c>
      <c r="O23" s="514">
        <f t="shared" si="8"/>
        <v>0</v>
      </c>
      <c r="P23" s="272"/>
    </row>
    <row r="24" spans="2:16">
      <c r="B24" s="195" t="str">
        <f t="shared" si="5"/>
        <v/>
      </c>
      <c r="C24" s="507">
        <f>IF(D11="","-",+C23+1)</f>
        <v>2017</v>
      </c>
      <c r="D24" s="608">
        <v>1376820.4921449965</v>
      </c>
      <c r="E24" s="609">
        <v>38205.046511627908</v>
      </c>
      <c r="F24" s="608">
        <v>1338615.4456333686</v>
      </c>
      <c r="G24" s="609">
        <v>206416.1656138415</v>
      </c>
      <c r="H24" s="610">
        <v>206416.1656138415</v>
      </c>
      <c r="I24" s="511">
        <f t="shared" si="9"/>
        <v>0</v>
      </c>
      <c r="J24" s="511"/>
      <c r="K24" s="518">
        <f t="shared" si="10"/>
        <v>206416.1656138415</v>
      </c>
      <c r="L24" s="519">
        <f t="shared" si="6"/>
        <v>0</v>
      </c>
      <c r="M24" s="518">
        <f t="shared" si="11"/>
        <v>206416.1656138415</v>
      </c>
      <c r="N24" s="514">
        <f t="shared" si="7"/>
        <v>0</v>
      </c>
      <c r="O24" s="514">
        <f t="shared" si="8"/>
        <v>0</v>
      </c>
      <c r="P24" s="272"/>
    </row>
    <row r="25" spans="2:16">
      <c r="B25" s="195" t="str">
        <f t="shared" si="5"/>
        <v/>
      </c>
      <c r="C25" s="507">
        <f>IF(D11="","-",+C24+1)</f>
        <v>2018</v>
      </c>
      <c r="D25" s="608">
        <v>1338615.4456333686</v>
      </c>
      <c r="E25" s="609">
        <v>40068.707317073167</v>
      </c>
      <c r="F25" s="608">
        <v>1298546.7383162954</v>
      </c>
      <c r="G25" s="609">
        <v>207652.58306545476</v>
      </c>
      <c r="H25" s="610">
        <v>207652.58306545476</v>
      </c>
      <c r="I25" s="511">
        <f t="shared" si="9"/>
        <v>0</v>
      </c>
      <c r="J25" s="511"/>
      <c r="K25" s="518">
        <f t="shared" si="10"/>
        <v>207652.58306545476</v>
      </c>
      <c r="L25" s="519">
        <f t="shared" si="6"/>
        <v>0</v>
      </c>
      <c r="M25" s="518">
        <f t="shared" si="11"/>
        <v>207652.58306545476</v>
      </c>
      <c r="N25" s="514">
        <f t="shared" si="7"/>
        <v>0</v>
      </c>
      <c r="O25" s="514">
        <f t="shared" si="8"/>
        <v>0</v>
      </c>
      <c r="P25" s="272"/>
    </row>
    <row r="26" spans="2:16">
      <c r="B26" s="195" t="str">
        <f t="shared" si="5"/>
        <v/>
      </c>
      <c r="C26" s="507">
        <f>IF(D11="","-",+C25+1)</f>
        <v>2019</v>
      </c>
      <c r="D26" s="608">
        <v>1298546.7383162954</v>
      </c>
      <c r="E26" s="609">
        <v>40068.707317073167</v>
      </c>
      <c r="F26" s="608">
        <v>1258478.0309992223</v>
      </c>
      <c r="G26" s="609">
        <v>202560.08681377117</v>
      </c>
      <c r="H26" s="610">
        <v>202560.08681377117</v>
      </c>
      <c r="I26" s="511">
        <f t="shared" si="9"/>
        <v>0</v>
      </c>
      <c r="J26" s="511"/>
      <c r="K26" s="518">
        <f t="shared" si="10"/>
        <v>202560.08681377117</v>
      </c>
      <c r="L26" s="519">
        <f t="shared" ref="L26" si="12">IF(K26&lt;&gt;0,+G26-K26,0)</f>
        <v>0</v>
      </c>
      <c r="M26" s="518">
        <f t="shared" si="11"/>
        <v>202560.08681377117</v>
      </c>
      <c r="N26" s="514">
        <f t="shared" si="3"/>
        <v>0</v>
      </c>
      <c r="O26" s="514">
        <f t="shared" si="4"/>
        <v>0</v>
      </c>
      <c r="P26" s="272"/>
    </row>
    <row r="27" spans="2:16">
      <c r="B27" s="195" t="str">
        <f t="shared" si="5"/>
        <v/>
      </c>
      <c r="C27" s="507">
        <f>IF(D11="","-",+C26+1)</f>
        <v>2020</v>
      </c>
      <c r="D27" s="608">
        <v>1258478.0309992223</v>
      </c>
      <c r="E27" s="609">
        <v>40068.707317073167</v>
      </c>
      <c r="F27" s="608">
        <v>1218409.3236821492</v>
      </c>
      <c r="G27" s="609">
        <v>166805.4048847931</v>
      </c>
      <c r="H27" s="610">
        <v>166805.4048847931</v>
      </c>
      <c r="I27" s="511">
        <f t="shared" si="9"/>
        <v>0</v>
      </c>
      <c r="J27" s="511"/>
      <c r="K27" s="518">
        <f t="shared" si="10"/>
        <v>166805.4048847931</v>
      </c>
      <c r="L27" s="519">
        <f t="shared" ref="L27" si="13">IF(K27&lt;&gt;0,+G27-K27,0)</f>
        <v>0</v>
      </c>
      <c r="M27" s="518">
        <f t="shared" si="11"/>
        <v>166805.4048847931</v>
      </c>
      <c r="N27" s="514">
        <f t="shared" si="3"/>
        <v>0</v>
      </c>
      <c r="O27" s="514">
        <f t="shared" si="4"/>
        <v>0</v>
      </c>
      <c r="P27" s="272"/>
    </row>
    <row r="28" spans="2:16">
      <c r="B28" s="195" t="str">
        <f t="shared" si="5"/>
        <v>IU</v>
      </c>
      <c r="C28" s="507">
        <f>IF(D11="","-",+C27+1)</f>
        <v>2021</v>
      </c>
      <c r="D28" s="608">
        <v>1220272.9844875946</v>
      </c>
      <c r="E28" s="609">
        <v>39114.690476190473</v>
      </c>
      <c r="F28" s="608">
        <v>1181158.294011404</v>
      </c>
      <c r="G28" s="609">
        <v>166396.00554039481</v>
      </c>
      <c r="H28" s="610">
        <v>166396.00554039481</v>
      </c>
      <c r="I28" s="511">
        <f t="shared" si="9"/>
        <v>0</v>
      </c>
      <c r="J28" s="511"/>
      <c r="K28" s="518">
        <f t="shared" si="10"/>
        <v>166396.00554039481</v>
      </c>
      <c r="L28" s="519">
        <f t="shared" ref="L28" si="14">IF(K28&lt;&gt;0,+G28-K28,0)</f>
        <v>0</v>
      </c>
      <c r="M28" s="518">
        <f t="shared" si="11"/>
        <v>166396.00554039481</v>
      </c>
      <c r="N28" s="514">
        <f t="shared" si="3"/>
        <v>0</v>
      </c>
      <c r="O28" s="514">
        <f t="shared" si="4"/>
        <v>0</v>
      </c>
      <c r="P28" s="272"/>
    </row>
    <row r="29" spans="2:16">
      <c r="B29" s="195" t="str">
        <f t="shared" si="5"/>
        <v>IU</v>
      </c>
      <c r="C29" s="507">
        <f>IF(D11="","-",+C28+1)</f>
        <v>2022</v>
      </c>
      <c r="D29" s="608">
        <v>1179294.6332059586</v>
      </c>
      <c r="E29" s="609">
        <v>39114.690476190473</v>
      </c>
      <c r="F29" s="608">
        <v>1140179.9427297681</v>
      </c>
      <c r="G29" s="609">
        <v>169520.30244335823</v>
      </c>
      <c r="H29" s="610">
        <v>169520.30244335823</v>
      </c>
      <c r="I29" s="511">
        <f t="shared" si="9"/>
        <v>0</v>
      </c>
      <c r="J29" s="511"/>
      <c r="K29" s="518">
        <f t="shared" ref="K29" si="15">G29</f>
        <v>169520.30244335823</v>
      </c>
      <c r="L29" s="519">
        <f t="shared" ref="L29" si="16">IF(K29&lt;&gt;0,+G29-K29,0)</f>
        <v>0</v>
      </c>
      <c r="M29" s="518">
        <f t="shared" ref="M29" si="17">H29</f>
        <v>169520.30244335823</v>
      </c>
      <c r="N29" s="514">
        <f t="shared" si="3"/>
        <v>0</v>
      </c>
      <c r="O29" s="514">
        <f t="shared" si="4"/>
        <v>0</v>
      </c>
      <c r="P29" s="272"/>
    </row>
    <row r="30" spans="2:16">
      <c r="B30" s="195" t="str">
        <f t="shared" si="5"/>
        <v/>
      </c>
      <c r="C30" s="507">
        <f>IF(D11="","-",+C29+1)</f>
        <v>2023</v>
      </c>
      <c r="D30" s="608">
        <v>1140179.9427297681</v>
      </c>
      <c r="E30" s="609">
        <v>39114.690476190473</v>
      </c>
      <c r="F30" s="608">
        <v>1101065.2522535776</v>
      </c>
      <c r="G30" s="609">
        <v>180679.34375469992</v>
      </c>
      <c r="H30" s="610">
        <v>180679.34375469992</v>
      </c>
      <c r="I30" s="511">
        <f t="shared" si="9"/>
        <v>0</v>
      </c>
      <c r="J30" s="511"/>
      <c r="K30" s="518">
        <f t="shared" ref="K30" si="18">G30</f>
        <v>180679.34375469992</v>
      </c>
      <c r="L30" s="519">
        <f t="shared" ref="L30" si="19">IF(K30&lt;&gt;0,+G30-K30,0)</f>
        <v>0</v>
      </c>
      <c r="M30" s="518">
        <f t="shared" ref="M30" si="20">H30</f>
        <v>180679.34375469992</v>
      </c>
      <c r="N30" s="514">
        <f t="shared" ref="N30" si="21">IF(M30&lt;&gt;0,+H30-M30,0)</f>
        <v>0</v>
      </c>
      <c r="O30" s="514">
        <f t="shared" ref="O30" si="22">+N30-L30</f>
        <v>0</v>
      </c>
      <c r="P30" s="272"/>
    </row>
    <row r="31" spans="2:16">
      <c r="B31" s="195" t="str">
        <f t="shared" si="5"/>
        <v/>
      </c>
      <c r="C31" s="673">
        <f>IF(D11="","-",+C30+1)</f>
        <v>2024</v>
      </c>
      <c r="D31" s="523">
        <f>IF(F30+SUM(E$17:E30)=D$10,F30,D$10-SUM(E$17:E30))</f>
        <v>1101065.2522535776</v>
      </c>
      <c r="E31" s="522">
        <f>IF(+I14&lt;F30,I14,D31)</f>
        <v>37336.75</v>
      </c>
      <c r="F31" s="523">
        <f t="shared" ref="F31:F48" si="23">+D31-E31</f>
        <v>1063728.5022535776</v>
      </c>
      <c r="G31" s="524">
        <f t="shared" ref="G31:G55" si="24">+I$12*((D31+F31)/2)+E31</f>
        <v>166712.5440494052</v>
      </c>
      <c r="H31" s="491">
        <f t="shared" ref="H31:H55" si="25">+I$13*((D31+F31)/2)+E31</f>
        <v>166712.5440494052</v>
      </c>
      <c r="I31" s="511">
        <f t="shared" si="9"/>
        <v>0</v>
      </c>
      <c r="J31" s="511"/>
      <c r="K31" s="525"/>
      <c r="L31" s="514">
        <f t="shared" si="1"/>
        <v>0</v>
      </c>
      <c r="M31" s="525"/>
      <c r="N31" s="514">
        <f t="shared" si="3"/>
        <v>0</v>
      </c>
      <c r="O31" s="514">
        <f t="shared" si="4"/>
        <v>0</v>
      </c>
      <c r="P31" s="272"/>
    </row>
    <row r="32" spans="2:16">
      <c r="B32" s="195" t="str">
        <f t="shared" si="5"/>
        <v/>
      </c>
      <c r="C32" s="507">
        <f>IF(D11="","-",+C31+1)</f>
        <v>2025</v>
      </c>
      <c r="D32" s="523">
        <f>IF(F31+SUM(E$17:E31)=D$10,F31,D$10-SUM(E$17:E31))</f>
        <v>1063728.5022535776</v>
      </c>
      <c r="E32" s="522">
        <f>IF(+I14&lt;F31,I14,D32)</f>
        <v>37336.75</v>
      </c>
      <c r="F32" s="523">
        <f t="shared" si="23"/>
        <v>1026391.7522535776</v>
      </c>
      <c r="G32" s="524">
        <f t="shared" si="24"/>
        <v>162249.78941662141</v>
      </c>
      <c r="H32" s="491">
        <f t="shared" si="25"/>
        <v>162249.78941662141</v>
      </c>
      <c r="I32" s="511">
        <f t="shared" si="9"/>
        <v>0</v>
      </c>
      <c r="J32" s="511"/>
      <c r="K32" s="525"/>
      <c r="L32" s="514">
        <f t="shared" si="1"/>
        <v>0</v>
      </c>
      <c r="M32" s="525"/>
      <c r="N32" s="514">
        <f t="shared" si="3"/>
        <v>0</v>
      </c>
      <c r="O32" s="514">
        <f t="shared" si="4"/>
        <v>0</v>
      </c>
      <c r="P32" s="272"/>
    </row>
    <row r="33" spans="2:16">
      <c r="B33" s="195" t="str">
        <f t="shared" si="5"/>
        <v/>
      </c>
      <c r="C33" s="507">
        <f>IF(D11="","-",+C32+1)</f>
        <v>2026</v>
      </c>
      <c r="D33" s="523">
        <f>IF(F32+SUM(E$17:E32)=D$10,F32,D$10-SUM(E$17:E32))</f>
        <v>1026391.7522535776</v>
      </c>
      <c r="E33" s="522">
        <f>IF(+I14&lt;F32,I14,D33)</f>
        <v>37336.75</v>
      </c>
      <c r="F33" s="523">
        <f t="shared" si="23"/>
        <v>989055.00225357758</v>
      </c>
      <c r="G33" s="524">
        <f t="shared" si="24"/>
        <v>157787.03478383759</v>
      </c>
      <c r="H33" s="491">
        <f t="shared" si="25"/>
        <v>157787.03478383759</v>
      </c>
      <c r="I33" s="511">
        <f t="shared" si="9"/>
        <v>0</v>
      </c>
      <c r="J33" s="511"/>
      <c r="K33" s="525"/>
      <c r="L33" s="514">
        <f t="shared" si="1"/>
        <v>0</v>
      </c>
      <c r="M33" s="525"/>
      <c r="N33" s="514">
        <f t="shared" si="3"/>
        <v>0</v>
      </c>
      <c r="O33" s="514">
        <f t="shared" si="4"/>
        <v>0</v>
      </c>
      <c r="P33" s="272"/>
    </row>
    <row r="34" spans="2:16">
      <c r="B34" s="195" t="str">
        <f t="shared" si="5"/>
        <v/>
      </c>
      <c r="C34" s="507">
        <f>IF(D11="","-",+C33+1)</f>
        <v>2027</v>
      </c>
      <c r="D34" s="523">
        <f>IF(F33+SUM(E$17:E33)=D$10,F33,D$10-SUM(E$17:E33))</f>
        <v>989055.00225357758</v>
      </c>
      <c r="E34" s="522">
        <f>IF(+I14&lt;F33,I14,D34)</f>
        <v>37336.75</v>
      </c>
      <c r="F34" s="523">
        <f t="shared" si="23"/>
        <v>951718.25225357758</v>
      </c>
      <c r="G34" s="524">
        <f t="shared" si="24"/>
        <v>153324.2801510538</v>
      </c>
      <c r="H34" s="491">
        <f t="shared" si="25"/>
        <v>153324.2801510538</v>
      </c>
      <c r="I34" s="511">
        <f t="shared" si="9"/>
        <v>0</v>
      </c>
      <c r="J34" s="511"/>
      <c r="K34" s="525"/>
      <c r="L34" s="514">
        <f t="shared" si="1"/>
        <v>0</v>
      </c>
      <c r="M34" s="525"/>
      <c r="N34" s="514">
        <f t="shared" si="3"/>
        <v>0</v>
      </c>
      <c r="O34" s="514">
        <f t="shared" si="4"/>
        <v>0</v>
      </c>
      <c r="P34" s="272"/>
    </row>
    <row r="35" spans="2:16">
      <c r="B35" s="195" t="str">
        <f t="shared" si="5"/>
        <v/>
      </c>
      <c r="C35" s="507">
        <f>IF(D11="","-",+C34+1)</f>
        <v>2028</v>
      </c>
      <c r="D35" s="523">
        <f>IF(F34+SUM(E$17:E34)=D$10,F34,D$10-SUM(E$17:E34))</f>
        <v>951718.25225357758</v>
      </c>
      <c r="E35" s="522">
        <f>IF(+I14&lt;F34,I14,D35)</f>
        <v>37336.75</v>
      </c>
      <c r="F35" s="523">
        <f t="shared" si="23"/>
        <v>914381.50225357758</v>
      </c>
      <c r="G35" s="524">
        <f t="shared" si="24"/>
        <v>148861.52551826998</v>
      </c>
      <c r="H35" s="491">
        <f t="shared" si="25"/>
        <v>148861.52551826998</v>
      </c>
      <c r="I35" s="511">
        <f t="shared" si="9"/>
        <v>0</v>
      </c>
      <c r="J35" s="511"/>
      <c r="K35" s="525"/>
      <c r="L35" s="514">
        <f t="shared" si="1"/>
        <v>0</v>
      </c>
      <c r="M35" s="525"/>
      <c r="N35" s="514">
        <f t="shared" si="3"/>
        <v>0</v>
      </c>
      <c r="O35" s="514">
        <f t="shared" si="4"/>
        <v>0</v>
      </c>
      <c r="P35" s="272"/>
    </row>
    <row r="36" spans="2:16">
      <c r="B36" s="195" t="str">
        <f t="shared" si="5"/>
        <v/>
      </c>
      <c r="C36" s="507">
        <f>IF(D11="","-",+C35+1)</f>
        <v>2029</v>
      </c>
      <c r="D36" s="523">
        <f>IF(F35+SUM(E$17:E35)=D$10,F35,D$10-SUM(E$17:E35))</f>
        <v>914381.50225357758</v>
      </c>
      <c r="E36" s="522">
        <f>IF(+I14&lt;F35,I14,D36)</f>
        <v>37336.75</v>
      </c>
      <c r="F36" s="523">
        <f t="shared" si="23"/>
        <v>877044.75225357758</v>
      </c>
      <c r="G36" s="524">
        <f t="shared" si="24"/>
        <v>144398.77088548616</v>
      </c>
      <c r="H36" s="491">
        <f t="shared" si="25"/>
        <v>144398.77088548616</v>
      </c>
      <c r="I36" s="511">
        <f t="shared" si="9"/>
        <v>0</v>
      </c>
      <c r="J36" s="511"/>
      <c r="K36" s="525"/>
      <c r="L36" s="514">
        <f t="shared" si="1"/>
        <v>0</v>
      </c>
      <c r="M36" s="525"/>
      <c r="N36" s="514">
        <f t="shared" si="3"/>
        <v>0</v>
      </c>
      <c r="O36" s="514">
        <f t="shared" si="4"/>
        <v>0</v>
      </c>
      <c r="P36" s="272"/>
    </row>
    <row r="37" spans="2:16">
      <c r="B37" s="195" t="str">
        <f t="shared" si="5"/>
        <v/>
      </c>
      <c r="C37" s="507">
        <f>IF(D11="","-",+C36+1)</f>
        <v>2030</v>
      </c>
      <c r="D37" s="523">
        <f>IF(F36+SUM(E$17:E36)=D$10,F36,D$10-SUM(E$17:E36))</f>
        <v>877044.75225357758</v>
      </c>
      <c r="E37" s="522">
        <f>IF(+I14&lt;F36,I14,D37)</f>
        <v>37336.75</v>
      </c>
      <c r="F37" s="523">
        <f t="shared" si="23"/>
        <v>839708.00225357758</v>
      </c>
      <c r="G37" s="524">
        <f t="shared" si="24"/>
        <v>139936.01625270236</v>
      </c>
      <c r="H37" s="491">
        <f t="shared" si="25"/>
        <v>139936.01625270236</v>
      </c>
      <c r="I37" s="511">
        <f t="shared" si="9"/>
        <v>0</v>
      </c>
      <c r="J37" s="511"/>
      <c r="K37" s="525"/>
      <c r="L37" s="514">
        <f t="shared" si="1"/>
        <v>0</v>
      </c>
      <c r="M37" s="525"/>
      <c r="N37" s="514">
        <f t="shared" si="3"/>
        <v>0</v>
      </c>
      <c r="O37" s="514">
        <f t="shared" si="4"/>
        <v>0</v>
      </c>
      <c r="P37" s="272"/>
    </row>
    <row r="38" spans="2:16">
      <c r="B38" s="195" t="str">
        <f t="shared" si="5"/>
        <v/>
      </c>
      <c r="C38" s="507">
        <f>IF(D11="","-",+C37+1)</f>
        <v>2031</v>
      </c>
      <c r="D38" s="523">
        <f>IF(F37+SUM(E$17:E37)=D$10,F37,D$10-SUM(E$17:E37))</f>
        <v>839708.00225357758</v>
      </c>
      <c r="E38" s="522">
        <f>IF(+I14&lt;F37,I14,D38)</f>
        <v>37336.75</v>
      </c>
      <c r="F38" s="523">
        <f t="shared" si="23"/>
        <v>802371.25225357758</v>
      </c>
      <c r="G38" s="524">
        <f t="shared" si="24"/>
        <v>135473.26161991857</v>
      </c>
      <c r="H38" s="491">
        <f t="shared" si="25"/>
        <v>135473.26161991857</v>
      </c>
      <c r="I38" s="511">
        <f t="shared" si="9"/>
        <v>0</v>
      </c>
      <c r="J38" s="511"/>
      <c r="K38" s="525"/>
      <c r="L38" s="514">
        <f t="shared" si="1"/>
        <v>0</v>
      </c>
      <c r="M38" s="525"/>
      <c r="N38" s="514">
        <f t="shared" si="3"/>
        <v>0</v>
      </c>
      <c r="O38" s="514">
        <f t="shared" si="4"/>
        <v>0</v>
      </c>
      <c r="P38" s="272"/>
    </row>
    <row r="39" spans="2:16">
      <c r="B39" s="195" t="str">
        <f t="shared" si="5"/>
        <v/>
      </c>
      <c r="C39" s="507">
        <f>IF(D11="","-",+C38+1)</f>
        <v>2032</v>
      </c>
      <c r="D39" s="523">
        <f>IF(F38+SUM(E$17:E38)=D$10,F38,D$10-SUM(E$17:E38))</f>
        <v>802371.25225357758</v>
      </c>
      <c r="E39" s="522">
        <f>IF(+I14&lt;F38,I14,D39)</f>
        <v>37336.75</v>
      </c>
      <c r="F39" s="523">
        <f t="shared" si="23"/>
        <v>765034.50225357758</v>
      </c>
      <c r="G39" s="524">
        <f t="shared" si="24"/>
        <v>131010.50698713475</v>
      </c>
      <c r="H39" s="491">
        <f t="shared" si="25"/>
        <v>131010.50698713475</v>
      </c>
      <c r="I39" s="511">
        <f t="shared" si="9"/>
        <v>0</v>
      </c>
      <c r="J39" s="511"/>
      <c r="K39" s="525"/>
      <c r="L39" s="514">
        <f t="shared" si="1"/>
        <v>0</v>
      </c>
      <c r="M39" s="525"/>
      <c r="N39" s="514">
        <f t="shared" si="3"/>
        <v>0</v>
      </c>
      <c r="O39" s="514">
        <f t="shared" si="4"/>
        <v>0</v>
      </c>
      <c r="P39" s="272"/>
    </row>
    <row r="40" spans="2:16">
      <c r="B40" s="195" t="str">
        <f t="shared" si="5"/>
        <v/>
      </c>
      <c r="C40" s="507">
        <f>IF(D11="","-",+C39+1)</f>
        <v>2033</v>
      </c>
      <c r="D40" s="523">
        <f>IF(F39+SUM(E$17:E39)=D$10,F39,D$10-SUM(E$17:E39))</f>
        <v>765034.50225357758</v>
      </c>
      <c r="E40" s="522">
        <f>IF(+I14&lt;F39,I14,D40)</f>
        <v>37336.75</v>
      </c>
      <c r="F40" s="523">
        <f t="shared" si="23"/>
        <v>727697.75225357758</v>
      </c>
      <c r="G40" s="524">
        <f t="shared" si="24"/>
        <v>126547.75235435095</v>
      </c>
      <c r="H40" s="491">
        <f t="shared" si="25"/>
        <v>126547.75235435095</v>
      </c>
      <c r="I40" s="511">
        <f t="shared" si="9"/>
        <v>0</v>
      </c>
      <c r="J40" s="511"/>
      <c r="K40" s="525"/>
      <c r="L40" s="514">
        <f t="shared" si="1"/>
        <v>0</v>
      </c>
      <c r="M40" s="525"/>
      <c r="N40" s="514">
        <f t="shared" si="3"/>
        <v>0</v>
      </c>
      <c r="O40" s="514">
        <f t="shared" si="4"/>
        <v>0</v>
      </c>
      <c r="P40" s="272"/>
    </row>
    <row r="41" spans="2:16">
      <c r="B41" s="195" t="str">
        <f t="shared" si="5"/>
        <v/>
      </c>
      <c r="C41" s="507">
        <f>IF(D11="","-",+C40+1)</f>
        <v>2034</v>
      </c>
      <c r="D41" s="523">
        <f>IF(F40+SUM(E$17:E40)=D$10,F40,D$10-SUM(E$17:E40))</f>
        <v>727697.75225357758</v>
      </c>
      <c r="E41" s="522">
        <f>IF(+I14&lt;F40,I14,D41)</f>
        <v>37336.75</v>
      </c>
      <c r="F41" s="523">
        <f t="shared" si="23"/>
        <v>690361.00225357758</v>
      </c>
      <c r="G41" s="524">
        <f t="shared" si="24"/>
        <v>122084.99772156714</v>
      </c>
      <c r="H41" s="491">
        <f t="shared" si="25"/>
        <v>122084.99772156714</v>
      </c>
      <c r="I41" s="511">
        <f t="shared" si="9"/>
        <v>0</v>
      </c>
      <c r="J41" s="511"/>
      <c r="K41" s="525"/>
      <c r="L41" s="514">
        <f t="shared" si="1"/>
        <v>0</v>
      </c>
      <c r="M41" s="525"/>
      <c r="N41" s="514">
        <f t="shared" si="3"/>
        <v>0</v>
      </c>
      <c r="O41" s="514">
        <f t="shared" si="4"/>
        <v>0</v>
      </c>
      <c r="P41" s="272"/>
    </row>
    <row r="42" spans="2:16">
      <c r="B42" s="195" t="str">
        <f t="shared" si="5"/>
        <v/>
      </c>
      <c r="C42" s="507">
        <f>IF(D11="","-",+C41+1)</f>
        <v>2035</v>
      </c>
      <c r="D42" s="523">
        <f>IF(F41+SUM(E$17:E41)=D$10,F41,D$10-SUM(E$17:E41))</f>
        <v>690361.00225357758</v>
      </c>
      <c r="E42" s="522">
        <f>IF(+I14&lt;F41,I14,D42)</f>
        <v>37336.75</v>
      </c>
      <c r="F42" s="523">
        <f t="shared" si="23"/>
        <v>653024.25225357758</v>
      </c>
      <c r="G42" s="524">
        <f t="shared" si="24"/>
        <v>117622.24308878332</v>
      </c>
      <c r="H42" s="491">
        <f t="shared" si="25"/>
        <v>117622.24308878332</v>
      </c>
      <c r="I42" s="511">
        <f t="shared" si="9"/>
        <v>0</v>
      </c>
      <c r="J42" s="511"/>
      <c r="K42" s="525"/>
      <c r="L42" s="514">
        <f t="shared" si="1"/>
        <v>0</v>
      </c>
      <c r="M42" s="525"/>
      <c r="N42" s="514">
        <f t="shared" si="3"/>
        <v>0</v>
      </c>
      <c r="O42" s="514">
        <f t="shared" si="4"/>
        <v>0</v>
      </c>
      <c r="P42" s="272"/>
    </row>
    <row r="43" spans="2:16">
      <c r="B43" s="195" t="str">
        <f t="shared" si="5"/>
        <v/>
      </c>
      <c r="C43" s="507">
        <f>IF(D11="","-",+C42+1)</f>
        <v>2036</v>
      </c>
      <c r="D43" s="523">
        <f>IF(F42+SUM(E$17:E42)=D$10,F42,D$10-SUM(E$17:E42))</f>
        <v>653024.25225357758</v>
      </c>
      <c r="E43" s="522">
        <f>IF(+I14&lt;F42,I14,D43)</f>
        <v>37336.75</v>
      </c>
      <c r="F43" s="523">
        <f t="shared" si="23"/>
        <v>615687.50225357758</v>
      </c>
      <c r="G43" s="524">
        <f t="shared" si="24"/>
        <v>113159.48845599951</v>
      </c>
      <c r="H43" s="491">
        <f t="shared" si="25"/>
        <v>113159.48845599951</v>
      </c>
      <c r="I43" s="511">
        <f t="shared" si="9"/>
        <v>0</v>
      </c>
      <c r="J43" s="511"/>
      <c r="K43" s="525"/>
      <c r="L43" s="514">
        <f t="shared" si="1"/>
        <v>0</v>
      </c>
      <c r="M43" s="525"/>
      <c r="N43" s="514">
        <f t="shared" si="3"/>
        <v>0</v>
      </c>
      <c r="O43" s="514">
        <f t="shared" si="4"/>
        <v>0</v>
      </c>
      <c r="P43" s="272"/>
    </row>
    <row r="44" spans="2:16">
      <c r="B44" s="195" t="str">
        <f t="shared" si="5"/>
        <v/>
      </c>
      <c r="C44" s="507">
        <f>IF(D11="","-",+C43+1)</f>
        <v>2037</v>
      </c>
      <c r="D44" s="523">
        <f>IF(F43+SUM(E$17:E43)=D$10,F43,D$10-SUM(E$17:E43))</f>
        <v>615687.50225357758</v>
      </c>
      <c r="E44" s="522">
        <f>IF(+I14&lt;F43,I14,D44)</f>
        <v>37336.75</v>
      </c>
      <c r="F44" s="523">
        <f t="shared" si="23"/>
        <v>578350.75225357758</v>
      </c>
      <c r="G44" s="524">
        <f t="shared" si="24"/>
        <v>108696.73382321571</v>
      </c>
      <c r="H44" s="491">
        <f t="shared" si="25"/>
        <v>108696.73382321571</v>
      </c>
      <c r="I44" s="511">
        <f t="shared" si="9"/>
        <v>0</v>
      </c>
      <c r="J44" s="511"/>
      <c r="K44" s="525"/>
      <c r="L44" s="514">
        <f t="shared" si="1"/>
        <v>0</v>
      </c>
      <c r="M44" s="525"/>
      <c r="N44" s="514">
        <f t="shared" si="3"/>
        <v>0</v>
      </c>
      <c r="O44" s="514">
        <f t="shared" si="4"/>
        <v>0</v>
      </c>
      <c r="P44" s="272"/>
    </row>
    <row r="45" spans="2:16">
      <c r="B45" s="195" t="str">
        <f t="shared" si="5"/>
        <v/>
      </c>
      <c r="C45" s="507">
        <f>IF(D11="","-",+C44+1)</f>
        <v>2038</v>
      </c>
      <c r="D45" s="523">
        <f>IF(F44+SUM(E$17:E44)=D$10,F44,D$10-SUM(E$17:E44))</f>
        <v>578350.75225357758</v>
      </c>
      <c r="E45" s="522">
        <f>IF(+I14&lt;F44,I14,D45)</f>
        <v>37336.75</v>
      </c>
      <c r="F45" s="523">
        <f t="shared" si="23"/>
        <v>541014.00225357758</v>
      </c>
      <c r="G45" s="524">
        <f t="shared" si="24"/>
        <v>104233.9791904319</v>
      </c>
      <c r="H45" s="491">
        <f t="shared" si="25"/>
        <v>104233.9791904319</v>
      </c>
      <c r="I45" s="511">
        <f t="shared" si="9"/>
        <v>0</v>
      </c>
      <c r="J45" s="511"/>
      <c r="K45" s="525"/>
      <c r="L45" s="514">
        <f t="shared" si="1"/>
        <v>0</v>
      </c>
      <c r="M45" s="525"/>
      <c r="N45" s="514">
        <f t="shared" si="3"/>
        <v>0</v>
      </c>
      <c r="O45" s="514">
        <f t="shared" si="4"/>
        <v>0</v>
      </c>
      <c r="P45" s="272"/>
    </row>
    <row r="46" spans="2:16">
      <c r="B46" s="195" t="str">
        <f t="shared" si="5"/>
        <v/>
      </c>
      <c r="C46" s="507">
        <f>IF(D11="","-",+C45+1)</f>
        <v>2039</v>
      </c>
      <c r="D46" s="523">
        <f>IF(F45+SUM(E$17:E45)=D$10,F45,D$10-SUM(E$17:E45))</f>
        <v>541014.00225357758</v>
      </c>
      <c r="E46" s="522">
        <f>IF(+I14&lt;F45,I14,D46)</f>
        <v>37336.75</v>
      </c>
      <c r="F46" s="523">
        <f t="shared" si="23"/>
        <v>503677.25225357758</v>
      </c>
      <c r="G46" s="524">
        <f t="shared" si="24"/>
        <v>99771.224557648093</v>
      </c>
      <c r="H46" s="491">
        <f t="shared" si="25"/>
        <v>99771.224557648093</v>
      </c>
      <c r="I46" s="511">
        <f t="shared" si="9"/>
        <v>0</v>
      </c>
      <c r="J46" s="511"/>
      <c r="K46" s="525"/>
      <c r="L46" s="514">
        <f t="shared" si="1"/>
        <v>0</v>
      </c>
      <c r="M46" s="525"/>
      <c r="N46" s="514">
        <f t="shared" si="3"/>
        <v>0</v>
      </c>
      <c r="O46" s="514">
        <f t="shared" si="4"/>
        <v>0</v>
      </c>
      <c r="P46" s="272"/>
    </row>
    <row r="47" spans="2:16">
      <c r="B47" s="195" t="str">
        <f t="shared" si="5"/>
        <v/>
      </c>
      <c r="C47" s="507">
        <f>IF(D11="","-",+C46+1)</f>
        <v>2040</v>
      </c>
      <c r="D47" s="523">
        <f>IF(F46+SUM(E$17:E46)=D$10,F46,D$10-SUM(E$17:E46))</f>
        <v>503677.25225357758</v>
      </c>
      <c r="E47" s="522">
        <f>IF(+I14&lt;F46,I14,D47)</f>
        <v>37336.75</v>
      </c>
      <c r="F47" s="523">
        <f t="shared" si="23"/>
        <v>466340.50225357758</v>
      </c>
      <c r="G47" s="524">
        <f t="shared" si="24"/>
        <v>95308.469924864286</v>
      </c>
      <c r="H47" s="491">
        <f t="shared" si="25"/>
        <v>95308.469924864286</v>
      </c>
      <c r="I47" s="511">
        <f t="shared" si="9"/>
        <v>0</v>
      </c>
      <c r="J47" s="511"/>
      <c r="K47" s="525"/>
      <c r="L47" s="514">
        <f t="shared" si="1"/>
        <v>0</v>
      </c>
      <c r="M47" s="525"/>
      <c r="N47" s="514">
        <f t="shared" si="3"/>
        <v>0</v>
      </c>
      <c r="O47" s="514">
        <f t="shared" si="4"/>
        <v>0</v>
      </c>
      <c r="P47" s="272"/>
    </row>
    <row r="48" spans="2:16">
      <c r="B48" s="195" t="str">
        <f t="shared" si="5"/>
        <v/>
      </c>
      <c r="C48" s="507">
        <f>IF(D11="","-",+C47+1)</f>
        <v>2041</v>
      </c>
      <c r="D48" s="523">
        <f>IF(F47+SUM(E$17:E47)=D$10,F47,D$10-SUM(E$17:E47))</f>
        <v>466340.50225357758</v>
      </c>
      <c r="E48" s="522">
        <f>IF(+I14&lt;F47,I14,D48)</f>
        <v>37336.75</v>
      </c>
      <c r="F48" s="523">
        <f t="shared" si="23"/>
        <v>429003.75225357758</v>
      </c>
      <c r="G48" s="524">
        <f t="shared" si="24"/>
        <v>90845.71529208048</v>
      </c>
      <c r="H48" s="491">
        <f t="shared" si="25"/>
        <v>90845.71529208048</v>
      </c>
      <c r="I48" s="511">
        <f t="shared" si="9"/>
        <v>0</v>
      </c>
      <c r="J48" s="511"/>
      <c r="K48" s="525"/>
      <c r="L48" s="514">
        <f t="shared" si="1"/>
        <v>0</v>
      </c>
      <c r="M48" s="525"/>
      <c r="N48" s="514">
        <f t="shared" si="3"/>
        <v>0</v>
      </c>
      <c r="O48" s="514">
        <f t="shared" si="4"/>
        <v>0</v>
      </c>
      <c r="P48" s="272"/>
    </row>
    <row r="49" spans="2:17">
      <c r="B49" s="195" t="str">
        <f t="shared" si="5"/>
        <v/>
      </c>
      <c r="C49" s="507">
        <f>IF(D11="","-",+C48+1)</f>
        <v>2042</v>
      </c>
      <c r="D49" s="523">
        <f>IF(F48+SUM(E$17:E48)=D$10,F48,D$10-SUM(E$17:E48))</f>
        <v>429003.75225357758</v>
      </c>
      <c r="E49" s="522">
        <f>IF(+I14&lt;F48,I14,D49)</f>
        <v>37336.75</v>
      </c>
      <c r="F49" s="523">
        <f t="shared" ref="F49:F72" si="26">+D49-E49</f>
        <v>391667.00225357758</v>
      </c>
      <c r="G49" s="524">
        <f t="shared" si="24"/>
        <v>86382.960659296659</v>
      </c>
      <c r="H49" s="491">
        <f t="shared" si="25"/>
        <v>86382.960659296659</v>
      </c>
      <c r="I49" s="511">
        <f t="shared" ref="I49:I72" si="27">H49-G49</f>
        <v>0</v>
      </c>
      <c r="J49" s="511"/>
      <c r="K49" s="525"/>
      <c r="L49" s="514">
        <f t="shared" ref="L49:L72" si="28">IF(K49&lt;&gt;0,+G49-K49,0)</f>
        <v>0</v>
      </c>
      <c r="M49" s="525"/>
      <c r="N49" s="514">
        <f t="shared" ref="N49:N72" si="29">IF(M49&lt;&gt;0,+H49-M49,0)</f>
        <v>0</v>
      </c>
      <c r="O49" s="514">
        <f t="shared" ref="O49:O72" si="30">+N49-L49</f>
        <v>0</v>
      </c>
      <c r="P49" s="272"/>
    </row>
    <row r="50" spans="2:17">
      <c r="B50" s="195" t="str">
        <f t="shared" si="5"/>
        <v/>
      </c>
      <c r="C50" s="507">
        <f>IF(D11="","-",+C49+1)</f>
        <v>2043</v>
      </c>
      <c r="D50" s="523">
        <f>IF(F49+SUM(E$17:E49)=D$10,F49,D$10-SUM(E$17:E49))</f>
        <v>391667.00225357758</v>
      </c>
      <c r="E50" s="522">
        <f>IF(+I14&lt;F49,I14,D50)</f>
        <v>37336.75</v>
      </c>
      <c r="F50" s="523">
        <f t="shared" si="26"/>
        <v>354330.25225357758</v>
      </c>
      <c r="G50" s="524">
        <f t="shared" si="24"/>
        <v>81920.206026512868</v>
      </c>
      <c r="H50" s="491">
        <f t="shared" si="25"/>
        <v>81920.206026512868</v>
      </c>
      <c r="I50" s="511">
        <f t="shared" si="27"/>
        <v>0</v>
      </c>
      <c r="J50" s="511"/>
      <c r="K50" s="525"/>
      <c r="L50" s="514">
        <f t="shared" si="28"/>
        <v>0</v>
      </c>
      <c r="M50" s="525"/>
      <c r="N50" s="514">
        <f t="shared" si="29"/>
        <v>0</v>
      </c>
      <c r="O50" s="514">
        <f t="shared" si="30"/>
        <v>0</v>
      </c>
      <c r="P50" s="272"/>
    </row>
    <row r="51" spans="2:17">
      <c r="B51" s="195" t="str">
        <f t="shared" si="5"/>
        <v/>
      </c>
      <c r="C51" s="507">
        <f>IF(D11="","-",+C50+1)</f>
        <v>2044</v>
      </c>
      <c r="D51" s="523">
        <f>IF(F50+SUM(E$17:E50)=D$10,F50,D$10-SUM(E$17:E50))</f>
        <v>354330.25225357758</v>
      </c>
      <c r="E51" s="522">
        <f>IF(+I14&lt;F50,I14,D51)</f>
        <v>37336.75</v>
      </c>
      <c r="F51" s="523">
        <f t="shared" si="26"/>
        <v>316993.50225357758</v>
      </c>
      <c r="G51" s="524">
        <f t="shared" si="24"/>
        <v>77457.451393729047</v>
      </c>
      <c r="H51" s="491">
        <f t="shared" si="25"/>
        <v>77457.451393729047</v>
      </c>
      <c r="I51" s="511">
        <f t="shared" si="27"/>
        <v>0</v>
      </c>
      <c r="J51" s="511"/>
      <c r="K51" s="525"/>
      <c r="L51" s="514">
        <f t="shared" si="28"/>
        <v>0</v>
      </c>
      <c r="M51" s="525"/>
      <c r="N51" s="514">
        <f t="shared" si="29"/>
        <v>0</v>
      </c>
      <c r="O51" s="514">
        <f t="shared" si="30"/>
        <v>0</v>
      </c>
      <c r="P51" s="272"/>
    </row>
    <row r="52" spans="2:17">
      <c r="B52" s="195" t="str">
        <f t="shared" si="5"/>
        <v/>
      </c>
      <c r="C52" s="507">
        <f>IF(D11="","-",+C51+1)</f>
        <v>2045</v>
      </c>
      <c r="D52" s="523">
        <f>IF(F51+SUM(E$17:E51)=D$10,F51,D$10-SUM(E$17:E51))</f>
        <v>316993.50225357758</v>
      </c>
      <c r="E52" s="522">
        <f>IF(+I14&lt;F51,I14,D52)</f>
        <v>37336.75</v>
      </c>
      <c r="F52" s="523">
        <f t="shared" si="26"/>
        <v>279656.75225357758</v>
      </c>
      <c r="G52" s="524">
        <f t="shared" si="24"/>
        <v>72994.696760945255</v>
      </c>
      <c r="H52" s="491">
        <f t="shared" si="25"/>
        <v>72994.696760945255</v>
      </c>
      <c r="I52" s="511">
        <f t="shared" si="27"/>
        <v>0</v>
      </c>
      <c r="J52" s="511"/>
      <c r="K52" s="525"/>
      <c r="L52" s="514">
        <f t="shared" si="28"/>
        <v>0</v>
      </c>
      <c r="M52" s="525"/>
      <c r="N52" s="514">
        <f t="shared" si="29"/>
        <v>0</v>
      </c>
      <c r="O52" s="514">
        <f t="shared" si="30"/>
        <v>0</v>
      </c>
      <c r="P52" s="272"/>
    </row>
    <row r="53" spans="2:17">
      <c r="B53" s="195" t="str">
        <f t="shared" si="5"/>
        <v/>
      </c>
      <c r="C53" s="507">
        <f>IF(D11="","-",+C52+1)</f>
        <v>2046</v>
      </c>
      <c r="D53" s="523">
        <f>IF(F52+SUM(E$17:E52)=D$10,F52,D$10-SUM(E$17:E52))</f>
        <v>279656.75225357758</v>
      </c>
      <c r="E53" s="522">
        <f>IF(+I14&lt;F52,I14,D53)</f>
        <v>37336.75</v>
      </c>
      <c r="F53" s="523">
        <f t="shared" si="26"/>
        <v>242320.00225357758</v>
      </c>
      <c r="G53" s="524">
        <f t="shared" si="24"/>
        <v>68531.942128161434</v>
      </c>
      <c r="H53" s="491">
        <f t="shared" si="25"/>
        <v>68531.942128161434</v>
      </c>
      <c r="I53" s="511">
        <f t="shared" si="27"/>
        <v>0</v>
      </c>
      <c r="J53" s="511"/>
      <c r="K53" s="525"/>
      <c r="L53" s="514">
        <f t="shared" si="28"/>
        <v>0</v>
      </c>
      <c r="M53" s="525"/>
      <c r="N53" s="514">
        <f t="shared" si="29"/>
        <v>0</v>
      </c>
      <c r="O53" s="514">
        <f t="shared" si="30"/>
        <v>0</v>
      </c>
      <c r="P53" s="272"/>
    </row>
    <row r="54" spans="2:17">
      <c r="B54" s="195" t="str">
        <f t="shared" si="5"/>
        <v/>
      </c>
      <c r="C54" s="507">
        <f>IF(D11="","-",+C53+1)</f>
        <v>2047</v>
      </c>
      <c r="D54" s="523">
        <f>IF(F53+SUM(E$17:E53)=D$10,F53,D$10-SUM(E$17:E53))</f>
        <v>242320.00225357758</v>
      </c>
      <c r="E54" s="522">
        <f>IF(+I14&lt;F53,I14,D54)</f>
        <v>37336.75</v>
      </c>
      <c r="F54" s="523">
        <f t="shared" si="26"/>
        <v>204983.25225357758</v>
      </c>
      <c r="G54" s="524">
        <f t="shared" si="24"/>
        <v>64069.187495377628</v>
      </c>
      <c r="H54" s="491">
        <f t="shared" si="25"/>
        <v>64069.187495377628</v>
      </c>
      <c r="I54" s="511">
        <f t="shared" si="27"/>
        <v>0</v>
      </c>
      <c r="J54" s="511"/>
      <c r="K54" s="525"/>
      <c r="L54" s="514">
        <f t="shared" si="28"/>
        <v>0</v>
      </c>
      <c r="M54" s="525"/>
      <c r="N54" s="514">
        <f t="shared" si="29"/>
        <v>0</v>
      </c>
      <c r="O54" s="514">
        <f t="shared" si="30"/>
        <v>0</v>
      </c>
      <c r="P54" s="272"/>
    </row>
    <row r="55" spans="2:17">
      <c r="B55" s="195" t="str">
        <f t="shared" si="5"/>
        <v/>
      </c>
      <c r="C55" s="507">
        <f>IF(D11="","-",+C54+1)</f>
        <v>2048</v>
      </c>
      <c r="D55" s="523">
        <f>IF(F54+SUM(E$17:E54)=D$10,F54,D$10-SUM(E$17:E54))</f>
        <v>204983.25225357758</v>
      </c>
      <c r="E55" s="522">
        <f>IF(+I14&lt;F54,I14,D55)</f>
        <v>37336.75</v>
      </c>
      <c r="F55" s="523">
        <f t="shared" si="26"/>
        <v>167646.50225357758</v>
      </c>
      <c r="G55" s="524">
        <f t="shared" si="24"/>
        <v>59606.432862593821</v>
      </c>
      <c r="H55" s="491">
        <f t="shared" si="25"/>
        <v>59606.432862593821</v>
      </c>
      <c r="I55" s="511">
        <f t="shared" si="27"/>
        <v>0</v>
      </c>
      <c r="J55" s="511"/>
      <c r="K55" s="525"/>
      <c r="L55" s="514">
        <f t="shared" si="28"/>
        <v>0</v>
      </c>
      <c r="M55" s="525"/>
      <c r="N55" s="514">
        <f t="shared" si="29"/>
        <v>0</v>
      </c>
      <c r="O55" s="514">
        <f t="shared" si="30"/>
        <v>0</v>
      </c>
      <c r="P55" s="272"/>
    </row>
    <row r="56" spans="2:17">
      <c r="B56" s="195" t="str">
        <f t="shared" si="5"/>
        <v/>
      </c>
      <c r="C56" s="507">
        <f>IF(D11="","-",+C55+1)</f>
        <v>2049</v>
      </c>
      <c r="D56" s="523">
        <f>IF(F55+SUM(E$17:E55)=D$10,F55,D$10-SUM(E$17:E55))</f>
        <v>167646.50225357758</v>
      </c>
      <c r="E56" s="522">
        <f>IF(+I14&lt;F55,I14,D56)</f>
        <v>37336.75</v>
      </c>
      <c r="F56" s="523">
        <f t="shared" si="26"/>
        <v>130309.75225357758</v>
      </c>
      <c r="G56" s="524">
        <f t="shared" ref="G56:G72" si="31">+I$12*((D56+F56)/2)+E56</f>
        <v>55143.678229810015</v>
      </c>
      <c r="H56" s="491">
        <f t="shared" ref="H56:H72" si="32">+I$13*((D56+F56)/2)+E56</f>
        <v>55143.678229810015</v>
      </c>
      <c r="I56" s="511">
        <f t="shared" si="27"/>
        <v>0</v>
      </c>
      <c r="J56" s="511"/>
      <c r="K56" s="525"/>
      <c r="L56" s="514">
        <f t="shared" si="28"/>
        <v>0</v>
      </c>
      <c r="M56" s="525"/>
      <c r="N56" s="514">
        <f t="shared" si="29"/>
        <v>0</v>
      </c>
      <c r="O56" s="514">
        <f t="shared" si="30"/>
        <v>0</v>
      </c>
      <c r="P56" s="272"/>
    </row>
    <row r="57" spans="2:17">
      <c r="B57" s="195" t="str">
        <f t="shared" si="5"/>
        <v/>
      </c>
      <c r="C57" s="507">
        <f>IF(D11="","-",+C56+1)</f>
        <v>2050</v>
      </c>
      <c r="D57" s="523">
        <f>IF(F56+SUM(E$17:E56)=D$10,F56,D$10-SUM(E$17:E56))</f>
        <v>130309.75225357758</v>
      </c>
      <c r="E57" s="522">
        <f>IF(+I14&lt;F56,I14,D57)</f>
        <v>37336.75</v>
      </c>
      <c r="F57" s="523">
        <f t="shared" si="26"/>
        <v>92973.002253577579</v>
      </c>
      <c r="G57" s="524">
        <f t="shared" si="31"/>
        <v>50680.923597026209</v>
      </c>
      <c r="H57" s="491">
        <f t="shared" si="32"/>
        <v>50680.923597026209</v>
      </c>
      <c r="I57" s="511">
        <f t="shared" si="27"/>
        <v>0</v>
      </c>
      <c r="J57" s="511"/>
      <c r="K57" s="525"/>
      <c r="L57" s="514">
        <f t="shared" si="28"/>
        <v>0</v>
      </c>
      <c r="M57" s="525"/>
      <c r="N57" s="514">
        <f t="shared" si="29"/>
        <v>0</v>
      </c>
      <c r="O57" s="514">
        <f t="shared" si="30"/>
        <v>0</v>
      </c>
      <c r="P57" s="272"/>
    </row>
    <row r="58" spans="2:17">
      <c r="B58" s="195" t="str">
        <f t="shared" si="5"/>
        <v/>
      </c>
      <c r="C58" s="507">
        <f>IF(D11="","-",+C57+1)</f>
        <v>2051</v>
      </c>
      <c r="D58" s="523">
        <f>IF(F57+SUM(E$17:E57)=D$10,F57,D$10-SUM(E$17:E57))</f>
        <v>92973.002253577579</v>
      </c>
      <c r="E58" s="522">
        <f>IF(+I14&lt;F57,I14,D58)</f>
        <v>37336.75</v>
      </c>
      <c r="F58" s="523">
        <f t="shared" si="26"/>
        <v>55636.252253577579</v>
      </c>
      <c r="G58" s="524">
        <f t="shared" si="31"/>
        <v>46218.168964242395</v>
      </c>
      <c r="H58" s="491">
        <f t="shared" si="32"/>
        <v>46218.168964242395</v>
      </c>
      <c r="I58" s="511">
        <f t="shared" si="27"/>
        <v>0</v>
      </c>
      <c r="J58" s="511"/>
      <c r="K58" s="525"/>
      <c r="L58" s="514">
        <f t="shared" si="28"/>
        <v>0</v>
      </c>
      <c r="M58" s="525"/>
      <c r="N58" s="514">
        <f t="shared" si="29"/>
        <v>0</v>
      </c>
      <c r="O58" s="514">
        <f t="shared" si="30"/>
        <v>0</v>
      </c>
      <c r="P58" s="272"/>
      <c r="Q58" s="183" t="str">
        <f>IF(ROUND(Q57,0)=ROUND(SUM(Q18:Q56),0),"","Error -- check allocations above).")</f>
        <v/>
      </c>
    </row>
    <row r="59" spans="2:17">
      <c r="B59" s="195" t="str">
        <f t="shared" si="5"/>
        <v/>
      </c>
      <c r="C59" s="507">
        <f>IF(D11="","-",+C58+1)</f>
        <v>2052</v>
      </c>
      <c r="D59" s="523">
        <f>IF(F58+SUM(E$17:E58)=D$10,F58,D$10-SUM(E$17:E58))</f>
        <v>55636.252253577579</v>
      </c>
      <c r="E59" s="522">
        <f>IF(+I14&lt;F58,I14,D59)</f>
        <v>37336.75</v>
      </c>
      <c r="F59" s="523">
        <f t="shared" si="26"/>
        <v>18299.502253577579</v>
      </c>
      <c r="G59" s="524">
        <f t="shared" si="31"/>
        <v>41755.414331458589</v>
      </c>
      <c r="H59" s="491">
        <f t="shared" si="32"/>
        <v>41755.414331458589</v>
      </c>
      <c r="I59" s="511">
        <f t="shared" si="27"/>
        <v>0</v>
      </c>
      <c r="J59" s="511"/>
      <c r="K59" s="525"/>
      <c r="L59" s="514">
        <f t="shared" si="28"/>
        <v>0</v>
      </c>
      <c r="M59" s="525"/>
      <c r="N59" s="514">
        <f t="shared" si="29"/>
        <v>0</v>
      </c>
      <c r="O59" s="514">
        <f t="shared" si="30"/>
        <v>0</v>
      </c>
      <c r="P59" s="272"/>
    </row>
    <row r="60" spans="2:17">
      <c r="B60" s="195" t="str">
        <f t="shared" si="5"/>
        <v/>
      </c>
      <c r="C60" s="507">
        <f>IF(D11="","-",+C59+1)</f>
        <v>2053</v>
      </c>
      <c r="D60" s="523">
        <f>IF(F59+SUM(E$17:E59)=D$10,F59,D$10-SUM(E$17:E59))</f>
        <v>18299.502253577579</v>
      </c>
      <c r="E60" s="522">
        <f>IF(+I14&lt;F59,I14,D60)</f>
        <v>18299.502253577579</v>
      </c>
      <c r="F60" s="523">
        <f t="shared" si="26"/>
        <v>0</v>
      </c>
      <c r="G60" s="524">
        <f t="shared" si="31"/>
        <v>19393.145761110922</v>
      </c>
      <c r="H60" s="491">
        <f t="shared" si="32"/>
        <v>19393.145761110922</v>
      </c>
      <c r="I60" s="511">
        <f t="shared" si="27"/>
        <v>0</v>
      </c>
      <c r="J60" s="511"/>
      <c r="K60" s="525"/>
      <c r="L60" s="514">
        <f t="shared" si="28"/>
        <v>0</v>
      </c>
      <c r="M60" s="525"/>
      <c r="N60" s="514">
        <f t="shared" si="29"/>
        <v>0</v>
      </c>
      <c r="O60" s="514">
        <f t="shared" si="30"/>
        <v>0</v>
      </c>
      <c r="P60" s="272"/>
    </row>
    <row r="61" spans="2:17">
      <c r="B61" s="195" t="str">
        <f t="shared" si="5"/>
        <v/>
      </c>
      <c r="C61" s="507">
        <f>IF(D11="","-",+C60+1)</f>
        <v>2054</v>
      </c>
      <c r="D61" s="523">
        <f>IF(F60+SUM(E$17:E60)=D$10,F60,D$10-SUM(E$17:E60))</f>
        <v>0</v>
      </c>
      <c r="E61" s="522">
        <f>IF(+I14&lt;F60,I14,D61)</f>
        <v>0</v>
      </c>
      <c r="F61" s="523">
        <f t="shared" si="26"/>
        <v>0</v>
      </c>
      <c r="G61" s="526">
        <f t="shared" si="31"/>
        <v>0</v>
      </c>
      <c r="H61" s="491">
        <f t="shared" si="32"/>
        <v>0</v>
      </c>
      <c r="I61" s="511">
        <f t="shared" si="27"/>
        <v>0</v>
      </c>
      <c r="J61" s="511"/>
      <c r="K61" s="525"/>
      <c r="L61" s="514">
        <f t="shared" si="28"/>
        <v>0</v>
      </c>
      <c r="M61" s="525"/>
      <c r="N61" s="514">
        <f t="shared" si="29"/>
        <v>0</v>
      </c>
      <c r="O61" s="514">
        <f t="shared" si="30"/>
        <v>0</v>
      </c>
      <c r="P61" s="272"/>
    </row>
    <row r="62" spans="2:17">
      <c r="B62" s="195" t="str">
        <f t="shared" si="5"/>
        <v/>
      </c>
      <c r="C62" s="507">
        <f>IF(D11="","-",+C61+1)</f>
        <v>2055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26"/>
        <v>0</v>
      </c>
      <c r="G62" s="526">
        <f t="shared" si="31"/>
        <v>0</v>
      </c>
      <c r="H62" s="491">
        <f t="shared" si="32"/>
        <v>0</v>
      </c>
      <c r="I62" s="511">
        <f t="shared" si="27"/>
        <v>0</v>
      </c>
      <c r="J62" s="511"/>
      <c r="K62" s="525"/>
      <c r="L62" s="514">
        <f t="shared" si="28"/>
        <v>0</v>
      </c>
      <c r="M62" s="525"/>
      <c r="N62" s="514">
        <f t="shared" si="29"/>
        <v>0</v>
      </c>
      <c r="O62" s="514">
        <f t="shared" si="30"/>
        <v>0</v>
      </c>
      <c r="P62" s="272"/>
    </row>
    <row r="63" spans="2:17">
      <c r="B63" s="195" t="str">
        <f t="shared" si="5"/>
        <v/>
      </c>
      <c r="C63" s="507">
        <f>IF(D11="","-",+C62+1)</f>
        <v>2056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26"/>
        <v>0</v>
      </c>
      <c r="G63" s="526">
        <f t="shared" si="31"/>
        <v>0</v>
      </c>
      <c r="H63" s="491">
        <f t="shared" si="32"/>
        <v>0</v>
      </c>
      <c r="I63" s="511">
        <f t="shared" si="27"/>
        <v>0</v>
      </c>
      <c r="J63" s="511"/>
      <c r="K63" s="525"/>
      <c r="L63" s="514">
        <f t="shared" si="28"/>
        <v>0</v>
      </c>
      <c r="M63" s="525"/>
      <c r="N63" s="514">
        <f t="shared" si="29"/>
        <v>0</v>
      </c>
      <c r="O63" s="514">
        <f t="shared" si="30"/>
        <v>0</v>
      </c>
      <c r="P63" s="272"/>
    </row>
    <row r="64" spans="2:17">
      <c r="B64" s="195" t="str">
        <f t="shared" si="5"/>
        <v/>
      </c>
      <c r="C64" s="507">
        <f>IF(D11="","-",+C63+1)</f>
        <v>2057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26"/>
        <v>0</v>
      </c>
      <c r="G64" s="526">
        <f t="shared" si="31"/>
        <v>0</v>
      </c>
      <c r="H64" s="491">
        <f t="shared" si="32"/>
        <v>0</v>
      </c>
      <c r="I64" s="511">
        <f t="shared" si="27"/>
        <v>0</v>
      </c>
      <c r="J64" s="511"/>
      <c r="K64" s="525"/>
      <c r="L64" s="514">
        <f t="shared" si="28"/>
        <v>0</v>
      </c>
      <c r="M64" s="525"/>
      <c r="N64" s="514">
        <f t="shared" si="29"/>
        <v>0</v>
      </c>
      <c r="O64" s="514">
        <f t="shared" si="30"/>
        <v>0</v>
      </c>
      <c r="P64" s="272"/>
    </row>
    <row r="65" spans="1:16">
      <c r="B65" s="195" t="str">
        <f t="shared" si="5"/>
        <v/>
      </c>
      <c r="C65" s="507">
        <f>IF(D11="","-",+C64+1)</f>
        <v>2058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26"/>
        <v>0</v>
      </c>
      <c r="G65" s="526">
        <f t="shared" si="31"/>
        <v>0</v>
      </c>
      <c r="H65" s="491">
        <f t="shared" si="32"/>
        <v>0</v>
      </c>
      <c r="I65" s="511">
        <f t="shared" si="27"/>
        <v>0</v>
      </c>
      <c r="J65" s="511"/>
      <c r="K65" s="525"/>
      <c r="L65" s="514">
        <f t="shared" si="28"/>
        <v>0</v>
      </c>
      <c r="M65" s="525"/>
      <c r="N65" s="514">
        <f t="shared" si="29"/>
        <v>0</v>
      </c>
      <c r="O65" s="514">
        <f t="shared" si="30"/>
        <v>0</v>
      </c>
      <c r="P65" s="272"/>
    </row>
    <row r="66" spans="1:16">
      <c r="B66" s="195" t="str">
        <f t="shared" si="5"/>
        <v/>
      </c>
      <c r="C66" s="507">
        <f>IF(D11="","-",+C65+1)</f>
        <v>2059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26"/>
        <v>0</v>
      </c>
      <c r="G66" s="526">
        <f t="shared" si="31"/>
        <v>0</v>
      </c>
      <c r="H66" s="491">
        <f t="shared" si="32"/>
        <v>0</v>
      </c>
      <c r="I66" s="511">
        <f t="shared" si="27"/>
        <v>0</v>
      </c>
      <c r="J66" s="511"/>
      <c r="K66" s="525"/>
      <c r="L66" s="514">
        <f t="shared" si="28"/>
        <v>0</v>
      </c>
      <c r="M66" s="525"/>
      <c r="N66" s="514">
        <f t="shared" si="29"/>
        <v>0</v>
      </c>
      <c r="O66" s="514">
        <f t="shared" si="30"/>
        <v>0</v>
      </c>
      <c r="P66" s="272"/>
    </row>
    <row r="67" spans="1:16">
      <c r="B67" s="195" t="str">
        <f t="shared" si="5"/>
        <v/>
      </c>
      <c r="C67" s="507">
        <f>IF(D11="","-",+C66+1)</f>
        <v>2060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26"/>
        <v>0</v>
      </c>
      <c r="G67" s="526">
        <f t="shared" si="31"/>
        <v>0</v>
      </c>
      <c r="H67" s="491">
        <f t="shared" si="32"/>
        <v>0</v>
      </c>
      <c r="I67" s="511">
        <f t="shared" si="27"/>
        <v>0</v>
      </c>
      <c r="J67" s="511"/>
      <c r="K67" s="525"/>
      <c r="L67" s="514">
        <f t="shared" si="28"/>
        <v>0</v>
      </c>
      <c r="M67" s="525"/>
      <c r="N67" s="514">
        <f t="shared" si="29"/>
        <v>0</v>
      </c>
      <c r="O67" s="514">
        <f t="shared" si="30"/>
        <v>0</v>
      </c>
      <c r="P67" s="272"/>
    </row>
    <row r="68" spans="1:16">
      <c r="B68" s="195" t="str">
        <f t="shared" si="5"/>
        <v/>
      </c>
      <c r="C68" s="507">
        <f>IF(D11="","-",+C67+1)</f>
        <v>2061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26"/>
        <v>0</v>
      </c>
      <c r="G68" s="526">
        <f t="shared" si="31"/>
        <v>0</v>
      </c>
      <c r="H68" s="491">
        <f t="shared" si="32"/>
        <v>0</v>
      </c>
      <c r="I68" s="511">
        <f t="shared" si="27"/>
        <v>0</v>
      </c>
      <c r="J68" s="511"/>
      <c r="K68" s="525"/>
      <c r="L68" s="514">
        <f t="shared" si="28"/>
        <v>0</v>
      </c>
      <c r="M68" s="525"/>
      <c r="N68" s="514">
        <f t="shared" si="29"/>
        <v>0</v>
      </c>
      <c r="O68" s="514">
        <f t="shared" si="30"/>
        <v>0</v>
      </c>
      <c r="P68" s="272"/>
    </row>
    <row r="69" spans="1:16">
      <c r="B69" s="195" t="str">
        <f t="shared" si="5"/>
        <v/>
      </c>
      <c r="C69" s="507">
        <f>IF(D11="","-",+C68+1)</f>
        <v>2062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26"/>
        <v>0</v>
      </c>
      <c r="G69" s="526">
        <f t="shared" si="31"/>
        <v>0</v>
      </c>
      <c r="H69" s="491">
        <f t="shared" si="32"/>
        <v>0</v>
      </c>
      <c r="I69" s="511">
        <f t="shared" si="27"/>
        <v>0</v>
      </c>
      <c r="J69" s="511"/>
      <c r="K69" s="525"/>
      <c r="L69" s="514">
        <f t="shared" si="28"/>
        <v>0</v>
      </c>
      <c r="M69" s="525"/>
      <c r="N69" s="514">
        <f t="shared" si="29"/>
        <v>0</v>
      </c>
      <c r="O69" s="514">
        <f t="shared" si="30"/>
        <v>0</v>
      </c>
      <c r="P69" s="272"/>
    </row>
    <row r="70" spans="1:16">
      <c r="B70" s="195" t="str">
        <f t="shared" si="5"/>
        <v/>
      </c>
      <c r="C70" s="507">
        <f>IF(D11="","-",+C69+1)</f>
        <v>2063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26"/>
        <v>0</v>
      </c>
      <c r="G70" s="526">
        <f t="shared" si="31"/>
        <v>0</v>
      </c>
      <c r="H70" s="491">
        <f t="shared" si="32"/>
        <v>0</v>
      </c>
      <c r="I70" s="511">
        <f t="shared" si="27"/>
        <v>0</v>
      </c>
      <c r="J70" s="511"/>
      <c r="K70" s="525"/>
      <c r="L70" s="514">
        <f t="shared" si="28"/>
        <v>0</v>
      </c>
      <c r="M70" s="525"/>
      <c r="N70" s="514">
        <f t="shared" si="29"/>
        <v>0</v>
      </c>
      <c r="O70" s="514">
        <f t="shared" si="30"/>
        <v>0</v>
      </c>
      <c r="P70" s="272"/>
    </row>
    <row r="71" spans="1:16">
      <c r="B71" s="195" t="str">
        <f t="shared" si="5"/>
        <v/>
      </c>
      <c r="C71" s="507">
        <f>IF(D11="","-",+C70+1)</f>
        <v>2064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26"/>
        <v>0</v>
      </c>
      <c r="G71" s="526">
        <f t="shared" si="31"/>
        <v>0</v>
      </c>
      <c r="H71" s="491">
        <f t="shared" si="32"/>
        <v>0</v>
      </c>
      <c r="I71" s="511">
        <f t="shared" si="27"/>
        <v>0</v>
      </c>
      <c r="J71" s="511"/>
      <c r="K71" s="525"/>
      <c r="L71" s="514">
        <f t="shared" si="28"/>
        <v>0</v>
      </c>
      <c r="M71" s="525"/>
      <c r="N71" s="514">
        <f t="shared" si="29"/>
        <v>0</v>
      </c>
      <c r="O71" s="514">
        <f t="shared" si="30"/>
        <v>0</v>
      </c>
      <c r="P71" s="272"/>
    </row>
    <row r="72" spans="1:16" ht="13.5" thickBot="1">
      <c r="B72" s="195" t="str">
        <f t="shared" si="5"/>
        <v/>
      </c>
      <c r="C72" s="527">
        <f>IF(D11="","-",+C71+1)</f>
        <v>2065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26"/>
        <v>0</v>
      </c>
      <c r="G72" s="530">
        <f t="shared" si="31"/>
        <v>0</v>
      </c>
      <c r="H72" s="471">
        <f t="shared" si="32"/>
        <v>0</v>
      </c>
      <c r="I72" s="531">
        <f t="shared" si="27"/>
        <v>0</v>
      </c>
      <c r="J72" s="511"/>
      <c r="K72" s="532"/>
      <c r="L72" s="533">
        <f t="shared" si="28"/>
        <v>0</v>
      </c>
      <c r="M72" s="532"/>
      <c r="N72" s="533">
        <f t="shared" si="29"/>
        <v>0</v>
      </c>
      <c r="O72" s="533">
        <f t="shared" si="30"/>
        <v>0</v>
      </c>
      <c r="P72" s="272"/>
    </row>
    <row r="73" spans="1:16">
      <c r="C73" s="374" t="s">
        <v>78</v>
      </c>
      <c r="D73" s="375"/>
      <c r="E73" s="375">
        <f>SUM(E17:E72)</f>
        <v>1642816.9999999998</v>
      </c>
      <c r="F73" s="375"/>
      <c r="G73" s="375">
        <f>SUM(G17:G72)</f>
        <v>6184944.7470069919</v>
      </c>
      <c r="H73" s="375">
        <f>SUM(H17:H72)</f>
        <v>6184944.7470069919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1:16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1:16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1:16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1:16" ht="18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535"/>
      <c r="P77" s="272"/>
    </row>
    <row r="78" spans="1:16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1:16" ht="15">
      <c r="A79" s="536"/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</row>
    <row r="80" spans="1:16" ht="18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7">
      <c r="B81" s="269"/>
      <c r="C81" s="537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7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  <c r="Q82" s="269"/>
    </row>
    <row r="83" spans="1:17" ht="20.25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535" t="str">
        <f ca="1">P1</f>
        <v>SWEPCO Project 21 of 75</v>
      </c>
      <c r="Q83" s="269"/>
    </row>
    <row r="84" spans="1:17" ht="18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454" t="s">
        <v>128</v>
      </c>
      <c r="Q84" s="269"/>
    </row>
    <row r="85" spans="1:17" ht="18.7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  <c r="Q85" s="269"/>
    </row>
    <row r="86" spans="1:17" ht="15.75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2022</v>
      </c>
      <c r="M86" s="541" t="s">
        <v>9</v>
      </c>
      <c r="N86" s="542" t="s">
        <v>159</v>
      </c>
      <c r="O86" s="543" t="s">
        <v>11</v>
      </c>
      <c r="P86" s="269"/>
      <c r="Q86" s="269"/>
    </row>
    <row r="87" spans="1:17" ht="1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391</v>
      </c>
      <c r="M87" s="546">
        <f>IF(J92&lt;D11,0,VLOOKUP(J92,C17:O72,9))</f>
        <v>169520.30244335823</v>
      </c>
      <c r="N87" s="546">
        <f>IF(J92&lt;D11,0,VLOOKUP(J92,C17:O72,11))</f>
        <v>169520.30244335823</v>
      </c>
      <c r="O87" s="547">
        <f>+N87-M87</f>
        <v>0</v>
      </c>
      <c r="P87" s="269"/>
      <c r="Q87" s="269"/>
    </row>
    <row r="88" spans="1:17" ht="15.7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392</v>
      </c>
      <c r="M88" s="550">
        <f>IF(J92&lt;D11,0,VLOOKUP(J92,C99:P154,6))</f>
        <v>177069.67562066831</v>
      </c>
      <c r="N88" s="550">
        <f>IF(J92&lt;D11,0,VLOOKUP(J92,C99:P154,7))</f>
        <v>177069.67562066831</v>
      </c>
      <c r="O88" s="551">
        <f>+N88-M88</f>
        <v>0</v>
      </c>
      <c r="P88" s="269"/>
      <c r="Q88" s="269"/>
    </row>
    <row r="89" spans="1:17" ht="13.5" thickBot="1">
      <c r="C89" s="467" t="s">
        <v>84</v>
      </c>
      <c r="D89" s="620" t="str">
        <f>D7</f>
        <v>Reconductor 4 mi. of McNabb-Turk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7549.3731773100735</v>
      </c>
      <c r="N89" s="555">
        <f>+N88-N87</f>
        <v>7549.3731773100735</v>
      </c>
      <c r="O89" s="556">
        <f>+O88-O87</f>
        <v>0</v>
      </c>
      <c r="P89" s="269"/>
      <c r="Q89" s="269"/>
    </row>
    <row r="90" spans="1:17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  <c r="Q90" s="269"/>
    </row>
    <row r="91" spans="1:17" ht="13.5" thickBot="1">
      <c r="A91" s="191"/>
      <c r="C91" s="558" t="s">
        <v>85</v>
      </c>
      <c r="D91" s="559" t="str">
        <f>+D9</f>
        <v>TP2006077</v>
      </c>
      <c r="E91" s="560"/>
      <c r="F91" s="560"/>
      <c r="G91" s="560"/>
      <c r="H91" s="560"/>
      <c r="I91" s="560"/>
      <c r="J91" s="561"/>
      <c r="K91" s="562"/>
      <c r="P91" s="481"/>
      <c r="Q91" s="269"/>
    </row>
    <row r="92" spans="1:17">
      <c r="C92" s="486" t="s">
        <v>51</v>
      </c>
      <c r="D92" s="483">
        <v>1642817</v>
      </c>
      <c r="E92" s="340" t="s">
        <v>86</v>
      </c>
      <c r="H92" s="484"/>
      <c r="I92" s="484"/>
      <c r="J92" s="485">
        <f>+'SWE.WS.G.BPU.ATRR.True-up'!M16</f>
        <v>2022</v>
      </c>
      <c r="K92" s="480"/>
      <c r="L92" s="375" t="s">
        <v>87</v>
      </c>
      <c r="P92" s="272"/>
      <c r="Q92" s="269"/>
    </row>
    <row r="93" spans="1:17">
      <c r="C93" s="486" t="s">
        <v>54</v>
      </c>
      <c r="D93" s="563">
        <f>IF(D11=I10,"",D11)</f>
        <v>2010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  <c r="Q93" s="269"/>
    </row>
    <row r="94" spans="1:17">
      <c r="C94" s="486" t="s">
        <v>56</v>
      </c>
      <c r="D94" s="564">
        <f>IF(D11=I10,"",D12)</f>
        <v>6</v>
      </c>
      <c r="E94" s="486" t="s">
        <v>57</v>
      </c>
      <c r="F94" s="484"/>
      <c r="G94" s="484"/>
      <c r="J94" s="490">
        <f>'SWE.WS.G.BPU.ATRR.True-up'!$F$81</f>
        <v>0.11351422637179906</v>
      </c>
      <c r="K94" s="425"/>
      <c r="L94" s="183" t="s">
        <v>88</v>
      </c>
      <c r="P94" s="272"/>
      <c r="Q94" s="269"/>
    </row>
    <row r="95" spans="1:17">
      <c r="C95" s="486" t="s">
        <v>59</v>
      </c>
      <c r="D95" s="488">
        <f>'SWE.WS.G.BPU.ATRR.True-up'!F$93</f>
        <v>41</v>
      </c>
      <c r="E95" s="486" t="s">
        <v>60</v>
      </c>
      <c r="F95" s="484"/>
      <c r="G95" s="484"/>
      <c r="J95" s="490">
        <f>IF(H87="",J94,'SWE.WS.G.BPU.ATRR.True-up'!$F$80)</f>
        <v>0.11351422637179906</v>
      </c>
      <c r="K95" s="324"/>
      <c r="L95" s="375" t="s">
        <v>61</v>
      </c>
      <c r="M95" s="324"/>
      <c r="N95" s="324"/>
      <c r="O95" s="324"/>
      <c r="P95" s="272"/>
      <c r="Q95" s="269"/>
    </row>
    <row r="96" spans="1:17" ht="13.5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40068.707317073167</v>
      </c>
      <c r="K96" s="375"/>
      <c r="L96" s="375"/>
      <c r="M96" s="375"/>
      <c r="N96" s="375"/>
      <c r="O96" s="375"/>
      <c r="P96" s="272"/>
      <c r="Q96" s="269"/>
    </row>
    <row r="97" spans="1:17" ht="38.25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388</v>
      </c>
      <c r="I97" s="495" t="s">
        <v>389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  <c r="Q97" s="269"/>
    </row>
    <row r="98" spans="1:17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  <c r="Q98" s="269"/>
    </row>
    <row r="99" spans="1:17">
      <c r="C99" s="507">
        <f>IF(D93= "","-",D93)</f>
        <v>2010</v>
      </c>
      <c r="D99" s="508">
        <v>0</v>
      </c>
      <c r="E99" s="516">
        <v>19631.743902439026</v>
      </c>
      <c r="F99" s="515">
        <v>1590171.256097561</v>
      </c>
      <c r="G99" s="574">
        <v>795085.62804878049</v>
      </c>
      <c r="H99" s="575">
        <v>150889.3151810994</v>
      </c>
      <c r="I99" s="576">
        <v>150889.3151810994</v>
      </c>
      <c r="J99" s="613">
        <f t="shared" ref="J99:J130" si="33">+I99-H99</f>
        <v>0</v>
      </c>
      <c r="K99" s="514"/>
      <c r="L99" s="512">
        <f t="shared" ref="L99:L104" si="34">H99</f>
        <v>150889.3151810994</v>
      </c>
      <c r="M99" s="597">
        <f t="shared" ref="M99:M130" si="35">IF(L99&lt;&gt;0,+H99-L99,0)</f>
        <v>0</v>
      </c>
      <c r="N99" s="512">
        <f t="shared" ref="N99:N104" si="36">I99</f>
        <v>150889.3151810994</v>
      </c>
      <c r="O99" s="513">
        <f t="shared" ref="O99:O130" si="37">IF(N99&lt;&gt;0,+I99-N99,0)</f>
        <v>0</v>
      </c>
      <c r="P99" s="513">
        <f t="shared" ref="P99:P130" si="38">+O99-M99</f>
        <v>0</v>
      </c>
      <c r="Q99" s="269"/>
    </row>
    <row r="100" spans="1:17">
      <c r="B100" s="195" t="str">
        <f>IF(D100=F99,"","IU")</f>
        <v>IU</v>
      </c>
      <c r="C100" s="507">
        <f>IF(D93="","-",+C99+1)</f>
        <v>2011</v>
      </c>
      <c r="D100" s="508">
        <v>1619340.256097561</v>
      </c>
      <c r="E100" s="516">
        <v>39023.142857142855</v>
      </c>
      <c r="F100" s="515">
        <v>1580317.113240418</v>
      </c>
      <c r="G100" s="515">
        <v>1599828.6846689894</v>
      </c>
      <c r="H100" s="516">
        <v>279605.22250297031</v>
      </c>
      <c r="I100" s="510">
        <v>279605.22250297031</v>
      </c>
      <c r="J100" s="613">
        <f t="shared" si="33"/>
        <v>0</v>
      </c>
      <c r="K100" s="514"/>
      <c r="L100" s="518">
        <f t="shared" si="34"/>
        <v>279605.22250297031</v>
      </c>
      <c r="M100" s="519">
        <f t="shared" si="35"/>
        <v>0</v>
      </c>
      <c r="N100" s="518">
        <f t="shared" si="36"/>
        <v>279605.22250297031</v>
      </c>
      <c r="O100" s="514">
        <f t="shared" si="37"/>
        <v>0</v>
      </c>
      <c r="P100" s="514">
        <f t="shared" si="38"/>
        <v>0</v>
      </c>
      <c r="Q100" s="269"/>
    </row>
    <row r="101" spans="1:17">
      <c r="B101" s="195" t="str">
        <f t="shared" ref="B101:B154" si="39">IF(D101=F100,"","IU")</f>
        <v/>
      </c>
      <c r="C101" s="507">
        <f>IF(D93="","-",+C100+1)</f>
        <v>2012</v>
      </c>
      <c r="D101" s="508">
        <v>1580317.113240418</v>
      </c>
      <c r="E101" s="516">
        <v>39023.142857142855</v>
      </c>
      <c r="F101" s="515">
        <v>1541293.9703832751</v>
      </c>
      <c r="G101" s="515">
        <v>1560805.5418118467</v>
      </c>
      <c r="H101" s="516">
        <v>268701.81510397862</v>
      </c>
      <c r="I101" s="510">
        <v>268701.81510397862</v>
      </c>
      <c r="J101" s="613">
        <f t="shared" si="33"/>
        <v>0</v>
      </c>
      <c r="K101" s="514"/>
      <c r="L101" s="518">
        <f t="shared" si="34"/>
        <v>268701.81510397862</v>
      </c>
      <c r="M101" s="519">
        <f t="shared" si="35"/>
        <v>0</v>
      </c>
      <c r="N101" s="518">
        <f t="shared" si="36"/>
        <v>268701.81510397862</v>
      </c>
      <c r="O101" s="514">
        <f t="shared" si="37"/>
        <v>0</v>
      </c>
      <c r="P101" s="514">
        <f t="shared" si="38"/>
        <v>0</v>
      </c>
      <c r="Q101" s="269"/>
    </row>
    <row r="102" spans="1:17">
      <c r="B102" s="195" t="str">
        <f t="shared" si="39"/>
        <v>IU</v>
      </c>
      <c r="C102" s="507">
        <f>IF(D93="","-",+C101+1)</f>
        <v>2013</v>
      </c>
      <c r="D102" s="508">
        <v>1541294</v>
      </c>
      <c r="E102" s="516">
        <v>39023</v>
      </c>
      <c r="F102" s="515">
        <v>1502271</v>
      </c>
      <c r="G102" s="515">
        <v>1521782.5</v>
      </c>
      <c r="H102" s="516">
        <v>244907.54496972694</v>
      </c>
      <c r="I102" s="510">
        <v>244907.54496972694</v>
      </c>
      <c r="J102" s="613">
        <f t="shared" si="33"/>
        <v>0</v>
      </c>
      <c r="K102" s="514"/>
      <c r="L102" s="518">
        <f t="shared" si="34"/>
        <v>244907.54496972694</v>
      </c>
      <c r="M102" s="519">
        <f t="shared" ref="M102:M107" si="40">IF(L102&lt;&gt;0,+H102-L102,0)</f>
        <v>0</v>
      </c>
      <c r="N102" s="518">
        <f t="shared" si="36"/>
        <v>244907.54496972694</v>
      </c>
      <c r="O102" s="514">
        <f>IF(N102&lt;&gt;0,+I102-N102,0)</f>
        <v>0</v>
      </c>
      <c r="P102" s="514">
        <f>+O102-M102</f>
        <v>0</v>
      </c>
      <c r="Q102" s="269"/>
    </row>
    <row r="103" spans="1:17">
      <c r="B103" s="195" t="str">
        <f t="shared" si="39"/>
        <v>IU</v>
      </c>
      <c r="C103" s="507">
        <f>IF(D93="","-",+C102+1)</f>
        <v>2014</v>
      </c>
      <c r="D103" s="508">
        <v>1506115.9703832753</v>
      </c>
      <c r="E103" s="516">
        <v>39114.690476190473</v>
      </c>
      <c r="F103" s="515">
        <v>1467001.2799070848</v>
      </c>
      <c r="G103" s="515">
        <v>1486558.6251451802</v>
      </c>
      <c r="H103" s="516">
        <v>241172.88194864732</v>
      </c>
      <c r="I103" s="510">
        <v>241172.88194864732</v>
      </c>
      <c r="J103" s="514">
        <v>0</v>
      </c>
      <c r="K103" s="514"/>
      <c r="L103" s="518">
        <f t="shared" si="34"/>
        <v>241172.88194864732</v>
      </c>
      <c r="M103" s="519">
        <f t="shared" si="40"/>
        <v>0</v>
      </c>
      <c r="N103" s="518">
        <f t="shared" si="36"/>
        <v>241172.88194864732</v>
      </c>
      <c r="O103" s="514">
        <f>IF(N103&lt;&gt;0,+I103-N103,0)</f>
        <v>0</v>
      </c>
      <c r="P103" s="514">
        <f>+O103-M103</f>
        <v>0</v>
      </c>
      <c r="Q103" s="269"/>
    </row>
    <row r="104" spans="1:17">
      <c r="B104" s="195" t="str">
        <f t="shared" si="39"/>
        <v/>
      </c>
      <c r="C104" s="507">
        <f>IF(D93="","-",+C103+1)</f>
        <v>2015</v>
      </c>
      <c r="D104" s="508">
        <v>1467001.2799070848</v>
      </c>
      <c r="E104" s="516">
        <v>39114.690476190473</v>
      </c>
      <c r="F104" s="515">
        <v>1427886.5894308942</v>
      </c>
      <c r="G104" s="515">
        <v>1447443.9346689894</v>
      </c>
      <c r="H104" s="516">
        <v>229842.75353448547</v>
      </c>
      <c r="I104" s="510">
        <v>229842.75353448547</v>
      </c>
      <c r="J104" s="514">
        <f t="shared" si="33"/>
        <v>0</v>
      </c>
      <c r="K104" s="514"/>
      <c r="L104" s="518">
        <f t="shared" si="34"/>
        <v>229842.75353448547</v>
      </c>
      <c r="M104" s="519">
        <f t="shared" si="40"/>
        <v>0</v>
      </c>
      <c r="N104" s="518">
        <f t="shared" si="36"/>
        <v>229842.75353448547</v>
      </c>
      <c r="O104" s="514">
        <f>IF(N104&lt;&gt;0,+I104-N104,0)</f>
        <v>0</v>
      </c>
      <c r="P104" s="514">
        <f>+O104-M104</f>
        <v>0</v>
      </c>
      <c r="Q104" s="269"/>
    </row>
    <row r="105" spans="1:17">
      <c r="B105" s="195" t="str">
        <f t="shared" si="39"/>
        <v/>
      </c>
      <c r="C105" s="507">
        <f>IF(D93="","-",+C104+1)</f>
        <v>2016</v>
      </c>
      <c r="D105" s="508">
        <v>1427886.5894308942</v>
      </c>
      <c r="E105" s="516">
        <v>38205.046511627908</v>
      </c>
      <c r="F105" s="515">
        <v>1389681.5429192663</v>
      </c>
      <c r="G105" s="515">
        <v>1408784.0661750804</v>
      </c>
      <c r="H105" s="516">
        <v>217050.16721338526</v>
      </c>
      <c r="I105" s="510">
        <v>217050.16721338526</v>
      </c>
      <c r="J105" s="514">
        <f t="shared" si="33"/>
        <v>0</v>
      </c>
      <c r="K105" s="514"/>
      <c r="L105" s="518">
        <f t="shared" ref="L105:L110" si="41">H105</f>
        <v>217050.16721338526</v>
      </c>
      <c r="M105" s="519">
        <f t="shared" si="40"/>
        <v>0</v>
      </c>
      <c r="N105" s="518">
        <f t="shared" ref="N105:N110" si="42">I105</f>
        <v>217050.16721338526</v>
      </c>
      <c r="O105" s="514">
        <f>IF(N105&lt;&gt;0,+I105-N105,0)</f>
        <v>0</v>
      </c>
      <c r="P105" s="514">
        <f>+O105-M105</f>
        <v>0</v>
      </c>
      <c r="Q105" s="269"/>
    </row>
    <row r="106" spans="1:17">
      <c r="B106" s="195" t="str">
        <f t="shared" si="39"/>
        <v/>
      </c>
      <c r="C106" s="507">
        <f>IF(D93="","-",+C105+1)</f>
        <v>2017</v>
      </c>
      <c r="D106" s="508">
        <v>1389681.5429192663</v>
      </c>
      <c r="E106" s="516">
        <v>39114.690476190473</v>
      </c>
      <c r="F106" s="515">
        <v>1350566.8524430757</v>
      </c>
      <c r="G106" s="515">
        <v>1370124.1976811709</v>
      </c>
      <c r="H106" s="516">
        <v>205545.67397661868</v>
      </c>
      <c r="I106" s="510">
        <v>205545.67397661868</v>
      </c>
      <c r="J106" s="514">
        <f t="shared" si="33"/>
        <v>0</v>
      </c>
      <c r="K106" s="514"/>
      <c r="L106" s="518">
        <f t="shared" si="41"/>
        <v>205545.67397661868</v>
      </c>
      <c r="M106" s="519">
        <f t="shared" si="40"/>
        <v>0</v>
      </c>
      <c r="N106" s="518">
        <f t="shared" si="42"/>
        <v>205545.67397661868</v>
      </c>
      <c r="O106" s="514">
        <f>IF(N106&lt;&gt;0,+I106-N106,0)</f>
        <v>0</v>
      </c>
      <c r="P106" s="514">
        <f>+O106-M106</f>
        <v>0</v>
      </c>
      <c r="Q106" s="269"/>
    </row>
    <row r="107" spans="1:17">
      <c r="B107" s="195" t="str">
        <f t="shared" si="39"/>
        <v/>
      </c>
      <c r="C107" s="507">
        <f>IF(D93="","-",+C106+1)</f>
        <v>2018</v>
      </c>
      <c r="D107" s="508">
        <v>1350566.8524430757</v>
      </c>
      <c r="E107" s="516">
        <v>39114.690476190473</v>
      </c>
      <c r="F107" s="515">
        <v>1311452.1619668852</v>
      </c>
      <c r="G107" s="515">
        <v>1331009.5072049806</v>
      </c>
      <c r="H107" s="516">
        <v>179675.39820677435</v>
      </c>
      <c r="I107" s="510">
        <v>179675.39820677435</v>
      </c>
      <c r="J107" s="514">
        <f t="shared" si="33"/>
        <v>0</v>
      </c>
      <c r="K107" s="514"/>
      <c r="L107" s="518">
        <f t="shared" si="41"/>
        <v>179675.39820677435</v>
      </c>
      <c r="M107" s="519">
        <f t="shared" si="40"/>
        <v>0</v>
      </c>
      <c r="N107" s="518">
        <f t="shared" si="42"/>
        <v>179675.39820677435</v>
      </c>
      <c r="O107" s="514">
        <f t="shared" si="37"/>
        <v>0</v>
      </c>
      <c r="P107" s="514">
        <f t="shared" si="38"/>
        <v>0</v>
      </c>
      <c r="Q107" s="269"/>
    </row>
    <row r="108" spans="1:17">
      <c r="B108" s="195" t="str">
        <f t="shared" si="39"/>
        <v/>
      </c>
      <c r="C108" s="507">
        <f>IF(D93="","-",+C107+1)</f>
        <v>2019</v>
      </c>
      <c r="D108" s="508">
        <v>1311452.1619668852</v>
      </c>
      <c r="E108" s="516">
        <v>38205.046511627908</v>
      </c>
      <c r="F108" s="515">
        <v>1273247.1154552572</v>
      </c>
      <c r="G108" s="515">
        <v>1292349.6387110711</v>
      </c>
      <c r="H108" s="516">
        <v>176538.85816269691</v>
      </c>
      <c r="I108" s="510">
        <v>176538.85816269691</v>
      </c>
      <c r="J108" s="514">
        <f t="shared" si="33"/>
        <v>0</v>
      </c>
      <c r="K108" s="514"/>
      <c r="L108" s="518">
        <f t="shared" si="41"/>
        <v>176538.85816269691</v>
      </c>
      <c r="M108" s="519">
        <f t="shared" ref="M108:M109" si="43">IF(L108&lt;&gt;0,+H108-L108,0)</f>
        <v>0</v>
      </c>
      <c r="N108" s="518">
        <f t="shared" si="42"/>
        <v>176538.85816269691</v>
      </c>
      <c r="O108" s="514">
        <f t="shared" si="37"/>
        <v>0</v>
      </c>
      <c r="P108" s="514">
        <f t="shared" si="38"/>
        <v>0</v>
      </c>
      <c r="Q108" s="269"/>
    </row>
    <row r="109" spans="1:17">
      <c r="B109" s="195" t="str">
        <f t="shared" si="39"/>
        <v/>
      </c>
      <c r="C109" s="507">
        <f>IF(D93="","-",+C108+1)</f>
        <v>2020</v>
      </c>
      <c r="D109" s="508">
        <v>1273247.1154552572</v>
      </c>
      <c r="E109" s="516">
        <v>39114.690476190473</v>
      </c>
      <c r="F109" s="515">
        <v>1234132.4249790667</v>
      </c>
      <c r="G109" s="515">
        <v>1253689.7702171621</v>
      </c>
      <c r="H109" s="516">
        <v>173978.90382541961</v>
      </c>
      <c r="I109" s="510">
        <v>173978.90382541961</v>
      </c>
      <c r="J109" s="514">
        <f t="shared" si="33"/>
        <v>0</v>
      </c>
      <c r="K109" s="514"/>
      <c r="L109" s="518">
        <f t="shared" si="41"/>
        <v>173978.90382541961</v>
      </c>
      <c r="M109" s="519">
        <f t="shared" si="43"/>
        <v>0</v>
      </c>
      <c r="N109" s="518">
        <f t="shared" si="42"/>
        <v>173978.90382541961</v>
      </c>
      <c r="O109" s="514">
        <f t="shared" si="37"/>
        <v>0</v>
      </c>
      <c r="P109" s="514">
        <f t="shared" si="38"/>
        <v>0</v>
      </c>
      <c r="Q109" s="269"/>
    </row>
    <row r="110" spans="1:17">
      <c r="B110" s="195" t="str">
        <f t="shared" si="39"/>
        <v/>
      </c>
      <c r="C110" s="507">
        <f>IF(D93="","-",+C109+1)</f>
        <v>2021</v>
      </c>
      <c r="D110" s="508">
        <v>1234132.4249790667</v>
      </c>
      <c r="E110" s="516">
        <v>40068.707317073167</v>
      </c>
      <c r="F110" s="515">
        <v>1194063.7176619936</v>
      </c>
      <c r="G110" s="515">
        <v>1214098.07132053</v>
      </c>
      <c r="H110" s="516">
        <v>177886.11062251645</v>
      </c>
      <c r="I110" s="510">
        <v>177886.11062251645</v>
      </c>
      <c r="J110" s="514">
        <f t="shared" si="33"/>
        <v>0</v>
      </c>
      <c r="K110" s="514"/>
      <c r="L110" s="518">
        <f t="shared" si="41"/>
        <v>177886.11062251645</v>
      </c>
      <c r="M110" s="519">
        <f t="shared" ref="M110" si="44">IF(L110&lt;&gt;0,+H110-L110,0)</f>
        <v>0</v>
      </c>
      <c r="N110" s="518">
        <f t="shared" si="42"/>
        <v>177886.11062251645</v>
      </c>
      <c r="O110" s="514">
        <f t="shared" ref="O110" si="45">IF(N110&lt;&gt;0,+I110-N110,0)</f>
        <v>0</v>
      </c>
      <c r="P110" s="514">
        <f t="shared" ref="P110" si="46">+O110-M110</f>
        <v>0</v>
      </c>
      <c r="Q110" s="269"/>
    </row>
    <row r="111" spans="1:17">
      <c r="B111" s="195" t="str">
        <f t="shared" si="39"/>
        <v/>
      </c>
      <c r="C111" s="673">
        <f>IF(D93="","-",+C110+1)</f>
        <v>2022</v>
      </c>
      <c r="D111" s="374">
        <v>1194063.7176619936</v>
      </c>
      <c r="E111" s="522">
        <v>39114.690476190473</v>
      </c>
      <c r="F111" s="523">
        <v>1154949.027185803</v>
      </c>
      <c r="G111" s="523">
        <v>1174506.3724238984</v>
      </c>
      <c r="H111" s="526">
        <v>177069.67562066831</v>
      </c>
      <c r="I111" s="577">
        <v>177069.67562066831</v>
      </c>
      <c r="J111" s="514">
        <f t="shared" si="33"/>
        <v>0</v>
      </c>
      <c r="K111" s="514"/>
      <c r="L111" s="525"/>
      <c r="M111" s="514">
        <f t="shared" si="35"/>
        <v>0</v>
      </c>
      <c r="N111" s="525"/>
      <c r="O111" s="514">
        <f t="shared" si="37"/>
        <v>0</v>
      </c>
      <c r="P111" s="514">
        <f t="shared" si="38"/>
        <v>0</v>
      </c>
      <c r="Q111" s="269"/>
    </row>
    <row r="112" spans="1:17">
      <c r="B112" s="195" t="str">
        <f t="shared" si="39"/>
        <v/>
      </c>
      <c r="C112" s="507">
        <f>IF(D93="","-",+C111+1)</f>
        <v>2023</v>
      </c>
      <c r="D112" s="374">
        <f>IF(F111+SUM(E$99:E111)=D$92,F111,D$92-SUM(E$99:E111))</f>
        <v>1154949.027185803</v>
      </c>
      <c r="E112" s="522">
        <f>IF(+J96&lt;F111,J96,D112)</f>
        <v>40068.707317073167</v>
      </c>
      <c r="F112" s="523">
        <f t="shared" ref="F112:F131" si="47">+D112-E112</f>
        <v>1114880.3198687299</v>
      </c>
      <c r="G112" s="523">
        <f t="shared" ref="G112:G130" si="48">+(F112+D112)/2</f>
        <v>1134914.6735272664</v>
      </c>
      <c r="H112" s="526">
        <f t="shared" ref="H112:H130" si="49">+J$94*G112+E112</f>
        <v>168897.66848052372</v>
      </c>
      <c r="I112" s="577">
        <f t="shared" ref="I112:I130" si="50">+J$95*G112+E112</f>
        <v>168897.66848052372</v>
      </c>
      <c r="J112" s="514">
        <f t="shared" si="33"/>
        <v>0</v>
      </c>
      <c r="K112" s="514"/>
      <c r="L112" s="525"/>
      <c r="M112" s="514">
        <f t="shared" si="35"/>
        <v>0</v>
      </c>
      <c r="N112" s="525"/>
      <c r="O112" s="514">
        <f t="shared" si="37"/>
        <v>0</v>
      </c>
      <c r="P112" s="514">
        <f t="shared" si="38"/>
        <v>0</v>
      </c>
      <c r="Q112" s="269"/>
    </row>
    <row r="113" spans="2:17">
      <c r="B113" s="195" t="str">
        <f t="shared" si="39"/>
        <v/>
      </c>
      <c r="C113" s="507">
        <f>IF(D93="","-",+C112+1)</f>
        <v>2024</v>
      </c>
      <c r="D113" s="374">
        <f>IF(F112+SUM(E$99:E112)=D$92,F112,D$92-SUM(E$99:E112))</f>
        <v>1114880.3198687299</v>
      </c>
      <c r="E113" s="522">
        <f>IF(+J96&lt;F112,J96,D113)</f>
        <v>40068.707317073167</v>
      </c>
      <c r="F113" s="523">
        <f t="shared" si="47"/>
        <v>1074811.6125516568</v>
      </c>
      <c r="G113" s="523">
        <f t="shared" si="48"/>
        <v>1094845.9662101935</v>
      </c>
      <c r="H113" s="526">
        <f t="shared" si="49"/>
        <v>164349.30016770813</v>
      </c>
      <c r="I113" s="577">
        <f t="shared" si="50"/>
        <v>164349.30016770813</v>
      </c>
      <c r="J113" s="514">
        <f t="shared" si="33"/>
        <v>0</v>
      </c>
      <c r="K113" s="514"/>
      <c r="L113" s="525"/>
      <c r="M113" s="514">
        <f t="shared" si="35"/>
        <v>0</v>
      </c>
      <c r="N113" s="525"/>
      <c r="O113" s="514">
        <f t="shared" si="37"/>
        <v>0</v>
      </c>
      <c r="P113" s="514">
        <f t="shared" si="38"/>
        <v>0</v>
      </c>
      <c r="Q113" s="269"/>
    </row>
    <row r="114" spans="2:17">
      <c r="B114" s="195" t="str">
        <f t="shared" si="39"/>
        <v/>
      </c>
      <c r="C114" s="507">
        <f>IF(D93="","-",+C113+1)</f>
        <v>2025</v>
      </c>
      <c r="D114" s="374">
        <f>IF(F113+SUM(E$99:E113)=D$92,F113,D$92-SUM(E$99:E113))</f>
        <v>1074811.6125516568</v>
      </c>
      <c r="E114" s="522">
        <f>IF(+J96&lt;F113,J96,D114)</f>
        <v>40068.707317073167</v>
      </c>
      <c r="F114" s="523">
        <f t="shared" si="47"/>
        <v>1034742.9052345837</v>
      </c>
      <c r="G114" s="523">
        <f t="shared" si="48"/>
        <v>1054777.2588931201</v>
      </c>
      <c r="H114" s="526">
        <f t="shared" si="49"/>
        <v>159800.93185489249</v>
      </c>
      <c r="I114" s="577">
        <f t="shared" si="50"/>
        <v>159800.93185489249</v>
      </c>
      <c r="J114" s="514">
        <f t="shared" si="33"/>
        <v>0</v>
      </c>
      <c r="K114" s="514"/>
      <c r="L114" s="525"/>
      <c r="M114" s="514">
        <f t="shared" si="35"/>
        <v>0</v>
      </c>
      <c r="N114" s="525"/>
      <c r="O114" s="514">
        <f t="shared" si="37"/>
        <v>0</v>
      </c>
      <c r="P114" s="514">
        <f t="shared" si="38"/>
        <v>0</v>
      </c>
      <c r="Q114" s="269"/>
    </row>
    <row r="115" spans="2:17">
      <c r="B115" s="195" t="str">
        <f t="shared" si="39"/>
        <v/>
      </c>
      <c r="C115" s="507">
        <f>IF(D93="","-",+C114+1)</f>
        <v>2026</v>
      </c>
      <c r="D115" s="374">
        <f>IF(F114+SUM(E$99:E114)=D$92,F114,D$92-SUM(E$99:E114))</f>
        <v>1034742.9052345837</v>
      </c>
      <c r="E115" s="522">
        <f>IF(+J96&lt;F114,J96,D115)</f>
        <v>40068.707317073167</v>
      </c>
      <c r="F115" s="523">
        <f t="shared" si="47"/>
        <v>994674.19791751052</v>
      </c>
      <c r="G115" s="523">
        <f t="shared" si="48"/>
        <v>1014708.5515760471</v>
      </c>
      <c r="H115" s="526">
        <f t="shared" si="49"/>
        <v>155252.56354207691</v>
      </c>
      <c r="I115" s="577">
        <f t="shared" si="50"/>
        <v>155252.56354207691</v>
      </c>
      <c r="J115" s="514">
        <f t="shared" si="33"/>
        <v>0</v>
      </c>
      <c r="K115" s="514"/>
      <c r="L115" s="525"/>
      <c r="M115" s="514">
        <f t="shared" si="35"/>
        <v>0</v>
      </c>
      <c r="N115" s="525"/>
      <c r="O115" s="514">
        <f t="shared" si="37"/>
        <v>0</v>
      </c>
      <c r="P115" s="514">
        <f t="shared" si="38"/>
        <v>0</v>
      </c>
      <c r="Q115" s="269"/>
    </row>
    <row r="116" spans="2:17">
      <c r="B116" s="195" t="str">
        <f t="shared" si="39"/>
        <v/>
      </c>
      <c r="C116" s="507">
        <f>IF(D93="","-",+C115+1)</f>
        <v>2027</v>
      </c>
      <c r="D116" s="374">
        <f>IF(F115+SUM(E$99:E115)=D$92,F115,D$92-SUM(E$99:E115))</f>
        <v>994674.19791751052</v>
      </c>
      <c r="E116" s="522">
        <f>IF(+J96&lt;F115,J96,D116)</f>
        <v>40068.707317073167</v>
      </c>
      <c r="F116" s="523">
        <f t="shared" si="47"/>
        <v>954605.49060043739</v>
      </c>
      <c r="G116" s="523">
        <f t="shared" si="48"/>
        <v>974639.84425897396</v>
      </c>
      <c r="H116" s="526">
        <f t="shared" si="49"/>
        <v>150704.19522926133</v>
      </c>
      <c r="I116" s="577">
        <f t="shared" si="50"/>
        <v>150704.19522926133</v>
      </c>
      <c r="J116" s="514">
        <f t="shared" si="33"/>
        <v>0</v>
      </c>
      <c r="K116" s="514"/>
      <c r="L116" s="525"/>
      <c r="M116" s="514">
        <f t="shared" si="35"/>
        <v>0</v>
      </c>
      <c r="N116" s="525"/>
      <c r="O116" s="514">
        <f t="shared" si="37"/>
        <v>0</v>
      </c>
      <c r="P116" s="514">
        <f t="shared" si="38"/>
        <v>0</v>
      </c>
      <c r="Q116" s="269"/>
    </row>
    <row r="117" spans="2:17">
      <c r="B117" s="195" t="str">
        <f t="shared" si="39"/>
        <v/>
      </c>
      <c r="C117" s="507">
        <f>IF(D93="","-",+C116+1)</f>
        <v>2028</v>
      </c>
      <c r="D117" s="374">
        <f>IF(F116+SUM(E$99:E116)=D$92,F116,D$92-SUM(E$99:E116))</f>
        <v>954605.49060043739</v>
      </c>
      <c r="E117" s="522">
        <f>IF(+J96&lt;F116,J96,D117)</f>
        <v>40068.707317073167</v>
      </c>
      <c r="F117" s="523">
        <f t="shared" si="47"/>
        <v>914536.78328336426</v>
      </c>
      <c r="G117" s="523">
        <f t="shared" si="48"/>
        <v>934571.13694190083</v>
      </c>
      <c r="H117" s="526">
        <f t="shared" si="49"/>
        <v>146155.82691644572</v>
      </c>
      <c r="I117" s="577">
        <f t="shared" si="50"/>
        <v>146155.82691644572</v>
      </c>
      <c r="J117" s="514">
        <f t="shared" si="33"/>
        <v>0</v>
      </c>
      <c r="K117" s="514"/>
      <c r="L117" s="525"/>
      <c r="M117" s="514">
        <f t="shared" si="35"/>
        <v>0</v>
      </c>
      <c r="N117" s="525"/>
      <c r="O117" s="514">
        <f t="shared" si="37"/>
        <v>0</v>
      </c>
      <c r="P117" s="514">
        <f t="shared" si="38"/>
        <v>0</v>
      </c>
      <c r="Q117" s="269"/>
    </row>
    <row r="118" spans="2:17">
      <c r="B118" s="195" t="str">
        <f t="shared" si="39"/>
        <v/>
      </c>
      <c r="C118" s="507">
        <f>IF(D93="","-",+C117+1)</f>
        <v>2029</v>
      </c>
      <c r="D118" s="374">
        <f>IF(F117+SUM(E$99:E117)=D$92,F117,D$92-SUM(E$99:E117))</f>
        <v>914536.78328336426</v>
      </c>
      <c r="E118" s="522">
        <f>IF(+J96&lt;F117,J96,D118)</f>
        <v>40068.707317073167</v>
      </c>
      <c r="F118" s="523">
        <f t="shared" si="47"/>
        <v>874468.07596629113</v>
      </c>
      <c r="G118" s="523">
        <f t="shared" si="48"/>
        <v>894502.4296248277</v>
      </c>
      <c r="H118" s="526">
        <f t="shared" si="49"/>
        <v>141607.4586036301</v>
      </c>
      <c r="I118" s="577">
        <f t="shared" si="50"/>
        <v>141607.4586036301</v>
      </c>
      <c r="J118" s="514">
        <f t="shared" si="33"/>
        <v>0</v>
      </c>
      <c r="K118" s="514"/>
      <c r="L118" s="525"/>
      <c r="M118" s="514">
        <f t="shared" si="35"/>
        <v>0</v>
      </c>
      <c r="N118" s="525"/>
      <c r="O118" s="514">
        <f t="shared" si="37"/>
        <v>0</v>
      </c>
      <c r="P118" s="514">
        <f t="shared" si="38"/>
        <v>0</v>
      </c>
      <c r="Q118" s="269"/>
    </row>
    <row r="119" spans="2:17">
      <c r="B119" s="195" t="str">
        <f t="shared" si="39"/>
        <v/>
      </c>
      <c r="C119" s="507">
        <f>IF(D93="","-",+C118+1)</f>
        <v>2030</v>
      </c>
      <c r="D119" s="374">
        <f>IF(F118+SUM(E$99:E118)=D$92,F118,D$92-SUM(E$99:E118))</f>
        <v>874468.07596629113</v>
      </c>
      <c r="E119" s="522">
        <f>IF(+J96&lt;F118,J96,D119)</f>
        <v>40068.707317073167</v>
      </c>
      <c r="F119" s="523">
        <f t="shared" si="47"/>
        <v>834399.368649218</v>
      </c>
      <c r="G119" s="523">
        <f t="shared" si="48"/>
        <v>854433.72230775456</v>
      </c>
      <c r="H119" s="526">
        <f t="shared" si="49"/>
        <v>137059.09029081452</v>
      </c>
      <c r="I119" s="577">
        <f t="shared" si="50"/>
        <v>137059.09029081452</v>
      </c>
      <c r="J119" s="514">
        <f t="shared" si="33"/>
        <v>0</v>
      </c>
      <c r="K119" s="514"/>
      <c r="L119" s="525"/>
      <c r="M119" s="514">
        <f t="shared" si="35"/>
        <v>0</v>
      </c>
      <c r="N119" s="525"/>
      <c r="O119" s="514">
        <f t="shared" si="37"/>
        <v>0</v>
      </c>
      <c r="P119" s="514">
        <f t="shared" si="38"/>
        <v>0</v>
      </c>
      <c r="Q119" s="269"/>
    </row>
    <row r="120" spans="2:17">
      <c r="B120" s="195" t="str">
        <f t="shared" si="39"/>
        <v/>
      </c>
      <c r="C120" s="507">
        <f>IF(D93="","-",+C119+1)</f>
        <v>2031</v>
      </c>
      <c r="D120" s="374">
        <f>IF(F119+SUM(E$99:E119)=D$92,F119,D$92-SUM(E$99:E119))</f>
        <v>834399.368649218</v>
      </c>
      <c r="E120" s="522">
        <f>IF(+J96&lt;F119,J96,D120)</f>
        <v>40068.707317073167</v>
      </c>
      <c r="F120" s="523">
        <f t="shared" si="47"/>
        <v>794330.66133214487</v>
      </c>
      <c r="G120" s="523">
        <f t="shared" si="48"/>
        <v>814365.01499068143</v>
      </c>
      <c r="H120" s="526">
        <f t="shared" si="49"/>
        <v>132510.72197799891</v>
      </c>
      <c r="I120" s="577">
        <f t="shared" si="50"/>
        <v>132510.72197799891</v>
      </c>
      <c r="J120" s="514">
        <f t="shared" si="33"/>
        <v>0</v>
      </c>
      <c r="K120" s="514"/>
      <c r="L120" s="525"/>
      <c r="M120" s="514">
        <f t="shared" si="35"/>
        <v>0</v>
      </c>
      <c r="N120" s="525"/>
      <c r="O120" s="514">
        <f t="shared" si="37"/>
        <v>0</v>
      </c>
      <c r="P120" s="514">
        <f t="shared" si="38"/>
        <v>0</v>
      </c>
      <c r="Q120" s="269"/>
    </row>
    <row r="121" spans="2:17">
      <c r="B121" s="195" t="str">
        <f t="shared" si="39"/>
        <v/>
      </c>
      <c r="C121" s="507">
        <f>IF(D93="","-",+C120+1)</f>
        <v>2032</v>
      </c>
      <c r="D121" s="374">
        <f>IF(F120+SUM(E$99:E120)=D$92,F120,D$92-SUM(E$99:E120))</f>
        <v>794330.66133214487</v>
      </c>
      <c r="E121" s="522">
        <f>IF(+J96&lt;F120,J96,D121)</f>
        <v>40068.707317073167</v>
      </c>
      <c r="F121" s="523">
        <f t="shared" si="47"/>
        <v>754261.95401507174</v>
      </c>
      <c r="G121" s="523">
        <f t="shared" si="48"/>
        <v>774296.3076736083</v>
      </c>
      <c r="H121" s="526">
        <f t="shared" si="49"/>
        <v>127962.35366518333</v>
      </c>
      <c r="I121" s="577">
        <f t="shared" si="50"/>
        <v>127962.35366518333</v>
      </c>
      <c r="J121" s="514">
        <f t="shared" si="33"/>
        <v>0</v>
      </c>
      <c r="K121" s="514"/>
      <c r="L121" s="525"/>
      <c r="M121" s="514">
        <f t="shared" si="35"/>
        <v>0</v>
      </c>
      <c r="N121" s="525"/>
      <c r="O121" s="514">
        <f t="shared" si="37"/>
        <v>0</v>
      </c>
      <c r="P121" s="514">
        <f t="shared" si="38"/>
        <v>0</v>
      </c>
      <c r="Q121" s="269"/>
    </row>
    <row r="122" spans="2:17">
      <c r="B122" s="195" t="str">
        <f t="shared" si="39"/>
        <v/>
      </c>
      <c r="C122" s="507">
        <f>IF(D93="","-",+C121+1)</f>
        <v>2033</v>
      </c>
      <c r="D122" s="374">
        <f>IF(F121+SUM(E$99:E121)=D$92,F121,D$92-SUM(E$99:E121))</f>
        <v>754261.95401507174</v>
      </c>
      <c r="E122" s="522">
        <f>IF(+J96&lt;F121,J96,D122)</f>
        <v>40068.707317073167</v>
      </c>
      <c r="F122" s="523">
        <f t="shared" si="47"/>
        <v>714193.24669799861</v>
      </c>
      <c r="G122" s="523">
        <f t="shared" si="48"/>
        <v>734227.60035653517</v>
      </c>
      <c r="H122" s="526">
        <f t="shared" si="49"/>
        <v>123413.98535236772</v>
      </c>
      <c r="I122" s="577">
        <f t="shared" si="50"/>
        <v>123413.98535236772</v>
      </c>
      <c r="J122" s="514">
        <f t="shared" si="33"/>
        <v>0</v>
      </c>
      <c r="K122" s="514"/>
      <c r="L122" s="525"/>
      <c r="M122" s="514">
        <f t="shared" si="35"/>
        <v>0</v>
      </c>
      <c r="N122" s="525"/>
      <c r="O122" s="514">
        <f t="shared" si="37"/>
        <v>0</v>
      </c>
      <c r="P122" s="514">
        <f t="shared" si="38"/>
        <v>0</v>
      </c>
      <c r="Q122" s="269"/>
    </row>
    <row r="123" spans="2:17">
      <c r="B123" s="195" t="str">
        <f t="shared" si="39"/>
        <v/>
      </c>
      <c r="C123" s="507">
        <f>IF(D93="","-",+C122+1)</f>
        <v>2034</v>
      </c>
      <c r="D123" s="374">
        <f>IF(F122+SUM(E$99:E122)=D$92,F122,D$92-SUM(E$99:E122))</f>
        <v>714193.24669799861</v>
      </c>
      <c r="E123" s="522">
        <f>IF(+J96&lt;F122,J96,D123)</f>
        <v>40068.707317073167</v>
      </c>
      <c r="F123" s="523">
        <f t="shared" si="47"/>
        <v>674124.53938092547</v>
      </c>
      <c r="G123" s="523">
        <f t="shared" si="48"/>
        <v>694158.89303946204</v>
      </c>
      <c r="H123" s="526">
        <f t="shared" si="49"/>
        <v>118865.6170395521</v>
      </c>
      <c r="I123" s="577">
        <f t="shared" si="50"/>
        <v>118865.6170395521</v>
      </c>
      <c r="J123" s="514">
        <f t="shared" si="33"/>
        <v>0</v>
      </c>
      <c r="K123" s="514"/>
      <c r="L123" s="525"/>
      <c r="M123" s="514">
        <f t="shared" si="35"/>
        <v>0</v>
      </c>
      <c r="N123" s="525"/>
      <c r="O123" s="514">
        <f t="shared" si="37"/>
        <v>0</v>
      </c>
      <c r="P123" s="514">
        <f t="shared" si="38"/>
        <v>0</v>
      </c>
      <c r="Q123" s="269"/>
    </row>
    <row r="124" spans="2:17">
      <c r="B124" s="195" t="str">
        <f t="shared" si="39"/>
        <v/>
      </c>
      <c r="C124" s="507">
        <f>IF(D93="","-",+C123+1)</f>
        <v>2035</v>
      </c>
      <c r="D124" s="374">
        <f>IF(F123+SUM(E$99:E123)=D$92,F123,D$92-SUM(E$99:E123))</f>
        <v>674124.53938092547</v>
      </c>
      <c r="E124" s="522">
        <f>IF(+J96&lt;F123,J96,D124)</f>
        <v>40068.707317073167</v>
      </c>
      <c r="F124" s="523">
        <f t="shared" si="47"/>
        <v>634055.83206385234</v>
      </c>
      <c r="G124" s="523">
        <f t="shared" si="48"/>
        <v>654090.18572238891</v>
      </c>
      <c r="H124" s="526">
        <f t="shared" si="49"/>
        <v>114317.24872673652</v>
      </c>
      <c r="I124" s="577">
        <f t="shared" si="50"/>
        <v>114317.24872673652</v>
      </c>
      <c r="J124" s="514">
        <f t="shared" si="33"/>
        <v>0</v>
      </c>
      <c r="K124" s="514"/>
      <c r="L124" s="525"/>
      <c r="M124" s="514">
        <f t="shared" si="35"/>
        <v>0</v>
      </c>
      <c r="N124" s="525"/>
      <c r="O124" s="514">
        <f t="shared" si="37"/>
        <v>0</v>
      </c>
      <c r="P124" s="514">
        <f t="shared" si="38"/>
        <v>0</v>
      </c>
      <c r="Q124" s="269"/>
    </row>
    <row r="125" spans="2:17">
      <c r="B125" s="195" t="str">
        <f t="shared" si="39"/>
        <v/>
      </c>
      <c r="C125" s="507">
        <f>IF(D93="","-",+C124+1)</f>
        <v>2036</v>
      </c>
      <c r="D125" s="374">
        <f>IF(F124+SUM(E$99:E124)=D$92,F124,D$92-SUM(E$99:E124))</f>
        <v>634055.83206385234</v>
      </c>
      <c r="E125" s="522">
        <f>IF(+J96&lt;F124,J96,D125)</f>
        <v>40068.707317073167</v>
      </c>
      <c r="F125" s="523">
        <f t="shared" si="47"/>
        <v>593987.12474677921</v>
      </c>
      <c r="G125" s="523">
        <f t="shared" si="48"/>
        <v>614021.47840531578</v>
      </c>
      <c r="H125" s="526">
        <f t="shared" si="49"/>
        <v>109768.88041392091</v>
      </c>
      <c r="I125" s="577">
        <f t="shared" si="50"/>
        <v>109768.88041392091</v>
      </c>
      <c r="J125" s="514">
        <f t="shared" si="33"/>
        <v>0</v>
      </c>
      <c r="K125" s="514"/>
      <c r="L125" s="525"/>
      <c r="M125" s="514">
        <f t="shared" si="35"/>
        <v>0</v>
      </c>
      <c r="N125" s="525"/>
      <c r="O125" s="514">
        <f t="shared" si="37"/>
        <v>0</v>
      </c>
      <c r="P125" s="514">
        <f t="shared" si="38"/>
        <v>0</v>
      </c>
      <c r="Q125" s="269"/>
    </row>
    <row r="126" spans="2:17">
      <c r="B126" s="195" t="str">
        <f t="shared" si="39"/>
        <v/>
      </c>
      <c r="C126" s="507">
        <f>IF(D93="","-",+C125+1)</f>
        <v>2037</v>
      </c>
      <c r="D126" s="374">
        <f>IF(F125+SUM(E$99:E125)=D$92,F125,D$92-SUM(E$99:E125))</f>
        <v>593987.12474677921</v>
      </c>
      <c r="E126" s="522">
        <f>IF(+J96&lt;F125,J96,D126)</f>
        <v>40068.707317073167</v>
      </c>
      <c r="F126" s="523">
        <f t="shared" si="47"/>
        <v>553918.41742970608</v>
      </c>
      <c r="G126" s="523">
        <f t="shared" si="48"/>
        <v>573952.77108824265</v>
      </c>
      <c r="H126" s="526">
        <f t="shared" si="49"/>
        <v>105220.51210110531</v>
      </c>
      <c r="I126" s="577">
        <f t="shared" si="50"/>
        <v>105220.51210110531</v>
      </c>
      <c r="J126" s="514">
        <f t="shared" si="33"/>
        <v>0</v>
      </c>
      <c r="K126" s="514"/>
      <c r="L126" s="525"/>
      <c r="M126" s="514">
        <f t="shared" si="35"/>
        <v>0</v>
      </c>
      <c r="N126" s="525"/>
      <c r="O126" s="514">
        <f t="shared" si="37"/>
        <v>0</v>
      </c>
      <c r="P126" s="514">
        <f t="shared" si="38"/>
        <v>0</v>
      </c>
      <c r="Q126" s="269"/>
    </row>
    <row r="127" spans="2:17">
      <c r="B127" s="195" t="str">
        <f t="shared" si="39"/>
        <v/>
      </c>
      <c r="C127" s="507">
        <f>IF(D93="","-",+C126+1)</f>
        <v>2038</v>
      </c>
      <c r="D127" s="374">
        <f>IF(F126+SUM(E$99:E126)=D$92,F126,D$92-SUM(E$99:E126))</f>
        <v>553918.41742970608</v>
      </c>
      <c r="E127" s="522">
        <f>IF(+J96&lt;F126,J96,D127)</f>
        <v>40068.707317073167</v>
      </c>
      <c r="F127" s="523">
        <f t="shared" si="47"/>
        <v>513849.71011263289</v>
      </c>
      <c r="G127" s="523">
        <f t="shared" si="48"/>
        <v>533884.06377116952</v>
      </c>
      <c r="H127" s="526">
        <f t="shared" si="49"/>
        <v>100672.14378828972</v>
      </c>
      <c r="I127" s="577">
        <f t="shared" si="50"/>
        <v>100672.14378828972</v>
      </c>
      <c r="J127" s="514">
        <f t="shared" si="33"/>
        <v>0</v>
      </c>
      <c r="K127" s="514"/>
      <c r="L127" s="525"/>
      <c r="M127" s="514">
        <f t="shared" si="35"/>
        <v>0</v>
      </c>
      <c r="N127" s="525"/>
      <c r="O127" s="514">
        <f t="shared" si="37"/>
        <v>0</v>
      </c>
      <c r="P127" s="514">
        <f t="shared" si="38"/>
        <v>0</v>
      </c>
      <c r="Q127" s="269"/>
    </row>
    <row r="128" spans="2:17">
      <c r="B128" s="195" t="str">
        <f t="shared" si="39"/>
        <v/>
      </c>
      <c r="C128" s="507">
        <f>IF(D93="","-",+C127+1)</f>
        <v>2039</v>
      </c>
      <c r="D128" s="374">
        <f>IF(F127+SUM(E$99:E127)=D$92,F127,D$92-SUM(E$99:E127))</f>
        <v>513849.71011263289</v>
      </c>
      <c r="E128" s="522">
        <f>IF(+J96&lt;F127,J96,D128)</f>
        <v>40068.707317073167</v>
      </c>
      <c r="F128" s="523">
        <f t="shared" si="47"/>
        <v>473781.0027955597</v>
      </c>
      <c r="G128" s="523">
        <f t="shared" si="48"/>
        <v>493815.35645409627</v>
      </c>
      <c r="H128" s="526">
        <f t="shared" si="49"/>
        <v>96123.775475474104</v>
      </c>
      <c r="I128" s="577">
        <f t="shared" si="50"/>
        <v>96123.775475474104</v>
      </c>
      <c r="J128" s="514">
        <f t="shared" si="33"/>
        <v>0</v>
      </c>
      <c r="K128" s="514"/>
      <c r="L128" s="525"/>
      <c r="M128" s="514">
        <f t="shared" si="35"/>
        <v>0</v>
      </c>
      <c r="N128" s="525"/>
      <c r="O128" s="514">
        <f t="shared" si="37"/>
        <v>0</v>
      </c>
      <c r="P128" s="514">
        <f t="shared" si="38"/>
        <v>0</v>
      </c>
      <c r="Q128" s="269"/>
    </row>
    <row r="129" spans="2:17">
      <c r="B129" s="195" t="str">
        <f t="shared" si="39"/>
        <v/>
      </c>
      <c r="C129" s="507">
        <f>IF(D93="","-",+C128+1)</f>
        <v>2040</v>
      </c>
      <c r="D129" s="374">
        <f>IF(F128+SUM(E$99:E128)=D$92,F128,D$92-SUM(E$99:E128))</f>
        <v>473781.0027955597</v>
      </c>
      <c r="E129" s="522">
        <f>IF(+J96&lt;F128,J96,D129)</f>
        <v>40068.707317073167</v>
      </c>
      <c r="F129" s="523">
        <f t="shared" si="47"/>
        <v>433712.29547848651</v>
      </c>
      <c r="G129" s="523">
        <f t="shared" si="48"/>
        <v>453746.64913702314</v>
      </c>
      <c r="H129" s="526">
        <f t="shared" si="49"/>
        <v>91575.407162658492</v>
      </c>
      <c r="I129" s="577">
        <f t="shared" si="50"/>
        <v>91575.407162658492</v>
      </c>
      <c r="J129" s="514">
        <f t="shared" si="33"/>
        <v>0</v>
      </c>
      <c r="K129" s="514"/>
      <c r="L129" s="525"/>
      <c r="M129" s="514">
        <f t="shared" si="35"/>
        <v>0</v>
      </c>
      <c r="N129" s="525"/>
      <c r="O129" s="514">
        <f t="shared" si="37"/>
        <v>0</v>
      </c>
      <c r="P129" s="514">
        <f t="shared" si="38"/>
        <v>0</v>
      </c>
      <c r="Q129" s="269"/>
    </row>
    <row r="130" spans="2:17">
      <c r="B130" s="195" t="str">
        <f t="shared" si="39"/>
        <v/>
      </c>
      <c r="C130" s="507">
        <f>IF(D93="","-",+C129+1)</f>
        <v>2041</v>
      </c>
      <c r="D130" s="374">
        <f>IF(F129+SUM(E$99:E129)=D$92,F129,D$92-SUM(E$99:E129))</f>
        <v>433712.29547848651</v>
      </c>
      <c r="E130" s="522">
        <f>IF(+J96&lt;F129,J96,D130)</f>
        <v>40068.707317073167</v>
      </c>
      <c r="F130" s="523">
        <f t="shared" si="47"/>
        <v>393643.58816141332</v>
      </c>
      <c r="G130" s="523">
        <f t="shared" si="48"/>
        <v>413677.94181994989</v>
      </c>
      <c r="H130" s="526">
        <f t="shared" si="49"/>
        <v>87027.03884984288</v>
      </c>
      <c r="I130" s="577">
        <f t="shared" si="50"/>
        <v>87027.03884984288</v>
      </c>
      <c r="J130" s="514">
        <f t="shared" si="33"/>
        <v>0</v>
      </c>
      <c r="K130" s="514"/>
      <c r="L130" s="525"/>
      <c r="M130" s="514">
        <f t="shared" si="35"/>
        <v>0</v>
      </c>
      <c r="N130" s="525"/>
      <c r="O130" s="514">
        <f t="shared" si="37"/>
        <v>0</v>
      </c>
      <c r="P130" s="514">
        <f t="shared" si="38"/>
        <v>0</v>
      </c>
      <c r="Q130" s="269"/>
    </row>
    <row r="131" spans="2:17">
      <c r="B131" s="195" t="str">
        <f t="shared" si="39"/>
        <v/>
      </c>
      <c r="C131" s="507">
        <f>IF(D93="","-",+C130+1)</f>
        <v>2042</v>
      </c>
      <c r="D131" s="374">
        <f>IF(F130+SUM(E$99:E130)=D$92,F130,D$92-SUM(E$99:E130))</f>
        <v>393643.58816141332</v>
      </c>
      <c r="E131" s="522">
        <f>IF(+J96&lt;F130,J96,D131)</f>
        <v>40068.707317073167</v>
      </c>
      <c r="F131" s="523">
        <f t="shared" si="47"/>
        <v>353574.88084434014</v>
      </c>
      <c r="G131" s="523">
        <f t="shared" ref="G131:G154" si="51">+(F131+D131)/2</f>
        <v>373609.23450287676</v>
      </c>
      <c r="H131" s="526">
        <f t="shared" ref="H131:H154" si="52">+J$94*G131+E131</f>
        <v>82478.670537027283</v>
      </c>
      <c r="I131" s="577">
        <f t="shared" ref="I131:I154" si="53">+J$95*G131+E131</f>
        <v>82478.670537027283</v>
      </c>
      <c r="J131" s="514">
        <f t="shared" ref="J131:J154" si="54">+I131-H131</f>
        <v>0</v>
      </c>
      <c r="K131" s="514"/>
      <c r="L131" s="525"/>
      <c r="M131" s="514">
        <f t="shared" ref="M131:M154" si="55">IF(L131&lt;&gt;0,+H131-L131,0)</f>
        <v>0</v>
      </c>
      <c r="N131" s="525"/>
      <c r="O131" s="514">
        <f t="shared" ref="O131:O154" si="56">IF(N131&lt;&gt;0,+I131-N131,0)</f>
        <v>0</v>
      </c>
      <c r="P131" s="514">
        <f t="shared" ref="P131:P154" si="57">+O131-M131</f>
        <v>0</v>
      </c>
      <c r="Q131" s="269"/>
    </row>
    <row r="132" spans="2:17">
      <c r="B132" s="195" t="str">
        <f t="shared" si="39"/>
        <v/>
      </c>
      <c r="C132" s="507">
        <f>IF(D93="","-",+C131+1)</f>
        <v>2043</v>
      </c>
      <c r="D132" s="374">
        <f>IF(F131+SUM(E$99:E131)=D$92,F131,D$92-SUM(E$99:E131))</f>
        <v>353574.88084434014</v>
      </c>
      <c r="E132" s="522">
        <f>IF(+J96&lt;F131,J96,D132)</f>
        <v>40068.707317073167</v>
      </c>
      <c r="F132" s="523">
        <f t="shared" ref="F132:F154" si="58">+D132-E132</f>
        <v>313506.17352726695</v>
      </c>
      <c r="G132" s="523">
        <f t="shared" si="51"/>
        <v>333540.52718580351</v>
      </c>
      <c r="H132" s="526">
        <f t="shared" si="52"/>
        <v>77930.302224211657</v>
      </c>
      <c r="I132" s="577">
        <f t="shared" si="53"/>
        <v>77930.302224211657</v>
      </c>
      <c r="J132" s="514">
        <f t="shared" si="54"/>
        <v>0</v>
      </c>
      <c r="K132" s="514"/>
      <c r="L132" s="525"/>
      <c r="M132" s="514">
        <f t="shared" si="55"/>
        <v>0</v>
      </c>
      <c r="N132" s="525"/>
      <c r="O132" s="514">
        <f t="shared" si="56"/>
        <v>0</v>
      </c>
      <c r="P132" s="514">
        <f t="shared" si="57"/>
        <v>0</v>
      </c>
      <c r="Q132" s="269"/>
    </row>
    <row r="133" spans="2:17">
      <c r="B133" s="195" t="str">
        <f t="shared" si="39"/>
        <v/>
      </c>
      <c r="C133" s="507">
        <f>IF(D93="","-",+C132+1)</f>
        <v>2044</v>
      </c>
      <c r="D133" s="374">
        <f>IF(F132+SUM(E$99:E132)=D$92,F132,D$92-SUM(E$99:E132))</f>
        <v>313506.17352726695</v>
      </c>
      <c r="E133" s="522">
        <f>IF(+J96&lt;F132,J96,D133)</f>
        <v>40068.707317073167</v>
      </c>
      <c r="F133" s="523">
        <f t="shared" si="58"/>
        <v>273437.46621019376</v>
      </c>
      <c r="G133" s="523">
        <f t="shared" si="51"/>
        <v>293471.81986873038</v>
      </c>
      <c r="H133" s="526">
        <f t="shared" si="52"/>
        <v>73381.933911396074</v>
      </c>
      <c r="I133" s="577">
        <f t="shared" si="53"/>
        <v>73381.933911396074</v>
      </c>
      <c r="J133" s="514">
        <f t="shared" si="54"/>
        <v>0</v>
      </c>
      <c r="K133" s="514"/>
      <c r="L133" s="525"/>
      <c r="M133" s="514">
        <f t="shared" si="55"/>
        <v>0</v>
      </c>
      <c r="N133" s="525"/>
      <c r="O133" s="514">
        <f t="shared" si="56"/>
        <v>0</v>
      </c>
      <c r="P133" s="514">
        <f t="shared" si="57"/>
        <v>0</v>
      </c>
      <c r="Q133" s="269"/>
    </row>
    <row r="134" spans="2:17">
      <c r="B134" s="195" t="str">
        <f t="shared" si="39"/>
        <v/>
      </c>
      <c r="C134" s="507">
        <f>IF(D93="","-",+C133+1)</f>
        <v>2045</v>
      </c>
      <c r="D134" s="374">
        <f>IF(F133+SUM(E$99:E133)=D$92,F133,D$92-SUM(E$99:E133))</f>
        <v>273437.46621019376</v>
      </c>
      <c r="E134" s="522">
        <f>IF(+J96&lt;F133,J96,D134)</f>
        <v>40068.707317073167</v>
      </c>
      <c r="F134" s="523">
        <f t="shared" si="58"/>
        <v>233368.7588931206</v>
      </c>
      <c r="G134" s="523">
        <f t="shared" si="51"/>
        <v>253403.11255165719</v>
      </c>
      <c r="H134" s="526">
        <f t="shared" si="52"/>
        <v>68833.565598580462</v>
      </c>
      <c r="I134" s="577">
        <f t="shared" si="53"/>
        <v>68833.565598580462</v>
      </c>
      <c r="J134" s="514">
        <f t="shared" si="54"/>
        <v>0</v>
      </c>
      <c r="K134" s="514"/>
      <c r="L134" s="525"/>
      <c r="M134" s="514">
        <f t="shared" si="55"/>
        <v>0</v>
      </c>
      <c r="N134" s="525"/>
      <c r="O134" s="514">
        <f t="shared" si="56"/>
        <v>0</v>
      </c>
      <c r="P134" s="514">
        <f t="shared" si="57"/>
        <v>0</v>
      </c>
      <c r="Q134" s="269"/>
    </row>
    <row r="135" spans="2:17">
      <c r="B135" s="195" t="str">
        <f t="shared" si="39"/>
        <v/>
      </c>
      <c r="C135" s="507">
        <f>IF(D93="","-",+C134+1)</f>
        <v>2046</v>
      </c>
      <c r="D135" s="374">
        <f>IF(F134+SUM(E$99:E134)=D$92,F134,D$92-SUM(E$99:E134))</f>
        <v>233368.7588931206</v>
      </c>
      <c r="E135" s="522">
        <f>IF(+J96&lt;F134,J96,D135)</f>
        <v>40068.707317073167</v>
      </c>
      <c r="F135" s="523">
        <f t="shared" si="58"/>
        <v>193300.05157604744</v>
      </c>
      <c r="G135" s="523">
        <f t="shared" si="51"/>
        <v>213334.405234584</v>
      </c>
      <c r="H135" s="526">
        <f t="shared" si="52"/>
        <v>64285.197285764851</v>
      </c>
      <c r="I135" s="577">
        <f t="shared" si="53"/>
        <v>64285.197285764851</v>
      </c>
      <c r="J135" s="514">
        <f t="shared" si="54"/>
        <v>0</v>
      </c>
      <c r="K135" s="514"/>
      <c r="L135" s="525"/>
      <c r="M135" s="514">
        <f t="shared" si="55"/>
        <v>0</v>
      </c>
      <c r="N135" s="525"/>
      <c r="O135" s="514">
        <f t="shared" si="56"/>
        <v>0</v>
      </c>
      <c r="P135" s="514">
        <f t="shared" si="57"/>
        <v>0</v>
      </c>
      <c r="Q135" s="269"/>
    </row>
    <row r="136" spans="2:17">
      <c r="B136" s="195" t="str">
        <f t="shared" si="39"/>
        <v/>
      </c>
      <c r="C136" s="507">
        <f>IF(D93="","-",+C135+1)</f>
        <v>2047</v>
      </c>
      <c r="D136" s="374">
        <f>IF(F135+SUM(E$99:E135)=D$92,F135,D$92-SUM(E$99:E135))</f>
        <v>193300.05157604744</v>
      </c>
      <c r="E136" s="522">
        <f>IF(+J96&lt;F135,J96,D136)</f>
        <v>40068.707317073167</v>
      </c>
      <c r="F136" s="523">
        <f t="shared" si="58"/>
        <v>153231.34425897428</v>
      </c>
      <c r="G136" s="523">
        <f t="shared" si="51"/>
        <v>173265.69791751087</v>
      </c>
      <c r="H136" s="526">
        <f t="shared" si="52"/>
        <v>59736.828972949254</v>
      </c>
      <c r="I136" s="577">
        <f t="shared" si="53"/>
        <v>59736.828972949254</v>
      </c>
      <c r="J136" s="514">
        <f t="shared" si="54"/>
        <v>0</v>
      </c>
      <c r="K136" s="514"/>
      <c r="L136" s="525"/>
      <c r="M136" s="514">
        <f t="shared" si="55"/>
        <v>0</v>
      </c>
      <c r="N136" s="525"/>
      <c r="O136" s="514">
        <f t="shared" si="56"/>
        <v>0</v>
      </c>
      <c r="P136" s="514">
        <f t="shared" si="57"/>
        <v>0</v>
      </c>
      <c r="Q136" s="269"/>
    </row>
    <row r="137" spans="2:17">
      <c r="B137" s="195" t="str">
        <f t="shared" si="39"/>
        <v/>
      </c>
      <c r="C137" s="507">
        <f>IF(D93="","-",+C136+1)</f>
        <v>2048</v>
      </c>
      <c r="D137" s="374">
        <f>IF(F136+SUM(E$99:E136)=D$92,F136,D$92-SUM(E$99:E136))</f>
        <v>153231.34425897428</v>
      </c>
      <c r="E137" s="522">
        <f>IF(+J96&lt;F136,J96,D137)</f>
        <v>40068.707317073167</v>
      </c>
      <c r="F137" s="523">
        <f t="shared" si="58"/>
        <v>113162.63694190112</v>
      </c>
      <c r="G137" s="523">
        <f t="shared" si="51"/>
        <v>133196.99060043768</v>
      </c>
      <c r="H137" s="526">
        <f t="shared" si="52"/>
        <v>55188.460660133642</v>
      </c>
      <c r="I137" s="577">
        <f t="shared" si="53"/>
        <v>55188.460660133642</v>
      </c>
      <c r="J137" s="514">
        <f t="shared" si="54"/>
        <v>0</v>
      </c>
      <c r="K137" s="514"/>
      <c r="L137" s="525"/>
      <c r="M137" s="514">
        <f t="shared" si="55"/>
        <v>0</v>
      </c>
      <c r="N137" s="525"/>
      <c r="O137" s="514">
        <f t="shared" si="56"/>
        <v>0</v>
      </c>
      <c r="P137" s="514">
        <f t="shared" si="57"/>
        <v>0</v>
      </c>
      <c r="Q137" s="269"/>
    </row>
    <row r="138" spans="2:17">
      <c r="B138" s="195" t="str">
        <f t="shared" si="39"/>
        <v/>
      </c>
      <c r="C138" s="507">
        <f>IF(D93="","-",+C137+1)</f>
        <v>2049</v>
      </c>
      <c r="D138" s="374">
        <f>IF(F137+SUM(E$99:E137)=D$92,F137,D$92-SUM(E$99:E137))</f>
        <v>113162.63694190112</v>
      </c>
      <c r="E138" s="522">
        <f>IF(+J96&lt;F137,J96,D138)</f>
        <v>40068.707317073167</v>
      </c>
      <c r="F138" s="523">
        <f t="shared" si="58"/>
        <v>73093.929624827957</v>
      </c>
      <c r="G138" s="523">
        <f t="shared" si="51"/>
        <v>93128.283283364537</v>
      </c>
      <c r="H138" s="526">
        <f t="shared" si="52"/>
        <v>50640.092347318037</v>
      </c>
      <c r="I138" s="577">
        <f t="shared" si="53"/>
        <v>50640.092347318037</v>
      </c>
      <c r="J138" s="514">
        <f t="shared" si="54"/>
        <v>0</v>
      </c>
      <c r="K138" s="514"/>
      <c r="L138" s="525"/>
      <c r="M138" s="514">
        <f t="shared" si="55"/>
        <v>0</v>
      </c>
      <c r="N138" s="525"/>
      <c r="O138" s="514">
        <f t="shared" si="56"/>
        <v>0</v>
      </c>
      <c r="P138" s="514">
        <f t="shared" si="57"/>
        <v>0</v>
      </c>
      <c r="Q138" s="269"/>
    </row>
    <row r="139" spans="2:17">
      <c r="B139" s="195" t="str">
        <f t="shared" si="39"/>
        <v/>
      </c>
      <c r="C139" s="507">
        <f>IF(D93="","-",+C138+1)</f>
        <v>2050</v>
      </c>
      <c r="D139" s="374">
        <f>IF(F138+SUM(E$99:E138)=D$92,F138,D$92-SUM(E$99:E138))</f>
        <v>73093.929624827957</v>
      </c>
      <c r="E139" s="522">
        <f>IF(+J96&lt;F138,J96,D139)</f>
        <v>40068.707317073167</v>
      </c>
      <c r="F139" s="523">
        <f t="shared" si="58"/>
        <v>33025.22230775479</v>
      </c>
      <c r="G139" s="523">
        <f t="shared" si="51"/>
        <v>53059.575966291377</v>
      </c>
      <c r="H139" s="526">
        <f t="shared" si="52"/>
        <v>46091.724034502433</v>
      </c>
      <c r="I139" s="577">
        <f t="shared" si="53"/>
        <v>46091.724034502433</v>
      </c>
      <c r="J139" s="514">
        <f t="shared" si="54"/>
        <v>0</v>
      </c>
      <c r="K139" s="514"/>
      <c r="L139" s="525"/>
      <c r="M139" s="514">
        <f t="shared" si="55"/>
        <v>0</v>
      </c>
      <c r="N139" s="525"/>
      <c r="O139" s="514">
        <f t="shared" si="56"/>
        <v>0</v>
      </c>
      <c r="P139" s="514">
        <f t="shared" si="57"/>
        <v>0</v>
      </c>
      <c r="Q139" s="269"/>
    </row>
    <row r="140" spans="2:17">
      <c r="B140" s="195" t="str">
        <f t="shared" si="39"/>
        <v/>
      </c>
      <c r="C140" s="507">
        <f>IF(D93="","-",+C139+1)</f>
        <v>2051</v>
      </c>
      <c r="D140" s="374">
        <f>IF(F139+SUM(E$99:E139)=D$92,F139,D$92-SUM(E$99:E139))</f>
        <v>33025.22230775479</v>
      </c>
      <c r="E140" s="522">
        <f>IF(+J96&lt;F139,J96,D140)</f>
        <v>33025.22230775479</v>
      </c>
      <c r="F140" s="523">
        <f t="shared" si="58"/>
        <v>0</v>
      </c>
      <c r="G140" s="523">
        <f t="shared" si="51"/>
        <v>16512.611153877395</v>
      </c>
      <c r="H140" s="526">
        <f t="shared" si="52"/>
        <v>34899.638588265523</v>
      </c>
      <c r="I140" s="577">
        <f t="shared" si="53"/>
        <v>34899.638588265523</v>
      </c>
      <c r="J140" s="514">
        <f t="shared" si="54"/>
        <v>0</v>
      </c>
      <c r="K140" s="514"/>
      <c r="L140" s="525"/>
      <c r="M140" s="514">
        <f t="shared" si="55"/>
        <v>0</v>
      </c>
      <c r="N140" s="525"/>
      <c r="O140" s="514">
        <f t="shared" si="56"/>
        <v>0</v>
      </c>
      <c r="P140" s="514">
        <f t="shared" si="57"/>
        <v>0</v>
      </c>
      <c r="Q140" s="269"/>
    </row>
    <row r="141" spans="2:17">
      <c r="B141" s="195" t="str">
        <f t="shared" si="39"/>
        <v/>
      </c>
      <c r="C141" s="507">
        <f>IF(D93="","-",+C140+1)</f>
        <v>2052</v>
      </c>
      <c r="D141" s="374">
        <f>IF(F140+SUM(E$99:E140)=D$92,F140,D$92-SUM(E$99:E140))</f>
        <v>0</v>
      </c>
      <c r="E141" s="522">
        <f>IF(+J96&lt;F140,J96,D141)</f>
        <v>0</v>
      </c>
      <c r="F141" s="523">
        <f t="shared" si="58"/>
        <v>0</v>
      </c>
      <c r="G141" s="523">
        <f t="shared" si="51"/>
        <v>0</v>
      </c>
      <c r="H141" s="526">
        <f t="shared" si="52"/>
        <v>0</v>
      </c>
      <c r="I141" s="577">
        <f t="shared" si="53"/>
        <v>0</v>
      </c>
      <c r="J141" s="514">
        <f t="shared" si="54"/>
        <v>0</v>
      </c>
      <c r="K141" s="514"/>
      <c r="L141" s="525"/>
      <c r="M141" s="514">
        <f t="shared" si="55"/>
        <v>0</v>
      </c>
      <c r="N141" s="525"/>
      <c r="O141" s="514">
        <f t="shared" si="56"/>
        <v>0</v>
      </c>
      <c r="P141" s="514">
        <f t="shared" si="57"/>
        <v>0</v>
      </c>
      <c r="Q141" s="269"/>
    </row>
    <row r="142" spans="2:17">
      <c r="B142" s="195" t="str">
        <f t="shared" si="39"/>
        <v/>
      </c>
      <c r="C142" s="507">
        <f>IF(D93="","-",+C141+1)</f>
        <v>2053</v>
      </c>
      <c r="D142" s="374">
        <f>IF(F141+SUM(E$99:E141)=D$92,F141,D$92-SUM(E$99:E141))</f>
        <v>0</v>
      </c>
      <c r="E142" s="522">
        <f>IF(+J96&lt;F141,J96,D142)</f>
        <v>0</v>
      </c>
      <c r="F142" s="523">
        <f t="shared" si="58"/>
        <v>0</v>
      </c>
      <c r="G142" s="523">
        <f t="shared" si="51"/>
        <v>0</v>
      </c>
      <c r="H142" s="526">
        <f t="shared" si="52"/>
        <v>0</v>
      </c>
      <c r="I142" s="577">
        <f t="shared" si="53"/>
        <v>0</v>
      </c>
      <c r="J142" s="514">
        <f t="shared" si="54"/>
        <v>0</v>
      </c>
      <c r="K142" s="514"/>
      <c r="L142" s="525"/>
      <c r="M142" s="514">
        <f t="shared" si="55"/>
        <v>0</v>
      </c>
      <c r="N142" s="525"/>
      <c r="O142" s="514">
        <f t="shared" si="56"/>
        <v>0</v>
      </c>
      <c r="P142" s="514">
        <f t="shared" si="57"/>
        <v>0</v>
      </c>
      <c r="Q142" s="269"/>
    </row>
    <row r="143" spans="2:17">
      <c r="B143" s="195" t="str">
        <f t="shared" si="39"/>
        <v/>
      </c>
      <c r="C143" s="507">
        <f>IF(D93="","-",+C142+1)</f>
        <v>2054</v>
      </c>
      <c r="D143" s="374">
        <f>IF(F142+SUM(E$99:E142)=D$92,F142,D$92-SUM(E$99:E142))</f>
        <v>0</v>
      </c>
      <c r="E143" s="522">
        <f>IF(+J96&lt;F142,J96,D143)</f>
        <v>0</v>
      </c>
      <c r="F143" s="523">
        <f t="shared" si="58"/>
        <v>0</v>
      </c>
      <c r="G143" s="523">
        <f t="shared" si="51"/>
        <v>0</v>
      </c>
      <c r="H143" s="526">
        <f t="shared" si="52"/>
        <v>0</v>
      </c>
      <c r="I143" s="577">
        <f t="shared" si="53"/>
        <v>0</v>
      </c>
      <c r="J143" s="514">
        <f t="shared" si="54"/>
        <v>0</v>
      </c>
      <c r="K143" s="514"/>
      <c r="L143" s="525"/>
      <c r="M143" s="514">
        <f t="shared" si="55"/>
        <v>0</v>
      </c>
      <c r="N143" s="525"/>
      <c r="O143" s="514">
        <f t="shared" si="56"/>
        <v>0</v>
      </c>
      <c r="P143" s="514">
        <f t="shared" si="57"/>
        <v>0</v>
      </c>
      <c r="Q143" s="269"/>
    </row>
    <row r="144" spans="2:17">
      <c r="B144" s="195" t="str">
        <f t="shared" si="39"/>
        <v/>
      </c>
      <c r="C144" s="507">
        <f>IF(D93="","-",+C143+1)</f>
        <v>2055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58"/>
        <v>0</v>
      </c>
      <c r="G144" s="523">
        <f t="shared" si="51"/>
        <v>0</v>
      </c>
      <c r="H144" s="526">
        <f t="shared" si="52"/>
        <v>0</v>
      </c>
      <c r="I144" s="577">
        <f t="shared" si="53"/>
        <v>0</v>
      </c>
      <c r="J144" s="514">
        <f t="shared" si="54"/>
        <v>0</v>
      </c>
      <c r="K144" s="514"/>
      <c r="L144" s="525"/>
      <c r="M144" s="514">
        <f t="shared" si="55"/>
        <v>0</v>
      </c>
      <c r="N144" s="525"/>
      <c r="O144" s="514">
        <f t="shared" si="56"/>
        <v>0</v>
      </c>
      <c r="P144" s="514">
        <f t="shared" si="57"/>
        <v>0</v>
      </c>
      <c r="Q144" s="269"/>
    </row>
    <row r="145" spans="2:17">
      <c r="B145" s="195" t="str">
        <f t="shared" si="39"/>
        <v/>
      </c>
      <c r="C145" s="507">
        <f>IF(D93="","-",+C144+1)</f>
        <v>2056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58"/>
        <v>0</v>
      </c>
      <c r="G145" s="523">
        <f t="shared" si="51"/>
        <v>0</v>
      </c>
      <c r="H145" s="526">
        <f t="shared" si="52"/>
        <v>0</v>
      </c>
      <c r="I145" s="577">
        <f t="shared" si="53"/>
        <v>0</v>
      </c>
      <c r="J145" s="514">
        <f t="shared" si="54"/>
        <v>0</v>
      </c>
      <c r="K145" s="514"/>
      <c r="L145" s="525"/>
      <c r="M145" s="514">
        <f t="shared" si="55"/>
        <v>0</v>
      </c>
      <c r="N145" s="525"/>
      <c r="O145" s="514">
        <f t="shared" si="56"/>
        <v>0</v>
      </c>
      <c r="P145" s="514">
        <f t="shared" si="57"/>
        <v>0</v>
      </c>
      <c r="Q145" s="269"/>
    </row>
    <row r="146" spans="2:17">
      <c r="B146" s="195" t="str">
        <f t="shared" si="39"/>
        <v/>
      </c>
      <c r="C146" s="507">
        <f>IF(D93="","-",+C145+1)</f>
        <v>2057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58"/>
        <v>0</v>
      </c>
      <c r="G146" s="523">
        <f t="shared" si="51"/>
        <v>0</v>
      </c>
      <c r="H146" s="526">
        <f t="shared" si="52"/>
        <v>0</v>
      </c>
      <c r="I146" s="577">
        <f t="shared" si="53"/>
        <v>0</v>
      </c>
      <c r="J146" s="514">
        <f t="shared" si="54"/>
        <v>0</v>
      </c>
      <c r="K146" s="514"/>
      <c r="L146" s="525"/>
      <c r="M146" s="514">
        <f t="shared" si="55"/>
        <v>0</v>
      </c>
      <c r="N146" s="525"/>
      <c r="O146" s="514">
        <f t="shared" si="56"/>
        <v>0</v>
      </c>
      <c r="P146" s="514">
        <f t="shared" si="57"/>
        <v>0</v>
      </c>
      <c r="Q146" s="269"/>
    </row>
    <row r="147" spans="2:17">
      <c r="B147" s="195" t="str">
        <f t="shared" si="39"/>
        <v/>
      </c>
      <c r="C147" s="507">
        <f>IF(D93="","-",+C146+1)</f>
        <v>2058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58"/>
        <v>0</v>
      </c>
      <c r="G147" s="523">
        <f t="shared" si="51"/>
        <v>0</v>
      </c>
      <c r="H147" s="526">
        <f t="shared" si="52"/>
        <v>0</v>
      </c>
      <c r="I147" s="577">
        <f t="shared" si="53"/>
        <v>0</v>
      </c>
      <c r="J147" s="514">
        <f t="shared" si="54"/>
        <v>0</v>
      </c>
      <c r="K147" s="514"/>
      <c r="L147" s="525"/>
      <c r="M147" s="514">
        <f t="shared" si="55"/>
        <v>0</v>
      </c>
      <c r="N147" s="525"/>
      <c r="O147" s="514">
        <f t="shared" si="56"/>
        <v>0</v>
      </c>
      <c r="P147" s="514">
        <f t="shared" si="57"/>
        <v>0</v>
      </c>
      <c r="Q147" s="269"/>
    </row>
    <row r="148" spans="2:17">
      <c r="B148" s="195" t="str">
        <f t="shared" si="39"/>
        <v/>
      </c>
      <c r="C148" s="507">
        <f>IF(D93="","-",+C147+1)</f>
        <v>2059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58"/>
        <v>0</v>
      </c>
      <c r="G148" s="523">
        <f t="shared" si="51"/>
        <v>0</v>
      </c>
      <c r="H148" s="526">
        <f t="shared" si="52"/>
        <v>0</v>
      </c>
      <c r="I148" s="577">
        <f t="shared" si="53"/>
        <v>0</v>
      </c>
      <c r="J148" s="514">
        <f t="shared" si="54"/>
        <v>0</v>
      </c>
      <c r="K148" s="514"/>
      <c r="L148" s="525"/>
      <c r="M148" s="514">
        <f t="shared" si="55"/>
        <v>0</v>
      </c>
      <c r="N148" s="525"/>
      <c r="O148" s="514">
        <f t="shared" si="56"/>
        <v>0</v>
      </c>
      <c r="P148" s="514">
        <f t="shared" si="57"/>
        <v>0</v>
      </c>
      <c r="Q148" s="269"/>
    </row>
    <row r="149" spans="2:17">
      <c r="B149" s="195" t="str">
        <f t="shared" si="39"/>
        <v/>
      </c>
      <c r="C149" s="507">
        <f>IF(D93="","-",+C148+1)</f>
        <v>2060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58"/>
        <v>0</v>
      </c>
      <c r="G149" s="523">
        <f t="shared" si="51"/>
        <v>0</v>
      </c>
      <c r="H149" s="526">
        <f t="shared" si="52"/>
        <v>0</v>
      </c>
      <c r="I149" s="577">
        <f t="shared" si="53"/>
        <v>0</v>
      </c>
      <c r="J149" s="514">
        <f t="shared" si="54"/>
        <v>0</v>
      </c>
      <c r="K149" s="514"/>
      <c r="L149" s="525"/>
      <c r="M149" s="514">
        <f t="shared" si="55"/>
        <v>0</v>
      </c>
      <c r="N149" s="525"/>
      <c r="O149" s="514">
        <f t="shared" si="56"/>
        <v>0</v>
      </c>
      <c r="P149" s="514">
        <f t="shared" si="57"/>
        <v>0</v>
      </c>
      <c r="Q149" s="269"/>
    </row>
    <row r="150" spans="2:17">
      <c r="B150" s="195" t="str">
        <f t="shared" si="39"/>
        <v/>
      </c>
      <c r="C150" s="507">
        <f>IF(D93="","-",+C149+1)</f>
        <v>2061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58"/>
        <v>0</v>
      </c>
      <c r="G150" s="523">
        <f t="shared" si="51"/>
        <v>0</v>
      </c>
      <c r="H150" s="526">
        <f t="shared" si="52"/>
        <v>0</v>
      </c>
      <c r="I150" s="577">
        <f t="shared" si="53"/>
        <v>0</v>
      </c>
      <c r="J150" s="514">
        <f t="shared" si="54"/>
        <v>0</v>
      </c>
      <c r="K150" s="514"/>
      <c r="L150" s="525"/>
      <c r="M150" s="514">
        <f t="shared" si="55"/>
        <v>0</v>
      </c>
      <c r="N150" s="525"/>
      <c r="O150" s="514">
        <f t="shared" si="56"/>
        <v>0</v>
      </c>
      <c r="P150" s="514">
        <f t="shared" si="57"/>
        <v>0</v>
      </c>
      <c r="Q150" s="269"/>
    </row>
    <row r="151" spans="2:17">
      <c r="B151" s="195" t="str">
        <f t="shared" si="39"/>
        <v/>
      </c>
      <c r="C151" s="507">
        <f>IF(D93="","-",+C150+1)</f>
        <v>2062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58"/>
        <v>0</v>
      </c>
      <c r="G151" s="523">
        <f t="shared" si="51"/>
        <v>0</v>
      </c>
      <c r="H151" s="526">
        <f t="shared" si="52"/>
        <v>0</v>
      </c>
      <c r="I151" s="577">
        <f t="shared" si="53"/>
        <v>0</v>
      </c>
      <c r="J151" s="514">
        <f t="shared" si="54"/>
        <v>0</v>
      </c>
      <c r="K151" s="514"/>
      <c r="L151" s="525"/>
      <c r="M151" s="514">
        <f t="shared" si="55"/>
        <v>0</v>
      </c>
      <c r="N151" s="525"/>
      <c r="O151" s="514">
        <f t="shared" si="56"/>
        <v>0</v>
      </c>
      <c r="P151" s="514">
        <f t="shared" si="57"/>
        <v>0</v>
      </c>
      <c r="Q151" s="269"/>
    </row>
    <row r="152" spans="2:17">
      <c r="B152" s="195" t="str">
        <f t="shared" si="39"/>
        <v/>
      </c>
      <c r="C152" s="507">
        <f>IF(D93="","-",+C151+1)</f>
        <v>2063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58"/>
        <v>0</v>
      </c>
      <c r="G152" s="523">
        <f t="shared" si="51"/>
        <v>0</v>
      </c>
      <c r="H152" s="526">
        <f t="shared" si="52"/>
        <v>0</v>
      </c>
      <c r="I152" s="577">
        <f t="shared" si="53"/>
        <v>0</v>
      </c>
      <c r="J152" s="514">
        <f t="shared" si="54"/>
        <v>0</v>
      </c>
      <c r="K152" s="514"/>
      <c r="L152" s="525"/>
      <c r="M152" s="514">
        <f t="shared" si="55"/>
        <v>0</v>
      </c>
      <c r="N152" s="525"/>
      <c r="O152" s="514">
        <f t="shared" si="56"/>
        <v>0</v>
      </c>
      <c r="P152" s="514">
        <f t="shared" si="57"/>
        <v>0</v>
      </c>
      <c r="Q152" s="269"/>
    </row>
    <row r="153" spans="2:17">
      <c r="B153" s="195" t="str">
        <f t="shared" si="39"/>
        <v/>
      </c>
      <c r="C153" s="507">
        <f>IF(D93="","-",+C152+1)</f>
        <v>2064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58"/>
        <v>0</v>
      </c>
      <c r="G153" s="523">
        <f t="shared" si="51"/>
        <v>0</v>
      </c>
      <c r="H153" s="526">
        <f t="shared" si="52"/>
        <v>0</v>
      </c>
      <c r="I153" s="577">
        <f t="shared" si="53"/>
        <v>0</v>
      </c>
      <c r="J153" s="514">
        <f t="shared" si="54"/>
        <v>0</v>
      </c>
      <c r="K153" s="514"/>
      <c r="L153" s="525"/>
      <c r="M153" s="514">
        <f t="shared" si="55"/>
        <v>0</v>
      </c>
      <c r="N153" s="525"/>
      <c r="O153" s="514">
        <f t="shared" si="56"/>
        <v>0</v>
      </c>
      <c r="P153" s="514">
        <f t="shared" si="57"/>
        <v>0</v>
      </c>
      <c r="Q153" s="269"/>
    </row>
    <row r="154" spans="2:17" ht="13.5" thickBot="1">
      <c r="B154" s="195" t="str">
        <f t="shared" si="39"/>
        <v/>
      </c>
      <c r="C154" s="527">
        <f>IF(D93="","-",+C153+1)</f>
        <v>2065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58"/>
        <v>0</v>
      </c>
      <c r="G154" s="528">
        <f t="shared" si="51"/>
        <v>0</v>
      </c>
      <c r="H154" s="530">
        <f t="shared" si="52"/>
        <v>0</v>
      </c>
      <c r="I154" s="579">
        <f t="shared" si="53"/>
        <v>0</v>
      </c>
      <c r="J154" s="533">
        <f t="shared" si="54"/>
        <v>0</v>
      </c>
      <c r="K154" s="514"/>
      <c r="L154" s="532"/>
      <c r="M154" s="533">
        <f t="shared" si="55"/>
        <v>0</v>
      </c>
      <c r="N154" s="532"/>
      <c r="O154" s="533">
        <f t="shared" si="56"/>
        <v>0</v>
      </c>
      <c r="P154" s="533">
        <f t="shared" si="57"/>
        <v>0</v>
      </c>
      <c r="Q154" s="269"/>
    </row>
    <row r="155" spans="2:17">
      <c r="C155" s="374" t="s">
        <v>78</v>
      </c>
      <c r="D155" s="375"/>
      <c r="E155" s="375">
        <f>SUM(E99:E154)</f>
        <v>1642816.9999999991</v>
      </c>
      <c r="F155" s="375"/>
      <c r="G155" s="375"/>
      <c r="H155" s="375">
        <f>SUM(H99:H154)</f>
        <v>5767615.4546676194</v>
      </c>
      <c r="I155" s="375">
        <f>SUM(I99:I154)</f>
        <v>5767615.4546676194</v>
      </c>
      <c r="J155" s="375">
        <f>SUM(J99:J154)</f>
        <v>0</v>
      </c>
      <c r="K155" s="375"/>
      <c r="L155" s="375"/>
      <c r="M155" s="375"/>
      <c r="N155" s="375"/>
      <c r="O155" s="375"/>
      <c r="P155" s="269"/>
      <c r="Q155" s="269"/>
    </row>
    <row r="156" spans="2:17"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  <c r="Q156" s="269"/>
    </row>
    <row r="157" spans="2:17">
      <c r="C157" s="580" t="s">
        <v>92</v>
      </c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  <c r="Q157" s="269"/>
    </row>
    <row r="158" spans="2:17"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  <c r="Q158" s="269"/>
    </row>
    <row r="159" spans="2:17">
      <c r="C159" s="534" t="s">
        <v>97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  <c r="Q159" s="269"/>
    </row>
    <row r="160" spans="2:17">
      <c r="C160" s="581" t="s">
        <v>79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  <c r="Q160" s="269"/>
    </row>
    <row r="161" spans="3:17">
      <c r="C161" s="581" t="s">
        <v>80</v>
      </c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  <c r="Q161" s="269"/>
    </row>
    <row r="162" spans="3:17" ht="18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454" t="s">
        <v>131</v>
      </c>
      <c r="Q162" s="269"/>
    </row>
  </sheetData>
  <phoneticPr fontId="0" type="noConversion"/>
  <conditionalFormatting sqref="C17:C72">
    <cfRule type="cellIs" dxfId="121" priority="1" stopIfTrue="1" operator="equal">
      <formula>$I$10</formula>
    </cfRule>
  </conditionalFormatting>
  <conditionalFormatting sqref="C99:C154">
    <cfRule type="cellIs" dxfId="120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73"/>
  <dimension ref="A1:Q162"/>
  <sheetViews>
    <sheetView topLeftCell="A92" zoomScaleNormal="100" zoomScaleSheetLayoutView="75" workbookViewId="0">
      <selection activeCell="C113" sqref="C113"/>
    </sheetView>
  </sheetViews>
  <sheetFormatPr defaultColWidth="8.7109375" defaultRowHeight="12.75" customHeight="1"/>
  <cols>
    <col min="1" max="1" width="4.7109375" style="183" customWidth="1"/>
    <col min="2" max="2" width="6.7109375" style="183" customWidth="1"/>
    <col min="3" max="3" width="23.28515625" style="183" customWidth="1"/>
    <col min="4" max="8" width="17.7109375" style="183" customWidth="1"/>
    <col min="9" max="9" width="20.42578125" style="183" customWidth="1"/>
    <col min="10" max="10" width="16.42578125" style="183" customWidth="1"/>
    <col min="11" max="11" width="17.7109375" style="183" customWidth="1"/>
    <col min="12" max="12" width="16.140625" style="183" customWidth="1"/>
    <col min="13" max="13" width="17.7109375" style="183" customWidth="1"/>
    <col min="14" max="14" width="16.140625" style="183" customWidth="1"/>
    <col min="15" max="15" width="16.85546875" style="183" customWidth="1"/>
    <col min="16" max="16" width="24.42578125" style="183" customWidth="1"/>
    <col min="17" max="17" width="4.7109375" style="183" customWidth="1"/>
    <col min="18" max="22" width="8.7109375" style="183"/>
    <col min="23" max="23" width="9.140625" style="183" customWidth="1"/>
    <col min="24" max="16384" width="8.7109375" style="183"/>
  </cols>
  <sheetData>
    <row r="1" spans="1:17" ht="20.25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22 of 75</v>
      </c>
      <c r="Q1" s="453"/>
    </row>
    <row r="2" spans="1:17" ht="18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454" t="s">
        <v>129</v>
      </c>
    </row>
    <row r="3" spans="1:17" ht="18.75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 t="str">
        <f>RIGHT(N3,3)</f>
        <v/>
      </c>
      <c r="P3" s="455">
        <v>1</v>
      </c>
    </row>
    <row r="4" spans="1:17" ht="15.75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7" ht="1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21025.43403027673</v>
      </c>
      <c r="P5" s="269"/>
    </row>
    <row r="6" spans="1:17" ht="15.7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21025.43403027673</v>
      </c>
      <c r="O6" s="269"/>
      <c r="P6" s="269"/>
    </row>
    <row r="7" spans="1:17" ht="13.5" thickBot="1">
      <c r="C7" s="467" t="s">
        <v>48</v>
      </c>
      <c r="D7" s="620" t="s">
        <v>262</v>
      </c>
      <c r="E7" s="269"/>
      <c r="F7" s="269"/>
      <c r="G7" s="534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7" ht="13.5" thickBot="1">
      <c r="C8" s="472"/>
      <c r="D8" s="473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7" ht="13.5" thickBot="1">
      <c r="A9" s="191"/>
      <c r="C9" s="476" t="s">
        <v>50</v>
      </c>
      <c r="D9" s="477" t="s">
        <v>249</v>
      </c>
      <c r="E9" s="666" t="s">
        <v>487</v>
      </c>
      <c r="F9" s="478"/>
      <c r="G9" s="478"/>
      <c r="H9" s="478"/>
      <c r="I9" s="479"/>
      <c r="J9" s="480"/>
      <c r="O9" s="481"/>
      <c r="P9" s="272"/>
    </row>
    <row r="10" spans="1:17">
      <c r="C10" s="482" t="s">
        <v>51</v>
      </c>
      <c r="D10" s="483">
        <v>205882</v>
      </c>
      <c r="E10" s="353" t="s">
        <v>52</v>
      </c>
      <c r="F10" s="481"/>
      <c r="G10" s="484"/>
      <c r="H10" s="484"/>
      <c r="I10" s="485">
        <f>+'SWE.WS.F.BPU.ATRR.Projected'!L19</f>
        <v>2024</v>
      </c>
      <c r="J10" s="480"/>
      <c r="K10" s="375" t="s">
        <v>53</v>
      </c>
      <c r="O10" s="272"/>
      <c r="P10" s="272"/>
    </row>
    <row r="11" spans="1:17">
      <c r="C11" s="486" t="s">
        <v>54</v>
      </c>
      <c r="D11" s="487">
        <v>2010</v>
      </c>
      <c r="E11" s="486" t="s">
        <v>55</v>
      </c>
      <c r="F11" s="484"/>
      <c r="G11" s="233"/>
      <c r="H11" s="233"/>
      <c r="I11" s="488"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7">
      <c r="C12" s="486" t="s">
        <v>56</v>
      </c>
      <c r="D12" s="483">
        <v>6</v>
      </c>
      <c r="E12" s="486" t="s">
        <v>57</v>
      </c>
      <c r="F12" s="484"/>
      <c r="G12" s="233"/>
      <c r="H12" s="233"/>
      <c r="I12" s="490">
        <f>'SWE.WS.F.BPU.ATRR.Projected'!$F$81</f>
        <v>0.11952713165403545</v>
      </c>
      <c r="J12" s="425"/>
      <c r="K12" s="183" t="s">
        <v>58</v>
      </c>
      <c r="O12" s="272"/>
      <c r="P12" s="272"/>
    </row>
    <row r="13" spans="1:17">
      <c r="C13" s="486" t="s">
        <v>59</v>
      </c>
      <c r="D13" s="488">
        <f>+'SWE.WS.F.BPU.ATRR.Projected'!F$93</f>
        <v>44</v>
      </c>
      <c r="E13" s="486" t="s">
        <v>60</v>
      </c>
      <c r="F13" s="484"/>
      <c r="G13" s="233"/>
      <c r="H13" s="233"/>
      <c r="I13" s="490">
        <f>IF(G5="",I12,'SWE.WS.F.BPU.ATRR.Projected'!$F$80)</f>
        <v>0.11952713165403545</v>
      </c>
      <c r="J13" s="425"/>
      <c r="K13" s="375" t="s">
        <v>61</v>
      </c>
      <c r="L13" s="324"/>
      <c r="M13" s="324"/>
      <c r="N13" s="324"/>
      <c r="O13" s="272"/>
      <c r="P13" s="272"/>
    </row>
    <row r="14" spans="1:17" ht="13.5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4679.136363636364</v>
      </c>
      <c r="J14" s="375"/>
      <c r="K14" s="375"/>
      <c r="L14" s="375"/>
      <c r="M14" s="375"/>
      <c r="N14" s="375"/>
      <c r="O14" s="272"/>
      <c r="P14" s="272"/>
    </row>
    <row r="15" spans="1:17" ht="38.25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388</v>
      </c>
      <c r="H15" s="495" t="s">
        <v>389</v>
      </c>
      <c r="I15" s="496" t="s">
        <v>260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7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>
      <c r="C17" s="507">
        <f>IF(D11= "","-",D11)</f>
        <v>2010</v>
      </c>
      <c r="D17" s="508">
        <v>187900</v>
      </c>
      <c r="E17" s="509">
        <v>2472.3684210526317</v>
      </c>
      <c r="F17" s="508">
        <v>185427.63157894736</v>
      </c>
      <c r="G17" s="509">
        <v>29130.371732121435</v>
      </c>
      <c r="H17" s="510">
        <v>29130.371732121435</v>
      </c>
      <c r="I17" s="517">
        <v>0</v>
      </c>
      <c r="J17" s="511"/>
      <c r="K17" s="512">
        <f t="shared" ref="K17:K22" si="0">G17</f>
        <v>29130.371732121435</v>
      </c>
      <c r="L17" s="597">
        <f t="shared" ref="L17:L48" si="1">IF(K17&lt;&gt;0,+G17-K17,0)</f>
        <v>0</v>
      </c>
      <c r="M17" s="512">
        <f t="shared" ref="M17:M22" si="2">H17</f>
        <v>29130.371732121435</v>
      </c>
      <c r="N17" s="513">
        <f t="shared" ref="N17:N48" si="3">IF(M17&lt;&gt;0,+H17-M17,0)</f>
        <v>0</v>
      </c>
      <c r="O17" s="514">
        <f t="shared" ref="O17:O48" si="4">+N17-L17</f>
        <v>0</v>
      </c>
      <c r="P17" s="272"/>
    </row>
    <row r="18" spans="2:16">
      <c r="B18" s="195" t="str">
        <f>IF(D18=F17,"","IU")</f>
        <v>IU</v>
      </c>
      <c r="C18" s="507">
        <f>IF(D11="","-",+C17+1)</f>
        <v>2011</v>
      </c>
      <c r="D18" s="515">
        <v>212527.63157894736</v>
      </c>
      <c r="E18" s="516">
        <v>5243.9024390243903</v>
      </c>
      <c r="F18" s="515">
        <v>207283.72913992297</v>
      </c>
      <c r="G18" s="516">
        <v>37620.000882476787</v>
      </c>
      <c r="H18" s="510">
        <v>37620.000882476787</v>
      </c>
      <c r="I18" s="517">
        <v>0</v>
      </c>
      <c r="J18" s="511"/>
      <c r="K18" s="518">
        <f t="shared" si="0"/>
        <v>37620.000882476787</v>
      </c>
      <c r="L18" s="519">
        <f t="shared" si="1"/>
        <v>0</v>
      </c>
      <c r="M18" s="518">
        <f t="shared" si="2"/>
        <v>37620.000882476787</v>
      </c>
      <c r="N18" s="514">
        <f t="shared" si="3"/>
        <v>0</v>
      </c>
      <c r="O18" s="514">
        <f t="shared" si="4"/>
        <v>0</v>
      </c>
      <c r="P18" s="272"/>
    </row>
    <row r="19" spans="2:16">
      <c r="B19" s="195" t="str">
        <f>IF(D19=F18,"","IU")</f>
        <v>IU</v>
      </c>
      <c r="C19" s="507">
        <f>IF(D11="","-",+C18+1)</f>
        <v>2012</v>
      </c>
      <c r="D19" s="515">
        <v>198165.72913992297</v>
      </c>
      <c r="E19" s="516">
        <v>4901.9523809523807</v>
      </c>
      <c r="F19" s="515">
        <v>193263.77675897061</v>
      </c>
      <c r="G19" s="516">
        <v>33644.168330497712</v>
      </c>
      <c r="H19" s="510">
        <v>33644.168330497712</v>
      </c>
      <c r="I19" s="517">
        <v>0</v>
      </c>
      <c r="J19" s="511"/>
      <c r="K19" s="518">
        <f t="shared" si="0"/>
        <v>33644.168330497712</v>
      </c>
      <c r="L19" s="519">
        <f t="shared" si="1"/>
        <v>0</v>
      </c>
      <c r="M19" s="518">
        <f t="shared" si="2"/>
        <v>33644.168330497712</v>
      </c>
      <c r="N19" s="514">
        <f t="shared" si="3"/>
        <v>0</v>
      </c>
      <c r="O19" s="514">
        <f t="shared" si="4"/>
        <v>0</v>
      </c>
      <c r="P19" s="272"/>
    </row>
    <row r="20" spans="2:16">
      <c r="B20" s="195" t="str">
        <f t="shared" ref="B20:B72" si="5">IF(D20=F19,"","IU")</f>
        <v/>
      </c>
      <c r="C20" s="507">
        <f>IF(D11="","-",+C19+1)</f>
        <v>2013</v>
      </c>
      <c r="D20" s="608">
        <v>193263.77675897061</v>
      </c>
      <c r="E20" s="609">
        <v>4901.9523809523807</v>
      </c>
      <c r="F20" s="608">
        <v>188361.82437801824</v>
      </c>
      <c r="G20" s="609">
        <v>31270.174550105858</v>
      </c>
      <c r="H20" s="610">
        <v>31270.174550105858</v>
      </c>
      <c r="I20" s="596">
        <v>0</v>
      </c>
      <c r="J20" s="511"/>
      <c r="K20" s="518">
        <f t="shared" si="0"/>
        <v>31270.174550105858</v>
      </c>
      <c r="L20" s="519">
        <f t="shared" ref="L20:L25" si="6">IF(K20&lt;&gt;0,+G20-K20,0)</f>
        <v>0</v>
      </c>
      <c r="M20" s="518">
        <f t="shared" si="2"/>
        <v>31270.174550105858</v>
      </c>
      <c r="N20" s="514">
        <f t="shared" ref="N20:N25" si="7">IF(M20&lt;&gt;0,+H20-M20,0)</f>
        <v>0</v>
      </c>
      <c r="O20" s="514">
        <f t="shared" ref="O20:O25" si="8">+N20-L20</f>
        <v>0</v>
      </c>
      <c r="P20" s="272"/>
    </row>
    <row r="21" spans="2:16">
      <c r="B21" s="195" t="str">
        <f t="shared" si="5"/>
        <v/>
      </c>
      <c r="C21" s="507">
        <f>IF(D12="","-",+C20+1)</f>
        <v>2014</v>
      </c>
      <c r="D21" s="608">
        <v>188361.82437801824</v>
      </c>
      <c r="E21" s="609">
        <v>4901.9523809523807</v>
      </c>
      <c r="F21" s="608">
        <v>183459.87199706587</v>
      </c>
      <c r="G21" s="609">
        <v>29652.616955555495</v>
      </c>
      <c r="H21" s="610">
        <v>29652.616955555495</v>
      </c>
      <c r="I21" s="596">
        <v>0</v>
      </c>
      <c r="J21" s="511"/>
      <c r="K21" s="518">
        <f t="shared" si="0"/>
        <v>29652.616955555495</v>
      </c>
      <c r="L21" s="519">
        <f t="shared" si="6"/>
        <v>0</v>
      </c>
      <c r="M21" s="518">
        <f t="shared" si="2"/>
        <v>29652.616955555495</v>
      </c>
      <c r="N21" s="514">
        <f t="shared" si="7"/>
        <v>0</v>
      </c>
      <c r="O21" s="514">
        <f t="shared" si="8"/>
        <v>0</v>
      </c>
      <c r="P21" s="272"/>
    </row>
    <row r="22" spans="2:16">
      <c r="B22" s="195" t="str">
        <f t="shared" si="5"/>
        <v/>
      </c>
      <c r="C22" s="507">
        <f>IF(D11="","-",+C21+1)</f>
        <v>2015</v>
      </c>
      <c r="D22" s="608">
        <v>183459.87199706587</v>
      </c>
      <c r="E22" s="609">
        <v>4901.9523809523807</v>
      </c>
      <c r="F22" s="608">
        <v>178557.9196161135</v>
      </c>
      <c r="G22" s="609">
        <v>28418.887646522533</v>
      </c>
      <c r="H22" s="610">
        <v>28418.887646522533</v>
      </c>
      <c r="I22" s="511">
        <v>0</v>
      </c>
      <c r="J22" s="511"/>
      <c r="K22" s="518">
        <f t="shared" si="0"/>
        <v>28418.887646522533</v>
      </c>
      <c r="L22" s="519">
        <f t="shared" si="6"/>
        <v>0</v>
      </c>
      <c r="M22" s="518">
        <f t="shared" si="2"/>
        <v>28418.887646522533</v>
      </c>
      <c r="N22" s="514">
        <f t="shared" si="7"/>
        <v>0</v>
      </c>
      <c r="O22" s="514">
        <f t="shared" si="8"/>
        <v>0</v>
      </c>
      <c r="P22" s="272"/>
    </row>
    <row r="23" spans="2:16">
      <c r="B23" s="195" t="str">
        <f t="shared" si="5"/>
        <v/>
      </c>
      <c r="C23" s="507">
        <f>IF(D11="","-",+C22+1)</f>
        <v>2016</v>
      </c>
      <c r="D23" s="608">
        <v>178557.9196161135</v>
      </c>
      <c r="E23" s="609">
        <v>4901.9523809523807</v>
      </c>
      <c r="F23" s="608">
        <v>173655.96723516114</v>
      </c>
      <c r="G23" s="609">
        <v>27491.116260788254</v>
      </c>
      <c r="H23" s="610">
        <v>27491.116260788254</v>
      </c>
      <c r="I23" s="511">
        <f t="shared" ref="I23:I48" si="9">H23-G23</f>
        <v>0</v>
      </c>
      <c r="J23" s="511"/>
      <c r="K23" s="518">
        <f t="shared" ref="K23:K28" si="10">G23</f>
        <v>27491.116260788254</v>
      </c>
      <c r="L23" s="519">
        <f t="shared" si="6"/>
        <v>0</v>
      </c>
      <c r="M23" s="518">
        <f t="shared" ref="M23:M28" si="11">H23</f>
        <v>27491.116260788254</v>
      </c>
      <c r="N23" s="514">
        <f t="shared" si="7"/>
        <v>0</v>
      </c>
      <c r="O23" s="514">
        <f t="shared" si="8"/>
        <v>0</v>
      </c>
      <c r="P23" s="272"/>
    </row>
    <row r="24" spans="2:16">
      <c r="B24" s="195" t="str">
        <f t="shared" si="5"/>
        <v/>
      </c>
      <c r="C24" s="507">
        <f>IF(D11="","-",+C23+1)</f>
        <v>2017</v>
      </c>
      <c r="D24" s="608">
        <v>173655.96723516114</v>
      </c>
      <c r="E24" s="609">
        <v>4787.9534883720926</v>
      </c>
      <c r="F24" s="608">
        <v>168868.01374678905</v>
      </c>
      <c r="G24" s="609">
        <v>26006.03540248935</v>
      </c>
      <c r="H24" s="610">
        <v>26006.03540248935</v>
      </c>
      <c r="I24" s="511">
        <f t="shared" si="9"/>
        <v>0</v>
      </c>
      <c r="J24" s="511"/>
      <c r="K24" s="518">
        <f t="shared" si="10"/>
        <v>26006.03540248935</v>
      </c>
      <c r="L24" s="519">
        <f t="shared" si="6"/>
        <v>0</v>
      </c>
      <c r="M24" s="518">
        <f t="shared" si="11"/>
        <v>26006.03540248935</v>
      </c>
      <c r="N24" s="514">
        <f t="shared" si="7"/>
        <v>0</v>
      </c>
      <c r="O24" s="514">
        <f t="shared" si="8"/>
        <v>0</v>
      </c>
      <c r="P24" s="272"/>
    </row>
    <row r="25" spans="2:16">
      <c r="B25" s="195" t="str">
        <f t="shared" si="5"/>
        <v/>
      </c>
      <c r="C25" s="507">
        <f>IF(D11="","-",+C24+1)</f>
        <v>2018</v>
      </c>
      <c r="D25" s="608">
        <v>168868.01374678905</v>
      </c>
      <c r="E25" s="609">
        <v>5021.5121951219517</v>
      </c>
      <c r="F25" s="608">
        <v>163846.50155166708</v>
      </c>
      <c r="G25" s="609">
        <v>26164.537956226875</v>
      </c>
      <c r="H25" s="610">
        <v>26164.537956226875</v>
      </c>
      <c r="I25" s="511">
        <f t="shared" si="9"/>
        <v>0</v>
      </c>
      <c r="J25" s="511"/>
      <c r="K25" s="518">
        <f t="shared" si="10"/>
        <v>26164.537956226875</v>
      </c>
      <c r="L25" s="519">
        <f t="shared" si="6"/>
        <v>0</v>
      </c>
      <c r="M25" s="518">
        <f t="shared" si="11"/>
        <v>26164.537956226875</v>
      </c>
      <c r="N25" s="514">
        <f t="shared" si="7"/>
        <v>0</v>
      </c>
      <c r="O25" s="514">
        <f t="shared" si="8"/>
        <v>0</v>
      </c>
      <c r="P25" s="272"/>
    </row>
    <row r="26" spans="2:16">
      <c r="B26" s="195" t="str">
        <f t="shared" si="5"/>
        <v/>
      </c>
      <c r="C26" s="507">
        <f>IF(D11="","-",+C25+1)</f>
        <v>2019</v>
      </c>
      <c r="D26" s="608">
        <v>163846.50155166708</v>
      </c>
      <c r="E26" s="609">
        <v>5021.5121951219517</v>
      </c>
      <c r="F26" s="608">
        <v>158824.98935654512</v>
      </c>
      <c r="G26" s="609">
        <v>25526.333388530584</v>
      </c>
      <c r="H26" s="610">
        <v>25526.333388530584</v>
      </c>
      <c r="I26" s="511">
        <f t="shared" si="9"/>
        <v>0</v>
      </c>
      <c r="J26" s="511"/>
      <c r="K26" s="518">
        <f t="shared" si="10"/>
        <v>25526.333388530584</v>
      </c>
      <c r="L26" s="519">
        <f t="shared" ref="L26" si="12">IF(K26&lt;&gt;0,+G26-K26,0)</f>
        <v>0</v>
      </c>
      <c r="M26" s="518">
        <f t="shared" si="11"/>
        <v>25526.333388530584</v>
      </c>
      <c r="N26" s="514">
        <f t="shared" si="3"/>
        <v>0</v>
      </c>
      <c r="O26" s="514">
        <f t="shared" si="4"/>
        <v>0</v>
      </c>
      <c r="P26" s="272"/>
    </row>
    <row r="27" spans="2:16">
      <c r="B27" s="195" t="str">
        <f t="shared" si="5"/>
        <v/>
      </c>
      <c r="C27" s="507">
        <f>IF(D11="","-",+C26+1)</f>
        <v>2020</v>
      </c>
      <c r="D27" s="608">
        <v>158824.98935654512</v>
      </c>
      <c r="E27" s="609">
        <v>5021.5121951219517</v>
      </c>
      <c r="F27" s="608">
        <v>153803.47716142316</v>
      </c>
      <c r="G27" s="609">
        <v>21018.000423487403</v>
      </c>
      <c r="H27" s="610">
        <v>21018.000423487403</v>
      </c>
      <c r="I27" s="511">
        <f t="shared" si="9"/>
        <v>0</v>
      </c>
      <c r="J27" s="511"/>
      <c r="K27" s="518">
        <f t="shared" si="10"/>
        <v>21018.000423487403</v>
      </c>
      <c r="L27" s="519">
        <f t="shared" ref="L27" si="13">IF(K27&lt;&gt;0,+G27-K27,0)</f>
        <v>0</v>
      </c>
      <c r="M27" s="518">
        <f t="shared" si="11"/>
        <v>21018.000423487403</v>
      </c>
      <c r="N27" s="514">
        <f t="shared" si="3"/>
        <v>0</v>
      </c>
      <c r="O27" s="514">
        <f t="shared" si="4"/>
        <v>0</v>
      </c>
      <c r="P27" s="272"/>
    </row>
    <row r="28" spans="2:16">
      <c r="B28" s="195" t="str">
        <f t="shared" si="5"/>
        <v>IU</v>
      </c>
      <c r="C28" s="507">
        <f>IF(D11="","-",+C27+1)</f>
        <v>2021</v>
      </c>
      <c r="D28" s="608">
        <v>154037.035868173</v>
      </c>
      <c r="E28" s="609">
        <v>4901.9523809523807</v>
      </c>
      <c r="F28" s="608">
        <v>149135.08348722063</v>
      </c>
      <c r="G28" s="609">
        <v>20970.763671890392</v>
      </c>
      <c r="H28" s="610">
        <v>20970.763671890392</v>
      </c>
      <c r="I28" s="511">
        <f t="shared" si="9"/>
        <v>0</v>
      </c>
      <c r="J28" s="511"/>
      <c r="K28" s="518">
        <f t="shared" si="10"/>
        <v>20970.763671890392</v>
      </c>
      <c r="L28" s="519">
        <f t="shared" ref="L28" si="14">IF(K28&lt;&gt;0,+G28-K28,0)</f>
        <v>0</v>
      </c>
      <c r="M28" s="518">
        <f t="shared" si="11"/>
        <v>20970.763671890392</v>
      </c>
      <c r="N28" s="514">
        <f t="shared" si="3"/>
        <v>0</v>
      </c>
      <c r="O28" s="514">
        <f t="shared" si="4"/>
        <v>0</v>
      </c>
      <c r="P28" s="272"/>
    </row>
    <row r="29" spans="2:16">
      <c r="B29" s="195" t="str">
        <f t="shared" si="5"/>
        <v>IU</v>
      </c>
      <c r="C29" s="507">
        <f>IF(D11="","-",+C28+1)</f>
        <v>2022</v>
      </c>
      <c r="D29" s="608">
        <v>148901.52478047076</v>
      </c>
      <c r="E29" s="609">
        <v>4901.9523809523807</v>
      </c>
      <c r="F29" s="608">
        <v>143999.57239951839</v>
      </c>
      <c r="G29" s="609">
        <v>21369.452055184542</v>
      </c>
      <c r="H29" s="610">
        <v>21369.452055184542</v>
      </c>
      <c r="I29" s="511">
        <f t="shared" si="9"/>
        <v>0</v>
      </c>
      <c r="J29" s="511"/>
      <c r="K29" s="518">
        <f t="shared" ref="K29" si="15">G29</f>
        <v>21369.452055184542</v>
      </c>
      <c r="L29" s="519">
        <f t="shared" ref="L29" si="16">IF(K29&lt;&gt;0,+G29-K29,0)</f>
        <v>0</v>
      </c>
      <c r="M29" s="518">
        <f t="shared" ref="M29" si="17">H29</f>
        <v>21369.452055184542</v>
      </c>
      <c r="N29" s="514">
        <f t="shared" si="3"/>
        <v>0</v>
      </c>
      <c r="O29" s="514">
        <f t="shared" si="4"/>
        <v>0</v>
      </c>
      <c r="P29" s="272"/>
    </row>
    <row r="30" spans="2:16">
      <c r="B30" s="195" t="str">
        <f t="shared" si="5"/>
        <v/>
      </c>
      <c r="C30" s="507">
        <f>IF(D11="","-",+C29+1)</f>
        <v>2023</v>
      </c>
      <c r="D30" s="608">
        <v>143999.57239951839</v>
      </c>
      <c r="E30" s="609">
        <v>4901.9523809523807</v>
      </c>
      <c r="F30" s="608">
        <v>139097.62001856603</v>
      </c>
      <c r="G30" s="609">
        <v>22783.331883065894</v>
      </c>
      <c r="H30" s="610">
        <v>22783.331883065894</v>
      </c>
      <c r="I30" s="511">
        <f t="shared" si="9"/>
        <v>0</v>
      </c>
      <c r="J30" s="511"/>
      <c r="K30" s="518">
        <f t="shared" ref="K30" si="18">G30</f>
        <v>22783.331883065894</v>
      </c>
      <c r="L30" s="519">
        <f t="shared" ref="L30" si="19">IF(K30&lt;&gt;0,+G30-K30,0)</f>
        <v>0</v>
      </c>
      <c r="M30" s="518">
        <f t="shared" ref="M30" si="20">H30</f>
        <v>22783.331883065894</v>
      </c>
      <c r="N30" s="514">
        <f t="shared" ref="N30" si="21">IF(M30&lt;&gt;0,+H30-M30,0)</f>
        <v>0</v>
      </c>
      <c r="O30" s="514">
        <f t="shared" ref="O30" si="22">+N30-L30</f>
        <v>0</v>
      </c>
      <c r="P30" s="272"/>
    </row>
    <row r="31" spans="2:16">
      <c r="B31" s="195" t="str">
        <f t="shared" si="5"/>
        <v/>
      </c>
      <c r="C31" s="673">
        <f>IF(D11="","-",+C30+1)</f>
        <v>2024</v>
      </c>
      <c r="D31" s="523">
        <f>IF(F30+SUM(E$17:E30)=D$10,F30,D$10-SUM(E$17:E30))</f>
        <v>139097.62001856603</v>
      </c>
      <c r="E31" s="522">
        <f>IF(+I14&lt;F30,I14,D31)</f>
        <v>4679.136363636364</v>
      </c>
      <c r="F31" s="523">
        <f t="shared" ref="F31:F48" si="23">+D31-E31</f>
        <v>134418.48365492967</v>
      </c>
      <c r="G31" s="524">
        <f t="shared" ref="G31:G55" si="24">+I$12*((D31+F31)/2)+E31</f>
        <v>21025.43403027673</v>
      </c>
      <c r="H31" s="491">
        <f t="shared" ref="H31:H55" si="25">+I$13*((D31+F31)/2)+E31</f>
        <v>21025.43403027673</v>
      </c>
      <c r="I31" s="511">
        <f t="shared" si="9"/>
        <v>0</v>
      </c>
      <c r="J31" s="511"/>
      <c r="K31" s="525"/>
      <c r="L31" s="514">
        <f t="shared" si="1"/>
        <v>0</v>
      </c>
      <c r="M31" s="525"/>
      <c r="N31" s="514">
        <f t="shared" si="3"/>
        <v>0</v>
      </c>
      <c r="O31" s="514">
        <f t="shared" si="4"/>
        <v>0</v>
      </c>
      <c r="P31" s="272"/>
    </row>
    <row r="32" spans="2:16">
      <c r="B32" s="195" t="str">
        <f t="shared" si="5"/>
        <v/>
      </c>
      <c r="C32" s="507">
        <f>IF(D11="","-",+C31+1)</f>
        <v>2025</v>
      </c>
      <c r="D32" s="523">
        <f>IF(F31+SUM(E$17:E31)=D$10,F31,D$10-SUM(E$17:E31))</f>
        <v>134418.48365492967</v>
      </c>
      <c r="E32" s="522">
        <f>IF(+I14&lt;F31,I14,D32)</f>
        <v>4679.136363636364</v>
      </c>
      <c r="F32" s="523">
        <f t="shared" si="23"/>
        <v>129739.34729129331</v>
      </c>
      <c r="G32" s="524">
        <f t="shared" si="24"/>
        <v>20466.15028211318</v>
      </c>
      <c r="H32" s="491">
        <f t="shared" si="25"/>
        <v>20466.15028211318</v>
      </c>
      <c r="I32" s="511">
        <f t="shared" si="9"/>
        <v>0</v>
      </c>
      <c r="J32" s="511"/>
      <c r="K32" s="525"/>
      <c r="L32" s="514">
        <f t="shared" si="1"/>
        <v>0</v>
      </c>
      <c r="M32" s="525"/>
      <c r="N32" s="514">
        <f t="shared" si="3"/>
        <v>0</v>
      </c>
      <c r="O32" s="514">
        <f t="shared" si="4"/>
        <v>0</v>
      </c>
      <c r="P32" s="272"/>
    </row>
    <row r="33" spans="2:16">
      <c r="B33" s="195" t="str">
        <f t="shared" si="5"/>
        <v/>
      </c>
      <c r="C33" s="507">
        <f>IF(D11="","-",+C32+1)</f>
        <v>2026</v>
      </c>
      <c r="D33" s="523">
        <f>IF(F32+SUM(E$17:E32)=D$10,F32,D$10-SUM(E$17:E32))</f>
        <v>129739.34729129331</v>
      </c>
      <c r="E33" s="522">
        <f>IF(+I14&lt;F32,I14,D33)</f>
        <v>4679.136363636364</v>
      </c>
      <c r="F33" s="523">
        <f t="shared" si="23"/>
        <v>125060.21092765694</v>
      </c>
      <c r="G33" s="524">
        <f t="shared" si="24"/>
        <v>19906.866533949629</v>
      </c>
      <c r="H33" s="491">
        <f t="shared" si="25"/>
        <v>19906.866533949629</v>
      </c>
      <c r="I33" s="511">
        <f t="shared" si="9"/>
        <v>0</v>
      </c>
      <c r="J33" s="511"/>
      <c r="K33" s="525"/>
      <c r="L33" s="514">
        <f t="shared" si="1"/>
        <v>0</v>
      </c>
      <c r="M33" s="525"/>
      <c r="N33" s="514">
        <f t="shared" si="3"/>
        <v>0</v>
      </c>
      <c r="O33" s="514">
        <f t="shared" si="4"/>
        <v>0</v>
      </c>
      <c r="P33" s="272"/>
    </row>
    <row r="34" spans="2:16">
      <c r="B34" s="195" t="str">
        <f t="shared" si="5"/>
        <v/>
      </c>
      <c r="C34" s="507">
        <f>IF(D11="","-",+C33+1)</f>
        <v>2027</v>
      </c>
      <c r="D34" s="523">
        <f>IF(F33+SUM(E$17:E33)=D$10,F33,D$10-SUM(E$17:E33))</f>
        <v>125060.21092765694</v>
      </c>
      <c r="E34" s="522">
        <f>IF(+I14&lt;F33,I14,D34)</f>
        <v>4679.136363636364</v>
      </c>
      <c r="F34" s="523">
        <f t="shared" si="23"/>
        <v>120381.07456402057</v>
      </c>
      <c r="G34" s="524">
        <f t="shared" si="24"/>
        <v>19347.582785786086</v>
      </c>
      <c r="H34" s="491">
        <f t="shared" si="25"/>
        <v>19347.582785786086</v>
      </c>
      <c r="I34" s="511">
        <f t="shared" si="9"/>
        <v>0</v>
      </c>
      <c r="J34" s="511"/>
      <c r="K34" s="525"/>
      <c r="L34" s="514">
        <f t="shared" si="1"/>
        <v>0</v>
      </c>
      <c r="M34" s="525"/>
      <c r="N34" s="514">
        <f t="shared" si="3"/>
        <v>0</v>
      </c>
      <c r="O34" s="514">
        <f t="shared" si="4"/>
        <v>0</v>
      </c>
      <c r="P34" s="272"/>
    </row>
    <row r="35" spans="2:16">
      <c r="B35" s="195" t="str">
        <f t="shared" si="5"/>
        <v/>
      </c>
      <c r="C35" s="507">
        <f>IF(D11="","-",+C34+1)</f>
        <v>2028</v>
      </c>
      <c r="D35" s="523">
        <f>IF(F34+SUM(E$17:E34)=D$10,F34,D$10-SUM(E$17:E34))</f>
        <v>120381.07456402057</v>
      </c>
      <c r="E35" s="522">
        <f>IF(+I14&lt;F34,I14,D35)</f>
        <v>4679.136363636364</v>
      </c>
      <c r="F35" s="523">
        <f t="shared" si="23"/>
        <v>115701.9382003842</v>
      </c>
      <c r="G35" s="524">
        <f t="shared" si="24"/>
        <v>18788.299037622535</v>
      </c>
      <c r="H35" s="491">
        <f t="shared" si="25"/>
        <v>18788.299037622535</v>
      </c>
      <c r="I35" s="511">
        <f t="shared" si="9"/>
        <v>0</v>
      </c>
      <c r="J35" s="511"/>
      <c r="K35" s="525"/>
      <c r="L35" s="514">
        <f t="shared" si="1"/>
        <v>0</v>
      </c>
      <c r="M35" s="525"/>
      <c r="N35" s="514">
        <f t="shared" si="3"/>
        <v>0</v>
      </c>
      <c r="O35" s="514">
        <f t="shared" si="4"/>
        <v>0</v>
      </c>
      <c r="P35" s="272"/>
    </row>
    <row r="36" spans="2:16">
      <c r="B36" s="195" t="str">
        <f t="shared" si="5"/>
        <v/>
      </c>
      <c r="C36" s="507">
        <f>IF(D11="","-",+C35+1)</f>
        <v>2029</v>
      </c>
      <c r="D36" s="523">
        <f>IF(F35+SUM(E$17:E35)=D$10,F35,D$10-SUM(E$17:E35))</f>
        <v>115701.9382003842</v>
      </c>
      <c r="E36" s="522">
        <f>IF(+I14&lt;F35,I14,D36)</f>
        <v>4679.136363636364</v>
      </c>
      <c r="F36" s="523">
        <f t="shared" si="23"/>
        <v>111022.80183674784</v>
      </c>
      <c r="G36" s="524">
        <f t="shared" si="24"/>
        <v>18229.015289458985</v>
      </c>
      <c r="H36" s="491">
        <f t="shared" si="25"/>
        <v>18229.015289458985</v>
      </c>
      <c r="I36" s="511">
        <f t="shared" si="9"/>
        <v>0</v>
      </c>
      <c r="J36" s="511"/>
      <c r="K36" s="525"/>
      <c r="L36" s="514">
        <f t="shared" si="1"/>
        <v>0</v>
      </c>
      <c r="M36" s="525"/>
      <c r="N36" s="514">
        <f t="shared" si="3"/>
        <v>0</v>
      </c>
      <c r="O36" s="514">
        <f t="shared" si="4"/>
        <v>0</v>
      </c>
      <c r="P36" s="272"/>
    </row>
    <row r="37" spans="2:16">
      <c r="B37" s="195" t="str">
        <f t="shared" si="5"/>
        <v/>
      </c>
      <c r="C37" s="507">
        <f>IF(D11="","-",+C36+1)</f>
        <v>2030</v>
      </c>
      <c r="D37" s="523">
        <f>IF(F36+SUM(E$17:E36)=D$10,F36,D$10-SUM(E$17:E36))</f>
        <v>111022.80183674784</v>
      </c>
      <c r="E37" s="522">
        <f>IF(+I14&lt;F36,I14,D37)</f>
        <v>4679.136363636364</v>
      </c>
      <c r="F37" s="523">
        <f t="shared" si="23"/>
        <v>106343.66547311147</v>
      </c>
      <c r="G37" s="524">
        <f t="shared" si="24"/>
        <v>17669.731541295434</v>
      </c>
      <c r="H37" s="491">
        <f t="shared" si="25"/>
        <v>17669.731541295434</v>
      </c>
      <c r="I37" s="511">
        <f t="shared" si="9"/>
        <v>0</v>
      </c>
      <c r="J37" s="511"/>
      <c r="K37" s="525"/>
      <c r="L37" s="514">
        <f t="shared" si="1"/>
        <v>0</v>
      </c>
      <c r="M37" s="525"/>
      <c r="N37" s="514">
        <f t="shared" si="3"/>
        <v>0</v>
      </c>
      <c r="O37" s="514">
        <f t="shared" si="4"/>
        <v>0</v>
      </c>
      <c r="P37" s="272"/>
    </row>
    <row r="38" spans="2:16">
      <c r="B38" s="195" t="str">
        <f t="shared" si="5"/>
        <v/>
      </c>
      <c r="C38" s="507">
        <f>IF(D11="","-",+C37+1)</f>
        <v>2031</v>
      </c>
      <c r="D38" s="523">
        <f>IF(F37+SUM(E$17:E37)=D$10,F37,D$10-SUM(E$17:E37))</f>
        <v>106343.66547311147</v>
      </c>
      <c r="E38" s="522">
        <f>IF(+I14&lt;F37,I14,D38)</f>
        <v>4679.136363636364</v>
      </c>
      <c r="F38" s="523">
        <f t="shared" si="23"/>
        <v>101664.5291094751</v>
      </c>
      <c r="G38" s="524">
        <f t="shared" si="24"/>
        <v>17110.447793131891</v>
      </c>
      <c r="H38" s="491">
        <f t="shared" si="25"/>
        <v>17110.447793131891</v>
      </c>
      <c r="I38" s="511">
        <f t="shared" si="9"/>
        <v>0</v>
      </c>
      <c r="J38" s="511"/>
      <c r="K38" s="525"/>
      <c r="L38" s="514">
        <f t="shared" si="1"/>
        <v>0</v>
      </c>
      <c r="M38" s="525"/>
      <c r="N38" s="514">
        <f t="shared" si="3"/>
        <v>0</v>
      </c>
      <c r="O38" s="514">
        <f t="shared" si="4"/>
        <v>0</v>
      </c>
      <c r="P38" s="272"/>
    </row>
    <row r="39" spans="2:16">
      <c r="B39" s="195" t="str">
        <f t="shared" si="5"/>
        <v/>
      </c>
      <c r="C39" s="507">
        <f>IF(D11="","-",+C38+1)</f>
        <v>2032</v>
      </c>
      <c r="D39" s="523">
        <f>IF(F38+SUM(E$17:E38)=D$10,F38,D$10-SUM(E$17:E38))</f>
        <v>101664.5291094751</v>
      </c>
      <c r="E39" s="522">
        <f>IF(+I14&lt;F38,I14,D39)</f>
        <v>4679.136363636364</v>
      </c>
      <c r="F39" s="523">
        <f t="shared" si="23"/>
        <v>96985.392745838733</v>
      </c>
      <c r="G39" s="524">
        <f t="shared" si="24"/>
        <v>16551.16404496834</v>
      </c>
      <c r="H39" s="491">
        <f t="shared" si="25"/>
        <v>16551.16404496834</v>
      </c>
      <c r="I39" s="511">
        <f t="shared" si="9"/>
        <v>0</v>
      </c>
      <c r="J39" s="511"/>
      <c r="K39" s="525"/>
      <c r="L39" s="514">
        <f t="shared" si="1"/>
        <v>0</v>
      </c>
      <c r="M39" s="525"/>
      <c r="N39" s="514">
        <f t="shared" si="3"/>
        <v>0</v>
      </c>
      <c r="O39" s="514">
        <f t="shared" si="4"/>
        <v>0</v>
      </c>
      <c r="P39" s="272"/>
    </row>
    <row r="40" spans="2:16">
      <c r="B40" s="195" t="str">
        <f t="shared" si="5"/>
        <v/>
      </c>
      <c r="C40" s="507">
        <f>IF(D11="","-",+C39+1)</f>
        <v>2033</v>
      </c>
      <c r="D40" s="523">
        <f>IF(F39+SUM(E$17:E39)=D$10,F39,D$10-SUM(E$17:E39))</f>
        <v>96985.392745838733</v>
      </c>
      <c r="E40" s="522">
        <f>IF(+I14&lt;F39,I14,D40)</f>
        <v>4679.136363636364</v>
      </c>
      <c r="F40" s="523">
        <f t="shared" si="23"/>
        <v>92306.256382202366</v>
      </c>
      <c r="G40" s="524">
        <f t="shared" si="24"/>
        <v>15991.880296804791</v>
      </c>
      <c r="H40" s="491">
        <f t="shared" si="25"/>
        <v>15991.880296804791</v>
      </c>
      <c r="I40" s="511">
        <f t="shared" si="9"/>
        <v>0</v>
      </c>
      <c r="J40" s="511"/>
      <c r="K40" s="525"/>
      <c r="L40" s="514">
        <f t="shared" si="1"/>
        <v>0</v>
      </c>
      <c r="M40" s="525"/>
      <c r="N40" s="514">
        <f t="shared" si="3"/>
        <v>0</v>
      </c>
      <c r="O40" s="514">
        <f t="shared" si="4"/>
        <v>0</v>
      </c>
      <c r="P40" s="272"/>
    </row>
    <row r="41" spans="2:16">
      <c r="B41" s="195" t="str">
        <f t="shared" si="5"/>
        <v/>
      </c>
      <c r="C41" s="507">
        <f>IF(D11="","-",+C40+1)</f>
        <v>2034</v>
      </c>
      <c r="D41" s="523">
        <f>IF(F40+SUM(E$17:E40)=D$10,F40,D$10-SUM(E$17:E40))</f>
        <v>92306.256382202366</v>
      </c>
      <c r="E41" s="522">
        <f>IF(+I14&lt;F40,I14,D41)</f>
        <v>4679.136363636364</v>
      </c>
      <c r="F41" s="523">
        <f t="shared" si="23"/>
        <v>87627.120018565998</v>
      </c>
      <c r="G41" s="524">
        <f t="shared" si="24"/>
        <v>15432.596548641241</v>
      </c>
      <c r="H41" s="491">
        <f t="shared" si="25"/>
        <v>15432.596548641241</v>
      </c>
      <c r="I41" s="511">
        <f t="shared" si="9"/>
        <v>0</v>
      </c>
      <c r="J41" s="511"/>
      <c r="K41" s="525"/>
      <c r="L41" s="514">
        <f t="shared" si="1"/>
        <v>0</v>
      </c>
      <c r="M41" s="525"/>
      <c r="N41" s="514">
        <f t="shared" si="3"/>
        <v>0</v>
      </c>
      <c r="O41" s="514">
        <f t="shared" si="4"/>
        <v>0</v>
      </c>
      <c r="P41" s="272"/>
    </row>
    <row r="42" spans="2:16">
      <c r="B42" s="195" t="str">
        <f t="shared" si="5"/>
        <v/>
      </c>
      <c r="C42" s="507">
        <f>IF(D11="","-",+C41+1)</f>
        <v>2035</v>
      </c>
      <c r="D42" s="523">
        <f>IF(F41+SUM(E$17:E41)=D$10,F41,D$10-SUM(E$17:E41))</f>
        <v>87627.120018565998</v>
      </c>
      <c r="E42" s="522">
        <f>IF(+I14&lt;F41,I14,D42)</f>
        <v>4679.136363636364</v>
      </c>
      <c r="F42" s="523">
        <f t="shared" si="23"/>
        <v>82947.983654929631</v>
      </c>
      <c r="G42" s="524">
        <f t="shared" si="24"/>
        <v>14873.312800477694</v>
      </c>
      <c r="H42" s="491">
        <f t="shared" si="25"/>
        <v>14873.312800477694</v>
      </c>
      <c r="I42" s="511">
        <f t="shared" si="9"/>
        <v>0</v>
      </c>
      <c r="J42" s="511"/>
      <c r="K42" s="525"/>
      <c r="L42" s="514">
        <f t="shared" si="1"/>
        <v>0</v>
      </c>
      <c r="M42" s="525"/>
      <c r="N42" s="514">
        <f t="shared" si="3"/>
        <v>0</v>
      </c>
      <c r="O42" s="514">
        <f t="shared" si="4"/>
        <v>0</v>
      </c>
      <c r="P42" s="272"/>
    </row>
    <row r="43" spans="2:16">
      <c r="B43" s="195" t="str">
        <f t="shared" si="5"/>
        <v/>
      </c>
      <c r="C43" s="507">
        <f>IF(D11="","-",+C42+1)</f>
        <v>2036</v>
      </c>
      <c r="D43" s="523">
        <f>IF(F42+SUM(E$17:E42)=D$10,F42,D$10-SUM(E$17:E42))</f>
        <v>82947.983654929631</v>
      </c>
      <c r="E43" s="522">
        <f>IF(+I14&lt;F42,I14,D43)</f>
        <v>4679.136363636364</v>
      </c>
      <c r="F43" s="523">
        <f t="shared" si="23"/>
        <v>78268.847291293263</v>
      </c>
      <c r="G43" s="524">
        <f t="shared" si="24"/>
        <v>14314.029052314143</v>
      </c>
      <c r="H43" s="491">
        <f t="shared" si="25"/>
        <v>14314.029052314143</v>
      </c>
      <c r="I43" s="511">
        <f t="shared" si="9"/>
        <v>0</v>
      </c>
      <c r="J43" s="511"/>
      <c r="K43" s="525"/>
      <c r="L43" s="514">
        <f t="shared" si="1"/>
        <v>0</v>
      </c>
      <c r="M43" s="525"/>
      <c r="N43" s="514">
        <f t="shared" si="3"/>
        <v>0</v>
      </c>
      <c r="O43" s="514">
        <f t="shared" si="4"/>
        <v>0</v>
      </c>
      <c r="P43" s="272"/>
    </row>
    <row r="44" spans="2:16">
      <c r="B44" s="195" t="str">
        <f t="shared" si="5"/>
        <v/>
      </c>
      <c r="C44" s="507">
        <f>IF(D11="","-",+C43+1)</f>
        <v>2037</v>
      </c>
      <c r="D44" s="523">
        <f>IF(F43+SUM(E$17:E43)=D$10,F43,D$10-SUM(E$17:E43))</f>
        <v>78268.847291293263</v>
      </c>
      <c r="E44" s="522">
        <f>IF(+I14&lt;F43,I14,D44)</f>
        <v>4679.136363636364</v>
      </c>
      <c r="F44" s="523">
        <f t="shared" si="23"/>
        <v>73589.710927656895</v>
      </c>
      <c r="G44" s="524">
        <f t="shared" si="24"/>
        <v>13754.745304150596</v>
      </c>
      <c r="H44" s="491">
        <f t="shared" si="25"/>
        <v>13754.745304150596</v>
      </c>
      <c r="I44" s="511">
        <f t="shared" si="9"/>
        <v>0</v>
      </c>
      <c r="J44" s="511"/>
      <c r="K44" s="525"/>
      <c r="L44" s="514">
        <f t="shared" si="1"/>
        <v>0</v>
      </c>
      <c r="M44" s="525"/>
      <c r="N44" s="514">
        <f t="shared" si="3"/>
        <v>0</v>
      </c>
      <c r="O44" s="514">
        <f t="shared" si="4"/>
        <v>0</v>
      </c>
      <c r="P44" s="272"/>
    </row>
    <row r="45" spans="2:16">
      <c r="B45" s="195" t="str">
        <f t="shared" si="5"/>
        <v/>
      </c>
      <c r="C45" s="507">
        <f>IF(D11="","-",+C44+1)</f>
        <v>2038</v>
      </c>
      <c r="D45" s="523">
        <f>IF(F44+SUM(E$17:E44)=D$10,F44,D$10-SUM(E$17:E44))</f>
        <v>73589.710927656895</v>
      </c>
      <c r="E45" s="522">
        <f>IF(+I14&lt;F44,I14,D45)</f>
        <v>4679.136363636364</v>
      </c>
      <c r="F45" s="523">
        <f t="shared" si="23"/>
        <v>68910.574564020528</v>
      </c>
      <c r="G45" s="524">
        <f t="shared" si="24"/>
        <v>13195.461555987045</v>
      </c>
      <c r="H45" s="491">
        <f t="shared" si="25"/>
        <v>13195.461555987045</v>
      </c>
      <c r="I45" s="511">
        <f t="shared" si="9"/>
        <v>0</v>
      </c>
      <c r="J45" s="511"/>
      <c r="K45" s="525"/>
      <c r="L45" s="514">
        <f t="shared" si="1"/>
        <v>0</v>
      </c>
      <c r="M45" s="525"/>
      <c r="N45" s="514">
        <f t="shared" si="3"/>
        <v>0</v>
      </c>
      <c r="O45" s="514">
        <f t="shared" si="4"/>
        <v>0</v>
      </c>
      <c r="P45" s="272"/>
    </row>
    <row r="46" spans="2:16">
      <c r="B46" s="195" t="str">
        <f t="shared" si="5"/>
        <v/>
      </c>
      <c r="C46" s="507">
        <f>IF(D11="","-",+C45+1)</f>
        <v>2039</v>
      </c>
      <c r="D46" s="523">
        <f>IF(F45+SUM(E$17:E45)=D$10,F45,D$10-SUM(E$17:E45))</f>
        <v>68910.574564020528</v>
      </c>
      <c r="E46" s="522">
        <f>IF(+I14&lt;F45,I14,D46)</f>
        <v>4679.136363636364</v>
      </c>
      <c r="F46" s="523">
        <f t="shared" si="23"/>
        <v>64231.43820038416</v>
      </c>
      <c r="G46" s="524">
        <f t="shared" si="24"/>
        <v>12636.177807823498</v>
      </c>
      <c r="H46" s="491">
        <f t="shared" si="25"/>
        <v>12636.177807823498</v>
      </c>
      <c r="I46" s="511">
        <f t="shared" si="9"/>
        <v>0</v>
      </c>
      <c r="J46" s="511"/>
      <c r="K46" s="525"/>
      <c r="L46" s="514">
        <f t="shared" si="1"/>
        <v>0</v>
      </c>
      <c r="M46" s="525"/>
      <c r="N46" s="514">
        <f t="shared" si="3"/>
        <v>0</v>
      </c>
      <c r="O46" s="514">
        <f t="shared" si="4"/>
        <v>0</v>
      </c>
      <c r="P46" s="272"/>
    </row>
    <row r="47" spans="2:16">
      <c r="B47" s="195" t="str">
        <f t="shared" si="5"/>
        <v/>
      </c>
      <c r="C47" s="507">
        <f>IF(D11="","-",+C46+1)</f>
        <v>2040</v>
      </c>
      <c r="D47" s="523">
        <f>IF(F46+SUM(E$17:E46)=D$10,F46,D$10-SUM(E$17:E46))</f>
        <v>64231.43820038416</v>
      </c>
      <c r="E47" s="522">
        <f>IF(+I14&lt;F46,I14,D47)</f>
        <v>4679.136363636364</v>
      </c>
      <c r="F47" s="523">
        <f t="shared" si="23"/>
        <v>59552.301836747793</v>
      </c>
      <c r="G47" s="524">
        <f t="shared" si="24"/>
        <v>12076.89405965995</v>
      </c>
      <c r="H47" s="491">
        <f t="shared" si="25"/>
        <v>12076.89405965995</v>
      </c>
      <c r="I47" s="511">
        <f t="shared" si="9"/>
        <v>0</v>
      </c>
      <c r="J47" s="511"/>
      <c r="K47" s="525"/>
      <c r="L47" s="514">
        <f t="shared" si="1"/>
        <v>0</v>
      </c>
      <c r="M47" s="525"/>
      <c r="N47" s="514">
        <f t="shared" si="3"/>
        <v>0</v>
      </c>
      <c r="O47" s="514">
        <f t="shared" si="4"/>
        <v>0</v>
      </c>
      <c r="P47" s="272"/>
    </row>
    <row r="48" spans="2:16">
      <c r="B48" s="195" t="str">
        <f t="shared" si="5"/>
        <v/>
      </c>
      <c r="C48" s="507">
        <f>IF(D11="","-",+C47+1)</f>
        <v>2041</v>
      </c>
      <c r="D48" s="523">
        <f>IF(F47+SUM(E$17:E47)=D$10,F47,D$10-SUM(E$17:E47))</f>
        <v>59552.301836747793</v>
      </c>
      <c r="E48" s="522">
        <f>IF(+I14&lt;F47,I14,D48)</f>
        <v>4679.136363636364</v>
      </c>
      <c r="F48" s="523">
        <f t="shared" si="23"/>
        <v>54873.165473111425</v>
      </c>
      <c r="G48" s="524">
        <f t="shared" si="24"/>
        <v>11517.610311496399</v>
      </c>
      <c r="H48" s="491">
        <f t="shared" si="25"/>
        <v>11517.610311496399</v>
      </c>
      <c r="I48" s="511">
        <f t="shared" si="9"/>
        <v>0</v>
      </c>
      <c r="J48" s="511"/>
      <c r="K48" s="525"/>
      <c r="L48" s="514">
        <f t="shared" si="1"/>
        <v>0</v>
      </c>
      <c r="M48" s="525"/>
      <c r="N48" s="514">
        <f t="shared" si="3"/>
        <v>0</v>
      </c>
      <c r="O48" s="514">
        <f t="shared" si="4"/>
        <v>0</v>
      </c>
      <c r="P48" s="272"/>
    </row>
    <row r="49" spans="2:17">
      <c r="B49" s="195" t="str">
        <f t="shared" si="5"/>
        <v/>
      </c>
      <c r="C49" s="507">
        <f>IF(D11="","-",+C48+1)</f>
        <v>2042</v>
      </c>
      <c r="D49" s="523">
        <f>IF(F48+SUM(E$17:E48)=D$10,F48,D$10-SUM(E$17:E48))</f>
        <v>54873.165473111425</v>
      </c>
      <c r="E49" s="522">
        <f>IF(+I14&lt;F48,I14,D49)</f>
        <v>4679.136363636364</v>
      </c>
      <c r="F49" s="523">
        <f t="shared" ref="F49:F72" si="26">+D49-E49</f>
        <v>50194.029109475057</v>
      </c>
      <c r="G49" s="524">
        <f t="shared" si="24"/>
        <v>10958.326563332852</v>
      </c>
      <c r="H49" s="491">
        <f t="shared" si="25"/>
        <v>10958.326563332852</v>
      </c>
      <c r="I49" s="511">
        <f t="shared" ref="I49:I72" si="27">H49-G49</f>
        <v>0</v>
      </c>
      <c r="J49" s="511"/>
      <c r="K49" s="525"/>
      <c r="L49" s="514">
        <f t="shared" ref="L49:L72" si="28">IF(K49&lt;&gt;0,+G49-K49,0)</f>
        <v>0</v>
      </c>
      <c r="M49" s="525"/>
      <c r="N49" s="514">
        <f t="shared" ref="N49:N72" si="29">IF(M49&lt;&gt;0,+H49-M49,0)</f>
        <v>0</v>
      </c>
      <c r="O49" s="514">
        <f t="shared" ref="O49:O72" si="30">+N49-L49</f>
        <v>0</v>
      </c>
      <c r="P49" s="272"/>
    </row>
    <row r="50" spans="2:17">
      <c r="B50" s="195" t="str">
        <f t="shared" si="5"/>
        <v/>
      </c>
      <c r="C50" s="507">
        <f>IF(D11="","-",+C49+1)</f>
        <v>2043</v>
      </c>
      <c r="D50" s="523">
        <f>IF(F49+SUM(E$17:E49)=D$10,F49,D$10-SUM(E$17:E49))</f>
        <v>50194.029109475057</v>
      </c>
      <c r="E50" s="522">
        <f>IF(+I14&lt;F49,I14,D50)</f>
        <v>4679.136363636364</v>
      </c>
      <c r="F50" s="523">
        <f t="shared" si="26"/>
        <v>45514.89274583869</v>
      </c>
      <c r="G50" s="524">
        <f t="shared" si="24"/>
        <v>10399.042815169301</v>
      </c>
      <c r="H50" s="491">
        <f t="shared" si="25"/>
        <v>10399.042815169301</v>
      </c>
      <c r="I50" s="511">
        <f t="shared" si="27"/>
        <v>0</v>
      </c>
      <c r="J50" s="511"/>
      <c r="K50" s="525"/>
      <c r="L50" s="514">
        <f t="shared" si="28"/>
        <v>0</v>
      </c>
      <c r="M50" s="525"/>
      <c r="N50" s="514">
        <f t="shared" si="29"/>
        <v>0</v>
      </c>
      <c r="O50" s="514">
        <f t="shared" si="30"/>
        <v>0</v>
      </c>
      <c r="P50" s="272"/>
    </row>
    <row r="51" spans="2:17">
      <c r="B51" s="195" t="str">
        <f t="shared" si="5"/>
        <v/>
      </c>
      <c r="C51" s="507">
        <f>IF(D11="","-",+C50+1)</f>
        <v>2044</v>
      </c>
      <c r="D51" s="523">
        <f>IF(F50+SUM(E$17:E50)=D$10,F50,D$10-SUM(E$17:E50))</f>
        <v>45514.89274583869</v>
      </c>
      <c r="E51" s="522">
        <f>IF(+I14&lt;F50,I14,D51)</f>
        <v>4679.136363636364</v>
      </c>
      <c r="F51" s="523">
        <f t="shared" si="26"/>
        <v>40835.756382202322</v>
      </c>
      <c r="G51" s="524">
        <f t="shared" si="24"/>
        <v>9839.7590670057543</v>
      </c>
      <c r="H51" s="491">
        <f t="shared" si="25"/>
        <v>9839.7590670057543</v>
      </c>
      <c r="I51" s="511">
        <f t="shared" si="27"/>
        <v>0</v>
      </c>
      <c r="J51" s="511"/>
      <c r="K51" s="525"/>
      <c r="L51" s="514">
        <f t="shared" si="28"/>
        <v>0</v>
      </c>
      <c r="M51" s="525"/>
      <c r="N51" s="514">
        <f t="shared" si="29"/>
        <v>0</v>
      </c>
      <c r="O51" s="514">
        <f t="shared" si="30"/>
        <v>0</v>
      </c>
      <c r="P51" s="272"/>
    </row>
    <row r="52" spans="2:17">
      <c r="B52" s="195" t="str">
        <f t="shared" si="5"/>
        <v/>
      </c>
      <c r="C52" s="507">
        <f>IF(D11="","-",+C51+1)</f>
        <v>2045</v>
      </c>
      <c r="D52" s="523">
        <f>IF(F51+SUM(E$17:E51)=D$10,F51,D$10-SUM(E$17:E51))</f>
        <v>40835.756382202322</v>
      </c>
      <c r="E52" s="522">
        <f>IF(+I14&lt;F51,I14,D52)</f>
        <v>4679.136363636364</v>
      </c>
      <c r="F52" s="523">
        <f t="shared" si="26"/>
        <v>36156.620018565955</v>
      </c>
      <c r="G52" s="524">
        <f t="shared" si="24"/>
        <v>9280.4753188422037</v>
      </c>
      <c r="H52" s="491">
        <f t="shared" si="25"/>
        <v>9280.4753188422037</v>
      </c>
      <c r="I52" s="511">
        <f t="shared" si="27"/>
        <v>0</v>
      </c>
      <c r="J52" s="511"/>
      <c r="K52" s="525"/>
      <c r="L52" s="514">
        <f t="shared" si="28"/>
        <v>0</v>
      </c>
      <c r="M52" s="525"/>
      <c r="N52" s="514">
        <f t="shared" si="29"/>
        <v>0</v>
      </c>
      <c r="O52" s="514">
        <f t="shared" si="30"/>
        <v>0</v>
      </c>
      <c r="P52" s="272"/>
    </row>
    <row r="53" spans="2:17">
      <c r="B53" s="195" t="str">
        <f t="shared" si="5"/>
        <v/>
      </c>
      <c r="C53" s="507">
        <f>IF(D11="","-",+C52+1)</f>
        <v>2046</v>
      </c>
      <c r="D53" s="523">
        <f>IF(F52+SUM(E$17:E52)=D$10,F52,D$10-SUM(E$17:E52))</f>
        <v>36156.620018565955</v>
      </c>
      <c r="E53" s="522">
        <f>IF(+I14&lt;F52,I14,D53)</f>
        <v>4679.136363636364</v>
      </c>
      <c r="F53" s="523">
        <f t="shared" si="26"/>
        <v>31477.483654929591</v>
      </c>
      <c r="G53" s="524">
        <f t="shared" si="24"/>
        <v>8721.1915706786567</v>
      </c>
      <c r="H53" s="491">
        <f t="shared" si="25"/>
        <v>8721.1915706786567</v>
      </c>
      <c r="I53" s="511">
        <f t="shared" si="27"/>
        <v>0</v>
      </c>
      <c r="J53" s="511"/>
      <c r="K53" s="525"/>
      <c r="L53" s="514">
        <f t="shared" si="28"/>
        <v>0</v>
      </c>
      <c r="M53" s="525"/>
      <c r="N53" s="514">
        <f t="shared" si="29"/>
        <v>0</v>
      </c>
      <c r="O53" s="514">
        <f t="shared" si="30"/>
        <v>0</v>
      </c>
      <c r="P53" s="272"/>
    </row>
    <row r="54" spans="2:17">
      <c r="B54" s="195" t="str">
        <f t="shared" si="5"/>
        <v/>
      </c>
      <c r="C54" s="507">
        <f>IF(D11="","-",+C53+1)</f>
        <v>2047</v>
      </c>
      <c r="D54" s="523">
        <f>IF(F53+SUM(E$17:E53)=D$10,F53,D$10-SUM(E$17:E53))</f>
        <v>31477.483654929591</v>
      </c>
      <c r="E54" s="522">
        <f>IF(+I14&lt;F53,I14,D54)</f>
        <v>4679.136363636364</v>
      </c>
      <c r="F54" s="523">
        <f t="shared" si="26"/>
        <v>26798.347291293227</v>
      </c>
      <c r="G54" s="524">
        <f t="shared" si="24"/>
        <v>8161.9078225151079</v>
      </c>
      <c r="H54" s="491">
        <f t="shared" si="25"/>
        <v>8161.9078225151079</v>
      </c>
      <c r="I54" s="511">
        <f t="shared" si="27"/>
        <v>0</v>
      </c>
      <c r="J54" s="511"/>
      <c r="K54" s="525"/>
      <c r="L54" s="514">
        <f t="shared" si="28"/>
        <v>0</v>
      </c>
      <c r="M54" s="525"/>
      <c r="N54" s="514">
        <f t="shared" si="29"/>
        <v>0</v>
      </c>
      <c r="O54" s="514">
        <f t="shared" si="30"/>
        <v>0</v>
      </c>
      <c r="P54" s="272"/>
    </row>
    <row r="55" spans="2:17">
      <c r="B55" s="195" t="str">
        <f t="shared" si="5"/>
        <v/>
      </c>
      <c r="C55" s="507">
        <f>IF(D11="","-",+C54+1)</f>
        <v>2048</v>
      </c>
      <c r="D55" s="523">
        <f>IF(F54+SUM(E$17:E54)=D$10,F54,D$10-SUM(E$17:E54))</f>
        <v>26798.347291293227</v>
      </c>
      <c r="E55" s="522">
        <f>IF(+I14&lt;F54,I14,D55)</f>
        <v>4679.136363636364</v>
      </c>
      <c r="F55" s="523">
        <f t="shared" si="26"/>
        <v>22119.210927656863</v>
      </c>
      <c r="G55" s="524">
        <f t="shared" si="24"/>
        <v>7602.6240743515591</v>
      </c>
      <c r="H55" s="491">
        <f t="shared" si="25"/>
        <v>7602.6240743515591</v>
      </c>
      <c r="I55" s="511">
        <f t="shared" si="27"/>
        <v>0</v>
      </c>
      <c r="J55" s="511"/>
      <c r="K55" s="525"/>
      <c r="L55" s="514">
        <f t="shared" si="28"/>
        <v>0</v>
      </c>
      <c r="M55" s="525"/>
      <c r="N55" s="514">
        <f t="shared" si="29"/>
        <v>0</v>
      </c>
      <c r="O55" s="514">
        <f t="shared" si="30"/>
        <v>0</v>
      </c>
      <c r="P55" s="272"/>
    </row>
    <row r="56" spans="2:17">
      <c r="B56" s="195" t="str">
        <f t="shared" si="5"/>
        <v/>
      </c>
      <c r="C56" s="507">
        <f>IF(D11="","-",+C55+1)</f>
        <v>2049</v>
      </c>
      <c r="D56" s="523">
        <f>IF(F55+SUM(E$17:E55)=D$10,F55,D$10-SUM(E$17:E55))</f>
        <v>22119.210927656863</v>
      </c>
      <c r="E56" s="522">
        <f>IF(+I14&lt;F55,I14,D56)</f>
        <v>4679.136363636364</v>
      </c>
      <c r="F56" s="523">
        <f t="shared" si="26"/>
        <v>17440.074564020499</v>
      </c>
      <c r="G56" s="524">
        <f t="shared" ref="G56:G72" si="31">+I$12*((D56+F56)/2)+E56</f>
        <v>7043.3403261880112</v>
      </c>
      <c r="H56" s="491">
        <f t="shared" ref="H56:H72" si="32">+I$13*((D56+F56)/2)+E56</f>
        <v>7043.3403261880112</v>
      </c>
      <c r="I56" s="511">
        <f t="shared" si="27"/>
        <v>0</v>
      </c>
      <c r="J56" s="511"/>
      <c r="K56" s="525"/>
      <c r="L56" s="514">
        <f t="shared" si="28"/>
        <v>0</v>
      </c>
      <c r="M56" s="525"/>
      <c r="N56" s="514">
        <f t="shared" si="29"/>
        <v>0</v>
      </c>
      <c r="O56" s="514">
        <f t="shared" si="30"/>
        <v>0</v>
      </c>
      <c r="P56" s="272"/>
    </row>
    <row r="57" spans="2:17">
      <c r="B57" s="195" t="str">
        <f t="shared" si="5"/>
        <v/>
      </c>
      <c r="C57" s="507">
        <f>IF(D11="","-",+C56+1)</f>
        <v>2050</v>
      </c>
      <c r="D57" s="523">
        <f>IF(F56+SUM(E$17:E56)=D$10,F56,D$10-SUM(E$17:E56))</f>
        <v>17440.074564020499</v>
      </c>
      <c r="E57" s="522">
        <f>IF(+I14&lt;F56,I14,D57)</f>
        <v>4679.136363636364</v>
      </c>
      <c r="F57" s="523">
        <f t="shared" si="26"/>
        <v>12760.938200384135</v>
      </c>
      <c r="G57" s="524">
        <f t="shared" si="31"/>
        <v>6484.0565780244633</v>
      </c>
      <c r="H57" s="491">
        <f t="shared" si="32"/>
        <v>6484.0565780244633</v>
      </c>
      <c r="I57" s="511">
        <f t="shared" si="27"/>
        <v>0</v>
      </c>
      <c r="J57" s="511"/>
      <c r="K57" s="525"/>
      <c r="L57" s="514">
        <f t="shared" si="28"/>
        <v>0</v>
      </c>
      <c r="M57" s="525"/>
      <c r="N57" s="514">
        <f t="shared" si="29"/>
        <v>0</v>
      </c>
      <c r="O57" s="514">
        <f t="shared" si="30"/>
        <v>0</v>
      </c>
      <c r="P57" s="272"/>
    </row>
    <row r="58" spans="2:17">
      <c r="B58" s="195" t="str">
        <f t="shared" si="5"/>
        <v/>
      </c>
      <c r="C58" s="507">
        <f>IF(D11="","-",+C57+1)</f>
        <v>2051</v>
      </c>
      <c r="D58" s="523">
        <f>IF(F57+SUM(E$17:E57)=D$10,F57,D$10-SUM(E$17:E57))</f>
        <v>12760.938200384135</v>
      </c>
      <c r="E58" s="522">
        <f>IF(+I14&lt;F57,I14,D58)</f>
        <v>4679.136363636364</v>
      </c>
      <c r="F58" s="523">
        <f t="shared" si="26"/>
        <v>8081.8018367477707</v>
      </c>
      <c r="G58" s="524">
        <f t="shared" si="31"/>
        <v>5924.7728298609145</v>
      </c>
      <c r="H58" s="491">
        <f t="shared" si="32"/>
        <v>5924.7728298609145</v>
      </c>
      <c r="I58" s="511">
        <f t="shared" si="27"/>
        <v>0</v>
      </c>
      <c r="J58" s="511"/>
      <c r="K58" s="525"/>
      <c r="L58" s="514">
        <f t="shared" si="28"/>
        <v>0</v>
      </c>
      <c r="M58" s="525"/>
      <c r="N58" s="514">
        <f t="shared" si="29"/>
        <v>0</v>
      </c>
      <c r="O58" s="514">
        <f t="shared" si="30"/>
        <v>0</v>
      </c>
      <c r="P58" s="272"/>
      <c r="Q58" s="183" t="str">
        <f>IF(ROUND(Q57,0)=ROUND(SUM(Q18:Q56),0),"","Error -- check allocations above).")</f>
        <v/>
      </c>
    </row>
    <row r="59" spans="2:17">
      <c r="B59" s="195" t="str">
        <f t="shared" si="5"/>
        <v/>
      </c>
      <c r="C59" s="507">
        <f>IF(D11="","-",+C58+1)</f>
        <v>2052</v>
      </c>
      <c r="D59" s="523">
        <f>IF(F58+SUM(E$17:E58)=D$10,F58,D$10-SUM(E$17:E58))</f>
        <v>8081.8018367477707</v>
      </c>
      <c r="E59" s="522">
        <f>IF(+I14&lt;F58,I14,D59)</f>
        <v>4679.136363636364</v>
      </c>
      <c r="F59" s="523">
        <f t="shared" si="26"/>
        <v>3402.6654731114068</v>
      </c>
      <c r="G59" s="524">
        <f t="shared" si="31"/>
        <v>5365.4890816973657</v>
      </c>
      <c r="H59" s="491">
        <f t="shared" si="32"/>
        <v>5365.4890816973657</v>
      </c>
      <c r="I59" s="511">
        <f t="shared" si="27"/>
        <v>0</v>
      </c>
      <c r="J59" s="511"/>
      <c r="K59" s="525"/>
      <c r="L59" s="514">
        <f t="shared" si="28"/>
        <v>0</v>
      </c>
      <c r="M59" s="525"/>
      <c r="N59" s="514">
        <f t="shared" si="29"/>
        <v>0</v>
      </c>
      <c r="O59" s="514">
        <f t="shared" si="30"/>
        <v>0</v>
      </c>
      <c r="P59" s="272"/>
    </row>
    <row r="60" spans="2:17">
      <c r="B60" s="195" t="str">
        <f t="shared" si="5"/>
        <v/>
      </c>
      <c r="C60" s="507">
        <f>IF(D11="","-",+C59+1)</f>
        <v>2053</v>
      </c>
      <c r="D60" s="523">
        <f>IF(F59+SUM(E$17:E59)=D$10,F59,D$10-SUM(E$17:E59))</f>
        <v>3402.6654731114068</v>
      </c>
      <c r="E60" s="522">
        <f>IF(+I14&lt;F59,I14,D60)</f>
        <v>3402.6654731114068</v>
      </c>
      <c r="F60" s="523">
        <f t="shared" si="26"/>
        <v>0</v>
      </c>
      <c r="G60" s="524">
        <f t="shared" si="31"/>
        <v>3606.0208951010209</v>
      </c>
      <c r="H60" s="491">
        <f t="shared" si="32"/>
        <v>3606.0208951010209</v>
      </c>
      <c r="I60" s="511">
        <f t="shared" si="27"/>
        <v>0</v>
      </c>
      <c r="J60" s="511"/>
      <c r="K60" s="525"/>
      <c r="L60" s="514">
        <f t="shared" si="28"/>
        <v>0</v>
      </c>
      <c r="M60" s="525"/>
      <c r="N60" s="514">
        <f t="shared" si="29"/>
        <v>0</v>
      </c>
      <c r="O60" s="514">
        <f t="shared" si="30"/>
        <v>0</v>
      </c>
      <c r="P60" s="272"/>
    </row>
    <row r="61" spans="2:17">
      <c r="B61" s="195" t="str">
        <f t="shared" si="5"/>
        <v/>
      </c>
      <c r="C61" s="507">
        <f>IF(D11="","-",+C60+1)</f>
        <v>2054</v>
      </c>
      <c r="D61" s="523">
        <f>IF(F60+SUM(E$17:E60)=D$10,F60,D$10-SUM(E$17:E60))</f>
        <v>0</v>
      </c>
      <c r="E61" s="522">
        <f>IF(+I14&lt;F60,I14,D61)</f>
        <v>0</v>
      </c>
      <c r="F61" s="523">
        <f t="shared" si="26"/>
        <v>0</v>
      </c>
      <c r="G61" s="526">
        <f t="shared" si="31"/>
        <v>0</v>
      </c>
      <c r="H61" s="491">
        <f t="shared" si="32"/>
        <v>0</v>
      </c>
      <c r="I61" s="511">
        <f t="shared" si="27"/>
        <v>0</v>
      </c>
      <c r="J61" s="511"/>
      <c r="K61" s="525"/>
      <c r="L61" s="514">
        <f t="shared" si="28"/>
        <v>0</v>
      </c>
      <c r="M61" s="525"/>
      <c r="N61" s="514">
        <f t="shared" si="29"/>
        <v>0</v>
      </c>
      <c r="O61" s="514">
        <f t="shared" si="30"/>
        <v>0</v>
      </c>
      <c r="P61" s="272"/>
    </row>
    <row r="62" spans="2:17">
      <c r="B62" s="195" t="str">
        <f t="shared" si="5"/>
        <v/>
      </c>
      <c r="C62" s="507">
        <f>IF(D11="","-",+C61+1)</f>
        <v>2055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26"/>
        <v>0</v>
      </c>
      <c r="G62" s="526">
        <f t="shared" si="31"/>
        <v>0</v>
      </c>
      <c r="H62" s="491">
        <f t="shared" si="32"/>
        <v>0</v>
      </c>
      <c r="I62" s="511">
        <f t="shared" si="27"/>
        <v>0</v>
      </c>
      <c r="J62" s="511"/>
      <c r="K62" s="525"/>
      <c r="L62" s="514">
        <f t="shared" si="28"/>
        <v>0</v>
      </c>
      <c r="M62" s="525"/>
      <c r="N62" s="514">
        <f t="shared" si="29"/>
        <v>0</v>
      </c>
      <c r="O62" s="514">
        <f t="shared" si="30"/>
        <v>0</v>
      </c>
      <c r="P62" s="272"/>
    </row>
    <row r="63" spans="2:17">
      <c r="B63" s="195" t="str">
        <f t="shared" si="5"/>
        <v/>
      </c>
      <c r="C63" s="507">
        <f>IF(D11="","-",+C62+1)</f>
        <v>2056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26"/>
        <v>0</v>
      </c>
      <c r="G63" s="526">
        <f t="shared" si="31"/>
        <v>0</v>
      </c>
      <c r="H63" s="491">
        <f t="shared" si="32"/>
        <v>0</v>
      </c>
      <c r="I63" s="511">
        <f t="shared" si="27"/>
        <v>0</v>
      </c>
      <c r="J63" s="511"/>
      <c r="K63" s="525"/>
      <c r="L63" s="514">
        <f t="shared" si="28"/>
        <v>0</v>
      </c>
      <c r="M63" s="525"/>
      <c r="N63" s="514">
        <f t="shared" si="29"/>
        <v>0</v>
      </c>
      <c r="O63" s="514">
        <f t="shared" si="30"/>
        <v>0</v>
      </c>
      <c r="P63" s="272"/>
    </row>
    <row r="64" spans="2:17">
      <c r="B64" s="195" t="str">
        <f t="shared" si="5"/>
        <v/>
      </c>
      <c r="C64" s="507">
        <f>IF(D11="","-",+C63+1)</f>
        <v>2057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26"/>
        <v>0</v>
      </c>
      <c r="G64" s="526">
        <f t="shared" si="31"/>
        <v>0</v>
      </c>
      <c r="H64" s="491">
        <f t="shared" si="32"/>
        <v>0</v>
      </c>
      <c r="I64" s="511">
        <f t="shared" si="27"/>
        <v>0</v>
      </c>
      <c r="J64" s="511"/>
      <c r="K64" s="525"/>
      <c r="L64" s="514">
        <f t="shared" si="28"/>
        <v>0</v>
      </c>
      <c r="M64" s="525"/>
      <c r="N64" s="514">
        <f t="shared" si="29"/>
        <v>0</v>
      </c>
      <c r="O64" s="514">
        <f t="shared" si="30"/>
        <v>0</v>
      </c>
      <c r="P64" s="272"/>
    </row>
    <row r="65" spans="1:16">
      <c r="B65" s="195" t="str">
        <f t="shared" si="5"/>
        <v/>
      </c>
      <c r="C65" s="507">
        <f>IF(D11="","-",+C64+1)</f>
        <v>2058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26"/>
        <v>0</v>
      </c>
      <c r="G65" s="526">
        <f t="shared" si="31"/>
        <v>0</v>
      </c>
      <c r="H65" s="491">
        <f t="shared" si="32"/>
        <v>0</v>
      </c>
      <c r="I65" s="511">
        <f t="shared" si="27"/>
        <v>0</v>
      </c>
      <c r="J65" s="511"/>
      <c r="K65" s="525"/>
      <c r="L65" s="514">
        <f t="shared" si="28"/>
        <v>0</v>
      </c>
      <c r="M65" s="525"/>
      <c r="N65" s="514">
        <f t="shared" si="29"/>
        <v>0</v>
      </c>
      <c r="O65" s="514">
        <f t="shared" si="30"/>
        <v>0</v>
      </c>
      <c r="P65" s="272"/>
    </row>
    <row r="66" spans="1:16">
      <c r="B66" s="195" t="str">
        <f t="shared" si="5"/>
        <v/>
      </c>
      <c r="C66" s="507">
        <f>IF(D11="","-",+C65+1)</f>
        <v>2059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26"/>
        <v>0</v>
      </c>
      <c r="G66" s="526">
        <f t="shared" si="31"/>
        <v>0</v>
      </c>
      <c r="H66" s="491">
        <f t="shared" si="32"/>
        <v>0</v>
      </c>
      <c r="I66" s="511">
        <f t="shared" si="27"/>
        <v>0</v>
      </c>
      <c r="J66" s="511"/>
      <c r="K66" s="525"/>
      <c r="L66" s="514">
        <f t="shared" si="28"/>
        <v>0</v>
      </c>
      <c r="M66" s="525"/>
      <c r="N66" s="514">
        <f t="shared" si="29"/>
        <v>0</v>
      </c>
      <c r="O66" s="514">
        <f t="shared" si="30"/>
        <v>0</v>
      </c>
      <c r="P66" s="272"/>
    </row>
    <row r="67" spans="1:16">
      <c r="B67" s="195" t="str">
        <f t="shared" si="5"/>
        <v/>
      </c>
      <c r="C67" s="507">
        <f>IF(D11="","-",+C66+1)</f>
        <v>2060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26"/>
        <v>0</v>
      </c>
      <c r="G67" s="526">
        <f t="shared" si="31"/>
        <v>0</v>
      </c>
      <c r="H67" s="491">
        <f t="shared" si="32"/>
        <v>0</v>
      </c>
      <c r="I67" s="511">
        <f t="shared" si="27"/>
        <v>0</v>
      </c>
      <c r="J67" s="511"/>
      <c r="K67" s="525"/>
      <c r="L67" s="514">
        <f t="shared" si="28"/>
        <v>0</v>
      </c>
      <c r="M67" s="525"/>
      <c r="N67" s="514">
        <f t="shared" si="29"/>
        <v>0</v>
      </c>
      <c r="O67" s="514">
        <f t="shared" si="30"/>
        <v>0</v>
      </c>
      <c r="P67" s="272"/>
    </row>
    <row r="68" spans="1:16">
      <c r="B68" s="195" t="str">
        <f t="shared" si="5"/>
        <v/>
      </c>
      <c r="C68" s="507">
        <f>IF(D11="","-",+C67+1)</f>
        <v>2061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26"/>
        <v>0</v>
      </c>
      <c r="G68" s="526">
        <f t="shared" si="31"/>
        <v>0</v>
      </c>
      <c r="H68" s="491">
        <f t="shared" si="32"/>
        <v>0</v>
      </c>
      <c r="I68" s="511">
        <f t="shared" si="27"/>
        <v>0</v>
      </c>
      <c r="J68" s="511"/>
      <c r="K68" s="525"/>
      <c r="L68" s="514">
        <f t="shared" si="28"/>
        <v>0</v>
      </c>
      <c r="M68" s="525"/>
      <c r="N68" s="514">
        <f t="shared" si="29"/>
        <v>0</v>
      </c>
      <c r="O68" s="514">
        <f t="shared" si="30"/>
        <v>0</v>
      </c>
      <c r="P68" s="272"/>
    </row>
    <row r="69" spans="1:16">
      <c r="B69" s="195" t="str">
        <f t="shared" si="5"/>
        <v/>
      </c>
      <c r="C69" s="507">
        <f>IF(D11="","-",+C68+1)</f>
        <v>2062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26"/>
        <v>0</v>
      </c>
      <c r="G69" s="526">
        <f t="shared" si="31"/>
        <v>0</v>
      </c>
      <c r="H69" s="491">
        <f t="shared" si="32"/>
        <v>0</v>
      </c>
      <c r="I69" s="511">
        <f t="shared" si="27"/>
        <v>0</v>
      </c>
      <c r="J69" s="511"/>
      <c r="K69" s="525"/>
      <c r="L69" s="514">
        <f t="shared" si="28"/>
        <v>0</v>
      </c>
      <c r="M69" s="525"/>
      <c r="N69" s="514">
        <f t="shared" si="29"/>
        <v>0</v>
      </c>
      <c r="O69" s="514">
        <f t="shared" si="30"/>
        <v>0</v>
      </c>
      <c r="P69" s="272"/>
    </row>
    <row r="70" spans="1:16">
      <c r="B70" s="195" t="str">
        <f t="shared" si="5"/>
        <v/>
      </c>
      <c r="C70" s="507">
        <f>IF(D11="","-",+C69+1)</f>
        <v>2063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26"/>
        <v>0</v>
      </c>
      <c r="G70" s="526">
        <f t="shared" si="31"/>
        <v>0</v>
      </c>
      <c r="H70" s="491">
        <f t="shared" si="32"/>
        <v>0</v>
      </c>
      <c r="I70" s="511">
        <f t="shared" si="27"/>
        <v>0</v>
      </c>
      <c r="J70" s="511"/>
      <c r="K70" s="525"/>
      <c r="L70" s="514">
        <f t="shared" si="28"/>
        <v>0</v>
      </c>
      <c r="M70" s="525"/>
      <c r="N70" s="514">
        <f t="shared" si="29"/>
        <v>0</v>
      </c>
      <c r="O70" s="514">
        <f t="shared" si="30"/>
        <v>0</v>
      </c>
      <c r="P70" s="272"/>
    </row>
    <row r="71" spans="1:16">
      <c r="B71" s="195" t="str">
        <f t="shared" si="5"/>
        <v/>
      </c>
      <c r="C71" s="507">
        <f>IF(D11="","-",+C70+1)</f>
        <v>2064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26"/>
        <v>0</v>
      </c>
      <c r="G71" s="526">
        <f t="shared" si="31"/>
        <v>0</v>
      </c>
      <c r="H71" s="491">
        <f t="shared" si="32"/>
        <v>0</v>
      </c>
      <c r="I71" s="511">
        <f t="shared" si="27"/>
        <v>0</v>
      </c>
      <c r="J71" s="511"/>
      <c r="K71" s="525"/>
      <c r="L71" s="514">
        <f t="shared" si="28"/>
        <v>0</v>
      </c>
      <c r="M71" s="525"/>
      <c r="N71" s="514">
        <f t="shared" si="29"/>
        <v>0</v>
      </c>
      <c r="O71" s="514">
        <f t="shared" si="30"/>
        <v>0</v>
      </c>
      <c r="P71" s="272"/>
    </row>
    <row r="72" spans="1:16" ht="13.5" thickBot="1">
      <c r="B72" s="195" t="str">
        <f t="shared" si="5"/>
        <v/>
      </c>
      <c r="C72" s="527">
        <f>IF(D11="","-",+C71+1)</f>
        <v>2065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26"/>
        <v>0</v>
      </c>
      <c r="G72" s="530">
        <f t="shared" si="31"/>
        <v>0</v>
      </c>
      <c r="H72" s="471">
        <f t="shared" si="32"/>
        <v>0</v>
      </c>
      <c r="I72" s="531">
        <f t="shared" si="27"/>
        <v>0</v>
      </c>
      <c r="J72" s="511"/>
      <c r="K72" s="532"/>
      <c r="L72" s="533">
        <f t="shared" si="28"/>
        <v>0</v>
      </c>
      <c r="M72" s="532"/>
      <c r="N72" s="533">
        <f t="shared" si="29"/>
        <v>0</v>
      </c>
      <c r="O72" s="533">
        <f t="shared" si="30"/>
        <v>0</v>
      </c>
      <c r="P72" s="272"/>
    </row>
    <row r="73" spans="1:16">
      <c r="C73" s="374" t="s">
        <v>78</v>
      </c>
      <c r="D73" s="375"/>
      <c r="E73" s="375">
        <f>SUM(E17:E72)</f>
        <v>205881.99999999985</v>
      </c>
      <c r="F73" s="375"/>
      <c r="G73" s="375">
        <f>SUM(G17:G72)</f>
        <v>767340.19715766818</v>
      </c>
      <c r="H73" s="375">
        <f>SUM(H17:H72)</f>
        <v>767340.19715766818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1:16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1:16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1:16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1:16" ht="18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535"/>
      <c r="P77" s="272"/>
    </row>
    <row r="78" spans="1:16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1:16" ht="15">
      <c r="A79" s="536"/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</row>
    <row r="80" spans="1:16" ht="18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7">
      <c r="B81" s="269"/>
      <c r="C81" s="537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7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  <c r="Q82" s="269"/>
    </row>
    <row r="83" spans="1:17" ht="20.25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535" t="str">
        <f ca="1">P1</f>
        <v>SWEPCO Project 22 of 75</v>
      </c>
      <c r="Q83" s="269"/>
    </row>
    <row r="84" spans="1:17" ht="18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454" t="s">
        <v>128</v>
      </c>
      <c r="Q84" s="269"/>
    </row>
    <row r="85" spans="1:17" ht="18.7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  <c r="Q85" s="269"/>
    </row>
    <row r="86" spans="1:17" ht="15.75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2022</v>
      </c>
      <c r="M86" s="541" t="s">
        <v>9</v>
      </c>
      <c r="N86" s="542" t="s">
        <v>159</v>
      </c>
      <c r="O86" s="543" t="s">
        <v>11</v>
      </c>
      <c r="P86" s="269"/>
      <c r="Q86" s="269"/>
    </row>
    <row r="87" spans="1:17" ht="1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391</v>
      </c>
      <c r="M87" s="546">
        <f>IF(J92&lt;D11,0,VLOOKUP(J92,C17:O72,9))</f>
        <v>21369.452055184542</v>
      </c>
      <c r="N87" s="546">
        <f>IF(J92&lt;D11,0,VLOOKUP(J92,C17:O72,11))</f>
        <v>21369.452055184542</v>
      </c>
      <c r="O87" s="547">
        <f>+N87-M87</f>
        <v>0</v>
      </c>
      <c r="P87" s="269"/>
      <c r="Q87" s="269"/>
    </row>
    <row r="88" spans="1:17" ht="15.7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392</v>
      </c>
      <c r="M88" s="550">
        <f>IF(J92&lt;D11,0,VLOOKUP(J92,C99:P154,6))</f>
        <v>22167.789513902546</v>
      </c>
      <c r="N88" s="550">
        <f>IF(J92&lt;D11,0,VLOOKUP(J92,C99:P154,7))</f>
        <v>22167.789513902546</v>
      </c>
      <c r="O88" s="551">
        <f>+N88-M88</f>
        <v>0</v>
      </c>
      <c r="P88" s="269"/>
      <c r="Q88" s="269"/>
    </row>
    <row r="89" spans="1:17" ht="13.5" thickBot="1">
      <c r="C89" s="467" t="s">
        <v>84</v>
      </c>
      <c r="D89" s="620" t="str">
        <f>D7</f>
        <v>Longwood: r&amp;r switches, upgrade bus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798.3374587180042</v>
      </c>
      <c r="N89" s="555">
        <f>+N88-N87</f>
        <v>798.3374587180042</v>
      </c>
      <c r="O89" s="556">
        <f>+O88-O87</f>
        <v>0</v>
      </c>
      <c r="P89" s="269"/>
      <c r="Q89" s="269"/>
    </row>
    <row r="90" spans="1:17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  <c r="Q90" s="269"/>
    </row>
    <row r="91" spans="1:17" ht="13.5" thickBot="1">
      <c r="A91" s="191"/>
      <c r="C91" s="558" t="s">
        <v>85</v>
      </c>
      <c r="D91" s="559" t="str">
        <f>+D9</f>
        <v>TP2008014</v>
      </c>
      <c r="E91" s="560"/>
      <c r="F91" s="560"/>
      <c r="G91" s="560"/>
      <c r="H91" s="560"/>
      <c r="I91" s="560"/>
      <c r="J91" s="561"/>
      <c r="K91" s="562"/>
      <c r="P91" s="481"/>
      <c r="Q91" s="269"/>
    </row>
    <row r="92" spans="1:17">
      <c r="C92" s="486" t="s">
        <v>51</v>
      </c>
      <c r="D92" s="483">
        <f>IF(D11=I10,0,D10)</f>
        <v>205882</v>
      </c>
      <c r="E92" s="340" t="s">
        <v>86</v>
      </c>
      <c r="H92" s="484"/>
      <c r="I92" s="484"/>
      <c r="J92" s="485">
        <f>+'SWE.WS.G.BPU.ATRR.True-up'!M16</f>
        <v>2022</v>
      </c>
      <c r="K92" s="480"/>
      <c r="L92" s="375" t="s">
        <v>87</v>
      </c>
      <c r="P92" s="272"/>
      <c r="Q92" s="269"/>
    </row>
    <row r="93" spans="1:17">
      <c r="C93" s="486" t="s">
        <v>54</v>
      </c>
      <c r="D93" s="563">
        <f>IF(D11=I10,"",D11)</f>
        <v>2010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  <c r="Q93" s="269"/>
    </row>
    <row r="94" spans="1:17">
      <c r="C94" s="486" t="s">
        <v>56</v>
      </c>
      <c r="D94" s="564">
        <f>IF(D11=I10,"",D12)</f>
        <v>6</v>
      </c>
      <c r="E94" s="486" t="s">
        <v>57</v>
      </c>
      <c r="F94" s="484"/>
      <c r="G94" s="484"/>
      <c r="J94" s="490">
        <f>'SWE.WS.G.BPU.ATRR.True-up'!$F$81</f>
        <v>0.11351422637179906</v>
      </c>
      <c r="K94" s="425"/>
      <c r="L94" s="183" t="s">
        <v>88</v>
      </c>
      <c r="P94" s="272"/>
      <c r="Q94" s="269"/>
    </row>
    <row r="95" spans="1:17">
      <c r="C95" s="486" t="s">
        <v>59</v>
      </c>
      <c r="D95" s="488">
        <f>'SWE.WS.G.BPU.ATRR.True-up'!F$93</f>
        <v>41</v>
      </c>
      <c r="E95" s="486" t="s">
        <v>60</v>
      </c>
      <c r="F95" s="484"/>
      <c r="G95" s="484"/>
      <c r="J95" s="490">
        <f>IF(H87="",J94,'SWE.WS.G.BPU.ATRR.True-up'!$F$80)</f>
        <v>0.11351422637179906</v>
      </c>
      <c r="K95" s="324"/>
      <c r="L95" s="375" t="s">
        <v>61</v>
      </c>
      <c r="M95" s="324"/>
      <c r="N95" s="324"/>
      <c r="O95" s="324"/>
      <c r="P95" s="272"/>
      <c r="Q95" s="269"/>
    </row>
    <row r="96" spans="1:17" ht="13.5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5021.5121951219517</v>
      </c>
      <c r="K96" s="375"/>
      <c r="L96" s="375"/>
      <c r="M96" s="375"/>
      <c r="N96" s="375"/>
      <c r="O96" s="375"/>
      <c r="P96" s="272"/>
      <c r="Q96" s="269"/>
    </row>
    <row r="97" spans="1:17" ht="38.25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388</v>
      </c>
      <c r="I97" s="495" t="s">
        <v>389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  <c r="Q97" s="269"/>
    </row>
    <row r="98" spans="1:17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  <c r="Q98" s="269"/>
    </row>
    <row r="99" spans="1:17">
      <c r="C99" s="507">
        <f>IF(D93= "","-",D93)</f>
        <v>2010</v>
      </c>
      <c r="D99" s="508">
        <v>0</v>
      </c>
      <c r="E99" s="516">
        <v>2621.9512195121952</v>
      </c>
      <c r="F99" s="515">
        <v>212378.04878048779</v>
      </c>
      <c r="G99" s="574">
        <v>106189.0243902439</v>
      </c>
      <c r="H99" s="575">
        <v>20152.28121946373</v>
      </c>
      <c r="I99" s="576">
        <v>20152.28121946373</v>
      </c>
      <c r="J99" s="613">
        <f t="shared" ref="J99:J130" si="33">+I99-H99</f>
        <v>0</v>
      </c>
      <c r="K99" s="514"/>
      <c r="L99" s="512">
        <f t="shared" ref="L99:L104" si="34">H99</f>
        <v>20152.28121946373</v>
      </c>
      <c r="M99" s="597">
        <f t="shared" ref="M99:M130" si="35">IF(L99&lt;&gt;0,+H99-L99,0)</f>
        <v>0</v>
      </c>
      <c r="N99" s="512">
        <f t="shared" ref="N99:N104" si="36">I99</f>
        <v>20152.28121946373</v>
      </c>
      <c r="O99" s="513">
        <f t="shared" ref="O99:O130" si="37">IF(N99&lt;&gt;0,+I99-N99,0)</f>
        <v>0</v>
      </c>
      <c r="P99" s="513">
        <f t="shared" ref="P99:P130" si="38">+O99-M99</f>
        <v>0</v>
      </c>
      <c r="Q99" s="269"/>
    </row>
    <row r="100" spans="1:17">
      <c r="B100" s="195" t="str">
        <f>IF(D100=F99,"","IU")</f>
        <v>IU</v>
      </c>
      <c r="C100" s="507">
        <f>IF(D93="","-",+C99+1)</f>
        <v>2011</v>
      </c>
      <c r="D100" s="508">
        <v>203260.04878048779</v>
      </c>
      <c r="E100" s="516">
        <v>4901.9523809523807</v>
      </c>
      <c r="F100" s="515">
        <v>198358.09639953543</v>
      </c>
      <c r="G100" s="515">
        <v>200809.07259001161</v>
      </c>
      <c r="H100" s="516">
        <v>35099.600890705573</v>
      </c>
      <c r="I100" s="510">
        <v>35099.600890705573</v>
      </c>
      <c r="J100" s="613">
        <f t="shared" si="33"/>
        <v>0</v>
      </c>
      <c r="K100" s="514"/>
      <c r="L100" s="518">
        <f t="shared" si="34"/>
        <v>35099.600890705573</v>
      </c>
      <c r="M100" s="519">
        <f t="shared" si="35"/>
        <v>0</v>
      </c>
      <c r="N100" s="518">
        <f t="shared" si="36"/>
        <v>35099.600890705573</v>
      </c>
      <c r="O100" s="514">
        <f t="shared" si="37"/>
        <v>0</v>
      </c>
      <c r="P100" s="514">
        <f t="shared" si="38"/>
        <v>0</v>
      </c>
      <c r="Q100" s="269"/>
    </row>
    <row r="101" spans="1:17">
      <c r="B101" s="195" t="str">
        <f t="shared" ref="B101:B154" si="39">IF(D101=F100,"","IU")</f>
        <v/>
      </c>
      <c r="C101" s="507">
        <f>IF(D93="","-",+C100+1)</f>
        <v>2012</v>
      </c>
      <c r="D101" s="508">
        <v>198358.09639953543</v>
      </c>
      <c r="E101" s="516">
        <v>4901.9523809523807</v>
      </c>
      <c r="F101" s="515">
        <v>193456.14401858306</v>
      </c>
      <c r="G101" s="515">
        <v>195907.12020905924</v>
      </c>
      <c r="H101" s="516">
        <v>33730.455386576738</v>
      </c>
      <c r="I101" s="510">
        <v>33730.455386576738</v>
      </c>
      <c r="J101" s="613">
        <f t="shared" si="33"/>
        <v>0</v>
      </c>
      <c r="K101" s="514"/>
      <c r="L101" s="518">
        <f t="shared" si="34"/>
        <v>33730.455386576738</v>
      </c>
      <c r="M101" s="519">
        <f t="shared" si="35"/>
        <v>0</v>
      </c>
      <c r="N101" s="518">
        <f t="shared" si="36"/>
        <v>33730.455386576738</v>
      </c>
      <c r="O101" s="514">
        <f t="shared" si="37"/>
        <v>0</v>
      </c>
      <c r="P101" s="514">
        <f t="shared" si="38"/>
        <v>0</v>
      </c>
      <c r="Q101" s="269"/>
    </row>
    <row r="102" spans="1:17">
      <c r="B102" s="195" t="str">
        <f t="shared" si="39"/>
        <v/>
      </c>
      <c r="C102" s="507">
        <f>IF(D93="","-",+C101+1)</f>
        <v>2013</v>
      </c>
      <c r="D102" s="508">
        <v>193456.14401858306</v>
      </c>
      <c r="E102" s="516">
        <v>4901.9523809523807</v>
      </c>
      <c r="F102" s="515">
        <v>188554.19163763069</v>
      </c>
      <c r="G102" s="515">
        <v>191005.16782810687</v>
      </c>
      <c r="H102" s="516">
        <v>30743.366686318692</v>
      </c>
      <c r="I102" s="510">
        <v>30743.366686318692</v>
      </c>
      <c r="J102" s="613">
        <v>0</v>
      </c>
      <c r="K102" s="514"/>
      <c r="L102" s="518">
        <f t="shared" si="34"/>
        <v>30743.366686318692</v>
      </c>
      <c r="M102" s="519">
        <f t="shared" ref="M102:M107" si="40">IF(L102&lt;&gt;0,+H102-L102,0)</f>
        <v>0</v>
      </c>
      <c r="N102" s="518">
        <f t="shared" si="36"/>
        <v>30743.366686318692</v>
      </c>
      <c r="O102" s="514">
        <f>IF(N102&lt;&gt;0,+I102-N102,0)</f>
        <v>0</v>
      </c>
      <c r="P102" s="514">
        <f>+O102-M102</f>
        <v>0</v>
      </c>
      <c r="Q102" s="269"/>
    </row>
    <row r="103" spans="1:17">
      <c r="B103" s="195" t="str">
        <f t="shared" si="39"/>
        <v/>
      </c>
      <c r="C103" s="507">
        <f>IF(D93="","-",+C102+1)</f>
        <v>2014</v>
      </c>
      <c r="D103" s="508">
        <v>188554.19163763069</v>
      </c>
      <c r="E103" s="516">
        <v>4901.9523809523807</v>
      </c>
      <c r="F103" s="515">
        <v>183652.23925667832</v>
      </c>
      <c r="G103" s="515">
        <v>186103.21544715451</v>
      </c>
      <c r="H103" s="516">
        <v>30197.745297823447</v>
      </c>
      <c r="I103" s="510">
        <v>30197.745297823447</v>
      </c>
      <c r="J103" s="514">
        <v>0</v>
      </c>
      <c r="K103" s="514"/>
      <c r="L103" s="518">
        <f t="shared" si="34"/>
        <v>30197.745297823447</v>
      </c>
      <c r="M103" s="519">
        <f t="shared" si="40"/>
        <v>0</v>
      </c>
      <c r="N103" s="518">
        <f t="shared" si="36"/>
        <v>30197.745297823447</v>
      </c>
      <c r="O103" s="514">
        <f>IF(N103&lt;&gt;0,+I103-N103,0)</f>
        <v>0</v>
      </c>
      <c r="P103" s="514">
        <f>+O103-M103</f>
        <v>0</v>
      </c>
      <c r="Q103" s="269"/>
    </row>
    <row r="104" spans="1:17">
      <c r="B104" s="195" t="str">
        <f t="shared" si="39"/>
        <v/>
      </c>
      <c r="C104" s="507">
        <f>IF(D93="","-",+C103+1)</f>
        <v>2015</v>
      </c>
      <c r="D104" s="508">
        <v>183652.23925667832</v>
      </c>
      <c r="E104" s="516">
        <v>4901.9523809523807</v>
      </c>
      <c r="F104" s="515">
        <v>178750.28687572596</v>
      </c>
      <c r="G104" s="515">
        <v>181201.26306620214</v>
      </c>
      <c r="H104" s="516">
        <v>28778.63948471695</v>
      </c>
      <c r="I104" s="510">
        <v>28778.63948471695</v>
      </c>
      <c r="J104" s="514">
        <f t="shared" si="33"/>
        <v>0</v>
      </c>
      <c r="K104" s="514"/>
      <c r="L104" s="518">
        <f t="shared" si="34"/>
        <v>28778.63948471695</v>
      </c>
      <c r="M104" s="519">
        <f t="shared" si="40"/>
        <v>0</v>
      </c>
      <c r="N104" s="518">
        <f t="shared" si="36"/>
        <v>28778.63948471695</v>
      </c>
      <c r="O104" s="514">
        <f>IF(N104&lt;&gt;0,+I104-N104,0)</f>
        <v>0</v>
      </c>
      <c r="P104" s="514">
        <f>+O104-M104</f>
        <v>0</v>
      </c>
      <c r="Q104" s="269"/>
    </row>
    <row r="105" spans="1:17">
      <c r="B105" s="195" t="str">
        <f t="shared" si="39"/>
        <v/>
      </c>
      <c r="C105" s="507">
        <f>IF(D93="","-",+C104+1)</f>
        <v>2016</v>
      </c>
      <c r="D105" s="508">
        <v>178750.28687572596</v>
      </c>
      <c r="E105" s="516">
        <v>4787.9534883720926</v>
      </c>
      <c r="F105" s="515">
        <v>173962.33338735386</v>
      </c>
      <c r="G105" s="515">
        <v>176356.31013153991</v>
      </c>
      <c r="H105" s="516">
        <v>27176.384994149808</v>
      </c>
      <c r="I105" s="510">
        <v>27176.384994149808</v>
      </c>
      <c r="J105" s="514">
        <f t="shared" si="33"/>
        <v>0</v>
      </c>
      <c r="K105" s="514"/>
      <c r="L105" s="518">
        <f t="shared" ref="L105:L110" si="41">H105</f>
        <v>27176.384994149808</v>
      </c>
      <c r="M105" s="519">
        <f t="shared" si="40"/>
        <v>0</v>
      </c>
      <c r="N105" s="518">
        <f t="shared" ref="N105:N110" si="42">I105</f>
        <v>27176.384994149808</v>
      </c>
      <c r="O105" s="514">
        <f>IF(N105&lt;&gt;0,+I105-N105,0)</f>
        <v>0</v>
      </c>
      <c r="P105" s="514">
        <f>+O105-M105</f>
        <v>0</v>
      </c>
      <c r="Q105" s="269"/>
    </row>
    <row r="106" spans="1:17">
      <c r="B106" s="195" t="str">
        <f t="shared" si="39"/>
        <v/>
      </c>
      <c r="C106" s="507">
        <f>IF(D93="","-",+C105+1)</f>
        <v>2017</v>
      </c>
      <c r="D106" s="508">
        <v>173962.33338735386</v>
      </c>
      <c r="E106" s="516">
        <v>4901.9523809523807</v>
      </c>
      <c r="F106" s="515">
        <v>169060.3810064015</v>
      </c>
      <c r="G106" s="515">
        <v>171511.35719687768</v>
      </c>
      <c r="H106" s="516">
        <v>25735.686949015238</v>
      </c>
      <c r="I106" s="510">
        <v>25735.686949015238</v>
      </c>
      <c r="J106" s="514">
        <f t="shared" si="33"/>
        <v>0</v>
      </c>
      <c r="K106" s="514"/>
      <c r="L106" s="518">
        <f t="shared" si="41"/>
        <v>25735.686949015238</v>
      </c>
      <c r="M106" s="519">
        <f t="shared" si="40"/>
        <v>0</v>
      </c>
      <c r="N106" s="518">
        <f t="shared" si="42"/>
        <v>25735.686949015238</v>
      </c>
      <c r="O106" s="514">
        <f>IF(N106&lt;&gt;0,+I106-N106,0)</f>
        <v>0</v>
      </c>
      <c r="P106" s="514">
        <f>+O106-M106</f>
        <v>0</v>
      </c>
      <c r="Q106" s="269"/>
    </row>
    <row r="107" spans="1:17">
      <c r="B107" s="195" t="str">
        <f t="shared" si="39"/>
        <v/>
      </c>
      <c r="C107" s="507">
        <f>IF(D93="","-",+C106+1)</f>
        <v>2018</v>
      </c>
      <c r="D107" s="508">
        <v>169060.3810064015</v>
      </c>
      <c r="E107" s="516">
        <v>4901.9523809523807</v>
      </c>
      <c r="F107" s="515">
        <v>164158.42862544913</v>
      </c>
      <c r="G107" s="515">
        <v>166609.40481592531</v>
      </c>
      <c r="H107" s="516">
        <v>22496.669570219787</v>
      </c>
      <c r="I107" s="510">
        <v>22496.669570219787</v>
      </c>
      <c r="J107" s="514">
        <f t="shared" si="33"/>
        <v>0</v>
      </c>
      <c r="K107" s="514"/>
      <c r="L107" s="518">
        <f t="shared" si="41"/>
        <v>22496.669570219787</v>
      </c>
      <c r="M107" s="519">
        <f t="shared" si="40"/>
        <v>0</v>
      </c>
      <c r="N107" s="518">
        <f t="shared" si="42"/>
        <v>22496.669570219787</v>
      </c>
      <c r="O107" s="514">
        <f t="shared" si="37"/>
        <v>0</v>
      </c>
      <c r="P107" s="514">
        <f t="shared" si="38"/>
        <v>0</v>
      </c>
      <c r="Q107" s="269"/>
    </row>
    <row r="108" spans="1:17">
      <c r="B108" s="195" t="str">
        <f t="shared" si="39"/>
        <v/>
      </c>
      <c r="C108" s="507">
        <f>IF(D93="","-",+C107+1)</f>
        <v>2019</v>
      </c>
      <c r="D108" s="508">
        <v>164158.42862544913</v>
      </c>
      <c r="E108" s="516">
        <v>4787.9534883720926</v>
      </c>
      <c r="F108" s="515">
        <v>159370.47513707704</v>
      </c>
      <c r="G108" s="515">
        <v>161764.45188126308</v>
      </c>
      <c r="H108" s="516">
        <v>22103.308828819529</v>
      </c>
      <c r="I108" s="510">
        <v>22103.308828819529</v>
      </c>
      <c r="J108" s="514">
        <f t="shared" si="33"/>
        <v>0</v>
      </c>
      <c r="K108" s="514"/>
      <c r="L108" s="518">
        <f t="shared" si="41"/>
        <v>22103.308828819529</v>
      </c>
      <c r="M108" s="519">
        <f t="shared" ref="M108:M109" si="43">IF(L108&lt;&gt;0,+H108-L108,0)</f>
        <v>0</v>
      </c>
      <c r="N108" s="518">
        <f t="shared" si="42"/>
        <v>22103.308828819529</v>
      </c>
      <c r="O108" s="514">
        <f t="shared" si="37"/>
        <v>0</v>
      </c>
      <c r="P108" s="514">
        <f t="shared" si="38"/>
        <v>0</v>
      </c>
      <c r="Q108" s="269"/>
    </row>
    <row r="109" spans="1:17">
      <c r="B109" s="195" t="str">
        <f t="shared" si="39"/>
        <v/>
      </c>
      <c r="C109" s="507">
        <f>IF(D93="","-",+C108+1)</f>
        <v>2020</v>
      </c>
      <c r="D109" s="508">
        <v>159370.47513707704</v>
      </c>
      <c r="E109" s="516">
        <v>4901.9523809523807</v>
      </c>
      <c r="F109" s="515">
        <v>154468.52275612467</v>
      </c>
      <c r="G109" s="515">
        <v>156919.49894660086</v>
      </c>
      <c r="H109" s="516">
        <v>21782.384276733683</v>
      </c>
      <c r="I109" s="510">
        <v>21782.384276733683</v>
      </c>
      <c r="J109" s="514">
        <f t="shared" si="33"/>
        <v>0</v>
      </c>
      <c r="K109" s="514"/>
      <c r="L109" s="518">
        <f t="shared" si="41"/>
        <v>21782.384276733683</v>
      </c>
      <c r="M109" s="519">
        <f t="shared" si="43"/>
        <v>0</v>
      </c>
      <c r="N109" s="518">
        <f t="shared" si="42"/>
        <v>21782.384276733683</v>
      </c>
      <c r="O109" s="514">
        <f t="shared" si="37"/>
        <v>0</v>
      </c>
      <c r="P109" s="514">
        <f t="shared" si="38"/>
        <v>0</v>
      </c>
      <c r="Q109" s="269"/>
    </row>
    <row r="110" spans="1:17">
      <c r="B110" s="195" t="str">
        <f t="shared" si="39"/>
        <v/>
      </c>
      <c r="C110" s="507">
        <f>IF(D93="","-",+C109+1)</f>
        <v>2021</v>
      </c>
      <c r="D110" s="508">
        <v>154468.52275612467</v>
      </c>
      <c r="E110" s="516">
        <v>5021.5121951219517</v>
      </c>
      <c r="F110" s="515">
        <v>149447.01056100271</v>
      </c>
      <c r="G110" s="515">
        <v>151957.76665856369</v>
      </c>
      <c r="H110" s="516">
        <v>22270.880518555168</v>
      </c>
      <c r="I110" s="510">
        <v>22270.880518555168</v>
      </c>
      <c r="J110" s="514">
        <f t="shared" si="33"/>
        <v>0</v>
      </c>
      <c r="K110" s="514"/>
      <c r="L110" s="518">
        <f t="shared" si="41"/>
        <v>22270.880518555168</v>
      </c>
      <c r="M110" s="519">
        <f t="shared" ref="M110" si="44">IF(L110&lt;&gt;0,+H110-L110,0)</f>
        <v>0</v>
      </c>
      <c r="N110" s="518">
        <f t="shared" si="42"/>
        <v>22270.880518555168</v>
      </c>
      <c r="O110" s="514">
        <f t="shared" ref="O110" si="45">IF(N110&lt;&gt;0,+I110-N110,0)</f>
        <v>0</v>
      </c>
      <c r="P110" s="514">
        <f t="shared" ref="P110" si="46">+O110-M110</f>
        <v>0</v>
      </c>
      <c r="Q110" s="269"/>
    </row>
    <row r="111" spans="1:17">
      <c r="B111" s="195" t="str">
        <f t="shared" si="39"/>
        <v/>
      </c>
      <c r="C111" s="507">
        <f>IF(D93="","-",+C110+1)</f>
        <v>2022</v>
      </c>
      <c r="D111" s="374">
        <v>149447.01056100271</v>
      </c>
      <c r="E111" s="522">
        <v>4901.9523809523807</v>
      </c>
      <c r="F111" s="523">
        <v>144545.05818005034</v>
      </c>
      <c r="G111" s="523">
        <v>146996.03437052653</v>
      </c>
      <c r="H111" s="526">
        <v>22167.789513902546</v>
      </c>
      <c r="I111" s="577">
        <v>22167.789513902546</v>
      </c>
      <c r="J111" s="514">
        <f t="shared" si="33"/>
        <v>0</v>
      </c>
      <c r="K111" s="514"/>
      <c r="L111" s="525"/>
      <c r="M111" s="514">
        <f t="shared" si="35"/>
        <v>0</v>
      </c>
      <c r="N111" s="525"/>
      <c r="O111" s="514">
        <f t="shared" si="37"/>
        <v>0</v>
      </c>
      <c r="P111" s="514">
        <f t="shared" si="38"/>
        <v>0</v>
      </c>
      <c r="Q111" s="269"/>
    </row>
    <row r="112" spans="1:17">
      <c r="B112" s="195" t="str">
        <f t="shared" si="39"/>
        <v/>
      </c>
      <c r="C112" s="507">
        <f>IF(D93="","-",+C111+1)</f>
        <v>2023</v>
      </c>
      <c r="D112" s="374">
        <f>IF(F111+SUM(E$99:E111)=D$92,F111,D$92-SUM(E$99:E111))</f>
        <v>144545.05818005034</v>
      </c>
      <c r="E112" s="522">
        <f>IF(+J96&lt;F111,J96,D112)</f>
        <v>5021.5121951219517</v>
      </c>
      <c r="F112" s="523">
        <f t="shared" ref="F112:F131" si="47">+D112-E112</f>
        <v>139523.54598492838</v>
      </c>
      <c r="G112" s="523">
        <f t="shared" ref="G112:G130" si="48">+(F112+D112)/2</f>
        <v>142034.30208248936</v>
      </c>
      <c r="H112" s="526">
        <f t="shared" ref="H112:H130" si="49">+J$94*G112+E112</f>
        <v>21144.426114274138</v>
      </c>
      <c r="I112" s="577">
        <f t="shared" ref="I112:I130" si="50">+J$95*G112+E112</f>
        <v>21144.426114274138</v>
      </c>
      <c r="J112" s="514">
        <f t="shared" si="33"/>
        <v>0</v>
      </c>
      <c r="K112" s="514"/>
      <c r="L112" s="525"/>
      <c r="M112" s="514">
        <f t="shared" si="35"/>
        <v>0</v>
      </c>
      <c r="N112" s="525"/>
      <c r="O112" s="514">
        <f t="shared" si="37"/>
        <v>0</v>
      </c>
      <c r="P112" s="514">
        <f t="shared" si="38"/>
        <v>0</v>
      </c>
      <c r="Q112" s="269"/>
    </row>
    <row r="113" spans="2:17">
      <c r="B113" s="195" t="str">
        <f t="shared" si="39"/>
        <v/>
      </c>
      <c r="C113" s="675">
        <f>IF(D93="","-",+C112+1)</f>
        <v>2024</v>
      </c>
      <c r="D113" s="374">
        <f>IF(F112+SUM(E$99:E112)=D$92,F112,D$92-SUM(E$99:E112))</f>
        <v>139523.54598492838</v>
      </c>
      <c r="E113" s="522">
        <f>IF(+J96&lt;F112,J96,D113)</f>
        <v>5021.5121951219517</v>
      </c>
      <c r="F113" s="523">
        <f t="shared" si="47"/>
        <v>134502.03378980642</v>
      </c>
      <c r="G113" s="523">
        <f t="shared" si="48"/>
        <v>137012.7898873674</v>
      </c>
      <c r="H113" s="526">
        <f t="shared" si="49"/>
        <v>20574.413042228316</v>
      </c>
      <c r="I113" s="577">
        <f t="shared" si="50"/>
        <v>20574.413042228316</v>
      </c>
      <c r="J113" s="514">
        <f t="shared" si="33"/>
        <v>0</v>
      </c>
      <c r="K113" s="514"/>
      <c r="L113" s="525"/>
      <c r="M113" s="514">
        <f t="shared" si="35"/>
        <v>0</v>
      </c>
      <c r="N113" s="525"/>
      <c r="O113" s="514">
        <f t="shared" si="37"/>
        <v>0</v>
      </c>
      <c r="P113" s="514">
        <f t="shared" si="38"/>
        <v>0</v>
      </c>
      <c r="Q113" s="269"/>
    </row>
    <row r="114" spans="2:17">
      <c r="B114" s="195" t="str">
        <f t="shared" si="39"/>
        <v/>
      </c>
      <c r="C114" s="507">
        <f>IF(D93="","-",+C113+1)</f>
        <v>2025</v>
      </c>
      <c r="D114" s="374">
        <f>IF(F113+SUM(E$99:E113)=D$92,F113,D$92-SUM(E$99:E113))</f>
        <v>134502.03378980642</v>
      </c>
      <c r="E114" s="522">
        <f>IF(+J96&lt;F113,J96,D114)</f>
        <v>5021.5121951219517</v>
      </c>
      <c r="F114" s="523">
        <f t="shared" si="47"/>
        <v>129480.52159468447</v>
      </c>
      <c r="G114" s="523">
        <f t="shared" si="48"/>
        <v>131991.27769224544</v>
      </c>
      <c r="H114" s="526">
        <f t="shared" si="49"/>
        <v>20004.399970182494</v>
      </c>
      <c r="I114" s="577">
        <f t="shared" si="50"/>
        <v>20004.399970182494</v>
      </c>
      <c r="J114" s="514">
        <f t="shared" si="33"/>
        <v>0</v>
      </c>
      <c r="K114" s="514"/>
      <c r="L114" s="525"/>
      <c r="M114" s="514">
        <f t="shared" si="35"/>
        <v>0</v>
      </c>
      <c r="N114" s="525"/>
      <c r="O114" s="514">
        <f t="shared" si="37"/>
        <v>0</v>
      </c>
      <c r="P114" s="514">
        <f t="shared" si="38"/>
        <v>0</v>
      </c>
      <c r="Q114" s="269"/>
    </row>
    <row r="115" spans="2:17">
      <c r="B115" s="195" t="str">
        <f t="shared" si="39"/>
        <v/>
      </c>
      <c r="C115" s="507">
        <f>IF(D93="","-",+C114+1)</f>
        <v>2026</v>
      </c>
      <c r="D115" s="374">
        <f>IF(F114+SUM(E$99:E114)=D$92,F114,D$92-SUM(E$99:E114))</f>
        <v>129480.52159468447</v>
      </c>
      <c r="E115" s="522">
        <f>IF(+J96&lt;F114,J96,D115)</f>
        <v>5021.5121951219517</v>
      </c>
      <c r="F115" s="523">
        <f t="shared" si="47"/>
        <v>124459.00939956252</v>
      </c>
      <c r="G115" s="523">
        <f t="shared" si="48"/>
        <v>126969.7654971235</v>
      </c>
      <c r="H115" s="526">
        <f t="shared" si="49"/>
        <v>19434.386898136669</v>
      </c>
      <c r="I115" s="577">
        <f t="shared" si="50"/>
        <v>19434.386898136669</v>
      </c>
      <c r="J115" s="514">
        <f t="shared" si="33"/>
        <v>0</v>
      </c>
      <c r="K115" s="514"/>
      <c r="L115" s="525"/>
      <c r="M115" s="514">
        <f t="shared" si="35"/>
        <v>0</v>
      </c>
      <c r="N115" s="525"/>
      <c r="O115" s="514">
        <f t="shared" si="37"/>
        <v>0</v>
      </c>
      <c r="P115" s="514">
        <f t="shared" si="38"/>
        <v>0</v>
      </c>
      <c r="Q115" s="269"/>
    </row>
    <row r="116" spans="2:17">
      <c r="B116" s="195" t="str">
        <f t="shared" si="39"/>
        <v/>
      </c>
      <c r="C116" s="507">
        <f>IF(D93="","-",+C115+1)</f>
        <v>2027</v>
      </c>
      <c r="D116" s="374">
        <f>IF(F115+SUM(E$99:E115)=D$92,F115,D$92-SUM(E$99:E115))</f>
        <v>124459.00939956252</v>
      </c>
      <c r="E116" s="522">
        <f>IF(+J96&lt;F115,J96,D116)</f>
        <v>5021.5121951219517</v>
      </c>
      <c r="F116" s="523">
        <f t="shared" si="47"/>
        <v>119437.49720444057</v>
      </c>
      <c r="G116" s="523">
        <f t="shared" si="48"/>
        <v>121948.25330200154</v>
      </c>
      <c r="H116" s="526">
        <f t="shared" si="49"/>
        <v>18864.373826090847</v>
      </c>
      <c r="I116" s="577">
        <f t="shared" si="50"/>
        <v>18864.373826090847</v>
      </c>
      <c r="J116" s="514">
        <f t="shared" si="33"/>
        <v>0</v>
      </c>
      <c r="K116" s="514"/>
      <c r="L116" s="525"/>
      <c r="M116" s="514">
        <f t="shared" si="35"/>
        <v>0</v>
      </c>
      <c r="N116" s="525"/>
      <c r="O116" s="514">
        <f t="shared" si="37"/>
        <v>0</v>
      </c>
      <c r="P116" s="514">
        <f t="shared" si="38"/>
        <v>0</v>
      </c>
      <c r="Q116" s="269"/>
    </row>
    <row r="117" spans="2:17">
      <c r="B117" s="195" t="str">
        <f t="shared" si="39"/>
        <v/>
      </c>
      <c r="C117" s="507">
        <f>IF(D93="","-",+C116+1)</f>
        <v>2028</v>
      </c>
      <c r="D117" s="374">
        <f>IF(F116+SUM(E$99:E116)=D$92,F116,D$92-SUM(E$99:E116))</f>
        <v>119437.49720444057</v>
      </c>
      <c r="E117" s="522">
        <f>IF(+J96&lt;F116,J96,D117)</f>
        <v>5021.5121951219517</v>
      </c>
      <c r="F117" s="523">
        <f t="shared" si="47"/>
        <v>114415.98500931863</v>
      </c>
      <c r="G117" s="523">
        <f t="shared" si="48"/>
        <v>116926.74110687961</v>
      </c>
      <c r="H117" s="526">
        <f t="shared" si="49"/>
        <v>18294.360754045025</v>
      </c>
      <c r="I117" s="577">
        <f t="shared" si="50"/>
        <v>18294.360754045025</v>
      </c>
      <c r="J117" s="514">
        <f t="shared" si="33"/>
        <v>0</v>
      </c>
      <c r="K117" s="514"/>
      <c r="L117" s="525"/>
      <c r="M117" s="514">
        <f t="shared" si="35"/>
        <v>0</v>
      </c>
      <c r="N117" s="525"/>
      <c r="O117" s="514">
        <f t="shared" si="37"/>
        <v>0</v>
      </c>
      <c r="P117" s="514">
        <f t="shared" si="38"/>
        <v>0</v>
      </c>
      <c r="Q117" s="269"/>
    </row>
    <row r="118" spans="2:17">
      <c r="B118" s="195" t="str">
        <f t="shared" si="39"/>
        <v/>
      </c>
      <c r="C118" s="507">
        <f>IF(D93="","-",+C117+1)</f>
        <v>2029</v>
      </c>
      <c r="D118" s="374">
        <f>IF(F117+SUM(E$99:E117)=D$92,F117,D$92-SUM(E$99:E117))</f>
        <v>114415.98500931863</v>
      </c>
      <c r="E118" s="522">
        <f>IF(+J96&lt;F117,J96,D118)</f>
        <v>5021.5121951219517</v>
      </c>
      <c r="F118" s="523">
        <f t="shared" si="47"/>
        <v>109394.47281419668</v>
      </c>
      <c r="G118" s="523">
        <f t="shared" si="48"/>
        <v>111905.22891175764</v>
      </c>
      <c r="H118" s="526">
        <f t="shared" si="49"/>
        <v>17724.347681999199</v>
      </c>
      <c r="I118" s="577">
        <f t="shared" si="50"/>
        <v>17724.347681999199</v>
      </c>
      <c r="J118" s="514">
        <f t="shared" si="33"/>
        <v>0</v>
      </c>
      <c r="K118" s="514"/>
      <c r="L118" s="525"/>
      <c r="M118" s="514">
        <f t="shared" si="35"/>
        <v>0</v>
      </c>
      <c r="N118" s="525"/>
      <c r="O118" s="514">
        <f t="shared" si="37"/>
        <v>0</v>
      </c>
      <c r="P118" s="514">
        <f t="shared" si="38"/>
        <v>0</v>
      </c>
      <c r="Q118" s="269"/>
    </row>
    <row r="119" spans="2:17">
      <c r="B119" s="195" t="str">
        <f t="shared" si="39"/>
        <v/>
      </c>
      <c r="C119" s="507">
        <f>IF(D93="","-",+C118+1)</f>
        <v>2030</v>
      </c>
      <c r="D119" s="374">
        <f>IF(F118+SUM(E$99:E118)=D$92,F118,D$92-SUM(E$99:E118))</f>
        <v>109394.47281419668</v>
      </c>
      <c r="E119" s="522">
        <f>IF(+J96&lt;F118,J96,D119)</f>
        <v>5021.5121951219517</v>
      </c>
      <c r="F119" s="523">
        <f t="shared" si="47"/>
        <v>104372.96061907473</v>
      </c>
      <c r="G119" s="523">
        <f t="shared" si="48"/>
        <v>106883.71671663571</v>
      </c>
      <c r="H119" s="526">
        <f t="shared" si="49"/>
        <v>17154.334609953381</v>
      </c>
      <c r="I119" s="577">
        <f t="shared" si="50"/>
        <v>17154.334609953381</v>
      </c>
      <c r="J119" s="514">
        <f t="shared" si="33"/>
        <v>0</v>
      </c>
      <c r="K119" s="514"/>
      <c r="L119" s="525"/>
      <c r="M119" s="514">
        <f t="shared" si="35"/>
        <v>0</v>
      </c>
      <c r="N119" s="525"/>
      <c r="O119" s="514">
        <f t="shared" si="37"/>
        <v>0</v>
      </c>
      <c r="P119" s="514">
        <f t="shared" si="38"/>
        <v>0</v>
      </c>
      <c r="Q119" s="269"/>
    </row>
    <row r="120" spans="2:17">
      <c r="B120" s="195" t="str">
        <f t="shared" si="39"/>
        <v/>
      </c>
      <c r="C120" s="507">
        <f>IF(D93="","-",+C119+1)</f>
        <v>2031</v>
      </c>
      <c r="D120" s="374">
        <f>IF(F119+SUM(E$99:E119)=D$92,F119,D$92-SUM(E$99:E119))</f>
        <v>104372.96061907473</v>
      </c>
      <c r="E120" s="522">
        <f>IF(+J96&lt;F119,J96,D120)</f>
        <v>5021.5121951219517</v>
      </c>
      <c r="F120" s="523">
        <f t="shared" si="47"/>
        <v>99351.448423952781</v>
      </c>
      <c r="G120" s="523">
        <f t="shared" si="48"/>
        <v>101862.20452151375</v>
      </c>
      <c r="H120" s="526">
        <f t="shared" si="49"/>
        <v>16584.321537907555</v>
      </c>
      <c r="I120" s="577">
        <f t="shared" si="50"/>
        <v>16584.321537907555</v>
      </c>
      <c r="J120" s="514">
        <f t="shared" si="33"/>
        <v>0</v>
      </c>
      <c r="K120" s="514"/>
      <c r="L120" s="525"/>
      <c r="M120" s="514">
        <f t="shared" si="35"/>
        <v>0</v>
      </c>
      <c r="N120" s="525"/>
      <c r="O120" s="514">
        <f t="shared" si="37"/>
        <v>0</v>
      </c>
      <c r="P120" s="514">
        <f t="shared" si="38"/>
        <v>0</v>
      </c>
      <c r="Q120" s="269"/>
    </row>
    <row r="121" spans="2:17">
      <c r="B121" s="195" t="str">
        <f t="shared" si="39"/>
        <v/>
      </c>
      <c r="C121" s="507">
        <f>IF(D93="","-",+C120+1)</f>
        <v>2032</v>
      </c>
      <c r="D121" s="374">
        <f>IF(F120+SUM(E$99:E120)=D$92,F120,D$92-SUM(E$99:E120))</f>
        <v>99351.448423952781</v>
      </c>
      <c r="E121" s="522">
        <f>IF(+J96&lt;F120,J96,D121)</f>
        <v>5021.5121951219517</v>
      </c>
      <c r="F121" s="523">
        <f t="shared" si="47"/>
        <v>94329.936228830833</v>
      </c>
      <c r="G121" s="523">
        <f t="shared" si="48"/>
        <v>96840.692326391814</v>
      </c>
      <c r="H121" s="526">
        <f t="shared" si="49"/>
        <v>16014.308465861735</v>
      </c>
      <c r="I121" s="577">
        <f t="shared" si="50"/>
        <v>16014.308465861735</v>
      </c>
      <c r="J121" s="514">
        <f t="shared" si="33"/>
        <v>0</v>
      </c>
      <c r="K121" s="514"/>
      <c r="L121" s="525"/>
      <c r="M121" s="514">
        <f t="shared" si="35"/>
        <v>0</v>
      </c>
      <c r="N121" s="525"/>
      <c r="O121" s="514">
        <f t="shared" si="37"/>
        <v>0</v>
      </c>
      <c r="P121" s="514">
        <f t="shared" si="38"/>
        <v>0</v>
      </c>
      <c r="Q121" s="269"/>
    </row>
    <row r="122" spans="2:17">
      <c r="B122" s="195" t="str">
        <f t="shared" si="39"/>
        <v/>
      </c>
      <c r="C122" s="507">
        <f>IF(D93="","-",+C121+1)</f>
        <v>2033</v>
      </c>
      <c r="D122" s="374">
        <f>IF(F121+SUM(E$99:E121)=D$92,F121,D$92-SUM(E$99:E121))</f>
        <v>94329.936228830833</v>
      </c>
      <c r="E122" s="522">
        <f>IF(+J96&lt;F121,J96,D122)</f>
        <v>5021.5121951219517</v>
      </c>
      <c r="F122" s="523">
        <f t="shared" si="47"/>
        <v>89308.424033708885</v>
      </c>
      <c r="G122" s="523">
        <f t="shared" si="48"/>
        <v>91819.180131269852</v>
      </c>
      <c r="H122" s="526">
        <f t="shared" si="49"/>
        <v>15444.295393815912</v>
      </c>
      <c r="I122" s="577">
        <f t="shared" si="50"/>
        <v>15444.295393815912</v>
      </c>
      <c r="J122" s="514">
        <f t="shared" si="33"/>
        <v>0</v>
      </c>
      <c r="K122" s="514"/>
      <c r="L122" s="525"/>
      <c r="M122" s="514">
        <f t="shared" si="35"/>
        <v>0</v>
      </c>
      <c r="N122" s="525"/>
      <c r="O122" s="514">
        <f t="shared" si="37"/>
        <v>0</v>
      </c>
      <c r="P122" s="514">
        <f t="shared" si="38"/>
        <v>0</v>
      </c>
      <c r="Q122" s="269"/>
    </row>
    <row r="123" spans="2:17">
      <c r="B123" s="195" t="str">
        <f t="shared" si="39"/>
        <v/>
      </c>
      <c r="C123" s="507">
        <f>IF(D93="","-",+C122+1)</f>
        <v>2034</v>
      </c>
      <c r="D123" s="374">
        <f>IF(F122+SUM(E$99:E122)=D$92,F122,D$92-SUM(E$99:E122))</f>
        <v>89308.424033708885</v>
      </c>
      <c r="E123" s="522">
        <f>IF(+J96&lt;F122,J96,D123)</f>
        <v>5021.5121951219517</v>
      </c>
      <c r="F123" s="523">
        <f t="shared" si="47"/>
        <v>84286.911838586937</v>
      </c>
      <c r="G123" s="523">
        <f t="shared" si="48"/>
        <v>86797.667936147918</v>
      </c>
      <c r="H123" s="526">
        <f t="shared" si="49"/>
        <v>14874.282321770092</v>
      </c>
      <c r="I123" s="577">
        <f t="shared" si="50"/>
        <v>14874.282321770092</v>
      </c>
      <c r="J123" s="514">
        <f t="shared" si="33"/>
        <v>0</v>
      </c>
      <c r="K123" s="514"/>
      <c r="L123" s="525"/>
      <c r="M123" s="514">
        <f t="shared" si="35"/>
        <v>0</v>
      </c>
      <c r="N123" s="525"/>
      <c r="O123" s="514">
        <f t="shared" si="37"/>
        <v>0</v>
      </c>
      <c r="P123" s="514">
        <f t="shared" si="38"/>
        <v>0</v>
      </c>
      <c r="Q123" s="269"/>
    </row>
    <row r="124" spans="2:17">
      <c r="B124" s="195" t="str">
        <f t="shared" si="39"/>
        <v/>
      </c>
      <c r="C124" s="507">
        <f>IF(D93="","-",+C123+1)</f>
        <v>2035</v>
      </c>
      <c r="D124" s="374">
        <f>IF(F123+SUM(E$99:E123)=D$92,F123,D$92-SUM(E$99:E123))</f>
        <v>84286.911838586937</v>
      </c>
      <c r="E124" s="522">
        <f>IF(+J96&lt;F123,J96,D124)</f>
        <v>5021.5121951219517</v>
      </c>
      <c r="F124" s="523">
        <f t="shared" si="47"/>
        <v>79265.399643464989</v>
      </c>
      <c r="G124" s="523">
        <f t="shared" si="48"/>
        <v>81776.155741025956</v>
      </c>
      <c r="H124" s="526">
        <f t="shared" si="49"/>
        <v>14304.269249724268</v>
      </c>
      <c r="I124" s="577">
        <f t="shared" si="50"/>
        <v>14304.269249724268</v>
      </c>
      <c r="J124" s="514">
        <f t="shared" si="33"/>
        <v>0</v>
      </c>
      <c r="K124" s="514"/>
      <c r="L124" s="525"/>
      <c r="M124" s="514">
        <f t="shared" si="35"/>
        <v>0</v>
      </c>
      <c r="N124" s="525"/>
      <c r="O124" s="514">
        <f t="shared" si="37"/>
        <v>0</v>
      </c>
      <c r="P124" s="514">
        <f t="shared" si="38"/>
        <v>0</v>
      </c>
      <c r="Q124" s="269"/>
    </row>
    <row r="125" spans="2:17">
      <c r="B125" s="195" t="str">
        <f t="shared" si="39"/>
        <v/>
      </c>
      <c r="C125" s="507">
        <f>IF(D93="","-",+C124+1)</f>
        <v>2036</v>
      </c>
      <c r="D125" s="374">
        <f>IF(F124+SUM(E$99:E124)=D$92,F124,D$92-SUM(E$99:E124))</f>
        <v>79265.399643464989</v>
      </c>
      <c r="E125" s="522">
        <f>IF(+J96&lt;F124,J96,D125)</f>
        <v>5021.5121951219517</v>
      </c>
      <c r="F125" s="523">
        <f t="shared" si="47"/>
        <v>74243.887448343041</v>
      </c>
      <c r="G125" s="523">
        <f t="shared" si="48"/>
        <v>76754.643545904022</v>
      </c>
      <c r="H125" s="526">
        <f t="shared" si="49"/>
        <v>13734.256177678446</v>
      </c>
      <c r="I125" s="577">
        <f t="shared" si="50"/>
        <v>13734.256177678446</v>
      </c>
      <c r="J125" s="514">
        <f t="shared" si="33"/>
        <v>0</v>
      </c>
      <c r="K125" s="514"/>
      <c r="L125" s="525"/>
      <c r="M125" s="514">
        <f t="shared" si="35"/>
        <v>0</v>
      </c>
      <c r="N125" s="525"/>
      <c r="O125" s="514">
        <f t="shared" si="37"/>
        <v>0</v>
      </c>
      <c r="P125" s="514">
        <f t="shared" si="38"/>
        <v>0</v>
      </c>
      <c r="Q125" s="269"/>
    </row>
    <row r="126" spans="2:17">
      <c r="B126" s="195" t="str">
        <f t="shared" si="39"/>
        <v/>
      </c>
      <c r="C126" s="507">
        <f>IF(D93="","-",+C125+1)</f>
        <v>2037</v>
      </c>
      <c r="D126" s="374">
        <f>IF(F125+SUM(E$99:E125)=D$92,F125,D$92-SUM(E$99:E125))</f>
        <v>74243.887448343041</v>
      </c>
      <c r="E126" s="522">
        <f>IF(+J96&lt;F125,J96,D126)</f>
        <v>5021.5121951219517</v>
      </c>
      <c r="F126" s="523">
        <f t="shared" si="47"/>
        <v>69222.375253221093</v>
      </c>
      <c r="G126" s="523">
        <f t="shared" si="48"/>
        <v>71733.13135078206</v>
      </c>
      <c r="H126" s="526">
        <f t="shared" si="49"/>
        <v>13164.243105632622</v>
      </c>
      <c r="I126" s="577">
        <f t="shared" si="50"/>
        <v>13164.243105632622</v>
      </c>
      <c r="J126" s="514">
        <f t="shared" si="33"/>
        <v>0</v>
      </c>
      <c r="K126" s="514"/>
      <c r="L126" s="525"/>
      <c r="M126" s="514">
        <f t="shared" si="35"/>
        <v>0</v>
      </c>
      <c r="N126" s="525"/>
      <c r="O126" s="514">
        <f t="shared" si="37"/>
        <v>0</v>
      </c>
      <c r="P126" s="514">
        <f t="shared" si="38"/>
        <v>0</v>
      </c>
      <c r="Q126" s="269"/>
    </row>
    <row r="127" spans="2:17">
      <c r="B127" s="195" t="str">
        <f t="shared" si="39"/>
        <v/>
      </c>
      <c r="C127" s="507">
        <f>IF(D93="","-",+C126+1)</f>
        <v>2038</v>
      </c>
      <c r="D127" s="374">
        <f>IF(F126+SUM(E$99:E126)=D$92,F126,D$92-SUM(E$99:E126))</f>
        <v>69222.375253221093</v>
      </c>
      <c r="E127" s="522">
        <f>IF(+J96&lt;F126,J96,D127)</f>
        <v>5021.5121951219517</v>
      </c>
      <c r="F127" s="523">
        <f t="shared" si="47"/>
        <v>64200.863058099145</v>
      </c>
      <c r="G127" s="523">
        <f t="shared" si="48"/>
        <v>66711.619155660126</v>
      </c>
      <c r="H127" s="526">
        <f t="shared" si="49"/>
        <v>12594.230033586802</v>
      </c>
      <c r="I127" s="577">
        <f t="shared" si="50"/>
        <v>12594.230033586802</v>
      </c>
      <c r="J127" s="514">
        <f t="shared" si="33"/>
        <v>0</v>
      </c>
      <c r="K127" s="514"/>
      <c r="L127" s="525"/>
      <c r="M127" s="514">
        <f t="shared" si="35"/>
        <v>0</v>
      </c>
      <c r="N127" s="525"/>
      <c r="O127" s="514">
        <f t="shared" si="37"/>
        <v>0</v>
      </c>
      <c r="P127" s="514">
        <f t="shared" si="38"/>
        <v>0</v>
      </c>
      <c r="Q127" s="269"/>
    </row>
    <row r="128" spans="2:17">
      <c r="B128" s="195" t="str">
        <f t="shared" si="39"/>
        <v/>
      </c>
      <c r="C128" s="507">
        <f>IF(D93="","-",+C127+1)</f>
        <v>2039</v>
      </c>
      <c r="D128" s="374">
        <f>IF(F127+SUM(E$99:E127)=D$92,F127,D$92-SUM(E$99:E127))</f>
        <v>64200.863058099145</v>
      </c>
      <c r="E128" s="522">
        <f>IF(+J96&lt;F127,J96,D128)</f>
        <v>5021.5121951219517</v>
      </c>
      <c r="F128" s="523">
        <f t="shared" si="47"/>
        <v>59179.350862977197</v>
      </c>
      <c r="G128" s="523">
        <f t="shared" si="48"/>
        <v>61690.106960538171</v>
      </c>
      <c r="H128" s="526">
        <f t="shared" si="49"/>
        <v>12024.216961540978</v>
      </c>
      <c r="I128" s="577">
        <f t="shared" si="50"/>
        <v>12024.216961540978</v>
      </c>
      <c r="J128" s="514">
        <f t="shared" si="33"/>
        <v>0</v>
      </c>
      <c r="K128" s="514"/>
      <c r="L128" s="525"/>
      <c r="M128" s="514">
        <f t="shared" si="35"/>
        <v>0</v>
      </c>
      <c r="N128" s="525"/>
      <c r="O128" s="514">
        <f t="shared" si="37"/>
        <v>0</v>
      </c>
      <c r="P128" s="514">
        <f t="shared" si="38"/>
        <v>0</v>
      </c>
      <c r="Q128" s="269"/>
    </row>
    <row r="129" spans="2:17">
      <c r="B129" s="195" t="str">
        <f t="shared" si="39"/>
        <v/>
      </c>
      <c r="C129" s="507">
        <f>IF(D93="","-",+C128+1)</f>
        <v>2040</v>
      </c>
      <c r="D129" s="374">
        <f>IF(F128+SUM(E$99:E128)=D$92,F128,D$92-SUM(E$99:E128))</f>
        <v>59179.350862977197</v>
      </c>
      <c r="E129" s="522">
        <f>IF(+J96&lt;F128,J96,D129)</f>
        <v>5021.5121951219517</v>
      </c>
      <c r="F129" s="523">
        <f t="shared" si="47"/>
        <v>54157.838667855249</v>
      </c>
      <c r="G129" s="523">
        <f t="shared" si="48"/>
        <v>56668.594765416223</v>
      </c>
      <c r="H129" s="526">
        <f t="shared" si="49"/>
        <v>11454.203889495155</v>
      </c>
      <c r="I129" s="577">
        <f t="shared" si="50"/>
        <v>11454.203889495155</v>
      </c>
      <c r="J129" s="514">
        <f t="shared" si="33"/>
        <v>0</v>
      </c>
      <c r="K129" s="514"/>
      <c r="L129" s="525"/>
      <c r="M129" s="514">
        <f t="shared" si="35"/>
        <v>0</v>
      </c>
      <c r="N129" s="525"/>
      <c r="O129" s="514">
        <f t="shared" si="37"/>
        <v>0</v>
      </c>
      <c r="P129" s="514">
        <f t="shared" si="38"/>
        <v>0</v>
      </c>
      <c r="Q129" s="269"/>
    </row>
    <row r="130" spans="2:17">
      <c r="B130" s="195" t="str">
        <f t="shared" si="39"/>
        <v/>
      </c>
      <c r="C130" s="507">
        <f>IF(D93="","-",+C129+1)</f>
        <v>2041</v>
      </c>
      <c r="D130" s="374">
        <f>IF(F129+SUM(E$99:E129)=D$92,F129,D$92-SUM(E$99:E129))</f>
        <v>54157.838667855249</v>
      </c>
      <c r="E130" s="522">
        <f>IF(+J96&lt;F129,J96,D130)</f>
        <v>5021.5121951219517</v>
      </c>
      <c r="F130" s="523">
        <f t="shared" si="47"/>
        <v>49136.326472733301</v>
      </c>
      <c r="G130" s="523">
        <f t="shared" si="48"/>
        <v>51647.082570294275</v>
      </c>
      <c r="H130" s="526">
        <f t="shared" si="49"/>
        <v>10884.190817449333</v>
      </c>
      <c r="I130" s="577">
        <f t="shared" si="50"/>
        <v>10884.190817449333</v>
      </c>
      <c r="J130" s="514">
        <f t="shared" si="33"/>
        <v>0</v>
      </c>
      <c r="K130" s="514"/>
      <c r="L130" s="525"/>
      <c r="M130" s="514">
        <f t="shared" si="35"/>
        <v>0</v>
      </c>
      <c r="N130" s="525"/>
      <c r="O130" s="514">
        <f t="shared" si="37"/>
        <v>0</v>
      </c>
      <c r="P130" s="514">
        <f t="shared" si="38"/>
        <v>0</v>
      </c>
      <c r="Q130" s="269"/>
    </row>
    <row r="131" spans="2:17">
      <c r="B131" s="195" t="str">
        <f t="shared" si="39"/>
        <v/>
      </c>
      <c r="C131" s="507">
        <f>IF(D93="","-",+C130+1)</f>
        <v>2042</v>
      </c>
      <c r="D131" s="374">
        <f>IF(F130+SUM(E$99:E130)=D$92,F130,D$92-SUM(E$99:E130))</f>
        <v>49136.326472733301</v>
      </c>
      <c r="E131" s="522">
        <f>IF(+J96&lt;F130,J96,D131)</f>
        <v>5021.5121951219517</v>
      </c>
      <c r="F131" s="523">
        <f t="shared" si="47"/>
        <v>44114.814277611353</v>
      </c>
      <c r="G131" s="523">
        <f t="shared" ref="G131:G154" si="51">+(F131+D131)/2</f>
        <v>46625.570375172327</v>
      </c>
      <c r="H131" s="526">
        <f t="shared" ref="H131:H154" si="52">+J$94*G131+E131</f>
        <v>10314.177745403511</v>
      </c>
      <c r="I131" s="577">
        <f t="shared" ref="I131:I154" si="53">+J$95*G131+E131</f>
        <v>10314.177745403511</v>
      </c>
      <c r="J131" s="514">
        <f t="shared" ref="J131:J154" si="54">+I131-H131</f>
        <v>0</v>
      </c>
      <c r="K131" s="514"/>
      <c r="L131" s="525"/>
      <c r="M131" s="514">
        <f t="shared" ref="M131:M154" si="55">IF(L131&lt;&gt;0,+H131-L131,0)</f>
        <v>0</v>
      </c>
      <c r="N131" s="525"/>
      <c r="O131" s="514">
        <f t="shared" ref="O131:O154" si="56">IF(N131&lt;&gt;0,+I131-N131,0)</f>
        <v>0</v>
      </c>
      <c r="P131" s="514">
        <f t="shared" ref="P131:P154" si="57">+O131-M131</f>
        <v>0</v>
      </c>
      <c r="Q131" s="269"/>
    </row>
    <row r="132" spans="2:17">
      <c r="B132" s="195" t="str">
        <f t="shared" si="39"/>
        <v/>
      </c>
      <c r="C132" s="507">
        <f>IF(D93="","-",+C131+1)</f>
        <v>2043</v>
      </c>
      <c r="D132" s="374">
        <f>IF(F131+SUM(E$99:E131)=D$92,F131,D$92-SUM(E$99:E131))</f>
        <v>44114.814277611353</v>
      </c>
      <c r="E132" s="522">
        <f>IF(+J96&lt;F131,J96,D132)</f>
        <v>5021.5121951219517</v>
      </c>
      <c r="F132" s="523">
        <f t="shared" ref="F132:F154" si="58">+D132-E132</f>
        <v>39093.302082489405</v>
      </c>
      <c r="G132" s="523">
        <f t="shared" si="51"/>
        <v>41604.058180050379</v>
      </c>
      <c r="H132" s="526">
        <f t="shared" si="52"/>
        <v>9744.164673357689</v>
      </c>
      <c r="I132" s="577">
        <f t="shared" si="53"/>
        <v>9744.164673357689</v>
      </c>
      <c r="J132" s="514">
        <f t="shared" si="54"/>
        <v>0</v>
      </c>
      <c r="K132" s="514"/>
      <c r="L132" s="525"/>
      <c r="M132" s="514">
        <f t="shared" si="55"/>
        <v>0</v>
      </c>
      <c r="N132" s="525"/>
      <c r="O132" s="514">
        <f t="shared" si="56"/>
        <v>0</v>
      </c>
      <c r="P132" s="514">
        <f t="shared" si="57"/>
        <v>0</v>
      </c>
      <c r="Q132" s="269"/>
    </row>
    <row r="133" spans="2:17">
      <c r="B133" s="195" t="str">
        <f t="shared" si="39"/>
        <v/>
      </c>
      <c r="C133" s="507">
        <f>IF(D93="","-",+C132+1)</f>
        <v>2044</v>
      </c>
      <c r="D133" s="374">
        <f>IF(F132+SUM(E$99:E132)=D$92,F132,D$92-SUM(E$99:E132))</f>
        <v>39093.302082489405</v>
      </c>
      <c r="E133" s="522">
        <f>IF(+J96&lt;F132,J96,D133)</f>
        <v>5021.5121951219517</v>
      </c>
      <c r="F133" s="523">
        <f t="shared" si="58"/>
        <v>34071.789887367457</v>
      </c>
      <c r="G133" s="523">
        <f t="shared" si="51"/>
        <v>36582.545984928431</v>
      </c>
      <c r="H133" s="526">
        <f t="shared" si="52"/>
        <v>9174.1516013118671</v>
      </c>
      <c r="I133" s="577">
        <f t="shared" si="53"/>
        <v>9174.1516013118671</v>
      </c>
      <c r="J133" s="514">
        <f t="shared" si="54"/>
        <v>0</v>
      </c>
      <c r="K133" s="514"/>
      <c r="L133" s="525"/>
      <c r="M133" s="514">
        <f t="shared" si="55"/>
        <v>0</v>
      </c>
      <c r="N133" s="525"/>
      <c r="O133" s="514">
        <f t="shared" si="56"/>
        <v>0</v>
      </c>
      <c r="P133" s="514">
        <f t="shared" si="57"/>
        <v>0</v>
      </c>
      <c r="Q133" s="269"/>
    </row>
    <row r="134" spans="2:17">
      <c r="B134" s="195" t="str">
        <f t="shared" si="39"/>
        <v/>
      </c>
      <c r="C134" s="507">
        <f>IF(D93="","-",+C133+1)</f>
        <v>2045</v>
      </c>
      <c r="D134" s="374">
        <f>IF(F133+SUM(E$99:E133)=D$92,F133,D$92-SUM(E$99:E133))</f>
        <v>34071.789887367457</v>
      </c>
      <c r="E134" s="522">
        <f>IF(+J96&lt;F133,J96,D134)</f>
        <v>5021.5121951219517</v>
      </c>
      <c r="F134" s="523">
        <f t="shared" si="58"/>
        <v>29050.277692245505</v>
      </c>
      <c r="G134" s="523">
        <f t="shared" si="51"/>
        <v>31561.033789806483</v>
      </c>
      <c r="H134" s="526">
        <f t="shared" si="52"/>
        <v>8604.1385292660434</v>
      </c>
      <c r="I134" s="577">
        <f t="shared" si="53"/>
        <v>8604.1385292660434</v>
      </c>
      <c r="J134" s="514">
        <f t="shared" si="54"/>
        <v>0</v>
      </c>
      <c r="K134" s="514"/>
      <c r="L134" s="525"/>
      <c r="M134" s="514">
        <f t="shared" si="55"/>
        <v>0</v>
      </c>
      <c r="N134" s="525"/>
      <c r="O134" s="514">
        <f t="shared" si="56"/>
        <v>0</v>
      </c>
      <c r="P134" s="514">
        <f t="shared" si="57"/>
        <v>0</v>
      </c>
      <c r="Q134" s="269"/>
    </row>
    <row r="135" spans="2:17">
      <c r="B135" s="195" t="str">
        <f t="shared" si="39"/>
        <v/>
      </c>
      <c r="C135" s="507">
        <f>IF(D93="","-",+C134+1)</f>
        <v>2046</v>
      </c>
      <c r="D135" s="374">
        <f>IF(F134+SUM(E$99:E134)=D$92,F134,D$92-SUM(E$99:E134))</f>
        <v>29050.277692245505</v>
      </c>
      <c r="E135" s="522">
        <f>IF(+J96&lt;F134,J96,D135)</f>
        <v>5021.5121951219517</v>
      </c>
      <c r="F135" s="523">
        <f t="shared" si="58"/>
        <v>24028.765497123553</v>
      </c>
      <c r="G135" s="523">
        <f t="shared" si="51"/>
        <v>26539.521594684527</v>
      </c>
      <c r="H135" s="526">
        <f t="shared" si="52"/>
        <v>8034.1254572202206</v>
      </c>
      <c r="I135" s="577">
        <f t="shared" si="53"/>
        <v>8034.1254572202206</v>
      </c>
      <c r="J135" s="514">
        <f t="shared" si="54"/>
        <v>0</v>
      </c>
      <c r="K135" s="514"/>
      <c r="L135" s="525"/>
      <c r="M135" s="514">
        <f t="shared" si="55"/>
        <v>0</v>
      </c>
      <c r="N135" s="525"/>
      <c r="O135" s="514">
        <f t="shared" si="56"/>
        <v>0</v>
      </c>
      <c r="P135" s="514">
        <f t="shared" si="57"/>
        <v>0</v>
      </c>
      <c r="Q135" s="269"/>
    </row>
    <row r="136" spans="2:17">
      <c r="B136" s="195" t="str">
        <f t="shared" si="39"/>
        <v/>
      </c>
      <c r="C136" s="507">
        <f>IF(D93="","-",+C135+1)</f>
        <v>2047</v>
      </c>
      <c r="D136" s="374">
        <f>IF(F135+SUM(E$99:E135)=D$92,F135,D$92-SUM(E$99:E135))</f>
        <v>24028.765497123553</v>
      </c>
      <c r="E136" s="522">
        <f>IF(+J96&lt;F135,J96,D136)</f>
        <v>5021.5121951219517</v>
      </c>
      <c r="F136" s="523">
        <f t="shared" si="58"/>
        <v>19007.253302001602</v>
      </c>
      <c r="G136" s="523">
        <f t="shared" si="51"/>
        <v>21518.009399562579</v>
      </c>
      <c r="H136" s="526">
        <f t="shared" si="52"/>
        <v>7464.1123851743978</v>
      </c>
      <c r="I136" s="577">
        <f t="shared" si="53"/>
        <v>7464.1123851743978</v>
      </c>
      <c r="J136" s="514">
        <f t="shared" si="54"/>
        <v>0</v>
      </c>
      <c r="K136" s="514"/>
      <c r="L136" s="525"/>
      <c r="M136" s="514">
        <f t="shared" si="55"/>
        <v>0</v>
      </c>
      <c r="N136" s="525"/>
      <c r="O136" s="514">
        <f t="shared" si="56"/>
        <v>0</v>
      </c>
      <c r="P136" s="514">
        <f t="shared" si="57"/>
        <v>0</v>
      </c>
      <c r="Q136" s="269"/>
    </row>
    <row r="137" spans="2:17">
      <c r="B137" s="195" t="str">
        <f t="shared" si="39"/>
        <v/>
      </c>
      <c r="C137" s="507">
        <f>IF(D93="","-",+C136+1)</f>
        <v>2048</v>
      </c>
      <c r="D137" s="374">
        <f>IF(F136+SUM(E$99:E136)=D$92,F136,D$92-SUM(E$99:E136))</f>
        <v>19007.253302001602</v>
      </c>
      <c r="E137" s="522">
        <f>IF(+J96&lt;F136,J96,D137)</f>
        <v>5021.5121951219517</v>
      </c>
      <c r="F137" s="523">
        <f t="shared" si="58"/>
        <v>13985.74110687965</v>
      </c>
      <c r="G137" s="523">
        <f t="shared" si="51"/>
        <v>16496.497204440624</v>
      </c>
      <c r="H137" s="526">
        <f t="shared" si="52"/>
        <v>6894.099313128575</v>
      </c>
      <c r="I137" s="577">
        <f t="shared" si="53"/>
        <v>6894.099313128575</v>
      </c>
      <c r="J137" s="514">
        <f t="shared" si="54"/>
        <v>0</v>
      </c>
      <c r="K137" s="514"/>
      <c r="L137" s="525"/>
      <c r="M137" s="514">
        <f t="shared" si="55"/>
        <v>0</v>
      </c>
      <c r="N137" s="525"/>
      <c r="O137" s="514">
        <f t="shared" si="56"/>
        <v>0</v>
      </c>
      <c r="P137" s="514">
        <f t="shared" si="57"/>
        <v>0</v>
      </c>
      <c r="Q137" s="269"/>
    </row>
    <row r="138" spans="2:17">
      <c r="B138" s="195" t="str">
        <f t="shared" si="39"/>
        <v/>
      </c>
      <c r="C138" s="507">
        <f>IF(D93="","-",+C137+1)</f>
        <v>2049</v>
      </c>
      <c r="D138" s="374">
        <f>IF(F137+SUM(E$99:E137)=D$92,F137,D$92-SUM(E$99:E137))</f>
        <v>13985.74110687965</v>
      </c>
      <c r="E138" s="522">
        <f>IF(+J96&lt;F137,J96,D138)</f>
        <v>5021.5121951219517</v>
      </c>
      <c r="F138" s="523">
        <f t="shared" si="58"/>
        <v>8964.2289117576984</v>
      </c>
      <c r="G138" s="523">
        <f t="shared" si="51"/>
        <v>11474.985009318674</v>
      </c>
      <c r="H138" s="526">
        <f t="shared" si="52"/>
        <v>6324.0862410827522</v>
      </c>
      <c r="I138" s="577">
        <f t="shared" si="53"/>
        <v>6324.0862410827522</v>
      </c>
      <c r="J138" s="514">
        <f t="shared" si="54"/>
        <v>0</v>
      </c>
      <c r="K138" s="514"/>
      <c r="L138" s="525"/>
      <c r="M138" s="514">
        <f t="shared" si="55"/>
        <v>0</v>
      </c>
      <c r="N138" s="525"/>
      <c r="O138" s="514">
        <f t="shared" si="56"/>
        <v>0</v>
      </c>
      <c r="P138" s="514">
        <f t="shared" si="57"/>
        <v>0</v>
      </c>
      <c r="Q138" s="269"/>
    </row>
    <row r="139" spans="2:17">
      <c r="B139" s="195" t="str">
        <f t="shared" si="39"/>
        <v/>
      </c>
      <c r="C139" s="507">
        <f>IF(D93="","-",+C138+1)</f>
        <v>2050</v>
      </c>
      <c r="D139" s="374">
        <f>IF(F138+SUM(E$99:E138)=D$92,F138,D$92-SUM(E$99:E138))</f>
        <v>8964.2289117576984</v>
      </c>
      <c r="E139" s="522">
        <f>IF(+J96&lt;F138,J96,D139)</f>
        <v>5021.5121951219517</v>
      </c>
      <c r="F139" s="523">
        <f t="shared" si="58"/>
        <v>3942.7167166357467</v>
      </c>
      <c r="G139" s="523">
        <f t="shared" si="51"/>
        <v>6453.4728141967225</v>
      </c>
      <c r="H139" s="526">
        <f t="shared" si="52"/>
        <v>5754.0731690369294</v>
      </c>
      <c r="I139" s="577">
        <f t="shared" si="53"/>
        <v>5754.0731690369294</v>
      </c>
      <c r="J139" s="514">
        <f t="shared" si="54"/>
        <v>0</v>
      </c>
      <c r="K139" s="514"/>
      <c r="L139" s="525"/>
      <c r="M139" s="514">
        <f t="shared" si="55"/>
        <v>0</v>
      </c>
      <c r="N139" s="525"/>
      <c r="O139" s="514">
        <f t="shared" si="56"/>
        <v>0</v>
      </c>
      <c r="P139" s="514">
        <f t="shared" si="57"/>
        <v>0</v>
      </c>
      <c r="Q139" s="269"/>
    </row>
    <row r="140" spans="2:17">
      <c r="B140" s="195" t="str">
        <f t="shared" si="39"/>
        <v/>
      </c>
      <c r="C140" s="507">
        <f>IF(D93="","-",+C139+1)</f>
        <v>2051</v>
      </c>
      <c r="D140" s="374">
        <f>IF(F139+SUM(E$99:E139)=D$92,F139,D$92-SUM(E$99:E139))</f>
        <v>3942.7167166357467</v>
      </c>
      <c r="E140" s="522">
        <f>IF(+J96&lt;F139,J96,D140)</f>
        <v>3942.7167166357467</v>
      </c>
      <c r="F140" s="523">
        <f t="shared" si="58"/>
        <v>0</v>
      </c>
      <c r="G140" s="523">
        <f t="shared" si="51"/>
        <v>1971.3583583178734</v>
      </c>
      <c r="H140" s="526">
        <f t="shared" si="52"/>
        <v>4166.4939355817796</v>
      </c>
      <c r="I140" s="577">
        <f t="shared" si="53"/>
        <v>4166.4939355817796</v>
      </c>
      <c r="J140" s="514">
        <f t="shared" si="54"/>
        <v>0</v>
      </c>
      <c r="K140" s="514"/>
      <c r="L140" s="525"/>
      <c r="M140" s="514">
        <f t="shared" si="55"/>
        <v>0</v>
      </c>
      <c r="N140" s="525"/>
      <c r="O140" s="514">
        <f t="shared" si="56"/>
        <v>0</v>
      </c>
      <c r="P140" s="514">
        <f t="shared" si="57"/>
        <v>0</v>
      </c>
      <c r="Q140" s="269"/>
    </row>
    <row r="141" spans="2:17">
      <c r="B141" s="195" t="str">
        <f t="shared" si="39"/>
        <v/>
      </c>
      <c r="C141" s="507">
        <f>IF(D93="","-",+C140+1)</f>
        <v>2052</v>
      </c>
      <c r="D141" s="374">
        <f>IF(F140+SUM(E$99:E140)=D$92,F140,D$92-SUM(E$99:E140))</f>
        <v>0</v>
      </c>
      <c r="E141" s="522">
        <f>IF(+J96&lt;F140,J96,D141)</f>
        <v>0</v>
      </c>
      <c r="F141" s="523">
        <f t="shared" si="58"/>
        <v>0</v>
      </c>
      <c r="G141" s="523">
        <f t="shared" si="51"/>
        <v>0</v>
      </c>
      <c r="H141" s="526">
        <f t="shared" si="52"/>
        <v>0</v>
      </c>
      <c r="I141" s="577">
        <f t="shared" si="53"/>
        <v>0</v>
      </c>
      <c r="J141" s="514">
        <f t="shared" si="54"/>
        <v>0</v>
      </c>
      <c r="K141" s="514"/>
      <c r="L141" s="525"/>
      <c r="M141" s="514">
        <f t="shared" si="55"/>
        <v>0</v>
      </c>
      <c r="N141" s="525"/>
      <c r="O141" s="514">
        <f t="shared" si="56"/>
        <v>0</v>
      </c>
      <c r="P141" s="514">
        <f t="shared" si="57"/>
        <v>0</v>
      </c>
      <c r="Q141" s="269"/>
    </row>
    <row r="142" spans="2:17">
      <c r="B142" s="195" t="str">
        <f t="shared" si="39"/>
        <v/>
      </c>
      <c r="C142" s="507">
        <f>IF(D93="","-",+C141+1)</f>
        <v>2053</v>
      </c>
      <c r="D142" s="374">
        <f>IF(F141+SUM(E$99:E141)=D$92,F141,D$92-SUM(E$99:E141))</f>
        <v>0</v>
      </c>
      <c r="E142" s="522">
        <f>IF(+J96&lt;F141,J96,D142)</f>
        <v>0</v>
      </c>
      <c r="F142" s="523">
        <f t="shared" si="58"/>
        <v>0</v>
      </c>
      <c r="G142" s="523">
        <f t="shared" si="51"/>
        <v>0</v>
      </c>
      <c r="H142" s="526">
        <f t="shared" si="52"/>
        <v>0</v>
      </c>
      <c r="I142" s="577">
        <f t="shared" si="53"/>
        <v>0</v>
      </c>
      <c r="J142" s="514">
        <f t="shared" si="54"/>
        <v>0</v>
      </c>
      <c r="K142" s="514"/>
      <c r="L142" s="525"/>
      <c r="M142" s="514">
        <f t="shared" si="55"/>
        <v>0</v>
      </c>
      <c r="N142" s="525"/>
      <c r="O142" s="514">
        <f t="shared" si="56"/>
        <v>0</v>
      </c>
      <c r="P142" s="514">
        <f t="shared" si="57"/>
        <v>0</v>
      </c>
      <c r="Q142" s="269"/>
    </row>
    <row r="143" spans="2:17">
      <c r="B143" s="195" t="str">
        <f t="shared" si="39"/>
        <v/>
      </c>
      <c r="C143" s="507">
        <f>IF(D93="","-",+C142+1)</f>
        <v>2054</v>
      </c>
      <c r="D143" s="374">
        <f>IF(F142+SUM(E$99:E142)=D$92,F142,D$92-SUM(E$99:E142))</f>
        <v>0</v>
      </c>
      <c r="E143" s="522">
        <f>IF(+J96&lt;F142,J96,D143)</f>
        <v>0</v>
      </c>
      <c r="F143" s="523">
        <f t="shared" si="58"/>
        <v>0</v>
      </c>
      <c r="G143" s="523">
        <f t="shared" si="51"/>
        <v>0</v>
      </c>
      <c r="H143" s="526">
        <f t="shared" si="52"/>
        <v>0</v>
      </c>
      <c r="I143" s="577">
        <f t="shared" si="53"/>
        <v>0</v>
      </c>
      <c r="J143" s="514">
        <f t="shared" si="54"/>
        <v>0</v>
      </c>
      <c r="K143" s="514"/>
      <c r="L143" s="525"/>
      <c r="M143" s="514">
        <f t="shared" si="55"/>
        <v>0</v>
      </c>
      <c r="N143" s="525"/>
      <c r="O143" s="514">
        <f t="shared" si="56"/>
        <v>0</v>
      </c>
      <c r="P143" s="514">
        <f t="shared" si="57"/>
        <v>0</v>
      </c>
      <c r="Q143" s="269"/>
    </row>
    <row r="144" spans="2:17">
      <c r="B144" s="195" t="str">
        <f t="shared" si="39"/>
        <v/>
      </c>
      <c r="C144" s="507">
        <f>IF(D93="","-",+C143+1)</f>
        <v>2055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58"/>
        <v>0</v>
      </c>
      <c r="G144" s="523">
        <f t="shared" si="51"/>
        <v>0</v>
      </c>
      <c r="H144" s="526">
        <f t="shared" si="52"/>
        <v>0</v>
      </c>
      <c r="I144" s="577">
        <f t="shared" si="53"/>
        <v>0</v>
      </c>
      <c r="J144" s="514">
        <f t="shared" si="54"/>
        <v>0</v>
      </c>
      <c r="K144" s="514"/>
      <c r="L144" s="525"/>
      <c r="M144" s="514">
        <f t="shared" si="55"/>
        <v>0</v>
      </c>
      <c r="N144" s="525"/>
      <c r="O144" s="514">
        <f t="shared" si="56"/>
        <v>0</v>
      </c>
      <c r="P144" s="514">
        <f t="shared" si="57"/>
        <v>0</v>
      </c>
      <c r="Q144" s="269"/>
    </row>
    <row r="145" spans="2:17">
      <c r="B145" s="195" t="str">
        <f t="shared" si="39"/>
        <v/>
      </c>
      <c r="C145" s="507">
        <f>IF(D93="","-",+C144+1)</f>
        <v>2056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58"/>
        <v>0</v>
      </c>
      <c r="G145" s="523">
        <f t="shared" si="51"/>
        <v>0</v>
      </c>
      <c r="H145" s="526">
        <f t="shared" si="52"/>
        <v>0</v>
      </c>
      <c r="I145" s="577">
        <f t="shared" si="53"/>
        <v>0</v>
      </c>
      <c r="J145" s="514">
        <f t="shared" si="54"/>
        <v>0</v>
      </c>
      <c r="K145" s="514"/>
      <c r="L145" s="525"/>
      <c r="M145" s="514">
        <f t="shared" si="55"/>
        <v>0</v>
      </c>
      <c r="N145" s="525"/>
      <c r="O145" s="514">
        <f t="shared" si="56"/>
        <v>0</v>
      </c>
      <c r="P145" s="514">
        <f t="shared" si="57"/>
        <v>0</v>
      </c>
      <c r="Q145" s="269"/>
    </row>
    <row r="146" spans="2:17">
      <c r="B146" s="195" t="str">
        <f t="shared" si="39"/>
        <v/>
      </c>
      <c r="C146" s="507">
        <f>IF(D93="","-",+C145+1)</f>
        <v>2057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58"/>
        <v>0</v>
      </c>
      <c r="G146" s="523">
        <f t="shared" si="51"/>
        <v>0</v>
      </c>
      <c r="H146" s="526">
        <f t="shared" si="52"/>
        <v>0</v>
      </c>
      <c r="I146" s="577">
        <f t="shared" si="53"/>
        <v>0</v>
      </c>
      <c r="J146" s="514">
        <f t="shared" si="54"/>
        <v>0</v>
      </c>
      <c r="K146" s="514"/>
      <c r="L146" s="525"/>
      <c r="M146" s="514">
        <f t="shared" si="55"/>
        <v>0</v>
      </c>
      <c r="N146" s="525"/>
      <c r="O146" s="514">
        <f t="shared" si="56"/>
        <v>0</v>
      </c>
      <c r="P146" s="514">
        <f t="shared" si="57"/>
        <v>0</v>
      </c>
      <c r="Q146" s="269"/>
    </row>
    <row r="147" spans="2:17">
      <c r="B147" s="195" t="str">
        <f t="shared" si="39"/>
        <v/>
      </c>
      <c r="C147" s="507">
        <f>IF(D93="","-",+C146+1)</f>
        <v>2058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58"/>
        <v>0</v>
      </c>
      <c r="G147" s="523">
        <f t="shared" si="51"/>
        <v>0</v>
      </c>
      <c r="H147" s="526">
        <f t="shared" si="52"/>
        <v>0</v>
      </c>
      <c r="I147" s="577">
        <f t="shared" si="53"/>
        <v>0</v>
      </c>
      <c r="J147" s="514">
        <f t="shared" si="54"/>
        <v>0</v>
      </c>
      <c r="K147" s="514"/>
      <c r="L147" s="525"/>
      <c r="M147" s="514">
        <f t="shared" si="55"/>
        <v>0</v>
      </c>
      <c r="N147" s="525"/>
      <c r="O147" s="514">
        <f t="shared" si="56"/>
        <v>0</v>
      </c>
      <c r="P147" s="514">
        <f t="shared" si="57"/>
        <v>0</v>
      </c>
      <c r="Q147" s="269"/>
    </row>
    <row r="148" spans="2:17">
      <c r="B148" s="195" t="str">
        <f t="shared" si="39"/>
        <v/>
      </c>
      <c r="C148" s="507">
        <f>IF(D93="","-",+C147+1)</f>
        <v>2059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58"/>
        <v>0</v>
      </c>
      <c r="G148" s="523">
        <f t="shared" si="51"/>
        <v>0</v>
      </c>
      <c r="H148" s="526">
        <f t="shared" si="52"/>
        <v>0</v>
      </c>
      <c r="I148" s="577">
        <f t="shared" si="53"/>
        <v>0</v>
      </c>
      <c r="J148" s="514">
        <f t="shared" si="54"/>
        <v>0</v>
      </c>
      <c r="K148" s="514"/>
      <c r="L148" s="525"/>
      <c r="M148" s="514">
        <f t="shared" si="55"/>
        <v>0</v>
      </c>
      <c r="N148" s="525"/>
      <c r="O148" s="514">
        <f t="shared" si="56"/>
        <v>0</v>
      </c>
      <c r="P148" s="514">
        <f t="shared" si="57"/>
        <v>0</v>
      </c>
      <c r="Q148" s="269"/>
    </row>
    <row r="149" spans="2:17">
      <c r="B149" s="195" t="str">
        <f t="shared" si="39"/>
        <v/>
      </c>
      <c r="C149" s="507">
        <f>IF(D93="","-",+C148+1)</f>
        <v>2060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58"/>
        <v>0</v>
      </c>
      <c r="G149" s="523">
        <f t="shared" si="51"/>
        <v>0</v>
      </c>
      <c r="H149" s="526">
        <f t="shared" si="52"/>
        <v>0</v>
      </c>
      <c r="I149" s="577">
        <f t="shared" si="53"/>
        <v>0</v>
      </c>
      <c r="J149" s="514">
        <f t="shared" si="54"/>
        <v>0</v>
      </c>
      <c r="K149" s="514"/>
      <c r="L149" s="525"/>
      <c r="M149" s="514">
        <f t="shared" si="55"/>
        <v>0</v>
      </c>
      <c r="N149" s="525"/>
      <c r="O149" s="514">
        <f t="shared" si="56"/>
        <v>0</v>
      </c>
      <c r="P149" s="514">
        <f t="shared" si="57"/>
        <v>0</v>
      </c>
      <c r="Q149" s="269"/>
    </row>
    <row r="150" spans="2:17">
      <c r="B150" s="195" t="str">
        <f t="shared" si="39"/>
        <v/>
      </c>
      <c r="C150" s="507">
        <f>IF(D93="","-",+C149+1)</f>
        <v>2061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58"/>
        <v>0</v>
      </c>
      <c r="G150" s="523">
        <f t="shared" si="51"/>
        <v>0</v>
      </c>
      <c r="H150" s="526">
        <f t="shared" si="52"/>
        <v>0</v>
      </c>
      <c r="I150" s="577">
        <f t="shared" si="53"/>
        <v>0</v>
      </c>
      <c r="J150" s="514">
        <f t="shared" si="54"/>
        <v>0</v>
      </c>
      <c r="K150" s="514"/>
      <c r="L150" s="525"/>
      <c r="M150" s="514">
        <f t="shared" si="55"/>
        <v>0</v>
      </c>
      <c r="N150" s="525"/>
      <c r="O150" s="514">
        <f t="shared" si="56"/>
        <v>0</v>
      </c>
      <c r="P150" s="514">
        <f t="shared" si="57"/>
        <v>0</v>
      </c>
      <c r="Q150" s="269"/>
    </row>
    <row r="151" spans="2:17">
      <c r="B151" s="195" t="str">
        <f t="shared" si="39"/>
        <v/>
      </c>
      <c r="C151" s="507">
        <f>IF(D93="","-",+C150+1)</f>
        <v>2062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58"/>
        <v>0</v>
      </c>
      <c r="G151" s="523">
        <f t="shared" si="51"/>
        <v>0</v>
      </c>
      <c r="H151" s="526">
        <f t="shared" si="52"/>
        <v>0</v>
      </c>
      <c r="I151" s="577">
        <f t="shared" si="53"/>
        <v>0</v>
      </c>
      <c r="J151" s="514">
        <f t="shared" si="54"/>
        <v>0</v>
      </c>
      <c r="K151" s="514"/>
      <c r="L151" s="525"/>
      <c r="M151" s="514">
        <f t="shared" si="55"/>
        <v>0</v>
      </c>
      <c r="N151" s="525"/>
      <c r="O151" s="514">
        <f t="shared" si="56"/>
        <v>0</v>
      </c>
      <c r="P151" s="514">
        <f t="shared" si="57"/>
        <v>0</v>
      </c>
      <c r="Q151" s="269"/>
    </row>
    <row r="152" spans="2:17">
      <c r="B152" s="195" t="str">
        <f t="shared" si="39"/>
        <v/>
      </c>
      <c r="C152" s="507">
        <f>IF(D93="","-",+C151+1)</f>
        <v>2063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58"/>
        <v>0</v>
      </c>
      <c r="G152" s="523">
        <f t="shared" si="51"/>
        <v>0</v>
      </c>
      <c r="H152" s="526">
        <f t="shared" si="52"/>
        <v>0</v>
      </c>
      <c r="I152" s="577">
        <f t="shared" si="53"/>
        <v>0</v>
      </c>
      <c r="J152" s="514">
        <f t="shared" si="54"/>
        <v>0</v>
      </c>
      <c r="K152" s="514"/>
      <c r="L152" s="525"/>
      <c r="M152" s="514">
        <f t="shared" si="55"/>
        <v>0</v>
      </c>
      <c r="N152" s="525"/>
      <c r="O152" s="514">
        <f t="shared" si="56"/>
        <v>0</v>
      </c>
      <c r="P152" s="514">
        <f t="shared" si="57"/>
        <v>0</v>
      </c>
      <c r="Q152" s="269"/>
    </row>
    <row r="153" spans="2:17">
      <c r="B153" s="195" t="str">
        <f t="shared" si="39"/>
        <v/>
      </c>
      <c r="C153" s="507">
        <f>IF(D93="","-",+C152+1)</f>
        <v>2064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58"/>
        <v>0</v>
      </c>
      <c r="G153" s="523">
        <f t="shared" si="51"/>
        <v>0</v>
      </c>
      <c r="H153" s="526">
        <f t="shared" si="52"/>
        <v>0</v>
      </c>
      <c r="I153" s="577">
        <f t="shared" si="53"/>
        <v>0</v>
      </c>
      <c r="J153" s="514">
        <f t="shared" si="54"/>
        <v>0</v>
      </c>
      <c r="K153" s="514"/>
      <c r="L153" s="525"/>
      <c r="M153" s="514">
        <f t="shared" si="55"/>
        <v>0</v>
      </c>
      <c r="N153" s="525"/>
      <c r="O153" s="514">
        <f t="shared" si="56"/>
        <v>0</v>
      </c>
      <c r="P153" s="514">
        <f t="shared" si="57"/>
        <v>0</v>
      </c>
      <c r="Q153" s="269"/>
    </row>
    <row r="154" spans="2:17" ht="13.5" thickBot="1">
      <c r="B154" s="195" t="str">
        <f t="shared" si="39"/>
        <v/>
      </c>
      <c r="C154" s="527">
        <f>IF(D93="","-",+C153+1)</f>
        <v>2065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58"/>
        <v>0</v>
      </c>
      <c r="G154" s="528">
        <f t="shared" si="51"/>
        <v>0</v>
      </c>
      <c r="H154" s="530">
        <f t="shared" si="52"/>
        <v>0</v>
      </c>
      <c r="I154" s="579">
        <f t="shared" si="53"/>
        <v>0</v>
      </c>
      <c r="J154" s="533">
        <f t="shared" si="54"/>
        <v>0</v>
      </c>
      <c r="K154" s="514"/>
      <c r="L154" s="532"/>
      <c r="M154" s="533">
        <f t="shared" si="55"/>
        <v>0</v>
      </c>
      <c r="N154" s="532"/>
      <c r="O154" s="533">
        <f t="shared" si="56"/>
        <v>0</v>
      </c>
      <c r="P154" s="533">
        <f t="shared" si="57"/>
        <v>0</v>
      </c>
      <c r="Q154" s="269"/>
    </row>
    <row r="155" spans="2:17">
      <c r="C155" s="374" t="s">
        <v>78</v>
      </c>
      <c r="D155" s="375"/>
      <c r="E155" s="375">
        <f>SUM(E99:E154)</f>
        <v>205882.00000000026</v>
      </c>
      <c r="F155" s="375"/>
      <c r="G155" s="375"/>
      <c r="H155" s="375">
        <f>SUM(H99:H154)</f>
        <v>723180.67751893774</v>
      </c>
      <c r="I155" s="375">
        <f>SUM(I99:I154)</f>
        <v>723180.67751893774</v>
      </c>
      <c r="J155" s="375">
        <f>SUM(J99:J154)</f>
        <v>0</v>
      </c>
      <c r="K155" s="375"/>
      <c r="L155" s="375"/>
      <c r="M155" s="375"/>
      <c r="N155" s="375"/>
      <c r="O155" s="375"/>
      <c r="P155" s="269"/>
      <c r="Q155" s="269"/>
    </row>
    <row r="156" spans="2:17"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  <c r="Q156" s="269"/>
    </row>
    <row r="157" spans="2:17">
      <c r="C157" s="580" t="s">
        <v>92</v>
      </c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  <c r="Q157" s="269"/>
    </row>
    <row r="158" spans="2:17"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  <c r="Q158" s="269"/>
    </row>
    <row r="159" spans="2:17">
      <c r="C159" s="534" t="s">
        <v>97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  <c r="Q159" s="269"/>
    </row>
    <row r="160" spans="2:17">
      <c r="C160" s="581" t="s">
        <v>79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  <c r="Q160" s="269"/>
    </row>
    <row r="161" spans="3:17">
      <c r="C161" s="581" t="s">
        <v>80</v>
      </c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  <c r="Q161" s="269"/>
    </row>
    <row r="162" spans="3:17" ht="18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454" t="s">
        <v>131</v>
      </c>
      <c r="Q162" s="269"/>
    </row>
  </sheetData>
  <phoneticPr fontId="0" type="noConversion"/>
  <conditionalFormatting sqref="C17:C72">
    <cfRule type="cellIs" dxfId="119" priority="1" stopIfTrue="1" operator="equal">
      <formula>$I$10</formula>
    </cfRule>
  </conditionalFormatting>
  <conditionalFormatting sqref="C99:C154">
    <cfRule type="cellIs" dxfId="118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74"/>
  <dimension ref="A1:Q1048576"/>
  <sheetViews>
    <sheetView topLeftCell="A95" zoomScaleNormal="100" zoomScaleSheetLayoutView="75" workbookViewId="0">
      <selection activeCell="D99" sqref="D99:I111"/>
    </sheetView>
  </sheetViews>
  <sheetFormatPr defaultColWidth="8.7109375" defaultRowHeight="12.75" customHeight="1"/>
  <cols>
    <col min="1" max="1" width="4.7109375" style="183" customWidth="1"/>
    <col min="2" max="2" width="6.7109375" style="183" customWidth="1"/>
    <col min="3" max="3" width="23.28515625" style="183" customWidth="1"/>
    <col min="4" max="8" width="17.7109375" style="183" customWidth="1"/>
    <col min="9" max="9" width="20.42578125" style="183" customWidth="1"/>
    <col min="10" max="10" width="16.42578125" style="183" customWidth="1"/>
    <col min="11" max="11" width="17.7109375" style="183" customWidth="1"/>
    <col min="12" max="12" width="16.140625" style="183" customWidth="1"/>
    <col min="13" max="13" width="17.7109375" style="183" customWidth="1"/>
    <col min="14" max="14" width="16.140625" style="183" customWidth="1"/>
    <col min="15" max="15" width="16.85546875" style="183" customWidth="1"/>
    <col min="16" max="16" width="24.42578125" style="183" customWidth="1"/>
    <col min="17" max="17" width="4.7109375" style="183" customWidth="1"/>
    <col min="18" max="22" width="8.7109375" style="183"/>
    <col min="23" max="23" width="9.140625" style="183" customWidth="1"/>
    <col min="24" max="16384" width="8.7109375" style="183"/>
  </cols>
  <sheetData>
    <row r="1" spans="1:17" ht="20.25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23 of 75</v>
      </c>
      <c r="Q1" s="453"/>
    </row>
    <row r="2" spans="1:17" ht="18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454" t="s">
        <v>129</v>
      </c>
    </row>
    <row r="3" spans="1:17" ht="18.75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 t="str">
        <f>RIGHT(N3,3)</f>
        <v/>
      </c>
      <c r="P3" s="455">
        <v>1</v>
      </c>
    </row>
    <row r="4" spans="1:17" ht="15.75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7" ht="1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489588.8391092071</v>
      </c>
      <c r="P5" s="269"/>
    </row>
    <row r="6" spans="1:17" ht="15.7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489588.8391092071</v>
      </c>
      <c r="O6" s="269"/>
      <c r="P6" s="269"/>
    </row>
    <row r="7" spans="1:17" ht="13.5" thickBot="1">
      <c r="C7" s="467" t="s">
        <v>48</v>
      </c>
      <c r="D7" s="620" t="s">
        <v>250</v>
      </c>
      <c r="E7" s="269"/>
      <c r="F7" s="269"/>
      <c r="G7" s="534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7" ht="13.5" thickBot="1">
      <c r="C8" s="472"/>
      <c r="D8" s="473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7" ht="13.5" thickBot="1">
      <c r="A9" s="191"/>
      <c r="C9" s="476" t="s">
        <v>50</v>
      </c>
      <c r="D9" s="477" t="s">
        <v>251</v>
      </c>
      <c r="E9" s="478"/>
      <c r="F9" s="478"/>
      <c r="G9" s="478"/>
      <c r="H9" s="478"/>
      <c r="I9" s="479"/>
      <c r="J9" s="480"/>
      <c r="O9" s="481"/>
      <c r="P9" s="272"/>
    </row>
    <row r="10" spans="1:17">
      <c r="C10" s="482" t="s">
        <v>51</v>
      </c>
      <c r="D10" s="483">
        <v>4795139</v>
      </c>
      <c r="E10" s="353" t="s">
        <v>52</v>
      </c>
      <c r="F10" s="481"/>
      <c r="G10" s="484"/>
      <c r="H10" s="484"/>
      <c r="I10" s="485">
        <f>+'SWE.WS.F.BPU.ATRR.Projected'!L19</f>
        <v>2024</v>
      </c>
      <c r="J10" s="480"/>
      <c r="K10" s="375" t="s">
        <v>53</v>
      </c>
      <c r="O10" s="272"/>
      <c r="P10" s="272"/>
    </row>
    <row r="11" spans="1:17">
      <c r="C11" s="486" t="s">
        <v>54</v>
      </c>
      <c r="D11" s="487">
        <v>2010</v>
      </c>
      <c r="E11" s="486" t="s">
        <v>55</v>
      </c>
      <c r="F11" s="484"/>
      <c r="G11" s="233"/>
      <c r="H11" s="233"/>
      <c r="I11" s="488"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7">
      <c r="C12" s="486" t="s">
        <v>56</v>
      </c>
      <c r="D12" s="483">
        <v>6</v>
      </c>
      <c r="E12" s="486" t="s">
        <v>57</v>
      </c>
      <c r="F12" s="484"/>
      <c r="G12" s="233"/>
      <c r="H12" s="233"/>
      <c r="I12" s="490">
        <f>'SWE.WS.F.BPU.ATRR.Projected'!$F$81</f>
        <v>0.11952713165403545</v>
      </c>
      <c r="J12" s="425"/>
      <c r="K12" s="183" t="s">
        <v>58</v>
      </c>
      <c r="O12" s="272"/>
      <c r="P12" s="272"/>
    </row>
    <row r="13" spans="1:17">
      <c r="C13" s="486" t="s">
        <v>59</v>
      </c>
      <c r="D13" s="488">
        <f>+'SWE.WS.F.BPU.ATRR.Projected'!F$93</f>
        <v>44</v>
      </c>
      <c r="E13" s="486" t="s">
        <v>60</v>
      </c>
      <c r="F13" s="484"/>
      <c r="G13" s="233"/>
      <c r="H13" s="233"/>
      <c r="I13" s="490">
        <f>IF(G5="",I12,'SWE.WS.F.BPU.ATRR.Projected'!$F$80)</f>
        <v>0.11952713165403545</v>
      </c>
      <c r="J13" s="425"/>
      <c r="K13" s="375" t="s">
        <v>61</v>
      </c>
      <c r="L13" s="324"/>
      <c r="M13" s="324"/>
      <c r="N13" s="324"/>
      <c r="O13" s="272"/>
      <c r="P13" s="272"/>
    </row>
    <row r="14" spans="1:17" ht="13.5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108980.43181818182</v>
      </c>
      <c r="J14" s="375"/>
      <c r="K14" s="375"/>
      <c r="L14" s="375"/>
      <c r="M14" s="375"/>
      <c r="N14" s="375"/>
      <c r="O14" s="272"/>
      <c r="P14" s="272"/>
    </row>
    <row r="15" spans="1:17" ht="38.25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388</v>
      </c>
      <c r="H15" s="495" t="s">
        <v>389</v>
      </c>
      <c r="I15" s="496" t="s">
        <v>260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7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>
      <c r="C17" s="507">
        <f>IF(D11= "","-",D11)</f>
        <v>2010</v>
      </c>
      <c r="D17" s="508">
        <v>4839000</v>
      </c>
      <c r="E17" s="509">
        <v>63671.052631578947</v>
      </c>
      <c r="F17" s="508">
        <v>4775328.9473684207</v>
      </c>
      <c r="G17" s="509">
        <v>750196.21507043985</v>
      </c>
      <c r="H17" s="510">
        <v>750196.21507043985</v>
      </c>
      <c r="I17" s="517">
        <v>0</v>
      </c>
      <c r="J17" s="511"/>
      <c r="K17" s="512">
        <f t="shared" ref="K17:K22" si="0">G17</f>
        <v>750196.21507043985</v>
      </c>
      <c r="L17" s="597">
        <f t="shared" ref="L17:L48" si="1">IF(K17&lt;&gt;0,+G17-K17,0)</f>
        <v>0</v>
      </c>
      <c r="M17" s="512">
        <f t="shared" ref="M17:M22" si="2">H17</f>
        <v>750196.21507043985</v>
      </c>
      <c r="N17" s="513">
        <f t="shared" ref="N17:N48" si="3">IF(M17&lt;&gt;0,+H17-M17,0)</f>
        <v>0</v>
      </c>
      <c r="O17" s="514">
        <f t="shared" ref="O17:O48" si="4">+N17-L17</f>
        <v>0</v>
      </c>
      <c r="P17" s="272"/>
    </row>
    <row r="18" spans="2:16">
      <c r="B18" s="195" t="str">
        <f>IF(D18=F17,"","IU")</f>
        <v>IU</v>
      </c>
      <c r="C18" s="507">
        <f>IF(D11="","-",+C17+1)</f>
        <v>2011</v>
      </c>
      <c r="D18" s="515">
        <v>4731467.9473684207</v>
      </c>
      <c r="E18" s="516">
        <v>116954.60975609756</v>
      </c>
      <c r="F18" s="515">
        <v>4614513.3376123235</v>
      </c>
      <c r="G18" s="516">
        <v>837705.52786752849</v>
      </c>
      <c r="H18" s="510">
        <v>837705.52786752849</v>
      </c>
      <c r="I18" s="517">
        <v>0</v>
      </c>
      <c r="J18" s="511"/>
      <c r="K18" s="518">
        <f t="shared" si="0"/>
        <v>837705.52786752849</v>
      </c>
      <c r="L18" s="519">
        <f t="shared" si="1"/>
        <v>0</v>
      </c>
      <c r="M18" s="518">
        <f t="shared" si="2"/>
        <v>837705.52786752849</v>
      </c>
      <c r="N18" s="514">
        <f t="shared" si="3"/>
        <v>0</v>
      </c>
      <c r="O18" s="514">
        <f t="shared" si="4"/>
        <v>0</v>
      </c>
      <c r="P18" s="272"/>
    </row>
    <row r="19" spans="2:16">
      <c r="B19" s="195" t="str">
        <f>IF(D19=F18,"","IU")</f>
        <v/>
      </c>
      <c r="C19" s="507">
        <f>IF(D11="","-",+C18+1)</f>
        <v>2012</v>
      </c>
      <c r="D19" s="515">
        <v>4614513.3376123235</v>
      </c>
      <c r="E19" s="516">
        <v>114169.97619047618</v>
      </c>
      <c r="F19" s="515">
        <v>4500343.3614218477</v>
      </c>
      <c r="G19" s="516">
        <v>783461.67125244555</v>
      </c>
      <c r="H19" s="510">
        <v>783461.67125244555</v>
      </c>
      <c r="I19" s="517">
        <v>0</v>
      </c>
      <c r="J19" s="511"/>
      <c r="K19" s="518">
        <f t="shared" si="0"/>
        <v>783461.67125244555</v>
      </c>
      <c r="L19" s="519">
        <f t="shared" si="1"/>
        <v>0</v>
      </c>
      <c r="M19" s="518">
        <f t="shared" si="2"/>
        <v>783461.67125244555</v>
      </c>
      <c r="N19" s="514">
        <f t="shared" si="3"/>
        <v>0</v>
      </c>
      <c r="O19" s="514">
        <f t="shared" si="4"/>
        <v>0</v>
      </c>
      <c r="P19" s="272"/>
    </row>
    <row r="20" spans="2:16">
      <c r="B20" s="195" t="str">
        <f t="shared" ref="B20:B72" si="5">IF(D20=F19,"","IU")</f>
        <v/>
      </c>
      <c r="C20" s="507">
        <f>IF(D11="","-",+C19+1)</f>
        <v>2013</v>
      </c>
      <c r="D20" s="608">
        <v>4500343.3614218477</v>
      </c>
      <c r="E20" s="609">
        <v>114169.97619047618</v>
      </c>
      <c r="F20" s="608">
        <v>4386173.385231372</v>
      </c>
      <c r="G20" s="609">
        <v>728177.58986755938</v>
      </c>
      <c r="H20" s="610">
        <v>728177.58986755938</v>
      </c>
      <c r="I20" s="596">
        <v>0</v>
      </c>
      <c r="J20" s="511"/>
      <c r="K20" s="518">
        <f t="shared" si="0"/>
        <v>728177.58986755938</v>
      </c>
      <c r="L20" s="519">
        <f t="shared" ref="L20:L25" si="6">IF(K20&lt;&gt;0,+G20-K20,0)</f>
        <v>0</v>
      </c>
      <c r="M20" s="518">
        <f t="shared" si="2"/>
        <v>728177.58986755938</v>
      </c>
      <c r="N20" s="514">
        <f t="shared" ref="N20:N25" si="7">IF(M20&lt;&gt;0,+H20-M20,0)</f>
        <v>0</v>
      </c>
      <c r="O20" s="514">
        <f t="shared" ref="O20:O25" si="8">+N20-L20</f>
        <v>0</v>
      </c>
      <c r="P20" s="272"/>
    </row>
    <row r="21" spans="2:16">
      <c r="B21" s="195" t="str">
        <f t="shared" si="5"/>
        <v/>
      </c>
      <c r="C21" s="507">
        <f>IF(D12="","-",+C20+1)</f>
        <v>2014</v>
      </c>
      <c r="D21" s="608">
        <v>4386173.385231372</v>
      </c>
      <c r="E21" s="609">
        <v>114169.97619047618</v>
      </c>
      <c r="F21" s="608">
        <v>4272003.4090408962</v>
      </c>
      <c r="G21" s="609">
        <v>690508.12734989321</v>
      </c>
      <c r="H21" s="610">
        <v>690508.12734989321</v>
      </c>
      <c r="I21" s="596">
        <v>0</v>
      </c>
      <c r="J21" s="511"/>
      <c r="K21" s="518">
        <f t="shared" si="0"/>
        <v>690508.12734989321</v>
      </c>
      <c r="L21" s="519">
        <f t="shared" si="6"/>
        <v>0</v>
      </c>
      <c r="M21" s="518">
        <f t="shared" si="2"/>
        <v>690508.12734989321</v>
      </c>
      <c r="N21" s="514">
        <f t="shared" si="7"/>
        <v>0</v>
      </c>
      <c r="O21" s="514">
        <f t="shared" si="8"/>
        <v>0</v>
      </c>
      <c r="P21" s="272"/>
    </row>
    <row r="22" spans="2:16">
      <c r="B22" s="195" t="str">
        <f t="shared" si="5"/>
        <v/>
      </c>
      <c r="C22" s="507">
        <f>IF(D11="","-",+C21+1)</f>
        <v>2015</v>
      </c>
      <c r="D22" s="608">
        <v>4272003.4090408962</v>
      </c>
      <c r="E22" s="609">
        <v>114169.97619047618</v>
      </c>
      <c r="F22" s="608">
        <v>4157833.43285042</v>
      </c>
      <c r="G22" s="609">
        <v>661776.60095170466</v>
      </c>
      <c r="H22" s="610">
        <v>661776.60095170466</v>
      </c>
      <c r="I22" s="511">
        <v>0</v>
      </c>
      <c r="J22" s="511"/>
      <c r="K22" s="518">
        <f t="shared" si="0"/>
        <v>661776.60095170466</v>
      </c>
      <c r="L22" s="519">
        <f t="shared" si="6"/>
        <v>0</v>
      </c>
      <c r="M22" s="518">
        <f t="shared" si="2"/>
        <v>661776.60095170466</v>
      </c>
      <c r="N22" s="514">
        <f t="shared" si="7"/>
        <v>0</v>
      </c>
      <c r="O22" s="514">
        <f t="shared" si="8"/>
        <v>0</v>
      </c>
      <c r="P22" s="272"/>
    </row>
    <row r="23" spans="2:16">
      <c r="B23" s="195" t="str">
        <f t="shared" si="5"/>
        <v/>
      </c>
      <c r="C23" s="507">
        <f>IF(D11="","-",+C22+1)</f>
        <v>2016</v>
      </c>
      <c r="D23" s="608">
        <v>4157833.43285042</v>
      </c>
      <c r="E23" s="609">
        <v>114169.97619047618</v>
      </c>
      <c r="F23" s="608">
        <v>4043663.4566599438</v>
      </c>
      <c r="G23" s="609">
        <v>640169.61761771492</v>
      </c>
      <c r="H23" s="610">
        <v>640169.61761771492</v>
      </c>
      <c r="I23" s="511">
        <f t="shared" ref="I23:I48" si="9">H23-G23</f>
        <v>0</v>
      </c>
      <c r="J23" s="511"/>
      <c r="K23" s="518">
        <f t="shared" ref="K23:K28" si="10">G23</f>
        <v>640169.61761771492</v>
      </c>
      <c r="L23" s="519">
        <f t="shared" si="6"/>
        <v>0</v>
      </c>
      <c r="M23" s="518">
        <f t="shared" ref="M23:M28" si="11">H23</f>
        <v>640169.61761771492</v>
      </c>
      <c r="N23" s="514">
        <f t="shared" si="7"/>
        <v>0</v>
      </c>
      <c r="O23" s="514">
        <f t="shared" si="8"/>
        <v>0</v>
      </c>
      <c r="P23" s="272"/>
    </row>
    <row r="24" spans="2:16">
      <c r="B24" s="195" t="str">
        <f t="shared" si="5"/>
        <v/>
      </c>
      <c r="C24" s="507">
        <f>IF(D11="","-",+C23+1)</f>
        <v>2017</v>
      </c>
      <c r="D24" s="608">
        <v>4043663.4566599438</v>
      </c>
      <c r="E24" s="609">
        <v>111514.86046511628</v>
      </c>
      <c r="F24" s="608">
        <v>3932148.5961948275</v>
      </c>
      <c r="G24" s="609">
        <v>605586.64190337458</v>
      </c>
      <c r="H24" s="610">
        <v>605586.64190337458</v>
      </c>
      <c r="I24" s="511">
        <f t="shared" si="9"/>
        <v>0</v>
      </c>
      <c r="J24" s="511"/>
      <c r="K24" s="518">
        <f t="shared" si="10"/>
        <v>605586.64190337458</v>
      </c>
      <c r="L24" s="519">
        <f t="shared" si="6"/>
        <v>0</v>
      </c>
      <c r="M24" s="518">
        <f t="shared" si="11"/>
        <v>605586.64190337458</v>
      </c>
      <c r="N24" s="514">
        <f t="shared" si="7"/>
        <v>0</v>
      </c>
      <c r="O24" s="514">
        <f t="shared" si="8"/>
        <v>0</v>
      </c>
      <c r="P24" s="272"/>
    </row>
    <row r="25" spans="2:16">
      <c r="B25" s="195" t="str">
        <f t="shared" si="5"/>
        <v/>
      </c>
      <c r="C25" s="507">
        <f>IF(D11="","-",+C24+1)</f>
        <v>2018</v>
      </c>
      <c r="D25" s="608">
        <v>3932148.5961948275</v>
      </c>
      <c r="E25" s="609">
        <v>116954.60975609756</v>
      </c>
      <c r="F25" s="608">
        <v>3815193.9864387298</v>
      </c>
      <c r="G25" s="609">
        <v>609275.37207027047</v>
      </c>
      <c r="H25" s="610">
        <v>609275.37207027047</v>
      </c>
      <c r="I25" s="511">
        <f t="shared" si="9"/>
        <v>0</v>
      </c>
      <c r="J25" s="511"/>
      <c r="K25" s="518">
        <f t="shared" si="10"/>
        <v>609275.37207027047</v>
      </c>
      <c r="L25" s="519">
        <f t="shared" si="6"/>
        <v>0</v>
      </c>
      <c r="M25" s="518">
        <f t="shared" si="11"/>
        <v>609275.37207027047</v>
      </c>
      <c r="N25" s="514">
        <f t="shared" si="7"/>
        <v>0</v>
      </c>
      <c r="O25" s="514">
        <f t="shared" si="8"/>
        <v>0</v>
      </c>
      <c r="P25" s="272"/>
    </row>
    <row r="26" spans="2:16">
      <c r="B26" s="195" t="str">
        <f t="shared" si="5"/>
        <v/>
      </c>
      <c r="C26" s="507">
        <f>IF(D11="","-",+C25+1)</f>
        <v>2019</v>
      </c>
      <c r="D26" s="608">
        <v>3815193.9864387298</v>
      </c>
      <c r="E26" s="609">
        <v>116954.60975609756</v>
      </c>
      <c r="F26" s="608">
        <v>3698239.3766826321</v>
      </c>
      <c r="G26" s="609">
        <v>594411.13132781303</v>
      </c>
      <c r="H26" s="610">
        <v>594411.13132781303</v>
      </c>
      <c r="I26" s="511">
        <f t="shared" si="9"/>
        <v>0</v>
      </c>
      <c r="J26" s="511"/>
      <c r="K26" s="518">
        <f t="shared" si="10"/>
        <v>594411.13132781303</v>
      </c>
      <c r="L26" s="519">
        <f t="shared" ref="L26" si="12">IF(K26&lt;&gt;0,+G26-K26,0)</f>
        <v>0</v>
      </c>
      <c r="M26" s="518">
        <f t="shared" si="11"/>
        <v>594411.13132781303</v>
      </c>
      <c r="N26" s="514">
        <f t="shared" si="3"/>
        <v>0</v>
      </c>
      <c r="O26" s="514">
        <f t="shared" si="4"/>
        <v>0</v>
      </c>
      <c r="P26" s="272"/>
    </row>
    <row r="27" spans="2:16">
      <c r="B27" s="195" t="str">
        <f t="shared" si="5"/>
        <v/>
      </c>
      <c r="C27" s="507">
        <f>IF(D11="","-",+C26+1)</f>
        <v>2020</v>
      </c>
      <c r="D27" s="608">
        <v>3698239.3766826321</v>
      </c>
      <c r="E27" s="609">
        <v>116954.60975609756</v>
      </c>
      <c r="F27" s="608">
        <v>3581284.7669265345</v>
      </c>
      <c r="G27" s="609">
        <v>489431.31850985193</v>
      </c>
      <c r="H27" s="610">
        <v>489431.31850985193</v>
      </c>
      <c r="I27" s="511">
        <f t="shared" si="9"/>
        <v>0</v>
      </c>
      <c r="J27" s="511"/>
      <c r="K27" s="518">
        <f t="shared" si="10"/>
        <v>489431.31850985193</v>
      </c>
      <c r="L27" s="519">
        <f t="shared" ref="L27" si="13">IF(K27&lt;&gt;0,+G27-K27,0)</f>
        <v>0</v>
      </c>
      <c r="M27" s="518">
        <f t="shared" si="11"/>
        <v>489431.31850985193</v>
      </c>
      <c r="N27" s="514">
        <f t="shared" si="3"/>
        <v>0</v>
      </c>
      <c r="O27" s="514">
        <f t="shared" si="4"/>
        <v>0</v>
      </c>
      <c r="P27" s="272"/>
    </row>
    <row r="28" spans="2:16">
      <c r="B28" s="195" t="str">
        <f t="shared" si="5"/>
        <v>IU</v>
      </c>
      <c r="C28" s="507">
        <f>IF(D11="","-",+C27+1)</f>
        <v>2021</v>
      </c>
      <c r="D28" s="608">
        <v>3586724.5162175149</v>
      </c>
      <c r="E28" s="609">
        <v>114169.97619047618</v>
      </c>
      <c r="F28" s="608">
        <v>3472554.5400270387</v>
      </c>
      <c r="G28" s="609">
        <v>488327.80853353348</v>
      </c>
      <c r="H28" s="610">
        <v>488327.80853353348</v>
      </c>
      <c r="I28" s="511">
        <f t="shared" si="9"/>
        <v>0</v>
      </c>
      <c r="J28" s="511"/>
      <c r="K28" s="518">
        <f t="shared" si="10"/>
        <v>488327.80853353348</v>
      </c>
      <c r="L28" s="519">
        <f t="shared" ref="L28" si="14">IF(K28&lt;&gt;0,+G28-K28,0)</f>
        <v>0</v>
      </c>
      <c r="M28" s="518">
        <f t="shared" si="11"/>
        <v>488327.80853353348</v>
      </c>
      <c r="N28" s="514">
        <f t="shared" si="3"/>
        <v>0</v>
      </c>
      <c r="O28" s="514">
        <f t="shared" si="4"/>
        <v>0</v>
      </c>
      <c r="P28" s="272"/>
    </row>
    <row r="29" spans="2:16">
      <c r="B29" s="195" t="str">
        <f t="shared" si="5"/>
        <v>IU</v>
      </c>
      <c r="C29" s="507">
        <f>IF(D11="","-",+C28+1)</f>
        <v>2022</v>
      </c>
      <c r="D29" s="608">
        <v>3467114.7907360573</v>
      </c>
      <c r="E29" s="609">
        <v>114169.97619047618</v>
      </c>
      <c r="F29" s="608">
        <v>3352944.8145455811</v>
      </c>
      <c r="G29" s="609">
        <v>497607.69769277796</v>
      </c>
      <c r="H29" s="610">
        <v>497607.69769277796</v>
      </c>
      <c r="I29" s="511">
        <f t="shared" si="9"/>
        <v>0</v>
      </c>
      <c r="J29" s="511"/>
      <c r="K29" s="518">
        <f t="shared" ref="K29" si="15">G29</f>
        <v>497607.69769277796</v>
      </c>
      <c r="L29" s="519">
        <f t="shared" ref="L29" si="16">IF(K29&lt;&gt;0,+G29-K29,0)</f>
        <v>0</v>
      </c>
      <c r="M29" s="518">
        <f t="shared" ref="M29" si="17">H29</f>
        <v>497607.69769277796</v>
      </c>
      <c r="N29" s="514">
        <f t="shared" si="3"/>
        <v>0</v>
      </c>
      <c r="O29" s="514">
        <f t="shared" si="4"/>
        <v>0</v>
      </c>
      <c r="P29" s="272"/>
    </row>
    <row r="30" spans="2:16">
      <c r="B30" s="195" t="str">
        <f t="shared" si="5"/>
        <v/>
      </c>
      <c r="C30" s="507">
        <f>IF(D11="","-",+C29+1)</f>
        <v>2023</v>
      </c>
      <c r="D30" s="608">
        <v>3352944.8145455811</v>
      </c>
      <c r="E30" s="609">
        <v>114169.97619047618</v>
      </c>
      <c r="F30" s="608">
        <v>3238774.8383551049</v>
      </c>
      <c r="G30" s="609">
        <v>530525.36169703898</v>
      </c>
      <c r="H30" s="610">
        <v>530525.36169703898</v>
      </c>
      <c r="I30" s="511">
        <f t="shared" si="9"/>
        <v>0</v>
      </c>
      <c r="J30" s="511"/>
      <c r="K30" s="518">
        <f t="shared" ref="K30" si="18">G30</f>
        <v>530525.36169703898</v>
      </c>
      <c r="L30" s="519">
        <f t="shared" ref="L30" si="19">IF(K30&lt;&gt;0,+G30-K30,0)</f>
        <v>0</v>
      </c>
      <c r="M30" s="518">
        <f t="shared" ref="M30" si="20">H30</f>
        <v>530525.36169703898</v>
      </c>
      <c r="N30" s="514">
        <f t="shared" ref="N30" si="21">IF(M30&lt;&gt;0,+H30-M30,0)</f>
        <v>0</v>
      </c>
      <c r="O30" s="514">
        <f t="shared" ref="O30" si="22">+N30-L30</f>
        <v>0</v>
      </c>
      <c r="P30" s="272"/>
    </row>
    <row r="31" spans="2:16">
      <c r="B31" s="195" t="str">
        <f t="shared" si="5"/>
        <v/>
      </c>
      <c r="C31" s="673">
        <f>IF(D11="","-",+C30+1)</f>
        <v>2024</v>
      </c>
      <c r="D31" s="523">
        <f>IF(F30+SUM(E$17:E30)=D$10,F30,D$10-SUM(E$17:E30))</f>
        <v>3238774.8383551049</v>
      </c>
      <c r="E31" s="522">
        <f>IF(+I14&lt;F30,I14,D31)</f>
        <v>108980.43181818182</v>
      </c>
      <c r="F31" s="523">
        <f t="shared" ref="F31:F48" si="23">+D31-E31</f>
        <v>3129794.4065369233</v>
      </c>
      <c r="G31" s="524">
        <f t="shared" ref="G31:G55" si="24">+I$12*((D31+F31)/2)+E31</f>
        <v>489588.8391092071</v>
      </c>
      <c r="H31" s="491">
        <f t="shared" ref="H31:H55" si="25">+I$13*((D31+F31)/2)+E31</f>
        <v>489588.8391092071</v>
      </c>
      <c r="I31" s="511">
        <f t="shared" si="9"/>
        <v>0</v>
      </c>
      <c r="J31" s="511"/>
      <c r="K31" s="525"/>
      <c r="L31" s="514">
        <f t="shared" si="1"/>
        <v>0</v>
      </c>
      <c r="M31" s="525"/>
      <c r="N31" s="514">
        <f t="shared" si="3"/>
        <v>0</v>
      </c>
      <c r="O31" s="514">
        <f t="shared" si="4"/>
        <v>0</v>
      </c>
      <c r="P31" s="272"/>
    </row>
    <row r="32" spans="2:16">
      <c r="B32" s="195" t="str">
        <f t="shared" si="5"/>
        <v/>
      </c>
      <c r="C32" s="507">
        <f>IF(D11="","-",+C31+1)</f>
        <v>2025</v>
      </c>
      <c r="D32" s="523">
        <f>IF(F31+SUM(E$17:E31)=D$10,F31,D$10-SUM(E$17:E31))</f>
        <v>3129794.4065369233</v>
      </c>
      <c r="E32" s="522">
        <f>IF(+I14&lt;F31,I14,D32)</f>
        <v>108980.43181818182</v>
      </c>
      <c r="F32" s="523">
        <f t="shared" si="23"/>
        <v>3020813.9747187416</v>
      </c>
      <c r="G32" s="524">
        <f t="shared" si="24"/>
        <v>476562.72068756167</v>
      </c>
      <c r="H32" s="491">
        <f t="shared" si="25"/>
        <v>476562.72068756167</v>
      </c>
      <c r="I32" s="511">
        <f t="shared" si="9"/>
        <v>0</v>
      </c>
      <c r="J32" s="511"/>
      <c r="K32" s="525"/>
      <c r="L32" s="514">
        <f t="shared" si="1"/>
        <v>0</v>
      </c>
      <c r="M32" s="525"/>
      <c r="N32" s="514">
        <f t="shared" si="3"/>
        <v>0</v>
      </c>
      <c r="O32" s="514">
        <f t="shared" si="4"/>
        <v>0</v>
      </c>
      <c r="P32" s="272"/>
    </row>
    <row r="33" spans="2:16">
      <c r="B33" s="195" t="str">
        <f t="shared" si="5"/>
        <v/>
      </c>
      <c r="C33" s="507">
        <f>IF(D11="","-",+C32+1)</f>
        <v>2026</v>
      </c>
      <c r="D33" s="523">
        <f>IF(F32+SUM(E$17:E32)=D$10,F32,D$10-SUM(E$17:E32))</f>
        <v>3020813.9747187416</v>
      </c>
      <c r="E33" s="522">
        <f>IF(+I14&lt;F32,I14,D33)</f>
        <v>108980.43181818182</v>
      </c>
      <c r="F33" s="523">
        <f t="shared" si="23"/>
        <v>2911833.54290056</v>
      </c>
      <c r="G33" s="524">
        <f t="shared" si="24"/>
        <v>463536.60226591624</v>
      </c>
      <c r="H33" s="491">
        <f t="shared" si="25"/>
        <v>463536.60226591624</v>
      </c>
      <c r="I33" s="511">
        <f t="shared" si="9"/>
        <v>0</v>
      </c>
      <c r="J33" s="511"/>
      <c r="K33" s="525"/>
      <c r="L33" s="514">
        <f t="shared" si="1"/>
        <v>0</v>
      </c>
      <c r="M33" s="525"/>
      <c r="N33" s="514">
        <f t="shared" si="3"/>
        <v>0</v>
      </c>
      <c r="O33" s="514">
        <f t="shared" si="4"/>
        <v>0</v>
      </c>
      <c r="P33" s="272"/>
    </row>
    <row r="34" spans="2:16">
      <c r="B34" s="195" t="str">
        <f t="shared" si="5"/>
        <v/>
      </c>
      <c r="C34" s="507">
        <f>IF(D11="","-",+C33+1)</f>
        <v>2027</v>
      </c>
      <c r="D34" s="523">
        <f>IF(F33+SUM(E$17:E33)=D$10,F33,D$10-SUM(E$17:E33))</f>
        <v>2911833.54290056</v>
      </c>
      <c r="E34" s="522">
        <f>IF(+I14&lt;F33,I14,D34)</f>
        <v>108980.43181818182</v>
      </c>
      <c r="F34" s="523">
        <f t="shared" si="23"/>
        <v>2802853.1110823783</v>
      </c>
      <c r="G34" s="524">
        <f t="shared" si="24"/>
        <v>450510.48384427081</v>
      </c>
      <c r="H34" s="491">
        <f t="shared" si="25"/>
        <v>450510.48384427081</v>
      </c>
      <c r="I34" s="511">
        <f t="shared" si="9"/>
        <v>0</v>
      </c>
      <c r="J34" s="511"/>
      <c r="K34" s="525"/>
      <c r="L34" s="514">
        <f t="shared" si="1"/>
        <v>0</v>
      </c>
      <c r="M34" s="525"/>
      <c r="N34" s="514">
        <f t="shared" si="3"/>
        <v>0</v>
      </c>
      <c r="O34" s="514">
        <f t="shared" si="4"/>
        <v>0</v>
      </c>
      <c r="P34" s="272"/>
    </row>
    <row r="35" spans="2:16">
      <c r="B35" s="195" t="str">
        <f t="shared" si="5"/>
        <v/>
      </c>
      <c r="C35" s="507">
        <f>IF(D11="","-",+C34+1)</f>
        <v>2028</v>
      </c>
      <c r="D35" s="523">
        <f>IF(F34+SUM(E$17:E34)=D$10,F34,D$10-SUM(E$17:E34))</f>
        <v>2802853.1110823783</v>
      </c>
      <c r="E35" s="522">
        <f>IF(+I14&lt;F34,I14,D35)</f>
        <v>108980.43181818182</v>
      </c>
      <c r="F35" s="523">
        <f t="shared" si="23"/>
        <v>2693872.6792641967</v>
      </c>
      <c r="G35" s="524">
        <f t="shared" si="24"/>
        <v>437484.36542262539</v>
      </c>
      <c r="H35" s="491">
        <f t="shared" si="25"/>
        <v>437484.36542262539</v>
      </c>
      <c r="I35" s="511">
        <f t="shared" si="9"/>
        <v>0</v>
      </c>
      <c r="J35" s="511"/>
      <c r="K35" s="525"/>
      <c r="L35" s="514">
        <f t="shared" si="1"/>
        <v>0</v>
      </c>
      <c r="M35" s="525"/>
      <c r="N35" s="514">
        <f t="shared" si="3"/>
        <v>0</v>
      </c>
      <c r="O35" s="514">
        <f t="shared" si="4"/>
        <v>0</v>
      </c>
      <c r="P35" s="272"/>
    </row>
    <row r="36" spans="2:16">
      <c r="B36" s="195" t="str">
        <f t="shared" si="5"/>
        <v/>
      </c>
      <c r="C36" s="507">
        <f>IF(D11="","-",+C35+1)</f>
        <v>2029</v>
      </c>
      <c r="D36" s="523">
        <f>IF(F35+SUM(E$17:E35)=D$10,F35,D$10-SUM(E$17:E35))</f>
        <v>2693872.6792641967</v>
      </c>
      <c r="E36" s="522">
        <f>IF(+I14&lt;F35,I14,D36)</f>
        <v>108980.43181818182</v>
      </c>
      <c r="F36" s="523">
        <f t="shared" si="23"/>
        <v>2584892.247446015</v>
      </c>
      <c r="G36" s="524">
        <f t="shared" si="24"/>
        <v>424458.24700097996</v>
      </c>
      <c r="H36" s="491">
        <f t="shared" si="25"/>
        <v>424458.24700097996</v>
      </c>
      <c r="I36" s="511">
        <f t="shared" si="9"/>
        <v>0</v>
      </c>
      <c r="J36" s="511"/>
      <c r="K36" s="525"/>
      <c r="L36" s="514">
        <f t="shared" si="1"/>
        <v>0</v>
      </c>
      <c r="M36" s="525"/>
      <c r="N36" s="514">
        <f t="shared" si="3"/>
        <v>0</v>
      </c>
      <c r="O36" s="514">
        <f t="shared" si="4"/>
        <v>0</v>
      </c>
      <c r="P36" s="272"/>
    </row>
    <row r="37" spans="2:16">
      <c r="B37" s="195" t="str">
        <f t="shared" si="5"/>
        <v/>
      </c>
      <c r="C37" s="507">
        <f>IF(D11="","-",+C36+1)</f>
        <v>2030</v>
      </c>
      <c r="D37" s="523">
        <f>IF(F36+SUM(E$17:E36)=D$10,F36,D$10-SUM(E$17:E36))</f>
        <v>2584892.247446015</v>
      </c>
      <c r="E37" s="522">
        <f>IF(+I14&lt;F36,I14,D37)</f>
        <v>108980.43181818182</v>
      </c>
      <c r="F37" s="523">
        <f t="shared" si="23"/>
        <v>2475911.8156278334</v>
      </c>
      <c r="G37" s="524">
        <f t="shared" si="24"/>
        <v>411432.12857933453</v>
      </c>
      <c r="H37" s="491">
        <f t="shared" si="25"/>
        <v>411432.12857933453</v>
      </c>
      <c r="I37" s="511">
        <f t="shared" si="9"/>
        <v>0</v>
      </c>
      <c r="J37" s="511"/>
      <c r="K37" s="525"/>
      <c r="L37" s="514">
        <f t="shared" si="1"/>
        <v>0</v>
      </c>
      <c r="M37" s="525"/>
      <c r="N37" s="514">
        <f t="shared" si="3"/>
        <v>0</v>
      </c>
      <c r="O37" s="514">
        <f t="shared" si="4"/>
        <v>0</v>
      </c>
      <c r="P37" s="272"/>
    </row>
    <row r="38" spans="2:16">
      <c r="B38" s="195" t="str">
        <f t="shared" si="5"/>
        <v/>
      </c>
      <c r="C38" s="507">
        <f>IF(D11="","-",+C37+1)</f>
        <v>2031</v>
      </c>
      <c r="D38" s="523">
        <f>IF(F37+SUM(E$17:E37)=D$10,F37,D$10-SUM(E$17:E37))</f>
        <v>2475911.8156278334</v>
      </c>
      <c r="E38" s="522">
        <f>IF(+I14&lt;F37,I14,D38)</f>
        <v>108980.43181818182</v>
      </c>
      <c r="F38" s="523">
        <f t="shared" si="23"/>
        <v>2366931.3838096517</v>
      </c>
      <c r="G38" s="524">
        <f t="shared" si="24"/>
        <v>398406.0101576891</v>
      </c>
      <c r="H38" s="491">
        <f t="shared" si="25"/>
        <v>398406.0101576891</v>
      </c>
      <c r="I38" s="511">
        <f t="shared" si="9"/>
        <v>0</v>
      </c>
      <c r="J38" s="511"/>
      <c r="K38" s="525"/>
      <c r="L38" s="514">
        <f t="shared" si="1"/>
        <v>0</v>
      </c>
      <c r="M38" s="525"/>
      <c r="N38" s="514">
        <f t="shared" si="3"/>
        <v>0</v>
      </c>
      <c r="O38" s="514">
        <f t="shared" si="4"/>
        <v>0</v>
      </c>
      <c r="P38" s="272"/>
    </row>
    <row r="39" spans="2:16">
      <c r="B39" s="195" t="str">
        <f t="shared" si="5"/>
        <v/>
      </c>
      <c r="C39" s="507">
        <f>IF(D11="","-",+C38+1)</f>
        <v>2032</v>
      </c>
      <c r="D39" s="523">
        <f>IF(F38+SUM(E$17:E38)=D$10,F38,D$10-SUM(E$17:E38))</f>
        <v>2366931.3838096517</v>
      </c>
      <c r="E39" s="522">
        <f>IF(+I14&lt;F38,I14,D39)</f>
        <v>108980.43181818182</v>
      </c>
      <c r="F39" s="523">
        <f t="shared" si="23"/>
        <v>2257950.9519914701</v>
      </c>
      <c r="G39" s="524">
        <f t="shared" si="24"/>
        <v>385379.89173604368</v>
      </c>
      <c r="H39" s="491">
        <f t="shared" si="25"/>
        <v>385379.89173604368</v>
      </c>
      <c r="I39" s="511">
        <f t="shared" si="9"/>
        <v>0</v>
      </c>
      <c r="J39" s="511"/>
      <c r="K39" s="525"/>
      <c r="L39" s="514">
        <f t="shared" si="1"/>
        <v>0</v>
      </c>
      <c r="M39" s="525"/>
      <c r="N39" s="514">
        <f t="shared" si="3"/>
        <v>0</v>
      </c>
      <c r="O39" s="514">
        <f t="shared" si="4"/>
        <v>0</v>
      </c>
      <c r="P39" s="272"/>
    </row>
    <row r="40" spans="2:16">
      <c r="B40" s="195" t="str">
        <f t="shared" si="5"/>
        <v/>
      </c>
      <c r="C40" s="507">
        <f>IF(D11="","-",+C39+1)</f>
        <v>2033</v>
      </c>
      <c r="D40" s="523">
        <f>IF(F39+SUM(E$17:E39)=D$10,F39,D$10-SUM(E$17:E39))</f>
        <v>2257950.9519914701</v>
      </c>
      <c r="E40" s="522">
        <f>IF(+I14&lt;F39,I14,D40)</f>
        <v>108980.43181818182</v>
      </c>
      <c r="F40" s="523">
        <f t="shared" si="23"/>
        <v>2148970.5201732884</v>
      </c>
      <c r="G40" s="524">
        <f t="shared" si="24"/>
        <v>372353.77331439819</v>
      </c>
      <c r="H40" s="491">
        <f t="shared" si="25"/>
        <v>372353.77331439819</v>
      </c>
      <c r="I40" s="511">
        <f t="shared" si="9"/>
        <v>0</v>
      </c>
      <c r="J40" s="511"/>
      <c r="K40" s="525"/>
      <c r="L40" s="514">
        <f t="shared" si="1"/>
        <v>0</v>
      </c>
      <c r="M40" s="525"/>
      <c r="N40" s="514">
        <f t="shared" si="3"/>
        <v>0</v>
      </c>
      <c r="O40" s="514">
        <f t="shared" si="4"/>
        <v>0</v>
      </c>
      <c r="P40" s="272"/>
    </row>
    <row r="41" spans="2:16">
      <c r="B41" s="195" t="str">
        <f t="shared" si="5"/>
        <v/>
      </c>
      <c r="C41" s="507">
        <f>IF(D11="","-",+C40+1)</f>
        <v>2034</v>
      </c>
      <c r="D41" s="523">
        <f>IF(F40+SUM(E$17:E40)=D$10,F40,D$10-SUM(E$17:E40))</f>
        <v>2148970.5201732884</v>
      </c>
      <c r="E41" s="522">
        <f>IF(+I14&lt;F40,I14,D41)</f>
        <v>108980.43181818182</v>
      </c>
      <c r="F41" s="523">
        <f t="shared" si="23"/>
        <v>2039990.0883551065</v>
      </c>
      <c r="G41" s="524">
        <f t="shared" si="24"/>
        <v>359327.65489275276</v>
      </c>
      <c r="H41" s="491">
        <f t="shared" si="25"/>
        <v>359327.65489275276</v>
      </c>
      <c r="I41" s="511">
        <f t="shared" si="9"/>
        <v>0</v>
      </c>
      <c r="J41" s="511"/>
      <c r="K41" s="525"/>
      <c r="L41" s="514">
        <f t="shared" si="1"/>
        <v>0</v>
      </c>
      <c r="M41" s="525"/>
      <c r="N41" s="514">
        <f t="shared" si="3"/>
        <v>0</v>
      </c>
      <c r="O41" s="514">
        <f t="shared" si="4"/>
        <v>0</v>
      </c>
      <c r="P41" s="272"/>
    </row>
    <row r="42" spans="2:16">
      <c r="B42" s="195" t="str">
        <f t="shared" si="5"/>
        <v/>
      </c>
      <c r="C42" s="507">
        <f>IF(D11="","-",+C41+1)</f>
        <v>2035</v>
      </c>
      <c r="D42" s="523">
        <f>IF(F41+SUM(E$17:E41)=D$10,F41,D$10-SUM(E$17:E41))</f>
        <v>2039990.0883551065</v>
      </c>
      <c r="E42" s="522">
        <f>IF(+I14&lt;F41,I14,D42)</f>
        <v>108980.43181818182</v>
      </c>
      <c r="F42" s="523">
        <f t="shared" si="23"/>
        <v>1931009.6565369247</v>
      </c>
      <c r="G42" s="524">
        <f t="shared" si="24"/>
        <v>346301.53647110728</v>
      </c>
      <c r="H42" s="491">
        <f t="shared" si="25"/>
        <v>346301.53647110728</v>
      </c>
      <c r="I42" s="511">
        <f t="shared" si="9"/>
        <v>0</v>
      </c>
      <c r="J42" s="511"/>
      <c r="K42" s="525"/>
      <c r="L42" s="514">
        <f t="shared" si="1"/>
        <v>0</v>
      </c>
      <c r="M42" s="525"/>
      <c r="N42" s="514">
        <f t="shared" si="3"/>
        <v>0</v>
      </c>
      <c r="O42" s="514">
        <f t="shared" si="4"/>
        <v>0</v>
      </c>
      <c r="P42" s="272"/>
    </row>
    <row r="43" spans="2:16">
      <c r="B43" s="195" t="str">
        <f t="shared" si="5"/>
        <v/>
      </c>
      <c r="C43" s="507">
        <f>IF(D11="","-",+C42+1)</f>
        <v>2036</v>
      </c>
      <c r="D43" s="523">
        <f>IF(F42+SUM(E$17:E42)=D$10,F42,D$10-SUM(E$17:E42))</f>
        <v>1931009.6565369247</v>
      </c>
      <c r="E43" s="522">
        <f>IF(+I14&lt;F42,I14,D43)</f>
        <v>108980.43181818182</v>
      </c>
      <c r="F43" s="523">
        <f t="shared" si="23"/>
        <v>1822029.2247187428</v>
      </c>
      <c r="G43" s="524">
        <f t="shared" si="24"/>
        <v>333275.41804946191</v>
      </c>
      <c r="H43" s="491">
        <f t="shared" si="25"/>
        <v>333275.41804946191</v>
      </c>
      <c r="I43" s="511">
        <f t="shared" si="9"/>
        <v>0</v>
      </c>
      <c r="J43" s="511"/>
      <c r="K43" s="525"/>
      <c r="L43" s="514">
        <f t="shared" si="1"/>
        <v>0</v>
      </c>
      <c r="M43" s="525"/>
      <c r="N43" s="514">
        <f t="shared" si="3"/>
        <v>0</v>
      </c>
      <c r="O43" s="514">
        <f t="shared" si="4"/>
        <v>0</v>
      </c>
      <c r="P43" s="272"/>
    </row>
    <row r="44" spans="2:16">
      <c r="B44" s="195" t="str">
        <f t="shared" si="5"/>
        <v/>
      </c>
      <c r="C44" s="507">
        <f>IF(D11="","-",+C43+1)</f>
        <v>2037</v>
      </c>
      <c r="D44" s="523">
        <f>IF(F43+SUM(E$17:E43)=D$10,F43,D$10-SUM(E$17:E43))</f>
        <v>1822029.2247187428</v>
      </c>
      <c r="E44" s="522">
        <f>IF(+I14&lt;F43,I14,D44)</f>
        <v>108980.43181818182</v>
      </c>
      <c r="F44" s="523">
        <f t="shared" si="23"/>
        <v>1713048.7929005609</v>
      </c>
      <c r="G44" s="524">
        <f t="shared" si="24"/>
        <v>320249.29962781642</v>
      </c>
      <c r="H44" s="491">
        <f t="shared" si="25"/>
        <v>320249.29962781642</v>
      </c>
      <c r="I44" s="511">
        <f t="shared" si="9"/>
        <v>0</v>
      </c>
      <c r="J44" s="511"/>
      <c r="K44" s="525"/>
      <c r="L44" s="514">
        <f t="shared" si="1"/>
        <v>0</v>
      </c>
      <c r="M44" s="525"/>
      <c r="N44" s="514">
        <f t="shared" si="3"/>
        <v>0</v>
      </c>
      <c r="O44" s="514">
        <f t="shared" si="4"/>
        <v>0</v>
      </c>
      <c r="P44" s="272"/>
    </row>
    <row r="45" spans="2:16">
      <c r="B45" s="195" t="str">
        <f t="shared" si="5"/>
        <v/>
      </c>
      <c r="C45" s="507">
        <f>IF(D11="","-",+C44+1)</f>
        <v>2038</v>
      </c>
      <c r="D45" s="523">
        <f>IF(F44+SUM(E$17:E44)=D$10,F44,D$10-SUM(E$17:E44))</f>
        <v>1713048.7929005609</v>
      </c>
      <c r="E45" s="522">
        <f>IF(+I14&lt;F44,I14,D45)</f>
        <v>108980.43181818182</v>
      </c>
      <c r="F45" s="523">
        <f t="shared" si="23"/>
        <v>1604068.361082379</v>
      </c>
      <c r="G45" s="524">
        <f t="shared" si="24"/>
        <v>307223.18120617094</v>
      </c>
      <c r="H45" s="491">
        <f t="shared" si="25"/>
        <v>307223.18120617094</v>
      </c>
      <c r="I45" s="511">
        <f t="shared" si="9"/>
        <v>0</v>
      </c>
      <c r="J45" s="511"/>
      <c r="K45" s="525"/>
      <c r="L45" s="514">
        <f t="shared" si="1"/>
        <v>0</v>
      </c>
      <c r="M45" s="525"/>
      <c r="N45" s="514">
        <f t="shared" si="3"/>
        <v>0</v>
      </c>
      <c r="O45" s="514">
        <f t="shared" si="4"/>
        <v>0</v>
      </c>
      <c r="P45" s="272"/>
    </row>
    <row r="46" spans="2:16">
      <c r="B46" s="195" t="str">
        <f t="shared" si="5"/>
        <v/>
      </c>
      <c r="C46" s="507">
        <f>IF(D11="","-",+C45+1)</f>
        <v>2039</v>
      </c>
      <c r="D46" s="523">
        <f>IF(F45+SUM(E$17:E45)=D$10,F45,D$10-SUM(E$17:E45))</f>
        <v>1604068.361082379</v>
      </c>
      <c r="E46" s="522">
        <f>IF(+I14&lt;F45,I14,D46)</f>
        <v>108980.43181818182</v>
      </c>
      <c r="F46" s="523">
        <f t="shared" si="23"/>
        <v>1495087.9292641971</v>
      </c>
      <c r="G46" s="524">
        <f t="shared" si="24"/>
        <v>294197.06278452545</v>
      </c>
      <c r="H46" s="491">
        <f t="shared" si="25"/>
        <v>294197.06278452545</v>
      </c>
      <c r="I46" s="511">
        <f t="shared" si="9"/>
        <v>0</v>
      </c>
      <c r="J46" s="511"/>
      <c r="K46" s="525"/>
      <c r="L46" s="514">
        <f t="shared" si="1"/>
        <v>0</v>
      </c>
      <c r="M46" s="525"/>
      <c r="N46" s="514">
        <f t="shared" si="3"/>
        <v>0</v>
      </c>
      <c r="O46" s="514">
        <f t="shared" si="4"/>
        <v>0</v>
      </c>
      <c r="P46" s="272"/>
    </row>
    <row r="47" spans="2:16">
      <c r="B47" s="195" t="str">
        <f t="shared" si="5"/>
        <v/>
      </c>
      <c r="C47" s="507">
        <f>IF(D11="","-",+C46+1)</f>
        <v>2040</v>
      </c>
      <c r="D47" s="523">
        <f>IF(F46+SUM(E$17:E46)=D$10,F46,D$10-SUM(E$17:E46))</f>
        <v>1495087.9292641971</v>
      </c>
      <c r="E47" s="522">
        <f>IF(+I14&lt;F46,I14,D47)</f>
        <v>108980.43181818182</v>
      </c>
      <c r="F47" s="523">
        <f t="shared" si="23"/>
        <v>1386107.4974460152</v>
      </c>
      <c r="G47" s="524">
        <f t="shared" si="24"/>
        <v>281170.94436288002</v>
      </c>
      <c r="H47" s="491">
        <f t="shared" si="25"/>
        <v>281170.94436288002</v>
      </c>
      <c r="I47" s="511">
        <f t="shared" si="9"/>
        <v>0</v>
      </c>
      <c r="J47" s="511"/>
      <c r="K47" s="525"/>
      <c r="L47" s="514">
        <f t="shared" si="1"/>
        <v>0</v>
      </c>
      <c r="M47" s="525"/>
      <c r="N47" s="514">
        <f t="shared" si="3"/>
        <v>0</v>
      </c>
      <c r="O47" s="514">
        <f t="shared" si="4"/>
        <v>0</v>
      </c>
      <c r="P47" s="272"/>
    </row>
    <row r="48" spans="2:16">
      <c r="B48" s="195" t="str">
        <f t="shared" si="5"/>
        <v/>
      </c>
      <c r="C48" s="507">
        <f>IF(D11="","-",+C47+1)</f>
        <v>2041</v>
      </c>
      <c r="D48" s="523">
        <f>IF(F47+SUM(E$17:E47)=D$10,F47,D$10-SUM(E$17:E47))</f>
        <v>1386107.4974460152</v>
      </c>
      <c r="E48" s="522">
        <f>IF(+I14&lt;F47,I14,D48)</f>
        <v>108980.43181818182</v>
      </c>
      <c r="F48" s="523">
        <f t="shared" si="23"/>
        <v>1277127.0656278334</v>
      </c>
      <c r="G48" s="524">
        <f t="shared" si="24"/>
        <v>268144.82594123454</v>
      </c>
      <c r="H48" s="491">
        <f t="shared" si="25"/>
        <v>268144.82594123454</v>
      </c>
      <c r="I48" s="511">
        <f t="shared" si="9"/>
        <v>0</v>
      </c>
      <c r="J48" s="511"/>
      <c r="K48" s="525"/>
      <c r="L48" s="514">
        <f t="shared" si="1"/>
        <v>0</v>
      </c>
      <c r="M48" s="525"/>
      <c r="N48" s="514">
        <f t="shared" si="3"/>
        <v>0</v>
      </c>
      <c r="O48" s="514">
        <f t="shared" si="4"/>
        <v>0</v>
      </c>
      <c r="P48" s="272"/>
    </row>
    <row r="49" spans="2:17">
      <c r="B49" s="195" t="str">
        <f t="shared" si="5"/>
        <v/>
      </c>
      <c r="C49" s="507">
        <f>IF(D11="","-",+C48+1)</f>
        <v>2042</v>
      </c>
      <c r="D49" s="523">
        <f>IF(F48+SUM(E$17:E48)=D$10,F48,D$10-SUM(E$17:E48))</f>
        <v>1277127.0656278334</v>
      </c>
      <c r="E49" s="522">
        <f>IF(+I14&lt;F48,I14,D49)</f>
        <v>108980.43181818182</v>
      </c>
      <c r="F49" s="523">
        <f t="shared" ref="F49:F72" si="26">+D49-E49</f>
        <v>1168146.6338096515</v>
      </c>
      <c r="G49" s="524">
        <f t="shared" si="24"/>
        <v>255118.70751958911</v>
      </c>
      <c r="H49" s="491">
        <f t="shared" si="25"/>
        <v>255118.70751958911</v>
      </c>
      <c r="I49" s="511">
        <f t="shared" ref="I49:I72" si="27">H49-G49</f>
        <v>0</v>
      </c>
      <c r="J49" s="511"/>
      <c r="K49" s="525"/>
      <c r="L49" s="514">
        <f t="shared" ref="L49:L72" si="28">IF(K49&lt;&gt;0,+G49-K49,0)</f>
        <v>0</v>
      </c>
      <c r="M49" s="525"/>
      <c r="N49" s="514">
        <f t="shared" ref="N49:N72" si="29">IF(M49&lt;&gt;0,+H49-M49,0)</f>
        <v>0</v>
      </c>
      <c r="O49" s="514">
        <f t="shared" ref="O49:O72" si="30">+N49-L49</f>
        <v>0</v>
      </c>
      <c r="P49" s="272"/>
    </row>
    <row r="50" spans="2:17">
      <c r="B50" s="195" t="str">
        <f t="shared" si="5"/>
        <v/>
      </c>
      <c r="C50" s="507">
        <f>IF(D11="","-",+C49+1)</f>
        <v>2043</v>
      </c>
      <c r="D50" s="523">
        <f>IF(F49+SUM(E$17:E49)=D$10,F49,D$10-SUM(E$17:E49))</f>
        <v>1168146.6338096515</v>
      </c>
      <c r="E50" s="522">
        <f>IF(+I14&lt;F49,I14,D50)</f>
        <v>108980.43181818182</v>
      </c>
      <c r="F50" s="523">
        <f t="shared" si="26"/>
        <v>1059166.2019914696</v>
      </c>
      <c r="G50" s="524">
        <f t="shared" si="24"/>
        <v>242092.58909794362</v>
      </c>
      <c r="H50" s="491">
        <f t="shared" si="25"/>
        <v>242092.58909794362</v>
      </c>
      <c r="I50" s="511">
        <f t="shared" si="27"/>
        <v>0</v>
      </c>
      <c r="J50" s="511"/>
      <c r="K50" s="525"/>
      <c r="L50" s="514">
        <f t="shared" si="28"/>
        <v>0</v>
      </c>
      <c r="M50" s="525"/>
      <c r="N50" s="514">
        <f t="shared" si="29"/>
        <v>0</v>
      </c>
      <c r="O50" s="514">
        <f t="shared" si="30"/>
        <v>0</v>
      </c>
      <c r="P50" s="272"/>
    </row>
    <row r="51" spans="2:17">
      <c r="B51" s="195" t="str">
        <f t="shared" si="5"/>
        <v/>
      </c>
      <c r="C51" s="507">
        <f>IF(D11="","-",+C50+1)</f>
        <v>2044</v>
      </c>
      <c r="D51" s="523">
        <f>IF(F50+SUM(E$17:E50)=D$10,F50,D$10-SUM(E$17:E50))</f>
        <v>1059166.2019914696</v>
      </c>
      <c r="E51" s="522">
        <f>IF(+I14&lt;F50,I14,D51)</f>
        <v>108980.43181818182</v>
      </c>
      <c r="F51" s="523">
        <f t="shared" si="26"/>
        <v>950185.77017328772</v>
      </c>
      <c r="G51" s="524">
        <f t="shared" si="24"/>
        <v>229066.4706762982</v>
      </c>
      <c r="H51" s="491">
        <f t="shared" si="25"/>
        <v>229066.4706762982</v>
      </c>
      <c r="I51" s="511">
        <f t="shared" si="27"/>
        <v>0</v>
      </c>
      <c r="J51" s="511"/>
      <c r="K51" s="525"/>
      <c r="L51" s="514">
        <f t="shared" si="28"/>
        <v>0</v>
      </c>
      <c r="M51" s="525"/>
      <c r="N51" s="514">
        <f t="shared" si="29"/>
        <v>0</v>
      </c>
      <c r="O51" s="514">
        <f t="shared" si="30"/>
        <v>0</v>
      </c>
      <c r="P51" s="272"/>
    </row>
    <row r="52" spans="2:17">
      <c r="B52" s="195" t="str">
        <f t="shared" si="5"/>
        <v/>
      </c>
      <c r="C52" s="507">
        <f>IF(D11="","-",+C51+1)</f>
        <v>2045</v>
      </c>
      <c r="D52" s="523">
        <f>IF(F51+SUM(E$17:E51)=D$10,F51,D$10-SUM(E$17:E51))</f>
        <v>950185.77017328772</v>
      </c>
      <c r="E52" s="522">
        <f>IF(+I14&lt;F51,I14,D52)</f>
        <v>108980.43181818182</v>
      </c>
      <c r="F52" s="523">
        <f t="shared" si="26"/>
        <v>841205.33835510584</v>
      </c>
      <c r="G52" s="524">
        <f t="shared" si="24"/>
        <v>216040.35225465271</v>
      </c>
      <c r="H52" s="491">
        <f t="shared" si="25"/>
        <v>216040.35225465271</v>
      </c>
      <c r="I52" s="511">
        <f t="shared" si="27"/>
        <v>0</v>
      </c>
      <c r="J52" s="511"/>
      <c r="K52" s="525"/>
      <c r="L52" s="514">
        <f t="shared" si="28"/>
        <v>0</v>
      </c>
      <c r="M52" s="525"/>
      <c r="N52" s="514">
        <f t="shared" si="29"/>
        <v>0</v>
      </c>
      <c r="O52" s="514">
        <f t="shared" si="30"/>
        <v>0</v>
      </c>
      <c r="P52" s="272"/>
    </row>
    <row r="53" spans="2:17">
      <c r="B53" s="195" t="str">
        <f t="shared" si="5"/>
        <v/>
      </c>
      <c r="C53" s="507">
        <f>IF(D11="","-",+C52+1)</f>
        <v>2046</v>
      </c>
      <c r="D53" s="523">
        <f>IF(F52+SUM(E$17:E52)=D$10,F52,D$10-SUM(E$17:E52))</f>
        <v>841205.33835510584</v>
      </c>
      <c r="E53" s="522">
        <f>IF(+I14&lt;F52,I14,D53)</f>
        <v>108980.43181818182</v>
      </c>
      <c r="F53" s="523">
        <f t="shared" si="26"/>
        <v>732224.90653692395</v>
      </c>
      <c r="G53" s="524">
        <f t="shared" si="24"/>
        <v>203014.23383300728</v>
      </c>
      <c r="H53" s="491">
        <f t="shared" si="25"/>
        <v>203014.23383300728</v>
      </c>
      <c r="I53" s="511">
        <f t="shared" si="27"/>
        <v>0</v>
      </c>
      <c r="J53" s="511"/>
      <c r="K53" s="525"/>
      <c r="L53" s="514">
        <f t="shared" si="28"/>
        <v>0</v>
      </c>
      <c r="M53" s="525"/>
      <c r="N53" s="514">
        <f t="shared" si="29"/>
        <v>0</v>
      </c>
      <c r="O53" s="514">
        <f t="shared" si="30"/>
        <v>0</v>
      </c>
      <c r="P53" s="272"/>
    </row>
    <row r="54" spans="2:17">
      <c r="B54" s="195" t="str">
        <f t="shared" si="5"/>
        <v/>
      </c>
      <c r="C54" s="507">
        <f>IF(D11="","-",+C53+1)</f>
        <v>2047</v>
      </c>
      <c r="D54" s="523">
        <f>IF(F53+SUM(E$17:E53)=D$10,F53,D$10-SUM(E$17:E53))</f>
        <v>732224.90653692395</v>
      </c>
      <c r="E54" s="522">
        <f>IF(+I14&lt;F53,I14,D54)</f>
        <v>108980.43181818182</v>
      </c>
      <c r="F54" s="523">
        <f t="shared" si="26"/>
        <v>623244.47471874207</v>
      </c>
      <c r="G54" s="524">
        <f t="shared" si="24"/>
        <v>189988.1154113618</v>
      </c>
      <c r="H54" s="491">
        <f t="shared" si="25"/>
        <v>189988.1154113618</v>
      </c>
      <c r="I54" s="511">
        <f t="shared" si="27"/>
        <v>0</v>
      </c>
      <c r="J54" s="511"/>
      <c r="K54" s="525"/>
      <c r="L54" s="514">
        <f t="shared" si="28"/>
        <v>0</v>
      </c>
      <c r="M54" s="525"/>
      <c r="N54" s="514">
        <f t="shared" si="29"/>
        <v>0</v>
      </c>
      <c r="O54" s="514">
        <f t="shared" si="30"/>
        <v>0</v>
      </c>
      <c r="P54" s="272"/>
    </row>
    <row r="55" spans="2:17">
      <c r="B55" s="195" t="str">
        <f t="shared" si="5"/>
        <v/>
      </c>
      <c r="C55" s="507">
        <f>IF(D11="","-",+C54+1)</f>
        <v>2048</v>
      </c>
      <c r="D55" s="523">
        <f>IF(F54+SUM(E$17:E54)=D$10,F54,D$10-SUM(E$17:E54))</f>
        <v>623244.47471874207</v>
      </c>
      <c r="E55" s="522">
        <f>IF(+I14&lt;F54,I14,D55)</f>
        <v>108980.43181818182</v>
      </c>
      <c r="F55" s="523">
        <f t="shared" si="26"/>
        <v>514264.04290056025</v>
      </c>
      <c r="G55" s="524">
        <f t="shared" si="24"/>
        <v>176961.99698971634</v>
      </c>
      <c r="H55" s="491">
        <f t="shared" si="25"/>
        <v>176961.99698971634</v>
      </c>
      <c r="I55" s="511">
        <f t="shared" si="27"/>
        <v>0</v>
      </c>
      <c r="J55" s="511"/>
      <c r="K55" s="525"/>
      <c r="L55" s="514">
        <f t="shared" si="28"/>
        <v>0</v>
      </c>
      <c r="M55" s="525"/>
      <c r="N55" s="514">
        <f t="shared" si="29"/>
        <v>0</v>
      </c>
      <c r="O55" s="514">
        <f t="shared" si="30"/>
        <v>0</v>
      </c>
      <c r="P55" s="272"/>
    </row>
    <row r="56" spans="2:17">
      <c r="B56" s="195" t="str">
        <f t="shared" si="5"/>
        <v/>
      </c>
      <c r="C56" s="507">
        <f>IF(D11="","-",+C55+1)</f>
        <v>2049</v>
      </c>
      <c r="D56" s="523">
        <f>IF(F55+SUM(E$17:E55)=D$10,F55,D$10-SUM(E$17:E55))</f>
        <v>514264.04290056025</v>
      </c>
      <c r="E56" s="522">
        <f>IF(+I14&lt;F55,I14,D56)</f>
        <v>108980.43181818182</v>
      </c>
      <c r="F56" s="523">
        <f t="shared" si="26"/>
        <v>405283.61108237843</v>
      </c>
      <c r="G56" s="524">
        <f t="shared" ref="G56:G72" si="31">+I$12*((D56+F56)/2)+E56</f>
        <v>163935.87856807088</v>
      </c>
      <c r="H56" s="491">
        <f t="shared" ref="H56:H72" si="32">+I$13*((D56+F56)/2)+E56</f>
        <v>163935.87856807088</v>
      </c>
      <c r="I56" s="511">
        <f t="shared" si="27"/>
        <v>0</v>
      </c>
      <c r="J56" s="511"/>
      <c r="K56" s="525"/>
      <c r="L56" s="514">
        <f t="shared" si="28"/>
        <v>0</v>
      </c>
      <c r="M56" s="525"/>
      <c r="N56" s="514">
        <f t="shared" si="29"/>
        <v>0</v>
      </c>
      <c r="O56" s="514">
        <f t="shared" si="30"/>
        <v>0</v>
      </c>
      <c r="P56" s="272"/>
    </row>
    <row r="57" spans="2:17">
      <c r="B57" s="195" t="str">
        <f t="shared" si="5"/>
        <v/>
      </c>
      <c r="C57" s="507">
        <f>IF(D11="","-",+C56+1)</f>
        <v>2050</v>
      </c>
      <c r="D57" s="523">
        <f>IF(F56+SUM(E$17:E56)=D$10,F56,D$10-SUM(E$17:E56))</f>
        <v>405283.61108237843</v>
      </c>
      <c r="E57" s="522">
        <f>IF(+I14&lt;F56,I14,D57)</f>
        <v>108980.43181818182</v>
      </c>
      <c r="F57" s="523">
        <f t="shared" si="26"/>
        <v>296303.1792641966</v>
      </c>
      <c r="G57" s="524">
        <f t="shared" si="31"/>
        <v>150909.76014642545</v>
      </c>
      <c r="H57" s="491">
        <f t="shared" si="32"/>
        <v>150909.76014642545</v>
      </c>
      <c r="I57" s="511">
        <f t="shared" si="27"/>
        <v>0</v>
      </c>
      <c r="J57" s="511"/>
      <c r="K57" s="525"/>
      <c r="L57" s="514">
        <f t="shared" si="28"/>
        <v>0</v>
      </c>
      <c r="M57" s="525"/>
      <c r="N57" s="514">
        <f t="shared" si="29"/>
        <v>0</v>
      </c>
      <c r="O57" s="514">
        <f t="shared" si="30"/>
        <v>0</v>
      </c>
      <c r="P57" s="272"/>
    </row>
    <row r="58" spans="2:17">
      <c r="B58" s="195" t="str">
        <f t="shared" si="5"/>
        <v/>
      </c>
      <c r="C58" s="507">
        <f>IF(D11="","-",+C57+1)</f>
        <v>2051</v>
      </c>
      <c r="D58" s="523">
        <f>IF(F57+SUM(E$17:E57)=D$10,F57,D$10-SUM(E$17:E57))</f>
        <v>296303.1792641966</v>
      </c>
      <c r="E58" s="522">
        <f>IF(+I14&lt;F57,I14,D58)</f>
        <v>108980.43181818182</v>
      </c>
      <c r="F58" s="523">
        <f t="shared" si="26"/>
        <v>187322.74744601478</v>
      </c>
      <c r="G58" s="524">
        <f t="shared" si="31"/>
        <v>137883.64172478</v>
      </c>
      <c r="H58" s="491">
        <f t="shared" si="32"/>
        <v>137883.64172478</v>
      </c>
      <c r="I58" s="511">
        <f t="shared" si="27"/>
        <v>0</v>
      </c>
      <c r="J58" s="511"/>
      <c r="K58" s="525"/>
      <c r="L58" s="514">
        <f t="shared" si="28"/>
        <v>0</v>
      </c>
      <c r="M58" s="525"/>
      <c r="N58" s="514">
        <f t="shared" si="29"/>
        <v>0</v>
      </c>
      <c r="O58" s="514">
        <f t="shared" si="30"/>
        <v>0</v>
      </c>
      <c r="P58" s="272"/>
      <c r="Q58" s="183" t="str">
        <f>IF(ROUND(Q57,0)=ROUND(SUM(Q18:Q56),0),"","Error -- check allocations above).")</f>
        <v/>
      </c>
    </row>
    <row r="59" spans="2:17">
      <c r="B59" s="195" t="str">
        <f t="shared" si="5"/>
        <v/>
      </c>
      <c r="C59" s="507">
        <f>IF(D11="","-",+C58+1)</f>
        <v>2052</v>
      </c>
      <c r="D59" s="523">
        <f>IF(F58+SUM(E$17:E58)=D$10,F58,D$10-SUM(E$17:E58))</f>
        <v>187322.74744601478</v>
      </c>
      <c r="E59" s="522">
        <f>IF(+I14&lt;F58,I14,D59)</f>
        <v>108980.43181818182</v>
      </c>
      <c r="F59" s="523">
        <f t="shared" si="26"/>
        <v>78342.315627832955</v>
      </c>
      <c r="G59" s="524">
        <f t="shared" si="31"/>
        <v>124857.52330313454</v>
      </c>
      <c r="H59" s="491">
        <f t="shared" si="32"/>
        <v>124857.52330313454</v>
      </c>
      <c r="I59" s="511">
        <f t="shared" si="27"/>
        <v>0</v>
      </c>
      <c r="J59" s="511"/>
      <c r="K59" s="525"/>
      <c r="L59" s="514">
        <f t="shared" si="28"/>
        <v>0</v>
      </c>
      <c r="M59" s="525"/>
      <c r="N59" s="514">
        <f t="shared" si="29"/>
        <v>0</v>
      </c>
      <c r="O59" s="514">
        <f t="shared" si="30"/>
        <v>0</v>
      </c>
      <c r="P59" s="272"/>
    </row>
    <row r="60" spans="2:17">
      <c r="B60" s="195" t="str">
        <f t="shared" si="5"/>
        <v/>
      </c>
      <c r="C60" s="507">
        <f>IF(D11="","-",+C59+1)</f>
        <v>2053</v>
      </c>
      <c r="D60" s="523">
        <f>IF(F59+SUM(E$17:E59)=D$10,F59,D$10-SUM(E$17:E59))</f>
        <v>78342.315627832955</v>
      </c>
      <c r="E60" s="522">
        <f>IF(+I14&lt;F59,I14,D60)</f>
        <v>78342.315627832955</v>
      </c>
      <c r="F60" s="523">
        <f t="shared" si="26"/>
        <v>0</v>
      </c>
      <c r="G60" s="524">
        <f t="shared" si="31"/>
        <v>83024.331764897943</v>
      </c>
      <c r="H60" s="491">
        <f t="shared" si="32"/>
        <v>83024.331764897943</v>
      </c>
      <c r="I60" s="511">
        <f t="shared" si="27"/>
        <v>0</v>
      </c>
      <c r="J60" s="511"/>
      <c r="K60" s="525"/>
      <c r="L60" s="514">
        <f t="shared" si="28"/>
        <v>0</v>
      </c>
      <c r="M60" s="525"/>
      <c r="N60" s="514">
        <f t="shared" si="29"/>
        <v>0</v>
      </c>
      <c r="O60" s="514">
        <f t="shared" si="30"/>
        <v>0</v>
      </c>
      <c r="P60" s="272"/>
    </row>
    <row r="61" spans="2:17">
      <c r="B61" s="195" t="str">
        <f t="shared" si="5"/>
        <v/>
      </c>
      <c r="C61" s="507">
        <f>IF(D11="","-",+C60+1)</f>
        <v>2054</v>
      </c>
      <c r="D61" s="523">
        <f>IF(F60+SUM(E$17:E60)=D$10,F60,D$10-SUM(E$17:E60))</f>
        <v>0</v>
      </c>
      <c r="E61" s="522">
        <f>IF(+I14&lt;F60,I14,D61)</f>
        <v>0</v>
      </c>
      <c r="F61" s="523">
        <f t="shared" si="26"/>
        <v>0</v>
      </c>
      <c r="G61" s="526">
        <f t="shared" si="31"/>
        <v>0</v>
      </c>
      <c r="H61" s="491">
        <f t="shared" si="32"/>
        <v>0</v>
      </c>
      <c r="I61" s="511">
        <f t="shared" si="27"/>
        <v>0</v>
      </c>
      <c r="J61" s="511"/>
      <c r="K61" s="525"/>
      <c r="L61" s="514">
        <f t="shared" si="28"/>
        <v>0</v>
      </c>
      <c r="M61" s="525"/>
      <c r="N61" s="514">
        <f t="shared" si="29"/>
        <v>0</v>
      </c>
      <c r="O61" s="514">
        <f t="shared" si="30"/>
        <v>0</v>
      </c>
      <c r="P61" s="272"/>
    </row>
    <row r="62" spans="2:17">
      <c r="B62" s="195" t="str">
        <f t="shared" si="5"/>
        <v/>
      </c>
      <c r="C62" s="507">
        <f>IF(D11="","-",+C61+1)</f>
        <v>2055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26"/>
        <v>0</v>
      </c>
      <c r="G62" s="526">
        <f t="shared" si="31"/>
        <v>0</v>
      </c>
      <c r="H62" s="491">
        <f t="shared" si="32"/>
        <v>0</v>
      </c>
      <c r="I62" s="511">
        <f t="shared" si="27"/>
        <v>0</v>
      </c>
      <c r="J62" s="511"/>
      <c r="K62" s="525"/>
      <c r="L62" s="514">
        <f t="shared" si="28"/>
        <v>0</v>
      </c>
      <c r="M62" s="525"/>
      <c r="N62" s="514">
        <f t="shared" si="29"/>
        <v>0</v>
      </c>
      <c r="O62" s="514">
        <f t="shared" si="30"/>
        <v>0</v>
      </c>
      <c r="P62" s="272"/>
    </row>
    <row r="63" spans="2:17">
      <c r="B63" s="195" t="str">
        <f t="shared" si="5"/>
        <v/>
      </c>
      <c r="C63" s="507">
        <f>IF(D11="","-",+C62+1)</f>
        <v>2056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26"/>
        <v>0</v>
      </c>
      <c r="G63" s="526">
        <f t="shared" si="31"/>
        <v>0</v>
      </c>
      <c r="H63" s="491">
        <f t="shared" si="32"/>
        <v>0</v>
      </c>
      <c r="I63" s="511">
        <f t="shared" si="27"/>
        <v>0</v>
      </c>
      <c r="J63" s="511"/>
      <c r="K63" s="525"/>
      <c r="L63" s="514">
        <f t="shared" si="28"/>
        <v>0</v>
      </c>
      <c r="M63" s="525"/>
      <c r="N63" s="514">
        <f t="shared" si="29"/>
        <v>0</v>
      </c>
      <c r="O63" s="514">
        <f t="shared" si="30"/>
        <v>0</v>
      </c>
      <c r="P63" s="272"/>
    </row>
    <row r="64" spans="2:17">
      <c r="B64" s="195" t="str">
        <f t="shared" si="5"/>
        <v/>
      </c>
      <c r="C64" s="507">
        <f>IF(D11="","-",+C63+1)</f>
        <v>2057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26"/>
        <v>0</v>
      </c>
      <c r="G64" s="526">
        <f t="shared" si="31"/>
        <v>0</v>
      </c>
      <c r="H64" s="491">
        <f t="shared" si="32"/>
        <v>0</v>
      </c>
      <c r="I64" s="511">
        <f t="shared" si="27"/>
        <v>0</v>
      </c>
      <c r="J64" s="511"/>
      <c r="K64" s="525"/>
      <c r="L64" s="514">
        <f t="shared" si="28"/>
        <v>0</v>
      </c>
      <c r="M64" s="525"/>
      <c r="N64" s="514">
        <f t="shared" si="29"/>
        <v>0</v>
      </c>
      <c r="O64" s="514">
        <f t="shared" si="30"/>
        <v>0</v>
      </c>
      <c r="P64" s="272"/>
    </row>
    <row r="65" spans="1:16">
      <c r="B65" s="195" t="str">
        <f t="shared" si="5"/>
        <v/>
      </c>
      <c r="C65" s="507">
        <f>IF(D11="","-",+C64+1)</f>
        <v>2058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26"/>
        <v>0</v>
      </c>
      <c r="G65" s="526">
        <f t="shared" si="31"/>
        <v>0</v>
      </c>
      <c r="H65" s="491">
        <f t="shared" si="32"/>
        <v>0</v>
      </c>
      <c r="I65" s="511">
        <f t="shared" si="27"/>
        <v>0</v>
      </c>
      <c r="J65" s="511"/>
      <c r="K65" s="525"/>
      <c r="L65" s="514">
        <f t="shared" si="28"/>
        <v>0</v>
      </c>
      <c r="M65" s="525"/>
      <c r="N65" s="514">
        <f t="shared" si="29"/>
        <v>0</v>
      </c>
      <c r="O65" s="514">
        <f t="shared" si="30"/>
        <v>0</v>
      </c>
      <c r="P65" s="272"/>
    </row>
    <row r="66" spans="1:16">
      <c r="B66" s="195" t="str">
        <f t="shared" si="5"/>
        <v/>
      </c>
      <c r="C66" s="507">
        <f>IF(D11="","-",+C65+1)</f>
        <v>2059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26"/>
        <v>0</v>
      </c>
      <c r="G66" s="526">
        <f t="shared" si="31"/>
        <v>0</v>
      </c>
      <c r="H66" s="491">
        <f t="shared" si="32"/>
        <v>0</v>
      </c>
      <c r="I66" s="511">
        <f t="shared" si="27"/>
        <v>0</v>
      </c>
      <c r="J66" s="511"/>
      <c r="K66" s="525"/>
      <c r="L66" s="514">
        <f t="shared" si="28"/>
        <v>0</v>
      </c>
      <c r="M66" s="525"/>
      <c r="N66" s="514">
        <f t="shared" si="29"/>
        <v>0</v>
      </c>
      <c r="O66" s="514">
        <f t="shared" si="30"/>
        <v>0</v>
      </c>
      <c r="P66" s="272"/>
    </row>
    <row r="67" spans="1:16">
      <c r="B67" s="195" t="str">
        <f t="shared" si="5"/>
        <v/>
      </c>
      <c r="C67" s="507">
        <f>IF(D11="","-",+C66+1)</f>
        <v>2060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26"/>
        <v>0</v>
      </c>
      <c r="G67" s="526">
        <f t="shared" si="31"/>
        <v>0</v>
      </c>
      <c r="H67" s="491">
        <f t="shared" si="32"/>
        <v>0</v>
      </c>
      <c r="I67" s="511">
        <f t="shared" si="27"/>
        <v>0</v>
      </c>
      <c r="J67" s="511"/>
      <c r="K67" s="525"/>
      <c r="L67" s="514">
        <f t="shared" si="28"/>
        <v>0</v>
      </c>
      <c r="M67" s="525"/>
      <c r="N67" s="514">
        <f t="shared" si="29"/>
        <v>0</v>
      </c>
      <c r="O67" s="514">
        <f t="shared" si="30"/>
        <v>0</v>
      </c>
      <c r="P67" s="272"/>
    </row>
    <row r="68" spans="1:16">
      <c r="B68" s="195" t="str">
        <f t="shared" si="5"/>
        <v/>
      </c>
      <c r="C68" s="507">
        <f>IF(D11="","-",+C67+1)</f>
        <v>2061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26"/>
        <v>0</v>
      </c>
      <c r="G68" s="526">
        <f t="shared" si="31"/>
        <v>0</v>
      </c>
      <c r="H68" s="491">
        <f t="shared" si="32"/>
        <v>0</v>
      </c>
      <c r="I68" s="511">
        <f t="shared" si="27"/>
        <v>0</v>
      </c>
      <c r="J68" s="511"/>
      <c r="K68" s="525"/>
      <c r="L68" s="514">
        <f t="shared" si="28"/>
        <v>0</v>
      </c>
      <c r="M68" s="525"/>
      <c r="N68" s="514">
        <f t="shared" si="29"/>
        <v>0</v>
      </c>
      <c r="O68" s="514">
        <f t="shared" si="30"/>
        <v>0</v>
      </c>
      <c r="P68" s="272"/>
    </row>
    <row r="69" spans="1:16">
      <c r="B69" s="195" t="str">
        <f t="shared" si="5"/>
        <v/>
      </c>
      <c r="C69" s="507">
        <f>IF(D11="","-",+C68+1)</f>
        <v>2062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26"/>
        <v>0</v>
      </c>
      <c r="G69" s="526">
        <f t="shared" si="31"/>
        <v>0</v>
      </c>
      <c r="H69" s="491">
        <f t="shared" si="32"/>
        <v>0</v>
      </c>
      <c r="I69" s="511">
        <f t="shared" si="27"/>
        <v>0</v>
      </c>
      <c r="J69" s="511"/>
      <c r="K69" s="525"/>
      <c r="L69" s="514">
        <f t="shared" si="28"/>
        <v>0</v>
      </c>
      <c r="M69" s="525"/>
      <c r="N69" s="514">
        <f t="shared" si="29"/>
        <v>0</v>
      </c>
      <c r="O69" s="514">
        <f t="shared" si="30"/>
        <v>0</v>
      </c>
      <c r="P69" s="272"/>
    </row>
    <row r="70" spans="1:16">
      <c r="B70" s="195" t="str">
        <f t="shared" si="5"/>
        <v/>
      </c>
      <c r="C70" s="507">
        <f>IF(D11="","-",+C69+1)</f>
        <v>2063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26"/>
        <v>0</v>
      </c>
      <c r="G70" s="526">
        <f t="shared" si="31"/>
        <v>0</v>
      </c>
      <c r="H70" s="491">
        <f t="shared" si="32"/>
        <v>0</v>
      </c>
      <c r="I70" s="511">
        <f t="shared" si="27"/>
        <v>0</v>
      </c>
      <c r="J70" s="511"/>
      <c r="K70" s="525"/>
      <c r="L70" s="514">
        <f t="shared" si="28"/>
        <v>0</v>
      </c>
      <c r="M70" s="525"/>
      <c r="N70" s="514">
        <f t="shared" si="29"/>
        <v>0</v>
      </c>
      <c r="O70" s="514">
        <f t="shared" si="30"/>
        <v>0</v>
      </c>
      <c r="P70" s="272"/>
    </row>
    <row r="71" spans="1:16">
      <c r="B71" s="195" t="str">
        <f t="shared" si="5"/>
        <v/>
      </c>
      <c r="C71" s="507">
        <f>IF(D11="","-",+C70+1)</f>
        <v>2064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26"/>
        <v>0</v>
      </c>
      <c r="G71" s="526">
        <f t="shared" si="31"/>
        <v>0</v>
      </c>
      <c r="H71" s="491">
        <f t="shared" si="32"/>
        <v>0</v>
      </c>
      <c r="I71" s="511">
        <f t="shared" si="27"/>
        <v>0</v>
      </c>
      <c r="J71" s="511"/>
      <c r="K71" s="525"/>
      <c r="L71" s="514">
        <f t="shared" si="28"/>
        <v>0</v>
      </c>
      <c r="M71" s="525"/>
      <c r="N71" s="514">
        <f t="shared" si="29"/>
        <v>0</v>
      </c>
      <c r="O71" s="514">
        <f t="shared" si="30"/>
        <v>0</v>
      </c>
      <c r="P71" s="272"/>
    </row>
    <row r="72" spans="1:16" ht="13.5" thickBot="1">
      <c r="B72" s="195" t="str">
        <f t="shared" si="5"/>
        <v/>
      </c>
      <c r="C72" s="527">
        <f>IF(D11="","-",+C71+1)</f>
        <v>2065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26"/>
        <v>0</v>
      </c>
      <c r="G72" s="530">
        <f t="shared" si="31"/>
        <v>0</v>
      </c>
      <c r="H72" s="471">
        <f t="shared" si="32"/>
        <v>0</v>
      </c>
      <c r="I72" s="531">
        <f t="shared" si="27"/>
        <v>0</v>
      </c>
      <c r="J72" s="511"/>
      <c r="K72" s="532"/>
      <c r="L72" s="533">
        <f t="shared" si="28"/>
        <v>0</v>
      </c>
      <c r="M72" s="532"/>
      <c r="N72" s="533">
        <f t="shared" si="29"/>
        <v>0</v>
      </c>
      <c r="O72" s="533">
        <f t="shared" si="30"/>
        <v>0</v>
      </c>
      <c r="P72" s="272"/>
    </row>
    <row r="73" spans="1:16">
      <c r="C73" s="374" t="s">
        <v>78</v>
      </c>
      <c r="D73" s="375"/>
      <c r="E73" s="375">
        <f>SUM(E17:E72)</f>
        <v>4795138.9999999972</v>
      </c>
      <c r="F73" s="375"/>
      <c r="G73" s="375">
        <f>SUM(G17:G72)</f>
        <v>17899657.268455803</v>
      </c>
      <c r="H73" s="375">
        <f>SUM(H17:H72)</f>
        <v>17899657.268455803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1:16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1:16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1:16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1:16" ht="18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535"/>
      <c r="P77" s="272"/>
    </row>
    <row r="78" spans="1:16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1:16" ht="15">
      <c r="A79" s="536"/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</row>
    <row r="80" spans="1:16" ht="18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7">
      <c r="B81" s="269"/>
      <c r="C81" s="537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7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  <c r="Q82" s="269"/>
    </row>
    <row r="83" spans="1:17" ht="20.25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535" t="str">
        <f ca="1">P1</f>
        <v>SWEPCO Project 23 of 75</v>
      </c>
      <c r="Q83" s="269"/>
    </row>
    <row r="84" spans="1:17" ht="18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454" t="s">
        <v>128</v>
      </c>
      <c r="Q84" s="269"/>
    </row>
    <row r="85" spans="1:17" ht="18.7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  <c r="Q85" s="269"/>
    </row>
    <row r="86" spans="1:17" ht="15.75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2022</v>
      </c>
      <c r="M86" s="541" t="s">
        <v>9</v>
      </c>
      <c r="N86" s="542" t="s">
        <v>159</v>
      </c>
      <c r="O86" s="543" t="s">
        <v>11</v>
      </c>
      <c r="P86" s="269"/>
      <c r="Q86" s="269"/>
    </row>
    <row r="87" spans="1:17" ht="1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391</v>
      </c>
      <c r="M87" s="546">
        <f>IF(J92&lt;D11,0,VLOOKUP(J92,C17:O72,9))</f>
        <v>497607.69769277796</v>
      </c>
      <c r="N87" s="546">
        <f>IF(J92&lt;D11,0,VLOOKUP(J92,C17:O72,11))</f>
        <v>497607.69769277796</v>
      </c>
      <c r="O87" s="547">
        <f>+N87-M87</f>
        <v>0</v>
      </c>
      <c r="P87" s="269"/>
      <c r="Q87" s="269"/>
    </row>
    <row r="88" spans="1:17" ht="15.7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392</v>
      </c>
      <c r="M88" s="550">
        <f>IF(J92&lt;D11,0,VLOOKUP(J92,C99:P154,6))</f>
        <v>516607.86325041461</v>
      </c>
      <c r="N88" s="550">
        <f>IF(J92&lt;D11,0,VLOOKUP(J92,C99:P154,7))</f>
        <v>516607.86325041461</v>
      </c>
      <c r="O88" s="551">
        <f>+N88-M88</f>
        <v>0</v>
      </c>
      <c r="P88" s="269"/>
      <c r="Q88" s="269"/>
    </row>
    <row r="89" spans="1:17" ht="13.5" thickBot="1">
      <c r="C89" s="467" t="s">
        <v>84</v>
      </c>
      <c r="D89" s="620" t="str">
        <f>D7</f>
        <v>Reconductor: Greggton-Lake Lamond &amp; Quitman-Westwood 69 kV lines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19000.165557636647</v>
      </c>
      <c r="N89" s="555">
        <f>+N88-N87</f>
        <v>19000.165557636647</v>
      </c>
      <c r="O89" s="556">
        <f>+O88-O87</f>
        <v>0</v>
      </c>
      <c r="P89" s="269"/>
      <c r="Q89" s="269"/>
    </row>
    <row r="90" spans="1:17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  <c r="Q90" s="269"/>
    </row>
    <row r="91" spans="1:17" ht="13.5" thickBot="1">
      <c r="A91" s="191"/>
      <c r="C91" s="558" t="s">
        <v>85</v>
      </c>
      <c r="D91" s="559" t="str">
        <f>+D9</f>
        <v>TP2008015</v>
      </c>
      <c r="E91" s="560"/>
      <c r="F91" s="560"/>
      <c r="G91" s="560"/>
      <c r="H91" s="560"/>
      <c r="I91" s="560"/>
      <c r="J91" s="561"/>
      <c r="K91" s="562"/>
      <c r="P91" s="481"/>
      <c r="Q91" s="269"/>
    </row>
    <row r="92" spans="1:17">
      <c r="C92" s="486" t="s">
        <v>51</v>
      </c>
      <c r="D92" s="483">
        <f>IF(D11=I10,0,D10)</f>
        <v>4795139</v>
      </c>
      <c r="E92" s="340" t="s">
        <v>86</v>
      </c>
      <c r="H92" s="484"/>
      <c r="I92" s="484"/>
      <c r="J92" s="485">
        <f>+'SWE.WS.G.BPU.ATRR.True-up'!M16</f>
        <v>2022</v>
      </c>
      <c r="K92" s="480"/>
      <c r="L92" s="375" t="s">
        <v>87</v>
      </c>
      <c r="P92" s="272"/>
      <c r="Q92" s="269"/>
    </row>
    <row r="93" spans="1:17">
      <c r="C93" s="486" t="s">
        <v>54</v>
      </c>
      <c r="D93" s="563">
        <f>IF(D11=I10,"",D11)</f>
        <v>2010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  <c r="Q93" s="269"/>
    </row>
    <row r="94" spans="1:17">
      <c r="C94" s="486" t="s">
        <v>56</v>
      </c>
      <c r="D94" s="564">
        <f>IF(D11=I10,"",D12)</f>
        <v>6</v>
      </c>
      <c r="E94" s="486" t="s">
        <v>57</v>
      </c>
      <c r="F94" s="484"/>
      <c r="G94" s="484"/>
      <c r="J94" s="490">
        <f>'SWE.WS.G.BPU.ATRR.True-up'!$F$81</f>
        <v>0.11351422637179906</v>
      </c>
      <c r="K94" s="425"/>
      <c r="L94" s="183" t="s">
        <v>88</v>
      </c>
      <c r="P94" s="272"/>
      <c r="Q94" s="269"/>
    </row>
    <row r="95" spans="1:17">
      <c r="C95" s="486" t="s">
        <v>59</v>
      </c>
      <c r="D95" s="488">
        <f>'SWE.WS.G.BPU.ATRR.True-up'!F$93</f>
        <v>41</v>
      </c>
      <c r="E95" s="486" t="s">
        <v>60</v>
      </c>
      <c r="F95" s="484"/>
      <c r="G95" s="484"/>
      <c r="J95" s="490">
        <f>IF(H87="",J94,'SWE.WS.G.BPU.ATRR.True-up'!$F$80)</f>
        <v>0.11351422637179906</v>
      </c>
      <c r="K95" s="324"/>
      <c r="L95" s="375" t="s">
        <v>61</v>
      </c>
      <c r="M95" s="324"/>
      <c r="N95" s="324"/>
      <c r="O95" s="324"/>
      <c r="P95" s="272"/>
      <c r="Q95" s="269"/>
    </row>
    <row r="96" spans="1:17" ht="13.5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116954.60975609756</v>
      </c>
      <c r="K96" s="375"/>
      <c r="L96" s="375"/>
      <c r="M96" s="375"/>
      <c r="N96" s="375"/>
      <c r="O96" s="375"/>
      <c r="P96" s="272"/>
      <c r="Q96" s="269"/>
    </row>
    <row r="97" spans="1:17" ht="38.25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388</v>
      </c>
      <c r="I97" s="495" t="s">
        <v>389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  <c r="Q97" s="269"/>
    </row>
    <row r="98" spans="1:17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  <c r="Q98" s="269"/>
    </row>
    <row r="99" spans="1:17">
      <c r="C99" s="507">
        <f>IF(D93= "","-",D93)</f>
        <v>2010</v>
      </c>
      <c r="D99" s="508">
        <v>0</v>
      </c>
      <c r="E99" s="516">
        <v>58477.304878048781</v>
      </c>
      <c r="F99" s="515">
        <v>4736661.6951219514</v>
      </c>
      <c r="G99" s="574">
        <v>2368330.8475609757</v>
      </c>
      <c r="H99" s="575">
        <v>449455.76564845629</v>
      </c>
      <c r="I99" s="576">
        <v>449455.76564845629</v>
      </c>
      <c r="J99" s="613">
        <f t="shared" ref="J99:J130" si="33">+I99-H99</f>
        <v>0</v>
      </c>
      <c r="K99" s="514"/>
      <c r="L99" s="512">
        <f t="shared" ref="L99:L104" si="34">H99</f>
        <v>449455.76564845629</v>
      </c>
      <c r="M99" s="597">
        <f t="shared" ref="M99:M130" si="35">IF(L99&lt;&gt;0,+H99-L99,0)</f>
        <v>0</v>
      </c>
      <c r="N99" s="512">
        <f t="shared" ref="N99:N104" si="36">I99</f>
        <v>449455.76564845629</v>
      </c>
      <c r="O99" s="513">
        <f t="shared" ref="O99:O130" si="37">IF(N99&lt;&gt;0,+I99-N99,0)</f>
        <v>0</v>
      </c>
      <c r="P99" s="513">
        <f t="shared" ref="P99:P130" si="38">+O99-M99</f>
        <v>0</v>
      </c>
      <c r="Q99" s="269"/>
    </row>
    <row r="100" spans="1:17">
      <c r="B100" s="195" t="str">
        <f>IF(D100=F99,"","IU")</f>
        <v/>
      </c>
      <c r="C100" s="507">
        <f>IF(D93="","-",+C99+1)</f>
        <v>2011</v>
      </c>
      <c r="D100" s="508">
        <v>4736661.6951219514</v>
      </c>
      <c r="E100" s="516">
        <v>114169.97619047618</v>
      </c>
      <c r="F100" s="515">
        <v>4622491.7189314757</v>
      </c>
      <c r="G100" s="515">
        <v>4679576.7070267135</v>
      </c>
      <c r="H100" s="516">
        <v>817884.25936798821</v>
      </c>
      <c r="I100" s="510">
        <v>817884.25936798821</v>
      </c>
      <c r="J100" s="613">
        <f t="shared" si="33"/>
        <v>0</v>
      </c>
      <c r="K100" s="514"/>
      <c r="L100" s="518">
        <f t="shared" si="34"/>
        <v>817884.25936798821</v>
      </c>
      <c r="M100" s="519">
        <f t="shared" si="35"/>
        <v>0</v>
      </c>
      <c r="N100" s="518">
        <f t="shared" si="36"/>
        <v>817884.25936798821</v>
      </c>
      <c r="O100" s="514">
        <f t="shared" si="37"/>
        <v>0</v>
      </c>
      <c r="P100" s="514">
        <f t="shared" si="38"/>
        <v>0</v>
      </c>
      <c r="Q100" s="269"/>
    </row>
    <row r="101" spans="1:17">
      <c r="B101" s="195" t="str">
        <f t="shared" ref="B101:B154" si="39">IF(D101=F100,"","IU")</f>
        <v/>
      </c>
      <c r="C101" s="507">
        <f>IF(D93="","-",+C100+1)</f>
        <v>2012</v>
      </c>
      <c r="D101" s="508">
        <v>4622491.7189314757</v>
      </c>
      <c r="E101" s="516">
        <v>114169.97619047618</v>
      </c>
      <c r="F101" s="515">
        <v>4508321.7427409999</v>
      </c>
      <c r="G101" s="515">
        <v>4565406.7308362378</v>
      </c>
      <c r="H101" s="516">
        <v>785987.52688164287</v>
      </c>
      <c r="I101" s="510">
        <v>785987.52688164287</v>
      </c>
      <c r="J101" s="613">
        <f t="shared" si="33"/>
        <v>0</v>
      </c>
      <c r="K101" s="514"/>
      <c r="L101" s="518">
        <f t="shared" si="34"/>
        <v>785987.52688164287</v>
      </c>
      <c r="M101" s="519">
        <f t="shared" si="35"/>
        <v>0</v>
      </c>
      <c r="N101" s="518">
        <f t="shared" si="36"/>
        <v>785987.52688164287</v>
      </c>
      <c r="O101" s="514">
        <f t="shared" si="37"/>
        <v>0</v>
      </c>
      <c r="P101" s="514">
        <f t="shared" si="38"/>
        <v>0</v>
      </c>
      <c r="Q101" s="269"/>
    </row>
    <row r="102" spans="1:17">
      <c r="B102" s="195" t="str">
        <f t="shared" si="39"/>
        <v/>
      </c>
      <c r="C102" s="507">
        <f>IF(D93="","-",+C101+1)</f>
        <v>2013</v>
      </c>
      <c r="D102" s="508">
        <v>4508321.7427409999</v>
      </c>
      <c r="E102" s="516">
        <v>114169.97619047618</v>
      </c>
      <c r="F102" s="515">
        <v>4394151.7665505242</v>
      </c>
      <c r="G102" s="515">
        <v>4451236.754645762</v>
      </c>
      <c r="H102" s="516">
        <v>716385.37410888227</v>
      </c>
      <c r="I102" s="510">
        <v>716385.37410888227</v>
      </c>
      <c r="J102" s="613">
        <v>0</v>
      </c>
      <c r="K102" s="514"/>
      <c r="L102" s="518">
        <f t="shared" si="34"/>
        <v>716385.37410888227</v>
      </c>
      <c r="M102" s="519">
        <f t="shared" ref="M102:M107" si="40">IF(L102&lt;&gt;0,+H102-L102,0)</f>
        <v>0</v>
      </c>
      <c r="N102" s="518">
        <f t="shared" si="36"/>
        <v>716385.37410888227</v>
      </c>
      <c r="O102" s="514">
        <f>IF(N102&lt;&gt;0,+I102-N102,0)</f>
        <v>0</v>
      </c>
      <c r="P102" s="514">
        <f>+O102-M102</f>
        <v>0</v>
      </c>
      <c r="Q102" s="269"/>
    </row>
    <row r="103" spans="1:17">
      <c r="B103" s="195" t="str">
        <f t="shared" si="39"/>
        <v/>
      </c>
      <c r="C103" s="507">
        <f>IF(D93="","-",+C102+1)</f>
        <v>2014</v>
      </c>
      <c r="D103" s="508">
        <v>4394151.7665505242</v>
      </c>
      <c r="E103" s="516">
        <v>114169.97619047618</v>
      </c>
      <c r="F103" s="515">
        <v>4279981.7903600484</v>
      </c>
      <c r="G103" s="515">
        <v>4337066.7784552863</v>
      </c>
      <c r="H103" s="516">
        <v>703679.09794769238</v>
      </c>
      <c r="I103" s="510">
        <v>703679.09794769238</v>
      </c>
      <c r="J103" s="514">
        <v>0</v>
      </c>
      <c r="K103" s="514"/>
      <c r="L103" s="518">
        <f t="shared" si="34"/>
        <v>703679.09794769238</v>
      </c>
      <c r="M103" s="519">
        <f t="shared" si="40"/>
        <v>0</v>
      </c>
      <c r="N103" s="518">
        <f t="shared" si="36"/>
        <v>703679.09794769238</v>
      </c>
      <c r="O103" s="514">
        <f>IF(N103&lt;&gt;0,+I103-N103,0)</f>
        <v>0</v>
      </c>
      <c r="P103" s="514">
        <f>+O103-M103</f>
        <v>0</v>
      </c>
      <c r="Q103" s="269"/>
    </row>
    <row r="104" spans="1:17">
      <c r="B104" s="195" t="str">
        <f t="shared" si="39"/>
        <v/>
      </c>
      <c r="C104" s="507">
        <f>IF(D93="","-",+C103+1)</f>
        <v>2015</v>
      </c>
      <c r="D104" s="508">
        <v>4279981.7903600484</v>
      </c>
      <c r="E104" s="516">
        <v>114169.97619047618</v>
      </c>
      <c r="F104" s="515">
        <v>4165811.8141695722</v>
      </c>
      <c r="G104" s="515">
        <v>4222896.8022648105</v>
      </c>
      <c r="H104" s="516">
        <v>670616.34920679952</v>
      </c>
      <c r="I104" s="510">
        <v>670616.34920679952</v>
      </c>
      <c r="J104" s="514">
        <f t="shared" si="33"/>
        <v>0</v>
      </c>
      <c r="K104" s="514"/>
      <c r="L104" s="518">
        <f t="shared" si="34"/>
        <v>670616.34920679952</v>
      </c>
      <c r="M104" s="519">
        <f t="shared" si="40"/>
        <v>0</v>
      </c>
      <c r="N104" s="518">
        <f t="shared" si="36"/>
        <v>670616.34920679952</v>
      </c>
      <c r="O104" s="514">
        <f>IF(N104&lt;&gt;0,+I104-N104,0)</f>
        <v>0</v>
      </c>
      <c r="P104" s="514">
        <f>+O104-M104</f>
        <v>0</v>
      </c>
      <c r="Q104" s="269"/>
    </row>
    <row r="105" spans="1:17">
      <c r="B105" s="195" t="str">
        <f t="shared" si="39"/>
        <v/>
      </c>
      <c r="C105" s="507">
        <f>IF(D93="","-",+C104+1)</f>
        <v>2016</v>
      </c>
      <c r="D105" s="508">
        <v>4165811.8141695722</v>
      </c>
      <c r="E105" s="516">
        <v>111514.86046511628</v>
      </c>
      <c r="F105" s="515">
        <v>4054296.9537044559</v>
      </c>
      <c r="G105" s="515">
        <v>4110054.3839370143</v>
      </c>
      <c r="H105" s="516">
        <v>633286.2163704508</v>
      </c>
      <c r="I105" s="510">
        <v>633286.2163704508</v>
      </c>
      <c r="J105" s="514">
        <f t="shared" si="33"/>
        <v>0</v>
      </c>
      <c r="K105" s="514"/>
      <c r="L105" s="518">
        <f t="shared" ref="L105:L110" si="41">H105</f>
        <v>633286.2163704508</v>
      </c>
      <c r="M105" s="519">
        <f t="shared" si="40"/>
        <v>0</v>
      </c>
      <c r="N105" s="518">
        <f t="shared" ref="N105:N110" si="42">I105</f>
        <v>633286.2163704508</v>
      </c>
      <c r="O105" s="514">
        <f>IF(N105&lt;&gt;0,+I105-N105,0)</f>
        <v>0</v>
      </c>
      <c r="P105" s="514">
        <f>+O105-M105</f>
        <v>0</v>
      </c>
      <c r="Q105" s="269"/>
    </row>
    <row r="106" spans="1:17">
      <c r="B106" s="195" t="str">
        <f t="shared" si="39"/>
        <v/>
      </c>
      <c r="C106" s="507">
        <f>IF(D93="","-",+C105+1)</f>
        <v>2017</v>
      </c>
      <c r="D106" s="508">
        <v>4054296.9537044559</v>
      </c>
      <c r="E106" s="516">
        <v>114169.97619047618</v>
      </c>
      <c r="F106" s="515">
        <v>3940126.9775139797</v>
      </c>
      <c r="G106" s="515">
        <v>3997211.965609218</v>
      </c>
      <c r="H106" s="516">
        <v>599717.14032488305</v>
      </c>
      <c r="I106" s="510">
        <v>599717.14032488305</v>
      </c>
      <c r="J106" s="514">
        <f t="shared" si="33"/>
        <v>0</v>
      </c>
      <c r="K106" s="514"/>
      <c r="L106" s="518">
        <f t="shared" si="41"/>
        <v>599717.14032488305</v>
      </c>
      <c r="M106" s="519">
        <f t="shared" si="40"/>
        <v>0</v>
      </c>
      <c r="N106" s="518">
        <f t="shared" si="42"/>
        <v>599717.14032488305</v>
      </c>
      <c r="O106" s="514">
        <f>IF(N106&lt;&gt;0,+I106-N106,0)</f>
        <v>0</v>
      </c>
      <c r="P106" s="514">
        <f>+O106-M106</f>
        <v>0</v>
      </c>
      <c r="Q106" s="269"/>
    </row>
    <row r="107" spans="1:17">
      <c r="B107" s="195" t="str">
        <f t="shared" si="39"/>
        <v/>
      </c>
      <c r="C107" s="507">
        <f>IF(D93="","-",+C106+1)</f>
        <v>2018</v>
      </c>
      <c r="D107" s="508">
        <v>3940126.9775139797</v>
      </c>
      <c r="E107" s="516">
        <v>114169.97619047618</v>
      </c>
      <c r="F107" s="515">
        <v>3825957.0013235034</v>
      </c>
      <c r="G107" s="515">
        <v>3883041.9894187413</v>
      </c>
      <c r="H107" s="516">
        <v>524237.01720389316</v>
      </c>
      <c r="I107" s="510">
        <v>524237.01720389316</v>
      </c>
      <c r="J107" s="514">
        <f t="shared" si="33"/>
        <v>0</v>
      </c>
      <c r="K107" s="514"/>
      <c r="L107" s="518">
        <f t="shared" si="41"/>
        <v>524237.01720389316</v>
      </c>
      <c r="M107" s="519">
        <f t="shared" si="40"/>
        <v>0</v>
      </c>
      <c r="N107" s="518">
        <f t="shared" si="42"/>
        <v>524237.01720389316</v>
      </c>
      <c r="O107" s="514">
        <f t="shared" si="37"/>
        <v>0</v>
      </c>
      <c r="P107" s="514">
        <f t="shared" si="38"/>
        <v>0</v>
      </c>
      <c r="Q107" s="269"/>
    </row>
    <row r="108" spans="1:17">
      <c r="B108" s="195" t="str">
        <f t="shared" si="39"/>
        <v/>
      </c>
      <c r="C108" s="507">
        <f>IF(D93="","-",+C107+1)</f>
        <v>2019</v>
      </c>
      <c r="D108" s="508">
        <v>3825957.0013235034</v>
      </c>
      <c r="E108" s="516">
        <v>111514.86046511628</v>
      </c>
      <c r="F108" s="515">
        <v>3714442.1408583871</v>
      </c>
      <c r="G108" s="515">
        <v>3770199.571090945</v>
      </c>
      <c r="H108" s="516">
        <v>515079.08312733757</v>
      </c>
      <c r="I108" s="510">
        <v>515079.08312733757</v>
      </c>
      <c r="J108" s="514">
        <f t="shared" si="33"/>
        <v>0</v>
      </c>
      <c r="K108" s="514"/>
      <c r="L108" s="518">
        <f t="shared" si="41"/>
        <v>515079.08312733757</v>
      </c>
      <c r="M108" s="519">
        <f t="shared" ref="M108:M109" si="43">IF(L108&lt;&gt;0,+H108-L108,0)</f>
        <v>0</v>
      </c>
      <c r="N108" s="518">
        <f t="shared" si="42"/>
        <v>515079.08312733757</v>
      </c>
      <c r="O108" s="514">
        <f t="shared" si="37"/>
        <v>0</v>
      </c>
      <c r="P108" s="514">
        <f t="shared" si="38"/>
        <v>0</v>
      </c>
      <c r="Q108" s="269"/>
    </row>
    <row r="109" spans="1:17">
      <c r="B109" s="195" t="str">
        <f t="shared" si="39"/>
        <v/>
      </c>
      <c r="C109" s="507">
        <f>IF(D93="","-",+C108+1)</f>
        <v>2020</v>
      </c>
      <c r="D109" s="508">
        <v>3714442.1408583871</v>
      </c>
      <c r="E109" s="516">
        <v>114169.97619047618</v>
      </c>
      <c r="F109" s="515">
        <v>3600272.1646679109</v>
      </c>
      <c r="G109" s="515">
        <v>3657357.1527631488</v>
      </c>
      <c r="H109" s="516">
        <v>507605.90193719347</v>
      </c>
      <c r="I109" s="510">
        <v>507605.90193719347</v>
      </c>
      <c r="J109" s="514">
        <f t="shared" si="33"/>
        <v>0</v>
      </c>
      <c r="K109" s="514"/>
      <c r="L109" s="518">
        <f t="shared" si="41"/>
        <v>507605.90193719347</v>
      </c>
      <c r="M109" s="519">
        <f t="shared" si="43"/>
        <v>0</v>
      </c>
      <c r="N109" s="518">
        <f t="shared" si="42"/>
        <v>507605.90193719347</v>
      </c>
      <c r="O109" s="514">
        <f t="shared" si="37"/>
        <v>0</v>
      </c>
      <c r="P109" s="514">
        <f t="shared" si="38"/>
        <v>0</v>
      </c>
      <c r="Q109" s="269"/>
    </row>
    <row r="110" spans="1:17">
      <c r="B110" s="195" t="str">
        <f t="shared" si="39"/>
        <v/>
      </c>
      <c r="C110" s="507">
        <f>IF(D93="","-",+C109+1)</f>
        <v>2021</v>
      </c>
      <c r="D110" s="508">
        <v>3600272.1646679109</v>
      </c>
      <c r="E110" s="516">
        <v>116954.60975609756</v>
      </c>
      <c r="F110" s="515">
        <v>3483317.5549118132</v>
      </c>
      <c r="G110" s="515">
        <v>3541794.8597898623</v>
      </c>
      <c r="H110" s="516">
        <v>518998.71323275828</v>
      </c>
      <c r="I110" s="510">
        <v>518998.71323275828</v>
      </c>
      <c r="J110" s="514">
        <f t="shared" si="33"/>
        <v>0</v>
      </c>
      <c r="K110" s="514"/>
      <c r="L110" s="518">
        <f t="shared" si="41"/>
        <v>518998.71323275828</v>
      </c>
      <c r="M110" s="519">
        <f t="shared" ref="M110" si="44">IF(L110&lt;&gt;0,+H110-L110,0)</f>
        <v>0</v>
      </c>
      <c r="N110" s="518">
        <f t="shared" si="42"/>
        <v>518998.71323275828</v>
      </c>
      <c r="O110" s="514">
        <f t="shared" ref="O110" si="45">IF(N110&lt;&gt;0,+I110-N110,0)</f>
        <v>0</v>
      </c>
      <c r="P110" s="514">
        <f t="shared" ref="P110" si="46">+O110-M110</f>
        <v>0</v>
      </c>
      <c r="Q110" s="269"/>
    </row>
    <row r="111" spans="1:17">
      <c r="B111" s="195" t="str">
        <f t="shared" si="39"/>
        <v/>
      </c>
      <c r="C111" s="673">
        <f>IF(D93="","-",+C110+1)</f>
        <v>2022</v>
      </c>
      <c r="D111" s="374">
        <v>3483317.5549118132</v>
      </c>
      <c r="E111" s="522">
        <v>114169.97619047618</v>
      </c>
      <c r="F111" s="523">
        <v>3369147.578721337</v>
      </c>
      <c r="G111" s="523">
        <v>3426232.5668165749</v>
      </c>
      <c r="H111" s="526">
        <v>516607.86325041461</v>
      </c>
      <c r="I111" s="577">
        <v>516607.86325041461</v>
      </c>
      <c r="J111" s="514">
        <f t="shared" si="33"/>
        <v>0</v>
      </c>
      <c r="K111" s="514"/>
      <c r="L111" s="525"/>
      <c r="M111" s="514">
        <f t="shared" si="35"/>
        <v>0</v>
      </c>
      <c r="N111" s="525"/>
      <c r="O111" s="514">
        <f t="shared" si="37"/>
        <v>0</v>
      </c>
      <c r="P111" s="514">
        <f t="shared" si="38"/>
        <v>0</v>
      </c>
      <c r="Q111" s="269"/>
    </row>
    <row r="112" spans="1:17">
      <c r="B112" s="195" t="str">
        <f t="shared" si="39"/>
        <v/>
      </c>
      <c r="C112" s="507">
        <f>IF(D93="","-",+C111+1)</f>
        <v>2023</v>
      </c>
      <c r="D112" s="374">
        <f>IF(F111+SUM(E$99:E111)=D$92,F111,D$92-SUM(E$99:E111))</f>
        <v>3369147.578721337</v>
      </c>
      <c r="E112" s="522">
        <f>IF(+J96&lt;F111,J96,D112)</f>
        <v>116954.60975609756</v>
      </c>
      <c r="F112" s="523">
        <f t="shared" ref="F112:F131" si="47">+D112-E112</f>
        <v>3252192.9689652394</v>
      </c>
      <c r="G112" s="523">
        <f t="shared" ref="G112:G130" si="48">+(F112+D112)/2</f>
        <v>3310670.2738432884</v>
      </c>
      <c r="H112" s="526">
        <f t="shared" ref="H112:H130" si="49">+J$94*G112+E112</f>
        <v>492762.78466353059</v>
      </c>
      <c r="I112" s="577">
        <f t="shared" ref="I112:I130" si="50">+J$95*G112+E112</f>
        <v>492762.78466353059</v>
      </c>
      <c r="J112" s="514">
        <f t="shared" si="33"/>
        <v>0</v>
      </c>
      <c r="K112" s="514"/>
      <c r="L112" s="525"/>
      <c r="M112" s="514">
        <f t="shared" si="35"/>
        <v>0</v>
      </c>
      <c r="N112" s="525"/>
      <c r="O112" s="514">
        <f t="shared" si="37"/>
        <v>0</v>
      </c>
      <c r="P112" s="514">
        <f t="shared" si="38"/>
        <v>0</v>
      </c>
      <c r="Q112" s="269"/>
    </row>
    <row r="113" spans="2:17">
      <c r="B113" s="195" t="str">
        <f t="shared" si="39"/>
        <v/>
      </c>
      <c r="C113" s="507">
        <f>IF(D93="","-",+C112+1)</f>
        <v>2024</v>
      </c>
      <c r="D113" s="374">
        <f>IF(F112+SUM(E$99:E112)=D$92,F112,D$92-SUM(E$99:E112))</f>
        <v>3252192.9689652394</v>
      </c>
      <c r="E113" s="522">
        <f>IF(+J96&lt;F112,J96,D113)</f>
        <v>116954.60975609756</v>
      </c>
      <c r="F113" s="523">
        <f t="shared" si="47"/>
        <v>3135238.3592091417</v>
      </c>
      <c r="G113" s="523">
        <f t="shared" si="48"/>
        <v>3193715.6640871903</v>
      </c>
      <c r="H113" s="526">
        <f t="shared" si="49"/>
        <v>479486.77261645143</v>
      </c>
      <c r="I113" s="577">
        <f t="shared" si="50"/>
        <v>479486.77261645143</v>
      </c>
      <c r="J113" s="514">
        <f t="shared" si="33"/>
        <v>0</v>
      </c>
      <c r="K113" s="514"/>
      <c r="L113" s="525"/>
      <c r="M113" s="514">
        <f t="shared" si="35"/>
        <v>0</v>
      </c>
      <c r="N113" s="525"/>
      <c r="O113" s="514">
        <f t="shared" si="37"/>
        <v>0</v>
      </c>
      <c r="P113" s="514">
        <f t="shared" si="38"/>
        <v>0</v>
      </c>
      <c r="Q113" s="269"/>
    </row>
    <row r="114" spans="2:17">
      <c r="B114" s="195" t="str">
        <f t="shared" si="39"/>
        <v/>
      </c>
      <c r="C114" s="507">
        <f>IF(D93="","-",+C113+1)</f>
        <v>2025</v>
      </c>
      <c r="D114" s="374">
        <f>IF(F113+SUM(E$99:E113)=D$92,F113,D$92-SUM(E$99:E113))</f>
        <v>3135238.3592091417</v>
      </c>
      <c r="E114" s="522">
        <f>IF(+J96&lt;F113,J96,D114)</f>
        <v>116954.60975609756</v>
      </c>
      <c r="F114" s="523">
        <f t="shared" si="47"/>
        <v>3018283.749453044</v>
      </c>
      <c r="G114" s="523">
        <f t="shared" si="48"/>
        <v>3076761.0543310931</v>
      </c>
      <c r="H114" s="526">
        <f t="shared" si="49"/>
        <v>466210.76056937239</v>
      </c>
      <c r="I114" s="577">
        <f t="shared" si="50"/>
        <v>466210.76056937239</v>
      </c>
      <c r="J114" s="514">
        <f t="shared" si="33"/>
        <v>0</v>
      </c>
      <c r="K114" s="514"/>
      <c r="L114" s="525"/>
      <c r="M114" s="514">
        <f t="shared" si="35"/>
        <v>0</v>
      </c>
      <c r="N114" s="525"/>
      <c r="O114" s="514">
        <f t="shared" si="37"/>
        <v>0</v>
      </c>
      <c r="P114" s="514">
        <f t="shared" si="38"/>
        <v>0</v>
      </c>
      <c r="Q114" s="269"/>
    </row>
    <row r="115" spans="2:17">
      <c r="B115" s="195" t="str">
        <f t="shared" si="39"/>
        <v/>
      </c>
      <c r="C115" s="507">
        <f>IF(D93="","-",+C114+1)</f>
        <v>2026</v>
      </c>
      <c r="D115" s="374">
        <f>IF(F114+SUM(E$99:E114)=D$92,F114,D$92-SUM(E$99:E114))</f>
        <v>3018283.749453044</v>
      </c>
      <c r="E115" s="522">
        <f>IF(+J96&lt;F114,J96,D115)</f>
        <v>116954.60975609756</v>
      </c>
      <c r="F115" s="523">
        <f t="shared" si="47"/>
        <v>2901329.1396969464</v>
      </c>
      <c r="G115" s="523">
        <f t="shared" si="48"/>
        <v>2959806.444574995</v>
      </c>
      <c r="H115" s="526">
        <f t="shared" si="49"/>
        <v>452934.74852229323</v>
      </c>
      <c r="I115" s="577">
        <f t="shared" si="50"/>
        <v>452934.74852229323</v>
      </c>
      <c r="J115" s="514">
        <f t="shared" si="33"/>
        <v>0</v>
      </c>
      <c r="K115" s="514"/>
      <c r="L115" s="525"/>
      <c r="M115" s="514">
        <f t="shared" si="35"/>
        <v>0</v>
      </c>
      <c r="N115" s="525"/>
      <c r="O115" s="514">
        <f t="shared" si="37"/>
        <v>0</v>
      </c>
      <c r="P115" s="514">
        <f t="shared" si="38"/>
        <v>0</v>
      </c>
      <c r="Q115" s="269"/>
    </row>
    <row r="116" spans="2:17">
      <c r="B116" s="195" t="str">
        <f t="shared" si="39"/>
        <v/>
      </c>
      <c r="C116" s="507">
        <f>IF(D93="","-",+C115+1)</f>
        <v>2027</v>
      </c>
      <c r="D116" s="374">
        <f>IF(F115+SUM(E$99:E115)=D$92,F115,D$92-SUM(E$99:E115))</f>
        <v>2901329.1396969464</v>
      </c>
      <c r="E116" s="522">
        <f>IF(+J96&lt;F115,J96,D116)</f>
        <v>116954.60975609756</v>
      </c>
      <c r="F116" s="523">
        <f t="shared" si="47"/>
        <v>2784374.5299408487</v>
      </c>
      <c r="G116" s="523">
        <f t="shared" si="48"/>
        <v>2842851.8348188978</v>
      </c>
      <c r="H116" s="526">
        <f t="shared" si="49"/>
        <v>439658.73647521419</v>
      </c>
      <c r="I116" s="577">
        <f t="shared" si="50"/>
        <v>439658.73647521419</v>
      </c>
      <c r="J116" s="514">
        <f t="shared" si="33"/>
        <v>0</v>
      </c>
      <c r="K116" s="514"/>
      <c r="L116" s="525"/>
      <c r="M116" s="514">
        <f t="shared" si="35"/>
        <v>0</v>
      </c>
      <c r="N116" s="525"/>
      <c r="O116" s="514">
        <f t="shared" si="37"/>
        <v>0</v>
      </c>
      <c r="P116" s="514">
        <f t="shared" si="38"/>
        <v>0</v>
      </c>
      <c r="Q116" s="269"/>
    </row>
    <row r="117" spans="2:17">
      <c r="B117" s="195" t="str">
        <f t="shared" si="39"/>
        <v/>
      </c>
      <c r="C117" s="507">
        <f>IF(D93="","-",+C116+1)</f>
        <v>2028</v>
      </c>
      <c r="D117" s="374">
        <f>IF(F116+SUM(E$99:E116)=D$92,F116,D$92-SUM(E$99:E116))</f>
        <v>2784374.5299408487</v>
      </c>
      <c r="E117" s="522">
        <f>IF(+J96&lt;F116,J96,D117)</f>
        <v>116954.60975609756</v>
      </c>
      <c r="F117" s="523">
        <f t="shared" si="47"/>
        <v>2667419.920184751</v>
      </c>
      <c r="G117" s="523">
        <f t="shared" si="48"/>
        <v>2725897.2250627996</v>
      </c>
      <c r="H117" s="526">
        <f t="shared" si="49"/>
        <v>426382.72442813509</v>
      </c>
      <c r="I117" s="577">
        <f t="shared" si="50"/>
        <v>426382.72442813509</v>
      </c>
      <c r="J117" s="514">
        <f t="shared" si="33"/>
        <v>0</v>
      </c>
      <c r="K117" s="514"/>
      <c r="L117" s="525"/>
      <c r="M117" s="514">
        <f t="shared" si="35"/>
        <v>0</v>
      </c>
      <c r="N117" s="525"/>
      <c r="O117" s="514">
        <f t="shared" si="37"/>
        <v>0</v>
      </c>
      <c r="P117" s="514">
        <f t="shared" si="38"/>
        <v>0</v>
      </c>
      <c r="Q117" s="269"/>
    </row>
    <row r="118" spans="2:17">
      <c r="B118" s="195" t="str">
        <f t="shared" si="39"/>
        <v/>
      </c>
      <c r="C118" s="507">
        <f>IF(D93="","-",+C117+1)</f>
        <v>2029</v>
      </c>
      <c r="D118" s="374">
        <f>IF(F117+SUM(E$99:E117)=D$92,F117,D$92-SUM(E$99:E117))</f>
        <v>2667419.920184751</v>
      </c>
      <c r="E118" s="522">
        <f>IF(+J96&lt;F117,J96,D118)</f>
        <v>116954.60975609756</v>
      </c>
      <c r="F118" s="523">
        <f t="shared" si="47"/>
        <v>2550465.3104286534</v>
      </c>
      <c r="G118" s="523">
        <f t="shared" si="48"/>
        <v>2608942.6153067024</v>
      </c>
      <c r="H118" s="526">
        <f t="shared" si="49"/>
        <v>413106.71238105604</v>
      </c>
      <c r="I118" s="577">
        <f t="shared" si="50"/>
        <v>413106.71238105604</v>
      </c>
      <c r="J118" s="514">
        <f t="shared" si="33"/>
        <v>0</v>
      </c>
      <c r="K118" s="514"/>
      <c r="L118" s="525"/>
      <c r="M118" s="514">
        <f t="shared" si="35"/>
        <v>0</v>
      </c>
      <c r="N118" s="525"/>
      <c r="O118" s="514">
        <f t="shared" si="37"/>
        <v>0</v>
      </c>
      <c r="P118" s="514">
        <f t="shared" si="38"/>
        <v>0</v>
      </c>
      <c r="Q118" s="269"/>
    </row>
    <row r="119" spans="2:17">
      <c r="B119" s="195" t="str">
        <f t="shared" si="39"/>
        <v/>
      </c>
      <c r="C119" s="507">
        <f>IF(D93="","-",+C118+1)</f>
        <v>2030</v>
      </c>
      <c r="D119" s="374">
        <f>IF(F118+SUM(E$99:E118)=D$92,F118,D$92-SUM(E$99:E118))</f>
        <v>2550465.3104286534</v>
      </c>
      <c r="E119" s="522">
        <f>IF(+J96&lt;F118,J96,D119)</f>
        <v>116954.60975609756</v>
      </c>
      <c r="F119" s="523">
        <f t="shared" si="47"/>
        <v>2433510.7006725557</v>
      </c>
      <c r="G119" s="523">
        <f t="shared" si="48"/>
        <v>2491988.0055506043</v>
      </c>
      <c r="H119" s="526">
        <f t="shared" si="49"/>
        <v>399830.70033397689</v>
      </c>
      <c r="I119" s="577">
        <f t="shared" si="50"/>
        <v>399830.70033397689</v>
      </c>
      <c r="J119" s="514">
        <f t="shared" si="33"/>
        <v>0</v>
      </c>
      <c r="K119" s="514"/>
      <c r="L119" s="525"/>
      <c r="M119" s="514">
        <f t="shared" si="35"/>
        <v>0</v>
      </c>
      <c r="N119" s="525"/>
      <c r="O119" s="514">
        <f t="shared" si="37"/>
        <v>0</v>
      </c>
      <c r="P119" s="514">
        <f t="shared" si="38"/>
        <v>0</v>
      </c>
      <c r="Q119" s="269"/>
    </row>
    <row r="120" spans="2:17">
      <c r="B120" s="195" t="str">
        <f t="shared" si="39"/>
        <v/>
      </c>
      <c r="C120" s="507">
        <f>IF(D93="","-",+C119+1)</f>
        <v>2031</v>
      </c>
      <c r="D120" s="374">
        <f>IF(F119+SUM(E$99:E119)=D$92,F119,D$92-SUM(E$99:E119))</f>
        <v>2433510.7006725557</v>
      </c>
      <c r="E120" s="522">
        <f>IF(+J96&lt;F119,J96,D120)</f>
        <v>116954.60975609756</v>
      </c>
      <c r="F120" s="523">
        <f t="shared" si="47"/>
        <v>2316556.0909164581</v>
      </c>
      <c r="G120" s="523">
        <f t="shared" si="48"/>
        <v>2375033.3957945071</v>
      </c>
      <c r="H120" s="526">
        <f t="shared" si="49"/>
        <v>386554.68828689784</v>
      </c>
      <c r="I120" s="577">
        <f t="shared" si="50"/>
        <v>386554.68828689784</v>
      </c>
      <c r="J120" s="514">
        <f t="shared" si="33"/>
        <v>0</v>
      </c>
      <c r="K120" s="514"/>
      <c r="L120" s="525"/>
      <c r="M120" s="514">
        <f t="shared" si="35"/>
        <v>0</v>
      </c>
      <c r="N120" s="525"/>
      <c r="O120" s="514">
        <f t="shared" si="37"/>
        <v>0</v>
      </c>
      <c r="P120" s="514">
        <f t="shared" si="38"/>
        <v>0</v>
      </c>
      <c r="Q120" s="269"/>
    </row>
    <row r="121" spans="2:17">
      <c r="B121" s="195" t="str">
        <f t="shared" si="39"/>
        <v/>
      </c>
      <c r="C121" s="507">
        <f>IF(D93="","-",+C120+1)</f>
        <v>2032</v>
      </c>
      <c r="D121" s="374">
        <f>IF(F120+SUM(E$99:E120)=D$92,F120,D$92-SUM(E$99:E120))</f>
        <v>2316556.0909164581</v>
      </c>
      <c r="E121" s="522">
        <f>IF(+J96&lt;F120,J96,D121)</f>
        <v>116954.60975609756</v>
      </c>
      <c r="F121" s="523">
        <f t="shared" si="47"/>
        <v>2199601.4811603604</v>
      </c>
      <c r="G121" s="523">
        <f t="shared" si="48"/>
        <v>2258078.786038409</v>
      </c>
      <c r="H121" s="526">
        <f t="shared" si="49"/>
        <v>373278.67623981874</v>
      </c>
      <c r="I121" s="577">
        <f t="shared" si="50"/>
        <v>373278.67623981874</v>
      </c>
      <c r="J121" s="514">
        <f t="shared" si="33"/>
        <v>0</v>
      </c>
      <c r="K121" s="514"/>
      <c r="L121" s="525"/>
      <c r="M121" s="514">
        <f t="shared" si="35"/>
        <v>0</v>
      </c>
      <c r="N121" s="525"/>
      <c r="O121" s="514">
        <f t="shared" si="37"/>
        <v>0</v>
      </c>
      <c r="P121" s="514">
        <f t="shared" si="38"/>
        <v>0</v>
      </c>
      <c r="Q121" s="269"/>
    </row>
    <row r="122" spans="2:17">
      <c r="B122" s="195" t="str">
        <f t="shared" si="39"/>
        <v/>
      </c>
      <c r="C122" s="507">
        <f>IF(D93="","-",+C121+1)</f>
        <v>2033</v>
      </c>
      <c r="D122" s="374">
        <f>IF(F121+SUM(E$99:E121)=D$92,F121,D$92-SUM(E$99:E121))</f>
        <v>2199601.4811603604</v>
      </c>
      <c r="E122" s="522">
        <f>IF(+J96&lt;F121,J96,D122)</f>
        <v>116954.60975609756</v>
      </c>
      <c r="F122" s="523">
        <f t="shared" si="47"/>
        <v>2082646.8714042627</v>
      </c>
      <c r="G122" s="523">
        <f t="shared" si="48"/>
        <v>2141124.1762823118</v>
      </c>
      <c r="H122" s="526">
        <f t="shared" si="49"/>
        <v>360002.6641927397</v>
      </c>
      <c r="I122" s="577">
        <f t="shared" si="50"/>
        <v>360002.6641927397</v>
      </c>
      <c r="J122" s="514">
        <f t="shared" si="33"/>
        <v>0</v>
      </c>
      <c r="K122" s="514"/>
      <c r="L122" s="525"/>
      <c r="M122" s="514">
        <f t="shared" si="35"/>
        <v>0</v>
      </c>
      <c r="N122" s="525"/>
      <c r="O122" s="514">
        <f t="shared" si="37"/>
        <v>0</v>
      </c>
      <c r="P122" s="514">
        <f t="shared" si="38"/>
        <v>0</v>
      </c>
      <c r="Q122" s="269"/>
    </row>
    <row r="123" spans="2:17">
      <c r="B123" s="195" t="str">
        <f t="shared" si="39"/>
        <v/>
      </c>
      <c r="C123" s="507">
        <f>IF(D93="","-",+C122+1)</f>
        <v>2034</v>
      </c>
      <c r="D123" s="374">
        <f>IF(F122+SUM(E$99:E122)=D$92,F122,D$92-SUM(E$99:E122))</f>
        <v>2082646.8714042627</v>
      </c>
      <c r="E123" s="522">
        <f>IF(+J96&lt;F122,J96,D123)</f>
        <v>116954.60975609756</v>
      </c>
      <c r="F123" s="523">
        <f t="shared" si="47"/>
        <v>1965692.2616481651</v>
      </c>
      <c r="G123" s="523">
        <f t="shared" si="48"/>
        <v>2024169.5665262139</v>
      </c>
      <c r="H123" s="526">
        <f t="shared" si="49"/>
        <v>346726.6521456606</v>
      </c>
      <c r="I123" s="577">
        <f t="shared" si="50"/>
        <v>346726.6521456606</v>
      </c>
      <c r="J123" s="514">
        <f t="shared" si="33"/>
        <v>0</v>
      </c>
      <c r="K123" s="514"/>
      <c r="L123" s="525"/>
      <c r="M123" s="514">
        <f t="shared" si="35"/>
        <v>0</v>
      </c>
      <c r="N123" s="525"/>
      <c r="O123" s="514">
        <f t="shared" si="37"/>
        <v>0</v>
      </c>
      <c r="P123" s="514">
        <f t="shared" si="38"/>
        <v>0</v>
      </c>
      <c r="Q123" s="269"/>
    </row>
    <row r="124" spans="2:17">
      <c r="B124" s="195" t="str">
        <f t="shared" si="39"/>
        <v/>
      </c>
      <c r="C124" s="507">
        <f>IF(D93="","-",+C123+1)</f>
        <v>2035</v>
      </c>
      <c r="D124" s="374">
        <f>IF(F123+SUM(E$99:E123)=D$92,F123,D$92-SUM(E$99:E123))</f>
        <v>1965692.2616481651</v>
      </c>
      <c r="E124" s="522">
        <f>IF(+J96&lt;F123,J96,D124)</f>
        <v>116954.60975609756</v>
      </c>
      <c r="F124" s="523">
        <f t="shared" si="47"/>
        <v>1848737.6518920674</v>
      </c>
      <c r="G124" s="523">
        <f t="shared" si="48"/>
        <v>1907214.9567701162</v>
      </c>
      <c r="H124" s="526">
        <f t="shared" si="49"/>
        <v>333450.6400985815</v>
      </c>
      <c r="I124" s="577">
        <f t="shared" si="50"/>
        <v>333450.6400985815</v>
      </c>
      <c r="J124" s="514">
        <f t="shared" si="33"/>
        <v>0</v>
      </c>
      <c r="K124" s="514"/>
      <c r="L124" s="525"/>
      <c r="M124" s="514">
        <f t="shared" si="35"/>
        <v>0</v>
      </c>
      <c r="N124" s="525"/>
      <c r="O124" s="514">
        <f t="shared" si="37"/>
        <v>0</v>
      </c>
      <c r="P124" s="514">
        <f t="shared" si="38"/>
        <v>0</v>
      </c>
      <c r="Q124" s="269"/>
    </row>
    <row r="125" spans="2:17">
      <c r="B125" s="195" t="str">
        <f t="shared" si="39"/>
        <v/>
      </c>
      <c r="C125" s="507">
        <f>IF(D93="","-",+C124+1)</f>
        <v>2036</v>
      </c>
      <c r="D125" s="374">
        <f>IF(F124+SUM(E$99:E124)=D$92,F124,D$92-SUM(E$99:E124))</f>
        <v>1848737.6518920674</v>
      </c>
      <c r="E125" s="522">
        <f>IF(+J96&lt;F124,J96,D125)</f>
        <v>116954.60975609756</v>
      </c>
      <c r="F125" s="523">
        <f t="shared" si="47"/>
        <v>1731783.0421359697</v>
      </c>
      <c r="G125" s="523">
        <f t="shared" si="48"/>
        <v>1790260.3470140186</v>
      </c>
      <c r="H125" s="526">
        <f t="shared" si="49"/>
        <v>320174.6280515024</v>
      </c>
      <c r="I125" s="577">
        <f t="shared" si="50"/>
        <v>320174.6280515024</v>
      </c>
      <c r="J125" s="514">
        <f t="shared" si="33"/>
        <v>0</v>
      </c>
      <c r="K125" s="514"/>
      <c r="L125" s="525"/>
      <c r="M125" s="514">
        <f t="shared" si="35"/>
        <v>0</v>
      </c>
      <c r="N125" s="525"/>
      <c r="O125" s="514">
        <f t="shared" si="37"/>
        <v>0</v>
      </c>
      <c r="P125" s="514">
        <f t="shared" si="38"/>
        <v>0</v>
      </c>
      <c r="Q125" s="269"/>
    </row>
    <row r="126" spans="2:17">
      <c r="B126" s="195" t="str">
        <f t="shared" si="39"/>
        <v/>
      </c>
      <c r="C126" s="507">
        <f>IF(D93="","-",+C125+1)</f>
        <v>2037</v>
      </c>
      <c r="D126" s="374">
        <f>IF(F125+SUM(E$99:E125)=D$92,F125,D$92-SUM(E$99:E125))</f>
        <v>1731783.0421359697</v>
      </c>
      <c r="E126" s="522">
        <f>IF(+J96&lt;F125,J96,D126)</f>
        <v>116954.60975609756</v>
      </c>
      <c r="F126" s="523">
        <f t="shared" si="47"/>
        <v>1614828.4323798721</v>
      </c>
      <c r="G126" s="523">
        <f t="shared" si="48"/>
        <v>1673305.7372579209</v>
      </c>
      <c r="H126" s="526">
        <f t="shared" si="49"/>
        <v>306898.6160044233</v>
      </c>
      <c r="I126" s="577">
        <f t="shared" si="50"/>
        <v>306898.6160044233</v>
      </c>
      <c r="J126" s="514">
        <f t="shared" si="33"/>
        <v>0</v>
      </c>
      <c r="K126" s="514"/>
      <c r="L126" s="525"/>
      <c r="M126" s="514">
        <f t="shared" si="35"/>
        <v>0</v>
      </c>
      <c r="N126" s="525"/>
      <c r="O126" s="514">
        <f t="shared" si="37"/>
        <v>0</v>
      </c>
      <c r="P126" s="514">
        <f t="shared" si="38"/>
        <v>0</v>
      </c>
      <c r="Q126" s="269"/>
    </row>
    <row r="127" spans="2:17">
      <c r="B127" s="195" t="str">
        <f t="shared" si="39"/>
        <v/>
      </c>
      <c r="C127" s="507">
        <f>IF(D93="","-",+C126+1)</f>
        <v>2038</v>
      </c>
      <c r="D127" s="374">
        <f>IF(F126+SUM(E$99:E126)=D$92,F126,D$92-SUM(E$99:E126))</f>
        <v>1614828.4323798721</v>
      </c>
      <c r="E127" s="522">
        <f>IF(+J96&lt;F126,J96,D127)</f>
        <v>116954.60975609756</v>
      </c>
      <c r="F127" s="523">
        <f t="shared" si="47"/>
        <v>1497873.8226237744</v>
      </c>
      <c r="G127" s="523">
        <f t="shared" si="48"/>
        <v>1556351.1275018232</v>
      </c>
      <c r="H127" s="526">
        <f t="shared" si="49"/>
        <v>293622.60395734425</v>
      </c>
      <c r="I127" s="577">
        <f t="shared" si="50"/>
        <v>293622.60395734425</v>
      </c>
      <c r="J127" s="514">
        <f t="shared" si="33"/>
        <v>0</v>
      </c>
      <c r="K127" s="514"/>
      <c r="L127" s="525"/>
      <c r="M127" s="514">
        <f t="shared" si="35"/>
        <v>0</v>
      </c>
      <c r="N127" s="525"/>
      <c r="O127" s="514">
        <f t="shared" si="37"/>
        <v>0</v>
      </c>
      <c r="P127" s="514">
        <f t="shared" si="38"/>
        <v>0</v>
      </c>
      <c r="Q127" s="269"/>
    </row>
    <row r="128" spans="2:17">
      <c r="B128" s="195" t="str">
        <f t="shared" si="39"/>
        <v/>
      </c>
      <c r="C128" s="507">
        <f>IF(D93="","-",+C127+1)</f>
        <v>2039</v>
      </c>
      <c r="D128" s="374">
        <f>IF(F127+SUM(E$99:E127)=D$92,F127,D$92-SUM(E$99:E127))</f>
        <v>1497873.8226237744</v>
      </c>
      <c r="E128" s="522">
        <f>IF(+J96&lt;F127,J96,D128)</f>
        <v>116954.60975609756</v>
      </c>
      <c r="F128" s="523">
        <f t="shared" si="47"/>
        <v>1380919.2128676767</v>
      </c>
      <c r="G128" s="523">
        <f t="shared" si="48"/>
        <v>1439396.5177457256</v>
      </c>
      <c r="H128" s="526">
        <f t="shared" si="49"/>
        <v>280346.59191026515</v>
      </c>
      <c r="I128" s="577">
        <f t="shared" si="50"/>
        <v>280346.59191026515</v>
      </c>
      <c r="J128" s="514">
        <f t="shared" si="33"/>
        <v>0</v>
      </c>
      <c r="K128" s="514"/>
      <c r="L128" s="525"/>
      <c r="M128" s="514">
        <f t="shared" si="35"/>
        <v>0</v>
      </c>
      <c r="N128" s="525"/>
      <c r="O128" s="514">
        <f t="shared" si="37"/>
        <v>0</v>
      </c>
      <c r="P128" s="514">
        <f t="shared" si="38"/>
        <v>0</v>
      </c>
      <c r="Q128" s="269"/>
    </row>
    <row r="129" spans="2:17">
      <c r="B129" s="195" t="str">
        <f t="shared" si="39"/>
        <v/>
      </c>
      <c r="C129" s="507">
        <f>IF(D93="","-",+C128+1)</f>
        <v>2040</v>
      </c>
      <c r="D129" s="374">
        <f>IF(F128+SUM(E$99:E128)=D$92,F128,D$92-SUM(E$99:E128))</f>
        <v>1380919.2128676767</v>
      </c>
      <c r="E129" s="522">
        <f>IF(+J96&lt;F128,J96,D129)</f>
        <v>116954.60975609756</v>
      </c>
      <c r="F129" s="523">
        <f t="shared" si="47"/>
        <v>1263964.6031115791</v>
      </c>
      <c r="G129" s="523">
        <f t="shared" si="48"/>
        <v>1322441.9079896279</v>
      </c>
      <c r="H129" s="526">
        <f t="shared" si="49"/>
        <v>267070.57986318605</v>
      </c>
      <c r="I129" s="577">
        <f t="shared" si="50"/>
        <v>267070.57986318605</v>
      </c>
      <c r="J129" s="514">
        <f t="shared" si="33"/>
        <v>0</v>
      </c>
      <c r="K129" s="514"/>
      <c r="L129" s="525"/>
      <c r="M129" s="514">
        <f t="shared" si="35"/>
        <v>0</v>
      </c>
      <c r="N129" s="525"/>
      <c r="O129" s="514">
        <f t="shared" si="37"/>
        <v>0</v>
      </c>
      <c r="P129" s="514">
        <f t="shared" si="38"/>
        <v>0</v>
      </c>
      <c r="Q129" s="269"/>
    </row>
    <row r="130" spans="2:17">
      <c r="B130" s="195" t="str">
        <f t="shared" si="39"/>
        <v/>
      </c>
      <c r="C130" s="507">
        <f>IF(D93="","-",+C129+1)</f>
        <v>2041</v>
      </c>
      <c r="D130" s="374">
        <f>IF(F129+SUM(E$99:E129)=D$92,F129,D$92-SUM(E$99:E129))</f>
        <v>1263964.6031115791</v>
      </c>
      <c r="E130" s="522">
        <f>IF(+J96&lt;F129,J96,D130)</f>
        <v>116954.60975609756</v>
      </c>
      <c r="F130" s="523">
        <f t="shared" si="47"/>
        <v>1147009.9933554814</v>
      </c>
      <c r="G130" s="523">
        <f t="shared" si="48"/>
        <v>1205487.2982335303</v>
      </c>
      <c r="H130" s="526">
        <f t="shared" si="49"/>
        <v>253794.56781610695</v>
      </c>
      <c r="I130" s="577">
        <f t="shared" si="50"/>
        <v>253794.56781610695</v>
      </c>
      <c r="J130" s="514">
        <f t="shared" si="33"/>
        <v>0</v>
      </c>
      <c r="K130" s="514"/>
      <c r="L130" s="525"/>
      <c r="M130" s="514">
        <f t="shared" si="35"/>
        <v>0</v>
      </c>
      <c r="N130" s="525"/>
      <c r="O130" s="514">
        <f t="shared" si="37"/>
        <v>0</v>
      </c>
      <c r="P130" s="514">
        <f t="shared" si="38"/>
        <v>0</v>
      </c>
      <c r="Q130" s="269"/>
    </row>
    <row r="131" spans="2:17">
      <c r="B131" s="195" t="str">
        <f t="shared" si="39"/>
        <v/>
      </c>
      <c r="C131" s="507">
        <f>IF(D93="","-",+C130+1)</f>
        <v>2042</v>
      </c>
      <c r="D131" s="374">
        <f>IF(F130+SUM(E$99:E130)=D$92,F130,D$92-SUM(E$99:E130))</f>
        <v>1147009.9933554814</v>
      </c>
      <c r="E131" s="522">
        <f>IF(+J96&lt;F130,J96,D131)</f>
        <v>116954.60975609756</v>
      </c>
      <c r="F131" s="523">
        <f t="shared" si="47"/>
        <v>1030055.3835993839</v>
      </c>
      <c r="G131" s="523">
        <f t="shared" ref="G131:G154" si="51">+(F131+D131)/2</f>
        <v>1088532.6884774326</v>
      </c>
      <c r="H131" s="526">
        <f t="shared" ref="H131:H154" si="52">+J$94*G131+E131</f>
        <v>240518.55576902785</v>
      </c>
      <c r="I131" s="577">
        <f t="shared" ref="I131:I154" si="53">+J$95*G131+E131</f>
        <v>240518.55576902785</v>
      </c>
      <c r="J131" s="514">
        <f t="shared" ref="J131:J154" si="54">+I131-H131</f>
        <v>0</v>
      </c>
      <c r="K131" s="514"/>
      <c r="L131" s="525"/>
      <c r="M131" s="514">
        <f t="shared" ref="M131:M154" si="55">IF(L131&lt;&gt;0,+H131-L131,0)</f>
        <v>0</v>
      </c>
      <c r="N131" s="525"/>
      <c r="O131" s="514">
        <f t="shared" ref="O131:O154" si="56">IF(N131&lt;&gt;0,+I131-N131,0)</f>
        <v>0</v>
      </c>
      <c r="P131" s="514">
        <f t="shared" ref="P131:P154" si="57">+O131-M131</f>
        <v>0</v>
      </c>
      <c r="Q131" s="269"/>
    </row>
    <row r="132" spans="2:17">
      <c r="B132" s="195" t="str">
        <f t="shared" si="39"/>
        <v/>
      </c>
      <c r="C132" s="507">
        <f>IF(D93="","-",+C131+1)</f>
        <v>2043</v>
      </c>
      <c r="D132" s="374">
        <f>IF(F131+SUM(E$99:E131)=D$92,F131,D$92-SUM(E$99:E131))</f>
        <v>1030055.3835993839</v>
      </c>
      <c r="E132" s="522">
        <f>IF(+J96&lt;F131,J96,D132)</f>
        <v>116954.60975609756</v>
      </c>
      <c r="F132" s="523">
        <f t="shared" ref="F132:F154" si="58">+D132-E132</f>
        <v>913100.77384328633</v>
      </c>
      <c r="G132" s="523">
        <f t="shared" si="51"/>
        <v>971578.07872133516</v>
      </c>
      <c r="H132" s="526">
        <f t="shared" si="52"/>
        <v>227242.54372194881</v>
      </c>
      <c r="I132" s="577">
        <f t="shared" si="53"/>
        <v>227242.54372194881</v>
      </c>
      <c r="J132" s="514">
        <f t="shared" si="54"/>
        <v>0</v>
      </c>
      <c r="K132" s="514"/>
      <c r="L132" s="525"/>
      <c r="M132" s="514">
        <f t="shared" si="55"/>
        <v>0</v>
      </c>
      <c r="N132" s="525"/>
      <c r="O132" s="514">
        <f t="shared" si="56"/>
        <v>0</v>
      </c>
      <c r="P132" s="514">
        <f t="shared" si="57"/>
        <v>0</v>
      </c>
      <c r="Q132" s="269"/>
    </row>
    <row r="133" spans="2:17">
      <c r="B133" s="195" t="str">
        <f t="shared" si="39"/>
        <v/>
      </c>
      <c r="C133" s="507">
        <f>IF(D93="","-",+C132+1)</f>
        <v>2044</v>
      </c>
      <c r="D133" s="374">
        <f>IF(F132+SUM(E$99:E132)=D$92,F132,D$92-SUM(E$99:E132))</f>
        <v>913100.77384328633</v>
      </c>
      <c r="E133" s="522">
        <f>IF(+J96&lt;F132,J96,D133)</f>
        <v>116954.60975609756</v>
      </c>
      <c r="F133" s="523">
        <f t="shared" si="58"/>
        <v>796146.16408718878</v>
      </c>
      <c r="G133" s="523">
        <f t="shared" si="51"/>
        <v>854623.46896523749</v>
      </c>
      <c r="H133" s="526">
        <f t="shared" si="52"/>
        <v>213966.53167486971</v>
      </c>
      <c r="I133" s="577">
        <f t="shared" si="53"/>
        <v>213966.53167486971</v>
      </c>
      <c r="J133" s="514">
        <f t="shared" si="54"/>
        <v>0</v>
      </c>
      <c r="K133" s="514"/>
      <c r="L133" s="525"/>
      <c r="M133" s="514">
        <f t="shared" si="55"/>
        <v>0</v>
      </c>
      <c r="N133" s="525"/>
      <c r="O133" s="514">
        <f t="shared" si="56"/>
        <v>0</v>
      </c>
      <c r="P133" s="514">
        <f t="shared" si="57"/>
        <v>0</v>
      </c>
      <c r="Q133" s="269"/>
    </row>
    <row r="134" spans="2:17">
      <c r="B134" s="195" t="str">
        <f t="shared" si="39"/>
        <v/>
      </c>
      <c r="C134" s="507">
        <f>IF(D93="","-",+C133+1)</f>
        <v>2045</v>
      </c>
      <c r="D134" s="374">
        <f>IF(F133+SUM(E$99:E133)=D$92,F133,D$92-SUM(E$99:E133))</f>
        <v>796146.16408718878</v>
      </c>
      <c r="E134" s="522">
        <f>IF(+J96&lt;F133,J96,D134)</f>
        <v>116954.60975609756</v>
      </c>
      <c r="F134" s="523">
        <f t="shared" si="58"/>
        <v>679191.55433109123</v>
      </c>
      <c r="G134" s="523">
        <f t="shared" si="51"/>
        <v>737668.85920914006</v>
      </c>
      <c r="H134" s="526">
        <f t="shared" si="52"/>
        <v>200690.51962779067</v>
      </c>
      <c r="I134" s="577">
        <f t="shared" si="53"/>
        <v>200690.51962779067</v>
      </c>
      <c r="J134" s="514">
        <f t="shared" si="54"/>
        <v>0</v>
      </c>
      <c r="K134" s="514"/>
      <c r="L134" s="525"/>
      <c r="M134" s="514">
        <f t="shared" si="55"/>
        <v>0</v>
      </c>
      <c r="N134" s="525"/>
      <c r="O134" s="514">
        <f t="shared" si="56"/>
        <v>0</v>
      </c>
      <c r="P134" s="514">
        <f t="shared" si="57"/>
        <v>0</v>
      </c>
      <c r="Q134" s="269"/>
    </row>
    <row r="135" spans="2:17">
      <c r="B135" s="195" t="str">
        <f t="shared" si="39"/>
        <v/>
      </c>
      <c r="C135" s="507">
        <f>IF(D93="","-",+C134+1)</f>
        <v>2046</v>
      </c>
      <c r="D135" s="374">
        <f>IF(F134+SUM(E$99:E134)=D$92,F134,D$92-SUM(E$99:E134))</f>
        <v>679191.55433109123</v>
      </c>
      <c r="E135" s="522">
        <f>IF(+J96&lt;F134,J96,D135)</f>
        <v>116954.60975609756</v>
      </c>
      <c r="F135" s="523">
        <f t="shared" si="58"/>
        <v>562236.94457499369</v>
      </c>
      <c r="G135" s="523">
        <f t="shared" si="51"/>
        <v>620714.2494530424</v>
      </c>
      <c r="H135" s="526">
        <f t="shared" si="52"/>
        <v>187414.50758071156</v>
      </c>
      <c r="I135" s="577">
        <f t="shared" si="53"/>
        <v>187414.50758071156</v>
      </c>
      <c r="J135" s="514">
        <f t="shared" si="54"/>
        <v>0</v>
      </c>
      <c r="K135" s="514"/>
      <c r="L135" s="525"/>
      <c r="M135" s="514">
        <f t="shared" si="55"/>
        <v>0</v>
      </c>
      <c r="N135" s="525"/>
      <c r="O135" s="514">
        <f t="shared" si="56"/>
        <v>0</v>
      </c>
      <c r="P135" s="514">
        <f t="shared" si="57"/>
        <v>0</v>
      </c>
      <c r="Q135" s="269"/>
    </row>
    <row r="136" spans="2:17">
      <c r="B136" s="195" t="str">
        <f t="shared" si="39"/>
        <v/>
      </c>
      <c r="C136" s="507">
        <f>IF(D93="","-",+C135+1)</f>
        <v>2047</v>
      </c>
      <c r="D136" s="374">
        <f>IF(F135+SUM(E$99:E135)=D$92,F135,D$92-SUM(E$99:E135))</f>
        <v>562236.94457499369</v>
      </c>
      <c r="E136" s="522">
        <f>IF(+J96&lt;F135,J96,D136)</f>
        <v>116954.60975609756</v>
      </c>
      <c r="F136" s="523">
        <f t="shared" si="58"/>
        <v>445282.33481889614</v>
      </c>
      <c r="G136" s="523">
        <f t="shared" si="51"/>
        <v>503759.63969694491</v>
      </c>
      <c r="H136" s="526">
        <f t="shared" si="52"/>
        <v>174138.49553363249</v>
      </c>
      <c r="I136" s="577">
        <f t="shared" si="53"/>
        <v>174138.49553363249</v>
      </c>
      <c r="J136" s="514">
        <f t="shared" si="54"/>
        <v>0</v>
      </c>
      <c r="K136" s="514"/>
      <c r="L136" s="525"/>
      <c r="M136" s="514">
        <f t="shared" si="55"/>
        <v>0</v>
      </c>
      <c r="N136" s="525"/>
      <c r="O136" s="514">
        <f t="shared" si="56"/>
        <v>0</v>
      </c>
      <c r="P136" s="514">
        <f t="shared" si="57"/>
        <v>0</v>
      </c>
      <c r="Q136" s="269"/>
    </row>
    <row r="137" spans="2:17">
      <c r="B137" s="195" t="str">
        <f t="shared" si="39"/>
        <v/>
      </c>
      <c r="C137" s="507">
        <f>IF(D93="","-",+C136+1)</f>
        <v>2048</v>
      </c>
      <c r="D137" s="374">
        <f>IF(F136+SUM(E$99:E136)=D$92,F136,D$92-SUM(E$99:E136))</f>
        <v>445282.33481889614</v>
      </c>
      <c r="E137" s="522">
        <f>IF(+J96&lt;F136,J96,D137)</f>
        <v>116954.60975609756</v>
      </c>
      <c r="F137" s="523">
        <f t="shared" si="58"/>
        <v>328327.72506279859</v>
      </c>
      <c r="G137" s="523">
        <f t="shared" si="51"/>
        <v>386805.02994084737</v>
      </c>
      <c r="H137" s="526">
        <f t="shared" si="52"/>
        <v>160862.48348655342</v>
      </c>
      <c r="I137" s="577">
        <f t="shared" si="53"/>
        <v>160862.48348655342</v>
      </c>
      <c r="J137" s="514">
        <f t="shared" si="54"/>
        <v>0</v>
      </c>
      <c r="K137" s="514"/>
      <c r="L137" s="525"/>
      <c r="M137" s="514">
        <f t="shared" si="55"/>
        <v>0</v>
      </c>
      <c r="N137" s="525"/>
      <c r="O137" s="514">
        <f t="shared" si="56"/>
        <v>0</v>
      </c>
      <c r="P137" s="514">
        <f t="shared" si="57"/>
        <v>0</v>
      </c>
      <c r="Q137" s="269"/>
    </row>
    <row r="138" spans="2:17">
      <c r="B138" s="195" t="str">
        <f t="shared" si="39"/>
        <v/>
      </c>
      <c r="C138" s="507">
        <f>IF(D93="","-",+C137+1)</f>
        <v>2049</v>
      </c>
      <c r="D138" s="374">
        <f>IF(F137+SUM(E$99:E137)=D$92,F137,D$92-SUM(E$99:E137))</f>
        <v>328327.72506279859</v>
      </c>
      <c r="E138" s="522">
        <f>IF(+J96&lt;F137,J96,D138)</f>
        <v>116954.60975609756</v>
      </c>
      <c r="F138" s="523">
        <f t="shared" si="58"/>
        <v>211373.11530670105</v>
      </c>
      <c r="G138" s="523">
        <f t="shared" si="51"/>
        <v>269850.42018474982</v>
      </c>
      <c r="H138" s="526">
        <f t="shared" si="52"/>
        <v>147586.47143947435</v>
      </c>
      <c r="I138" s="577">
        <f t="shared" si="53"/>
        <v>147586.47143947435</v>
      </c>
      <c r="J138" s="514">
        <f t="shared" si="54"/>
        <v>0</v>
      </c>
      <c r="K138" s="514"/>
      <c r="L138" s="525"/>
      <c r="M138" s="514">
        <f t="shared" si="55"/>
        <v>0</v>
      </c>
      <c r="N138" s="525"/>
      <c r="O138" s="514">
        <f t="shared" si="56"/>
        <v>0</v>
      </c>
      <c r="P138" s="514">
        <f t="shared" si="57"/>
        <v>0</v>
      </c>
      <c r="Q138" s="269"/>
    </row>
    <row r="139" spans="2:17">
      <c r="B139" s="195" t="str">
        <f t="shared" si="39"/>
        <v/>
      </c>
      <c r="C139" s="507">
        <f>IF(D93="","-",+C138+1)</f>
        <v>2050</v>
      </c>
      <c r="D139" s="374">
        <f>IF(F138+SUM(E$99:E138)=D$92,F138,D$92-SUM(E$99:E138))</f>
        <v>211373.11530670105</v>
      </c>
      <c r="E139" s="522">
        <f>IF(+J96&lt;F138,J96,D139)</f>
        <v>116954.60975609756</v>
      </c>
      <c r="F139" s="523">
        <f t="shared" si="58"/>
        <v>94418.505550603484</v>
      </c>
      <c r="G139" s="523">
        <f t="shared" si="51"/>
        <v>152895.81042865227</v>
      </c>
      <c r="H139" s="526">
        <f t="shared" si="52"/>
        <v>134310.45939239528</v>
      </c>
      <c r="I139" s="577">
        <f t="shared" si="53"/>
        <v>134310.45939239528</v>
      </c>
      <c r="J139" s="514">
        <f t="shared" si="54"/>
        <v>0</v>
      </c>
      <c r="K139" s="514"/>
      <c r="L139" s="525"/>
      <c r="M139" s="514">
        <f t="shared" si="55"/>
        <v>0</v>
      </c>
      <c r="N139" s="525"/>
      <c r="O139" s="514">
        <f t="shared" si="56"/>
        <v>0</v>
      </c>
      <c r="P139" s="514">
        <f t="shared" si="57"/>
        <v>0</v>
      </c>
      <c r="Q139" s="269"/>
    </row>
    <row r="140" spans="2:17">
      <c r="B140" s="195" t="str">
        <f t="shared" si="39"/>
        <v/>
      </c>
      <c r="C140" s="507">
        <f>IF(D93="","-",+C139+1)</f>
        <v>2051</v>
      </c>
      <c r="D140" s="374">
        <f>IF(F139+SUM(E$99:E139)=D$92,F139,D$92-SUM(E$99:E139))</f>
        <v>94418.505550603484</v>
      </c>
      <c r="E140" s="522">
        <f>IF(+J96&lt;F139,J96,D140)</f>
        <v>94418.505550603484</v>
      </c>
      <c r="F140" s="523">
        <f t="shared" si="58"/>
        <v>0</v>
      </c>
      <c r="G140" s="523">
        <f t="shared" si="51"/>
        <v>47209.252775301742</v>
      </c>
      <c r="H140" s="526">
        <f t="shared" si="52"/>
        <v>99777.427356982575</v>
      </c>
      <c r="I140" s="577">
        <f t="shared" si="53"/>
        <v>99777.427356982575</v>
      </c>
      <c r="J140" s="514">
        <f t="shared" si="54"/>
        <v>0</v>
      </c>
      <c r="K140" s="514"/>
      <c r="L140" s="525"/>
      <c r="M140" s="514">
        <f t="shared" si="55"/>
        <v>0</v>
      </c>
      <c r="N140" s="525"/>
      <c r="O140" s="514">
        <f t="shared" si="56"/>
        <v>0</v>
      </c>
      <c r="P140" s="514">
        <f t="shared" si="57"/>
        <v>0</v>
      </c>
      <c r="Q140" s="269"/>
    </row>
    <row r="141" spans="2:17">
      <c r="B141" s="195" t="str">
        <f t="shared" si="39"/>
        <v/>
      </c>
      <c r="C141" s="507">
        <f>IF(D93="","-",+C140+1)</f>
        <v>2052</v>
      </c>
      <c r="D141" s="374">
        <f>IF(F140+SUM(E$99:E140)=D$92,F140,D$92-SUM(E$99:E140))</f>
        <v>0</v>
      </c>
      <c r="E141" s="522">
        <f>IF(+J96&lt;F140,J96,D141)</f>
        <v>0</v>
      </c>
      <c r="F141" s="523">
        <f t="shared" si="58"/>
        <v>0</v>
      </c>
      <c r="G141" s="523">
        <f t="shared" si="51"/>
        <v>0</v>
      </c>
      <c r="H141" s="526">
        <f t="shared" si="52"/>
        <v>0</v>
      </c>
      <c r="I141" s="577">
        <f t="shared" si="53"/>
        <v>0</v>
      </c>
      <c r="J141" s="514">
        <f t="shared" si="54"/>
        <v>0</v>
      </c>
      <c r="K141" s="514"/>
      <c r="L141" s="525"/>
      <c r="M141" s="514">
        <f t="shared" si="55"/>
        <v>0</v>
      </c>
      <c r="N141" s="525"/>
      <c r="O141" s="514">
        <f t="shared" si="56"/>
        <v>0</v>
      </c>
      <c r="P141" s="514">
        <f t="shared" si="57"/>
        <v>0</v>
      </c>
      <c r="Q141" s="269"/>
    </row>
    <row r="142" spans="2:17">
      <c r="B142" s="195" t="str">
        <f t="shared" si="39"/>
        <v/>
      </c>
      <c r="C142" s="507">
        <f>IF(D93="","-",+C141+1)</f>
        <v>2053</v>
      </c>
      <c r="D142" s="374">
        <f>IF(F141+SUM(E$99:E141)=D$92,F141,D$92-SUM(E$99:E141))</f>
        <v>0</v>
      </c>
      <c r="E142" s="522">
        <f>IF(+J96&lt;F141,J96,D142)</f>
        <v>0</v>
      </c>
      <c r="F142" s="523">
        <f t="shared" si="58"/>
        <v>0</v>
      </c>
      <c r="G142" s="523">
        <f t="shared" si="51"/>
        <v>0</v>
      </c>
      <c r="H142" s="526">
        <f t="shared" si="52"/>
        <v>0</v>
      </c>
      <c r="I142" s="577">
        <f t="shared" si="53"/>
        <v>0</v>
      </c>
      <c r="J142" s="514">
        <f t="shared" si="54"/>
        <v>0</v>
      </c>
      <c r="K142" s="514"/>
      <c r="L142" s="525"/>
      <c r="M142" s="514">
        <f t="shared" si="55"/>
        <v>0</v>
      </c>
      <c r="N142" s="525"/>
      <c r="O142" s="514">
        <f t="shared" si="56"/>
        <v>0</v>
      </c>
      <c r="P142" s="514">
        <f t="shared" si="57"/>
        <v>0</v>
      </c>
      <c r="Q142" s="269"/>
    </row>
    <row r="143" spans="2:17">
      <c r="B143" s="195" t="str">
        <f t="shared" si="39"/>
        <v/>
      </c>
      <c r="C143" s="507">
        <f>IF(D93="","-",+C142+1)</f>
        <v>2054</v>
      </c>
      <c r="D143" s="374">
        <f>IF(F142+SUM(E$99:E142)=D$92,F142,D$92-SUM(E$99:E142))</f>
        <v>0</v>
      </c>
      <c r="E143" s="522">
        <f>IF(+J96&lt;F142,J96,D143)</f>
        <v>0</v>
      </c>
      <c r="F143" s="523">
        <f t="shared" si="58"/>
        <v>0</v>
      </c>
      <c r="G143" s="523">
        <f t="shared" si="51"/>
        <v>0</v>
      </c>
      <c r="H143" s="526">
        <f t="shared" si="52"/>
        <v>0</v>
      </c>
      <c r="I143" s="577">
        <f t="shared" si="53"/>
        <v>0</v>
      </c>
      <c r="J143" s="514">
        <f t="shared" si="54"/>
        <v>0</v>
      </c>
      <c r="K143" s="514"/>
      <c r="L143" s="525"/>
      <c r="M143" s="514">
        <f t="shared" si="55"/>
        <v>0</v>
      </c>
      <c r="N143" s="525"/>
      <c r="O143" s="514">
        <f t="shared" si="56"/>
        <v>0</v>
      </c>
      <c r="P143" s="514">
        <f t="shared" si="57"/>
        <v>0</v>
      </c>
      <c r="Q143" s="269"/>
    </row>
    <row r="144" spans="2:17">
      <c r="B144" s="195" t="str">
        <f t="shared" si="39"/>
        <v/>
      </c>
      <c r="C144" s="507">
        <f>IF(D93="","-",+C143+1)</f>
        <v>2055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58"/>
        <v>0</v>
      </c>
      <c r="G144" s="523">
        <f t="shared" si="51"/>
        <v>0</v>
      </c>
      <c r="H144" s="526">
        <f t="shared" si="52"/>
        <v>0</v>
      </c>
      <c r="I144" s="577">
        <f t="shared" si="53"/>
        <v>0</v>
      </c>
      <c r="J144" s="514">
        <f t="shared" si="54"/>
        <v>0</v>
      </c>
      <c r="K144" s="514"/>
      <c r="L144" s="525"/>
      <c r="M144" s="514">
        <f t="shared" si="55"/>
        <v>0</v>
      </c>
      <c r="N144" s="525"/>
      <c r="O144" s="514">
        <f t="shared" si="56"/>
        <v>0</v>
      </c>
      <c r="P144" s="514">
        <f t="shared" si="57"/>
        <v>0</v>
      </c>
      <c r="Q144" s="269"/>
    </row>
    <row r="145" spans="2:17">
      <c r="B145" s="195" t="str">
        <f t="shared" si="39"/>
        <v/>
      </c>
      <c r="C145" s="507">
        <f>IF(D93="","-",+C144+1)</f>
        <v>2056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58"/>
        <v>0</v>
      </c>
      <c r="G145" s="523">
        <f t="shared" si="51"/>
        <v>0</v>
      </c>
      <c r="H145" s="526">
        <f t="shared" si="52"/>
        <v>0</v>
      </c>
      <c r="I145" s="577">
        <f t="shared" si="53"/>
        <v>0</v>
      </c>
      <c r="J145" s="514">
        <f t="shared" si="54"/>
        <v>0</v>
      </c>
      <c r="K145" s="514"/>
      <c r="L145" s="525"/>
      <c r="M145" s="514">
        <f t="shared" si="55"/>
        <v>0</v>
      </c>
      <c r="N145" s="525"/>
      <c r="O145" s="514">
        <f t="shared" si="56"/>
        <v>0</v>
      </c>
      <c r="P145" s="514">
        <f t="shared" si="57"/>
        <v>0</v>
      </c>
      <c r="Q145" s="269"/>
    </row>
    <row r="146" spans="2:17">
      <c r="B146" s="195" t="str">
        <f t="shared" si="39"/>
        <v/>
      </c>
      <c r="C146" s="507">
        <f>IF(D93="","-",+C145+1)</f>
        <v>2057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58"/>
        <v>0</v>
      </c>
      <c r="G146" s="523">
        <f t="shared" si="51"/>
        <v>0</v>
      </c>
      <c r="H146" s="526">
        <f t="shared" si="52"/>
        <v>0</v>
      </c>
      <c r="I146" s="577">
        <f t="shared" si="53"/>
        <v>0</v>
      </c>
      <c r="J146" s="514">
        <f t="shared" si="54"/>
        <v>0</v>
      </c>
      <c r="K146" s="514"/>
      <c r="L146" s="525"/>
      <c r="M146" s="514">
        <f t="shared" si="55"/>
        <v>0</v>
      </c>
      <c r="N146" s="525"/>
      <c r="O146" s="514">
        <f t="shared" si="56"/>
        <v>0</v>
      </c>
      <c r="P146" s="514">
        <f t="shared" si="57"/>
        <v>0</v>
      </c>
      <c r="Q146" s="269"/>
    </row>
    <row r="147" spans="2:17">
      <c r="B147" s="195" t="str">
        <f t="shared" si="39"/>
        <v/>
      </c>
      <c r="C147" s="507">
        <f>IF(D93="","-",+C146+1)</f>
        <v>2058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58"/>
        <v>0</v>
      </c>
      <c r="G147" s="523">
        <f t="shared" si="51"/>
        <v>0</v>
      </c>
      <c r="H147" s="526">
        <f t="shared" si="52"/>
        <v>0</v>
      </c>
      <c r="I147" s="577">
        <f t="shared" si="53"/>
        <v>0</v>
      </c>
      <c r="J147" s="514">
        <f t="shared" si="54"/>
        <v>0</v>
      </c>
      <c r="K147" s="514"/>
      <c r="L147" s="525"/>
      <c r="M147" s="514">
        <f t="shared" si="55"/>
        <v>0</v>
      </c>
      <c r="N147" s="525"/>
      <c r="O147" s="514">
        <f t="shared" si="56"/>
        <v>0</v>
      </c>
      <c r="P147" s="514">
        <f t="shared" si="57"/>
        <v>0</v>
      </c>
      <c r="Q147" s="269"/>
    </row>
    <row r="148" spans="2:17">
      <c r="B148" s="195" t="str">
        <f t="shared" si="39"/>
        <v/>
      </c>
      <c r="C148" s="507">
        <f>IF(D93="","-",+C147+1)</f>
        <v>2059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58"/>
        <v>0</v>
      </c>
      <c r="G148" s="523">
        <f t="shared" si="51"/>
        <v>0</v>
      </c>
      <c r="H148" s="526">
        <f t="shared" si="52"/>
        <v>0</v>
      </c>
      <c r="I148" s="577">
        <f t="shared" si="53"/>
        <v>0</v>
      </c>
      <c r="J148" s="514">
        <f t="shared" si="54"/>
        <v>0</v>
      </c>
      <c r="K148" s="514"/>
      <c r="L148" s="525"/>
      <c r="M148" s="514">
        <f t="shared" si="55"/>
        <v>0</v>
      </c>
      <c r="N148" s="525"/>
      <c r="O148" s="514">
        <f t="shared" si="56"/>
        <v>0</v>
      </c>
      <c r="P148" s="514">
        <f t="shared" si="57"/>
        <v>0</v>
      </c>
      <c r="Q148" s="269"/>
    </row>
    <row r="149" spans="2:17">
      <c r="B149" s="195" t="str">
        <f t="shared" si="39"/>
        <v/>
      </c>
      <c r="C149" s="507">
        <f>IF(D93="","-",+C148+1)</f>
        <v>2060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58"/>
        <v>0</v>
      </c>
      <c r="G149" s="523">
        <f t="shared" si="51"/>
        <v>0</v>
      </c>
      <c r="H149" s="526">
        <f t="shared" si="52"/>
        <v>0</v>
      </c>
      <c r="I149" s="577">
        <f t="shared" si="53"/>
        <v>0</v>
      </c>
      <c r="J149" s="514">
        <f t="shared" si="54"/>
        <v>0</v>
      </c>
      <c r="K149" s="514"/>
      <c r="L149" s="525"/>
      <c r="M149" s="514">
        <f t="shared" si="55"/>
        <v>0</v>
      </c>
      <c r="N149" s="525"/>
      <c r="O149" s="514">
        <f t="shared" si="56"/>
        <v>0</v>
      </c>
      <c r="P149" s="514">
        <f t="shared" si="57"/>
        <v>0</v>
      </c>
      <c r="Q149" s="269"/>
    </row>
    <row r="150" spans="2:17">
      <c r="B150" s="195" t="str">
        <f t="shared" si="39"/>
        <v/>
      </c>
      <c r="C150" s="507">
        <f>IF(D93="","-",+C149+1)</f>
        <v>2061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58"/>
        <v>0</v>
      </c>
      <c r="G150" s="523">
        <f t="shared" si="51"/>
        <v>0</v>
      </c>
      <c r="H150" s="526">
        <f t="shared" si="52"/>
        <v>0</v>
      </c>
      <c r="I150" s="577">
        <f t="shared" si="53"/>
        <v>0</v>
      </c>
      <c r="J150" s="514">
        <f t="shared" si="54"/>
        <v>0</v>
      </c>
      <c r="K150" s="514"/>
      <c r="L150" s="525"/>
      <c r="M150" s="514">
        <f t="shared" si="55"/>
        <v>0</v>
      </c>
      <c r="N150" s="525"/>
      <c r="O150" s="514">
        <f t="shared" si="56"/>
        <v>0</v>
      </c>
      <c r="P150" s="514">
        <f t="shared" si="57"/>
        <v>0</v>
      </c>
      <c r="Q150" s="269"/>
    </row>
    <row r="151" spans="2:17">
      <c r="B151" s="195" t="str">
        <f t="shared" si="39"/>
        <v/>
      </c>
      <c r="C151" s="507">
        <f>IF(D93="","-",+C150+1)</f>
        <v>2062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58"/>
        <v>0</v>
      </c>
      <c r="G151" s="523">
        <f t="shared" si="51"/>
        <v>0</v>
      </c>
      <c r="H151" s="526">
        <f t="shared" si="52"/>
        <v>0</v>
      </c>
      <c r="I151" s="577">
        <f t="shared" si="53"/>
        <v>0</v>
      </c>
      <c r="J151" s="514">
        <f t="shared" si="54"/>
        <v>0</v>
      </c>
      <c r="K151" s="514"/>
      <c r="L151" s="525"/>
      <c r="M151" s="514">
        <f t="shared" si="55"/>
        <v>0</v>
      </c>
      <c r="N151" s="525"/>
      <c r="O151" s="514">
        <f t="shared" si="56"/>
        <v>0</v>
      </c>
      <c r="P151" s="514">
        <f t="shared" si="57"/>
        <v>0</v>
      </c>
      <c r="Q151" s="269"/>
    </row>
    <row r="152" spans="2:17">
      <c r="B152" s="195" t="str">
        <f t="shared" si="39"/>
        <v/>
      </c>
      <c r="C152" s="507">
        <f>IF(D93="","-",+C151+1)</f>
        <v>2063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58"/>
        <v>0</v>
      </c>
      <c r="G152" s="523">
        <f t="shared" si="51"/>
        <v>0</v>
      </c>
      <c r="H152" s="526">
        <f t="shared" si="52"/>
        <v>0</v>
      </c>
      <c r="I152" s="577">
        <f t="shared" si="53"/>
        <v>0</v>
      </c>
      <c r="J152" s="514">
        <f t="shared" si="54"/>
        <v>0</v>
      </c>
      <c r="K152" s="514"/>
      <c r="L152" s="525"/>
      <c r="M152" s="514">
        <f t="shared" si="55"/>
        <v>0</v>
      </c>
      <c r="N152" s="525"/>
      <c r="O152" s="514">
        <f t="shared" si="56"/>
        <v>0</v>
      </c>
      <c r="P152" s="514">
        <f t="shared" si="57"/>
        <v>0</v>
      </c>
      <c r="Q152" s="269"/>
    </row>
    <row r="153" spans="2:17">
      <c r="B153" s="195" t="str">
        <f t="shared" si="39"/>
        <v/>
      </c>
      <c r="C153" s="507">
        <f>IF(D93="","-",+C152+1)</f>
        <v>2064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58"/>
        <v>0</v>
      </c>
      <c r="G153" s="523">
        <f t="shared" si="51"/>
        <v>0</v>
      </c>
      <c r="H153" s="526">
        <f t="shared" si="52"/>
        <v>0</v>
      </c>
      <c r="I153" s="577">
        <f t="shared" si="53"/>
        <v>0</v>
      </c>
      <c r="J153" s="514">
        <f t="shared" si="54"/>
        <v>0</v>
      </c>
      <c r="K153" s="514"/>
      <c r="L153" s="525"/>
      <c r="M153" s="514">
        <f t="shared" si="55"/>
        <v>0</v>
      </c>
      <c r="N153" s="525"/>
      <c r="O153" s="514">
        <f t="shared" si="56"/>
        <v>0</v>
      </c>
      <c r="P153" s="514">
        <f t="shared" si="57"/>
        <v>0</v>
      </c>
      <c r="Q153" s="269"/>
    </row>
    <row r="154" spans="2:17" ht="13.5" thickBot="1">
      <c r="B154" s="195" t="str">
        <f t="shared" si="39"/>
        <v/>
      </c>
      <c r="C154" s="527">
        <f>IF(D93="","-",+C153+1)</f>
        <v>2065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58"/>
        <v>0</v>
      </c>
      <c r="G154" s="528">
        <f t="shared" si="51"/>
        <v>0</v>
      </c>
      <c r="H154" s="530">
        <f t="shared" si="52"/>
        <v>0</v>
      </c>
      <c r="I154" s="579">
        <f t="shared" si="53"/>
        <v>0</v>
      </c>
      <c r="J154" s="533">
        <f t="shared" si="54"/>
        <v>0</v>
      </c>
      <c r="K154" s="514"/>
      <c r="L154" s="532"/>
      <c r="M154" s="533">
        <f t="shared" si="55"/>
        <v>0</v>
      </c>
      <c r="N154" s="532"/>
      <c r="O154" s="533">
        <f t="shared" si="56"/>
        <v>0</v>
      </c>
      <c r="P154" s="533">
        <f t="shared" si="57"/>
        <v>0</v>
      </c>
      <c r="Q154" s="269"/>
    </row>
    <row r="155" spans="2:17">
      <c r="C155" s="374" t="s">
        <v>78</v>
      </c>
      <c r="D155" s="375"/>
      <c r="E155" s="375">
        <f>SUM(E99:E154)</f>
        <v>4795139.0000000009</v>
      </c>
      <c r="F155" s="375"/>
      <c r="G155" s="375"/>
      <c r="H155" s="375">
        <f>SUM(H99:H154)</f>
        <v>16838343.152748343</v>
      </c>
      <c r="I155" s="375">
        <f>SUM(I99:I154)</f>
        <v>16838343.152748343</v>
      </c>
      <c r="J155" s="375">
        <f>SUM(J99:J154)</f>
        <v>0</v>
      </c>
      <c r="K155" s="375"/>
      <c r="L155" s="375"/>
      <c r="M155" s="375"/>
      <c r="N155" s="375"/>
      <c r="O155" s="375"/>
      <c r="P155" s="269"/>
      <c r="Q155" s="269"/>
    </row>
    <row r="156" spans="2:17"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  <c r="Q156" s="269"/>
    </row>
    <row r="157" spans="2:17">
      <c r="C157" s="580" t="s">
        <v>92</v>
      </c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  <c r="Q157" s="269"/>
    </row>
    <row r="158" spans="2:17"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  <c r="Q158" s="269"/>
    </row>
    <row r="159" spans="2:17">
      <c r="C159" s="534" t="s">
        <v>97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  <c r="Q159" s="269"/>
    </row>
    <row r="160" spans="2:17">
      <c r="C160" s="581" t="s">
        <v>79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  <c r="Q160" s="269"/>
    </row>
    <row r="161" spans="3:17">
      <c r="C161" s="581" t="s">
        <v>80</v>
      </c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  <c r="Q161" s="269"/>
    </row>
    <row r="162" spans="3:17" ht="18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454" t="s">
        <v>131</v>
      </c>
      <c r="Q162" s="269"/>
    </row>
    <row r="1048576" spans="12:14" ht="12.75" customHeight="1">
      <c r="L1048576" s="518">
        <f>H1048576</f>
        <v>0</v>
      </c>
      <c r="M1048576" s="519">
        <f>IF(L1048576&lt;&gt;0,+H1048576-L1048576,0)</f>
        <v>0</v>
      </c>
      <c r="N1048576" s="518">
        <f>I1048576</f>
        <v>0</v>
      </c>
    </row>
  </sheetData>
  <phoneticPr fontId="0" type="noConversion"/>
  <conditionalFormatting sqref="C17:C72">
    <cfRule type="cellIs" dxfId="117" priority="1" stopIfTrue="1" operator="equal">
      <formula>$I$10</formula>
    </cfRule>
  </conditionalFormatting>
  <conditionalFormatting sqref="C99:C154">
    <cfRule type="cellIs" dxfId="116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75"/>
  <dimension ref="A1:Q162"/>
  <sheetViews>
    <sheetView topLeftCell="A92" zoomScaleNormal="100" zoomScaleSheetLayoutView="75" workbookViewId="0">
      <selection activeCell="D99" sqref="D99:I111"/>
    </sheetView>
  </sheetViews>
  <sheetFormatPr defaultColWidth="8.7109375" defaultRowHeight="12.75" customHeight="1"/>
  <cols>
    <col min="1" max="1" width="4.7109375" style="183" customWidth="1"/>
    <col min="2" max="2" width="6.7109375" style="183" customWidth="1"/>
    <col min="3" max="3" width="23.28515625" style="183" customWidth="1"/>
    <col min="4" max="8" width="17.7109375" style="183" customWidth="1"/>
    <col min="9" max="9" width="20.42578125" style="183" customWidth="1"/>
    <col min="10" max="10" width="16.42578125" style="183" customWidth="1"/>
    <col min="11" max="11" width="17.7109375" style="183" customWidth="1"/>
    <col min="12" max="12" width="16.140625" style="183" customWidth="1"/>
    <col min="13" max="13" width="17.7109375" style="183" customWidth="1"/>
    <col min="14" max="14" width="16.140625" style="183" customWidth="1"/>
    <col min="15" max="15" width="16.85546875" style="183" customWidth="1"/>
    <col min="16" max="16" width="24.42578125" style="183" customWidth="1"/>
    <col min="17" max="17" width="4.7109375" style="183" customWidth="1"/>
    <col min="18" max="22" width="8.7109375" style="183"/>
    <col min="23" max="23" width="9.140625" style="183" customWidth="1"/>
    <col min="24" max="16384" width="8.7109375" style="183"/>
  </cols>
  <sheetData>
    <row r="1" spans="1:17" ht="20.25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24 of 75</v>
      </c>
      <c r="Q1" s="453"/>
    </row>
    <row r="2" spans="1:17" ht="18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454" t="s">
        <v>129</v>
      </c>
    </row>
    <row r="3" spans="1:17" ht="18.75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 t="str">
        <f>RIGHT(N3,3)</f>
        <v/>
      </c>
      <c r="P3" s="455">
        <v>1</v>
      </c>
    </row>
    <row r="4" spans="1:17" ht="15.75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7" ht="1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535832.06805947493</v>
      </c>
      <c r="P5" s="269"/>
    </row>
    <row r="6" spans="1:17" ht="15.7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535832.06805947493</v>
      </c>
      <c r="O6" s="269"/>
      <c r="P6" s="269"/>
    </row>
    <row r="7" spans="1:17" ht="13.5" thickBot="1">
      <c r="C7" s="467" t="s">
        <v>48</v>
      </c>
      <c r="D7" s="620" t="s">
        <v>253</v>
      </c>
      <c r="E7" s="269"/>
      <c r="F7" s="269"/>
      <c r="G7" s="534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7" ht="13.5" thickBot="1">
      <c r="C8" s="472"/>
      <c r="D8" s="473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7" ht="13.5" thickBot="1">
      <c r="A9" s="191"/>
      <c r="C9" s="476" t="s">
        <v>50</v>
      </c>
      <c r="D9" s="477" t="s">
        <v>252</v>
      </c>
      <c r="E9" s="478"/>
      <c r="F9" s="478"/>
      <c r="G9" s="478"/>
      <c r="H9" s="478"/>
      <c r="I9" s="479"/>
      <c r="J9" s="480"/>
      <c r="O9" s="481"/>
      <c r="P9" s="272"/>
    </row>
    <row r="10" spans="1:17">
      <c r="C10" s="482" t="s">
        <v>51</v>
      </c>
      <c r="D10" s="483">
        <v>5250739</v>
      </c>
      <c r="E10" s="353" t="s">
        <v>52</v>
      </c>
      <c r="F10" s="481"/>
      <c r="G10" s="484"/>
      <c r="H10" s="484"/>
      <c r="I10" s="485">
        <f>+'SWE.WS.F.BPU.ATRR.Projected'!L19</f>
        <v>2024</v>
      </c>
      <c r="J10" s="480"/>
      <c r="K10" s="375" t="s">
        <v>53</v>
      </c>
      <c r="O10" s="272"/>
      <c r="P10" s="272"/>
    </row>
    <row r="11" spans="1:17">
      <c r="C11" s="486" t="s">
        <v>54</v>
      </c>
      <c r="D11" s="487">
        <v>2010</v>
      </c>
      <c r="E11" s="486" t="s">
        <v>55</v>
      </c>
      <c r="F11" s="484"/>
      <c r="G11" s="233"/>
      <c r="H11" s="233"/>
      <c r="I11" s="488"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7">
      <c r="C12" s="486" t="s">
        <v>56</v>
      </c>
      <c r="D12" s="483">
        <v>6</v>
      </c>
      <c r="E12" s="486" t="s">
        <v>57</v>
      </c>
      <c r="F12" s="484"/>
      <c r="G12" s="233"/>
      <c r="H12" s="233"/>
      <c r="I12" s="490">
        <f>'SWE.WS.F.BPU.ATRR.Projected'!$F$81</f>
        <v>0.11952713165403545</v>
      </c>
      <c r="J12" s="425"/>
      <c r="K12" s="183" t="s">
        <v>58</v>
      </c>
      <c r="O12" s="272"/>
      <c r="P12" s="272"/>
    </row>
    <row r="13" spans="1:17">
      <c r="C13" s="486" t="s">
        <v>59</v>
      </c>
      <c r="D13" s="488">
        <f>+'SWE.WS.F.BPU.ATRR.Projected'!F$93</f>
        <v>44</v>
      </c>
      <c r="E13" s="486" t="s">
        <v>60</v>
      </c>
      <c r="F13" s="484"/>
      <c r="G13" s="233"/>
      <c r="H13" s="233"/>
      <c r="I13" s="490">
        <f>IF(G5="",I12,'SWE.WS.F.BPU.ATRR.Projected'!$F$80)</f>
        <v>0.11952713165403545</v>
      </c>
      <c r="J13" s="425"/>
      <c r="K13" s="375" t="s">
        <v>61</v>
      </c>
      <c r="L13" s="324"/>
      <c r="M13" s="324"/>
      <c r="N13" s="324"/>
      <c r="O13" s="272"/>
      <c r="P13" s="272"/>
    </row>
    <row r="14" spans="1:17" ht="13.5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119334.97727272728</v>
      </c>
      <c r="J14" s="375"/>
      <c r="K14" s="375"/>
      <c r="L14" s="375"/>
      <c r="M14" s="375"/>
      <c r="N14" s="375"/>
      <c r="O14" s="272"/>
      <c r="P14" s="272"/>
    </row>
    <row r="15" spans="1:17" ht="38.25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388</v>
      </c>
      <c r="H15" s="495" t="s">
        <v>389</v>
      </c>
      <c r="I15" s="496" t="s">
        <v>260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7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>
      <c r="C17" s="507">
        <f>IF(D11= "","-",D11)</f>
        <v>2010</v>
      </c>
      <c r="D17" s="508">
        <v>5473000</v>
      </c>
      <c r="E17" s="509">
        <v>72013.15789473684</v>
      </c>
      <c r="F17" s="508">
        <v>5400986.8421052629</v>
      </c>
      <c r="G17" s="509">
        <v>848486.02708834817</v>
      </c>
      <c r="H17" s="510">
        <v>848486.02708834817</v>
      </c>
      <c r="I17" s="517">
        <v>0</v>
      </c>
      <c r="J17" s="511"/>
      <c r="K17" s="512">
        <f t="shared" ref="K17:K22" si="0">G17</f>
        <v>848486.02708834817</v>
      </c>
      <c r="L17" s="597">
        <f t="shared" ref="L17:L48" si="1">IF(K17&lt;&gt;0,+G17-K17,0)</f>
        <v>0</v>
      </c>
      <c r="M17" s="512">
        <f t="shared" ref="M17:M22" si="2">H17</f>
        <v>848486.02708834817</v>
      </c>
      <c r="N17" s="513">
        <f t="shared" ref="N17:N48" si="3">IF(M17&lt;&gt;0,+H17-M17,0)</f>
        <v>0</v>
      </c>
      <c r="O17" s="514">
        <f t="shared" ref="O17:O48" si="4">+N17-L17</f>
        <v>0</v>
      </c>
      <c r="P17" s="272"/>
    </row>
    <row r="18" spans="2:16">
      <c r="B18" s="195" t="str">
        <f>IF(D18=F17,"","IU")</f>
        <v>IU</v>
      </c>
      <c r="C18" s="507">
        <f>IF(D11="","-",+C17+1)</f>
        <v>2011</v>
      </c>
      <c r="D18" s="515">
        <v>5178725.8421052629</v>
      </c>
      <c r="E18" s="516">
        <v>128066.80487804877</v>
      </c>
      <c r="F18" s="515">
        <v>5050659.0372272143</v>
      </c>
      <c r="G18" s="516">
        <v>916940.27252586046</v>
      </c>
      <c r="H18" s="510">
        <v>916940.27252586046</v>
      </c>
      <c r="I18" s="517">
        <v>0</v>
      </c>
      <c r="J18" s="511"/>
      <c r="K18" s="518">
        <f t="shared" si="0"/>
        <v>916940.27252586046</v>
      </c>
      <c r="L18" s="519">
        <f t="shared" si="1"/>
        <v>0</v>
      </c>
      <c r="M18" s="518">
        <f t="shared" si="2"/>
        <v>916940.27252586046</v>
      </c>
      <c r="N18" s="514">
        <f t="shared" si="3"/>
        <v>0</v>
      </c>
      <c r="O18" s="514">
        <f t="shared" si="4"/>
        <v>0</v>
      </c>
      <c r="P18" s="272"/>
    </row>
    <row r="19" spans="2:16">
      <c r="B19" s="195" t="str">
        <f>IF(D19=F18,"","IU")</f>
        <v/>
      </c>
      <c r="C19" s="507">
        <f>IF(D11="","-",+C18+1)</f>
        <v>2012</v>
      </c>
      <c r="D19" s="515">
        <v>5050659.0372272143</v>
      </c>
      <c r="E19" s="516">
        <v>125017.59523809524</v>
      </c>
      <c r="F19" s="515">
        <v>4925641.4419891192</v>
      </c>
      <c r="G19" s="516">
        <v>857559.68041241798</v>
      </c>
      <c r="H19" s="510">
        <v>857559.68041241798</v>
      </c>
      <c r="I19" s="517">
        <v>0</v>
      </c>
      <c r="J19" s="511"/>
      <c r="K19" s="518">
        <f t="shared" si="0"/>
        <v>857559.68041241798</v>
      </c>
      <c r="L19" s="519">
        <f t="shared" si="1"/>
        <v>0</v>
      </c>
      <c r="M19" s="518">
        <f t="shared" si="2"/>
        <v>857559.68041241798</v>
      </c>
      <c r="N19" s="514">
        <f t="shared" si="3"/>
        <v>0</v>
      </c>
      <c r="O19" s="514">
        <f t="shared" si="4"/>
        <v>0</v>
      </c>
      <c r="P19" s="272"/>
    </row>
    <row r="20" spans="2:16">
      <c r="B20" s="195" t="str">
        <f t="shared" ref="B20:B72" si="5">IF(D20=F19,"","IU")</f>
        <v/>
      </c>
      <c r="C20" s="507">
        <f>IF(D11="","-",+C19+1)</f>
        <v>2013</v>
      </c>
      <c r="D20" s="515">
        <v>4925641.4419891192</v>
      </c>
      <c r="E20" s="516">
        <v>125017.59523809524</v>
      </c>
      <c r="F20" s="515">
        <v>4800623.846751024</v>
      </c>
      <c r="G20" s="516">
        <v>797042.91968828405</v>
      </c>
      <c r="H20" s="510">
        <v>797042.91968828405</v>
      </c>
      <c r="I20" s="596">
        <v>0</v>
      </c>
      <c r="J20" s="511"/>
      <c r="K20" s="518">
        <f t="shared" si="0"/>
        <v>797042.91968828405</v>
      </c>
      <c r="L20" s="519">
        <f t="shared" ref="L20:L25" si="6">IF(K20&lt;&gt;0,+G20-K20,0)</f>
        <v>0</v>
      </c>
      <c r="M20" s="518">
        <f t="shared" si="2"/>
        <v>797042.91968828405</v>
      </c>
      <c r="N20" s="514">
        <f t="shared" ref="N20:N25" si="7">IF(M20&lt;&gt;0,+H20-M20,0)</f>
        <v>0</v>
      </c>
      <c r="O20" s="514">
        <f t="shared" ref="O20:O25" si="8">+N20-L20</f>
        <v>0</v>
      </c>
      <c r="P20" s="272"/>
    </row>
    <row r="21" spans="2:16">
      <c r="B21" s="195" t="str">
        <f t="shared" si="5"/>
        <v/>
      </c>
      <c r="C21" s="507">
        <f>IF(D12="","-",+C20+1)</f>
        <v>2014</v>
      </c>
      <c r="D21" s="515">
        <v>4800623.846751024</v>
      </c>
      <c r="E21" s="516">
        <v>125017.59523809524</v>
      </c>
      <c r="F21" s="515">
        <v>4675606.2515129289</v>
      </c>
      <c r="G21" s="516">
        <v>755806.01100655668</v>
      </c>
      <c r="H21" s="510">
        <v>755806.01100655668</v>
      </c>
      <c r="I21" s="596">
        <v>0</v>
      </c>
      <c r="J21" s="511"/>
      <c r="K21" s="518">
        <f t="shared" si="0"/>
        <v>755806.01100655668</v>
      </c>
      <c r="L21" s="519">
        <f t="shared" si="6"/>
        <v>0</v>
      </c>
      <c r="M21" s="518">
        <f t="shared" si="2"/>
        <v>755806.01100655668</v>
      </c>
      <c r="N21" s="514">
        <f t="shared" si="7"/>
        <v>0</v>
      </c>
      <c r="O21" s="514">
        <f t="shared" si="8"/>
        <v>0</v>
      </c>
      <c r="P21" s="272"/>
    </row>
    <row r="22" spans="2:16">
      <c r="B22" s="195" t="str">
        <f t="shared" si="5"/>
        <v/>
      </c>
      <c r="C22" s="507">
        <f>IF(D11="","-",+C21+1)</f>
        <v>2015</v>
      </c>
      <c r="D22" s="515">
        <v>4675606.2515129289</v>
      </c>
      <c r="E22" s="516">
        <v>125017.59523809524</v>
      </c>
      <c r="F22" s="515">
        <v>4550588.6562748337</v>
      </c>
      <c r="G22" s="516">
        <v>724351.96853237145</v>
      </c>
      <c r="H22" s="510">
        <v>724351.96853237145</v>
      </c>
      <c r="I22" s="511">
        <v>0</v>
      </c>
      <c r="J22" s="511"/>
      <c r="K22" s="518">
        <f t="shared" si="0"/>
        <v>724351.96853237145</v>
      </c>
      <c r="L22" s="519">
        <f t="shared" si="6"/>
        <v>0</v>
      </c>
      <c r="M22" s="518">
        <f t="shared" si="2"/>
        <v>724351.96853237145</v>
      </c>
      <c r="N22" s="514">
        <f t="shared" si="7"/>
        <v>0</v>
      </c>
      <c r="O22" s="514">
        <f t="shared" si="8"/>
        <v>0</v>
      </c>
      <c r="P22" s="272"/>
    </row>
    <row r="23" spans="2:16">
      <c r="B23" s="195" t="str">
        <f t="shared" si="5"/>
        <v/>
      </c>
      <c r="C23" s="507">
        <f>IF(D11="","-",+C22+1)</f>
        <v>2016</v>
      </c>
      <c r="D23" s="515">
        <v>4550588.6562748337</v>
      </c>
      <c r="E23" s="516">
        <v>125017.59523809524</v>
      </c>
      <c r="F23" s="515">
        <v>4425571.0610367386</v>
      </c>
      <c r="G23" s="516">
        <v>700695.76830220246</v>
      </c>
      <c r="H23" s="510">
        <v>700695.76830220246</v>
      </c>
      <c r="I23" s="511">
        <f t="shared" ref="I23:I48" si="9">H23-G23</f>
        <v>0</v>
      </c>
      <c r="J23" s="511"/>
      <c r="K23" s="518">
        <f t="shared" ref="K23:K28" si="10">G23</f>
        <v>700695.76830220246</v>
      </c>
      <c r="L23" s="519">
        <f t="shared" si="6"/>
        <v>0</v>
      </c>
      <c r="M23" s="518">
        <f t="shared" ref="M23:M28" si="11">H23</f>
        <v>700695.76830220246</v>
      </c>
      <c r="N23" s="514">
        <f t="shared" si="7"/>
        <v>0</v>
      </c>
      <c r="O23" s="514">
        <f t="shared" si="8"/>
        <v>0</v>
      </c>
      <c r="P23" s="272"/>
    </row>
    <row r="24" spans="2:16">
      <c r="B24" s="195" t="str">
        <f t="shared" si="5"/>
        <v/>
      </c>
      <c r="C24" s="507">
        <f>IF(D11="","-",+C23+1)</f>
        <v>2017</v>
      </c>
      <c r="D24" s="515">
        <v>4425571.0610367386</v>
      </c>
      <c r="E24" s="516">
        <v>122110.20930232559</v>
      </c>
      <c r="F24" s="515">
        <v>4303460.8517344128</v>
      </c>
      <c r="G24" s="516">
        <v>662841.14914820471</v>
      </c>
      <c r="H24" s="510">
        <v>662841.14914820471</v>
      </c>
      <c r="I24" s="511">
        <f t="shared" si="9"/>
        <v>0</v>
      </c>
      <c r="J24" s="511"/>
      <c r="K24" s="518">
        <f t="shared" si="10"/>
        <v>662841.14914820471</v>
      </c>
      <c r="L24" s="519">
        <f t="shared" si="6"/>
        <v>0</v>
      </c>
      <c r="M24" s="518">
        <f t="shared" si="11"/>
        <v>662841.14914820471</v>
      </c>
      <c r="N24" s="514">
        <f t="shared" si="7"/>
        <v>0</v>
      </c>
      <c r="O24" s="514">
        <f t="shared" si="8"/>
        <v>0</v>
      </c>
      <c r="P24" s="272"/>
    </row>
    <row r="25" spans="2:16">
      <c r="B25" s="195" t="str">
        <f t="shared" si="5"/>
        <v/>
      </c>
      <c r="C25" s="507">
        <f>IF(D11="","-",+C24+1)</f>
        <v>2018</v>
      </c>
      <c r="D25" s="515">
        <v>4303460.8517344128</v>
      </c>
      <c r="E25" s="516">
        <v>128066.80487804877</v>
      </c>
      <c r="F25" s="515">
        <v>4175394.0468563642</v>
      </c>
      <c r="G25" s="516">
        <v>666873.01651797513</v>
      </c>
      <c r="H25" s="510">
        <v>666873.01651797513</v>
      </c>
      <c r="I25" s="511">
        <f t="shared" si="9"/>
        <v>0</v>
      </c>
      <c r="J25" s="511"/>
      <c r="K25" s="518">
        <f t="shared" si="10"/>
        <v>666873.01651797513</v>
      </c>
      <c r="L25" s="519">
        <f t="shared" si="6"/>
        <v>0</v>
      </c>
      <c r="M25" s="518">
        <f t="shared" si="11"/>
        <v>666873.01651797513</v>
      </c>
      <c r="N25" s="514">
        <f t="shared" si="7"/>
        <v>0</v>
      </c>
      <c r="O25" s="514">
        <f t="shared" si="8"/>
        <v>0</v>
      </c>
      <c r="P25" s="272"/>
    </row>
    <row r="26" spans="2:16">
      <c r="B26" s="195" t="str">
        <f t="shared" si="5"/>
        <v/>
      </c>
      <c r="C26" s="507">
        <f>IF(D11="","-",+C25+1)</f>
        <v>2019</v>
      </c>
      <c r="D26" s="515">
        <v>4175394.0468563642</v>
      </c>
      <c r="E26" s="516">
        <v>128066.80487804877</v>
      </c>
      <c r="F26" s="515">
        <v>4047327.2419783156</v>
      </c>
      <c r="G26" s="516">
        <v>650596.48134937836</v>
      </c>
      <c r="H26" s="510">
        <v>650596.48134937836</v>
      </c>
      <c r="I26" s="511">
        <f t="shared" si="9"/>
        <v>0</v>
      </c>
      <c r="J26" s="511"/>
      <c r="K26" s="518">
        <f t="shared" si="10"/>
        <v>650596.48134937836</v>
      </c>
      <c r="L26" s="519">
        <f t="shared" ref="L26" si="12">IF(K26&lt;&gt;0,+G26-K26,0)</f>
        <v>0</v>
      </c>
      <c r="M26" s="518">
        <f t="shared" si="11"/>
        <v>650596.48134937836</v>
      </c>
      <c r="N26" s="514">
        <f t="shared" si="3"/>
        <v>0</v>
      </c>
      <c r="O26" s="514">
        <f t="shared" si="4"/>
        <v>0</v>
      </c>
      <c r="P26" s="272"/>
    </row>
    <row r="27" spans="2:16">
      <c r="B27" s="195" t="str">
        <f t="shared" si="5"/>
        <v/>
      </c>
      <c r="C27" s="507">
        <f>IF(D11="","-",+C26+1)</f>
        <v>2020</v>
      </c>
      <c r="D27" s="515">
        <v>4047327.2419783156</v>
      </c>
      <c r="E27" s="516">
        <v>128066.80487804877</v>
      </c>
      <c r="F27" s="515">
        <v>3919260.437100267</v>
      </c>
      <c r="G27" s="516">
        <v>535698.99348841433</v>
      </c>
      <c r="H27" s="510">
        <v>535698.99348841433</v>
      </c>
      <c r="I27" s="511">
        <f t="shared" si="9"/>
        <v>0</v>
      </c>
      <c r="J27" s="511"/>
      <c r="K27" s="518">
        <f t="shared" si="10"/>
        <v>535698.99348841433</v>
      </c>
      <c r="L27" s="519">
        <f t="shared" ref="L27" si="13">IF(K27&lt;&gt;0,+G27-K27,0)</f>
        <v>0</v>
      </c>
      <c r="M27" s="518">
        <f t="shared" si="11"/>
        <v>535698.99348841433</v>
      </c>
      <c r="N27" s="514">
        <f t="shared" si="3"/>
        <v>0</v>
      </c>
      <c r="O27" s="514">
        <f t="shared" si="4"/>
        <v>0</v>
      </c>
      <c r="P27" s="272"/>
    </row>
    <row r="28" spans="2:16">
      <c r="B28" s="195" t="str">
        <f t="shared" si="5"/>
        <v>IU</v>
      </c>
      <c r="C28" s="507">
        <f>IF(D11="","-",+C27+1)</f>
        <v>2021</v>
      </c>
      <c r="D28" s="515">
        <v>3925217.0326759894</v>
      </c>
      <c r="E28" s="516">
        <v>125017.59523809524</v>
      </c>
      <c r="F28" s="515">
        <v>3800199.4374378943</v>
      </c>
      <c r="G28" s="516">
        <v>534482.22432769614</v>
      </c>
      <c r="H28" s="510">
        <v>534482.22432769614</v>
      </c>
      <c r="I28" s="511">
        <f t="shared" si="9"/>
        <v>0</v>
      </c>
      <c r="J28" s="511"/>
      <c r="K28" s="518">
        <f t="shared" si="10"/>
        <v>534482.22432769614</v>
      </c>
      <c r="L28" s="519">
        <f t="shared" ref="L28" si="14">IF(K28&lt;&gt;0,+G28-K28,0)</f>
        <v>0</v>
      </c>
      <c r="M28" s="518">
        <f t="shared" si="11"/>
        <v>534482.22432769614</v>
      </c>
      <c r="N28" s="514">
        <f t="shared" si="3"/>
        <v>0</v>
      </c>
      <c r="O28" s="514">
        <f t="shared" si="4"/>
        <v>0</v>
      </c>
      <c r="P28" s="272"/>
    </row>
    <row r="29" spans="2:16">
      <c r="B29" s="195" t="str">
        <f t="shared" si="5"/>
        <v>IU</v>
      </c>
      <c r="C29" s="507">
        <f>IF(D11="","-",+C28+1)</f>
        <v>2022</v>
      </c>
      <c r="D29" s="515">
        <v>3794242.841862171</v>
      </c>
      <c r="E29" s="516">
        <v>125017.59523809524</v>
      </c>
      <c r="F29" s="515">
        <v>3669225.2466240758</v>
      </c>
      <c r="G29" s="516">
        <v>544629.05965082115</v>
      </c>
      <c r="H29" s="510">
        <v>544629.05965082115</v>
      </c>
      <c r="I29" s="511">
        <f t="shared" si="9"/>
        <v>0</v>
      </c>
      <c r="J29" s="511"/>
      <c r="K29" s="518">
        <f t="shared" ref="K29" si="15">G29</f>
        <v>544629.05965082115</v>
      </c>
      <c r="L29" s="519">
        <f t="shared" ref="L29" si="16">IF(K29&lt;&gt;0,+G29-K29,0)</f>
        <v>0</v>
      </c>
      <c r="M29" s="518">
        <f t="shared" ref="M29" si="17">H29</f>
        <v>544629.05965082115</v>
      </c>
      <c r="N29" s="514">
        <f t="shared" si="3"/>
        <v>0</v>
      </c>
      <c r="O29" s="514">
        <f t="shared" si="4"/>
        <v>0</v>
      </c>
      <c r="P29" s="272"/>
    </row>
    <row r="30" spans="2:16">
      <c r="B30" s="195" t="str">
        <f t="shared" si="5"/>
        <v/>
      </c>
      <c r="C30" s="507">
        <f>IF(D11="","-",+C29+1)</f>
        <v>2023</v>
      </c>
      <c r="D30" s="515">
        <v>3669225.2466240758</v>
      </c>
      <c r="E30" s="516">
        <v>125017.59523809524</v>
      </c>
      <c r="F30" s="515">
        <v>3544207.6513859807</v>
      </c>
      <c r="G30" s="516">
        <v>580642.49939418666</v>
      </c>
      <c r="H30" s="510">
        <v>580642.49939418666</v>
      </c>
      <c r="I30" s="511">
        <f t="shared" si="9"/>
        <v>0</v>
      </c>
      <c r="J30" s="511"/>
      <c r="K30" s="518">
        <f t="shared" ref="K30" si="18">G30</f>
        <v>580642.49939418666</v>
      </c>
      <c r="L30" s="519">
        <f t="shared" ref="L30" si="19">IF(K30&lt;&gt;0,+G30-K30,0)</f>
        <v>0</v>
      </c>
      <c r="M30" s="518">
        <f t="shared" ref="M30" si="20">H30</f>
        <v>580642.49939418666</v>
      </c>
      <c r="N30" s="514">
        <f t="shared" ref="N30" si="21">IF(M30&lt;&gt;0,+H30-M30,0)</f>
        <v>0</v>
      </c>
      <c r="O30" s="514">
        <f t="shared" ref="O30" si="22">+N30-L30</f>
        <v>0</v>
      </c>
      <c r="P30" s="272"/>
    </row>
    <row r="31" spans="2:16">
      <c r="B31" s="195" t="str">
        <f t="shared" si="5"/>
        <v/>
      </c>
      <c r="C31" s="673">
        <f>IF(D11="","-",+C30+1)</f>
        <v>2024</v>
      </c>
      <c r="D31" s="523">
        <f>IF(F30+SUM(E$17:E30)=D$10,F30,D$10-SUM(E$17:E30))</f>
        <v>3544207.6513859807</v>
      </c>
      <c r="E31" s="522">
        <f>IF(+I14&lt;F30,I14,D31)</f>
        <v>119334.97727272728</v>
      </c>
      <c r="F31" s="523">
        <f t="shared" ref="F31:F48" si="23">+D31-E31</f>
        <v>3424872.6741132536</v>
      </c>
      <c r="G31" s="524">
        <f t="shared" ref="G31:G55" si="24">+I$12*((D31+F31)/2)+E31</f>
        <v>535832.06805947493</v>
      </c>
      <c r="H31" s="491">
        <f t="shared" ref="H31:H55" si="25">+I$13*((D31+F31)/2)+E31</f>
        <v>535832.06805947493</v>
      </c>
      <c r="I31" s="511">
        <f t="shared" si="9"/>
        <v>0</v>
      </c>
      <c r="J31" s="511"/>
      <c r="K31" s="525"/>
      <c r="L31" s="514">
        <f t="shared" si="1"/>
        <v>0</v>
      </c>
      <c r="M31" s="525"/>
      <c r="N31" s="514">
        <f t="shared" si="3"/>
        <v>0</v>
      </c>
      <c r="O31" s="514">
        <f t="shared" si="4"/>
        <v>0</v>
      </c>
      <c r="P31" s="272"/>
    </row>
    <row r="32" spans="2:16">
      <c r="B32" s="195" t="str">
        <f t="shared" si="5"/>
        <v/>
      </c>
      <c r="C32" s="507">
        <f>IF(D11="","-",+C31+1)</f>
        <v>2025</v>
      </c>
      <c r="D32" s="523">
        <f>IF(F31+SUM(E$17:E31)=D$10,F31,D$10-SUM(E$17:E31))</f>
        <v>3424872.6741132536</v>
      </c>
      <c r="E32" s="522">
        <f>IF(+I14&lt;F31,I14,D32)</f>
        <v>119334.97727272728</v>
      </c>
      <c r="F32" s="523">
        <f t="shared" si="23"/>
        <v>3305537.6968405265</v>
      </c>
      <c r="G32" s="524">
        <f t="shared" si="24"/>
        <v>521568.30052006629</v>
      </c>
      <c r="H32" s="491">
        <f t="shared" si="25"/>
        <v>521568.30052006629</v>
      </c>
      <c r="I32" s="511">
        <f t="shared" si="9"/>
        <v>0</v>
      </c>
      <c r="J32" s="511"/>
      <c r="K32" s="525"/>
      <c r="L32" s="514">
        <f t="shared" si="1"/>
        <v>0</v>
      </c>
      <c r="M32" s="525"/>
      <c r="N32" s="514">
        <f t="shared" si="3"/>
        <v>0</v>
      </c>
      <c r="O32" s="514">
        <f t="shared" si="4"/>
        <v>0</v>
      </c>
      <c r="P32" s="272"/>
    </row>
    <row r="33" spans="2:16">
      <c r="B33" s="195" t="str">
        <f t="shared" si="5"/>
        <v/>
      </c>
      <c r="C33" s="507">
        <f>IF(D11="","-",+C32+1)</f>
        <v>2026</v>
      </c>
      <c r="D33" s="523">
        <f>IF(F32+SUM(E$17:E32)=D$10,F32,D$10-SUM(E$17:E32))</f>
        <v>3305537.6968405265</v>
      </c>
      <c r="E33" s="522">
        <f>IF(+I14&lt;F32,I14,D33)</f>
        <v>119334.97727272728</v>
      </c>
      <c r="F33" s="523">
        <f t="shared" si="23"/>
        <v>3186202.7195677995</v>
      </c>
      <c r="G33" s="524">
        <f t="shared" si="24"/>
        <v>507304.53298065776</v>
      </c>
      <c r="H33" s="491">
        <f t="shared" si="25"/>
        <v>507304.53298065776</v>
      </c>
      <c r="I33" s="511">
        <f t="shared" si="9"/>
        <v>0</v>
      </c>
      <c r="J33" s="511"/>
      <c r="K33" s="525"/>
      <c r="L33" s="514">
        <f t="shared" si="1"/>
        <v>0</v>
      </c>
      <c r="M33" s="525"/>
      <c r="N33" s="514">
        <f t="shared" si="3"/>
        <v>0</v>
      </c>
      <c r="O33" s="514">
        <f t="shared" si="4"/>
        <v>0</v>
      </c>
      <c r="P33" s="272"/>
    </row>
    <row r="34" spans="2:16">
      <c r="B34" s="195" t="str">
        <f t="shared" si="5"/>
        <v/>
      </c>
      <c r="C34" s="507">
        <f>IF(D11="","-",+C33+1)</f>
        <v>2027</v>
      </c>
      <c r="D34" s="523">
        <f>IF(F33+SUM(E$17:E33)=D$10,F33,D$10-SUM(E$17:E33))</f>
        <v>3186202.7195677995</v>
      </c>
      <c r="E34" s="522">
        <f>IF(+I14&lt;F33,I14,D34)</f>
        <v>119334.97727272728</v>
      </c>
      <c r="F34" s="523">
        <f t="shared" si="23"/>
        <v>3066867.7422950724</v>
      </c>
      <c r="G34" s="524">
        <f t="shared" si="24"/>
        <v>493040.76544124912</v>
      </c>
      <c r="H34" s="491">
        <f t="shared" si="25"/>
        <v>493040.76544124912</v>
      </c>
      <c r="I34" s="511">
        <f t="shared" si="9"/>
        <v>0</v>
      </c>
      <c r="J34" s="511"/>
      <c r="K34" s="525"/>
      <c r="L34" s="514">
        <f t="shared" si="1"/>
        <v>0</v>
      </c>
      <c r="M34" s="525"/>
      <c r="N34" s="514">
        <f t="shared" si="3"/>
        <v>0</v>
      </c>
      <c r="O34" s="514">
        <f t="shared" si="4"/>
        <v>0</v>
      </c>
      <c r="P34" s="272"/>
    </row>
    <row r="35" spans="2:16">
      <c r="B35" s="195" t="str">
        <f t="shared" si="5"/>
        <v/>
      </c>
      <c r="C35" s="507">
        <f>IF(D11="","-",+C34+1)</f>
        <v>2028</v>
      </c>
      <c r="D35" s="523">
        <f>IF(F34+SUM(E$17:E34)=D$10,F34,D$10-SUM(E$17:E34))</f>
        <v>3066867.7422950724</v>
      </c>
      <c r="E35" s="522">
        <f>IF(+I14&lt;F34,I14,D35)</f>
        <v>119334.97727272728</v>
      </c>
      <c r="F35" s="523">
        <f t="shared" si="23"/>
        <v>2947532.7650223454</v>
      </c>
      <c r="G35" s="524">
        <f t="shared" si="24"/>
        <v>478776.9979018406</v>
      </c>
      <c r="H35" s="491">
        <f t="shared" si="25"/>
        <v>478776.9979018406</v>
      </c>
      <c r="I35" s="511">
        <f t="shared" si="9"/>
        <v>0</v>
      </c>
      <c r="J35" s="511"/>
      <c r="K35" s="525"/>
      <c r="L35" s="514">
        <f t="shared" si="1"/>
        <v>0</v>
      </c>
      <c r="M35" s="525"/>
      <c r="N35" s="514">
        <f t="shared" si="3"/>
        <v>0</v>
      </c>
      <c r="O35" s="514">
        <f t="shared" si="4"/>
        <v>0</v>
      </c>
      <c r="P35" s="272"/>
    </row>
    <row r="36" spans="2:16">
      <c r="B36" s="195" t="str">
        <f t="shared" si="5"/>
        <v/>
      </c>
      <c r="C36" s="507">
        <f>IF(D11="","-",+C35+1)</f>
        <v>2029</v>
      </c>
      <c r="D36" s="523">
        <f>IF(F35+SUM(E$17:E35)=D$10,F35,D$10-SUM(E$17:E35))</f>
        <v>2947532.7650223454</v>
      </c>
      <c r="E36" s="522">
        <f>IF(+I14&lt;F35,I14,D36)</f>
        <v>119334.97727272728</v>
      </c>
      <c r="F36" s="523">
        <f t="shared" si="23"/>
        <v>2828197.7877496183</v>
      </c>
      <c r="G36" s="524">
        <f t="shared" si="24"/>
        <v>464513.23036243196</v>
      </c>
      <c r="H36" s="491">
        <f t="shared" si="25"/>
        <v>464513.23036243196</v>
      </c>
      <c r="I36" s="511">
        <f t="shared" si="9"/>
        <v>0</v>
      </c>
      <c r="J36" s="511"/>
      <c r="K36" s="525"/>
      <c r="L36" s="514">
        <f t="shared" si="1"/>
        <v>0</v>
      </c>
      <c r="M36" s="525"/>
      <c r="N36" s="514">
        <f t="shared" si="3"/>
        <v>0</v>
      </c>
      <c r="O36" s="514">
        <f t="shared" si="4"/>
        <v>0</v>
      </c>
      <c r="P36" s="272"/>
    </row>
    <row r="37" spans="2:16">
      <c r="B37" s="195" t="str">
        <f t="shared" si="5"/>
        <v/>
      </c>
      <c r="C37" s="507">
        <f>IF(D11="","-",+C36+1)</f>
        <v>2030</v>
      </c>
      <c r="D37" s="523">
        <f>IF(F36+SUM(E$17:E36)=D$10,F36,D$10-SUM(E$17:E36))</f>
        <v>2828197.7877496183</v>
      </c>
      <c r="E37" s="522">
        <f>IF(+I14&lt;F36,I14,D37)</f>
        <v>119334.97727272728</v>
      </c>
      <c r="F37" s="523">
        <f t="shared" si="23"/>
        <v>2708862.8104768912</v>
      </c>
      <c r="G37" s="524">
        <f t="shared" si="24"/>
        <v>450249.46282302344</v>
      </c>
      <c r="H37" s="491">
        <f t="shared" si="25"/>
        <v>450249.46282302344</v>
      </c>
      <c r="I37" s="511">
        <f t="shared" si="9"/>
        <v>0</v>
      </c>
      <c r="J37" s="511"/>
      <c r="K37" s="525"/>
      <c r="L37" s="514">
        <f t="shared" si="1"/>
        <v>0</v>
      </c>
      <c r="M37" s="525"/>
      <c r="N37" s="514">
        <f t="shared" si="3"/>
        <v>0</v>
      </c>
      <c r="O37" s="514">
        <f t="shared" si="4"/>
        <v>0</v>
      </c>
      <c r="P37" s="272"/>
    </row>
    <row r="38" spans="2:16">
      <c r="B38" s="195" t="str">
        <f t="shared" si="5"/>
        <v/>
      </c>
      <c r="C38" s="507">
        <f>IF(D11="","-",+C37+1)</f>
        <v>2031</v>
      </c>
      <c r="D38" s="523">
        <f>IF(F37+SUM(E$17:E37)=D$10,F37,D$10-SUM(E$17:E37))</f>
        <v>2708862.8104768912</v>
      </c>
      <c r="E38" s="522">
        <f>IF(+I14&lt;F37,I14,D38)</f>
        <v>119334.97727272728</v>
      </c>
      <c r="F38" s="523">
        <f t="shared" si="23"/>
        <v>2589527.8332041642</v>
      </c>
      <c r="G38" s="524">
        <f t="shared" si="24"/>
        <v>435985.6952836148</v>
      </c>
      <c r="H38" s="491">
        <f t="shared" si="25"/>
        <v>435985.6952836148</v>
      </c>
      <c r="I38" s="511">
        <f t="shared" si="9"/>
        <v>0</v>
      </c>
      <c r="J38" s="511"/>
      <c r="K38" s="525"/>
      <c r="L38" s="514">
        <f t="shared" si="1"/>
        <v>0</v>
      </c>
      <c r="M38" s="525"/>
      <c r="N38" s="514">
        <f t="shared" si="3"/>
        <v>0</v>
      </c>
      <c r="O38" s="514">
        <f t="shared" si="4"/>
        <v>0</v>
      </c>
      <c r="P38" s="272"/>
    </row>
    <row r="39" spans="2:16">
      <c r="B39" s="195" t="str">
        <f t="shared" si="5"/>
        <v/>
      </c>
      <c r="C39" s="507">
        <f>IF(D11="","-",+C38+1)</f>
        <v>2032</v>
      </c>
      <c r="D39" s="523">
        <f>IF(F38+SUM(E$17:E38)=D$10,F38,D$10-SUM(E$17:E38))</f>
        <v>2589527.8332041642</v>
      </c>
      <c r="E39" s="522">
        <f>IF(+I14&lt;F38,I14,D39)</f>
        <v>119334.97727272728</v>
      </c>
      <c r="F39" s="523">
        <f t="shared" si="23"/>
        <v>2470192.8559314371</v>
      </c>
      <c r="G39" s="524">
        <f t="shared" si="24"/>
        <v>421721.92774420633</v>
      </c>
      <c r="H39" s="491">
        <f t="shared" si="25"/>
        <v>421721.92774420633</v>
      </c>
      <c r="I39" s="511">
        <f t="shared" si="9"/>
        <v>0</v>
      </c>
      <c r="J39" s="511"/>
      <c r="K39" s="525"/>
      <c r="L39" s="514">
        <f t="shared" si="1"/>
        <v>0</v>
      </c>
      <c r="M39" s="525"/>
      <c r="N39" s="514">
        <f t="shared" si="3"/>
        <v>0</v>
      </c>
      <c r="O39" s="514">
        <f t="shared" si="4"/>
        <v>0</v>
      </c>
      <c r="P39" s="272"/>
    </row>
    <row r="40" spans="2:16">
      <c r="B40" s="195" t="str">
        <f t="shared" si="5"/>
        <v/>
      </c>
      <c r="C40" s="507">
        <f>IF(D11="","-",+C39+1)</f>
        <v>2033</v>
      </c>
      <c r="D40" s="523">
        <f>IF(F39+SUM(E$17:E39)=D$10,F39,D$10-SUM(E$17:E39))</f>
        <v>2470192.8559314371</v>
      </c>
      <c r="E40" s="522">
        <f>IF(+I14&lt;F39,I14,D40)</f>
        <v>119334.97727272728</v>
      </c>
      <c r="F40" s="523">
        <f t="shared" si="23"/>
        <v>2350857.87865871</v>
      </c>
      <c r="G40" s="524">
        <f t="shared" si="24"/>
        <v>407458.16020479769</v>
      </c>
      <c r="H40" s="491">
        <f t="shared" si="25"/>
        <v>407458.16020479769</v>
      </c>
      <c r="I40" s="511">
        <f t="shared" si="9"/>
        <v>0</v>
      </c>
      <c r="J40" s="511"/>
      <c r="K40" s="525"/>
      <c r="L40" s="514">
        <f t="shared" si="1"/>
        <v>0</v>
      </c>
      <c r="M40" s="525"/>
      <c r="N40" s="514">
        <f t="shared" si="3"/>
        <v>0</v>
      </c>
      <c r="O40" s="514">
        <f t="shared" si="4"/>
        <v>0</v>
      </c>
      <c r="P40" s="272"/>
    </row>
    <row r="41" spans="2:16">
      <c r="B41" s="195" t="str">
        <f t="shared" si="5"/>
        <v/>
      </c>
      <c r="C41" s="507">
        <f>IF(D11="","-",+C40+1)</f>
        <v>2034</v>
      </c>
      <c r="D41" s="523">
        <f>IF(F40+SUM(E$17:E40)=D$10,F40,D$10-SUM(E$17:E40))</f>
        <v>2350857.87865871</v>
      </c>
      <c r="E41" s="522">
        <f>IF(+I14&lt;F40,I14,D41)</f>
        <v>119334.97727272728</v>
      </c>
      <c r="F41" s="523">
        <f t="shared" si="23"/>
        <v>2231522.901385983</v>
      </c>
      <c r="G41" s="524">
        <f t="shared" si="24"/>
        <v>393194.39266538917</v>
      </c>
      <c r="H41" s="491">
        <f t="shared" si="25"/>
        <v>393194.39266538917</v>
      </c>
      <c r="I41" s="511">
        <f t="shared" si="9"/>
        <v>0</v>
      </c>
      <c r="J41" s="511"/>
      <c r="K41" s="525"/>
      <c r="L41" s="514">
        <f t="shared" si="1"/>
        <v>0</v>
      </c>
      <c r="M41" s="525"/>
      <c r="N41" s="514">
        <f t="shared" si="3"/>
        <v>0</v>
      </c>
      <c r="O41" s="514">
        <f t="shared" si="4"/>
        <v>0</v>
      </c>
      <c r="P41" s="272"/>
    </row>
    <row r="42" spans="2:16">
      <c r="B42" s="195" t="str">
        <f t="shared" si="5"/>
        <v/>
      </c>
      <c r="C42" s="507">
        <f>IF(D11="","-",+C41+1)</f>
        <v>2035</v>
      </c>
      <c r="D42" s="523">
        <f>IF(F41+SUM(E$17:E41)=D$10,F41,D$10-SUM(E$17:E41))</f>
        <v>2231522.901385983</v>
      </c>
      <c r="E42" s="522">
        <f>IF(+I14&lt;F41,I14,D42)</f>
        <v>119334.97727272728</v>
      </c>
      <c r="F42" s="523">
        <f t="shared" si="23"/>
        <v>2112187.9241132559</v>
      </c>
      <c r="G42" s="524">
        <f t="shared" si="24"/>
        <v>378930.62512598053</v>
      </c>
      <c r="H42" s="491">
        <f t="shared" si="25"/>
        <v>378930.62512598053</v>
      </c>
      <c r="I42" s="511">
        <f t="shared" si="9"/>
        <v>0</v>
      </c>
      <c r="J42" s="511"/>
      <c r="K42" s="525"/>
      <c r="L42" s="514">
        <f t="shared" si="1"/>
        <v>0</v>
      </c>
      <c r="M42" s="525"/>
      <c r="N42" s="514">
        <f t="shared" si="3"/>
        <v>0</v>
      </c>
      <c r="O42" s="514">
        <f t="shared" si="4"/>
        <v>0</v>
      </c>
      <c r="P42" s="272"/>
    </row>
    <row r="43" spans="2:16">
      <c r="B43" s="195" t="str">
        <f t="shared" si="5"/>
        <v/>
      </c>
      <c r="C43" s="507">
        <f>IF(D11="","-",+C42+1)</f>
        <v>2036</v>
      </c>
      <c r="D43" s="523">
        <f>IF(F42+SUM(E$17:E42)=D$10,F42,D$10-SUM(E$17:E42))</f>
        <v>2112187.9241132559</v>
      </c>
      <c r="E43" s="522">
        <f>IF(+I14&lt;F42,I14,D43)</f>
        <v>119334.97727272728</v>
      </c>
      <c r="F43" s="523">
        <f t="shared" si="23"/>
        <v>1992852.9468405286</v>
      </c>
      <c r="G43" s="524">
        <f t="shared" si="24"/>
        <v>364666.85758657195</v>
      </c>
      <c r="H43" s="491">
        <f t="shared" si="25"/>
        <v>364666.85758657195</v>
      </c>
      <c r="I43" s="511">
        <f t="shared" si="9"/>
        <v>0</v>
      </c>
      <c r="J43" s="511"/>
      <c r="K43" s="525"/>
      <c r="L43" s="514">
        <f t="shared" si="1"/>
        <v>0</v>
      </c>
      <c r="M43" s="525"/>
      <c r="N43" s="514">
        <f t="shared" si="3"/>
        <v>0</v>
      </c>
      <c r="O43" s="514">
        <f t="shared" si="4"/>
        <v>0</v>
      </c>
      <c r="P43" s="272"/>
    </row>
    <row r="44" spans="2:16">
      <c r="B44" s="195" t="str">
        <f t="shared" si="5"/>
        <v/>
      </c>
      <c r="C44" s="507">
        <f>IF(D11="","-",+C43+1)</f>
        <v>2037</v>
      </c>
      <c r="D44" s="523">
        <f>IF(F43+SUM(E$17:E43)=D$10,F43,D$10-SUM(E$17:E43))</f>
        <v>1992852.9468405286</v>
      </c>
      <c r="E44" s="522">
        <f>IF(+I14&lt;F43,I14,D44)</f>
        <v>119334.97727272728</v>
      </c>
      <c r="F44" s="523">
        <f t="shared" si="23"/>
        <v>1873517.9695678013</v>
      </c>
      <c r="G44" s="524">
        <f t="shared" si="24"/>
        <v>350403.09004716336</v>
      </c>
      <c r="H44" s="491">
        <f t="shared" si="25"/>
        <v>350403.09004716336</v>
      </c>
      <c r="I44" s="511">
        <f t="shared" si="9"/>
        <v>0</v>
      </c>
      <c r="J44" s="511"/>
      <c r="K44" s="525"/>
      <c r="L44" s="514">
        <f t="shared" si="1"/>
        <v>0</v>
      </c>
      <c r="M44" s="525"/>
      <c r="N44" s="514">
        <f t="shared" si="3"/>
        <v>0</v>
      </c>
      <c r="O44" s="514">
        <f t="shared" si="4"/>
        <v>0</v>
      </c>
      <c r="P44" s="272"/>
    </row>
    <row r="45" spans="2:16">
      <c r="B45" s="195" t="str">
        <f t="shared" si="5"/>
        <v/>
      </c>
      <c r="C45" s="507">
        <f>IF(D11="","-",+C44+1)</f>
        <v>2038</v>
      </c>
      <c r="D45" s="523">
        <f>IF(F44+SUM(E$17:E44)=D$10,F44,D$10-SUM(E$17:E44))</f>
        <v>1873517.9695678013</v>
      </c>
      <c r="E45" s="522">
        <f>IF(+I14&lt;F44,I14,D45)</f>
        <v>119334.97727272728</v>
      </c>
      <c r="F45" s="523">
        <f t="shared" si="23"/>
        <v>1754182.992295074</v>
      </c>
      <c r="G45" s="524">
        <f t="shared" si="24"/>
        <v>336139.32250775472</v>
      </c>
      <c r="H45" s="491">
        <f t="shared" si="25"/>
        <v>336139.32250775472</v>
      </c>
      <c r="I45" s="511">
        <f t="shared" si="9"/>
        <v>0</v>
      </c>
      <c r="J45" s="511"/>
      <c r="K45" s="525"/>
      <c r="L45" s="514">
        <f t="shared" si="1"/>
        <v>0</v>
      </c>
      <c r="M45" s="525"/>
      <c r="N45" s="514">
        <f t="shared" si="3"/>
        <v>0</v>
      </c>
      <c r="O45" s="514">
        <f t="shared" si="4"/>
        <v>0</v>
      </c>
      <c r="P45" s="272"/>
    </row>
    <row r="46" spans="2:16">
      <c r="B46" s="195" t="str">
        <f t="shared" si="5"/>
        <v/>
      </c>
      <c r="C46" s="507">
        <f>IF(D11="","-",+C45+1)</f>
        <v>2039</v>
      </c>
      <c r="D46" s="523">
        <f>IF(F45+SUM(E$17:E45)=D$10,F45,D$10-SUM(E$17:E45))</f>
        <v>1754182.992295074</v>
      </c>
      <c r="E46" s="522">
        <f>IF(+I14&lt;F45,I14,D46)</f>
        <v>119334.97727272728</v>
      </c>
      <c r="F46" s="523">
        <f t="shared" si="23"/>
        <v>1634848.0150223467</v>
      </c>
      <c r="G46" s="524">
        <f t="shared" si="24"/>
        <v>321875.55496834614</v>
      </c>
      <c r="H46" s="491">
        <f t="shared" si="25"/>
        <v>321875.55496834614</v>
      </c>
      <c r="I46" s="511">
        <f t="shared" si="9"/>
        <v>0</v>
      </c>
      <c r="J46" s="511"/>
      <c r="K46" s="525"/>
      <c r="L46" s="514">
        <f t="shared" si="1"/>
        <v>0</v>
      </c>
      <c r="M46" s="525"/>
      <c r="N46" s="514">
        <f t="shared" si="3"/>
        <v>0</v>
      </c>
      <c r="O46" s="514">
        <f t="shared" si="4"/>
        <v>0</v>
      </c>
      <c r="P46" s="272"/>
    </row>
    <row r="47" spans="2:16">
      <c r="B47" s="195" t="str">
        <f t="shared" si="5"/>
        <v/>
      </c>
      <c r="C47" s="507">
        <f>IF(D11="","-",+C46+1)</f>
        <v>2040</v>
      </c>
      <c r="D47" s="523">
        <f>IF(F46+SUM(E$17:E46)=D$10,F46,D$10-SUM(E$17:E46))</f>
        <v>1634848.0150223467</v>
      </c>
      <c r="E47" s="522">
        <f>IF(+I14&lt;F46,I14,D47)</f>
        <v>119334.97727272728</v>
      </c>
      <c r="F47" s="523">
        <f t="shared" si="23"/>
        <v>1515513.0377496195</v>
      </c>
      <c r="G47" s="524">
        <f t="shared" si="24"/>
        <v>307611.7874289375</v>
      </c>
      <c r="H47" s="491">
        <f t="shared" si="25"/>
        <v>307611.7874289375</v>
      </c>
      <c r="I47" s="511">
        <f t="shared" si="9"/>
        <v>0</v>
      </c>
      <c r="J47" s="511"/>
      <c r="K47" s="525"/>
      <c r="L47" s="514">
        <f t="shared" si="1"/>
        <v>0</v>
      </c>
      <c r="M47" s="525"/>
      <c r="N47" s="514">
        <f t="shared" si="3"/>
        <v>0</v>
      </c>
      <c r="O47" s="514">
        <f t="shared" si="4"/>
        <v>0</v>
      </c>
      <c r="P47" s="272"/>
    </row>
    <row r="48" spans="2:16">
      <c r="B48" s="195" t="str">
        <f t="shared" si="5"/>
        <v/>
      </c>
      <c r="C48" s="507">
        <f>IF(D11="","-",+C47+1)</f>
        <v>2041</v>
      </c>
      <c r="D48" s="523">
        <f>IF(F47+SUM(E$17:E47)=D$10,F47,D$10-SUM(E$17:E47))</f>
        <v>1515513.0377496195</v>
      </c>
      <c r="E48" s="522">
        <f>IF(+I14&lt;F47,I14,D48)</f>
        <v>119334.97727272728</v>
      </c>
      <c r="F48" s="523">
        <f t="shared" si="23"/>
        <v>1396178.0604768922</v>
      </c>
      <c r="G48" s="524">
        <f t="shared" si="24"/>
        <v>293348.01988952892</v>
      </c>
      <c r="H48" s="491">
        <f t="shared" si="25"/>
        <v>293348.01988952892</v>
      </c>
      <c r="I48" s="511">
        <f t="shared" si="9"/>
        <v>0</v>
      </c>
      <c r="J48" s="511"/>
      <c r="K48" s="525"/>
      <c r="L48" s="514">
        <f t="shared" si="1"/>
        <v>0</v>
      </c>
      <c r="M48" s="525"/>
      <c r="N48" s="514">
        <f t="shared" si="3"/>
        <v>0</v>
      </c>
      <c r="O48" s="514">
        <f t="shared" si="4"/>
        <v>0</v>
      </c>
      <c r="P48" s="272"/>
    </row>
    <row r="49" spans="2:17">
      <c r="B49" s="195" t="str">
        <f t="shared" si="5"/>
        <v/>
      </c>
      <c r="C49" s="507">
        <f>IF(D11="","-",+C48+1)</f>
        <v>2042</v>
      </c>
      <c r="D49" s="523">
        <f>IF(F48+SUM(E$17:E48)=D$10,F48,D$10-SUM(E$17:E48))</f>
        <v>1396178.0604768922</v>
      </c>
      <c r="E49" s="522">
        <f>IF(+I14&lt;F48,I14,D49)</f>
        <v>119334.97727272728</v>
      </c>
      <c r="F49" s="523">
        <f t="shared" ref="F49:F72" si="26">+D49-E49</f>
        <v>1276843.0832041649</v>
      </c>
      <c r="G49" s="524">
        <f t="shared" si="24"/>
        <v>279084.25235012034</v>
      </c>
      <c r="H49" s="491">
        <f t="shared" si="25"/>
        <v>279084.25235012034</v>
      </c>
      <c r="I49" s="511">
        <f t="shared" ref="I49:I72" si="27">H49-G49</f>
        <v>0</v>
      </c>
      <c r="J49" s="511"/>
      <c r="K49" s="525"/>
      <c r="L49" s="514">
        <f t="shared" ref="L49:L72" si="28">IF(K49&lt;&gt;0,+G49-K49,0)</f>
        <v>0</v>
      </c>
      <c r="M49" s="525"/>
      <c r="N49" s="514">
        <f t="shared" ref="N49:N72" si="29">IF(M49&lt;&gt;0,+H49-M49,0)</f>
        <v>0</v>
      </c>
      <c r="O49" s="514">
        <f t="shared" ref="O49:O72" si="30">+N49-L49</f>
        <v>0</v>
      </c>
      <c r="P49" s="272"/>
    </row>
    <row r="50" spans="2:17">
      <c r="B50" s="195" t="str">
        <f t="shared" si="5"/>
        <v/>
      </c>
      <c r="C50" s="507">
        <f>IF(D11="","-",+C49+1)</f>
        <v>2043</v>
      </c>
      <c r="D50" s="523">
        <f>IF(F49+SUM(E$17:E49)=D$10,F49,D$10-SUM(E$17:E49))</f>
        <v>1276843.0832041649</v>
      </c>
      <c r="E50" s="522">
        <f>IF(+I14&lt;F49,I14,D50)</f>
        <v>119334.97727272728</v>
      </c>
      <c r="F50" s="523">
        <f t="shared" si="26"/>
        <v>1157508.1059314376</v>
      </c>
      <c r="G50" s="524">
        <f t="shared" si="24"/>
        <v>264820.48481071176</v>
      </c>
      <c r="H50" s="491">
        <f t="shared" si="25"/>
        <v>264820.48481071176</v>
      </c>
      <c r="I50" s="511">
        <f t="shared" si="27"/>
        <v>0</v>
      </c>
      <c r="J50" s="511"/>
      <c r="K50" s="525"/>
      <c r="L50" s="514">
        <f t="shared" si="28"/>
        <v>0</v>
      </c>
      <c r="M50" s="525"/>
      <c r="N50" s="514">
        <f t="shared" si="29"/>
        <v>0</v>
      </c>
      <c r="O50" s="514">
        <f t="shared" si="30"/>
        <v>0</v>
      </c>
      <c r="P50" s="272"/>
    </row>
    <row r="51" spans="2:17">
      <c r="B51" s="195" t="str">
        <f t="shared" si="5"/>
        <v/>
      </c>
      <c r="C51" s="507">
        <f>IF(D11="","-",+C50+1)</f>
        <v>2044</v>
      </c>
      <c r="D51" s="523">
        <f>IF(F50+SUM(E$17:E50)=D$10,F50,D$10-SUM(E$17:E50))</f>
        <v>1157508.1059314376</v>
      </c>
      <c r="E51" s="522">
        <f>IF(+I14&lt;F50,I14,D51)</f>
        <v>119334.97727272728</v>
      </c>
      <c r="F51" s="523">
        <f t="shared" si="26"/>
        <v>1038173.1286587103</v>
      </c>
      <c r="G51" s="524">
        <f t="shared" si="24"/>
        <v>250556.71727130312</v>
      </c>
      <c r="H51" s="491">
        <f t="shared" si="25"/>
        <v>250556.71727130312</v>
      </c>
      <c r="I51" s="511">
        <f t="shared" si="27"/>
        <v>0</v>
      </c>
      <c r="J51" s="511"/>
      <c r="K51" s="525"/>
      <c r="L51" s="514">
        <f t="shared" si="28"/>
        <v>0</v>
      </c>
      <c r="M51" s="525"/>
      <c r="N51" s="514">
        <f t="shared" si="29"/>
        <v>0</v>
      </c>
      <c r="O51" s="514">
        <f t="shared" si="30"/>
        <v>0</v>
      </c>
      <c r="P51" s="272"/>
    </row>
    <row r="52" spans="2:17">
      <c r="B52" s="195" t="str">
        <f t="shared" si="5"/>
        <v/>
      </c>
      <c r="C52" s="507">
        <f>IF(D11="","-",+C51+1)</f>
        <v>2045</v>
      </c>
      <c r="D52" s="523">
        <f>IF(F51+SUM(E$17:E51)=D$10,F51,D$10-SUM(E$17:E51))</f>
        <v>1038173.1286587103</v>
      </c>
      <c r="E52" s="522">
        <f>IF(+I14&lt;F51,I14,D52)</f>
        <v>119334.97727272728</v>
      </c>
      <c r="F52" s="523">
        <f t="shared" si="26"/>
        <v>918838.15138598299</v>
      </c>
      <c r="G52" s="524">
        <f t="shared" si="24"/>
        <v>236292.94973189454</v>
      </c>
      <c r="H52" s="491">
        <f t="shared" si="25"/>
        <v>236292.94973189454</v>
      </c>
      <c r="I52" s="511">
        <f t="shared" si="27"/>
        <v>0</v>
      </c>
      <c r="J52" s="511"/>
      <c r="K52" s="525"/>
      <c r="L52" s="514">
        <f t="shared" si="28"/>
        <v>0</v>
      </c>
      <c r="M52" s="525"/>
      <c r="N52" s="514">
        <f t="shared" si="29"/>
        <v>0</v>
      </c>
      <c r="O52" s="514">
        <f t="shared" si="30"/>
        <v>0</v>
      </c>
      <c r="P52" s="272"/>
    </row>
    <row r="53" spans="2:17">
      <c r="B53" s="195" t="str">
        <f t="shared" si="5"/>
        <v/>
      </c>
      <c r="C53" s="507">
        <f>IF(D11="","-",+C52+1)</f>
        <v>2046</v>
      </c>
      <c r="D53" s="523">
        <f>IF(F52+SUM(E$17:E52)=D$10,F52,D$10-SUM(E$17:E52))</f>
        <v>918838.15138598299</v>
      </c>
      <c r="E53" s="522">
        <f>IF(+I14&lt;F52,I14,D53)</f>
        <v>119334.97727272728</v>
      </c>
      <c r="F53" s="523">
        <f t="shared" si="26"/>
        <v>799503.17411325569</v>
      </c>
      <c r="G53" s="524">
        <f t="shared" si="24"/>
        <v>222029.1821924859</v>
      </c>
      <c r="H53" s="491">
        <f t="shared" si="25"/>
        <v>222029.1821924859</v>
      </c>
      <c r="I53" s="511">
        <f t="shared" si="27"/>
        <v>0</v>
      </c>
      <c r="J53" s="511"/>
      <c r="K53" s="525"/>
      <c r="L53" s="514">
        <f t="shared" si="28"/>
        <v>0</v>
      </c>
      <c r="M53" s="525"/>
      <c r="N53" s="514">
        <f t="shared" si="29"/>
        <v>0</v>
      </c>
      <c r="O53" s="514">
        <f t="shared" si="30"/>
        <v>0</v>
      </c>
      <c r="P53" s="272"/>
    </row>
    <row r="54" spans="2:17">
      <c r="B54" s="195" t="str">
        <f t="shared" si="5"/>
        <v/>
      </c>
      <c r="C54" s="507">
        <f>IF(D11="","-",+C53+1)</f>
        <v>2047</v>
      </c>
      <c r="D54" s="523">
        <f>IF(F53+SUM(E$17:E53)=D$10,F53,D$10-SUM(E$17:E53))</f>
        <v>799503.17411325569</v>
      </c>
      <c r="E54" s="522">
        <f>IF(+I14&lt;F53,I14,D54)</f>
        <v>119334.97727272728</v>
      </c>
      <c r="F54" s="523">
        <f t="shared" si="26"/>
        <v>680168.1968405284</v>
      </c>
      <c r="G54" s="524">
        <f t="shared" si="24"/>
        <v>207765.41465307731</v>
      </c>
      <c r="H54" s="491">
        <f t="shared" si="25"/>
        <v>207765.41465307731</v>
      </c>
      <c r="I54" s="511">
        <f t="shared" si="27"/>
        <v>0</v>
      </c>
      <c r="J54" s="511"/>
      <c r="K54" s="525"/>
      <c r="L54" s="514">
        <f t="shared" si="28"/>
        <v>0</v>
      </c>
      <c r="M54" s="525"/>
      <c r="N54" s="514">
        <f t="shared" si="29"/>
        <v>0</v>
      </c>
      <c r="O54" s="514">
        <f t="shared" si="30"/>
        <v>0</v>
      </c>
      <c r="P54" s="272"/>
    </row>
    <row r="55" spans="2:17">
      <c r="B55" s="195" t="str">
        <f t="shared" si="5"/>
        <v/>
      </c>
      <c r="C55" s="507">
        <f>IF(D11="","-",+C54+1)</f>
        <v>2048</v>
      </c>
      <c r="D55" s="523">
        <f>IF(F54+SUM(E$17:E54)=D$10,F54,D$10-SUM(E$17:E54))</f>
        <v>680168.1968405284</v>
      </c>
      <c r="E55" s="522">
        <f>IF(+I14&lt;F54,I14,D55)</f>
        <v>119334.97727272728</v>
      </c>
      <c r="F55" s="523">
        <f t="shared" si="26"/>
        <v>560833.2195678011</v>
      </c>
      <c r="G55" s="524">
        <f t="shared" si="24"/>
        <v>193501.64711366873</v>
      </c>
      <c r="H55" s="491">
        <f t="shared" si="25"/>
        <v>193501.64711366873</v>
      </c>
      <c r="I55" s="511">
        <f t="shared" si="27"/>
        <v>0</v>
      </c>
      <c r="J55" s="511"/>
      <c r="K55" s="525"/>
      <c r="L55" s="514">
        <f t="shared" si="28"/>
        <v>0</v>
      </c>
      <c r="M55" s="525"/>
      <c r="N55" s="514">
        <f t="shared" si="29"/>
        <v>0</v>
      </c>
      <c r="O55" s="514">
        <f t="shared" si="30"/>
        <v>0</v>
      </c>
      <c r="P55" s="272"/>
    </row>
    <row r="56" spans="2:17">
      <c r="B56" s="195" t="str">
        <f t="shared" si="5"/>
        <v/>
      </c>
      <c r="C56" s="507">
        <f>IF(D11="","-",+C55+1)</f>
        <v>2049</v>
      </c>
      <c r="D56" s="523">
        <f>IF(F55+SUM(E$17:E55)=D$10,F55,D$10-SUM(E$17:E55))</f>
        <v>560833.2195678011</v>
      </c>
      <c r="E56" s="522">
        <f>IF(+I14&lt;F55,I14,D56)</f>
        <v>119334.97727272728</v>
      </c>
      <c r="F56" s="523">
        <f t="shared" si="26"/>
        <v>441498.24229507381</v>
      </c>
      <c r="G56" s="524">
        <f t="shared" ref="G56:G72" si="31">+I$12*((D56+F56)/2)+E56</f>
        <v>179237.87957426009</v>
      </c>
      <c r="H56" s="491">
        <f t="shared" ref="H56:H72" si="32">+I$13*((D56+F56)/2)+E56</f>
        <v>179237.87957426009</v>
      </c>
      <c r="I56" s="511">
        <f t="shared" si="27"/>
        <v>0</v>
      </c>
      <c r="J56" s="511"/>
      <c r="K56" s="525"/>
      <c r="L56" s="514">
        <f t="shared" si="28"/>
        <v>0</v>
      </c>
      <c r="M56" s="525"/>
      <c r="N56" s="514">
        <f t="shared" si="29"/>
        <v>0</v>
      </c>
      <c r="O56" s="514">
        <f t="shared" si="30"/>
        <v>0</v>
      </c>
      <c r="P56" s="272"/>
    </row>
    <row r="57" spans="2:17">
      <c r="B57" s="195" t="str">
        <f t="shared" si="5"/>
        <v/>
      </c>
      <c r="C57" s="507">
        <f>IF(D11="","-",+C56+1)</f>
        <v>2050</v>
      </c>
      <c r="D57" s="523">
        <f>IF(F56+SUM(E$17:E56)=D$10,F56,D$10-SUM(E$17:E56))</f>
        <v>441498.24229507381</v>
      </c>
      <c r="E57" s="522">
        <f>IF(+I14&lt;F56,I14,D57)</f>
        <v>119334.97727272728</v>
      </c>
      <c r="F57" s="523">
        <f t="shared" si="26"/>
        <v>322163.26502234652</v>
      </c>
      <c r="G57" s="524">
        <f t="shared" si="31"/>
        <v>164974.11203485151</v>
      </c>
      <c r="H57" s="491">
        <f t="shared" si="32"/>
        <v>164974.11203485151</v>
      </c>
      <c r="I57" s="511">
        <f t="shared" si="27"/>
        <v>0</v>
      </c>
      <c r="J57" s="511"/>
      <c r="K57" s="525"/>
      <c r="L57" s="514">
        <f t="shared" si="28"/>
        <v>0</v>
      </c>
      <c r="M57" s="525"/>
      <c r="N57" s="514">
        <f t="shared" si="29"/>
        <v>0</v>
      </c>
      <c r="O57" s="514">
        <f t="shared" si="30"/>
        <v>0</v>
      </c>
      <c r="P57" s="272"/>
    </row>
    <row r="58" spans="2:17">
      <c r="B58" s="195" t="str">
        <f t="shared" si="5"/>
        <v/>
      </c>
      <c r="C58" s="507">
        <f>IF(D11="","-",+C57+1)</f>
        <v>2051</v>
      </c>
      <c r="D58" s="523">
        <f>IF(F57+SUM(E$17:E57)=D$10,F57,D$10-SUM(E$17:E57))</f>
        <v>322163.26502234652</v>
      </c>
      <c r="E58" s="522">
        <f>IF(+I14&lt;F57,I14,D58)</f>
        <v>119334.97727272728</v>
      </c>
      <c r="F58" s="523">
        <f t="shared" si="26"/>
        <v>202828.28774961922</v>
      </c>
      <c r="G58" s="524">
        <f t="shared" si="31"/>
        <v>150710.3444954429</v>
      </c>
      <c r="H58" s="491">
        <f t="shared" si="32"/>
        <v>150710.3444954429</v>
      </c>
      <c r="I58" s="511">
        <f t="shared" si="27"/>
        <v>0</v>
      </c>
      <c r="J58" s="511"/>
      <c r="K58" s="525"/>
      <c r="L58" s="514">
        <f t="shared" si="28"/>
        <v>0</v>
      </c>
      <c r="M58" s="525"/>
      <c r="N58" s="514">
        <f t="shared" si="29"/>
        <v>0</v>
      </c>
      <c r="O58" s="514">
        <f t="shared" si="30"/>
        <v>0</v>
      </c>
      <c r="P58" s="272"/>
      <c r="Q58" s="183" t="str">
        <f>IF(ROUND(Q57,0)=ROUND(SUM(Q18:Q56),0),"","Error -- check allocations above).")</f>
        <v/>
      </c>
    </row>
    <row r="59" spans="2:17">
      <c r="B59" s="195" t="str">
        <f t="shared" si="5"/>
        <v/>
      </c>
      <c r="C59" s="507">
        <f>IF(D11="","-",+C58+1)</f>
        <v>2052</v>
      </c>
      <c r="D59" s="523">
        <f>IF(F58+SUM(E$17:E58)=D$10,F58,D$10-SUM(E$17:E58))</f>
        <v>202828.28774961922</v>
      </c>
      <c r="E59" s="522">
        <f>IF(+I14&lt;F58,I14,D59)</f>
        <v>119334.97727272728</v>
      </c>
      <c r="F59" s="523">
        <f t="shared" si="26"/>
        <v>83493.310476891944</v>
      </c>
      <c r="G59" s="524">
        <f t="shared" si="31"/>
        <v>136446.57695603429</v>
      </c>
      <c r="H59" s="491">
        <f t="shared" si="32"/>
        <v>136446.57695603429</v>
      </c>
      <c r="I59" s="511">
        <f t="shared" si="27"/>
        <v>0</v>
      </c>
      <c r="J59" s="511"/>
      <c r="K59" s="525"/>
      <c r="L59" s="514">
        <f t="shared" si="28"/>
        <v>0</v>
      </c>
      <c r="M59" s="525"/>
      <c r="N59" s="514">
        <f t="shared" si="29"/>
        <v>0</v>
      </c>
      <c r="O59" s="514">
        <f t="shared" si="30"/>
        <v>0</v>
      </c>
      <c r="P59" s="272"/>
    </row>
    <row r="60" spans="2:17">
      <c r="B60" s="195" t="str">
        <f t="shared" si="5"/>
        <v/>
      </c>
      <c r="C60" s="507">
        <f>IF(D11="","-",+C59+1)</f>
        <v>2053</v>
      </c>
      <c r="D60" s="523">
        <f>IF(F59+SUM(E$17:E59)=D$10,F59,D$10-SUM(E$17:E59))</f>
        <v>83493.310476891944</v>
      </c>
      <c r="E60" s="522">
        <f>IF(+I14&lt;F59,I14,D60)</f>
        <v>83493.310476891944</v>
      </c>
      <c r="F60" s="523">
        <f t="shared" si="26"/>
        <v>0</v>
      </c>
      <c r="G60" s="524">
        <f t="shared" si="31"/>
        <v>88483.16843369331</v>
      </c>
      <c r="H60" s="491">
        <f t="shared" si="32"/>
        <v>88483.16843369331</v>
      </c>
      <c r="I60" s="511">
        <f t="shared" si="27"/>
        <v>0</v>
      </c>
      <c r="J60" s="511"/>
      <c r="K60" s="525"/>
      <c r="L60" s="514">
        <f t="shared" si="28"/>
        <v>0</v>
      </c>
      <c r="M60" s="525"/>
      <c r="N60" s="514">
        <f t="shared" si="29"/>
        <v>0</v>
      </c>
      <c r="O60" s="514">
        <f t="shared" si="30"/>
        <v>0</v>
      </c>
      <c r="P60" s="272"/>
    </row>
    <row r="61" spans="2:17">
      <c r="B61" s="195" t="str">
        <f t="shared" si="5"/>
        <v/>
      </c>
      <c r="C61" s="507">
        <f>IF(D11="","-",+C60+1)</f>
        <v>2054</v>
      </c>
      <c r="D61" s="523">
        <f>IF(F60+SUM(E$17:E60)=D$10,F60,D$10-SUM(E$17:E60))</f>
        <v>0</v>
      </c>
      <c r="E61" s="522">
        <f>IF(+I14&lt;F60,I14,D61)</f>
        <v>0</v>
      </c>
      <c r="F61" s="523">
        <f t="shared" si="26"/>
        <v>0</v>
      </c>
      <c r="G61" s="526">
        <f t="shared" si="31"/>
        <v>0</v>
      </c>
      <c r="H61" s="491">
        <f t="shared" si="32"/>
        <v>0</v>
      </c>
      <c r="I61" s="511">
        <f t="shared" si="27"/>
        <v>0</v>
      </c>
      <c r="J61" s="511"/>
      <c r="K61" s="525"/>
      <c r="L61" s="514">
        <f t="shared" si="28"/>
        <v>0</v>
      </c>
      <c r="M61" s="525"/>
      <c r="N61" s="514">
        <f t="shared" si="29"/>
        <v>0</v>
      </c>
      <c r="O61" s="514">
        <f t="shared" si="30"/>
        <v>0</v>
      </c>
      <c r="P61" s="272"/>
    </row>
    <row r="62" spans="2:17">
      <c r="B62" s="195" t="str">
        <f t="shared" si="5"/>
        <v/>
      </c>
      <c r="C62" s="507">
        <f>IF(D11="","-",+C61+1)</f>
        <v>2055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26"/>
        <v>0</v>
      </c>
      <c r="G62" s="526">
        <f t="shared" si="31"/>
        <v>0</v>
      </c>
      <c r="H62" s="491">
        <f t="shared" si="32"/>
        <v>0</v>
      </c>
      <c r="I62" s="511">
        <f t="shared" si="27"/>
        <v>0</v>
      </c>
      <c r="J62" s="511"/>
      <c r="K62" s="525"/>
      <c r="L62" s="514">
        <f t="shared" si="28"/>
        <v>0</v>
      </c>
      <c r="M62" s="525"/>
      <c r="N62" s="514">
        <f t="shared" si="29"/>
        <v>0</v>
      </c>
      <c r="O62" s="514">
        <f t="shared" si="30"/>
        <v>0</v>
      </c>
      <c r="P62" s="272"/>
    </row>
    <row r="63" spans="2:17">
      <c r="B63" s="195" t="str">
        <f t="shared" si="5"/>
        <v/>
      </c>
      <c r="C63" s="507">
        <f>IF(D11="","-",+C62+1)</f>
        <v>2056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26"/>
        <v>0</v>
      </c>
      <c r="G63" s="526">
        <f t="shared" si="31"/>
        <v>0</v>
      </c>
      <c r="H63" s="491">
        <f t="shared" si="32"/>
        <v>0</v>
      </c>
      <c r="I63" s="511">
        <f t="shared" si="27"/>
        <v>0</v>
      </c>
      <c r="J63" s="511"/>
      <c r="K63" s="525"/>
      <c r="L63" s="514">
        <f t="shared" si="28"/>
        <v>0</v>
      </c>
      <c r="M63" s="525"/>
      <c r="N63" s="514">
        <f t="shared" si="29"/>
        <v>0</v>
      </c>
      <c r="O63" s="514">
        <f t="shared" si="30"/>
        <v>0</v>
      </c>
      <c r="P63" s="272"/>
    </row>
    <row r="64" spans="2:17">
      <c r="B64" s="195" t="str">
        <f t="shared" si="5"/>
        <v/>
      </c>
      <c r="C64" s="507">
        <f>IF(D11="","-",+C63+1)</f>
        <v>2057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26"/>
        <v>0</v>
      </c>
      <c r="G64" s="526">
        <f t="shared" si="31"/>
        <v>0</v>
      </c>
      <c r="H64" s="491">
        <f t="shared" si="32"/>
        <v>0</v>
      </c>
      <c r="I64" s="511">
        <f t="shared" si="27"/>
        <v>0</v>
      </c>
      <c r="J64" s="511"/>
      <c r="K64" s="525"/>
      <c r="L64" s="514">
        <f t="shared" si="28"/>
        <v>0</v>
      </c>
      <c r="M64" s="525"/>
      <c r="N64" s="514">
        <f t="shared" si="29"/>
        <v>0</v>
      </c>
      <c r="O64" s="514">
        <f t="shared" si="30"/>
        <v>0</v>
      </c>
      <c r="P64" s="272"/>
    </row>
    <row r="65" spans="1:16">
      <c r="B65" s="195" t="str">
        <f t="shared" si="5"/>
        <v/>
      </c>
      <c r="C65" s="507">
        <f>IF(D11="","-",+C64+1)</f>
        <v>2058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26"/>
        <v>0</v>
      </c>
      <c r="G65" s="526">
        <f t="shared" si="31"/>
        <v>0</v>
      </c>
      <c r="H65" s="491">
        <f t="shared" si="32"/>
        <v>0</v>
      </c>
      <c r="I65" s="511">
        <f t="shared" si="27"/>
        <v>0</v>
      </c>
      <c r="J65" s="511"/>
      <c r="K65" s="525"/>
      <c r="L65" s="514">
        <f t="shared" si="28"/>
        <v>0</v>
      </c>
      <c r="M65" s="525"/>
      <c r="N65" s="514">
        <f t="shared" si="29"/>
        <v>0</v>
      </c>
      <c r="O65" s="514">
        <f t="shared" si="30"/>
        <v>0</v>
      </c>
      <c r="P65" s="272"/>
    </row>
    <row r="66" spans="1:16">
      <c r="B66" s="195" t="str">
        <f t="shared" si="5"/>
        <v/>
      </c>
      <c r="C66" s="507">
        <f>IF(D11="","-",+C65+1)</f>
        <v>2059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26"/>
        <v>0</v>
      </c>
      <c r="G66" s="526">
        <f t="shared" si="31"/>
        <v>0</v>
      </c>
      <c r="H66" s="491">
        <f t="shared" si="32"/>
        <v>0</v>
      </c>
      <c r="I66" s="511">
        <f t="shared" si="27"/>
        <v>0</v>
      </c>
      <c r="J66" s="511"/>
      <c r="K66" s="525"/>
      <c r="L66" s="514">
        <f t="shared" si="28"/>
        <v>0</v>
      </c>
      <c r="M66" s="525"/>
      <c r="N66" s="514">
        <f t="shared" si="29"/>
        <v>0</v>
      </c>
      <c r="O66" s="514">
        <f t="shared" si="30"/>
        <v>0</v>
      </c>
      <c r="P66" s="272"/>
    </row>
    <row r="67" spans="1:16">
      <c r="B67" s="195" t="str">
        <f t="shared" si="5"/>
        <v/>
      </c>
      <c r="C67" s="507">
        <f>IF(D11="","-",+C66+1)</f>
        <v>2060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26"/>
        <v>0</v>
      </c>
      <c r="G67" s="526">
        <f t="shared" si="31"/>
        <v>0</v>
      </c>
      <c r="H67" s="491">
        <f t="shared" si="32"/>
        <v>0</v>
      </c>
      <c r="I67" s="511">
        <f t="shared" si="27"/>
        <v>0</v>
      </c>
      <c r="J67" s="511"/>
      <c r="K67" s="525"/>
      <c r="L67" s="514">
        <f t="shared" si="28"/>
        <v>0</v>
      </c>
      <c r="M67" s="525"/>
      <c r="N67" s="514">
        <f t="shared" si="29"/>
        <v>0</v>
      </c>
      <c r="O67" s="514">
        <f t="shared" si="30"/>
        <v>0</v>
      </c>
      <c r="P67" s="272"/>
    </row>
    <row r="68" spans="1:16">
      <c r="B68" s="195" t="str">
        <f t="shared" si="5"/>
        <v/>
      </c>
      <c r="C68" s="507">
        <f>IF(D11="","-",+C67+1)</f>
        <v>2061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26"/>
        <v>0</v>
      </c>
      <c r="G68" s="526">
        <f t="shared" si="31"/>
        <v>0</v>
      </c>
      <c r="H68" s="491">
        <f t="shared" si="32"/>
        <v>0</v>
      </c>
      <c r="I68" s="511">
        <f t="shared" si="27"/>
        <v>0</v>
      </c>
      <c r="J68" s="511"/>
      <c r="K68" s="525"/>
      <c r="L68" s="514">
        <f t="shared" si="28"/>
        <v>0</v>
      </c>
      <c r="M68" s="525"/>
      <c r="N68" s="514">
        <f t="shared" si="29"/>
        <v>0</v>
      </c>
      <c r="O68" s="514">
        <f t="shared" si="30"/>
        <v>0</v>
      </c>
      <c r="P68" s="272"/>
    </row>
    <row r="69" spans="1:16">
      <c r="B69" s="195" t="str">
        <f t="shared" si="5"/>
        <v/>
      </c>
      <c r="C69" s="507">
        <f>IF(D11="","-",+C68+1)</f>
        <v>2062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26"/>
        <v>0</v>
      </c>
      <c r="G69" s="526">
        <f t="shared" si="31"/>
        <v>0</v>
      </c>
      <c r="H69" s="491">
        <f t="shared" si="32"/>
        <v>0</v>
      </c>
      <c r="I69" s="511">
        <f t="shared" si="27"/>
        <v>0</v>
      </c>
      <c r="J69" s="511"/>
      <c r="K69" s="525"/>
      <c r="L69" s="514">
        <f t="shared" si="28"/>
        <v>0</v>
      </c>
      <c r="M69" s="525"/>
      <c r="N69" s="514">
        <f t="shared" si="29"/>
        <v>0</v>
      </c>
      <c r="O69" s="514">
        <f t="shared" si="30"/>
        <v>0</v>
      </c>
      <c r="P69" s="272"/>
    </row>
    <row r="70" spans="1:16">
      <c r="B70" s="195" t="str">
        <f t="shared" si="5"/>
        <v/>
      </c>
      <c r="C70" s="507">
        <f>IF(D11="","-",+C69+1)</f>
        <v>2063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26"/>
        <v>0</v>
      </c>
      <c r="G70" s="526">
        <f t="shared" si="31"/>
        <v>0</v>
      </c>
      <c r="H70" s="491">
        <f t="shared" si="32"/>
        <v>0</v>
      </c>
      <c r="I70" s="511">
        <f t="shared" si="27"/>
        <v>0</v>
      </c>
      <c r="J70" s="511"/>
      <c r="K70" s="525"/>
      <c r="L70" s="514">
        <f t="shared" si="28"/>
        <v>0</v>
      </c>
      <c r="M70" s="525"/>
      <c r="N70" s="514">
        <f t="shared" si="29"/>
        <v>0</v>
      </c>
      <c r="O70" s="514">
        <f t="shared" si="30"/>
        <v>0</v>
      </c>
      <c r="P70" s="272"/>
    </row>
    <row r="71" spans="1:16">
      <c r="B71" s="195" t="str">
        <f t="shared" si="5"/>
        <v/>
      </c>
      <c r="C71" s="507">
        <f>IF(D11="","-",+C70+1)</f>
        <v>2064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26"/>
        <v>0</v>
      </c>
      <c r="G71" s="526">
        <f t="shared" si="31"/>
        <v>0</v>
      </c>
      <c r="H71" s="491">
        <f t="shared" si="32"/>
        <v>0</v>
      </c>
      <c r="I71" s="511">
        <f t="shared" si="27"/>
        <v>0</v>
      </c>
      <c r="J71" s="511"/>
      <c r="K71" s="525"/>
      <c r="L71" s="514">
        <f t="shared" si="28"/>
        <v>0</v>
      </c>
      <c r="M71" s="525"/>
      <c r="N71" s="514">
        <f t="shared" si="29"/>
        <v>0</v>
      </c>
      <c r="O71" s="514">
        <f t="shared" si="30"/>
        <v>0</v>
      </c>
      <c r="P71" s="272"/>
    </row>
    <row r="72" spans="1:16" ht="13.5" thickBot="1">
      <c r="B72" s="195" t="str">
        <f t="shared" si="5"/>
        <v/>
      </c>
      <c r="C72" s="527">
        <f>IF(D11="","-",+C71+1)</f>
        <v>2065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26"/>
        <v>0</v>
      </c>
      <c r="G72" s="530">
        <f t="shared" si="31"/>
        <v>0</v>
      </c>
      <c r="H72" s="471">
        <f t="shared" si="32"/>
        <v>0</v>
      </c>
      <c r="I72" s="531">
        <f t="shared" si="27"/>
        <v>0</v>
      </c>
      <c r="J72" s="511"/>
      <c r="K72" s="532"/>
      <c r="L72" s="533">
        <f t="shared" si="28"/>
        <v>0</v>
      </c>
      <c r="M72" s="532"/>
      <c r="N72" s="533">
        <f t="shared" si="29"/>
        <v>0</v>
      </c>
      <c r="O72" s="533">
        <f t="shared" si="30"/>
        <v>0</v>
      </c>
      <c r="P72" s="272"/>
    </row>
    <row r="73" spans="1:16">
      <c r="C73" s="374" t="s">
        <v>78</v>
      </c>
      <c r="D73" s="375"/>
      <c r="E73" s="375">
        <f>SUM(E17:E72)</f>
        <v>5250739.0000000009</v>
      </c>
      <c r="F73" s="375"/>
      <c r="G73" s="375">
        <f>SUM(G17:G72)</f>
        <v>19613169.592591293</v>
      </c>
      <c r="H73" s="375">
        <f>SUM(H17:H72)</f>
        <v>19613169.592591293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1:16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1:16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1:16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1:16" ht="18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535"/>
      <c r="P77" s="272"/>
    </row>
    <row r="78" spans="1:16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1:16" ht="15">
      <c r="A79" s="536"/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</row>
    <row r="80" spans="1:16" ht="18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7">
      <c r="B81" s="269"/>
      <c r="C81" s="537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7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  <c r="Q82" s="269"/>
    </row>
    <row r="83" spans="1:17" ht="20.25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535" t="str">
        <f ca="1">P1</f>
        <v>SWEPCO Project 24 of 75</v>
      </c>
      <c r="Q83" s="269"/>
    </row>
    <row r="84" spans="1:17" ht="18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454" t="s">
        <v>128</v>
      </c>
      <c r="Q84" s="269"/>
    </row>
    <row r="85" spans="1:17" ht="18.7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  <c r="Q85" s="269"/>
    </row>
    <row r="86" spans="1:17" ht="15.75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2022</v>
      </c>
      <c r="M86" s="541" t="s">
        <v>9</v>
      </c>
      <c r="N86" s="542" t="s">
        <v>159</v>
      </c>
      <c r="O86" s="543" t="s">
        <v>11</v>
      </c>
      <c r="P86" s="269"/>
      <c r="Q86" s="269"/>
    </row>
    <row r="87" spans="1:17" ht="1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391</v>
      </c>
      <c r="M87" s="546">
        <f>IF(J92&lt;D11,0,VLOOKUP(J92,C17:O72,9))</f>
        <v>544629.05965082115</v>
      </c>
      <c r="N87" s="546">
        <f>IF(J92&lt;D11,0,VLOOKUP(J92,C17:O72,11))</f>
        <v>544629.05965082115</v>
      </c>
      <c r="O87" s="547">
        <f>+N87-M87</f>
        <v>0</v>
      </c>
      <c r="P87" s="269"/>
      <c r="Q87" s="269"/>
    </row>
    <row r="88" spans="1:17" ht="15.7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392</v>
      </c>
      <c r="M88" s="550">
        <f>IF(J92&lt;D11,0,VLOOKUP(J92,C99:P154,6))</f>
        <v>565692.2677894464</v>
      </c>
      <c r="N88" s="550">
        <f>IF(J92&lt;D11,0,VLOOKUP(J92,C99:P154,7))</f>
        <v>565692.2677894464</v>
      </c>
      <c r="O88" s="551">
        <f>+N88-M88</f>
        <v>0</v>
      </c>
      <c r="P88" s="269"/>
      <c r="Q88" s="269"/>
    </row>
    <row r="89" spans="1:17" ht="13.5" thickBot="1">
      <c r="C89" s="467" t="s">
        <v>84</v>
      </c>
      <c r="D89" s="620" t="str">
        <f>D7</f>
        <v>Rebuild/reconductor Dyess-Elm Springs REC [Dyess Station-Flint Creek]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21063.208138625254</v>
      </c>
      <c r="N89" s="555">
        <f>+N88-N87</f>
        <v>21063.208138625254</v>
      </c>
      <c r="O89" s="556">
        <f>+O88-O87</f>
        <v>0</v>
      </c>
      <c r="P89" s="269"/>
      <c r="Q89" s="269"/>
    </row>
    <row r="90" spans="1:17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  <c r="Q90" s="269"/>
    </row>
    <row r="91" spans="1:17" ht="13.5" thickBot="1">
      <c r="A91" s="191"/>
      <c r="C91" s="558" t="s">
        <v>85</v>
      </c>
      <c r="D91" s="559" t="str">
        <f>+D9</f>
        <v>TP2008026</v>
      </c>
      <c r="E91" s="560"/>
      <c r="F91" s="560"/>
      <c r="G91" s="560"/>
      <c r="H91" s="560"/>
      <c r="I91" s="560"/>
      <c r="J91" s="561"/>
      <c r="K91" s="562"/>
      <c r="P91" s="481"/>
      <c r="Q91" s="269"/>
    </row>
    <row r="92" spans="1:17">
      <c r="C92" s="486" t="s">
        <v>51</v>
      </c>
      <c r="D92" s="483">
        <f>IF(D11=I10,0,D10)</f>
        <v>5250739</v>
      </c>
      <c r="E92" s="340" t="s">
        <v>86</v>
      </c>
      <c r="H92" s="484"/>
      <c r="I92" s="484"/>
      <c r="J92" s="485">
        <f>+'SWE.WS.G.BPU.ATRR.True-up'!M16</f>
        <v>2022</v>
      </c>
      <c r="K92" s="480"/>
      <c r="L92" s="375" t="s">
        <v>87</v>
      </c>
      <c r="P92" s="272"/>
      <c r="Q92" s="269"/>
    </row>
    <row r="93" spans="1:17">
      <c r="C93" s="486" t="s">
        <v>54</v>
      </c>
      <c r="D93" s="563">
        <f>IF(D11=I10,"",D11)</f>
        <v>2010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  <c r="Q93" s="269"/>
    </row>
    <row r="94" spans="1:17">
      <c r="C94" s="486" t="s">
        <v>56</v>
      </c>
      <c r="D94" s="564">
        <f>IF(D11=I10,"",D12)</f>
        <v>6</v>
      </c>
      <c r="E94" s="486" t="s">
        <v>57</v>
      </c>
      <c r="F94" s="484"/>
      <c r="G94" s="484"/>
      <c r="J94" s="490">
        <f>'SWE.WS.G.BPU.ATRR.True-up'!$F$81</f>
        <v>0.11351422637179906</v>
      </c>
      <c r="K94" s="425"/>
      <c r="L94" s="183" t="s">
        <v>88</v>
      </c>
      <c r="P94" s="272"/>
      <c r="Q94" s="269"/>
    </row>
    <row r="95" spans="1:17">
      <c r="C95" s="486" t="s">
        <v>59</v>
      </c>
      <c r="D95" s="488">
        <f>'SWE.WS.G.BPU.ATRR.True-up'!F$93</f>
        <v>41</v>
      </c>
      <c r="E95" s="486" t="s">
        <v>60</v>
      </c>
      <c r="F95" s="484"/>
      <c r="G95" s="484"/>
      <c r="J95" s="490">
        <f>IF(H87="",J94,'SWE.WS.G.BPU.ATRR.True-up'!$F$80)</f>
        <v>0.11351422637179906</v>
      </c>
      <c r="K95" s="324"/>
      <c r="L95" s="375" t="s">
        <v>61</v>
      </c>
      <c r="M95" s="324"/>
      <c r="N95" s="324"/>
      <c r="O95" s="324"/>
      <c r="P95" s="272"/>
      <c r="Q95" s="269"/>
    </row>
    <row r="96" spans="1:17" ht="13.5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128066.80487804877</v>
      </c>
      <c r="K96" s="375"/>
      <c r="L96" s="375"/>
      <c r="M96" s="375"/>
      <c r="N96" s="375"/>
      <c r="O96" s="375"/>
      <c r="P96" s="272"/>
      <c r="Q96" s="269"/>
    </row>
    <row r="97" spans="1:17" ht="38.25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388</v>
      </c>
      <c r="I97" s="495" t="s">
        <v>389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  <c r="Q97" s="269"/>
    </row>
    <row r="98" spans="1:17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  <c r="Q98" s="269"/>
    </row>
    <row r="99" spans="1:17">
      <c r="C99" s="507">
        <f>IF(D93= "","-",D93)</f>
        <v>2010</v>
      </c>
      <c r="D99" s="508">
        <v>0</v>
      </c>
      <c r="E99" s="516">
        <v>64033.402439024387</v>
      </c>
      <c r="F99" s="515">
        <v>5186705.5975609757</v>
      </c>
      <c r="G99" s="574">
        <v>2593352.7987804879</v>
      </c>
      <c r="H99" s="575">
        <v>492159.85552560829</v>
      </c>
      <c r="I99" s="576">
        <v>492159.85552560829</v>
      </c>
      <c r="J99" s="613">
        <f t="shared" ref="J99:J130" si="33">+I99-H99</f>
        <v>0</v>
      </c>
      <c r="K99" s="514"/>
      <c r="L99" s="512">
        <f t="shared" ref="L99:L104" si="34">H99</f>
        <v>492159.85552560829</v>
      </c>
      <c r="M99" s="597">
        <f t="shared" ref="M99:M130" si="35">IF(L99&lt;&gt;0,+H99-L99,0)</f>
        <v>0</v>
      </c>
      <c r="N99" s="512">
        <f t="shared" ref="N99:N104" si="36">I99</f>
        <v>492159.85552560829</v>
      </c>
      <c r="O99" s="513">
        <f t="shared" ref="O99:O130" si="37">IF(N99&lt;&gt;0,+I99-N99,0)</f>
        <v>0</v>
      </c>
      <c r="P99" s="513">
        <f t="shared" ref="P99:P130" si="38">+O99-M99</f>
        <v>0</v>
      </c>
      <c r="Q99" s="269"/>
    </row>
    <row r="100" spans="1:17">
      <c r="B100" s="195" t="str">
        <f>IF(D100=F99,"","IU")</f>
        <v/>
      </c>
      <c r="C100" s="507">
        <f>IF(D93="","-",+C99+1)</f>
        <v>2011</v>
      </c>
      <c r="D100" s="508">
        <v>5186705.5975609757</v>
      </c>
      <c r="E100" s="516">
        <v>125017.59523809524</v>
      </c>
      <c r="F100" s="515">
        <v>5061688.0023228806</v>
      </c>
      <c r="G100" s="515">
        <v>5124196.7999419281</v>
      </c>
      <c r="H100" s="516">
        <v>895593.80408985249</v>
      </c>
      <c r="I100" s="510">
        <v>895593.80408985249</v>
      </c>
      <c r="J100" s="613">
        <f t="shared" si="33"/>
        <v>0</v>
      </c>
      <c r="K100" s="514"/>
      <c r="L100" s="518">
        <f t="shared" si="34"/>
        <v>895593.80408985249</v>
      </c>
      <c r="M100" s="519">
        <f t="shared" si="35"/>
        <v>0</v>
      </c>
      <c r="N100" s="518">
        <f t="shared" si="36"/>
        <v>895593.80408985249</v>
      </c>
      <c r="O100" s="514">
        <f t="shared" si="37"/>
        <v>0</v>
      </c>
      <c r="P100" s="514">
        <f t="shared" si="38"/>
        <v>0</v>
      </c>
      <c r="Q100" s="269"/>
    </row>
    <row r="101" spans="1:17">
      <c r="B101" s="195" t="str">
        <f t="shared" ref="B101:B154" si="39">IF(D101=F100,"","IU")</f>
        <v/>
      </c>
      <c r="C101" s="507">
        <f>IF(D93="","-",+C100+1)</f>
        <v>2012</v>
      </c>
      <c r="D101" s="508">
        <v>5061688.0023228806</v>
      </c>
      <c r="E101" s="516">
        <v>125017.59523809524</v>
      </c>
      <c r="F101" s="515">
        <v>4936670.4070847854</v>
      </c>
      <c r="G101" s="515">
        <v>4999179.204703833</v>
      </c>
      <c r="H101" s="516">
        <v>860666.47096382198</v>
      </c>
      <c r="I101" s="510">
        <v>860666.47096382198</v>
      </c>
      <c r="J101" s="613">
        <f t="shared" si="33"/>
        <v>0</v>
      </c>
      <c r="K101" s="514"/>
      <c r="L101" s="518">
        <f t="shared" si="34"/>
        <v>860666.47096382198</v>
      </c>
      <c r="M101" s="519">
        <f t="shared" si="35"/>
        <v>0</v>
      </c>
      <c r="N101" s="518">
        <f t="shared" si="36"/>
        <v>860666.47096382198</v>
      </c>
      <c r="O101" s="514">
        <f t="shared" si="37"/>
        <v>0</v>
      </c>
      <c r="P101" s="514">
        <f t="shared" si="38"/>
        <v>0</v>
      </c>
      <c r="Q101" s="269"/>
    </row>
    <row r="102" spans="1:17">
      <c r="B102" s="195" t="str">
        <f t="shared" si="39"/>
        <v/>
      </c>
      <c r="C102" s="507">
        <f>IF(D93="","-",+C101+1)</f>
        <v>2013</v>
      </c>
      <c r="D102" s="508">
        <v>4936670.4070847854</v>
      </c>
      <c r="E102" s="516">
        <v>125017.59523809524</v>
      </c>
      <c r="F102" s="515">
        <v>4811652.8118466903</v>
      </c>
      <c r="G102" s="515">
        <v>4874161.6094657378</v>
      </c>
      <c r="H102" s="516">
        <v>784451.21671407181</v>
      </c>
      <c r="I102" s="510">
        <v>784451.21671407181</v>
      </c>
      <c r="J102" s="613">
        <v>0</v>
      </c>
      <c r="K102" s="514"/>
      <c r="L102" s="518">
        <f t="shared" si="34"/>
        <v>784451.21671407181</v>
      </c>
      <c r="M102" s="519">
        <f t="shared" ref="M102:M107" si="40">IF(L102&lt;&gt;0,+H102-L102,0)</f>
        <v>0</v>
      </c>
      <c r="N102" s="518">
        <f t="shared" si="36"/>
        <v>784451.21671407181</v>
      </c>
      <c r="O102" s="514">
        <f>IF(N102&lt;&gt;0,+I102-N102,0)</f>
        <v>0</v>
      </c>
      <c r="P102" s="514">
        <f>+O102-M102</f>
        <v>0</v>
      </c>
      <c r="Q102" s="269"/>
    </row>
    <row r="103" spans="1:17">
      <c r="B103" s="195" t="str">
        <f t="shared" si="39"/>
        <v/>
      </c>
      <c r="C103" s="507">
        <f>IF(D93="","-",+C102+1)</f>
        <v>2014</v>
      </c>
      <c r="D103" s="508">
        <v>4811652.8118466903</v>
      </c>
      <c r="E103" s="516">
        <v>125017.59523809524</v>
      </c>
      <c r="F103" s="515">
        <v>4686635.2166085951</v>
      </c>
      <c r="G103" s="515">
        <v>4749144.0142276427</v>
      </c>
      <c r="H103" s="516">
        <v>770537.68057167216</v>
      </c>
      <c r="I103" s="510">
        <v>770537.68057167216</v>
      </c>
      <c r="J103" s="514">
        <v>0</v>
      </c>
      <c r="K103" s="514"/>
      <c r="L103" s="518">
        <f t="shared" si="34"/>
        <v>770537.68057167216</v>
      </c>
      <c r="M103" s="519">
        <f t="shared" si="40"/>
        <v>0</v>
      </c>
      <c r="N103" s="518">
        <f t="shared" si="36"/>
        <v>770537.68057167216</v>
      </c>
      <c r="O103" s="514">
        <f>IF(N103&lt;&gt;0,+I103-N103,0)</f>
        <v>0</v>
      </c>
      <c r="P103" s="514">
        <f>+O103-M103</f>
        <v>0</v>
      </c>
      <c r="Q103" s="269"/>
    </row>
    <row r="104" spans="1:17">
      <c r="B104" s="195" t="str">
        <f t="shared" si="39"/>
        <v/>
      </c>
      <c r="C104" s="507">
        <f>IF(D93="","-",+C103+1)</f>
        <v>2015</v>
      </c>
      <c r="D104" s="508">
        <v>4686635.2166085951</v>
      </c>
      <c r="E104" s="516">
        <v>125017.59523809524</v>
      </c>
      <c r="F104" s="515">
        <v>4561617.6213705</v>
      </c>
      <c r="G104" s="515">
        <v>4624126.4189895475</v>
      </c>
      <c r="H104" s="516">
        <v>734333.54462045</v>
      </c>
      <c r="I104" s="510">
        <v>734333.54462045</v>
      </c>
      <c r="J104" s="514">
        <f t="shared" si="33"/>
        <v>0</v>
      </c>
      <c r="K104" s="514"/>
      <c r="L104" s="518">
        <f t="shared" si="34"/>
        <v>734333.54462045</v>
      </c>
      <c r="M104" s="519">
        <f t="shared" si="40"/>
        <v>0</v>
      </c>
      <c r="N104" s="518">
        <f t="shared" si="36"/>
        <v>734333.54462045</v>
      </c>
      <c r="O104" s="514">
        <f>IF(N104&lt;&gt;0,+I104-N104,0)</f>
        <v>0</v>
      </c>
      <c r="P104" s="514">
        <f>+O104-M104</f>
        <v>0</v>
      </c>
      <c r="Q104" s="269"/>
    </row>
    <row r="105" spans="1:17">
      <c r="B105" s="195" t="str">
        <f t="shared" si="39"/>
        <v/>
      </c>
      <c r="C105" s="507">
        <f>IF(D93="","-",+C104+1)</f>
        <v>2016</v>
      </c>
      <c r="D105" s="508">
        <v>4561617.6213705</v>
      </c>
      <c r="E105" s="516">
        <v>122110.20930232559</v>
      </c>
      <c r="F105" s="515">
        <v>4439507.4120681742</v>
      </c>
      <c r="G105" s="515">
        <v>4500562.5167193376</v>
      </c>
      <c r="H105" s="516">
        <v>693456.56809088623</v>
      </c>
      <c r="I105" s="510">
        <v>693456.56809088623</v>
      </c>
      <c r="J105" s="514">
        <f t="shared" si="33"/>
        <v>0</v>
      </c>
      <c r="K105" s="514"/>
      <c r="L105" s="518">
        <f t="shared" ref="L105:L110" si="41">H105</f>
        <v>693456.56809088623</v>
      </c>
      <c r="M105" s="519">
        <f t="shared" si="40"/>
        <v>0</v>
      </c>
      <c r="N105" s="518">
        <f t="shared" ref="N105:N110" si="42">I105</f>
        <v>693456.56809088623</v>
      </c>
      <c r="O105" s="514">
        <f>IF(N105&lt;&gt;0,+I105-N105,0)</f>
        <v>0</v>
      </c>
      <c r="P105" s="514">
        <f>+O105-M105</f>
        <v>0</v>
      </c>
      <c r="Q105" s="269"/>
    </row>
    <row r="106" spans="1:17">
      <c r="B106" s="195" t="str">
        <f t="shared" si="39"/>
        <v/>
      </c>
      <c r="C106" s="507">
        <f>IF(D93="","-",+C105+1)</f>
        <v>2017</v>
      </c>
      <c r="D106" s="508">
        <v>4439507.4120681742</v>
      </c>
      <c r="E106" s="516">
        <v>125017.59523809524</v>
      </c>
      <c r="F106" s="515">
        <v>4314489.8168300791</v>
      </c>
      <c r="G106" s="515">
        <v>4376998.6144491266</v>
      </c>
      <c r="H106" s="516">
        <v>656697.99721600045</v>
      </c>
      <c r="I106" s="510">
        <v>656697.99721600045</v>
      </c>
      <c r="J106" s="514">
        <f t="shared" si="33"/>
        <v>0</v>
      </c>
      <c r="K106" s="514"/>
      <c r="L106" s="518">
        <f t="shared" si="41"/>
        <v>656697.99721600045</v>
      </c>
      <c r="M106" s="519">
        <f t="shared" si="40"/>
        <v>0</v>
      </c>
      <c r="N106" s="518">
        <f t="shared" si="42"/>
        <v>656697.99721600045</v>
      </c>
      <c r="O106" s="514">
        <f>IF(N106&lt;&gt;0,+I106-N106,0)</f>
        <v>0</v>
      </c>
      <c r="P106" s="514">
        <f>+O106-M106</f>
        <v>0</v>
      </c>
      <c r="Q106" s="269"/>
    </row>
    <row r="107" spans="1:17">
      <c r="B107" s="195" t="str">
        <f t="shared" si="39"/>
        <v/>
      </c>
      <c r="C107" s="507">
        <f>IF(D93="","-",+C106+1)</f>
        <v>2018</v>
      </c>
      <c r="D107" s="508">
        <v>4314489.8168300791</v>
      </c>
      <c r="E107" s="516">
        <v>125017.59523809524</v>
      </c>
      <c r="F107" s="515">
        <v>4189472.2215919839</v>
      </c>
      <c r="G107" s="515">
        <v>4251981.0192110315</v>
      </c>
      <c r="H107" s="516">
        <v>574046.28968548193</v>
      </c>
      <c r="I107" s="510">
        <v>574046.28968548193</v>
      </c>
      <c r="J107" s="514">
        <f t="shared" si="33"/>
        <v>0</v>
      </c>
      <c r="K107" s="514"/>
      <c r="L107" s="518">
        <f t="shared" si="41"/>
        <v>574046.28968548193</v>
      </c>
      <c r="M107" s="519">
        <f t="shared" si="40"/>
        <v>0</v>
      </c>
      <c r="N107" s="518">
        <f t="shared" si="42"/>
        <v>574046.28968548193</v>
      </c>
      <c r="O107" s="514">
        <f t="shared" si="37"/>
        <v>0</v>
      </c>
      <c r="P107" s="514">
        <f t="shared" si="38"/>
        <v>0</v>
      </c>
      <c r="Q107" s="269"/>
    </row>
    <row r="108" spans="1:17">
      <c r="B108" s="195" t="str">
        <f t="shared" si="39"/>
        <v/>
      </c>
      <c r="C108" s="507">
        <f>IF(D93="","-",+C107+1)</f>
        <v>2019</v>
      </c>
      <c r="D108" s="508">
        <v>4189472.2215919839</v>
      </c>
      <c r="E108" s="516">
        <v>122110.20930232559</v>
      </c>
      <c r="F108" s="515">
        <v>4067362.0122896582</v>
      </c>
      <c r="G108" s="515">
        <v>4128417.1169408211</v>
      </c>
      <c r="H108" s="516">
        <v>564018.23385327356</v>
      </c>
      <c r="I108" s="510">
        <v>564018.23385327356</v>
      </c>
      <c r="J108" s="514">
        <f t="shared" si="33"/>
        <v>0</v>
      </c>
      <c r="K108" s="514"/>
      <c r="L108" s="518">
        <f t="shared" si="41"/>
        <v>564018.23385327356</v>
      </c>
      <c r="M108" s="519">
        <f t="shared" ref="M108:M109" si="43">IF(L108&lt;&gt;0,+H108-L108,0)</f>
        <v>0</v>
      </c>
      <c r="N108" s="518">
        <f t="shared" si="42"/>
        <v>564018.23385327356</v>
      </c>
      <c r="O108" s="514">
        <f t="shared" si="37"/>
        <v>0</v>
      </c>
      <c r="P108" s="514">
        <f t="shared" si="38"/>
        <v>0</v>
      </c>
      <c r="Q108" s="269"/>
    </row>
    <row r="109" spans="1:17">
      <c r="B109" s="195" t="str">
        <f t="shared" si="39"/>
        <v/>
      </c>
      <c r="C109" s="507">
        <f>IF(D93="","-",+C108+1)</f>
        <v>2020</v>
      </c>
      <c r="D109" s="508">
        <v>4067362.0122896582</v>
      </c>
      <c r="E109" s="516">
        <v>125017.59523809524</v>
      </c>
      <c r="F109" s="515">
        <v>3942344.417051563</v>
      </c>
      <c r="G109" s="515">
        <v>4004853.2146706106</v>
      </c>
      <c r="H109" s="516">
        <v>555835.00414311176</v>
      </c>
      <c r="I109" s="510">
        <v>555835.00414311176</v>
      </c>
      <c r="J109" s="514">
        <f t="shared" si="33"/>
        <v>0</v>
      </c>
      <c r="K109" s="514"/>
      <c r="L109" s="518">
        <f t="shared" si="41"/>
        <v>555835.00414311176</v>
      </c>
      <c r="M109" s="519">
        <f t="shared" si="43"/>
        <v>0</v>
      </c>
      <c r="N109" s="518">
        <f t="shared" si="42"/>
        <v>555835.00414311176</v>
      </c>
      <c r="O109" s="514">
        <f t="shared" si="37"/>
        <v>0</v>
      </c>
      <c r="P109" s="514">
        <f t="shared" si="38"/>
        <v>0</v>
      </c>
      <c r="Q109" s="269"/>
    </row>
    <row r="110" spans="1:17">
      <c r="B110" s="195" t="str">
        <f t="shared" si="39"/>
        <v/>
      </c>
      <c r="C110" s="507">
        <f>IF(D93="","-",+C109+1)</f>
        <v>2021</v>
      </c>
      <c r="D110" s="508">
        <v>3942344.417051563</v>
      </c>
      <c r="E110" s="516">
        <v>128066.80487804877</v>
      </c>
      <c r="F110" s="515">
        <v>3814277.6121735144</v>
      </c>
      <c r="G110" s="515">
        <v>3878311.0146125387</v>
      </c>
      <c r="H110" s="516">
        <v>568310.27933101822</v>
      </c>
      <c r="I110" s="510">
        <v>568310.27933101822</v>
      </c>
      <c r="J110" s="514">
        <f t="shared" si="33"/>
        <v>0</v>
      </c>
      <c r="K110" s="514"/>
      <c r="L110" s="518">
        <f t="shared" si="41"/>
        <v>568310.27933101822</v>
      </c>
      <c r="M110" s="519">
        <f t="shared" ref="M110" si="44">IF(L110&lt;&gt;0,+H110-L110,0)</f>
        <v>0</v>
      </c>
      <c r="N110" s="518">
        <f t="shared" si="42"/>
        <v>568310.27933101822</v>
      </c>
      <c r="O110" s="514">
        <f t="shared" ref="O110" si="45">IF(N110&lt;&gt;0,+I110-N110,0)</f>
        <v>0</v>
      </c>
      <c r="P110" s="514">
        <f t="shared" ref="P110" si="46">+O110-M110</f>
        <v>0</v>
      </c>
      <c r="Q110" s="269"/>
    </row>
    <row r="111" spans="1:17">
      <c r="B111" s="195" t="str">
        <f t="shared" si="39"/>
        <v/>
      </c>
      <c r="C111" s="673">
        <f>IF(D93="","-",+C110+1)</f>
        <v>2022</v>
      </c>
      <c r="D111" s="374">
        <v>3814277.6121735144</v>
      </c>
      <c r="E111" s="522">
        <v>125017.59523809524</v>
      </c>
      <c r="F111" s="523">
        <v>3689260.0169354193</v>
      </c>
      <c r="G111" s="523">
        <v>3751768.8145544669</v>
      </c>
      <c r="H111" s="526">
        <v>565692.2677894464</v>
      </c>
      <c r="I111" s="577">
        <v>565692.2677894464</v>
      </c>
      <c r="J111" s="514">
        <f t="shared" si="33"/>
        <v>0</v>
      </c>
      <c r="K111" s="514"/>
      <c r="L111" s="525"/>
      <c r="M111" s="514">
        <f t="shared" si="35"/>
        <v>0</v>
      </c>
      <c r="N111" s="525"/>
      <c r="O111" s="514">
        <f t="shared" si="37"/>
        <v>0</v>
      </c>
      <c r="P111" s="514">
        <f t="shared" si="38"/>
        <v>0</v>
      </c>
      <c r="Q111" s="269"/>
    </row>
    <row r="112" spans="1:17">
      <c r="B112" s="195" t="str">
        <f t="shared" si="39"/>
        <v/>
      </c>
      <c r="C112" s="507">
        <f>IF(D93="","-",+C111+1)</f>
        <v>2023</v>
      </c>
      <c r="D112" s="374">
        <f>IF(F111+SUM(E$99:E111)=D$92,F111,D$92-SUM(E$99:E111))</f>
        <v>3689260.0169354193</v>
      </c>
      <c r="E112" s="522">
        <f>IF(+J96&lt;F111,J96,D112)</f>
        <v>128066.80487804877</v>
      </c>
      <c r="F112" s="523">
        <f t="shared" ref="F112:F131" si="47">+D112-E112</f>
        <v>3561193.2120573707</v>
      </c>
      <c r="G112" s="523">
        <f t="shared" ref="G112:G130" si="48">+(F112+D112)/2</f>
        <v>3625226.614496395</v>
      </c>
      <c r="H112" s="526">
        <f t="shared" ref="H112:H130" si="49">+J$94*G112+E112</f>
        <v>539581.59944506327</v>
      </c>
      <c r="I112" s="577">
        <f t="shared" ref="I112:I130" si="50">+J$95*G112+E112</f>
        <v>539581.59944506327</v>
      </c>
      <c r="J112" s="514">
        <f t="shared" si="33"/>
        <v>0</v>
      </c>
      <c r="K112" s="514"/>
      <c r="L112" s="525"/>
      <c r="M112" s="514">
        <f t="shared" si="35"/>
        <v>0</v>
      </c>
      <c r="N112" s="525"/>
      <c r="O112" s="514">
        <f t="shared" si="37"/>
        <v>0</v>
      </c>
      <c r="P112" s="514">
        <f t="shared" si="38"/>
        <v>0</v>
      </c>
      <c r="Q112" s="269"/>
    </row>
    <row r="113" spans="2:17">
      <c r="B113" s="195" t="str">
        <f t="shared" si="39"/>
        <v/>
      </c>
      <c r="C113" s="507">
        <f>IF(D93="","-",+C112+1)</f>
        <v>2024</v>
      </c>
      <c r="D113" s="374">
        <f>IF(F112+SUM(E$99:E112)=D$92,F112,D$92-SUM(E$99:E112))</f>
        <v>3561193.2120573707</v>
      </c>
      <c r="E113" s="522">
        <f>IF(+J96&lt;F112,J96,D113)</f>
        <v>128066.80487804877</v>
      </c>
      <c r="F113" s="523">
        <f t="shared" si="47"/>
        <v>3433126.4071793221</v>
      </c>
      <c r="G113" s="523">
        <f t="shared" si="48"/>
        <v>3497159.8096183464</v>
      </c>
      <c r="H113" s="526">
        <f t="shared" si="49"/>
        <v>525044.19516542344</v>
      </c>
      <c r="I113" s="577">
        <f t="shared" si="50"/>
        <v>525044.19516542344</v>
      </c>
      <c r="J113" s="514">
        <f t="shared" si="33"/>
        <v>0</v>
      </c>
      <c r="K113" s="514"/>
      <c r="L113" s="525"/>
      <c r="M113" s="514">
        <f t="shared" si="35"/>
        <v>0</v>
      </c>
      <c r="N113" s="525"/>
      <c r="O113" s="514">
        <f t="shared" si="37"/>
        <v>0</v>
      </c>
      <c r="P113" s="514">
        <f t="shared" si="38"/>
        <v>0</v>
      </c>
      <c r="Q113" s="269"/>
    </row>
    <row r="114" spans="2:17">
      <c r="B114" s="195" t="str">
        <f t="shared" si="39"/>
        <v/>
      </c>
      <c r="C114" s="507">
        <f>IF(D93="","-",+C113+1)</f>
        <v>2025</v>
      </c>
      <c r="D114" s="374">
        <f>IF(F113+SUM(E$99:E113)=D$92,F113,D$92-SUM(E$99:E113))</f>
        <v>3433126.4071793221</v>
      </c>
      <c r="E114" s="522">
        <f>IF(+J96&lt;F113,J96,D114)</f>
        <v>128066.80487804877</v>
      </c>
      <c r="F114" s="523">
        <f t="shared" si="47"/>
        <v>3305059.6023012735</v>
      </c>
      <c r="G114" s="523">
        <f t="shared" si="48"/>
        <v>3369093.0047402978</v>
      </c>
      <c r="H114" s="526">
        <f t="shared" si="49"/>
        <v>510506.79088578362</v>
      </c>
      <c r="I114" s="577">
        <f t="shared" si="50"/>
        <v>510506.79088578362</v>
      </c>
      <c r="J114" s="514">
        <f t="shared" si="33"/>
        <v>0</v>
      </c>
      <c r="K114" s="514"/>
      <c r="L114" s="525"/>
      <c r="M114" s="514">
        <f t="shared" si="35"/>
        <v>0</v>
      </c>
      <c r="N114" s="525"/>
      <c r="O114" s="514">
        <f t="shared" si="37"/>
        <v>0</v>
      </c>
      <c r="P114" s="514">
        <f t="shared" si="38"/>
        <v>0</v>
      </c>
      <c r="Q114" s="269"/>
    </row>
    <row r="115" spans="2:17">
      <c r="B115" s="195" t="str">
        <f t="shared" si="39"/>
        <v/>
      </c>
      <c r="C115" s="507">
        <f>IF(D93="","-",+C114+1)</f>
        <v>2026</v>
      </c>
      <c r="D115" s="374">
        <f>IF(F114+SUM(E$99:E114)=D$92,F114,D$92-SUM(E$99:E114))</f>
        <v>3305059.6023012735</v>
      </c>
      <c r="E115" s="522">
        <f>IF(+J96&lt;F114,J96,D115)</f>
        <v>128066.80487804877</v>
      </c>
      <c r="F115" s="523">
        <f t="shared" si="47"/>
        <v>3176992.7974232249</v>
      </c>
      <c r="G115" s="523">
        <f t="shared" si="48"/>
        <v>3241026.1998622492</v>
      </c>
      <c r="H115" s="526">
        <f t="shared" si="49"/>
        <v>495969.38660614379</v>
      </c>
      <c r="I115" s="577">
        <f t="shared" si="50"/>
        <v>495969.38660614379</v>
      </c>
      <c r="J115" s="514">
        <f t="shared" si="33"/>
        <v>0</v>
      </c>
      <c r="K115" s="514"/>
      <c r="L115" s="525"/>
      <c r="M115" s="514">
        <f t="shared" si="35"/>
        <v>0</v>
      </c>
      <c r="N115" s="525"/>
      <c r="O115" s="514">
        <f t="shared" si="37"/>
        <v>0</v>
      </c>
      <c r="P115" s="514">
        <f t="shared" si="38"/>
        <v>0</v>
      </c>
      <c r="Q115" s="269"/>
    </row>
    <row r="116" spans="2:17">
      <c r="B116" s="195" t="str">
        <f t="shared" si="39"/>
        <v/>
      </c>
      <c r="C116" s="507">
        <f>IF(D93="","-",+C115+1)</f>
        <v>2027</v>
      </c>
      <c r="D116" s="374">
        <f>IF(F115+SUM(E$99:E115)=D$92,F115,D$92-SUM(E$99:E115))</f>
        <v>3176992.7974232249</v>
      </c>
      <c r="E116" s="522">
        <f>IF(+J96&lt;F115,J96,D116)</f>
        <v>128066.80487804877</v>
      </c>
      <c r="F116" s="523">
        <f t="shared" si="47"/>
        <v>3048925.9925451763</v>
      </c>
      <c r="G116" s="523">
        <f t="shared" si="48"/>
        <v>3112959.3949842006</v>
      </c>
      <c r="H116" s="526">
        <f t="shared" si="49"/>
        <v>481431.98232650396</v>
      </c>
      <c r="I116" s="577">
        <f t="shared" si="50"/>
        <v>481431.98232650396</v>
      </c>
      <c r="J116" s="514">
        <f t="shared" si="33"/>
        <v>0</v>
      </c>
      <c r="K116" s="514"/>
      <c r="L116" s="525"/>
      <c r="M116" s="514">
        <f t="shared" si="35"/>
        <v>0</v>
      </c>
      <c r="N116" s="525"/>
      <c r="O116" s="514">
        <f t="shared" si="37"/>
        <v>0</v>
      </c>
      <c r="P116" s="514">
        <f t="shared" si="38"/>
        <v>0</v>
      </c>
      <c r="Q116" s="269"/>
    </row>
    <row r="117" spans="2:17">
      <c r="B117" s="195" t="str">
        <f t="shared" si="39"/>
        <v/>
      </c>
      <c r="C117" s="507">
        <f>IF(D93="","-",+C116+1)</f>
        <v>2028</v>
      </c>
      <c r="D117" s="374">
        <f>IF(F116+SUM(E$99:E116)=D$92,F116,D$92-SUM(E$99:E116))</f>
        <v>3048925.9925451763</v>
      </c>
      <c r="E117" s="522">
        <f>IF(+J96&lt;F116,J96,D117)</f>
        <v>128066.80487804877</v>
      </c>
      <c r="F117" s="523">
        <f t="shared" si="47"/>
        <v>2920859.1876671277</v>
      </c>
      <c r="G117" s="523">
        <f t="shared" si="48"/>
        <v>2984892.590106152</v>
      </c>
      <c r="H117" s="526">
        <f t="shared" si="49"/>
        <v>466894.57804686413</v>
      </c>
      <c r="I117" s="577">
        <f t="shared" si="50"/>
        <v>466894.57804686413</v>
      </c>
      <c r="J117" s="514">
        <f t="shared" si="33"/>
        <v>0</v>
      </c>
      <c r="K117" s="514"/>
      <c r="L117" s="525"/>
      <c r="M117" s="514">
        <f t="shared" si="35"/>
        <v>0</v>
      </c>
      <c r="N117" s="525"/>
      <c r="O117" s="514">
        <f t="shared" si="37"/>
        <v>0</v>
      </c>
      <c r="P117" s="514">
        <f t="shared" si="38"/>
        <v>0</v>
      </c>
      <c r="Q117" s="269"/>
    </row>
    <row r="118" spans="2:17">
      <c r="B118" s="195" t="str">
        <f t="shared" si="39"/>
        <v/>
      </c>
      <c r="C118" s="507">
        <f>IF(D93="","-",+C117+1)</f>
        <v>2029</v>
      </c>
      <c r="D118" s="374">
        <f>IF(F117+SUM(E$99:E117)=D$92,F117,D$92-SUM(E$99:E117))</f>
        <v>2920859.1876671277</v>
      </c>
      <c r="E118" s="522">
        <f>IF(+J96&lt;F117,J96,D118)</f>
        <v>128066.80487804877</v>
      </c>
      <c r="F118" s="523">
        <f t="shared" si="47"/>
        <v>2792792.3827890791</v>
      </c>
      <c r="G118" s="523">
        <f t="shared" si="48"/>
        <v>2856825.7852281034</v>
      </c>
      <c r="H118" s="526">
        <f t="shared" si="49"/>
        <v>452357.1737672243</v>
      </c>
      <c r="I118" s="577">
        <f t="shared" si="50"/>
        <v>452357.1737672243</v>
      </c>
      <c r="J118" s="514">
        <f t="shared" si="33"/>
        <v>0</v>
      </c>
      <c r="K118" s="514"/>
      <c r="L118" s="525"/>
      <c r="M118" s="514">
        <f t="shared" si="35"/>
        <v>0</v>
      </c>
      <c r="N118" s="525"/>
      <c r="O118" s="514">
        <f t="shared" si="37"/>
        <v>0</v>
      </c>
      <c r="P118" s="514">
        <f t="shared" si="38"/>
        <v>0</v>
      </c>
      <c r="Q118" s="269"/>
    </row>
    <row r="119" spans="2:17">
      <c r="B119" s="195" t="str">
        <f t="shared" si="39"/>
        <v/>
      </c>
      <c r="C119" s="507">
        <f>IF(D93="","-",+C118+1)</f>
        <v>2030</v>
      </c>
      <c r="D119" s="374">
        <f>IF(F118+SUM(E$99:E118)=D$92,F118,D$92-SUM(E$99:E118))</f>
        <v>2792792.3827890791</v>
      </c>
      <c r="E119" s="522">
        <f>IF(+J96&lt;F118,J96,D119)</f>
        <v>128066.80487804877</v>
      </c>
      <c r="F119" s="523">
        <f t="shared" si="47"/>
        <v>2664725.5779110305</v>
      </c>
      <c r="G119" s="523">
        <f t="shared" si="48"/>
        <v>2728758.9803500548</v>
      </c>
      <c r="H119" s="526">
        <f t="shared" si="49"/>
        <v>437819.76948758448</v>
      </c>
      <c r="I119" s="577">
        <f t="shared" si="50"/>
        <v>437819.76948758448</v>
      </c>
      <c r="J119" s="514">
        <f t="shared" si="33"/>
        <v>0</v>
      </c>
      <c r="K119" s="514"/>
      <c r="L119" s="525"/>
      <c r="M119" s="514">
        <f t="shared" si="35"/>
        <v>0</v>
      </c>
      <c r="N119" s="525"/>
      <c r="O119" s="514">
        <f t="shared" si="37"/>
        <v>0</v>
      </c>
      <c r="P119" s="514">
        <f t="shared" si="38"/>
        <v>0</v>
      </c>
      <c r="Q119" s="269"/>
    </row>
    <row r="120" spans="2:17">
      <c r="B120" s="195" t="str">
        <f t="shared" si="39"/>
        <v/>
      </c>
      <c r="C120" s="507">
        <f>IF(D93="","-",+C119+1)</f>
        <v>2031</v>
      </c>
      <c r="D120" s="374">
        <f>IF(F119+SUM(E$99:E119)=D$92,F119,D$92-SUM(E$99:E119))</f>
        <v>2664725.5779110305</v>
      </c>
      <c r="E120" s="522">
        <f>IF(+J96&lt;F119,J96,D120)</f>
        <v>128066.80487804877</v>
      </c>
      <c r="F120" s="523">
        <f t="shared" si="47"/>
        <v>2536658.7730329819</v>
      </c>
      <c r="G120" s="523">
        <f t="shared" si="48"/>
        <v>2600692.1754720062</v>
      </c>
      <c r="H120" s="526">
        <f t="shared" si="49"/>
        <v>423282.36520794465</v>
      </c>
      <c r="I120" s="577">
        <f t="shared" si="50"/>
        <v>423282.36520794465</v>
      </c>
      <c r="J120" s="514">
        <f t="shared" si="33"/>
        <v>0</v>
      </c>
      <c r="K120" s="514"/>
      <c r="L120" s="525"/>
      <c r="M120" s="514">
        <f t="shared" si="35"/>
        <v>0</v>
      </c>
      <c r="N120" s="525"/>
      <c r="O120" s="514">
        <f t="shared" si="37"/>
        <v>0</v>
      </c>
      <c r="P120" s="514">
        <f t="shared" si="38"/>
        <v>0</v>
      </c>
      <c r="Q120" s="269"/>
    </row>
    <row r="121" spans="2:17">
      <c r="B121" s="195" t="str">
        <f t="shared" si="39"/>
        <v/>
      </c>
      <c r="C121" s="507">
        <f>IF(D93="","-",+C120+1)</f>
        <v>2032</v>
      </c>
      <c r="D121" s="374">
        <f>IF(F120+SUM(E$99:E120)=D$92,F120,D$92-SUM(E$99:E120))</f>
        <v>2536658.7730329819</v>
      </c>
      <c r="E121" s="522">
        <f>IF(+J96&lt;F120,J96,D121)</f>
        <v>128066.80487804877</v>
      </c>
      <c r="F121" s="523">
        <f t="shared" si="47"/>
        <v>2408591.9681549333</v>
      </c>
      <c r="G121" s="523">
        <f t="shared" si="48"/>
        <v>2472625.3705939576</v>
      </c>
      <c r="H121" s="526">
        <f t="shared" si="49"/>
        <v>408744.96092830482</v>
      </c>
      <c r="I121" s="577">
        <f t="shared" si="50"/>
        <v>408744.96092830482</v>
      </c>
      <c r="J121" s="514">
        <f t="shared" si="33"/>
        <v>0</v>
      </c>
      <c r="K121" s="514"/>
      <c r="L121" s="525"/>
      <c r="M121" s="514">
        <f t="shared" si="35"/>
        <v>0</v>
      </c>
      <c r="N121" s="525"/>
      <c r="O121" s="514">
        <f t="shared" si="37"/>
        <v>0</v>
      </c>
      <c r="P121" s="514">
        <f t="shared" si="38"/>
        <v>0</v>
      </c>
      <c r="Q121" s="269"/>
    </row>
    <row r="122" spans="2:17">
      <c r="B122" s="195" t="str">
        <f t="shared" si="39"/>
        <v/>
      </c>
      <c r="C122" s="507">
        <f>IF(D93="","-",+C121+1)</f>
        <v>2033</v>
      </c>
      <c r="D122" s="374">
        <f>IF(F121+SUM(E$99:E121)=D$92,F121,D$92-SUM(E$99:E121))</f>
        <v>2408591.9681549333</v>
      </c>
      <c r="E122" s="522">
        <f>IF(+J96&lt;F121,J96,D122)</f>
        <v>128066.80487804877</v>
      </c>
      <c r="F122" s="523">
        <f t="shared" si="47"/>
        <v>2280525.1632768847</v>
      </c>
      <c r="G122" s="523">
        <f t="shared" si="48"/>
        <v>2344558.565715909</v>
      </c>
      <c r="H122" s="526">
        <f t="shared" si="49"/>
        <v>394207.55664866499</v>
      </c>
      <c r="I122" s="577">
        <f t="shared" si="50"/>
        <v>394207.55664866499</v>
      </c>
      <c r="J122" s="514">
        <f t="shared" si="33"/>
        <v>0</v>
      </c>
      <c r="K122" s="514"/>
      <c r="L122" s="525"/>
      <c r="M122" s="514">
        <f t="shared" si="35"/>
        <v>0</v>
      </c>
      <c r="N122" s="525"/>
      <c r="O122" s="514">
        <f t="shared" si="37"/>
        <v>0</v>
      </c>
      <c r="P122" s="514">
        <f t="shared" si="38"/>
        <v>0</v>
      </c>
      <c r="Q122" s="269"/>
    </row>
    <row r="123" spans="2:17">
      <c r="B123" s="195" t="str">
        <f t="shared" si="39"/>
        <v/>
      </c>
      <c r="C123" s="507">
        <f>IF(D93="","-",+C122+1)</f>
        <v>2034</v>
      </c>
      <c r="D123" s="374">
        <f>IF(F122+SUM(E$99:E122)=D$92,F122,D$92-SUM(E$99:E122))</f>
        <v>2280525.1632768847</v>
      </c>
      <c r="E123" s="522">
        <f>IF(+J96&lt;F122,J96,D123)</f>
        <v>128066.80487804877</v>
      </c>
      <c r="F123" s="523">
        <f t="shared" si="47"/>
        <v>2152458.3583988361</v>
      </c>
      <c r="G123" s="523">
        <f t="shared" si="48"/>
        <v>2216491.7608378604</v>
      </c>
      <c r="H123" s="526">
        <f t="shared" si="49"/>
        <v>379670.15236902516</v>
      </c>
      <c r="I123" s="577">
        <f t="shared" si="50"/>
        <v>379670.15236902516</v>
      </c>
      <c r="J123" s="514">
        <f t="shared" si="33"/>
        <v>0</v>
      </c>
      <c r="K123" s="514"/>
      <c r="L123" s="525"/>
      <c r="M123" s="514">
        <f t="shared" si="35"/>
        <v>0</v>
      </c>
      <c r="N123" s="525"/>
      <c r="O123" s="514">
        <f t="shared" si="37"/>
        <v>0</v>
      </c>
      <c r="P123" s="514">
        <f t="shared" si="38"/>
        <v>0</v>
      </c>
      <c r="Q123" s="269"/>
    </row>
    <row r="124" spans="2:17">
      <c r="B124" s="195" t="str">
        <f t="shared" si="39"/>
        <v/>
      </c>
      <c r="C124" s="507">
        <f>IF(D93="","-",+C123+1)</f>
        <v>2035</v>
      </c>
      <c r="D124" s="374">
        <f>IF(F123+SUM(E$99:E123)=D$92,F123,D$92-SUM(E$99:E123))</f>
        <v>2152458.3583988361</v>
      </c>
      <c r="E124" s="522">
        <f>IF(+J96&lt;F123,J96,D124)</f>
        <v>128066.80487804877</v>
      </c>
      <c r="F124" s="523">
        <f t="shared" si="47"/>
        <v>2024391.5535207873</v>
      </c>
      <c r="G124" s="523">
        <f t="shared" si="48"/>
        <v>2088424.9559598118</v>
      </c>
      <c r="H124" s="526">
        <f t="shared" si="49"/>
        <v>365132.74808938534</v>
      </c>
      <c r="I124" s="577">
        <f t="shared" si="50"/>
        <v>365132.74808938534</v>
      </c>
      <c r="J124" s="514">
        <f t="shared" si="33"/>
        <v>0</v>
      </c>
      <c r="K124" s="514"/>
      <c r="L124" s="525"/>
      <c r="M124" s="514">
        <f t="shared" si="35"/>
        <v>0</v>
      </c>
      <c r="N124" s="525"/>
      <c r="O124" s="514">
        <f t="shared" si="37"/>
        <v>0</v>
      </c>
      <c r="P124" s="514">
        <f t="shared" si="38"/>
        <v>0</v>
      </c>
      <c r="Q124" s="269"/>
    </row>
    <row r="125" spans="2:17">
      <c r="B125" s="195" t="str">
        <f t="shared" si="39"/>
        <v/>
      </c>
      <c r="C125" s="507">
        <f>IF(D93="","-",+C124+1)</f>
        <v>2036</v>
      </c>
      <c r="D125" s="374">
        <f>IF(F124+SUM(E$99:E124)=D$92,F124,D$92-SUM(E$99:E124))</f>
        <v>2024391.5535207873</v>
      </c>
      <c r="E125" s="522">
        <f>IF(+J96&lt;F124,J96,D125)</f>
        <v>128066.80487804877</v>
      </c>
      <c r="F125" s="523">
        <f t="shared" si="47"/>
        <v>1896324.7486427384</v>
      </c>
      <c r="G125" s="523">
        <f t="shared" si="48"/>
        <v>1960358.1510817627</v>
      </c>
      <c r="H125" s="526">
        <f t="shared" si="49"/>
        <v>350595.34380974545</v>
      </c>
      <c r="I125" s="577">
        <f t="shared" si="50"/>
        <v>350595.34380974545</v>
      </c>
      <c r="J125" s="514">
        <f t="shared" si="33"/>
        <v>0</v>
      </c>
      <c r="K125" s="514"/>
      <c r="L125" s="525"/>
      <c r="M125" s="514">
        <f t="shared" si="35"/>
        <v>0</v>
      </c>
      <c r="N125" s="525"/>
      <c r="O125" s="514">
        <f t="shared" si="37"/>
        <v>0</v>
      </c>
      <c r="P125" s="514">
        <f t="shared" si="38"/>
        <v>0</v>
      </c>
      <c r="Q125" s="269"/>
    </row>
    <row r="126" spans="2:17">
      <c r="B126" s="195" t="str">
        <f t="shared" si="39"/>
        <v/>
      </c>
      <c r="C126" s="507">
        <f>IF(D93="","-",+C125+1)</f>
        <v>2037</v>
      </c>
      <c r="D126" s="374">
        <f>IF(F125+SUM(E$99:E125)=D$92,F125,D$92-SUM(E$99:E125))</f>
        <v>1896324.7486427384</v>
      </c>
      <c r="E126" s="522">
        <f>IF(+J96&lt;F125,J96,D126)</f>
        <v>128066.80487804877</v>
      </c>
      <c r="F126" s="523">
        <f t="shared" si="47"/>
        <v>1768257.9437646896</v>
      </c>
      <c r="G126" s="523">
        <f t="shared" si="48"/>
        <v>1832291.3462037141</v>
      </c>
      <c r="H126" s="526">
        <f t="shared" si="49"/>
        <v>336057.93953010562</v>
      </c>
      <c r="I126" s="577">
        <f t="shared" si="50"/>
        <v>336057.93953010562</v>
      </c>
      <c r="J126" s="514">
        <f t="shared" si="33"/>
        <v>0</v>
      </c>
      <c r="K126" s="514"/>
      <c r="L126" s="525"/>
      <c r="M126" s="514">
        <f t="shared" si="35"/>
        <v>0</v>
      </c>
      <c r="N126" s="525"/>
      <c r="O126" s="514">
        <f t="shared" si="37"/>
        <v>0</v>
      </c>
      <c r="P126" s="514">
        <f t="shared" si="38"/>
        <v>0</v>
      </c>
      <c r="Q126" s="269"/>
    </row>
    <row r="127" spans="2:17">
      <c r="B127" s="195" t="str">
        <f t="shared" si="39"/>
        <v/>
      </c>
      <c r="C127" s="507">
        <f>IF(D93="","-",+C126+1)</f>
        <v>2038</v>
      </c>
      <c r="D127" s="374">
        <f>IF(F126+SUM(E$99:E126)=D$92,F126,D$92-SUM(E$99:E126))</f>
        <v>1768257.9437646896</v>
      </c>
      <c r="E127" s="522">
        <f>IF(+J96&lt;F126,J96,D127)</f>
        <v>128066.80487804877</v>
      </c>
      <c r="F127" s="523">
        <f t="shared" si="47"/>
        <v>1640191.1388866408</v>
      </c>
      <c r="G127" s="523">
        <f t="shared" si="48"/>
        <v>1704224.5413256651</v>
      </c>
      <c r="H127" s="526">
        <f t="shared" si="49"/>
        <v>321520.53525046573</v>
      </c>
      <c r="I127" s="577">
        <f t="shared" si="50"/>
        <v>321520.53525046573</v>
      </c>
      <c r="J127" s="514">
        <f t="shared" si="33"/>
        <v>0</v>
      </c>
      <c r="K127" s="514"/>
      <c r="L127" s="525"/>
      <c r="M127" s="514">
        <f t="shared" si="35"/>
        <v>0</v>
      </c>
      <c r="N127" s="525"/>
      <c r="O127" s="514">
        <f t="shared" si="37"/>
        <v>0</v>
      </c>
      <c r="P127" s="514">
        <f t="shared" si="38"/>
        <v>0</v>
      </c>
      <c r="Q127" s="269"/>
    </row>
    <row r="128" spans="2:17">
      <c r="B128" s="195" t="str">
        <f t="shared" si="39"/>
        <v/>
      </c>
      <c r="C128" s="507">
        <f>IF(D93="","-",+C127+1)</f>
        <v>2039</v>
      </c>
      <c r="D128" s="374">
        <f>IF(F127+SUM(E$99:E127)=D$92,F127,D$92-SUM(E$99:E127))</f>
        <v>1640191.1388866408</v>
      </c>
      <c r="E128" s="522">
        <f>IF(+J96&lt;F127,J96,D128)</f>
        <v>128066.80487804877</v>
      </c>
      <c r="F128" s="523">
        <f t="shared" si="47"/>
        <v>1512124.3340085919</v>
      </c>
      <c r="G128" s="523">
        <f t="shared" si="48"/>
        <v>1576157.7364476165</v>
      </c>
      <c r="H128" s="526">
        <f t="shared" si="49"/>
        <v>306983.13097082591</v>
      </c>
      <c r="I128" s="577">
        <f t="shared" si="50"/>
        <v>306983.13097082591</v>
      </c>
      <c r="J128" s="514">
        <f t="shared" si="33"/>
        <v>0</v>
      </c>
      <c r="K128" s="514"/>
      <c r="L128" s="525"/>
      <c r="M128" s="514">
        <f t="shared" si="35"/>
        <v>0</v>
      </c>
      <c r="N128" s="525"/>
      <c r="O128" s="514">
        <f t="shared" si="37"/>
        <v>0</v>
      </c>
      <c r="P128" s="514">
        <f t="shared" si="38"/>
        <v>0</v>
      </c>
      <c r="Q128" s="269"/>
    </row>
    <row r="129" spans="2:17">
      <c r="B129" s="195" t="str">
        <f t="shared" si="39"/>
        <v/>
      </c>
      <c r="C129" s="507">
        <f>IF(D93="","-",+C128+1)</f>
        <v>2040</v>
      </c>
      <c r="D129" s="374">
        <f>IF(F128+SUM(E$99:E128)=D$92,F128,D$92-SUM(E$99:E128))</f>
        <v>1512124.3340085919</v>
      </c>
      <c r="E129" s="522">
        <f>IF(+J96&lt;F128,J96,D129)</f>
        <v>128066.80487804877</v>
      </c>
      <c r="F129" s="523">
        <f t="shared" si="47"/>
        <v>1384057.5291305431</v>
      </c>
      <c r="G129" s="523">
        <f t="shared" si="48"/>
        <v>1448090.9315695674</v>
      </c>
      <c r="H129" s="526">
        <f t="shared" si="49"/>
        <v>292445.72669118602</v>
      </c>
      <c r="I129" s="577">
        <f t="shared" si="50"/>
        <v>292445.72669118602</v>
      </c>
      <c r="J129" s="514">
        <f t="shared" si="33"/>
        <v>0</v>
      </c>
      <c r="K129" s="514"/>
      <c r="L129" s="525"/>
      <c r="M129" s="514">
        <f t="shared" si="35"/>
        <v>0</v>
      </c>
      <c r="N129" s="525"/>
      <c r="O129" s="514">
        <f t="shared" si="37"/>
        <v>0</v>
      </c>
      <c r="P129" s="514">
        <f t="shared" si="38"/>
        <v>0</v>
      </c>
      <c r="Q129" s="269"/>
    </row>
    <row r="130" spans="2:17">
      <c r="B130" s="195" t="str">
        <f t="shared" si="39"/>
        <v/>
      </c>
      <c r="C130" s="507">
        <f>IF(D93="","-",+C129+1)</f>
        <v>2041</v>
      </c>
      <c r="D130" s="374">
        <f>IF(F129+SUM(E$99:E129)=D$92,F129,D$92-SUM(E$99:E129))</f>
        <v>1384057.5291305431</v>
      </c>
      <c r="E130" s="522">
        <f>IF(+J96&lt;F129,J96,D130)</f>
        <v>128066.80487804877</v>
      </c>
      <c r="F130" s="523">
        <f t="shared" si="47"/>
        <v>1255990.7242524943</v>
      </c>
      <c r="G130" s="523">
        <f t="shared" si="48"/>
        <v>1320024.1266915188</v>
      </c>
      <c r="H130" s="526">
        <f t="shared" si="49"/>
        <v>277908.32241154619</v>
      </c>
      <c r="I130" s="577">
        <f t="shared" si="50"/>
        <v>277908.32241154619</v>
      </c>
      <c r="J130" s="514">
        <f t="shared" si="33"/>
        <v>0</v>
      </c>
      <c r="K130" s="514"/>
      <c r="L130" s="525"/>
      <c r="M130" s="514">
        <f t="shared" si="35"/>
        <v>0</v>
      </c>
      <c r="N130" s="525"/>
      <c r="O130" s="514">
        <f t="shared" si="37"/>
        <v>0</v>
      </c>
      <c r="P130" s="514">
        <f t="shared" si="38"/>
        <v>0</v>
      </c>
      <c r="Q130" s="269"/>
    </row>
    <row r="131" spans="2:17">
      <c r="B131" s="195" t="str">
        <f t="shared" si="39"/>
        <v/>
      </c>
      <c r="C131" s="507">
        <f>IF(D93="","-",+C130+1)</f>
        <v>2042</v>
      </c>
      <c r="D131" s="374">
        <f>IF(F130+SUM(E$99:E130)=D$92,F130,D$92-SUM(E$99:E130))</f>
        <v>1255990.7242524943</v>
      </c>
      <c r="E131" s="522">
        <f>IF(+J96&lt;F130,J96,D131)</f>
        <v>128066.80487804877</v>
      </c>
      <c r="F131" s="523">
        <f t="shared" si="47"/>
        <v>1127923.9193744455</v>
      </c>
      <c r="G131" s="523">
        <f t="shared" ref="G131:G154" si="51">+(F131+D131)/2</f>
        <v>1191957.3218134698</v>
      </c>
      <c r="H131" s="526">
        <f t="shared" ref="H131:H154" si="52">+J$94*G131+E131</f>
        <v>263370.91813190631</v>
      </c>
      <c r="I131" s="577">
        <f t="shared" ref="I131:I154" si="53">+J$95*G131+E131</f>
        <v>263370.91813190631</v>
      </c>
      <c r="J131" s="514">
        <f t="shared" ref="J131:J154" si="54">+I131-H131</f>
        <v>0</v>
      </c>
      <c r="K131" s="514"/>
      <c r="L131" s="525"/>
      <c r="M131" s="514">
        <f t="shared" ref="M131:M154" si="55">IF(L131&lt;&gt;0,+H131-L131,0)</f>
        <v>0</v>
      </c>
      <c r="N131" s="525"/>
      <c r="O131" s="514">
        <f t="shared" ref="O131:O154" si="56">IF(N131&lt;&gt;0,+I131-N131,0)</f>
        <v>0</v>
      </c>
      <c r="P131" s="514">
        <f t="shared" ref="P131:P154" si="57">+O131-M131</f>
        <v>0</v>
      </c>
      <c r="Q131" s="269"/>
    </row>
    <row r="132" spans="2:17">
      <c r="B132" s="195" t="str">
        <f t="shared" si="39"/>
        <v/>
      </c>
      <c r="C132" s="507">
        <f>IF(D93="","-",+C131+1)</f>
        <v>2043</v>
      </c>
      <c r="D132" s="374">
        <f>IF(F131+SUM(E$99:E131)=D$92,F131,D$92-SUM(E$99:E131))</f>
        <v>1127923.9193744455</v>
      </c>
      <c r="E132" s="522">
        <f>IF(+J96&lt;F131,J96,D132)</f>
        <v>128066.80487804877</v>
      </c>
      <c r="F132" s="523">
        <f t="shared" ref="F132:F154" si="58">+D132-E132</f>
        <v>999857.11449639662</v>
      </c>
      <c r="G132" s="523">
        <f t="shared" si="51"/>
        <v>1063890.5169354212</v>
      </c>
      <c r="H132" s="526">
        <f t="shared" si="52"/>
        <v>248833.51385226648</v>
      </c>
      <c r="I132" s="577">
        <f t="shared" si="53"/>
        <v>248833.51385226648</v>
      </c>
      <c r="J132" s="514">
        <f t="shared" si="54"/>
        <v>0</v>
      </c>
      <c r="K132" s="514"/>
      <c r="L132" s="525"/>
      <c r="M132" s="514">
        <f t="shared" si="55"/>
        <v>0</v>
      </c>
      <c r="N132" s="525"/>
      <c r="O132" s="514">
        <f t="shared" si="56"/>
        <v>0</v>
      </c>
      <c r="P132" s="514">
        <f t="shared" si="57"/>
        <v>0</v>
      </c>
      <c r="Q132" s="269"/>
    </row>
    <row r="133" spans="2:17">
      <c r="B133" s="195" t="str">
        <f t="shared" si="39"/>
        <v/>
      </c>
      <c r="C133" s="507">
        <f>IF(D93="","-",+C132+1)</f>
        <v>2044</v>
      </c>
      <c r="D133" s="374">
        <f>IF(F132+SUM(E$99:E132)=D$92,F132,D$92-SUM(E$99:E132))</f>
        <v>999857.11449639662</v>
      </c>
      <c r="E133" s="522">
        <f>IF(+J96&lt;F132,J96,D133)</f>
        <v>128066.80487804877</v>
      </c>
      <c r="F133" s="523">
        <f t="shared" si="58"/>
        <v>871790.30961834779</v>
      </c>
      <c r="G133" s="523">
        <f t="shared" si="51"/>
        <v>935823.71205737221</v>
      </c>
      <c r="H133" s="526">
        <f t="shared" si="52"/>
        <v>234296.10957262662</v>
      </c>
      <c r="I133" s="577">
        <f t="shared" si="53"/>
        <v>234296.10957262662</v>
      </c>
      <c r="J133" s="514">
        <f t="shared" si="54"/>
        <v>0</v>
      </c>
      <c r="K133" s="514"/>
      <c r="L133" s="525"/>
      <c r="M133" s="514">
        <f t="shared" si="55"/>
        <v>0</v>
      </c>
      <c r="N133" s="525"/>
      <c r="O133" s="514">
        <f t="shared" si="56"/>
        <v>0</v>
      </c>
      <c r="P133" s="514">
        <f t="shared" si="57"/>
        <v>0</v>
      </c>
      <c r="Q133" s="269"/>
    </row>
    <row r="134" spans="2:17">
      <c r="B134" s="195" t="str">
        <f t="shared" si="39"/>
        <v/>
      </c>
      <c r="C134" s="507">
        <f>IF(D93="","-",+C133+1)</f>
        <v>2045</v>
      </c>
      <c r="D134" s="374">
        <f>IF(F133+SUM(E$99:E133)=D$92,F133,D$92-SUM(E$99:E133))</f>
        <v>871790.30961834779</v>
      </c>
      <c r="E134" s="522">
        <f>IF(+J96&lt;F133,J96,D134)</f>
        <v>128066.80487804877</v>
      </c>
      <c r="F134" s="523">
        <f t="shared" si="58"/>
        <v>743723.50474029896</v>
      </c>
      <c r="G134" s="523">
        <f t="shared" si="51"/>
        <v>807756.90717932337</v>
      </c>
      <c r="H134" s="526">
        <f t="shared" si="52"/>
        <v>219758.70529298676</v>
      </c>
      <c r="I134" s="577">
        <f t="shared" si="53"/>
        <v>219758.70529298676</v>
      </c>
      <c r="J134" s="514">
        <f t="shared" si="54"/>
        <v>0</v>
      </c>
      <c r="K134" s="514"/>
      <c r="L134" s="525"/>
      <c r="M134" s="514">
        <f t="shared" si="55"/>
        <v>0</v>
      </c>
      <c r="N134" s="525"/>
      <c r="O134" s="514">
        <f t="shared" si="56"/>
        <v>0</v>
      </c>
      <c r="P134" s="514">
        <f t="shared" si="57"/>
        <v>0</v>
      </c>
      <c r="Q134" s="269"/>
    </row>
    <row r="135" spans="2:17">
      <c r="B135" s="195" t="str">
        <f t="shared" si="39"/>
        <v/>
      </c>
      <c r="C135" s="507">
        <f>IF(D93="","-",+C134+1)</f>
        <v>2046</v>
      </c>
      <c r="D135" s="374">
        <f>IF(F134+SUM(E$99:E134)=D$92,F134,D$92-SUM(E$99:E134))</f>
        <v>743723.50474029896</v>
      </c>
      <c r="E135" s="522">
        <f>IF(+J96&lt;F134,J96,D135)</f>
        <v>128066.80487804877</v>
      </c>
      <c r="F135" s="523">
        <f t="shared" si="58"/>
        <v>615656.69986225013</v>
      </c>
      <c r="G135" s="523">
        <f t="shared" si="51"/>
        <v>679690.10230127454</v>
      </c>
      <c r="H135" s="526">
        <f t="shared" si="52"/>
        <v>205221.30101334691</v>
      </c>
      <c r="I135" s="577">
        <f t="shared" si="53"/>
        <v>205221.30101334691</v>
      </c>
      <c r="J135" s="514">
        <f t="shared" si="54"/>
        <v>0</v>
      </c>
      <c r="K135" s="514"/>
      <c r="L135" s="525"/>
      <c r="M135" s="514">
        <f t="shared" si="55"/>
        <v>0</v>
      </c>
      <c r="N135" s="525"/>
      <c r="O135" s="514">
        <f t="shared" si="56"/>
        <v>0</v>
      </c>
      <c r="P135" s="514">
        <f t="shared" si="57"/>
        <v>0</v>
      </c>
      <c r="Q135" s="269"/>
    </row>
    <row r="136" spans="2:17">
      <c r="B136" s="195" t="str">
        <f t="shared" si="39"/>
        <v/>
      </c>
      <c r="C136" s="507">
        <f>IF(D93="","-",+C135+1)</f>
        <v>2047</v>
      </c>
      <c r="D136" s="374">
        <f>IF(F135+SUM(E$99:E135)=D$92,F135,D$92-SUM(E$99:E135))</f>
        <v>615656.69986225013</v>
      </c>
      <c r="E136" s="522">
        <f>IF(+J96&lt;F135,J96,D136)</f>
        <v>128066.80487804877</v>
      </c>
      <c r="F136" s="523">
        <f t="shared" si="58"/>
        <v>487589.89498420135</v>
      </c>
      <c r="G136" s="523">
        <f t="shared" si="51"/>
        <v>551623.29742322571</v>
      </c>
      <c r="H136" s="526">
        <f t="shared" si="52"/>
        <v>190683.89673370705</v>
      </c>
      <c r="I136" s="577">
        <f t="shared" si="53"/>
        <v>190683.89673370705</v>
      </c>
      <c r="J136" s="514">
        <f t="shared" si="54"/>
        <v>0</v>
      </c>
      <c r="K136" s="514"/>
      <c r="L136" s="525"/>
      <c r="M136" s="514">
        <f t="shared" si="55"/>
        <v>0</v>
      </c>
      <c r="N136" s="525"/>
      <c r="O136" s="514">
        <f t="shared" si="56"/>
        <v>0</v>
      </c>
      <c r="P136" s="514">
        <f t="shared" si="57"/>
        <v>0</v>
      </c>
      <c r="Q136" s="269"/>
    </row>
    <row r="137" spans="2:17">
      <c r="B137" s="195" t="str">
        <f t="shared" si="39"/>
        <v/>
      </c>
      <c r="C137" s="507">
        <f>IF(D93="","-",+C136+1)</f>
        <v>2048</v>
      </c>
      <c r="D137" s="374">
        <f>IF(F136+SUM(E$99:E136)=D$92,F136,D$92-SUM(E$99:E136))</f>
        <v>487589.89498420135</v>
      </c>
      <c r="E137" s="522">
        <f>IF(+J96&lt;F136,J96,D137)</f>
        <v>128066.80487804877</v>
      </c>
      <c r="F137" s="523">
        <f t="shared" si="58"/>
        <v>359523.09010615258</v>
      </c>
      <c r="G137" s="523">
        <f t="shared" si="51"/>
        <v>423556.492545177</v>
      </c>
      <c r="H137" s="526">
        <f t="shared" si="52"/>
        <v>176146.49245406722</v>
      </c>
      <c r="I137" s="577">
        <f t="shared" si="53"/>
        <v>176146.49245406722</v>
      </c>
      <c r="J137" s="514">
        <f t="shared" si="54"/>
        <v>0</v>
      </c>
      <c r="K137" s="514"/>
      <c r="L137" s="525"/>
      <c r="M137" s="514">
        <f t="shared" si="55"/>
        <v>0</v>
      </c>
      <c r="N137" s="525"/>
      <c r="O137" s="514">
        <f t="shared" si="56"/>
        <v>0</v>
      </c>
      <c r="P137" s="514">
        <f t="shared" si="57"/>
        <v>0</v>
      </c>
      <c r="Q137" s="269"/>
    </row>
    <row r="138" spans="2:17">
      <c r="B138" s="195" t="str">
        <f t="shared" si="39"/>
        <v/>
      </c>
      <c r="C138" s="507">
        <f>IF(D93="","-",+C137+1)</f>
        <v>2049</v>
      </c>
      <c r="D138" s="374">
        <f>IF(F137+SUM(E$99:E137)=D$92,F137,D$92-SUM(E$99:E137))</f>
        <v>359523.09010615258</v>
      </c>
      <c r="E138" s="522">
        <f>IF(+J96&lt;F137,J96,D138)</f>
        <v>128066.80487804877</v>
      </c>
      <c r="F138" s="523">
        <f t="shared" si="58"/>
        <v>231456.28522810381</v>
      </c>
      <c r="G138" s="523">
        <f t="shared" si="51"/>
        <v>295489.68766712816</v>
      </c>
      <c r="H138" s="526">
        <f t="shared" si="52"/>
        <v>161609.08817442736</v>
      </c>
      <c r="I138" s="577">
        <f t="shared" si="53"/>
        <v>161609.08817442736</v>
      </c>
      <c r="J138" s="514">
        <f t="shared" si="54"/>
        <v>0</v>
      </c>
      <c r="K138" s="514"/>
      <c r="L138" s="525"/>
      <c r="M138" s="514">
        <f t="shared" si="55"/>
        <v>0</v>
      </c>
      <c r="N138" s="525"/>
      <c r="O138" s="514">
        <f t="shared" si="56"/>
        <v>0</v>
      </c>
      <c r="P138" s="514">
        <f t="shared" si="57"/>
        <v>0</v>
      </c>
      <c r="Q138" s="269"/>
    </row>
    <row r="139" spans="2:17">
      <c r="B139" s="195" t="str">
        <f t="shared" si="39"/>
        <v/>
      </c>
      <c r="C139" s="507">
        <f>IF(D93="","-",+C138+1)</f>
        <v>2050</v>
      </c>
      <c r="D139" s="374">
        <f>IF(F138+SUM(E$99:E138)=D$92,F138,D$92-SUM(E$99:E138))</f>
        <v>231456.28522810381</v>
      </c>
      <c r="E139" s="522">
        <f>IF(+J96&lt;F138,J96,D139)</f>
        <v>128066.80487804877</v>
      </c>
      <c r="F139" s="523">
        <f t="shared" si="58"/>
        <v>103389.48035005503</v>
      </c>
      <c r="G139" s="523">
        <f t="shared" si="51"/>
        <v>167422.88278907942</v>
      </c>
      <c r="H139" s="526">
        <f t="shared" si="52"/>
        <v>147071.68389478751</v>
      </c>
      <c r="I139" s="577">
        <f t="shared" si="53"/>
        <v>147071.68389478751</v>
      </c>
      <c r="J139" s="514">
        <f t="shared" si="54"/>
        <v>0</v>
      </c>
      <c r="K139" s="514"/>
      <c r="L139" s="525"/>
      <c r="M139" s="514">
        <f t="shared" si="55"/>
        <v>0</v>
      </c>
      <c r="N139" s="525"/>
      <c r="O139" s="514">
        <f t="shared" si="56"/>
        <v>0</v>
      </c>
      <c r="P139" s="514">
        <f t="shared" si="57"/>
        <v>0</v>
      </c>
      <c r="Q139" s="269"/>
    </row>
    <row r="140" spans="2:17">
      <c r="B140" s="195" t="str">
        <f t="shared" si="39"/>
        <v/>
      </c>
      <c r="C140" s="507">
        <f>IF(D93="","-",+C139+1)</f>
        <v>2051</v>
      </c>
      <c r="D140" s="374">
        <f>IF(F139+SUM(E$99:E139)=D$92,F139,D$92-SUM(E$99:E139))</f>
        <v>103389.48035005503</v>
      </c>
      <c r="E140" s="522">
        <f>IF(+J96&lt;F139,J96,D140)</f>
        <v>103389.48035005503</v>
      </c>
      <c r="F140" s="523">
        <f t="shared" si="58"/>
        <v>0</v>
      </c>
      <c r="G140" s="523">
        <f t="shared" si="51"/>
        <v>51694.740175027517</v>
      </c>
      <c r="H140" s="526">
        <f t="shared" si="52"/>
        <v>109257.56878851444</v>
      </c>
      <c r="I140" s="577">
        <f t="shared" si="53"/>
        <v>109257.56878851444</v>
      </c>
      <c r="J140" s="514">
        <f t="shared" si="54"/>
        <v>0</v>
      </c>
      <c r="K140" s="514"/>
      <c r="L140" s="525"/>
      <c r="M140" s="514">
        <f t="shared" si="55"/>
        <v>0</v>
      </c>
      <c r="N140" s="525"/>
      <c r="O140" s="514">
        <f t="shared" si="56"/>
        <v>0</v>
      </c>
      <c r="P140" s="514">
        <f t="shared" si="57"/>
        <v>0</v>
      </c>
      <c r="Q140" s="269"/>
    </row>
    <row r="141" spans="2:17">
      <c r="B141" s="195" t="str">
        <f t="shared" si="39"/>
        <v/>
      </c>
      <c r="C141" s="507">
        <f>IF(D93="","-",+C140+1)</f>
        <v>2052</v>
      </c>
      <c r="D141" s="374">
        <f>IF(F140+SUM(E$99:E140)=D$92,F140,D$92-SUM(E$99:E140))</f>
        <v>0</v>
      </c>
      <c r="E141" s="522">
        <f>IF(+J96&lt;F140,J96,D141)</f>
        <v>0</v>
      </c>
      <c r="F141" s="523">
        <f t="shared" si="58"/>
        <v>0</v>
      </c>
      <c r="G141" s="523">
        <f t="shared" si="51"/>
        <v>0</v>
      </c>
      <c r="H141" s="526">
        <f t="shared" si="52"/>
        <v>0</v>
      </c>
      <c r="I141" s="577">
        <f t="shared" si="53"/>
        <v>0</v>
      </c>
      <c r="J141" s="514">
        <f t="shared" si="54"/>
        <v>0</v>
      </c>
      <c r="K141" s="514"/>
      <c r="L141" s="525"/>
      <c r="M141" s="514">
        <f t="shared" si="55"/>
        <v>0</v>
      </c>
      <c r="N141" s="525"/>
      <c r="O141" s="514">
        <f t="shared" si="56"/>
        <v>0</v>
      </c>
      <c r="P141" s="514">
        <f t="shared" si="57"/>
        <v>0</v>
      </c>
      <c r="Q141" s="269"/>
    </row>
    <row r="142" spans="2:17">
      <c r="B142" s="195" t="str">
        <f t="shared" si="39"/>
        <v/>
      </c>
      <c r="C142" s="507">
        <f>IF(D93="","-",+C141+1)</f>
        <v>2053</v>
      </c>
      <c r="D142" s="374">
        <f>IF(F141+SUM(E$99:E141)=D$92,F141,D$92-SUM(E$99:E141))</f>
        <v>0</v>
      </c>
      <c r="E142" s="522">
        <f>IF(+J96&lt;F141,J96,D142)</f>
        <v>0</v>
      </c>
      <c r="F142" s="523">
        <f t="shared" si="58"/>
        <v>0</v>
      </c>
      <c r="G142" s="523">
        <f t="shared" si="51"/>
        <v>0</v>
      </c>
      <c r="H142" s="526">
        <f t="shared" si="52"/>
        <v>0</v>
      </c>
      <c r="I142" s="577">
        <f t="shared" si="53"/>
        <v>0</v>
      </c>
      <c r="J142" s="514">
        <f t="shared" si="54"/>
        <v>0</v>
      </c>
      <c r="K142" s="514"/>
      <c r="L142" s="525"/>
      <c r="M142" s="514">
        <f t="shared" si="55"/>
        <v>0</v>
      </c>
      <c r="N142" s="525"/>
      <c r="O142" s="514">
        <f t="shared" si="56"/>
        <v>0</v>
      </c>
      <c r="P142" s="514">
        <f t="shared" si="57"/>
        <v>0</v>
      </c>
      <c r="Q142" s="269"/>
    </row>
    <row r="143" spans="2:17">
      <c r="B143" s="195" t="str">
        <f t="shared" si="39"/>
        <v/>
      </c>
      <c r="C143" s="507">
        <f>IF(D93="","-",+C142+1)</f>
        <v>2054</v>
      </c>
      <c r="D143" s="374">
        <f>IF(F142+SUM(E$99:E142)=D$92,F142,D$92-SUM(E$99:E142))</f>
        <v>0</v>
      </c>
      <c r="E143" s="522">
        <f>IF(+J96&lt;F142,J96,D143)</f>
        <v>0</v>
      </c>
      <c r="F143" s="523">
        <f t="shared" si="58"/>
        <v>0</v>
      </c>
      <c r="G143" s="523">
        <f t="shared" si="51"/>
        <v>0</v>
      </c>
      <c r="H143" s="526">
        <f t="shared" si="52"/>
        <v>0</v>
      </c>
      <c r="I143" s="577">
        <f t="shared" si="53"/>
        <v>0</v>
      </c>
      <c r="J143" s="514">
        <f t="shared" si="54"/>
        <v>0</v>
      </c>
      <c r="K143" s="514"/>
      <c r="L143" s="525"/>
      <c r="M143" s="514">
        <f t="shared" si="55"/>
        <v>0</v>
      </c>
      <c r="N143" s="525"/>
      <c r="O143" s="514">
        <f t="shared" si="56"/>
        <v>0</v>
      </c>
      <c r="P143" s="514">
        <f t="shared" si="57"/>
        <v>0</v>
      </c>
      <c r="Q143" s="269"/>
    </row>
    <row r="144" spans="2:17">
      <c r="B144" s="195" t="str">
        <f t="shared" si="39"/>
        <v/>
      </c>
      <c r="C144" s="507">
        <f>IF(D93="","-",+C143+1)</f>
        <v>2055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58"/>
        <v>0</v>
      </c>
      <c r="G144" s="523">
        <f t="shared" si="51"/>
        <v>0</v>
      </c>
      <c r="H144" s="526">
        <f t="shared" si="52"/>
        <v>0</v>
      </c>
      <c r="I144" s="577">
        <f t="shared" si="53"/>
        <v>0</v>
      </c>
      <c r="J144" s="514">
        <f t="shared" si="54"/>
        <v>0</v>
      </c>
      <c r="K144" s="514"/>
      <c r="L144" s="525"/>
      <c r="M144" s="514">
        <f t="shared" si="55"/>
        <v>0</v>
      </c>
      <c r="N144" s="525"/>
      <c r="O144" s="514">
        <f t="shared" si="56"/>
        <v>0</v>
      </c>
      <c r="P144" s="514">
        <f t="shared" si="57"/>
        <v>0</v>
      </c>
      <c r="Q144" s="269"/>
    </row>
    <row r="145" spans="2:17">
      <c r="B145" s="195" t="str">
        <f t="shared" si="39"/>
        <v/>
      </c>
      <c r="C145" s="507">
        <f>IF(D93="","-",+C144+1)</f>
        <v>2056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58"/>
        <v>0</v>
      </c>
      <c r="G145" s="523">
        <f t="shared" si="51"/>
        <v>0</v>
      </c>
      <c r="H145" s="526">
        <f t="shared" si="52"/>
        <v>0</v>
      </c>
      <c r="I145" s="577">
        <f t="shared" si="53"/>
        <v>0</v>
      </c>
      <c r="J145" s="514">
        <f t="shared" si="54"/>
        <v>0</v>
      </c>
      <c r="K145" s="514"/>
      <c r="L145" s="525"/>
      <c r="M145" s="514">
        <f t="shared" si="55"/>
        <v>0</v>
      </c>
      <c r="N145" s="525"/>
      <c r="O145" s="514">
        <f t="shared" si="56"/>
        <v>0</v>
      </c>
      <c r="P145" s="514">
        <f t="shared" si="57"/>
        <v>0</v>
      </c>
      <c r="Q145" s="269"/>
    </row>
    <row r="146" spans="2:17">
      <c r="B146" s="195" t="str">
        <f t="shared" si="39"/>
        <v/>
      </c>
      <c r="C146" s="507">
        <f>IF(D93="","-",+C145+1)</f>
        <v>2057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58"/>
        <v>0</v>
      </c>
      <c r="G146" s="523">
        <f t="shared" si="51"/>
        <v>0</v>
      </c>
      <c r="H146" s="526">
        <f t="shared" si="52"/>
        <v>0</v>
      </c>
      <c r="I146" s="577">
        <f t="shared" si="53"/>
        <v>0</v>
      </c>
      <c r="J146" s="514">
        <f t="shared" si="54"/>
        <v>0</v>
      </c>
      <c r="K146" s="514"/>
      <c r="L146" s="525"/>
      <c r="M146" s="514">
        <f t="shared" si="55"/>
        <v>0</v>
      </c>
      <c r="N146" s="525"/>
      <c r="O146" s="514">
        <f t="shared" si="56"/>
        <v>0</v>
      </c>
      <c r="P146" s="514">
        <f t="shared" si="57"/>
        <v>0</v>
      </c>
      <c r="Q146" s="269"/>
    </row>
    <row r="147" spans="2:17">
      <c r="B147" s="195" t="str">
        <f t="shared" si="39"/>
        <v/>
      </c>
      <c r="C147" s="507">
        <f>IF(D93="","-",+C146+1)</f>
        <v>2058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58"/>
        <v>0</v>
      </c>
      <c r="G147" s="523">
        <f t="shared" si="51"/>
        <v>0</v>
      </c>
      <c r="H147" s="526">
        <f t="shared" si="52"/>
        <v>0</v>
      </c>
      <c r="I147" s="577">
        <f t="shared" si="53"/>
        <v>0</v>
      </c>
      <c r="J147" s="514">
        <f t="shared" si="54"/>
        <v>0</v>
      </c>
      <c r="K147" s="514"/>
      <c r="L147" s="525"/>
      <c r="M147" s="514">
        <f t="shared" si="55"/>
        <v>0</v>
      </c>
      <c r="N147" s="525"/>
      <c r="O147" s="514">
        <f t="shared" si="56"/>
        <v>0</v>
      </c>
      <c r="P147" s="514">
        <f t="shared" si="57"/>
        <v>0</v>
      </c>
      <c r="Q147" s="269"/>
    </row>
    <row r="148" spans="2:17">
      <c r="B148" s="195" t="str">
        <f t="shared" si="39"/>
        <v/>
      </c>
      <c r="C148" s="507">
        <f>IF(D93="","-",+C147+1)</f>
        <v>2059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58"/>
        <v>0</v>
      </c>
      <c r="G148" s="523">
        <f t="shared" si="51"/>
        <v>0</v>
      </c>
      <c r="H148" s="526">
        <f t="shared" si="52"/>
        <v>0</v>
      </c>
      <c r="I148" s="577">
        <f t="shared" si="53"/>
        <v>0</v>
      </c>
      <c r="J148" s="514">
        <f t="shared" si="54"/>
        <v>0</v>
      </c>
      <c r="K148" s="514"/>
      <c r="L148" s="525"/>
      <c r="M148" s="514">
        <f t="shared" si="55"/>
        <v>0</v>
      </c>
      <c r="N148" s="525"/>
      <c r="O148" s="514">
        <f t="shared" si="56"/>
        <v>0</v>
      </c>
      <c r="P148" s="514">
        <f t="shared" si="57"/>
        <v>0</v>
      </c>
      <c r="Q148" s="269"/>
    </row>
    <row r="149" spans="2:17">
      <c r="B149" s="195" t="str">
        <f t="shared" si="39"/>
        <v/>
      </c>
      <c r="C149" s="507">
        <f>IF(D93="","-",+C148+1)</f>
        <v>2060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58"/>
        <v>0</v>
      </c>
      <c r="G149" s="523">
        <f t="shared" si="51"/>
        <v>0</v>
      </c>
      <c r="H149" s="526">
        <f t="shared" si="52"/>
        <v>0</v>
      </c>
      <c r="I149" s="577">
        <f t="shared" si="53"/>
        <v>0</v>
      </c>
      <c r="J149" s="514">
        <f t="shared" si="54"/>
        <v>0</v>
      </c>
      <c r="K149" s="514"/>
      <c r="L149" s="525"/>
      <c r="M149" s="514">
        <f t="shared" si="55"/>
        <v>0</v>
      </c>
      <c r="N149" s="525"/>
      <c r="O149" s="514">
        <f t="shared" si="56"/>
        <v>0</v>
      </c>
      <c r="P149" s="514">
        <f t="shared" si="57"/>
        <v>0</v>
      </c>
      <c r="Q149" s="269"/>
    </row>
    <row r="150" spans="2:17">
      <c r="B150" s="195" t="str">
        <f t="shared" si="39"/>
        <v/>
      </c>
      <c r="C150" s="507">
        <f>IF(D93="","-",+C149+1)</f>
        <v>2061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58"/>
        <v>0</v>
      </c>
      <c r="G150" s="523">
        <f t="shared" si="51"/>
        <v>0</v>
      </c>
      <c r="H150" s="526">
        <f t="shared" si="52"/>
        <v>0</v>
      </c>
      <c r="I150" s="577">
        <f t="shared" si="53"/>
        <v>0</v>
      </c>
      <c r="J150" s="514">
        <f t="shared" si="54"/>
        <v>0</v>
      </c>
      <c r="K150" s="514"/>
      <c r="L150" s="525"/>
      <c r="M150" s="514">
        <f t="shared" si="55"/>
        <v>0</v>
      </c>
      <c r="N150" s="525"/>
      <c r="O150" s="514">
        <f t="shared" si="56"/>
        <v>0</v>
      </c>
      <c r="P150" s="514">
        <f t="shared" si="57"/>
        <v>0</v>
      </c>
      <c r="Q150" s="269"/>
    </row>
    <row r="151" spans="2:17">
      <c r="B151" s="195" t="str">
        <f t="shared" si="39"/>
        <v/>
      </c>
      <c r="C151" s="507">
        <f>IF(D93="","-",+C150+1)</f>
        <v>2062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58"/>
        <v>0</v>
      </c>
      <c r="G151" s="523">
        <f t="shared" si="51"/>
        <v>0</v>
      </c>
      <c r="H151" s="526">
        <f t="shared" si="52"/>
        <v>0</v>
      </c>
      <c r="I151" s="577">
        <f t="shared" si="53"/>
        <v>0</v>
      </c>
      <c r="J151" s="514">
        <f t="shared" si="54"/>
        <v>0</v>
      </c>
      <c r="K151" s="514"/>
      <c r="L151" s="525"/>
      <c r="M151" s="514">
        <f t="shared" si="55"/>
        <v>0</v>
      </c>
      <c r="N151" s="525"/>
      <c r="O151" s="514">
        <f t="shared" si="56"/>
        <v>0</v>
      </c>
      <c r="P151" s="514">
        <f t="shared" si="57"/>
        <v>0</v>
      </c>
      <c r="Q151" s="269"/>
    </row>
    <row r="152" spans="2:17">
      <c r="B152" s="195" t="str">
        <f t="shared" si="39"/>
        <v/>
      </c>
      <c r="C152" s="507">
        <f>IF(D93="","-",+C151+1)</f>
        <v>2063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58"/>
        <v>0</v>
      </c>
      <c r="G152" s="523">
        <f t="shared" si="51"/>
        <v>0</v>
      </c>
      <c r="H152" s="526">
        <f t="shared" si="52"/>
        <v>0</v>
      </c>
      <c r="I152" s="577">
        <f t="shared" si="53"/>
        <v>0</v>
      </c>
      <c r="J152" s="514">
        <f t="shared" si="54"/>
        <v>0</v>
      </c>
      <c r="K152" s="514"/>
      <c r="L152" s="525"/>
      <c r="M152" s="514">
        <f t="shared" si="55"/>
        <v>0</v>
      </c>
      <c r="N152" s="525"/>
      <c r="O152" s="514">
        <f t="shared" si="56"/>
        <v>0</v>
      </c>
      <c r="P152" s="514">
        <f t="shared" si="57"/>
        <v>0</v>
      </c>
      <c r="Q152" s="269"/>
    </row>
    <row r="153" spans="2:17">
      <c r="B153" s="195" t="str">
        <f t="shared" si="39"/>
        <v/>
      </c>
      <c r="C153" s="507">
        <f>IF(D93="","-",+C152+1)</f>
        <v>2064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58"/>
        <v>0</v>
      </c>
      <c r="G153" s="523">
        <f t="shared" si="51"/>
        <v>0</v>
      </c>
      <c r="H153" s="526">
        <f t="shared" si="52"/>
        <v>0</v>
      </c>
      <c r="I153" s="577">
        <f t="shared" si="53"/>
        <v>0</v>
      </c>
      <c r="J153" s="514">
        <f t="shared" si="54"/>
        <v>0</v>
      </c>
      <c r="K153" s="514"/>
      <c r="L153" s="525"/>
      <c r="M153" s="514">
        <f t="shared" si="55"/>
        <v>0</v>
      </c>
      <c r="N153" s="525"/>
      <c r="O153" s="514">
        <f t="shared" si="56"/>
        <v>0</v>
      </c>
      <c r="P153" s="514">
        <f t="shared" si="57"/>
        <v>0</v>
      </c>
      <c r="Q153" s="269"/>
    </row>
    <row r="154" spans="2:17" ht="13.5" thickBot="1">
      <c r="B154" s="195" t="str">
        <f t="shared" si="39"/>
        <v/>
      </c>
      <c r="C154" s="527">
        <f>IF(D93="","-",+C153+1)</f>
        <v>2065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58"/>
        <v>0</v>
      </c>
      <c r="G154" s="528">
        <f t="shared" si="51"/>
        <v>0</v>
      </c>
      <c r="H154" s="530">
        <f t="shared" si="52"/>
        <v>0</v>
      </c>
      <c r="I154" s="579">
        <f t="shared" si="53"/>
        <v>0</v>
      </c>
      <c r="J154" s="533">
        <f t="shared" si="54"/>
        <v>0</v>
      </c>
      <c r="K154" s="514"/>
      <c r="L154" s="532"/>
      <c r="M154" s="533">
        <f t="shared" si="55"/>
        <v>0</v>
      </c>
      <c r="N154" s="532"/>
      <c r="O154" s="533">
        <f t="shared" si="56"/>
        <v>0</v>
      </c>
      <c r="P154" s="533">
        <f t="shared" si="57"/>
        <v>0</v>
      </c>
      <c r="Q154" s="269"/>
    </row>
    <row r="155" spans="2:17">
      <c r="C155" s="374" t="s">
        <v>78</v>
      </c>
      <c r="D155" s="375"/>
      <c r="E155" s="375">
        <f>SUM(E99:E154)</f>
        <v>5250738.9999999981</v>
      </c>
      <c r="F155" s="375"/>
      <c r="G155" s="375"/>
      <c r="H155" s="375">
        <f>SUM(H99:H154)</f>
        <v>18438202.748141125</v>
      </c>
      <c r="I155" s="375">
        <f>SUM(I99:I154)</f>
        <v>18438202.748141125</v>
      </c>
      <c r="J155" s="375">
        <f>SUM(J99:J154)</f>
        <v>0</v>
      </c>
      <c r="K155" s="375"/>
      <c r="L155" s="375"/>
      <c r="M155" s="375"/>
      <c r="N155" s="375"/>
      <c r="O155" s="375"/>
      <c r="P155" s="269"/>
      <c r="Q155" s="269"/>
    </row>
    <row r="156" spans="2:17"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  <c r="Q156" s="269"/>
    </row>
    <row r="157" spans="2:17">
      <c r="C157" s="580" t="s">
        <v>92</v>
      </c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  <c r="Q157" s="269"/>
    </row>
    <row r="158" spans="2:17"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  <c r="Q158" s="269"/>
    </row>
    <row r="159" spans="2:17">
      <c r="C159" s="534" t="s">
        <v>97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  <c r="Q159" s="269"/>
    </row>
    <row r="160" spans="2:17">
      <c r="C160" s="581" t="s">
        <v>79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  <c r="Q160" s="269"/>
    </row>
    <row r="161" spans="3:17">
      <c r="C161" s="581" t="s">
        <v>80</v>
      </c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  <c r="Q161" s="269"/>
    </row>
    <row r="162" spans="3:17" ht="18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454" t="s">
        <v>131</v>
      </c>
      <c r="Q162" s="269"/>
    </row>
  </sheetData>
  <phoneticPr fontId="0" type="noConversion"/>
  <conditionalFormatting sqref="C17:C72">
    <cfRule type="cellIs" dxfId="115" priority="1" stopIfTrue="1" operator="equal">
      <formula>$I$10</formula>
    </cfRule>
  </conditionalFormatting>
  <conditionalFormatting sqref="C99:C154">
    <cfRule type="cellIs" dxfId="114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76">
    <tabColor indexed="37"/>
  </sheetPr>
  <dimension ref="A1:Q162"/>
  <sheetViews>
    <sheetView topLeftCell="A97" zoomScaleNormal="100" zoomScaleSheetLayoutView="75" workbookViewId="0">
      <selection activeCell="D99" sqref="D99:I111"/>
    </sheetView>
  </sheetViews>
  <sheetFormatPr defaultColWidth="8.7109375" defaultRowHeight="12.75" customHeight="1"/>
  <cols>
    <col min="1" max="1" width="4.7109375" style="183" customWidth="1"/>
    <col min="2" max="2" width="6.7109375" style="183" customWidth="1"/>
    <col min="3" max="3" width="23.28515625" style="183" customWidth="1"/>
    <col min="4" max="8" width="17.7109375" style="183" customWidth="1"/>
    <col min="9" max="9" width="20.42578125" style="183" customWidth="1"/>
    <col min="10" max="10" width="16.42578125" style="183" customWidth="1"/>
    <col min="11" max="11" width="17.7109375" style="183" customWidth="1"/>
    <col min="12" max="12" width="16.140625" style="183" customWidth="1"/>
    <col min="13" max="13" width="17.7109375" style="183" customWidth="1"/>
    <col min="14" max="14" width="16.140625" style="183" customWidth="1"/>
    <col min="15" max="15" width="16.85546875" style="183" customWidth="1"/>
    <col min="16" max="16" width="24.42578125" style="183" customWidth="1"/>
    <col min="17" max="17" width="4.7109375" style="183" customWidth="1"/>
    <col min="18" max="22" width="8.7109375" style="183"/>
    <col min="23" max="23" width="9.140625" style="183" customWidth="1"/>
    <col min="24" max="16384" width="8.7109375" style="183"/>
  </cols>
  <sheetData>
    <row r="1" spans="1:17" ht="20.25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25 of 75</v>
      </c>
      <c r="Q1" s="453"/>
    </row>
    <row r="2" spans="1:17" ht="18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454" t="s">
        <v>129</v>
      </c>
    </row>
    <row r="3" spans="1:17" ht="18.75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 t="str">
        <f>RIGHT(N3,3)</f>
        <v/>
      </c>
      <c r="P3" s="455">
        <v>1</v>
      </c>
    </row>
    <row r="4" spans="1:17" ht="15.75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7" ht="1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9211.8656885441596</v>
      </c>
      <c r="P5" s="269"/>
    </row>
    <row r="6" spans="1:17" ht="15.7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9211.8656885441596</v>
      </c>
      <c r="O6" s="269"/>
      <c r="P6" s="269"/>
    </row>
    <row r="7" spans="1:17" ht="13.5" thickBot="1">
      <c r="C7" s="467" t="s">
        <v>48</v>
      </c>
      <c r="D7" s="620" t="s">
        <v>268</v>
      </c>
      <c r="E7" s="269"/>
      <c r="F7" s="269"/>
      <c r="G7" s="534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7" ht="13.5" thickBot="1">
      <c r="C8" s="472"/>
      <c r="D8" s="599" t="str">
        <f>IF(D10&lt;100000,"DOES NOT MEET SPP $100,000 MINIMUM INVESTMENT FOR REGIONAL BPU SHARING.","")</f>
        <v>DOES NOT MEET SPP $100,000 MINIMUM INVESTMENT FOR REGIONAL BPU SHARING.</v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7" ht="13.5" thickBot="1">
      <c r="A9" s="191"/>
      <c r="C9" s="476" t="s">
        <v>50</v>
      </c>
      <c r="D9" s="477" t="s">
        <v>254</v>
      </c>
      <c r="E9" s="478"/>
      <c r="F9" s="478"/>
      <c r="G9" s="478"/>
      <c r="H9" s="478"/>
      <c r="I9" s="479"/>
      <c r="J9" s="480"/>
      <c r="O9" s="481"/>
      <c r="P9" s="272"/>
    </row>
    <row r="10" spans="1:17">
      <c r="C10" s="482" t="s">
        <v>51</v>
      </c>
      <c r="D10" s="483">
        <v>88842</v>
      </c>
      <c r="E10" s="353" t="s">
        <v>52</v>
      </c>
      <c r="F10" s="481"/>
      <c r="G10" s="484"/>
      <c r="H10" s="484"/>
      <c r="I10" s="485">
        <f>+'SWE.WS.F.BPU.ATRR.Projected'!L19</f>
        <v>2024</v>
      </c>
      <c r="J10" s="480"/>
      <c r="K10" s="375" t="s">
        <v>53</v>
      </c>
      <c r="O10" s="272"/>
      <c r="P10" s="272"/>
    </row>
    <row r="11" spans="1:17">
      <c r="C11" s="486" t="s">
        <v>54</v>
      </c>
      <c r="D11" s="487">
        <v>2010</v>
      </c>
      <c r="E11" s="486" t="s">
        <v>55</v>
      </c>
      <c r="F11" s="484"/>
      <c r="G11" s="233"/>
      <c r="H11" s="233"/>
      <c r="I11" s="488"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7">
      <c r="C12" s="486" t="s">
        <v>56</v>
      </c>
      <c r="D12" s="483">
        <v>12</v>
      </c>
      <c r="E12" s="486" t="s">
        <v>57</v>
      </c>
      <c r="F12" s="484"/>
      <c r="G12" s="233"/>
      <c r="H12" s="233"/>
      <c r="I12" s="490">
        <f>'SWE.WS.F.BPU.ATRR.Projected'!$F$81</f>
        <v>0.11952713165403545</v>
      </c>
      <c r="J12" s="425"/>
      <c r="K12" s="183" t="s">
        <v>58</v>
      </c>
      <c r="O12" s="272"/>
      <c r="P12" s="272"/>
    </row>
    <row r="13" spans="1:17">
      <c r="C13" s="486" t="s">
        <v>59</v>
      </c>
      <c r="D13" s="488">
        <f>+'SWE.WS.F.BPU.ATRR.Projected'!F$93</f>
        <v>44</v>
      </c>
      <c r="E13" s="486" t="s">
        <v>60</v>
      </c>
      <c r="F13" s="484"/>
      <c r="G13" s="233"/>
      <c r="H13" s="233"/>
      <c r="I13" s="490">
        <f>IF(G5="",I12,'SWE.WS.F.BPU.ATRR.Projected'!$F$80)</f>
        <v>0.11952713165403545</v>
      </c>
      <c r="J13" s="425"/>
      <c r="K13" s="375" t="s">
        <v>61</v>
      </c>
      <c r="L13" s="324"/>
      <c r="M13" s="324"/>
      <c r="N13" s="324"/>
      <c r="O13" s="272"/>
      <c r="P13" s="272"/>
    </row>
    <row r="14" spans="1:17" ht="13.5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2019.1363636363637</v>
      </c>
      <c r="J14" s="375"/>
      <c r="K14" s="375"/>
      <c r="L14" s="375"/>
      <c r="M14" s="375"/>
      <c r="N14" s="375"/>
      <c r="O14" s="272"/>
      <c r="P14" s="272"/>
    </row>
    <row r="15" spans="1:17" ht="38.25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388</v>
      </c>
      <c r="H15" s="495" t="s">
        <v>389</v>
      </c>
      <c r="I15" s="496" t="s">
        <v>260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7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>
      <c r="C17" s="507">
        <f>IF(D11= "","-",D11)</f>
        <v>2010</v>
      </c>
      <c r="D17" s="508">
        <v>91500</v>
      </c>
      <c r="E17" s="509">
        <v>0</v>
      </c>
      <c r="F17" s="508">
        <v>91500</v>
      </c>
      <c r="G17" s="509">
        <v>13154.497429496008</v>
      </c>
      <c r="H17" s="510">
        <v>13154.497429496008</v>
      </c>
      <c r="I17" s="517">
        <v>0</v>
      </c>
      <c r="J17" s="511"/>
      <c r="K17" s="512">
        <f t="shared" ref="K17:K22" si="0">G17</f>
        <v>13154.497429496008</v>
      </c>
      <c r="L17" s="597">
        <f t="shared" ref="L17:L48" si="1">IF(K17&lt;&gt;0,+G17-K17,0)</f>
        <v>0</v>
      </c>
      <c r="M17" s="512">
        <f t="shared" ref="M17:M22" si="2">H17</f>
        <v>13154.497429496008</v>
      </c>
      <c r="N17" s="513">
        <f t="shared" ref="N17:N48" si="3">IF(M17&lt;&gt;0,+H17-M17,0)</f>
        <v>0</v>
      </c>
      <c r="O17" s="514">
        <f t="shared" ref="O17:O48" si="4">+N17-L17</f>
        <v>0</v>
      </c>
      <c r="P17" s="272"/>
    </row>
    <row r="18" spans="2:16">
      <c r="B18" s="195" t="str">
        <f>IF(D18=F17,"","IU")</f>
        <v>IU</v>
      </c>
      <c r="C18" s="507">
        <f>IF(D11="","-",+C17+1)</f>
        <v>2011</v>
      </c>
      <c r="D18" s="515">
        <v>88842</v>
      </c>
      <c r="E18" s="516">
        <v>2166.8780487804879</v>
      </c>
      <c r="F18" s="515">
        <v>86675.121951219509</v>
      </c>
      <c r="G18" s="516">
        <v>15704.854678854768</v>
      </c>
      <c r="H18" s="510">
        <v>15704.854678854768</v>
      </c>
      <c r="I18" s="517">
        <v>0</v>
      </c>
      <c r="J18" s="511"/>
      <c r="K18" s="518">
        <f t="shared" si="0"/>
        <v>15704.854678854768</v>
      </c>
      <c r="L18" s="519">
        <f t="shared" si="1"/>
        <v>0</v>
      </c>
      <c r="M18" s="518">
        <f t="shared" si="2"/>
        <v>15704.854678854768</v>
      </c>
      <c r="N18" s="514">
        <f t="shared" si="3"/>
        <v>0</v>
      </c>
      <c r="O18" s="514">
        <f t="shared" si="4"/>
        <v>0</v>
      </c>
      <c r="P18" s="272"/>
    </row>
    <row r="19" spans="2:16">
      <c r="B19" s="195" t="str">
        <f>IF(D19=F18,"","IU")</f>
        <v/>
      </c>
      <c r="C19" s="507">
        <f>IF(D11="","-",+C18+1)</f>
        <v>2012</v>
      </c>
      <c r="D19" s="608">
        <v>86675.121951219509</v>
      </c>
      <c r="E19" s="609">
        <v>2115.2857142857142</v>
      </c>
      <c r="F19" s="608">
        <v>84559.836236933799</v>
      </c>
      <c r="G19" s="609">
        <v>14691.036403517382</v>
      </c>
      <c r="H19" s="610">
        <v>14691.036403517382</v>
      </c>
      <c r="I19" s="517">
        <v>0</v>
      </c>
      <c r="J19" s="511"/>
      <c r="K19" s="518">
        <f t="shared" si="0"/>
        <v>14691.036403517382</v>
      </c>
      <c r="L19" s="519">
        <f t="shared" si="1"/>
        <v>0</v>
      </c>
      <c r="M19" s="518">
        <f t="shared" si="2"/>
        <v>14691.036403517382</v>
      </c>
      <c r="N19" s="514">
        <f t="shared" si="3"/>
        <v>0</v>
      </c>
      <c r="O19" s="514">
        <f t="shared" si="4"/>
        <v>0</v>
      </c>
      <c r="P19" s="272"/>
    </row>
    <row r="20" spans="2:16">
      <c r="B20" s="195" t="str">
        <f t="shared" ref="B20:B72" si="5">IF(D20=F19,"","IU")</f>
        <v/>
      </c>
      <c r="C20" s="507">
        <f>IF(D11="","-",+C19+1)</f>
        <v>2013</v>
      </c>
      <c r="D20" s="608">
        <v>84559.836236933799</v>
      </c>
      <c r="E20" s="609">
        <v>2115.2857142857142</v>
      </c>
      <c r="F20" s="608">
        <v>82444.550522648089</v>
      </c>
      <c r="G20" s="609">
        <v>13656.457775002271</v>
      </c>
      <c r="H20" s="610">
        <v>13656.457775002271</v>
      </c>
      <c r="I20" s="596">
        <v>0</v>
      </c>
      <c r="J20" s="511"/>
      <c r="K20" s="518">
        <f t="shared" si="0"/>
        <v>13656.457775002271</v>
      </c>
      <c r="L20" s="519">
        <f t="shared" ref="L20:L25" si="6">IF(K20&lt;&gt;0,+G20-K20,0)</f>
        <v>0</v>
      </c>
      <c r="M20" s="518">
        <f t="shared" si="2"/>
        <v>13656.457775002271</v>
      </c>
      <c r="N20" s="514">
        <f t="shared" ref="N20:N25" si="7">IF(M20&lt;&gt;0,+H20-M20,0)</f>
        <v>0</v>
      </c>
      <c r="O20" s="514">
        <f t="shared" ref="O20:O25" si="8">+N20-L20</f>
        <v>0</v>
      </c>
      <c r="P20" s="272"/>
    </row>
    <row r="21" spans="2:16">
      <c r="B21" s="195" t="str">
        <f t="shared" si="5"/>
        <v/>
      </c>
      <c r="C21" s="507">
        <f>IF(D12="","-",+C20+1)</f>
        <v>2014</v>
      </c>
      <c r="D21" s="608">
        <v>82444.550522648089</v>
      </c>
      <c r="E21" s="609">
        <v>2115.2857142857142</v>
      </c>
      <c r="F21" s="608">
        <v>80329.264808362379</v>
      </c>
      <c r="G21" s="609">
        <v>12952.547656930288</v>
      </c>
      <c r="H21" s="610">
        <v>12952.547656930288</v>
      </c>
      <c r="I21" s="596">
        <v>0</v>
      </c>
      <c r="J21" s="511"/>
      <c r="K21" s="518">
        <f t="shared" si="0"/>
        <v>12952.547656930288</v>
      </c>
      <c r="L21" s="519">
        <f t="shared" si="6"/>
        <v>0</v>
      </c>
      <c r="M21" s="518">
        <f t="shared" si="2"/>
        <v>12952.547656930288</v>
      </c>
      <c r="N21" s="514">
        <f t="shared" si="7"/>
        <v>0</v>
      </c>
      <c r="O21" s="514">
        <f t="shared" si="8"/>
        <v>0</v>
      </c>
      <c r="P21" s="272"/>
    </row>
    <row r="22" spans="2:16">
      <c r="B22" s="195" t="str">
        <f t="shared" si="5"/>
        <v/>
      </c>
      <c r="C22" s="507">
        <f>IF(D11="","-",+C21+1)</f>
        <v>2015</v>
      </c>
      <c r="D22" s="608">
        <v>80329.264808362379</v>
      </c>
      <c r="E22" s="609">
        <v>2115.2857142857142</v>
      </c>
      <c r="F22" s="608">
        <v>78213.979094076669</v>
      </c>
      <c r="G22" s="609">
        <v>12416.442264342599</v>
      </c>
      <c r="H22" s="610">
        <v>12416.442264342599</v>
      </c>
      <c r="I22" s="511">
        <v>0</v>
      </c>
      <c r="J22" s="511"/>
      <c r="K22" s="518">
        <f t="shared" si="0"/>
        <v>12416.442264342599</v>
      </c>
      <c r="L22" s="519">
        <f t="shared" si="6"/>
        <v>0</v>
      </c>
      <c r="M22" s="518">
        <f t="shared" si="2"/>
        <v>12416.442264342599</v>
      </c>
      <c r="N22" s="514">
        <f t="shared" si="7"/>
        <v>0</v>
      </c>
      <c r="O22" s="514">
        <f t="shared" si="8"/>
        <v>0</v>
      </c>
      <c r="P22" s="272"/>
    </row>
    <row r="23" spans="2:16">
      <c r="B23" s="195" t="str">
        <f t="shared" si="5"/>
        <v/>
      </c>
      <c r="C23" s="507">
        <f>IF(D11="","-",+C22+1)</f>
        <v>2016</v>
      </c>
      <c r="D23" s="608">
        <v>78213.979094076669</v>
      </c>
      <c r="E23" s="609">
        <v>2115.2857142857142</v>
      </c>
      <c r="F23" s="608">
        <v>76098.693379790959</v>
      </c>
      <c r="G23" s="609">
        <v>12014.201848101253</v>
      </c>
      <c r="H23" s="610">
        <v>12014.201848101253</v>
      </c>
      <c r="I23" s="511">
        <f t="shared" ref="I23:I48" si="9">H23-G23</f>
        <v>0</v>
      </c>
      <c r="J23" s="511"/>
      <c r="K23" s="518">
        <f t="shared" ref="K23:K28" si="10">G23</f>
        <v>12014.201848101253</v>
      </c>
      <c r="L23" s="519">
        <f t="shared" si="6"/>
        <v>0</v>
      </c>
      <c r="M23" s="518">
        <f t="shared" ref="M23:M28" si="11">H23</f>
        <v>12014.201848101253</v>
      </c>
      <c r="N23" s="514">
        <f t="shared" si="7"/>
        <v>0</v>
      </c>
      <c r="O23" s="514">
        <f t="shared" si="8"/>
        <v>0</v>
      </c>
      <c r="P23" s="272"/>
    </row>
    <row r="24" spans="2:16">
      <c r="B24" s="195" t="str">
        <f t="shared" si="5"/>
        <v/>
      </c>
      <c r="C24" s="507">
        <f>IF(D11="","-",+C23+1)</f>
        <v>2017</v>
      </c>
      <c r="D24" s="608">
        <v>76098.693379790959</v>
      </c>
      <c r="E24" s="609">
        <v>2066.0930232558139</v>
      </c>
      <c r="F24" s="608">
        <v>74032.600356535142</v>
      </c>
      <c r="G24" s="609">
        <v>11366.166201307635</v>
      </c>
      <c r="H24" s="610">
        <v>11366.166201307635</v>
      </c>
      <c r="I24" s="511">
        <f t="shared" si="9"/>
        <v>0</v>
      </c>
      <c r="J24" s="511"/>
      <c r="K24" s="518">
        <f t="shared" si="10"/>
        <v>11366.166201307635</v>
      </c>
      <c r="L24" s="519">
        <f t="shared" si="6"/>
        <v>0</v>
      </c>
      <c r="M24" s="518">
        <f t="shared" si="11"/>
        <v>11366.166201307635</v>
      </c>
      <c r="N24" s="514">
        <f t="shared" si="7"/>
        <v>0</v>
      </c>
      <c r="O24" s="514">
        <f t="shared" si="8"/>
        <v>0</v>
      </c>
      <c r="P24" s="272"/>
    </row>
    <row r="25" spans="2:16">
      <c r="B25" s="195" t="str">
        <f t="shared" si="5"/>
        <v/>
      </c>
      <c r="C25" s="507">
        <f>IF(D11="","-",+C24+1)</f>
        <v>2018</v>
      </c>
      <c r="D25" s="608">
        <v>74032.600356535142</v>
      </c>
      <c r="E25" s="609">
        <v>2166.8780487804879</v>
      </c>
      <c r="F25" s="608">
        <v>71865.722307754651</v>
      </c>
      <c r="G25" s="609">
        <v>11438.285975861665</v>
      </c>
      <c r="H25" s="610">
        <v>11438.285975861665</v>
      </c>
      <c r="I25" s="511">
        <f t="shared" si="9"/>
        <v>0</v>
      </c>
      <c r="J25" s="511"/>
      <c r="K25" s="518">
        <f t="shared" si="10"/>
        <v>11438.285975861665</v>
      </c>
      <c r="L25" s="519">
        <f t="shared" si="6"/>
        <v>0</v>
      </c>
      <c r="M25" s="518">
        <f t="shared" si="11"/>
        <v>11438.285975861665</v>
      </c>
      <c r="N25" s="514">
        <f t="shared" si="7"/>
        <v>0</v>
      </c>
      <c r="O25" s="514">
        <f t="shared" si="8"/>
        <v>0</v>
      </c>
      <c r="P25" s="272"/>
    </row>
    <row r="26" spans="2:16">
      <c r="B26" s="195" t="str">
        <f t="shared" si="5"/>
        <v/>
      </c>
      <c r="C26" s="507">
        <f>IF(D11="","-",+C25+1)</f>
        <v>2019</v>
      </c>
      <c r="D26" s="608">
        <v>71865.722307754651</v>
      </c>
      <c r="E26" s="609">
        <v>2166.8780487804879</v>
      </c>
      <c r="F26" s="608">
        <v>69698.844258974161</v>
      </c>
      <c r="G26" s="609">
        <v>11162.888562764485</v>
      </c>
      <c r="H26" s="610">
        <v>11162.888562764485</v>
      </c>
      <c r="I26" s="511">
        <f t="shared" si="9"/>
        <v>0</v>
      </c>
      <c r="J26" s="511"/>
      <c r="K26" s="518">
        <f t="shared" si="10"/>
        <v>11162.888562764485</v>
      </c>
      <c r="L26" s="519">
        <f t="shared" ref="L26" si="12">IF(K26&lt;&gt;0,+G26-K26,0)</f>
        <v>0</v>
      </c>
      <c r="M26" s="518">
        <f t="shared" si="11"/>
        <v>11162.888562764485</v>
      </c>
      <c r="N26" s="514">
        <f t="shared" si="3"/>
        <v>0</v>
      </c>
      <c r="O26" s="514">
        <f t="shared" si="4"/>
        <v>0</v>
      </c>
      <c r="P26" s="272"/>
    </row>
    <row r="27" spans="2:16">
      <c r="B27" s="195" t="str">
        <f t="shared" si="5"/>
        <v/>
      </c>
      <c r="C27" s="507">
        <f>IF(D11="","-",+C26+1)</f>
        <v>2020</v>
      </c>
      <c r="D27" s="608">
        <v>69698.844258974161</v>
      </c>
      <c r="E27" s="609">
        <v>2166.8780487804879</v>
      </c>
      <c r="F27" s="608">
        <v>67531.96621019367</v>
      </c>
      <c r="G27" s="609">
        <v>9188.6667831500235</v>
      </c>
      <c r="H27" s="610">
        <v>9188.6667831500235</v>
      </c>
      <c r="I27" s="511">
        <f t="shared" si="9"/>
        <v>0</v>
      </c>
      <c r="J27" s="511"/>
      <c r="K27" s="518">
        <f t="shared" si="10"/>
        <v>9188.6667831500235</v>
      </c>
      <c r="L27" s="519">
        <f t="shared" ref="L27" si="13">IF(K27&lt;&gt;0,+G27-K27,0)</f>
        <v>0</v>
      </c>
      <c r="M27" s="518">
        <f t="shared" si="11"/>
        <v>9188.6667831500235</v>
      </c>
      <c r="N27" s="514">
        <f t="shared" si="3"/>
        <v>0</v>
      </c>
      <c r="O27" s="514">
        <f t="shared" si="4"/>
        <v>0</v>
      </c>
      <c r="P27" s="272"/>
    </row>
    <row r="28" spans="2:16">
      <c r="B28" s="195" t="str">
        <f t="shared" si="5"/>
        <v>IU</v>
      </c>
      <c r="C28" s="507">
        <f>IF(D11="","-",+C27+1)</f>
        <v>2021</v>
      </c>
      <c r="D28" s="608">
        <v>67632.751235718344</v>
      </c>
      <c r="E28" s="609">
        <v>2115.2857142857142</v>
      </c>
      <c r="F28" s="608">
        <v>65517.465521432627</v>
      </c>
      <c r="G28" s="609">
        <v>9172.5497891198665</v>
      </c>
      <c r="H28" s="610">
        <v>9172.5497891198665</v>
      </c>
      <c r="I28" s="511">
        <f t="shared" si="9"/>
        <v>0</v>
      </c>
      <c r="J28" s="511"/>
      <c r="K28" s="518">
        <f t="shared" si="10"/>
        <v>9172.5497891198665</v>
      </c>
      <c r="L28" s="519">
        <f t="shared" ref="L28" si="14">IF(K28&lt;&gt;0,+G28-K28,0)</f>
        <v>0</v>
      </c>
      <c r="M28" s="518">
        <f t="shared" si="11"/>
        <v>9172.5497891198665</v>
      </c>
      <c r="N28" s="514">
        <f t="shared" si="3"/>
        <v>0</v>
      </c>
      <c r="O28" s="514">
        <f t="shared" si="4"/>
        <v>0</v>
      </c>
      <c r="P28" s="272"/>
    </row>
    <row r="29" spans="2:16">
      <c r="B29" s="195" t="str">
        <f t="shared" si="5"/>
        <v>IU</v>
      </c>
      <c r="C29" s="507">
        <f>IF(D11="","-",+C28+1)</f>
        <v>2022</v>
      </c>
      <c r="D29" s="608">
        <v>65416.680495907953</v>
      </c>
      <c r="E29" s="609">
        <v>2115.2857142857142</v>
      </c>
      <c r="F29" s="608">
        <v>63301.394781622235</v>
      </c>
      <c r="G29" s="609">
        <v>9352.0795778401916</v>
      </c>
      <c r="H29" s="610">
        <v>9352.0795778401916</v>
      </c>
      <c r="I29" s="511">
        <f t="shared" si="9"/>
        <v>0</v>
      </c>
      <c r="J29" s="511"/>
      <c r="K29" s="518">
        <f t="shared" ref="K29" si="15">G29</f>
        <v>9352.0795778401916</v>
      </c>
      <c r="L29" s="519">
        <f t="shared" ref="L29" si="16">IF(K29&lt;&gt;0,+G29-K29,0)</f>
        <v>0</v>
      </c>
      <c r="M29" s="518">
        <f t="shared" ref="M29" si="17">H29</f>
        <v>9352.0795778401916</v>
      </c>
      <c r="N29" s="514">
        <f t="shared" si="3"/>
        <v>0</v>
      </c>
      <c r="O29" s="514">
        <f t="shared" si="4"/>
        <v>0</v>
      </c>
      <c r="P29" s="272"/>
    </row>
    <row r="30" spans="2:16">
      <c r="B30" s="195" t="str">
        <f t="shared" si="5"/>
        <v/>
      </c>
      <c r="C30" s="507">
        <f>IF(D11="","-",+C29+1)</f>
        <v>2023</v>
      </c>
      <c r="D30" s="608">
        <v>63301.394781622235</v>
      </c>
      <c r="E30" s="609">
        <v>2115.2857142857142</v>
      </c>
      <c r="F30" s="608">
        <v>61186.109067336518</v>
      </c>
      <c r="G30" s="609">
        <v>9978.3389667059218</v>
      </c>
      <c r="H30" s="610">
        <v>9978.3389667059218</v>
      </c>
      <c r="I30" s="511">
        <f t="shared" si="9"/>
        <v>0</v>
      </c>
      <c r="J30" s="511"/>
      <c r="K30" s="518">
        <f t="shared" ref="K30" si="18">G30</f>
        <v>9978.3389667059218</v>
      </c>
      <c r="L30" s="519">
        <f t="shared" ref="L30" si="19">IF(K30&lt;&gt;0,+G30-K30,0)</f>
        <v>0</v>
      </c>
      <c r="M30" s="518">
        <f t="shared" ref="M30" si="20">H30</f>
        <v>9978.3389667059218</v>
      </c>
      <c r="N30" s="514">
        <f t="shared" ref="N30" si="21">IF(M30&lt;&gt;0,+H30-M30,0)</f>
        <v>0</v>
      </c>
      <c r="O30" s="514">
        <f t="shared" ref="O30" si="22">+N30-L30</f>
        <v>0</v>
      </c>
      <c r="P30" s="272"/>
    </row>
    <row r="31" spans="2:16">
      <c r="B31" s="195" t="str">
        <f t="shared" si="5"/>
        <v/>
      </c>
      <c r="C31" s="673">
        <f>IF(D11="","-",+C30+1)</f>
        <v>2024</v>
      </c>
      <c r="D31" s="523">
        <f>IF(F30+SUM(E$17:E30)=D$10,F30,D$10-SUM(E$17:E30))</f>
        <v>61186.109067336518</v>
      </c>
      <c r="E31" s="522">
        <f>IF(+I14&lt;F30,I14,D31)</f>
        <v>2019.1363636363637</v>
      </c>
      <c r="F31" s="523">
        <f t="shared" ref="F31:F48" si="23">+D31-E31</f>
        <v>59166.972703700158</v>
      </c>
      <c r="G31" s="524">
        <f t="shared" ref="G31:G55" si="24">+I$12*((D31+F31)/2)+E31</f>
        <v>9211.8656885441596</v>
      </c>
      <c r="H31" s="491">
        <f t="shared" ref="H31:H55" si="25">+I$13*((D31+F31)/2)+E31</f>
        <v>9211.8656885441596</v>
      </c>
      <c r="I31" s="511">
        <f t="shared" si="9"/>
        <v>0</v>
      </c>
      <c r="J31" s="511"/>
      <c r="K31" s="525"/>
      <c r="L31" s="514">
        <f t="shared" si="1"/>
        <v>0</v>
      </c>
      <c r="M31" s="525"/>
      <c r="N31" s="514">
        <f t="shared" si="3"/>
        <v>0</v>
      </c>
      <c r="O31" s="514">
        <f t="shared" si="4"/>
        <v>0</v>
      </c>
      <c r="P31" s="272"/>
    </row>
    <row r="32" spans="2:16">
      <c r="B32" s="195" t="str">
        <f t="shared" si="5"/>
        <v/>
      </c>
      <c r="C32" s="507">
        <f>IF(D11="","-",+C31+1)</f>
        <v>2025</v>
      </c>
      <c r="D32" s="523">
        <f>IF(F31+SUM(E$17:E31)=D$10,F31,D$10-SUM(E$17:E31))</f>
        <v>59166.972703700158</v>
      </c>
      <c r="E32" s="522">
        <f>IF(+I14&lt;F31,I14,D32)</f>
        <v>2019.1363636363637</v>
      </c>
      <c r="F32" s="523">
        <f t="shared" si="23"/>
        <v>57147.836340063797</v>
      </c>
      <c r="G32" s="524">
        <f t="shared" si="24"/>
        <v>8970.524110580347</v>
      </c>
      <c r="H32" s="491">
        <f t="shared" si="25"/>
        <v>8970.524110580347</v>
      </c>
      <c r="I32" s="511">
        <f t="shared" si="9"/>
        <v>0</v>
      </c>
      <c r="J32" s="511"/>
      <c r="K32" s="525"/>
      <c r="L32" s="514">
        <f t="shared" si="1"/>
        <v>0</v>
      </c>
      <c r="M32" s="525"/>
      <c r="N32" s="514">
        <f t="shared" si="3"/>
        <v>0</v>
      </c>
      <c r="O32" s="514">
        <f t="shared" si="4"/>
        <v>0</v>
      </c>
      <c r="P32" s="272"/>
    </row>
    <row r="33" spans="2:16">
      <c r="B33" s="195"/>
      <c r="C33" s="507">
        <f>IF(D11="","-",+C32+1)</f>
        <v>2026</v>
      </c>
      <c r="D33" s="523">
        <f>IF(F32+SUM(E$17:E32)=D$10,F32,D$10-SUM(E$17:E32))</f>
        <v>57147.836340063797</v>
      </c>
      <c r="E33" s="522">
        <f>IF(+I14&lt;F32,I14,D33)</f>
        <v>2019.1363636363637</v>
      </c>
      <c r="F33" s="523">
        <f t="shared" si="23"/>
        <v>55128.699976427437</v>
      </c>
      <c r="G33" s="524">
        <f t="shared" si="24"/>
        <v>8729.1825326165326</v>
      </c>
      <c r="H33" s="491">
        <f t="shared" si="25"/>
        <v>8729.1825326165326</v>
      </c>
      <c r="I33" s="511">
        <f t="shared" si="9"/>
        <v>0</v>
      </c>
      <c r="J33" s="511"/>
      <c r="K33" s="525"/>
      <c r="L33" s="514">
        <f t="shared" si="1"/>
        <v>0</v>
      </c>
      <c r="M33" s="525"/>
      <c r="N33" s="514">
        <f t="shared" si="3"/>
        <v>0</v>
      </c>
      <c r="O33" s="514">
        <f t="shared" si="4"/>
        <v>0</v>
      </c>
      <c r="P33" s="272"/>
    </row>
    <row r="34" spans="2:16">
      <c r="B34" s="195" t="str">
        <f t="shared" si="5"/>
        <v/>
      </c>
      <c r="C34" s="507">
        <f>IF(D11="","-",+C33+1)</f>
        <v>2027</v>
      </c>
      <c r="D34" s="523">
        <f>IF(F33+SUM(E$17:E33)=D$10,F33,D$10-SUM(E$17:E33))</f>
        <v>55128.699976427437</v>
      </c>
      <c r="E34" s="522">
        <f>IF(+I14&lt;F33,I14,D34)</f>
        <v>2019.1363636363637</v>
      </c>
      <c r="F34" s="523">
        <f t="shared" si="23"/>
        <v>53109.563612791077</v>
      </c>
      <c r="G34" s="524">
        <f t="shared" si="24"/>
        <v>8487.84095465272</v>
      </c>
      <c r="H34" s="491">
        <f t="shared" si="25"/>
        <v>8487.84095465272</v>
      </c>
      <c r="I34" s="511">
        <f t="shared" si="9"/>
        <v>0</v>
      </c>
      <c r="J34" s="511"/>
      <c r="K34" s="525"/>
      <c r="L34" s="514">
        <f t="shared" si="1"/>
        <v>0</v>
      </c>
      <c r="M34" s="525"/>
      <c r="N34" s="514">
        <f t="shared" si="3"/>
        <v>0</v>
      </c>
      <c r="O34" s="514">
        <f t="shared" si="4"/>
        <v>0</v>
      </c>
      <c r="P34" s="272"/>
    </row>
    <row r="35" spans="2:16">
      <c r="B35" s="195" t="str">
        <f t="shared" si="5"/>
        <v/>
      </c>
      <c r="C35" s="507">
        <f>IF(D11="","-",+C34+1)</f>
        <v>2028</v>
      </c>
      <c r="D35" s="523">
        <f>IF(F34+SUM(E$17:E34)=D$10,F34,D$10-SUM(E$17:E34))</f>
        <v>53109.563612791077</v>
      </c>
      <c r="E35" s="522">
        <f>IF(+I14&lt;F34,I14,D35)</f>
        <v>2019.1363636363637</v>
      </c>
      <c r="F35" s="523">
        <f t="shared" si="23"/>
        <v>51090.427249154716</v>
      </c>
      <c r="G35" s="524">
        <f t="shared" si="24"/>
        <v>8246.4993766889056</v>
      </c>
      <c r="H35" s="491">
        <f t="shared" si="25"/>
        <v>8246.4993766889056</v>
      </c>
      <c r="I35" s="511">
        <f t="shared" si="9"/>
        <v>0</v>
      </c>
      <c r="J35" s="511"/>
      <c r="K35" s="525"/>
      <c r="L35" s="514">
        <f t="shared" si="1"/>
        <v>0</v>
      </c>
      <c r="M35" s="525"/>
      <c r="N35" s="514">
        <f t="shared" si="3"/>
        <v>0</v>
      </c>
      <c r="O35" s="514">
        <f t="shared" si="4"/>
        <v>0</v>
      </c>
      <c r="P35" s="272"/>
    </row>
    <row r="36" spans="2:16">
      <c r="B36" s="195" t="str">
        <f t="shared" si="5"/>
        <v/>
      </c>
      <c r="C36" s="507">
        <f>IF(D11="","-",+C35+1)</f>
        <v>2029</v>
      </c>
      <c r="D36" s="523">
        <f>IF(F35+SUM(E$17:E35)=D$10,F35,D$10-SUM(E$17:E35))</f>
        <v>51090.427249154716</v>
      </c>
      <c r="E36" s="522">
        <f>IF(+I14&lt;F35,I14,D36)</f>
        <v>2019.1363636363637</v>
      </c>
      <c r="F36" s="523">
        <f t="shared" si="23"/>
        <v>49071.290885518356</v>
      </c>
      <c r="G36" s="524">
        <f t="shared" si="24"/>
        <v>8005.157798725093</v>
      </c>
      <c r="H36" s="491">
        <f t="shared" si="25"/>
        <v>8005.157798725093</v>
      </c>
      <c r="I36" s="511">
        <f t="shared" si="9"/>
        <v>0</v>
      </c>
      <c r="J36" s="511"/>
      <c r="K36" s="525"/>
      <c r="L36" s="514">
        <f t="shared" si="1"/>
        <v>0</v>
      </c>
      <c r="M36" s="525"/>
      <c r="N36" s="514">
        <f t="shared" si="3"/>
        <v>0</v>
      </c>
      <c r="O36" s="514">
        <f t="shared" si="4"/>
        <v>0</v>
      </c>
      <c r="P36" s="272"/>
    </row>
    <row r="37" spans="2:16">
      <c r="B37" s="195" t="str">
        <f t="shared" si="5"/>
        <v/>
      </c>
      <c r="C37" s="507">
        <f>IF(D11="","-",+C36+1)</f>
        <v>2030</v>
      </c>
      <c r="D37" s="523">
        <f>IF(F36+SUM(E$17:E36)=D$10,F36,D$10-SUM(E$17:E36))</f>
        <v>49071.290885518356</v>
      </c>
      <c r="E37" s="522">
        <f>IF(+I14&lt;F36,I14,D37)</f>
        <v>2019.1363636363637</v>
      </c>
      <c r="F37" s="523">
        <f t="shared" si="23"/>
        <v>47052.154521881996</v>
      </c>
      <c r="G37" s="524">
        <f t="shared" si="24"/>
        <v>7763.8162207612786</v>
      </c>
      <c r="H37" s="491">
        <f t="shared" si="25"/>
        <v>7763.8162207612786</v>
      </c>
      <c r="I37" s="511">
        <f t="shared" si="9"/>
        <v>0</v>
      </c>
      <c r="J37" s="511"/>
      <c r="K37" s="525"/>
      <c r="L37" s="514">
        <f t="shared" si="1"/>
        <v>0</v>
      </c>
      <c r="M37" s="525"/>
      <c r="N37" s="514">
        <f t="shared" si="3"/>
        <v>0</v>
      </c>
      <c r="O37" s="514">
        <f t="shared" si="4"/>
        <v>0</v>
      </c>
      <c r="P37" s="272"/>
    </row>
    <row r="38" spans="2:16">
      <c r="B38" s="195" t="str">
        <f t="shared" si="5"/>
        <v/>
      </c>
      <c r="C38" s="507">
        <f>IF(D11="","-",+C37+1)</f>
        <v>2031</v>
      </c>
      <c r="D38" s="523">
        <f>IF(F37+SUM(E$17:E37)=D$10,F37,D$10-SUM(E$17:E37))</f>
        <v>47052.154521881996</v>
      </c>
      <c r="E38" s="522">
        <f>IF(+I14&lt;F37,I14,D38)</f>
        <v>2019.1363636363637</v>
      </c>
      <c r="F38" s="523">
        <f t="shared" si="23"/>
        <v>45033.018158245635</v>
      </c>
      <c r="G38" s="524">
        <f t="shared" si="24"/>
        <v>7522.474642797466</v>
      </c>
      <c r="H38" s="491">
        <f t="shared" si="25"/>
        <v>7522.474642797466</v>
      </c>
      <c r="I38" s="511">
        <f t="shared" si="9"/>
        <v>0</v>
      </c>
      <c r="J38" s="511"/>
      <c r="K38" s="525"/>
      <c r="L38" s="514">
        <f t="shared" si="1"/>
        <v>0</v>
      </c>
      <c r="M38" s="525"/>
      <c r="N38" s="514">
        <f t="shared" si="3"/>
        <v>0</v>
      </c>
      <c r="O38" s="514">
        <f t="shared" si="4"/>
        <v>0</v>
      </c>
      <c r="P38" s="272"/>
    </row>
    <row r="39" spans="2:16">
      <c r="B39" s="195" t="str">
        <f t="shared" si="5"/>
        <v/>
      </c>
      <c r="C39" s="507">
        <f>IF(D11="","-",+C38+1)</f>
        <v>2032</v>
      </c>
      <c r="D39" s="523">
        <f>IF(F38+SUM(E$17:E38)=D$10,F38,D$10-SUM(E$17:E38))</f>
        <v>45033.018158245635</v>
      </c>
      <c r="E39" s="522">
        <f>IF(+I14&lt;F38,I14,D39)</f>
        <v>2019.1363636363637</v>
      </c>
      <c r="F39" s="523">
        <f t="shared" si="23"/>
        <v>43013.881794609275</v>
      </c>
      <c r="G39" s="524">
        <f t="shared" si="24"/>
        <v>7281.1330648336516</v>
      </c>
      <c r="H39" s="491">
        <f t="shared" si="25"/>
        <v>7281.1330648336516</v>
      </c>
      <c r="I39" s="511">
        <f t="shared" si="9"/>
        <v>0</v>
      </c>
      <c r="J39" s="511"/>
      <c r="K39" s="525"/>
      <c r="L39" s="514">
        <f t="shared" si="1"/>
        <v>0</v>
      </c>
      <c r="M39" s="525"/>
      <c r="N39" s="514">
        <f t="shared" si="3"/>
        <v>0</v>
      </c>
      <c r="O39" s="514">
        <f t="shared" si="4"/>
        <v>0</v>
      </c>
      <c r="P39" s="272"/>
    </row>
    <row r="40" spans="2:16">
      <c r="B40" s="195" t="str">
        <f t="shared" si="5"/>
        <v/>
      </c>
      <c r="C40" s="507">
        <f>IF(D11="","-",+C39+1)</f>
        <v>2033</v>
      </c>
      <c r="D40" s="523">
        <f>IF(F39+SUM(E$17:E39)=D$10,F39,D$10-SUM(E$17:E39))</f>
        <v>43013.881794609275</v>
      </c>
      <c r="E40" s="522">
        <f>IF(+I14&lt;F39,I14,D40)</f>
        <v>2019.1363636363637</v>
      </c>
      <c r="F40" s="523">
        <f t="shared" si="23"/>
        <v>40994.745430972915</v>
      </c>
      <c r="G40" s="524">
        <f t="shared" si="24"/>
        <v>7039.791486869839</v>
      </c>
      <c r="H40" s="491">
        <f t="shared" si="25"/>
        <v>7039.791486869839</v>
      </c>
      <c r="I40" s="511">
        <f t="shared" si="9"/>
        <v>0</v>
      </c>
      <c r="J40" s="511"/>
      <c r="K40" s="525"/>
      <c r="L40" s="514">
        <f t="shared" si="1"/>
        <v>0</v>
      </c>
      <c r="M40" s="525"/>
      <c r="N40" s="514">
        <f t="shared" si="3"/>
        <v>0</v>
      </c>
      <c r="O40" s="514">
        <f t="shared" si="4"/>
        <v>0</v>
      </c>
      <c r="P40" s="272"/>
    </row>
    <row r="41" spans="2:16">
      <c r="B41" s="195" t="str">
        <f t="shared" si="5"/>
        <v/>
      </c>
      <c r="C41" s="507">
        <f>IF(D11="","-",+C40+1)</f>
        <v>2034</v>
      </c>
      <c r="D41" s="523">
        <f>IF(F40+SUM(E$17:E40)=D$10,F40,D$10-SUM(E$17:E40))</f>
        <v>40994.745430972915</v>
      </c>
      <c r="E41" s="522">
        <f>IF(+I14&lt;F40,I14,D41)</f>
        <v>2019.1363636363637</v>
      </c>
      <c r="F41" s="523">
        <f t="shared" si="23"/>
        <v>38975.609067336554</v>
      </c>
      <c r="G41" s="524">
        <f t="shared" si="24"/>
        <v>6798.4499089060246</v>
      </c>
      <c r="H41" s="491">
        <f t="shared" si="25"/>
        <v>6798.4499089060246</v>
      </c>
      <c r="I41" s="511">
        <f t="shared" si="9"/>
        <v>0</v>
      </c>
      <c r="J41" s="511"/>
      <c r="K41" s="525"/>
      <c r="L41" s="514">
        <f t="shared" si="1"/>
        <v>0</v>
      </c>
      <c r="M41" s="525"/>
      <c r="N41" s="514">
        <f t="shared" si="3"/>
        <v>0</v>
      </c>
      <c r="O41" s="514">
        <f t="shared" si="4"/>
        <v>0</v>
      </c>
      <c r="P41" s="272"/>
    </row>
    <row r="42" spans="2:16">
      <c r="B42" s="195" t="str">
        <f t="shared" si="5"/>
        <v/>
      </c>
      <c r="C42" s="507">
        <f>IF(D11="","-",+C41+1)</f>
        <v>2035</v>
      </c>
      <c r="D42" s="523">
        <f>IF(F41+SUM(E$17:E41)=D$10,F41,D$10-SUM(E$17:E41))</f>
        <v>38975.609067336554</v>
      </c>
      <c r="E42" s="522">
        <f>IF(+I14&lt;F41,I14,D42)</f>
        <v>2019.1363636363637</v>
      </c>
      <c r="F42" s="523">
        <f t="shared" si="23"/>
        <v>36956.472703700194</v>
      </c>
      <c r="G42" s="524">
        <f t="shared" si="24"/>
        <v>6557.108330942212</v>
      </c>
      <c r="H42" s="491">
        <f t="shared" si="25"/>
        <v>6557.108330942212</v>
      </c>
      <c r="I42" s="511">
        <f t="shared" si="9"/>
        <v>0</v>
      </c>
      <c r="J42" s="511"/>
      <c r="K42" s="525"/>
      <c r="L42" s="514">
        <f t="shared" si="1"/>
        <v>0</v>
      </c>
      <c r="M42" s="525"/>
      <c r="N42" s="514">
        <f t="shared" si="3"/>
        <v>0</v>
      </c>
      <c r="O42" s="514">
        <f t="shared" si="4"/>
        <v>0</v>
      </c>
      <c r="P42" s="272"/>
    </row>
    <row r="43" spans="2:16">
      <c r="B43" s="195" t="str">
        <f t="shared" si="5"/>
        <v/>
      </c>
      <c r="C43" s="507">
        <f>IF(D11="","-",+C42+1)</f>
        <v>2036</v>
      </c>
      <c r="D43" s="523">
        <f>IF(F42+SUM(E$17:E42)=D$10,F42,D$10-SUM(E$17:E42))</f>
        <v>36956.472703700194</v>
      </c>
      <c r="E43" s="522">
        <f>IF(+I14&lt;F42,I14,D43)</f>
        <v>2019.1363636363637</v>
      </c>
      <c r="F43" s="523">
        <f t="shared" si="23"/>
        <v>34937.336340063834</v>
      </c>
      <c r="G43" s="524">
        <f t="shared" si="24"/>
        <v>6315.7667529783967</v>
      </c>
      <c r="H43" s="491">
        <f t="shared" si="25"/>
        <v>6315.7667529783967</v>
      </c>
      <c r="I43" s="511">
        <f t="shared" si="9"/>
        <v>0</v>
      </c>
      <c r="J43" s="511"/>
      <c r="K43" s="525"/>
      <c r="L43" s="514">
        <f t="shared" si="1"/>
        <v>0</v>
      </c>
      <c r="M43" s="525"/>
      <c r="N43" s="514">
        <f t="shared" si="3"/>
        <v>0</v>
      </c>
      <c r="O43" s="514">
        <f t="shared" si="4"/>
        <v>0</v>
      </c>
      <c r="P43" s="272"/>
    </row>
    <row r="44" spans="2:16">
      <c r="B44" s="195" t="str">
        <f t="shared" si="5"/>
        <v/>
      </c>
      <c r="C44" s="507">
        <f>IF(D11="","-",+C43+1)</f>
        <v>2037</v>
      </c>
      <c r="D44" s="523">
        <f>IF(F43+SUM(E$17:E43)=D$10,F43,D$10-SUM(E$17:E43))</f>
        <v>34937.336340063834</v>
      </c>
      <c r="E44" s="522">
        <f>IF(+I14&lt;F43,I14,D44)</f>
        <v>2019.1363636363637</v>
      </c>
      <c r="F44" s="523">
        <f t="shared" si="23"/>
        <v>32918.199976427473</v>
      </c>
      <c r="G44" s="524">
        <f t="shared" si="24"/>
        <v>6074.4251750145841</v>
      </c>
      <c r="H44" s="491">
        <f t="shared" si="25"/>
        <v>6074.4251750145841</v>
      </c>
      <c r="I44" s="511">
        <f t="shared" si="9"/>
        <v>0</v>
      </c>
      <c r="J44" s="511"/>
      <c r="K44" s="525"/>
      <c r="L44" s="514">
        <f t="shared" si="1"/>
        <v>0</v>
      </c>
      <c r="M44" s="525"/>
      <c r="N44" s="514">
        <f t="shared" si="3"/>
        <v>0</v>
      </c>
      <c r="O44" s="514">
        <f t="shared" si="4"/>
        <v>0</v>
      </c>
      <c r="P44" s="272"/>
    </row>
    <row r="45" spans="2:16">
      <c r="B45" s="195" t="str">
        <f t="shared" si="5"/>
        <v/>
      </c>
      <c r="C45" s="507">
        <f>IF(D11="","-",+C44+1)</f>
        <v>2038</v>
      </c>
      <c r="D45" s="523">
        <f>IF(F44+SUM(E$17:E44)=D$10,F44,D$10-SUM(E$17:E44))</f>
        <v>32918.199976427473</v>
      </c>
      <c r="E45" s="522">
        <f>IF(+I14&lt;F44,I14,D45)</f>
        <v>2019.1363636363637</v>
      </c>
      <c r="F45" s="523">
        <f t="shared" si="23"/>
        <v>30899.063612791109</v>
      </c>
      <c r="G45" s="524">
        <f t="shared" si="24"/>
        <v>5833.0835970507696</v>
      </c>
      <c r="H45" s="491">
        <f t="shared" si="25"/>
        <v>5833.0835970507696</v>
      </c>
      <c r="I45" s="511">
        <f t="shared" si="9"/>
        <v>0</v>
      </c>
      <c r="J45" s="511"/>
      <c r="K45" s="525"/>
      <c r="L45" s="514">
        <f t="shared" si="1"/>
        <v>0</v>
      </c>
      <c r="M45" s="525"/>
      <c r="N45" s="514">
        <f t="shared" si="3"/>
        <v>0</v>
      </c>
      <c r="O45" s="514">
        <f t="shared" si="4"/>
        <v>0</v>
      </c>
      <c r="P45" s="272"/>
    </row>
    <row r="46" spans="2:16">
      <c r="B46" s="195" t="str">
        <f t="shared" si="5"/>
        <v/>
      </c>
      <c r="C46" s="507">
        <f>IF(D11="","-",+C45+1)</f>
        <v>2039</v>
      </c>
      <c r="D46" s="523">
        <f>IF(F45+SUM(E$17:E45)=D$10,F45,D$10-SUM(E$17:E45))</f>
        <v>30899.063612791109</v>
      </c>
      <c r="E46" s="522">
        <f>IF(+I14&lt;F45,I14,D46)</f>
        <v>2019.1363636363637</v>
      </c>
      <c r="F46" s="523">
        <f t="shared" si="23"/>
        <v>28879.927249154745</v>
      </c>
      <c r="G46" s="524">
        <f t="shared" si="24"/>
        <v>5591.7420190869561</v>
      </c>
      <c r="H46" s="491">
        <f t="shared" si="25"/>
        <v>5591.7420190869561</v>
      </c>
      <c r="I46" s="511">
        <f t="shared" si="9"/>
        <v>0</v>
      </c>
      <c r="J46" s="511"/>
      <c r="K46" s="525"/>
      <c r="L46" s="514">
        <f t="shared" si="1"/>
        <v>0</v>
      </c>
      <c r="M46" s="525"/>
      <c r="N46" s="514">
        <f t="shared" si="3"/>
        <v>0</v>
      </c>
      <c r="O46" s="514">
        <f t="shared" si="4"/>
        <v>0</v>
      </c>
      <c r="P46" s="272"/>
    </row>
    <row r="47" spans="2:16">
      <c r="B47" s="195" t="str">
        <f t="shared" si="5"/>
        <v/>
      </c>
      <c r="C47" s="507">
        <f>IF(D11="","-",+C46+1)</f>
        <v>2040</v>
      </c>
      <c r="D47" s="523">
        <f>IF(F46+SUM(E$17:E46)=D$10,F46,D$10-SUM(E$17:E46))</f>
        <v>28879.927249154745</v>
      </c>
      <c r="E47" s="522">
        <f>IF(+I14&lt;F46,I14,D47)</f>
        <v>2019.1363636363637</v>
      </c>
      <c r="F47" s="523">
        <f t="shared" si="23"/>
        <v>26860.790885518381</v>
      </c>
      <c r="G47" s="524">
        <f t="shared" si="24"/>
        <v>5350.4004411231417</v>
      </c>
      <c r="H47" s="491">
        <f t="shared" si="25"/>
        <v>5350.4004411231417</v>
      </c>
      <c r="I47" s="511">
        <f t="shared" si="9"/>
        <v>0</v>
      </c>
      <c r="J47" s="511"/>
      <c r="K47" s="525"/>
      <c r="L47" s="514">
        <f t="shared" si="1"/>
        <v>0</v>
      </c>
      <c r="M47" s="525"/>
      <c r="N47" s="514">
        <f t="shared" si="3"/>
        <v>0</v>
      </c>
      <c r="O47" s="514">
        <f t="shared" si="4"/>
        <v>0</v>
      </c>
      <c r="P47" s="272"/>
    </row>
    <row r="48" spans="2:16">
      <c r="B48" s="195" t="str">
        <f t="shared" si="5"/>
        <v/>
      </c>
      <c r="C48" s="507">
        <f>IF(D11="","-",+C47+1)</f>
        <v>2041</v>
      </c>
      <c r="D48" s="523">
        <f>IF(F47+SUM(E$17:E47)=D$10,F47,D$10-SUM(E$17:E47))</f>
        <v>26860.790885518381</v>
      </c>
      <c r="E48" s="522">
        <f>IF(+I14&lt;F47,I14,D48)</f>
        <v>2019.1363636363637</v>
      </c>
      <c r="F48" s="523">
        <f t="shared" si="23"/>
        <v>24841.654521882017</v>
      </c>
      <c r="G48" s="524">
        <f t="shared" si="24"/>
        <v>5109.0588631593282</v>
      </c>
      <c r="H48" s="491">
        <f t="shared" si="25"/>
        <v>5109.0588631593282</v>
      </c>
      <c r="I48" s="511">
        <f t="shared" si="9"/>
        <v>0</v>
      </c>
      <c r="J48" s="511"/>
      <c r="K48" s="525"/>
      <c r="L48" s="514">
        <f t="shared" si="1"/>
        <v>0</v>
      </c>
      <c r="M48" s="525"/>
      <c r="N48" s="514">
        <f t="shared" si="3"/>
        <v>0</v>
      </c>
      <c r="O48" s="514">
        <f t="shared" si="4"/>
        <v>0</v>
      </c>
      <c r="P48" s="272"/>
    </row>
    <row r="49" spans="2:17">
      <c r="B49" s="195" t="str">
        <f t="shared" si="5"/>
        <v/>
      </c>
      <c r="C49" s="507">
        <f>IF(D11="","-",+C48+1)</f>
        <v>2042</v>
      </c>
      <c r="D49" s="523">
        <f>IF(F48+SUM(E$17:E48)=D$10,F48,D$10-SUM(E$17:E48))</f>
        <v>24841.654521882017</v>
      </c>
      <c r="E49" s="522">
        <f>IF(+I14&lt;F48,I14,D49)</f>
        <v>2019.1363636363637</v>
      </c>
      <c r="F49" s="523">
        <f t="shared" ref="F49:F72" si="26">+D49-E49</f>
        <v>22822.518158245653</v>
      </c>
      <c r="G49" s="524">
        <f t="shared" si="24"/>
        <v>4867.7172851955129</v>
      </c>
      <c r="H49" s="491">
        <f t="shared" si="25"/>
        <v>4867.7172851955129</v>
      </c>
      <c r="I49" s="511">
        <f t="shared" ref="I49:I72" si="27">H49-G49</f>
        <v>0</v>
      </c>
      <c r="J49" s="511"/>
      <c r="K49" s="525"/>
      <c r="L49" s="514">
        <f t="shared" ref="L49:L72" si="28">IF(K49&lt;&gt;0,+G49-K49,0)</f>
        <v>0</v>
      </c>
      <c r="M49" s="525"/>
      <c r="N49" s="514">
        <f t="shared" ref="N49:N72" si="29">IF(M49&lt;&gt;0,+H49-M49,0)</f>
        <v>0</v>
      </c>
      <c r="O49" s="514">
        <f t="shared" ref="O49:O72" si="30">+N49-L49</f>
        <v>0</v>
      </c>
      <c r="P49" s="272"/>
    </row>
    <row r="50" spans="2:17">
      <c r="B50" s="195" t="str">
        <f t="shared" si="5"/>
        <v/>
      </c>
      <c r="C50" s="507">
        <f>IF(D11="","-",+C49+1)</f>
        <v>2043</v>
      </c>
      <c r="D50" s="523">
        <f>IF(F49+SUM(E$17:E49)=D$10,F49,D$10-SUM(E$17:E49))</f>
        <v>22822.518158245653</v>
      </c>
      <c r="E50" s="522">
        <f>IF(+I14&lt;F49,I14,D50)</f>
        <v>2019.1363636363637</v>
      </c>
      <c r="F50" s="523">
        <f t="shared" si="26"/>
        <v>20803.381794609289</v>
      </c>
      <c r="G50" s="524">
        <f t="shared" si="24"/>
        <v>4626.3757072316994</v>
      </c>
      <c r="H50" s="491">
        <f t="shared" si="25"/>
        <v>4626.3757072316994</v>
      </c>
      <c r="I50" s="511">
        <f t="shared" si="27"/>
        <v>0</v>
      </c>
      <c r="J50" s="511"/>
      <c r="K50" s="525"/>
      <c r="L50" s="514">
        <f t="shared" si="28"/>
        <v>0</v>
      </c>
      <c r="M50" s="525"/>
      <c r="N50" s="514">
        <f t="shared" si="29"/>
        <v>0</v>
      </c>
      <c r="O50" s="514">
        <f t="shared" si="30"/>
        <v>0</v>
      </c>
      <c r="P50" s="272"/>
    </row>
    <row r="51" spans="2:17">
      <c r="B51" s="195" t="str">
        <f t="shared" si="5"/>
        <v/>
      </c>
      <c r="C51" s="507">
        <f>IF(D11="","-",+C50+1)</f>
        <v>2044</v>
      </c>
      <c r="D51" s="523">
        <f>IF(F50+SUM(E$17:E50)=D$10,F50,D$10-SUM(E$17:E50))</f>
        <v>20803.381794609289</v>
      </c>
      <c r="E51" s="522">
        <f>IF(+I14&lt;F50,I14,D51)</f>
        <v>2019.1363636363637</v>
      </c>
      <c r="F51" s="523">
        <f t="shared" si="26"/>
        <v>18784.245430972926</v>
      </c>
      <c r="G51" s="524">
        <f t="shared" si="24"/>
        <v>4385.034129267885</v>
      </c>
      <c r="H51" s="491">
        <f t="shared" si="25"/>
        <v>4385.034129267885</v>
      </c>
      <c r="I51" s="511">
        <f t="shared" si="27"/>
        <v>0</v>
      </c>
      <c r="J51" s="511"/>
      <c r="K51" s="525"/>
      <c r="L51" s="514">
        <f t="shared" si="28"/>
        <v>0</v>
      </c>
      <c r="M51" s="525"/>
      <c r="N51" s="514">
        <f t="shared" si="29"/>
        <v>0</v>
      </c>
      <c r="O51" s="514">
        <f t="shared" si="30"/>
        <v>0</v>
      </c>
      <c r="P51" s="272"/>
    </row>
    <row r="52" spans="2:17">
      <c r="B52" s="195" t="str">
        <f t="shared" si="5"/>
        <v/>
      </c>
      <c r="C52" s="507">
        <f>IF(D11="","-",+C51+1)</f>
        <v>2045</v>
      </c>
      <c r="D52" s="523">
        <f>IF(F51+SUM(E$17:E51)=D$10,F51,D$10-SUM(E$17:E51))</f>
        <v>18784.245430972926</v>
      </c>
      <c r="E52" s="522">
        <f>IF(+I14&lt;F51,I14,D52)</f>
        <v>2019.1363636363637</v>
      </c>
      <c r="F52" s="523">
        <f t="shared" si="26"/>
        <v>16765.109067336562</v>
      </c>
      <c r="G52" s="524">
        <f t="shared" si="24"/>
        <v>4143.6925513040715</v>
      </c>
      <c r="H52" s="491">
        <f t="shared" si="25"/>
        <v>4143.6925513040715</v>
      </c>
      <c r="I52" s="511">
        <f t="shared" si="27"/>
        <v>0</v>
      </c>
      <c r="J52" s="511"/>
      <c r="K52" s="525"/>
      <c r="L52" s="514">
        <f t="shared" si="28"/>
        <v>0</v>
      </c>
      <c r="M52" s="525"/>
      <c r="N52" s="514">
        <f t="shared" si="29"/>
        <v>0</v>
      </c>
      <c r="O52" s="514">
        <f t="shared" si="30"/>
        <v>0</v>
      </c>
      <c r="P52" s="272"/>
    </row>
    <row r="53" spans="2:17">
      <c r="B53" s="195" t="str">
        <f t="shared" si="5"/>
        <v/>
      </c>
      <c r="C53" s="507">
        <f>IF(D11="","-",+C52+1)</f>
        <v>2046</v>
      </c>
      <c r="D53" s="523">
        <f>IF(F52+SUM(E$17:E52)=D$10,F52,D$10-SUM(E$17:E52))</f>
        <v>16765.109067336562</v>
      </c>
      <c r="E53" s="522">
        <f>IF(+I14&lt;F52,I14,D53)</f>
        <v>2019.1363636363637</v>
      </c>
      <c r="F53" s="523">
        <f t="shared" si="26"/>
        <v>14745.972703700198</v>
      </c>
      <c r="G53" s="524">
        <f t="shared" si="24"/>
        <v>3902.350973340257</v>
      </c>
      <c r="H53" s="491">
        <f t="shared" si="25"/>
        <v>3902.350973340257</v>
      </c>
      <c r="I53" s="511">
        <f t="shared" si="27"/>
        <v>0</v>
      </c>
      <c r="J53" s="511"/>
      <c r="K53" s="525"/>
      <c r="L53" s="514">
        <f t="shared" si="28"/>
        <v>0</v>
      </c>
      <c r="M53" s="525"/>
      <c r="N53" s="514">
        <f t="shared" si="29"/>
        <v>0</v>
      </c>
      <c r="O53" s="514">
        <f t="shared" si="30"/>
        <v>0</v>
      </c>
      <c r="P53" s="272"/>
    </row>
    <row r="54" spans="2:17">
      <c r="B54" s="195" t="str">
        <f t="shared" si="5"/>
        <v/>
      </c>
      <c r="C54" s="507">
        <f>IF(D11="","-",+C53+1)</f>
        <v>2047</v>
      </c>
      <c r="D54" s="523">
        <f>IF(F53+SUM(E$17:E53)=D$10,F53,D$10-SUM(E$17:E53))</f>
        <v>14745.972703700198</v>
      </c>
      <c r="E54" s="522">
        <f>IF(+I14&lt;F53,I14,D54)</f>
        <v>2019.1363636363637</v>
      </c>
      <c r="F54" s="523">
        <f t="shared" si="26"/>
        <v>12726.836340063834</v>
      </c>
      <c r="G54" s="524">
        <f t="shared" si="24"/>
        <v>3661.0093953764435</v>
      </c>
      <c r="H54" s="491">
        <f t="shared" si="25"/>
        <v>3661.0093953764435</v>
      </c>
      <c r="I54" s="511">
        <f t="shared" si="27"/>
        <v>0</v>
      </c>
      <c r="J54" s="511"/>
      <c r="K54" s="525"/>
      <c r="L54" s="514">
        <f t="shared" si="28"/>
        <v>0</v>
      </c>
      <c r="M54" s="525"/>
      <c r="N54" s="514">
        <f t="shared" si="29"/>
        <v>0</v>
      </c>
      <c r="O54" s="514">
        <f t="shared" si="30"/>
        <v>0</v>
      </c>
      <c r="P54" s="272"/>
    </row>
    <row r="55" spans="2:17">
      <c r="B55" s="195" t="str">
        <f t="shared" si="5"/>
        <v/>
      </c>
      <c r="C55" s="507">
        <f>IF(D11="","-",+C54+1)</f>
        <v>2048</v>
      </c>
      <c r="D55" s="523">
        <f>IF(F54+SUM(E$17:E54)=D$10,F54,D$10-SUM(E$17:E54))</f>
        <v>12726.836340063834</v>
      </c>
      <c r="E55" s="522">
        <f>IF(+I14&lt;F54,I14,D55)</f>
        <v>2019.1363636363637</v>
      </c>
      <c r="F55" s="523">
        <f t="shared" si="26"/>
        <v>10707.69997642747</v>
      </c>
      <c r="G55" s="524">
        <f t="shared" si="24"/>
        <v>3419.6678174126291</v>
      </c>
      <c r="H55" s="491">
        <f t="shared" si="25"/>
        <v>3419.6678174126291</v>
      </c>
      <c r="I55" s="511">
        <f t="shared" si="27"/>
        <v>0</v>
      </c>
      <c r="J55" s="511"/>
      <c r="K55" s="525"/>
      <c r="L55" s="514">
        <f t="shared" si="28"/>
        <v>0</v>
      </c>
      <c r="M55" s="525"/>
      <c r="N55" s="514">
        <f t="shared" si="29"/>
        <v>0</v>
      </c>
      <c r="O55" s="514">
        <f t="shared" si="30"/>
        <v>0</v>
      </c>
      <c r="P55" s="272"/>
    </row>
    <row r="56" spans="2:17">
      <c r="B56" s="195" t="str">
        <f t="shared" si="5"/>
        <v/>
      </c>
      <c r="C56" s="507">
        <f>IF(D11="","-",+C55+1)</f>
        <v>2049</v>
      </c>
      <c r="D56" s="523">
        <f>IF(F55+SUM(E$17:E55)=D$10,F55,D$10-SUM(E$17:E55))</f>
        <v>10707.69997642747</v>
      </c>
      <c r="E56" s="522">
        <f>IF(+I14&lt;F55,I14,D56)</f>
        <v>2019.1363636363637</v>
      </c>
      <c r="F56" s="523">
        <f t="shared" si="26"/>
        <v>8688.5636127911057</v>
      </c>
      <c r="G56" s="524">
        <f t="shared" ref="G56:G72" si="31">+I$12*((D56+F56)/2)+E56</f>
        <v>3178.3262394488152</v>
      </c>
      <c r="H56" s="491">
        <f t="shared" ref="H56:H72" si="32">+I$13*((D56+F56)/2)+E56</f>
        <v>3178.3262394488152</v>
      </c>
      <c r="I56" s="511">
        <f t="shared" si="27"/>
        <v>0</v>
      </c>
      <c r="J56" s="511"/>
      <c r="K56" s="525"/>
      <c r="L56" s="514">
        <f t="shared" si="28"/>
        <v>0</v>
      </c>
      <c r="M56" s="525"/>
      <c r="N56" s="514">
        <f t="shared" si="29"/>
        <v>0</v>
      </c>
      <c r="O56" s="514">
        <f t="shared" si="30"/>
        <v>0</v>
      </c>
      <c r="P56" s="272"/>
    </row>
    <row r="57" spans="2:17">
      <c r="B57" s="195" t="str">
        <f t="shared" si="5"/>
        <v/>
      </c>
      <c r="C57" s="507">
        <f>IF(D11="","-",+C56+1)</f>
        <v>2050</v>
      </c>
      <c r="D57" s="523">
        <f>IF(F56+SUM(E$17:E56)=D$10,F56,D$10-SUM(E$17:E56))</f>
        <v>8688.5636127911057</v>
      </c>
      <c r="E57" s="522">
        <f>IF(+I14&lt;F56,I14,D57)</f>
        <v>2019.1363636363637</v>
      </c>
      <c r="F57" s="523">
        <f t="shared" si="26"/>
        <v>6669.4272491547417</v>
      </c>
      <c r="G57" s="524">
        <f t="shared" si="31"/>
        <v>2936.9846614850012</v>
      </c>
      <c r="H57" s="491">
        <f t="shared" si="32"/>
        <v>2936.9846614850012</v>
      </c>
      <c r="I57" s="511">
        <f t="shared" si="27"/>
        <v>0</v>
      </c>
      <c r="J57" s="511"/>
      <c r="K57" s="525"/>
      <c r="L57" s="514">
        <f t="shared" si="28"/>
        <v>0</v>
      </c>
      <c r="M57" s="525"/>
      <c r="N57" s="514">
        <f t="shared" si="29"/>
        <v>0</v>
      </c>
      <c r="O57" s="514">
        <f t="shared" si="30"/>
        <v>0</v>
      </c>
      <c r="P57" s="272"/>
    </row>
    <row r="58" spans="2:17">
      <c r="B58" s="195" t="str">
        <f t="shared" si="5"/>
        <v/>
      </c>
      <c r="C58" s="507">
        <f>IF(D11="","-",+C57+1)</f>
        <v>2051</v>
      </c>
      <c r="D58" s="523">
        <f>IF(F57+SUM(E$17:E57)=D$10,F57,D$10-SUM(E$17:E57))</f>
        <v>6669.4272491547417</v>
      </c>
      <c r="E58" s="522">
        <f>IF(+I14&lt;F57,I14,D58)</f>
        <v>2019.1363636363637</v>
      </c>
      <c r="F58" s="523">
        <f t="shared" si="26"/>
        <v>4650.2908855183778</v>
      </c>
      <c r="G58" s="524">
        <f t="shared" si="31"/>
        <v>2695.6430835211868</v>
      </c>
      <c r="H58" s="491">
        <f t="shared" si="32"/>
        <v>2695.6430835211868</v>
      </c>
      <c r="I58" s="511">
        <f t="shared" si="27"/>
        <v>0</v>
      </c>
      <c r="J58" s="511"/>
      <c r="K58" s="525"/>
      <c r="L58" s="514">
        <f t="shared" si="28"/>
        <v>0</v>
      </c>
      <c r="M58" s="525"/>
      <c r="N58" s="514">
        <f t="shared" si="29"/>
        <v>0</v>
      </c>
      <c r="O58" s="514">
        <f t="shared" si="30"/>
        <v>0</v>
      </c>
      <c r="P58" s="272"/>
      <c r="Q58" s="183" t="str">
        <f>IF(ROUND(Q57,0)=ROUND(SUM(Q18:Q56),0),"","Error -- check allocations above).")</f>
        <v/>
      </c>
    </row>
    <row r="59" spans="2:17">
      <c r="B59" s="195" t="str">
        <f t="shared" si="5"/>
        <v/>
      </c>
      <c r="C59" s="507">
        <f>IF(D11="","-",+C58+1)</f>
        <v>2052</v>
      </c>
      <c r="D59" s="523">
        <f>IF(F58+SUM(E$17:E58)=D$10,F58,D$10-SUM(E$17:E58))</f>
        <v>4650.2908855183778</v>
      </c>
      <c r="E59" s="522">
        <f>IF(+I14&lt;F58,I14,D59)</f>
        <v>2019.1363636363637</v>
      </c>
      <c r="F59" s="523">
        <f t="shared" si="26"/>
        <v>2631.1545218820138</v>
      </c>
      <c r="G59" s="524">
        <f t="shared" si="31"/>
        <v>2454.3015055573728</v>
      </c>
      <c r="H59" s="491">
        <f t="shared" si="32"/>
        <v>2454.3015055573728</v>
      </c>
      <c r="I59" s="511">
        <f t="shared" si="27"/>
        <v>0</v>
      </c>
      <c r="J59" s="511"/>
      <c r="K59" s="525"/>
      <c r="L59" s="514">
        <f t="shared" si="28"/>
        <v>0</v>
      </c>
      <c r="M59" s="525"/>
      <c r="N59" s="514">
        <f t="shared" si="29"/>
        <v>0</v>
      </c>
      <c r="O59" s="514">
        <f t="shared" si="30"/>
        <v>0</v>
      </c>
      <c r="P59" s="272"/>
    </row>
    <row r="60" spans="2:17">
      <c r="B60" s="195" t="str">
        <f t="shared" si="5"/>
        <v/>
      </c>
      <c r="C60" s="507">
        <f>IF(D11="","-",+C59+1)</f>
        <v>2053</v>
      </c>
      <c r="D60" s="523">
        <f>IF(F59+SUM(E$17:E59)=D$10,F59,D$10-SUM(E$17:E59))</f>
        <v>2631.1545218820138</v>
      </c>
      <c r="E60" s="522">
        <f>IF(+I14&lt;F59,I14,D60)</f>
        <v>2019.1363636363637</v>
      </c>
      <c r="F60" s="523">
        <f t="shared" si="26"/>
        <v>612.01815824565006</v>
      </c>
      <c r="G60" s="524">
        <f t="shared" si="31"/>
        <v>2212.9599275935589</v>
      </c>
      <c r="H60" s="491">
        <f t="shared" si="32"/>
        <v>2212.9599275935589</v>
      </c>
      <c r="I60" s="511">
        <f t="shared" si="27"/>
        <v>0</v>
      </c>
      <c r="J60" s="511"/>
      <c r="K60" s="525"/>
      <c r="L60" s="514">
        <f t="shared" si="28"/>
        <v>0</v>
      </c>
      <c r="M60" s="525"/>
      <c r="N60" s="514">
        <f t="shared" si="29"/>
        <v>0</v>
      </c>
      <c r="O60" s="514">
        <f t="shared" si="30"/>
        <v>0</v>
      </c>
      <c r="P60" s="272"/>
    </row>
    <row r="61" spans="2:17">
      <c r="B61" s="195" t="str">
        <f t="shared" si="5"/>
        <v/>
      </c>
      <c r="C61" s="507">
        <f>IF(D11="","-",+C60+1)</f>
        <v>2054</v>
      </c>
      <c r="D61" s="523">
        <f>IF(F60+SUM(E$17:E60)=D$10,F60,D$10-SUM(E$17:E60))</f>
        <v>612.01815824565006</v>
      </c>
      <c r="E61" s="522">
        <f>IF(+I14&lt;F60,I14,D61)</f>
        <v>612.01815824565006</v>
      </c>
      <c r="F61" s="523">
        <f t="shared" si="26"/>
        <v>0</v>
      </c>
      <c r="G61" s="526">
        <f t="shared" si="31"/>
        <v>648.59454573329413</v>
      </c>
      <c r="H61" s="491">
        <f t="shared" si="32"/>
        <v>648.59454573329413</v>
      </c>
      <c r="I61" s="511">
        <f t="shared" si="27"/>
        <v>0</v>
      </c>
      <c r="J61" s="511"/>
      <c r="K61" s="525"/>
      <c r="L61" s="514">
        <f t="shared" si="28"/>
        <v>0</v>
      </c>
      <c r="M61" s="525"/>
      <c r="N61" s="514">
        <f t="shared" si="29"/>
        <v>0</v>
      </c>
      <c r="O61" s="514">
        <f t="shared" si="30"/>
        <v>0</v>
      </c>
      <c r="P61" s="272"/>
    </row>
    <row r="62" spans="2:17">
      <c r="B62" s="195" t="str">
        <f t="shared" si="5"/>
        <v/>
      </c>
      <c r="C62" s="507">
        <f>IF(D11="","-",+C61+1)</f>
        <v>2055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26"/>
        <v>0</v>
      </c>
      <c r="G62" s="526">
        <f t="shared" si="31"/>
        <v>0</v>
      </c>
      <c r="H62" s="491">
        <f t="shared" si="32"/>
        <v>0</v>
      </c>
      <c r="I62" s="511">
        <f t="shared" si="27"/>
        <v>0</v>
      </c>
      <c r="J62" s="511"/>
      <c r="K62" s="525"/>
      <c r="L62" s="514">
        <f t="shared" si="28"/>
        <v>0</v>
      </c>
      <c r="M62" s="525"/>
      <c r="N62" s="514">
        <f t="shared" si="29"/>
        <v>0</v>
      </c>
      <c r="O62" s="514">
        <f t="shared" si="30"/>
        <v>0</v>
      </c>
      <c r="P62" s="272"/>
    </row>
    <row r="63" spans="2:17">
      <c r="B63" s="195" t="str">
        <f t="shared" si="5"/>
        <v/>
      </c>
      <c r="C63" s="507">
        <f>IF(D11="","-",+C62+1)</f>
        <v>2056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26"/>
        <v>0</v>
      </c>
      <c r="G63" s="526">
        <f t="shared" si="31"/>
        <v>0</v>
      </c>
      <c r="H63" s="491">
        <f t="shared" si="32"/>
        <v>0</v>
      </c>
      <c r="I63" s="511">
        <f t="shared" si="27"/>
        <v>0</v>
      </c>
      <c r="J63" s="511"/>
      <c r="K63" s="525"/>
      <c r="L63" s="514">
        <f t="shared" si="28"/>
        <v>0</v>
      </c>
      <c r="M63" s="525"/>
      <c r="N63" s="514">
        <f t="shared" si="29"/>
        <v>0</v>
      </c>
      <c r="O63" s="514">
        <f t="shared" si="30"/>
        <v>0</v>
      </c>
      <c r="P63" s="272"/>
    </row>
    <row r="64" spans="2:17">
      <c r="B64" s="195" t="str">
        <f t="shared" si="5"/>
        <v/>
      </c>
      <c r="C64" s="507">
        <f>IF(D11="","-",+C63+1)</f>
        <v>2057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26"/>
        <v>0</v>
      </c>
      <c r="G64" s="526">
        <f t="shared" si="31"/>
        <v>0</v>
      </c>
      <c r="H64" s="491">
        <f t="shared" si="32"/>
        <v>0</v>
      </c>
      <c r="I64" s="511">
        <f t="shared" si="27"/>
        <v>0</v>
      </c>
      <c r="J64" s="511"/>
      <c r="K64" s="525"/>
      <c r="L64" s="514">
        <f t="shared" si="28"/>
        <v>0</v>
      </c>
      <c r="M64" s="525"/>
      <c r="N64" s="514">
        <f t="shared" si="29"/>
        <v>0</v>
      </c>
      <c r="O64" s="514">
        <f t="shared" si="30"/>
        <v>0</v>
      </c>
      <c r="P64" s="272"/>
    </row>
    <row r="65" spans="1:16">
      <c r="B65" s="195" t="str">
        <f t="shared" si="5"/>
        <v/>
      </c>
      <c r="C65" s="507">
        <f>IF(D11="","-",+C64+1)</f>
        <v>2058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26"/>
        <v>0</v>
      </c>
      <c r="G65" s="526">
        <f t="shared" si="31"/>
        <v>0</v>
      </c>
      <c r="H65" s="491">
        <f t="shared" si="32"/>
        <v>0</v>
      </c>
      <c r="I65" s="511">
        <f t="shared" si="27"/>
        <v>0</v>
      </c>
      <c r="J65" s="511"/>
      <c r="K65" s="525"/>
      <c r="L65" s="514">
        <f t="shared" si="28"/>
        <v>0</v>
      </c>
      <c r="M65" s="525"/>
      <c r="N65" s="514">
        <f t="shared" si="29"/>
        <v>0</v>
      </c>
      <c r="O65" s="514">
        <f t="shared" si="30"/>
        <v>0</v>
      </c>
      <c r="P65" s="272"/>
    </row>
    <row r="66" spans="1:16">
      <c r="B66" s="195" t="str">
        <f t="shared" si="5"/>
        <v/>
      </c>
      <c r="C66" s="507">
        <f>IF(D11="","-",+C65+1)</f>
        <v>2059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26"/>
        <v>0</v>
      </c>
      <c r="G66" s="526">
        <f t="shared" si="31"/>
        <v>0</v>
      </c>
      <c r="H66" s="491">
        <f t="shared" si="32"/>
        <v>0</v>
      </c>
      <c r="I66" s="511">
        <f t="shared" si="27"/>
        <v>0</v>
      </c>
      <c r="J66" s="511"/>
      <c r="K66" s="525"/>
      <c r="L66" s="514">
        <f t="shared" si="28"/>
        <v>0</v>
      </c>
      <c r="M66" s="525"/>
      <c r="N66" s="514">
        <f t="shared" si="29"/>
        <v>0</v>
      </c>
      <c r="O66" s="514">
        <f t="shared" si="30"/>
        <v>0</v>
      </c>
      <c r="P66" s="272"/>
    </row>
    <row r="67" spans="1:16">
      <c r="B67" s="195" t="str">
        <f t="shared" si="5"/>
        <v/>
      </c>
      <c r="C67" s="507">
        <f>IF(D11="","-",+C66+1)</f>
        <v>2060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26"/>
        <v>0</v>
      </c>
      <c r="G67" s="526">
        <f t="shared" si="31"/>
        <v>0</v>
      </c>
      <c r="H67" s="491">
        <f t="shared" si="32"/>
        <v>0</v>
      </c>
      <c r="I67" s="511">
        <f t="shared" si="27"/>
        <v>0</v>
      </c>
      <c r="J67" s="511"/>
      <c r="K67" s="525"/>
      <c r="L67" s="514">
        <f t="shared" si="28"/>
        <v>0</v>
      </c>
      <c r="M67" s="525"/>
      <c r="N67" s="514">
        <f t="shared" si="29"/>
        <v>0</v>
      </c>
      <c r="O67" s="514">
        <f t="shared" si="30"/>
        <v>0</v>
      </c>
      <c r="P67" s="272"/>
    </row>
    <row r="68" spans="1:16">
      <c r="B68" s="195" t="str">
        <f t="shared" si="5"/>
        <v/>
      </c>
      <c r="C68" s="507">
        <f>IF(D11="","-",+C67+1)</f>
        <v>2061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26"/>
        <v>0</v>
      </c>
      <c r="G68" s="526">
        <f t="shared" si="31"/>
        <v>0</v>
      </c>
      <c r="H68" s="491">
        <f t="shared" si="32"/>
        <v>0</v>
      </c>
      <c r="I68" s="511">
        <f t="shared" si="27"/>
        <v>0</v>
      </c>
      <c r="J68" s="511"/>
      <c r="K68" s="525"/>
      <c r="L68" s="514">
        <f t="shared" si="28"/>
        <v>0</v>
      </c>
      <c r="M68" s="525"/>
      <c r="N68" s="514">
        <f t="shared" si="29"/>
        <v>0</v>
      </c>
      <c r="O68" s="514">
        <f t="shared" si="30"/>
        <v>0</v>
      </c>
      <c r="P68" s="272"/>
    </row>
    <row r="69" spans="1:16">
      <c r="B69" s="195" t="str">
        <f t="shared" si="5"/>
        <v/>
      </c>
      <c r="C69" s="507">
        <f>IF(D11="","-",+C68+1)</f>
        <v>2062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26"/>
        <v>0</v>
      </c>
      <c r="G69" s="526">
        <f t="shared" si="31"/>
        <v>0</v>
      </c>
      <c r="H69" s="491">
        <f t="shared" si="32"/>
        <v>0</v>
      </c>
      <c r="I69" s="511">
        <f t="shared" si="27"/>
        <v>0</v>
      </c>
      <c r="J69" s="511"/>
      <c r="K69" s="525"/>
      <c r="L69" s="514">
        <f t="shared" si="28"/>
        <v>0</v>
      </c>
      <c r="M69" s="525"/>
      <c r="N69" s="514">
        <f t="shared" si="29"/>
        <v>0</v>
      </c>
      <c r="O69" s="514">
        <f t="shared" si="30"/>
        <v>0</v>
      </c>
      <c r="P69" s="272"/>
    </row>
    <row r="70" spans="1:16">
      <c r="B70" s="195" t="str">
        <f t="shared" si="5"/>
        <v/>
      </c>
      <c r="C70" s="507">
        <f>IF(D11="","-",+C69+1)</f>
        <v>2063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26"/>
        <v>0</v>
      </c>
      <c r="G70" s="526">
        <f t="shared" si="31"/>
        <v>0</v>
      </c>
      <c r="H70" s="491">
        <f t="shared" si="32"/>
        <v>0</v>
      </c>
      <c r="I70" s="511">
        <f t="shared" si="27"/>
        <v>0</v>
      </c>
      <c r="J70" s="511"/>
      <c r="K70" s="525"/>
      <c r="L70" s="514">
        <f t="shared" si="28"/>
        <v>0</v>
      </c>
      <c r="M70" s="525"/>
      <c r="N70" s="514">
        <f t="shared" si="29"/>
        <v>0</v>
      </c>
      <c r="O70" s="514">
        <f t="shared" si="30"/>
        <v>0</v>
      </c>
      <c r="P70" s="272"/>
    </row>
    <row r="71" spans="1:16">
      <c r="B71" s="195" t="str">
        <f t="shared" si="5"/>
        <v/>
      </c>
      <c r="C71" s="507">
        <f>IF(D11="","-",+C70+1)</f>
        <v>2064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26"/>
        <v>0</v>
      </c>
      <c r="G71" s="526">
        <f t="shared" si="31"/>
        <v>0</v>
      </c>
      <c r="H71" s="491">
        <f t="shared" si="32"/>
        <v>0</v>
      </c>
      <c r="I71" s="511">
        <f t="shared" si="27"/>
        <v>0</v>
      </c>
      <c r="J71" s="511"/>
      <c r="K71" s="525"/>
      <c r="L71" s="514">
        <f t="shared" si="28"/>
        <v>0</v>
      </c>
      <c r="M71" s="525"/>
      <c r="N71" s="514">
        <f t="shared" si="29"/>
        <v>0</v>
      </c>
      <c r="O71" s="514">
        <f t="shared" si="30"/>
        <v>0</v>
      </c>
      <c r="P71" s="272"/>
    </row>
    <row r="72" spans="1:16" ht="13.5" thickBot="1">
      <c r="B72" s="195" t="str">
        <f t="shared" si="5"/>
        <v/>
      </c>
      <c r="C72" s="527">
        <f>IF(D11="","-",+C71+1)</f>
        <v>2065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26"/>
        <v>0</v>
      </c>
      <c r="G72" s="530">
        <f t="shared" si="31"/>
        <v>0</v>
      </c>
      <c r="H72" s="471">
        <f t="shared" si="32"/>
        <v>0</v>
      </c>
      <c r="I72" s="531">
        <f t="shared" si="27"/>
        <v>0</v>
      </c>
      <c r="J72" s="511"/>
      <c r="K72" s="532"/>
      <c r="L72" s="533">
        <f t="shared" si="28"/>
        <v>0</v>
      </c>
      <c r="M72" s="532"/>
      <c r="N72" s="533">
        <f t="shared" si="29"/>
        <v>0</v>
      </c>
      <c r="O72" s="533">
        <f t="shared" si="30"/>
        <v>0</v>
      </c>
      <c r="P72" s="272"/>
    </row>
    <row r="73" spans="1:16">
      <c r="C73" s="374" t="s">
        <v>78</v>
      </c>
      <c r="D73" s="375"/>
      <c r="E73" s="375">
        <f>SUM(E17:E72)</f>
        <v>88842.000000000029</v>
      </c>
      <c r="F73" s="375"/>
      <c r="G73" s="375">
        <f>SUM(G17:G72)</f>
        <v>338269.99270079349</v>
      </c>
      <c r="H73" s="375">
        <f>SUM(H17:H72)</f>
        <v>338269.99270079349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1:16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1:16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1:16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1:16" ht="18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535"/>
      <c r="P77" s="272"/>
    </row>
    <row r="78" spans="1:16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1:16" ht="15">
      <c r="A79" s="536"/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</row>
    <row r="80" spans="1:16" ht="18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7">
      <c r="B81" s="269"/>
      <c r="C81" s="537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7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  <c r="Q82" s="269"/>
    </row>
    <row r="83" spans="1:17" ht="20.25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535" t="str">
        <f ca="1">P1</f>
        <v>SWEPCO Project 25 of 75</v>
      </c>
      <c r="Q83" s="269"/>
    </row>
    <row r="84" spans="1:17" ht="18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454" t="s">
        <v>128</v>
      </c>
      <c r="Q84" s="269"/>
    </row>
    <row r="85" spans="1:17" ht="18.7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  <c r="Q85" s="269"/>
    </row>
    <row r="86" spans="1:17" ht="15.75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2022</v>
      </c>
      <c r="M86" s="541" t="s">
        <v>9</v>
      </c>
      <c r="N86" s="542" t="s">
        <v>159</v>
      </c>
      <c r="O86" s="543" t="s">
        <v>11</v>
      </c>
      <c r="P86" s="269"/>
      <c r="Q86" s="269"/>
    </row>
    <row r="87" spans="1:17" ht="1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391</v>
      </c>
      <c r="M87" s="546">
        <f>IF(J92&lt;D11,0,VLOOKUP(J92,C17:O72,9))</f>
        <v>9352.0795778401916</v>
      </c>
      <c r="N87" s="546">
        <f>IF(J92&lt;D11,0,VLOOKUP(J92,C17:O72,11))</f>
        <v>9352.0795778401916</v>
      </c>
      <c r="O87" s="547">
        <f>+N87-M87</f>
        <v>0</v>
      </c>
      <c r="P87" s="269"/>
      <c r="Q87" s="269"/>
    </row>
    <row r="88" spans="1:17" ht="15.7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392</v>
      </c>
      <c r="M88" s="550">
        <f>IF(J92&lt;D11,0,VLOOKUP(J92,C99:P154,6))</f>
        <v>9698.7172959840736</v>
      </c>
      <c r="N88" s="550">
        <f>IF(J92&lt;D11,0,VLOOKUP(J92,C99:P154,7))</f>
        <v>9698.7172959840736</v>
      </c>
      <c r="O88" s="551">
        <f>+N88-M88</f>
        <v>0</v>
      </c>
      <c r="P88" s="269"/>
      <c r="Q88" s="269"/>
    </row>
    <row r="89" spans="1:17" ht="13.5" thickBot="1">
      <c r="C89" s="467" t="s">
        <v>84</v>
      </c>
      <c r="D89" s="620" t="str">
        <f>D7</f>
        <v>Replace switch at Diana*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346.63771814388201</v>
      </c>
      <c r="N89" s="555">
        <f>+N88-N87</f>
        <v>346.63771814388201</v>
      </c>
      <c r="O89" s="556">
        <f>+O88-O87</f>
        <v>0</v>
      </c>
      <c r="P89" s="269"/>
      <c r="Q89" s="269"/>
    </row>
    <row r="90" spans="1:17" ht="13.5" thickBot="1">
      <c r="C90" s="534"/>
      <c r="D90" s="557" t="str">
        <f>D8</f>
        <v>DOES NOT MEET SPP $100,000 MINIMUM INVESTMENT FOR REGIONAL BPU SHARING.</v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  <c r="Q90" s="269"/>
    </row>
    <row r="91" spans="1:17" ht="13.5" thickBot="1">
      <c r="A91" s="191"/>
      <c r="C91" s="558" t="s">
        <v>85</v>
      </c>
      <c r="D91" s="559" t="str">
        <f>+D9</f>
        <v>TP2009012</v>
      </c>
      <c r="E91" s="560"/>
      <c r="F91" s="560"/>
      <c r="G91" s="560"/>
      <c r="H91" s="560"/>
      <c r="I91" s="560"/>
      <c r="J91" s="561"/>
      <c r="K91" s="562"/>
      <c r="P91" s="481"/>
      <c r="Q91" s="269"/>
    </row>
    <row r="92" spans="1:17">
      <c r="C92" s="486" t="s">
        <v>51</v>
      </c>
      <c r="D92" s="483">
        <f>IF(D11=I10,0,D10)</f>
        <v>88842</v>
      </c>
      <c r="E92" s="340" t="s">
        <v>86</v>
      </c>
      <c r="H92" s="484"/>
      <c r="I92" s="484"/>
      <c r="J92" s="485">
        <f>+'SWE.WS.G.BPU.ATRR.True-up'!M16</f>
        <v>2022</v>
      </c>
      <c r="K92" s="480"/>
      <c r="L92" s="375" t="s">
        <v>87</v>
      </c>
      <c r="P92" s="272"/>
      <c r="Q92" s="269"/>
    </row>
    <row r="93" spans="1:17">
      <c r="C93" s="486" t="s">
        <v>54</v>
      </c>
      <c r="D93" s="563">
        <f>IF(D11=I10,"",D11)</f>
        <v>2010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  <c r="Q93" s="269"/>
    </row>
    <row r="94" spans="1:17">
      <c r="C94" s="486" t="s">
        <v>56</v>
      </c>
      <c r="D94" s="564">
        <f>IF(D11=I10,"",D12)</f>
        <v>12</v>
      </c>
      <c r="E94" s="486" t="s">
        <v>57</v>
      </c>
      <c r="F94" s="484"/>
      <c r="G94" s="484"/>
      <c r="J94" s="490">
        <f>'SWE.WS.G.BPU.ATRR.True-up'!$F$81</f>
        <v>0.11351422637179906</v>
      </c>
      <c r="K94" s="425"/>
      <c r="L94" s="183" t="s">
        <v>88</v>
      </c>
      <c r="P94" s="272"/>
      <c r="Q94" s="269"/>
    </row>
    <row r="95" spans="1:17">
      <c r="C95" s="486" t="s">
        <v>59</v>
      </c>
      <c r="D95" s="488">
        <f>'SWE.WS.G.BPU.ATRR.True-up'!F$93</f>
        <v>41</v>
      </c>
      <c r="E95" s="486" t="s">
        <v>60</v>
      </c>
      <c r="F95" s="484"/>
      <c r="G95" s="484"/>
      <c r="J95" s="490">
        <f>IF(H87="",J94,'SWE.WS.G.BPU.ATRR.True-up'!$F$80)</f>
        <v>0.11351422637179906</v>
      </c>
      <c r="K95" s="324"/>
      <c r="L95" s="375" t="s">
        <v>61</v>
      </c>
      <c r="M95" s="324"/>
      <c r="N95" s="324"/>
      <c r="O95" s="324"/>
      <c r="P95" s="272"/>
      <c r="Q95" s="269"/>
    </row>
    <row r="96" spans="1:17" ht="13.5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2166.8780487804879</v>
      </c>
      <c r="K96" s="375"/>
      <c r="L96" s="375"/>
      <c r="M96" s="375"/>
      <c r="N96" s="375"/>
      <c r="O96" s="375"/>
      <c r="P96" s="272"/>
      <c r="Q96" s="269"/>
    </row>
    <row r="97" spans="1:17" ht="38.25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388</v>
      </c>
      <c r="I97" s="495" t="s">
        <v>389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  <c r="Q97" s="269"/>
    </row>
    <row r="98" spans="1:17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  <c r="Q98" s="269"/>
    </row>
    <row r="99" spans="1:17">
      <c r="C99" s="507">
        <f>IF(D93= "","-",D93)</f>
        <v>2010</v>
      </c>
      <c r="D99" s="508">
        <v>0</v>
      </c>
      <c r="E99" s="516">
        <v>0</v>
      </c>
      <c r="F99" s="515">
        <v>88842</v>
      </c>
      <c r="G99" s="574">
        <v>44421</v>
      </c>
      <c r="H99" s="575">
        <v>7333.2888535266693</v>
      </c>
      <c r="I99" s="576">
        <v>7333.2888535266693</v>
      </c>
      <c r="J99" s="514">
        <f t="shared" ref="J99:J130" si="33">+I99-H99</f>
        <v>0</v>
      </c>
      <c r="K99" s="514"/>
      <c r="L99" s="512">
        <f t="shared" ref="L99:L104" si="34">H99</f>
        <v>7333.2888535266693</v>
      </c>
      <c r="M99" s="597">
        <f t="shared" ref="M99:M130" si="35">IF(L99&lt;&gt;0,+H99-L99,0)</f>
        <v>0</v>
      </c>
      <c r="N99" s="512">
        <f t="shared" ref="N99:N104" si="36">I99</f>
        <v>7333.2888535266693</v>
      </c>
      <c r="O99" s="513">
        <f t="shared" ref="O99:O130" si="37">IF(N99&lt;&gt;0,+I99-N99,0)</f>
        <v>0</v>
      </c>
      <c r="P99" s="513">
        <f t="shared" ref="P99:P130" si="38">+O99-M99</f>
        <v>0</v>
      </c>
      <c r="Q99" s="269"/>
    </row>
    <row r="100" spans="1:17">
      <c r="B100" s="195" t="str">
        <f>IF(D100=F99,"","IU")</f>
        <v/>
      </c>
      <c r="C100" s="507">
        <f>IF(D93="","-",+C99+1)</f>
        <v>2011</v>
      </c>
      <c r="D100" s="508">
        <v>88842</v>
      </c>
      <c r="E100" s="516">
        <v>2115.2857142857142</v>
      </c>
      <c r="F100" s="515">
        <v>86726.71428571429</v>
      </c>
      <c r="G100" s="515">
        <v>87784.357142857145</v>
      </c>
      <c r="H100" s="516">
        <v>15316.288674280955</v>
      </c>
      <c r="I100" s="510">
        <v>15316.288674280955</v>
      </c>
      <c r="J100" s="514">
        <f t="shared" si="33"/>
        <v>0</v>
      </c>
      <c r="K100" s="514"/>
      <c r="L100" s="518">
        <f t="shared" si="34"/>
        <v>15316.288674280955</v>
      </c>
      <c r="M100" s="519">
        <f t="shared" si="35"/>
        <v>0</v>
      </c>
      <c r="N100" s="518">
        <f t="shared" si="36"/>
        <v>15316.288674280955</v>
      </c>
      <c r="O100" s="514">
        <f t="shared" si="37"/>
        <v>0</v>
      </c>
      <c r="P100" s="514">
        <f t="shared" si="38"/>
        <v>0</v>
      </c>
      <c r="Q100" s="269"/>
    </row>
    <row r="101" spans="1:17">
      <c r="B101" s="195" t="str">
        <f t="shared" ref="B101:B154" si="39">IF(D101=F100,"","IU")</f>
        <v/>
      </c>
      <c r="C101" s="507">
        <f>IF(D93="","-",+C100+1)</f>
        <v>2012</v>
      </c>
      <c r="D101" s="508">
        <v>86726.71428571429</v>
      </c>
      <c r="E101" s="516">
        <v>2115.2857142857142</v>
      </c>
      <c r="F101" s="515">
        <v>84611.42857142858</v>
      </c>
      <c r="G101" s="515">
        <v>85669.071428571435</v>
      </c>
      <c r="H101" s="516">
        <v>14721.826408325345</v>
      </c>
      <c r="I101" s="510">
        <v>14721.826408325345</v>
      </c>
      <c r="J101" s="514">
        <f t="shared" si="33"/>
        <v>0</v>
      </c>
      <c r="K101" s="514"/>
      <c r="L101" s="518">
        <f t="shared" si="34"/>
        <v>14721.826408325345</v>
      </c>
      <c r="M101" s="519">
        <f t="shared" si="35"/>
        <v>0</v>
      </c>
      <c r="N101" s="518">
        <f t="shared" si="36"/>
        <v>14721.826408325345</v>
      </c>
      <c r="O101" s="514">
        <f t="shared" si="37"/>
        <v>0</v>
      </c>
      <c r="P101" s="514">
        <f t="shared" si="38"/>
        <v>0</v>
      </c>
      <c r="Q101" s="269"/>
    </row>
    <row r="102" spans="1:17">
      <c r="B102" s="195" t="str">
        <f t="shared" si="39"/>
        <v/>
      </c>
      <c r="C102" s="507">
        <f>IF(D93="","-",+C101+1)</f>
        <v>2013</v>
      </c>
      <c r="D102" s="508">
        <v>84611.42857142858</v>
      </c>
      <c r="E102" s="516">
        <v>2115.2857142857142</v>
      </c>
      <c r="F102" s="515">
        <v>82496.14285714287</v>
      </c>
      <c r="G102" s="515">
        <v>83553.785714285725</v>
      </c>
      <c r="H102" s="516">
        <v>13419.419617970232</v>
      </c>
      <c r="I102" s="510">
        <v>13419.419617970232</v>
      </c>
      <c r="J102" s="514">
        <v>0</v>
      </c>
      <c r="K102" s="514"/>
      <c r="L102" s="518">
        <f t="shared" si="34"/>
        <v>13419.419617970232</v>
      </c>
      <c r="M102" s="519">
        <f t="shared" ref="M102:M107" si="40">IF(L102&lt;&gt;0,+H102-L102,0)</f>
        <v>0</v>
      </c>
      <c r="N102" s="518">
        <f t="shared" si="36"/>
        <v>13419.419617970232</v>
      </c>
      <c r="O102" s="514">
        <f>IF(N102&lt;&gt;0,+I102-N102,0)</f>
        <v>0</v>
      </c>
      <c r="P102" s="514">
        <f>+O102-M102</f>
        <v>0</v>
      </c>
      <c r="Q102" s="269"/>
    </row>
    <row r="103" spans="1:17">
      <c r="B103" s="195" t="str">
        <f t="shared" si="39"/>
        <v/>
      </c>
      <c r="C103" s="507">
        <f>IF(D93="","-",+C102+1)</f>
        <v>2014</v>
      </c>
      <c r="D103" s="508">
        <v>82496.14285714287</v>
      </c>
      <c r="E103" s="516">
        <v>2115.2857142857142</v>
      </c>
      <c r="F103" s="515">
        <v>80380.857142857159</v>
      </c>
      <c r="G103" s="515">
        <v>81438.500000000015</v>
      </c>
      <c r="H103" s="516">
        <v>13184.68839231506</v>
      </c>
      <c r="I103" s="510">
        <v>13184.68839231506</v>
      </c>
      <c r="J103" s="514">
        <v>0</v>
      </c>
      <c r="K103" s="514"/>
      <c r="L103" s="518">
        <f t="shared" si="34"/>
        <v>13184.68839231506</v>
      </c>
      <c r="M103" s="519">
        <f t="shared" si="40"/>
        <v>0</v>
      </c>
      <c r="N103" s="518">
        <f t="shared" si="36"/>
        <v>13184.68839231506</v>
      </c>
      <c r="O103" s="514">
        <f>IF(N103&lt;&gt;0,+I103-N103,0)</f>
        <v>0</v>
      </c>
      <c r="P103" s="514">
        <f>+O103-M103</f>
        <v>0</v>
      </c>
      <c r="Q103" s="269"/>
    </row>
    <row r="104" spans="1:17">
      <c r="B104" s="195" t="str">
        <f t="shared" si="39"/>
        <v/>
      </c>
      <c r="C104" s="507">
        <f>IF(D93="","-",+C103+1)</f>
        <v>2015</v>
      </c>
      <c r="D104" s="508">
        <v>80380.857142857159</v>
      </c>
      <c r="E104" s="516">
        <v>2115.2857142857142</v>
      </c>
      <c r="F104" s="515">
        <v>78265.571428571449</v>
      </c>
      <c r="G104" s="515">
        <v>79323.214285714304</v>
      </c>
      <c r="H104" s="516">
        <v>12567.616650151769</v>
      </c>
      <c r="I104" s="510">
        <v>12567.616650151769</v>
      </c>
      <c r="J104" s="514">
        <f t="shared" si="33"/>
        <v>0</v>
      </c>
      <c r="K104" s="514"/>
      <c r="L104" s="518">
        <f t="shared" si="34"/>
        <v>12567.616650151769</v>
      </c>
      <c r="M104" s="519">
        <f t="shared" si="40"/>
        <v>0</v>
      </c>
      <c r="N104" s="518">
        <f t="shared" si="36"/>
        <v>12567.616650151769</v>
      </c>
      <c r="O104" s="514">
        <f>IF(N104&lt;&gt;0,+I104-N104,0)</f>
        <v>0</v>
      </c>
      <c r="P104" s="514">
        <f>+O104-M104</f>
        <v>0</v>
      </c>
      <c r="Q104" s="269"/>
    </row>
    <row r="105" spans="1:17">
      <c r="B105" s="195" t="str">
        <f t="shared" si="39"/>
        <v/>
      </c>
      <c r="C105" s="507">
        <f>IF(D93="","-",+C104+1)</f>
        <v>2016</v>
      </c>
      <c r="D105" s="508">
        <v>78265.571428571449</v>
      </c>
      <c r="E105" s="516">
        <v>2066.0930232558139</v>
      </c>
      <c r="F105" s="515">
        <v>76199.478405315633</v>
      </c>
      <c r="G105" s="515">
        <v>77232.524916943541</v>
      </c>
      <c r="H105" s="516">
        <v>11870.761156942419</v>
      </c>
      <c r="I105" s="510">
        <v>11870.761156942419</v>
      </c>
      <c r="J105" s="514">
        <f t="shared" si="33"/>
        <v>0</v>
      </c>
      <c r="K105" s="514"/>
      <c r="L105" s="518">
        <f t="shared" ref="L105:L110" si="41">H105</f>
        <v>11870.761156942419</v>
      </c>
      <c r="M105" s="519">
        <f t="shared" si="40"/>
        <v>0</v>
      </c>
      <c r="N105" s="518">
        <f t="shared" ref="N105:N110" si="42">I105</f>
        <v>11870.761156942419</v>
      </c>
      <c r="O105" s="514">
        <f>IF(N105&lt;&gt;0,+I105-N105,0)</f>
        <v>0</v>
      </c>
      <c r="P105" s="514">
        <f>+O105-M105</f>
        <v>0</v>
      </c>
      <c r="Q105" s="269"/>
    </row>
    <row r="106" spans="1:17">
      <c r="B106" s="195" t="str">
        <f t="shared" si="39"/>
        <v/>
      </c>
      <c r="C106" s="507">
        <f>IF(D93="","-",+C105+1)</f>
        <v>2017</v>
      </c>
      <c r="D106" s="508">
        <v>76199.478405315633</v>
      </c>
      <c r="E106" s="516">
        <v>2115.2857142857142</v>
      </c>
      <c r="F106" s="515">
        <v>74084.192691029923</v>
      </c>
      <c r="G106" s="515">
        <v>75141.835548172778</v>
      </c>
      <c r="H106" s="516">
        <v>11242.874011372322</v>
      </c>
      <c r="I106" s="510">
        <v>11242.874011372322</v>
      </c>
      <c r="J106" s="514">
        <f t="shared" si="33"/>
        <v>0</v>
      </c>
      <c r="K106" s="514"/>
      <c r="L106" s="518">
        <f t="shared" si="41"/>
        <v>11242.874011372322</v>
      </c>
      <c r="M106" s="519">
        <f t="shared" si="40"/>
        <v>0</v>
      </c>
      <c r="N106" s="518">
        <f t="shared" si="42"/>
        <v>11242.874011372322</v>
      </c>
      <c r="O106" s="514">
        <f>IF(N106&lt;&gt;0,+I106-N106,0)</f>
        <v>0</v>
      </c>
      <c r="P106" s="514">
        <f>+O106-M106</f>
        <v>0</v>
      </c>
      <c r="Q106" s="269"/>
    </row>
    <row r="107" spans="1:17">
      <c r="B107" s="195" t="str">
        <f t="shared" si="39"/>
        <v/>
      </c>
      <c r="C107" s="507">
        <f>IF(D93="","-",+C106+1)</f>
        <v>2018</v>
      </c>
      <c r="D107" s="508">
        <v>74084.192691029923</v>
      </c>
      <c r="E107" s="516">
        <v>2115.2857142857142</v>
      </c>
      <c r="F107" s="515">
        <v>71968.906976744212</v>
      </c>
      <c r="G107" s="515">
        <v>73026.549833887068</v>
      </c>
      <c r="H107" s="516">
        <v>9827.2242633415626</v>
      </c>
      <c r="I107" s="510">
        <v>9827.2242633415626</v>
      </c>
      <c r="J107" s="514">
        <f t="shared" si="33"/>
        <v>0</v>
      </c>
      <c r="K107" s="514"/>
      <c r="L107" s="518">
        <f t="shared" si="41"/>
        <v>9827.2242633415626</v>
      </c>
      <c r="M107" s="519">
        <f t="shared" si="40"/>
        <v>0</v>
      </c>
      <c r="N107" s="518">
        <f t="shared" si="42"/>
        <v>9827.2242633415626</v>
      </c>
      <c r="O107" s="514">
        <f t="shared" si="37"/>
        <v>0</v>
      </c>
      <c r="P107" s="514">
        <f t="shared" si="38"/>
        <v>0</v>
      </c>
      <c r="Q107" s="269"/>
    </row>
    <row r="108" spans="1:17">
      <c r="B108" s="195" t="str">
        <f t="shared" si="39"/>
        <v/>
      </c>
      <c r="C108" s="507">
        <f>IF(D93="","-",+C107+1)</f>
        <v>2019</v>
      </c>
      <c r="D108" s="508">
        <v>71968.906976744212</v>
      </c>
      <c r="E108" s="516">
        <v>2066.0930232558139</v>
      </c>
      <c r="F108" s="515">
        <v>69902.813953488396</v>
      </c>
      <c r="G108" s="515">
        <v>70935.860465116304</v>
      </c>
      <c r="H108" s="516">
        <v>9659.1062968732876</v>
      </c>
      <c r="I108" s="510">
        <v>9659.1062968732876</v>
      </c>
      <c r="J108" s="514">
        <f t="shared" si="33"/>
        <v>0</v>
      </c>
      <c r="K108" s="514"/>
      <c r="L108" s="518">
        <f t="shared" si="41"/>
        <v>9659.1062968732876</v>
      </c>
      <c r="M108" s="519">
        <f t="shared" ref="M108:M109" si="43">IF(L108&lt;&gt;0,+H108-L108,0)</f>
        <v>0</v>
      </c>
      <c r="N108" s="518">
        <f t="shared" si="42"/>
        <v>9659.1062968732876</v>
      </c>
      <c r="O108" s="514">
        <f t="shared" si="37"/>
        <v>0</v>
      </c>
      <c r="P108" s="514">
        <f t="shared" si="38"/>
        <v>0</v>
      </c>
      <c r="Q108" s="269"/>
    </row>
    <row r="109" spans="1:17">
      <c r="B109" s="195" t="str">
        <f t="shared" si="39"/>
        <v/>
      </c>
      <c r="C109" s="507">
        <f>IF(D93="","-",+C108+1)</f>
        <v>2020</v>
      </c>
      <c r="D109" s="508">
        <v>69902.813953488396</v>
      </c>
      <c r="E109" s="516">
        <v>2115.2857142857142</v>
      </c>
      <c r="F109" s="515">
        <v>67787.528239202686</v>
      </c>
      <c r="G109" s="515">
        <v>68845.171096345541</v>
      </c>
      <c r="H109" s="516">
        <v>9521.2246182886065</v>
      </c>
      <c r="I109" s="510">
        <v>9521.2246182886065</v>
      </c>
      <c r="J109" s="514">
        <f t="shared" si="33"/>
        <v>0</v>
      </c>
      <c r="K109" s="514"/>
      <c r="L109" s="518">
        <f t="shared" si="41"/>
        <v>9521.2246182886065</v>
      </c>
      <c r="M109" s="519">
        <f t="shared" si="43"/>
        <v>0</v>
      </c>
      <c r="N109" s="518">
        <f t="shared" si="42"/>
        <v>9521.2246182886065</v>
      </c>
      <c r="O109" s="514">
        <f t="shared" si="37"/>
        <v>0</v>
      </c>
      <c r="P109" s="514">
        <f t="shared" si="38"/>
        <v>0</v>
      </c>
      <c r="Q109" s="269"/>
    </row>
    <row r="110" spans="1:17">
      <c r="B110" s="195" t="str">
        <f t="shared" si="39"/>
        <v/>
      </c>
      <c r="C110" s="507">
        <f>IF(D93="","-",+C109+1)</f>
        <v>2021</v>
      </c>
      <c r="D110" s="508">
        <v>67787.528239202686</v>
      </c>
      <c r="E110" s="516">
        <v>2166.8780487804879</v>
      </c>
      <c r="F110" s="515">
        <v>65620.650190422195</v>
      </c>
      <c r="G110" s="515">
        <v>66704.08921481244</v>
      </c>
      <c r="H110" s="516">
        <v>9738.7411318353879</v>
      </c>
      <c r="I110" s="510">
        <v>9738.7411318353879</v>
      </c>
      <c r="J110" s="514">
        <f t="shared" si="33"/>
        <v>0</v>
      </c>
      <c r="K110" s="514"/>
      <c r="L110" s="518">
        <f t="shared" si="41"/>
        <v>9738.7411318353879</v>
      </c>
      <c r="M110" s="519">
        <f t="shared" ref="M110" si="44">IF(L110&lt;&gt;0,+H110-L110,0)</f>
        <v>0</v>
      </c>
      <c r="N110" s="518">
        <f t="shared" si="42"/>
        <v>9738.7411318353879</v>
      </c>
      <c r="O110" s="514">
        <f t="shared" ref="O110" si="45">IF(N110&lt;&gt;0,+I110-N110,0)</f>
        <v>0</v>
      </c>
      <c r="P110" s="514">
        <f t="shared" ref="P110" si="46">+O110-M110</f>
        <v>0</v>
      </c>
      <c r="Q110" s="269"/>
    </row>
    <row r="111" spans="1:17">
      <c r="B111" s="195" t="str">
        <f t="shared" si="39"/>
        <v/>
      </c>
      <c r="C111" s="673">
        <f>IF(D93="","-",+C110+1)</f>
        <v>2022</v>
      </c>
      <c r="D111" s="374">
        <v>65620.650190422195</v>
      </c>
      <c r="E111" s="522">
        <v>2115.2857142857142</v>
      </c>
      <c r="F111" s="523">
        <v>63505.364476136478</v>
      </c>
      <c r="G111" s="523">
        <v>64563.00733327934</v>
      </c>
      <c r="H111" s="526">
        <v>9698.7172959840736</v>
      </c>
      <c r="I111" s="577">
        <v>9698.7172959840736</v>
      </c>
      <c r="J111" s="514">
        <f t="shared" si="33"/>
        <v>0</v>
      </c>
      <c r="K111" s="514"/>
      <c r="L111" s="525"/>
      <c r="M111" s="514">
        <f t="shared" si="35"/>
        <v>0</v>
      </c>
      <c r="N111" s="525"/>
      <c r="O111" s="514">
        <f t="shared" si="37"/>
        <v>0</v>
      </c>
      <c r="P111" s="514">
        <f t="shared" si="38"/>
        <v>0</v>
      </c>
      <c r="Q111" s="269"/>
    </row>
    <row r="112" spans="1:17">
      <c r="B112" s="195" t="str">
        <f t="shared" si="39"/>
        <v/>
      </c>
      <c r="C112" s="507">
        <f>IF(D93="","-",+C111+1)</f>
        <v>2023</v>
      </c>
      <c r="D112" s="374">
        <f>IF(F111+SUM(E$99:E111)=D$92,F111,D$92-SUM(E$99:E111))</f>
        <v>63505.364476136478</v>
      </c>
      <c r="E112" s="522">
        <f>IF(+J96&lt;F111,J96,D112)</f>
        <v>2166.8780487804879</v>
      </c>
      <c r="F112" s="523">
        <f t="shared" ref="F112:F131" si="47">+D112-E112</f>
        <v>61338.486427355987</v>
      </c>
      <c r="G112" s="523">
        <f t="shared" ref="G112:G130" si="48">+(F112+D112)/2</f>
        <v>62421.925451746232</v>
      </c>
      <c r="H112" s="526">
        <f t="shared" ref="H112:H130" si="49">+J$94*G112+E112</f>
        <v>9252.6546250735737</v>
      </c>
      <c r="I112" s="577">
        <f t="shared" ref="I112:I130" si="50">+J$95*G112+E112</f>
        <v>9252.6546250735737</v>
      </c>
      <c r="J112" s="514">
        <f t="shared" si="33"/>
        <v>0</v>
      </c>
      <c r="K112" s="514"/>
      <c r="L112" s="525"/>
      <c r="M112" s="514">
        <f t="shared" si="35"/>
        <v>0</v>
      </c>
      <c r="N112" s="525"/>
      <c r="O112" s="514">
        <f t="shared" si="37"/>
        <v>0</v>
      </c>
      <c r="P112" s="514">
        <f t="shared" si="38"/>
        <v>0</v>
      </c>
      <c r="Q112" s="269"/>
    </row>
    <row r="113" spans="2:17">
      <c r="B113" s="195" t="str">
        <f t="shared" si="39"/>
        <v/>
      </c>
      <c r="C113" s="507">
        <f>IF(D93="","-",+C112+1)</f>
        <v>2024</v>
      </c>
      <c r="D113" s="374">
        <f>IF(F112+SUM(E$99:E112)=D$92,F112,D$92-SUM(E$99:E112))</f>
        <v>61338.486427355987</v>
      </c>
      <c r="E113" s="522">
        <f>IF(+J96&lt;F112,J96,D113)</f>
        <v>2166.8780487804879</v>
      </c>
      <c r="F113" s="523">
        <f t="shared" si="47"/>
        <v>59171.608378575496</v>
      </c>
      <c r="G113" s="523">
        <f t="shared" si="48"/>
        <v>60255.047402965742</v>
      </c>
      <c r="H113" s="526">
        <f t="shared" si="49"/>
        <v>9006.683139724224</v>
      </c>
      <c r="I113" s="577">
        <f t="shared" si="50"/>
        <v>9006.683139724224</v>
      </c>
      <c r="J113" s="514">
        <f t="shared" si="33"/>
        <v>0</v>
      </c>
      <c r="K113" s="514"/>
      <c r="L113" s="525"/>
      <c r="M113" s="514">
        <f t="shared" si="35"/>
        <v>0</v>
      </c>
      <c r="N113" s="525"/>
      <c r="O113" s="514">
        <f t="shared" si="37"/>
        <v>0</v>
      </c>
      <c r="P113" s="514">
        <f t="shared" si="38"/>
        <v>0</v>
      </c>
      <c r="Q113" s="269"/>
    </row>
    <row r="114" spans="2:17">
      <c r="B114" s="195" t="str">
        <f t="shared" si="39"/>
        <v/>
      </c>
      <c r="C114" s="507">
        <f>IF(D93="","-",+C113+1)</f>
        <v>2025</v>
      </c>
      <c r="D114" s="374">
        <f>IF(F113+SUM(E$99:E113)=D$92,F113,D$92-SUM(E$99:E113))</f>
        <v>59171.608378575496</v>
      </c>
      <c r="E114" s="522">
        <f>IF(+J96&lt;F113,J96,D114)</f>
        <v>2166.8780487804879</v>
      </c>
      <c r="F114" s="523">
        <f t="shared" si="47"/>
        <v>57004.730329795006</v>
      </c>
      <c r="G114" s="523">
        <f t="shared" si="48"/>
        <v>58088.169354185251</v>
      </c>
      <c r="H114" s="526">
        <f t="shared" si="49"/>
        <v>8760.7116543748743</v>
      </c>
      <c r="I114" s="577">
        <f t="shared" si="50"/>
        <v>8760.7116543748743</v>
      </c>
      <c r="J114" s="514">
        <f t="shared" si="33"/>
        <v>0</v>
      </c>
      <c r="K114" s="514"/>
      <c r="L114" s="525"/>
      <c r="M114" s="514">
        <f t="shared" si="35"/>
        <v>0</v>
      </c>
      <c r="N114" s="525"/>
      <c r="O114" s="514">
        <f t="shared" si="37"/>
        <v>0</v>
      </c>
      <c r="P114" s="514">
        <f t="shared" si="38"/>
        <v>0</v>
      </c>
      <c r="Q114" s="269"/>
    </row>
    <row r="115" spans="2:17">
      <c r="B115" s="195"/>
      <c r="C115" s="507">
        <f>IF(D93="","-",+C114+1)</f>
        <v>2026</v>
      </c>
      <c r="D115" s="374">
        <f>IF(F114+SUM(E$99:E114)=D$92,F114,D$92-SUM(E$99:E114))</f>
        <v>57004.730329795006</v>
      </c>
      <c r="E115" s="522">
        <f>IF(+J96&lt;F114,J96,D115)</f>
        <v>2166.8780487804879</v>
      </c>
      <c r="F115" s="523">
        <f t="shared" si="47"/>
        <v>54837.852281014515</v>
      </c>
      <c r="G115" s="523">
        <f t="shared" si="48"/>
        <v>55921.29130540476</v>
      </c>
      <c r="H115" s="526">
        <f t="shared" si="49"/>
        <v>8514.7401690255228</v>
      </c>
      <c r="I115" s="577">
        <f t="shared" si="50"/>
        <v>8514.7401690255228</v>
      </c>
      <c r="J115" s="514">
        <f t="shared" si="33"/>
        <v>0</v>
      </c>
      <c r="K115" s="514"/>
      <c r="L115" s="525"/>
      <c r="M115" s="514">
        <f t="shared" si="35"/>
        <v>0</v>
      </c>
      <c r="N115" s="525"/>
      <c r="O115" s="514">
        <f t="shared" si="37"/>
        <v>0</v>
      </c>
      <c r="P115" s="514">
        <f t="shared" si="38"/>
        <v>0</v>
      </c>
      <c r="Q115" s="269"/>
    </row>
    <row r="116" spans="2:17">
      <c r="B116" s="195" t="str">
        <f t="shared" si="39"/>
        <v/>
      </c>
      <c r="C116" s="507">
        <f>IF(D93="","-",+C115+1)</f>
        <v>2027</v>
      </c>
      <c r="D116" s="374">
        <f>IF(F115+SUM(E$99:E115)=D$92,F115,D$92-SUM(E$99:E115))</f>
        <v>54837.852281014515</v>
      </c>
      <c r="E116" s="522">
        <f>IF(+J96&lt;F115,J96,D116)</f>
        <v>2166.8780487804879</v>
      </c>
      <c r="F116" s="523">
        <f t="shared" si="47"/>
        <v>52670.974232234024</v>
      </c>
      <c r="G116" s="523">
        <f t="shared" si="48"/>
        <v>53754.41325662427</v>
      </c>
      <c r="H116" s="526">
        <f t="shared" si="49"/>
        <v>8268.7686836761713</v>
      </c>
      <c r="I116" s="577">
        <f t="shared" si="50"/>
        <v>8268.7686836761713</v>
      </c>
      <c r="J116" s="514">
        <f t="shared" si="33"/>
        <v>0</v>
      </c>
      <c r="K116" s="514"/>
      <c r="L116" s="525"/>
      <c r="M116" s="514">
        <f t="shared" si="35"/>
        <v>0</v>
      </c>
      <c r="N116" s="525"/>
      <c r="O116" s="514">
        <f t="shared" si="37"/>
        <v>0</v>
      </c>
      <c r="P116" s="514">
        <f t="shared" si="38"/>
        <v>0</v>
      </c>
      <c r="Q116" s="269"/>
    </row>
    <row r="117" spans="2:17">
      <c r="B117" s="195" t="str">
        <f t="shared" si="39"/>
        <v/>
      </c>
      <c r="C117" s="507">
        <f>IF(D93="","-",+C116+1)</f>
        <v>2028</v>
      </c>
      <c r="D117" s="374">
        <f>IF(F116+SUM(E$99:E116)=D$92,F116,D$92-SUM(E$99:E116))</f>
        <v>52670.974232234024</v>
      </c>
      <c r="E117" s="522">
        <f>IF(+J96&lt;F116,J96,D117)</f>
        <v>2166.8780487804879</v>
      </c>
      <c r="F117" s="523">
        <f t="shared" si="47"/>
        <v>50504.096183453534</v>
      </c>
      <c r="G117" s="523">
        <f t="shared" si="48"/>
        <v>51587.535207843779</v>
      </c>
      <c r="H117" s="526">
        <f t="shared" si="49"/>
        <v>8022.7971983268208</v>
      </c>
      <c r="I117" s="577">
        <f t="shared" si="50"/>
        <v>8022.7971983268208</v>
      </c>
      <c r="J117" s="514">
        <f t="shared" si="33"/>
        <v>0</v>
      </c>
      <c r="K117" s="514"/>
      <c r="L117" s="525"/>
      <c r="M117" s="514">
        <f t="shared" si="35"/>
        <v>0</v>
      </c>
      <c r="N117" s="525"/>
      <c r="O117" s="514">
        <f t="shared" si="37"/>
        <v>0</v>
      </c>
      <c r="P117" s="514">
        <f t="shared" si="38"/>
        <v>0</v>
      </c>
      <c r="Q117" s="269"/>
    </row>
    <row r="118" spans="2:17">
      <c r="B118" s="195" t="str">
        <f t="shared" si="39"/>
        <v/>
      </c>
      <c r="C118" s="507">
        <f>IF(D93="","-",+C117+1)</f>
        <v>2029</v>
      </c>
      <c r="D118" s="374">
        <f>IF(F117+SUM(E$99:E117)=D$92,F117,D$92-SUM(E$99:E117))</f>
        <v>50504.096183453534</v>
      </c>
      <c r="E118" s="522">
        <f>IF(+J96&lt;F117,J96,D118)</f>
        <v>2166.8780487804879</v>
      </c>
      <c r="F118" s="523">
        <f t="shared" si="47"/>
        <v>48337.218134673043</v>
      </c>
      <c r="G118" s="523">
        <f t="shared" si="48"/>
        <v>49420.657159063288</v>
      </c>
      <c r="H118" s="526">
        <f t="shared" si="49"/>
        <v>7776.8257129774702</v>
      </c>
      <c r="I118" s="577">
        <f t="shared" si="50"/>
        <v>7776.8257129774702</v>
      </c>
      <c r="J118" s="514">
        <f t="shared" si="33"/>
        <v>0</v>
      </c>
      <c r="K118" s="514"/>
      <c r="L118" s="525"/>
      <c r="M118" s="514">
        <f t="shared" si="35"/>
        <v>0</v>
      </c>
      <c r="N118" s="525"/>
      <c r="O118" s="514">
        <f t="shared" si="37"/>
        <v>0</v>
      </c>
      <c r="P118" s="514">
        <f t="shared" si="38"/>
        <v>0</v>
      </c>
      <c r="Q118" s="269"/>
    </row>
    <row r="119" spans="2:17">
      <c r="B119" s="195" t="str">
        <f t="shared" si="39"/>
        <v/>
      </c>
      <c r="C119" s="507">
        <f>IF(D93="","-",+C118+1)</f>
        <v>2030</v>
      </c>
      <c r="D119" s="374">
        <f>IF(F118+SUM(E$99:E118)=D$92,F118,D$92-SUM(E$99:E118))</f>
        <v>48337.218134673043</v>
      </c>
      <c r="E119" s="522">
        <f>IF(+J96&lt;F118,J96,D119)</f>
        <v>2166.8780487804879</v>
      </c>
      <c r="F119" s="523">
        <f t="shared" si="47"/>
        <v>46170.340085892552</v>
      </c>
      <c r="G119" s="523">
        <f t="shared" si="48"/>
        <v>47253.779110282798</v>
      </c>
      <c r="H119" s="526">
        <f t="shared" si="49"/>
        <v>7530.8542276281187</v>
      </c>
      <c r="I119" s="577">
        <f t="shared" si="50"/>
        <v>7530.8542276281187</v>
      </c>
      <c r="J119" s="514">
        <f t="shared" si="33"/>
        <v>0</v>
      </c>
      <c r="K119" s="514"/>
      <c r="L119" s="525"/>
      <c r="M119" s="514">
        <f t="shared" si="35"/>
        <v>0</v>
      </c>
      <c r="N119" s="525"/>
      <c r="O119" s="514">
        <f t="shared" si="37"/>
        <v>0</v>
      </c>
      <c r="P119" s="514">
        <f t="shared" si="38"/>
        <v>0</v>
      </c>
      <c r="Q119" s="269"/>
    </row>
    <row r="120" spans="2:17">
      <c r="B120" s="195" t="str">
        <f t="shared" si="39"/>
        <v/>
      </c>
      <c r="C120" s="507">
        <f>IF(D93="","-",+C119+1)</f>
        <v>2031</v>
      </c>
      <c r="D120" s="374">
        <f>IF(F119+SUM(E$99:E119)=D$92,F119,D$92-SUM(E$99:E119))</f>
        <v>46170.340085892552</v>
      </c>
      <c r="E120" s="522">
        <f>IF(+J96&lt;F119,J96,D120)</f>
        <v>2166.8780487804879</v>
      </c>
      <c r="F120" s="523">
        <f t="shared" si="47"/>
        <v>44003.462037112062</v>
      </c>
      <c r="G120" s="523">
        <f t="shared" si="48"/>
        <v>45086.901061502307</v>
      </c>
      <c r="H120" s="526">
        <f t="shared" si="49"/>
        <v>7284.8827422787681</v>
      </c>
      <c r="I120" s="577">
        <f t="shared" si="50"/>
        <v>7284.8827422787681</v>
      </c>
      <c r="J120" s="514">
        <f t="shared" si="33"/>
        <v>0</v>
      </c>
      <c r="K120" s="514"/>
      <c r="L120" s="525"/>
      <c r="M120" s="514">
        <f t="shared" si="35"/>
        <v>0</v>
      </c>
      <c r="N120" s="525"/>
      <c r="O120" s="514">
        <f t="shared" si="37"/>
        <v>0</v>
      </c>
      <c r="P120" s="514">
        <f t="shared" si="38"/>
        <v>0</v>
      </c>
      <c r="Q120" s="269"/>
    </row>
    <row r="121" spans="2:17">
      <c r="B121" s="195" t="str">
        <f t="shared" si="39"/>
        <v/>
      </c>
      <c r="C121" s="507">
        <f>IF(D93="","-",+C120+1)</f>
        <v>2032</v>
      </c>
      <c r="D121" s="374">
        <f>IF(F120+SUM(E$99:E120)=D$92,F120,D$92-SUM(E$99:E120))</f>
        <v>44003.462037112062</v>
      </c>
      <c r="E121" s="522">
        <f>IF(+J96&lt;F120,J96,D121)</f>
        <v>2166.8780487804879</v>
      </c>
      <c r="F121" s="523">
        <f t="shared" si="47"/>
        <v>41836.583988331571</v>
      </c>
      <c r="G121" s="523">
        <f t="shared" si="48"/>
        <v>42920.023012721816</v>
      </c>
      <c r="H121" s="526">
        <f t="shared" si="49"/>
        <v>7038.9112569294175</v>
      </c>
      <c r="I121" s="577">
        <f t="shared" si="50"/>
        <v>7038.9112569294175</v>
      </c>
      <c r="J121" s="514">
        <f t="shared" si="33"/>
        <v>0</v>
      </c>
      <c r="K121" s="514"/>
      <c r="L121" s="525"/>
      <c r="M121" s="514">
        <f t="shared" si="35"/>
        <v>0</v>
      </c>
      <c r="N121" s="525"/>
      <c r="O121" s="514">
        <f t="shared" si="37"/>
        <v>0</v>
      </c>
      <c r="P121" s="514">
        <f t="shared" si="38"/>
        <v>0</v>
      </c>
      <c r="Q121" s="269"/>
    </row>
    <row r="122" spans="2:17">
      <c r="B122" s="195" t="str">
        <f t="shared" si="39"/>
        <v/>
      </c>
      <c r="C122" s="507">
        <f>IF(D93="","-",+C121+1)</f>
        <v>2033</v>
      </c>
      <c r="D122" s="374">
        <f>IF(F121+SUM(E$99:E121)=D$92,F121,D$92-SUM(E$99:E121))</f>
        <v>41836.583988331571</v>
      </c>
      <c r="E122" s="522">
        <f>IF(+J96&lt;F121,J96,D122)</f>
        <v>2166.8780487804879</v>
      </c>
      <c r="F122" s="523">
        <f t="shared" si="47"/>
        <v>39669.705939551081</v>
      </c>
      <c r="G122" s="523">
        <f t="shared" si="48"/>
        <v>40753.144963941326</v>
      </c>
      <c r="H122" s="526">
        <f t="shared" si="49"/>
        <v>6792.939771580066</v>
      </c>
      <c r="I122" s="577">
        <f t="shared" si="50"/>
        <v>6792.939771580066</v>
      </c>
      <c r="J122" s="514">
        <f t="shared" si="33"/>
        <v>0</v>
      </c>
      <c r="K122" s="514"/>
      <c r="L122" s="525"/>
      <c r="M122" s="514">
        <f t="shared" si="35"/>
        <v>0</v>
      </c>
      <c r="N122" s="525"/>
      <c r="O122" s="514">
        <f t="shared" si="37"/>
        <v>0</v>
      </c>
      <c r="P122" s="514">
        <f t="shared" si="38"/>
        <v>0</v>
      </c>
      <c r="Q122" s="269"/>
    </row>
    <row r="123" spans="2:17">
      <c r="B123" s="195" t="str">
        <f t="shared" si="39"/>
        <v/>
      </c>
      <c r="C123" s="507">
        <f>IF(D93="","-",+C122+1)</f>
        <v>2034</v>
      </c>
      <c r="D123" s="374">
        <f>IF(F122+SUM(E$99:E122)=D$92,F122,D$92-SUM(E$99:E122))</f>
        <v>39669.705939551081</v>
      </c>
      <c r="E123" s="522">
        <f>IF(+J96&lt;F122,J96,D123)</f>
        <v>2166.8780487804879</v>
      </c>
      <c r="F123" s="523">
        <f t="shared" si="47"/>
        <v>37502.82789077059</v>
      </c>
      <c r="G123" s="523">
        <f t="shared" si="48"/>
        <v>38586.266915160835</v>
      </c>
      <c r="H123" s="526">
        <f t="shared" si="49"/>
        <v>6546.9682862307154</v>
      </c>
      <c r="I123" s="577">
        <f t="shared" si="50"/>
        <v>6546.9682862307154</v>
      </c>
      <c r="J123" s="514">
        <f t="shared" si="33"/>
        <v>0</v>
      </c>
      <c r="K123" s="514"/>
      <c r="L123" s="525"/>
      <c r="M123" s="514">
        <f t="shared" si="35"/>
        <v>0</v>
      </c>
      <c r="N123" s="525"/>
      <c r="O123" s="514">
        <f t="shared" si="37"/>
        <v>0</v>
      </c>
      <c r="P123" s="514">
        <f t="shared" si="38"/>
        <v>0</v>
      </c>
      <c r="Q123" s="269"/>
    </row>
    <row r="124" spans="2:17">
      <c r="B124" s="195" t="str">
        <f t="shared" si="39"/>
        <v/>
      </c>
      <c r="C124" s="507">
        <f>IF(D93="","-",+C123+1)</f>
        <v>2035</v>
      </c>
      <c r="D124" s="374">
        <f>IF(F123+SUM(E$99:E123)=D$92,F123,D$92-SUM(E$99:E123))</f>
        <v>37502.82789077059</v>
      </c>
      <c r="E124" s="522">
        <f>IF(+J96&lt;F123,J96,D124)</f>
        <v>2166.8780487804879</v>
      </c>
      <c r="F124" s="523">
        <f t="shared" si="47"/>
        <v>35335.949841990099</v>
      </c>
      <c r="G124" s="523">
        <f t="shared" si="48"/>
        <v>36419.388866380345</v>
      </c>
      <c r="H124" s="526">
        <f t="shared" si="49"/>
        <v>6300.9968008813648</v>
      </c>
      <c r="I124" s="577">
        <f t="shared" si="50"/>
        <v>6300.9968008813648</v>
      </c>
      <c r="J124" s="514">
        <f t="shared" si="33"/>
        <v>0</v>
      </c>
      <c r="K124" s="514"/>
      <c r="L124" s="525"/>
      <c r="M124" s="514">
        <f t="shared" si="35"/>
        <v>0</v>
      </c>
      <c r="N124" s="525"/>
      <c r="O124" s="514">
        <f t="shared" si="37"/>
        <v>0</v>
      </c>
      <c r="P124" s="514">
        <f t="shared" si="38"/>
        <v>0</v>
      </c>
      <c r="Q124" s="269"/>
    </row>
    <row r="125" spans="2:17">
      <c r="B125" s="195" t="str">
        <f t="shared" si="39"/>
        <v/>
      </c>
      <c r="C125" s="507">
        <f>IF(D93="","-",+C124+1)</f>
        <v>2036</v>
      </c>
      <c r="D125" s="374">
        <f>IF(F124+SUM(E$99:E124)=D$92,F124,D$92-SUM(E$99:E124))</f>
        <v>35335.949841990099</v>
      </c>
      <c r="E125" s="522">
        <f>IF(+J96&lt;F124,J96,D125)</f>
        <v>2166.8780487804879</v>
      </c>
      <c r="F125" s="523">
        <f t="shared" si="47"/>
        <v>33169.071793209609</v>
      </c>
      <c r="G125" s="523">
        <f t="shared" si="48"/>
        <v>34252.510817599854</v>
      </c>
      <c r="H125" s="526">
        <f t="shared" si="49"/>
        <v>6055.0253155320133</v>
      </c>
      <c r="I125" s="577">
        <f t="shared" si="50"/>
        <v>6055.0253155320133</v>
      </c>
      <c r="J125" s="514">
        <f t="shared" si="33"/>
        <v>0</v>
      </c>
      <c r="K125" s="514"/>
      <c r="L125" s="525"/>
      <c r="M125" s="514">
        <f t="shared" si="35"/>
        <v>0</v>
      </c>
      <c r="N125" s="525"/>
      <c r="O125" s="514">
        <f t="shared" si="37"/>
        <v>0</v>
      </c>
      <c r="P125" s="514">
        <f t="shared" si="38"/>
        <v>0</v>
      </c>
      <c r="Q125" s="269"/>
    </row>
    <row r="126" spans="2:17">
      <c r="B126" s="195" t="str">
        <f t="shared" si="39"/>
        <v/>
      </c>
      <c r="C126" s="507">
        <f>IF(D93="","-",+C125+1)</f>
        <v>2037</v>
      </c>
      <c r="D126" s="374">
        <f>IF(F125+SUM(E$99:E125)=D$92,F125,D$92-SUM(E$99:E125))</f>
        <v>33169.071793209609</v>
      </c>
      <c r="E126" s="522">
        <f>IF(+J96&lt;F125,J96,D126)</f>
        <v>2166.8780487804879</v>
      </c>
      <c r="F126" s="523">
        <f t="shared" si="47"/>
        <v>31002.193744429122</v>
      </c>
      <c r="G126" s="523">
        <f t="shared" si="48"/>
        <v>32085.632768819363</v>
      </c>
      <c r="H126" s="526">
        <f t="shared" si="49"/>
        <v>5809.0538301826628</v>
      </c>
      <c r="I126" s="577">
        <f t="shared" si="50"/>
        <v>5809.0538301826628</v>
      </c>
      <c r="J126" s="514">
        <f t="shared" si="33"/>
        <v>0</v>
      </c>
      <c r="K126" s="514"/>
      <c r="L126" s="525"/>
      <c r="M126" s="514">
        <f t="shared" si="35"/>
        <v>0</v>
      </c>
      <c r="N126" s="525"/>
      <c r="O126" s="514">
        <f t="shared" si="37"/>
        <v>0</v>
      </c>
      <c r="P126" s="514">
        <f t="shared" si="38"/>
        <v>0</v>
      </c>
      <c r="Q126" s="269"/>
    </row>
    <row r="127" spans="2:17">
      <c r="B127" s="195" t="str">
        <f t="shared" si="39"/>
        <v/>
      </c>
      <c r="C127" s="507">
        <f>IF(D93="","-",+C126+1)</f>
        <v>2038</v>
      </c>
      <c r="D127" s="374">
        <f>IF(F126+SUM(E$99:E126)=D$92,F126,D$92-SUM(E$99:E126))</f>
        <v>31002.193744429122</v>
      </c>
      <c r="E127" s="522">
        <f>IF(+J96&lt;F126,J96,D127)</f>
        <v>2166.8780487804879</v>
      </c>
      <c r="F127" s="523">
        <f t="shared" si="47"/>
        <v>28835.315695648635</v>
      </c>
      <c r="G127" s="523">
        <f t="shared" si="48"/>
        <v>29918.75472003888</v>
      </c>
      <c r="H127" s="526">
        <f t="shared" si="49"/>
        <v>5563.0823448333131</v>
      </c>
      <c r="I127" s="577">
        <f t="shared" si="50"/>
        <v>5563.0823448333131</v>
      </c>
      <c r="J127" s="514">
        <f t="shared" si="33"/>
        <v>0</v>
      </c>
      <c r="K127" s="514"/>
      <c r="L127" s="525"/>
      <c r="M127" s="514">
        <f t="shared" si="35"/>
        <v>0</v>
      </c>
      <c r="N127" s="525"/>
      <c r="O127" s="514">
        <f t="shared" si="37"/>
        <v>0</v>
      </c>
      <c r="P127" s="514">
        <f t="shared" si="38"/>
        <v>0</v>
      </c>
      <c r="Q127" s="269"/>
    </row>
    <row r="128" spans="2:17">
      <c r="B128" s="195" t="str">
        <f t="shared" si="39"/>
        <v/>
      </c>
      <c r="C128" s="507">
        <f>IF(D93="","-",+C127+1)</f>
        <v>2039</v>
      </c>
      <c r="D128" s="374">
        <f>IF(F127+SUM(E$99:E127)=D$92,F127,D$92-SUM(E$99:E127))</f>
        <v>28835.315695648635</v>
      </c>
      <c r="E128" s="522">
        <f>IF(+J96&lt;F127,J96,D128)</f>
        <v>2166.8780487804879</v>
      </c>
      <c r="F128" s="523">
        <f t="shared" si="47"/>
        <v>26668.437646868148</v>
      </c>
      <c r="G128" s="523">
        <f t="shared" si="48"/>
        <v>27751.876671258389</v>
      </c>
      <c r="H128" s="526">
        <f t="shared" si="49"/>
        <v>5317.1108594839625</v>
      </c>
      <c r="I128" s="577">
        <f t="shared" si="50"/>
        <v>5317.1108594839625</v>
      </c>
      <c r="J128" s="514">
        <f t="shared" si="33"/>
        <v>0</v>
      </c>
      <c r="K128" s="514"/>
      <c r="L128" s="525"/>
      <c r="M128" s="514">
        <f t="shared" si="35"/>
        <v>0</v>
      </c>
      <c r="N128" s="525"/>
      <c r="O128" s="514">
        <f t="shared" si="37"/>
        <v>0</v>
      </c>
      <c r="P128" s="514">
        <f t="shared" si="38"/>
        <v>0</v>
      </c>
      <c r="Q128" s="269"/>
    </row>
    <row r="129" spans="2:17">
      <c r="B129" s="195" t="str">
        <f t="shared" si="39"/>
        <v/>
      </c>
      <c r="C129" s="507">
        <f>IF(D93="","-",+C128+1)</f>
        <v>2040</v>
      </c>
      <c r="D129" s="374">
        <f>IF(F128+SUM(E$99:E128)=D$92,F128,D$92-SUM(E$99:E128))</f>
        <v>26668.437646868148</v>
      </c>
      <c r="E129" s="522">
        <f>IF(+J96&lt;F128,J96,D129)</f>
        <v>2166.8780487804879</v>
      </c>
      <c r="F129" s="523">
        <f t="shared" si="47"/>
        <v>24501.559598087661</v>
      </c>
      <c r="G129" s="523">
        <f t="shared" si="48"/>
        <v>25584.998622477906</v>
      </c>
      <c r="H129" s="526">
        <f t="shared" si="49"/>
        <v>5071.1393741346119</v>
      </c>
      <c r="I129" s="577">
        <f t="shared" si="50"/>
        <v>5071.1393741346119</v>
      </c>
      <c r="J129" s="514">
        <f t="shared" si="33"/>
        <v>0</v>
      </c>
      <c r="K129" s="514"/>
      <c r="L129" s="525"/>
      <c r="M129" s="514">
        <f t="shared" si="35"/>
        <v>0</v>
      </c>
      <c r="N129" s="525"/>
      <c r="O129" s="514">
        <f t="shared" si="37"/>
        <v>0</v>
      </c>
      <c r="P129" s="514">
        <f t="shared" si="38"/>
        <v>0</v>
      </c>
      <c r="Q129" s="269"/>
    </row>
    <row r="130" spans="2:17">
      <c r="B130" s="195" t="str">
        <f t="shared" si="39"/>
        <v/>
      </c>
      <c r="C130" s="507">
        <f>IF(D93="","-",+C129+1)</f>
        <v>2041</v>
      </c>
      <c r="D130" s="374">
        <f>IF(F129+SUM(E$99:E129)=D$92,F129,D$92-SUM(E$99:E129))</f>
        <v>24501.559598087661</v>
      </c>
      <c r="E130" s="522">
        <f>IF(+J96&lt;F129,J96,D130)</f>
        <v>2166.8780487804879</v>
      </c>
      <c r="F130" s="523">
        <f t="shared" si="47"/>
        <v>22334.681549307174</v>
      </c>
      <c r="G130" s="523">
        <f t="shared" si="48"/>
        <v>23418.120573697415</v>
      </c>
      <c r="H130" s="526">
        <f t="shared" si="49"/>
        <v>4825.1678887852613</v>
      </c>
      <c r="I130" s="577">
        <f t="shared" si="50"/>
        <v>4825.1678887852613</v>
      </c>
      <c r="J130" s="514">
        <f t="shared" si="33"/>
        <v>0</v>
      </c>
      <c r="K130" s="514"/>
      <c r="L130" s="525"/>
      <c r="M130" s="514">
        <f t="shared" si="35"/>
        <v>0</v>
      </c>
      <c r="N130" s="525"/>
      <c r="O130" s="514">
        <f t="shared" si="37"/>
        <v>0</v>
      </c>
      <c r="P130" s="514">
        <f t="shared" si="38"/>
        <v>0</v>
      </c>
      <c r="Q130" s="269"/>
    </row>
    <row r="131" spans="2:17">
      <c r="B131" s="195" t="str">
        <f t="shared" si="39"/>
        <v/>
      </c>
      <c r="C131" s="507">
        <f>IF(D93="","-",+C130+1)</f>
        <v>2042</v>
      </c>
      <c r="D131" s="374">
        <f>IF(F130+SUM(E$99:E130)=D$92,F130,D$92-SUM(E$99:E130))</f>
        <v>22334.681549307174</v>
      </c>
      <c r="E131" s="522">
        <f>IF(+J96&lt;F130,J96,D131)</f>
        <v>2166.8780487804879</v>
      </c>
      <c r="F131" s="523">
        <f t="shared" si="47"/>
        <v>20167.803500526687</v>
      </c>
      <c r="G131" s="523">
        <f t="shared" ref="G131:G154" si="51">+(F131+D131)/2</f>
        <v>21251.242524916932</v>
      </c>
      <c r="H131" s="526">
        <f t="shared" ref="H131:H154" si="52">+J$94*G131+E131</f>
        <v>4579.1964034359116</v>
      </c>
      <c r="I131" s="577">
        <f t="shared" ref="I131:I154" si="53">+J$95*G131+E131</f>
        <v>4579.1964034359116</v>
      </c>
      <c r="J131" s="514">
        <f t="shared" ref="J131:J154" si="54">+I131-H131</f>
        <v>0</v>
      </c>
      <c r="K131" s="514"/>
      <c r="L131" s="525"/>
      <c r="M131" s="514">
        <f t="shared" ref="M131:M154" si="55">IF(L131&lt;&gt;0,+H131-L131,0)</f>
        <v>0</v>
      </c>
      <c r="N131" s="525"/>
      <c r="O131" s="514">
        <f t="shared" ref="O131:O154" si="56">IF(N131&lt;&gt;0,+I131-N131,0)</f>
        <v>0</v>
      </c>
      <c r="P131" s="514">
        <f t="shared" ref="P131:P154" si="57">+O131-M131</f>
        <v>0</v>
      </c>
      <c r="Q131" s="269"/>
    </row>
    <row r="132" spans="2:17">
      <c r="B132" s="195" t="str">
        <f t="shared" si="39"/>
        <v/>
      </c>
      <c r="C132" s="507">
        <f>IF(D93="","-",+C131+1)</f>
        <v>2043</v>
      </c>
      <c r="D132" s="374">
        <f>IF(F131+SUM(E$99:E131)=D$92,F131,D$92-SUM(E$99:E131))</f>
        <v>20167.803500526687</v>
      </c>
      <c r="E132" s="522">
        <f>IF(+J96&lt;F131,J96,D132)</f>
        <v>2166.8780487804879</v>
      </c>
      <c r="F132" s="523">
        <f t="shared" ref="F132:F154" si="58">+D132-E132</f>
        <v>18000.9254517462</v>
      </c>
      <c r="G132" s="523">
        <f t="shared" si="51"/>
        <v>19084.364476136441</v>
      </c>
      <c r="H132" s="526">
        <f t="shared" si="52"/>
        <v>4333.2249180865601</v>
      </c>
      <c r="I132" s="577">
        <f t="shared" si="53"/>
        <v>4333.2249180865601</v>
      </c>
      <c r="J132" s="514">
        <f t="shared" si="54"/>
        <v>0</v>
      </c>
      <c r="K132" s="514"/>
      <c r="L132" s="525"/>
      <c r="M132" s="514">
        <f t="shared" si="55"/>
        <v>0</v>
      </c>
      <c r="N132" s="525"/>
      <c r="O132" s="514">
        <f t="shared" si="56"/>
        <v>0</v>
      </c>
      <c r="P132" s="514">
        <f t="shared" si="57"/>
        <v>0</v>
      </c>
      <c r="Q132" s="269"/>
    </row>
    <row r="133" spans="2:17">
      <c r="B133" s="195" t="str">
        <f t="shared" si="39"/>
        <v/>
      </c>
      <c r="C133" s="507">
        <f>IF(D93="","-",+C132+1)</f>
        <v>2044</v>
      </c>
      <c r="D133" s="374">
        <f>IF(F132+SUM(E$99:E132)=D$92,F132,D$92-SUM(E$99:E132))</f>
        <v>18000.9254517462</v>
      </c>
      <c r="E133" s="522">
        <f>IF(+J96&lt;F132,J96,D133)</f>
        <v>2166.8780487804879</v>
      </c>
      <c r="F133" s="523">
        <f t="shared" si="58"/>
        <v>15834.047402965713</v>
      </c>
      <c r="G133" s="523">
        <f t="shared" si="51"/>
        <v>16917.486427355958</v>
      </c>
      <c r="H133" s="526">
        <f t="shared" si="52"/>
        <v>4087.2534327372105</v>
      </c>
      <c r="I133" s="577">
        <f t="shared" si="53"/>
        <v>4087.2534327372105</v>
      </c>
      <c r="J133" s="514">
        <f t="shared" si="54"/>
        <v>0</v>
      </c>
      <c r="K133" s="514"/>
      <c r="L133" s="525"/>
      <c r="M133" s="514">
        <f t="shared" si="55"/>
        <v>0</v>
      </c>
      <c r="N133" s="525"/>
      <c r="O133" s="514">
        <f t="shared" si="56"/>
        <v>0</v>
      </c>
      <c r="P133" s="514">
        <f t="shared" si="57"/>
        <v>0</v>
      </c>
      <c r="Q133" s="269"/>
    </row>
    <row r="134" spans="2:17">
      <c r="B134" s="195" t="str">
        <f t="shared" si="39"/>
        <v/>
      </c>
      <c r="C134" s="507">
        <f>IF(D93="","-",+C133+1)</f>
        <v>2045</v>
      </c>
      <c r="D134" s="374">
        <f>IF(F133+SUM(E$99:E133)=D$92,F133,D$92-SUM(E$99:E133))</f>
        <v>15834.047402965713</v>
      </c>
      <c r="E134" s="522">
        <f>IF(+J96&lt;F133,J96,D134)</f>
        <v>2166.8780487804879</v>
      </c>
      <c r="F134" s="523">
        <f t="shared" si="58"/>
        <v>13667.169354185226</v>
      </c>
      <c r="G134" s="523">
        <f t="shared" si="51"/>
        <v>14750.608378575469</v>
      </c>
      <c r="H134" s="526">
        <f t="shared" si="52"/>
        <v>3841.2819473878599</v>
      </c>
      <c r="I134" s="577">
        <f t="shared" si="53"/>
        <v>3841.2819473878599</v>
      </c>
      <c r="J134" s="514">
        <f t="shared" si="54"/>
        <v>0</v>
      </c>
      <c r="K134" s="514"/>
      <c r="L134" s="525"/>
      <c r="M134" s="514">
        <f t="shared" si="55"/>
        <v>0</v>
      </c>
      <c r="N134" s="525"/>
      <c r="O134" s="514">
        <f t="shared" si="56"/>
        <v>0</v>
      </c>
      <c r="P134" s="514">
        <f t="shared" si="57"/>
        <v>0</v>
      </c>
      <c r="Q134" s="269"/>
    </row>
    <row r="135" spans="2:17">
      <c r="B135" s="195" t="str">
        <f t="shared" si="39"/>
        <v/>
      </c>
      <c r="C135" s="507">
        <f>IF(D93="","-",+C134+1)</f>
        <v>2046</v>
      </c>
      <c r="D135" s="374">
        <f>IF(F134+SUM(E$99:E134)=D$92,F134,D$92-SUM(E$99:E134))</f>
        <v>13667.169354185226</v>
      </c>
      <c r="E135" s="522">
        <f>IF(+J96&lt;F134,J96,D135)</f>
        <v>2166.8780487804879</v>
      </c>
      <c r="F135" s="523">
        <f t="shared" si="58"/>
        <v>11500.291305404739</v>
      </c>
      <c r="G135" s="523">
        <f t="shared" si="51"/>
        <v>12583.730329794982</v>
      </c>
      <c r="H135" s="526">
        <f t="shared" si="52"/>
        <v>3595.3104620385093</v>
      </c>
      <c r="I135" s="577">
        <f t="shared" si="53"/>
        <v>3595.3104620385093</v>
      </c>
      <c r="J135" s="514">
        <f t="shared" si="54"/>
        <v>0</v>
      </c>
      <c r="K135" s="514"/>
      <c r="L135" s="525"/>
      <c r="M135" s="514">
        <f t="shared" si="55"/>
        <v>0</v>
      </c>
      <c r="N135" s="525"/>
      <c r="O135" s="514">
        <f t="shared" si="56"/>
        <v>0</v>
      </c>
      <c r="P135" s="514">
        <f t="shared" si="57"/>
        <v>0</v>
      </c>
      <c r="Q135" s="269"/>
    </row>
    <row r="136" spans="2:17">
      <c r="B136" s="195" t="str">
        <f t="shared" si="39"/>
        <v/>
      </c>
      <c r="C136" s="507">
        <f>IF(D93="","-",+C135+1)</f>
        <v>2047</v>
      </c>
      <c r="D136" s="374">
        <f>IF(F135+SUM(E$99:E135)=D$92,F135,D$92-SUM(E$99:E135))</f>
        <v>11500.291305404739</v>
      </c>
      <c r="E136" s="522">
        <f>IF(+J96&lt;F135,J96,D136)</f>
        <v>2166.8780487804879</v>
      </c>
      <c r="F136" s="523">
        <f t="shared" si="58"/>
        <v>9333.4132566242515</v>
      </c>
      <c r="G136" s="523">
        <f t="shared" si="51"/>
        <v>10416.852281014495</v>
      </c>
      <c r="H136" s="526">
        <f t="shared" si="52"/>
        <v>3349.3389766891587</v>
      </c>
      <c r="I136" s="577">
        <f t="shared" si="53"/>
        <v>3349.3389766891587</v>
      </c>
      <c r="J136" s="514">
        <f t="shared" si="54"/>
        <v>0</v>
      </c>
      <c r="K136" s="514"/>
      <c r="L136" s="525"/>
      <c r="M136" s="514">
        <f t="shared" si="55"/>
        <v>0</v>
      </c>
      <c r="N136" s="525"/>
      <c r="O136" s="514">
        <f t="shared" si="56"/>
        <v>0</v>
      </c>
      <c r="P136" s="514">
        <f t="shared" si="57"/>
        <v>0</v>
      </c>
      <c r="Q136" s="269"/>
    </row>
    <row r="137" spans="2:17">
      <c r="B137" s="195" t="str">
        <f t="shared" si="39"/>
        <v/>
      </c>
      <c r="C137" s="507">
        <f>IF(D93="","-",+C136+1)</f>
        <v>2048</v>
      </c>
      <c r="D137" s="374">
        <f>IF(F136+SUM(E$99:E136)=D$92,F136,D$92-SUM(E$99:E136))</f>
        <v>9333.4132566242515</v>
      </c>
      <c r="E137" s="522">
        <f>IF(+J96&lt;F136,J96,D137)</f>
        <v>2166.8780487804879</v>
      </c>
      <c r="F137" s="523">
        <f t="shared" si="58"/>
        <v>7166.5352078437636</v>
      </c>
      <c r="G137" s="523">
        <f t="shared" si="51"/>
        <v>8249.974232234008</v>
      </c>
      <c r="H137" s="526">
        <f t="shared" si="52"/>
        <v>3103.3674913398081</v>
      </c>
      <c r="I137" s="577">
        <f t="shared" si="53"/>
        <v>3103.3674913398081</v>
      </c>
      <c r="J137" s="514">
        <f t="shared" si="54"/>
        <v>0</v>
      </c>
      <c r="K137" s="514"/>
      <c r="L137" s="525"/>
      <c r="M137" s="514">
        <f t="shared" si="55"/>
        <v>0</v>
      </c>
      <c r="N137" s="525"/>
      <c r="O137" s="514">
        <f t="shared" si="56"/>
        <v>0</v>
      </c>
      <c r="P137" s="514">
        <f t="shared" si="57"/>
        <v>0</v>
      </c>
      <c r="Q137" s="269"/>
    </row>
    <row r="138" spans="2:17">
      <c r="B138" s="195" t="str">
        <f t="shared" si="39"/>
        <v/>
      </c>
      <c r="C138" s="507">
        <f>IF(D93="","-",+C137+1)</f>
        <v>2049</v>
      </c>
      <c r="D138" s="374">
        <f>IF(F137+SUM(E$99:E137)=D$92,F137,D$92-SUM(E$99:E137))</f>
        <v>7166.5352078437636</v>
      </c>
      <c r="E138" s="522">
        <f>IF(+J96&lt;F137,J96,D138)</f>
        <v>2166.8780487804879</v>
      </c>
      <c r="F138" s="523">
        <f t="shared" si="58"/>
        <v>4999.6571590632757</v>
      </c>
      <c r="G138" s="523">
        <f t="shared" si="51"/>
        <v>6083.0961834535192</v>
      </c>
      <c r="H138" s="526">
        <f t="shared" si="52"/>
        <v>2857.3960059904575</v>
      </c>
      <c r="I138" s="577">
        <f t="shared" si="53"/>
        <v>2857.3960059904575</v>
      </c>
      <c r="J138" s="514">
        <f t="shared" si="54"/>
        <v>0</v>
      </c>
      <c r="K138" s="514"/>
      <c r="L138" s="525"/>
      <c r="M138" s="514">
        <f t="shared" si="55"/>
        <v>0</v>
      </c>
      <c r="N138" s="525"/>
      <c r="O138" s="514">
        <f t="shared" si="56"/>
        <v>0</v>
      </c>
      <c r="P138" s="514">
        <f t="shared" si="57"/>
        <v>0</v>
      </c>
      <c r="Q138" s="269"/>
    </row>
    <row r="139" spans="2:17">
      <c r="B139" s="195" t="str">
        <f t="shared" si="39"/>
        <v>IU</v>
      </c>
      <c r="C139" s="507">
        <f>IF(D93="","-",+C138+1)</f>
        <v>2050</v>
      </c>
      <c r="D139" s="374">
        <f>IF(F138+SUM(E$99:E138)=D$92,F138,D$92-SUM(E$99:E138))</f>
        <v>4999.6571590632229</v>
      </c>
      <c r="E139" s="522">
        <f>IF(+J96&lt;F138,J96,D139)</f>
        <v>2166.8780487804879</v>
      </c>
      <c r="F139" s="523">
        <f t="shared" si="58"/>
        <v>2832.779110282735</v>
      </c>
      <c r="G139" s="523">
        <f t="shared" si="51"/>
        <v>3916.218134672979</v>
      </c>
      <c r="H139" s="526">
        <f t="shared" si="52"/>
        <v>2611.424520641101</v>
      </c>
      <c r="I139" s="577">
        <f t="shared" si="53"/>
        <v>2611.424520641101</v>
      </c>
      <c r="J139" s="514">
        <f t="shared" si="54"/>
        <v>0</v>
      </c>
      <c r="K139" s="514"/>
      <c r="L139" s="525"/>
      <c r="M139" s="514">
        <f t="shared" si="55"/>
        <v>0</v>
      </c>
      <c r="N139" s="525"/>
      <c r="O139" s="514">
        <f t="shared" si="56"/>
        <v>0</v>
      </c>
      <c r="P139" s="514">
        <f t="shared" si="57"/>
        <v>0</v>
      </c>
      <c r="Q139" s="269"/>
    </row>
    <row r="140" spans="2:17">
      <c r="B140" s="195" t="str">
        <f t="shared" si="39"/>
        <v/>
      </c>
      <c r="C140" s="507">
        <f>IF(D93="","-",+C139+1)</f>
        <v>2051</v>
      </c>
      <c r="D140" s="374">
        <f>IF(F139+SUM(E$99:E139)=D$92,F139,D$92-SUM(E$99:E139))</f>
        <v>2832.779110282735</v>
      </c>
      <c r="E140" s="522">
        <f>IF(+J96&lt;F139,J96,D140)</f>
        <v>2166.8780487804879</v>
      </c>
      <c r="F140" s="523">
        <f t="shared" si="58"/>
        <v>665.9010615022471</v>
      </c>
      <c r="G140" s="523">
        <f t="shared" si="51"/>
        <v>1749.3400858924911</v>
      </c>
      <c r="H140" s="526">
        <f t="shared" si="52"/>
        <v>2365.4530352917504</v>
      </c>
      <c r="I140" s="577">
        <f t="shared" si="53"/>
        <v>2365.4530352917504</v>
      </c>
      <c r="J140" s="514">
        <f t="shared" si="54"/>
        <v>0</v>
      </c>
      <c r="K140" s="514"/>
      <c r="L140" s="525"/>
      <c r="M140" s="514">
        <f t="shared" si="55"/>
        <v>0</v>
      </c>
      <c r="N140" s="525"/>
      <c r="O140" s="514">
        <f t="shared" si="56"/>
        <v>0</v>
      </c>
      <c r="P140" s="514">
        <f t="shared" si="57"/>
        <v>0</v>
      </c>
      <c r="Q140" s="269"/>
    </row>
    <row r="141" spans="2:17">
      <c r="B141" s="195" t="str">
        <f t="shared" si="39"/>
        <v/>
      </c>
      <c r="C141" s="507">
        <f>IF(D93="","-",+C140+1)</f>
        <v>2052</v>
      </c>
      <c r="D141" s="374">
        <f>IF(F140+SUM(E$99:E140)=D$92,F140,D$92-SUM(E$99:E140))</f>
        <v>665.9010615022471</v>
      </c>
      <c r="E141" s="522">
        <f>IF(+J96&lt;F140,J96,D141)</f>
        <v>665.9010615022471</v>
      </c>
      <c r="F141" s="523">
        <f t="shared" si="58"/>
        <v>0</v>
      </c>
      <c r="G141" s="523">
        <f t="shared" si="51"/>
        <v>332.95053075112355</v>
      </c>
      <c r="H141" s="526">
        <f t="shared" si="52"/>
        <v>703.69568342054083</v>
      </c>
      <c r="I141" s="577">
        <f t="shared" si="53"/>
        <v>703.69568342054083</v>
      </c>
      <c r="J141" s="514">
        <f t="shared" si="54"/>
        <v>0</v>
      </c>
      <c r="K141" s="514"/>
      <c r="L141" s="525"/>
      <c r="M141" s="514">
        <f t="shared" si="55"/>
        <v>0</v>
      </c>
      <c r="N141" s="525"/>
      <c r="O141" s="514">
        <f t="shared" si="56"/>
        <v>0</v>
      </c>
      <c r="P141" s="514">
        <f t="shared" si="57"/>
        <v>0</v>
      </c>
      <c r="Q141" s="269"/>
    </row>
    <row r="142" spans="2:17">
      <c r="B142" s="195" t="str">
        <f t="shared" si="39"/>
        <v/>
      </c>
      <c r="C142" s="507">
        <f>IF(D93="","-",+C141+1)</f>
        <v>2053</v>
      </c>
      <c r="D142" s="374">
        <f>IF(F141+SUM(E$99:E141)=D$92,F141,D$92-SUM(E$99:E141))</f>
        <v>0</v>
      </c>
      <c r="E142" s="522">
        <f>IF(+J96&lt;F141,J96,D142)</f>
        <v>0</v>
      </c>
      <c r="F142" s="523">
        <f t="shared" si="58"/>
        <v>0</v>
      </c>
      <c r="G142" s="523">
        <f t="shared" si="51"/>
        <v>0</v>
      </c>
      <c r="H142" s="526">
        <f t="shared" si="52"/>
        <v>0</v>
      </c>
      <c r="I142" s="577">
        <f t="shared" si="53"/>
        <v>0</v>
      </c>
      <c r="J142" s="514">
        <f t="shared" si="54"/>
        <v>0</v>
      </c>
      <c r="K142" s="514"/>
      <c r="L142" s="525"/>
      <c r="M142" s="514">
        <f t="shared" si="55"/>
        <v>0</v>
      </c>
      <c r="N142" s="525"/>
      <c r="O142" s="514">
        <f t="shared" si="56"/>
        <v>0</v>
      </c>
      <c r="P142" s="514">
        <f t="shared" si="57"/>
        <v>0</v>
      </c>
      <c r="Q142" s="269"/>
    </row>
    <row r="143" spans="2:17">
      <c r="B143" s="195" t="str">
        <f t="shared" si="39"/>
        <v/>
      </c>
      <c r="C143" s="507">
        <f>IF(D93="","-",+C142+1)</f>
        <v>2054</v>
      </c>
      <c r="D143" s="374">
        <f>IF(F142+SUM(E$99:E142)=D$92,F142,D$92-SUM(E$99:E142))</f>
        <v>0</v>
      </c>
      <c r="E143" s="522">
        <f>IF(+J96&lt;F142,J96,D143)</f>
        <v>0</v>
      </c>
      <c r="F143" s="523">
        <f t="shared" si="58"/>
        <v>0</v>
      </c>
      <c r="G143" s="523">
        <f t="shared" si="51"/>
        <v>0</v>
      </c>
      <c r="H143" s="526">
        <f t="shared" si="52"/>
        <v>0</v>
      </c>
      <c r="I143" s="577">
        <f t="shared" si="53"/>
        <v>0</v>
      </c>
      <c r="J143" s="514">
        <f t="shared" si="54"/>
        <v>0</v>
      </c>
      <c r="K143" s="514"/>
      <c r="L143" s="525"/>
      <c r="M143" s="514">
        <f t="shared" si="55"/>
        <v>0</v>
      </c>
      <c r="N143" s="525"/>
      <c r="O143" s="514">
        <f t="shared" si="56"/>
        <v>0</v>
      </c>
      <c r="P143" s="514">
        <f t="shared" si="57"/>
        <v>0</v>
      </c>
      <c r="Q143" s="269"/>
    </row>
    <row r="144" spans="2:17">
      <c r="B144" s="195" t="str">
        <f t="shared" si="39"/>
        <v/>
      </c>
      <c r="C144" s="507">
        <f>IF(D93="","-",+C143+1)</f>
        <v>2055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58"/>
        <v>0</v>
      </c>
      <c r="G144" s="523">
        <f t="shared" si="51"/>
        <v>0</v>
      </c>
      <c r="H144" s="526">
        <f t="shared" si="52"/>
        <v>0</v>
      </c>
      <c r="I144" s="577">
        <f t="shared" si="53"/>
        <v>0</v>
      </c>
      <c r="J144" s="514">
        <f t="shared" si="54"/>
        <v>0</v>
      </c>
      <c r="K144" s="514"/>
      <c r="L144" s="525"/>
      <c r="M144" s="514">
        <f t="shared" si="55"/>
        <v>0</v>
      </c>
      <c r="N144" s="525"/>
      <c r="O144" s="514">
        <f t="shared" si="56"/>
        <v>0</v>
      </c>
      <c r="P144" s="514">
        <f t="shared" si="57"/>
        <v>0</v>
      </c>
      <c r="Q144" s="269"/>
    </row>
    <row r="145" spans="2:17">
      <c r="B145" s="195" t="str">
        <f t="shared" si="39"/>
        <v/>
      </c>
      <c r="C145" s="507">
        <f>IF(D93="","-",+C144+1)</f>
        <v>2056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58"/>
        <v>0</v>
      </c>
      <c r="G145" s="523">
        <f t="shared" si="51"/>
        <v>0</v>
      </c>
      <c r="H145" s="526">
        <f t="shared" si="52"/>
        <v>0</v>
      </c>
      <c r="I145" s="577">
        <f t="shared" si="53"/>
        <v>0</v>
      </c>
      <c r="J145" s="514">
        <f t="shared" si="54"/>
        <v>0</v>
      </c>
      <c r="K145" s="514"/>
      <c r="L145" s="525"/>
      <c r="M145" s="514">
        <f t="shared" si="55"/>
        <v>0</v>
      </c>
      <c r="N145" s="525"/>
      <c r="O145" s="514">
        <f t="shared" si="56"/>
        <v>0</v>
      </c>
      <c r="P145" s="514">
        <f t="shared" si="57"/>
        <v>0</v>
      </c>
      <c r="Q145" s="269"/>
    </row>
    <row r="146" spans="2:17">
      <c r="B146" s="195" t="str">
        <f t="shared" si="39"/>
        <v/>
      </c>
      <c r="C146" s="507">
        <f>IF(D93="","-",+C145+1)</f>
        <v>2057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58"/>
        <v>0</v>
      </c>
      <c r="G146" s="523">
        <f t="shared" si="51"/>
        <v>0</v>
      </c>
      <c r="H146" s="526">
        <f t="shared" si="52"/>
        <v>0</v>
      </c>
      <c r="I146" s="577">
        <f t="shared" si="53"/>
        <v>0</v>
      </c>
      <c r="J146" s="514">
        <f t="shared" si="54"/>
        <v>0</v>
      </c>
      <c r="K146" s="514"/>
      <c r="L146" s="525"/>
      <c r="M146" s="514">
        <f t="shared" si="55"/>
        <v>0</v>
      </c>
      <c r="N146" s="525"/>
      <c r="O146" s="514">
        <f t="shared" si="56"/>
        <v>0</v>
      </c>
      <c r="P146" s="514">
        <f t="shared" si="57"/>
        <v>0</v>
      </c>
      <c r="Q146" s="269"/>
    </row>
    <row r="147" spans="2:17">
      <c r="B147" s="195" t="str">
        <f t="shared" si="39"/>
        <v/>
      </c>
      <c r="C147" s="507">
        <f>IF(D93="","-",+C146+1)</f>
        <v>2058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58"/>
        <v>0</v>
      </c>
      <c r="G147" s="523">
        <f t="shared" si="51"/>
        <v>0</v>
      </c>
      <c r="H147" s="526">
        <f t="shared" si="52"/>
        <v>0</v>
      </c>
      <c r="I147" s="577">
        <f t="shared" si="53"/>
        <v>0</v>
      </c>
      <c r="J147" s="514">
        <f t="shared" si="54"/>
        <v>0</v>
      </c>
      <c r="K147" s="514"/>
      <c r="L147" s="525"/>
      <c r="M147" s="514">
        <f t="shared" si="55"/>
        <v>0</v>
      </c>
      <c r="N147" s="525"/>
      <c r="O147" s="514">
        <f t="shared" si="56"/>
        <v>0</v>
      </c>
      <c r="P147" s="514">
        <f t="shared" si="57"/>
        <v>0</v>
      </c>
      <c r="Q147" s="269"/>
    </row>
    <row r="148" spans="2:17">
      <c r="B148" s="195" t="str">
        <f t="shared" si="39"/>
        <v/>
      </c>
      <c r="C148" s="507">
        <f>IF(D93="","-",+C147+1)</f>
        <v>2059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58"/>
        <v>0</v>
      </c>
      <c r="G148" s="523">
        <f t="shared" si="51"/>
        <v>0</v>
      </c>
      <c r="H148" s="526">
        <f t="shared" si="52"/>
        <v>0</v>
      </c>
      <c r="I148" s="577">
        <f t="shared" si="53"/>
        <v>0</v>
      </c>
      <c r="J148" s="514">
        <f t="shared" si="54"/>
        <v>0</v>
      </c>
      <c r="K148" s="514"/>
      <c r="L148" s="525"/>
      <c r="M148" s="514">
        <f t="shared" si="55"/>
        <v>0</v>
      </c>
      <c r="N148" s="525"/>
      <c r="O148" s="514">
        <f t="shared" si="56"/>
        <v>0</v>
      </c>
      <c r="P148" s="514">
        <f t="shared" si="57"/>
        <v>0</v>
      </c>
      <c r="Q148" s="269"/>
    </row>
    <row r="149" spans="2:17">
      <c r="B149" s="195" t="str">
        <f t="shared" si="39"/>
        <v/>
      </c>
      <c r="C149" s="507">
        <f>IF(D93="","-",+C148+1)</f>
        <v>2060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58"/>
        <v>0</v>
      </c>
      <c r="G149" s="523">
        <f t="shared" si="51"/>
        <v>0</v>
      </c>
      <c r="H149" s="526">
        <f t="shared" si="52"/>
        <v>0</v>
      </c>
      <c r="I149" s="577">
        <f t="shared" si="53"/>
        <v>0</v>
      </c>
      <c r="J149" s="514">
        <f t="shared" si="54"/>
        <v>0</v>
      </c>
      <c r="K149" s="514"/>
      <c r="L149" s="525"/>
      <c r="M149" s="514">
        <f t="shared" si="55"/>
        <v>0</v>
      </c>
      <c r="N149" s="525"/>
      <c r="O149" s="514">
        <f t="shared" si="56"/>
        <v>0</v>
      </c>
      <c r="P149" s="514">
        <f t="shared" si="57"/>
        <v>0</v>
      </c>
      <c r="Q149" s="269"/>
    </row>
    <row r="150" spans="2:17">
      <c r="B150" s="195" t="str">
        <f t="shared" si="39"/>
        <v/>
      </c>
      <c r="C150" s="507">
        <f>IF(D93="","-",+C149+1)</f>
        <v>2061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58"/>
        <v>0</v>
      </c>
      <c r="G150" s="523">
        <f t="shared" si="51"/>
        <v>0</v>
      </c>
      <c r="H150" s="526">
        <f t="shared" si="52"/>
        <v>0</v>
      </c>
      <c r="I150" s="577">
        <f t="shared" si="53"/>
        <v>0</v>
      </c>
      <c r="J150" s="514">
        <f t="shared" si="54"/>
        <v>0</v>
      </c>
      <c r="K150" s="514"/>
      <c r="L150" s="525"/>
      <c r="M150" s="514">
        <f t="shared" si="55"/>
        <v>0</v>
      </c>
      <c r="N150" s="525"/>
      <c r="O150" s="514">
        <f t="shared" si="56"/>
        <v>0</v>
      </c>
      <c r="P150" s="514">
        <f t="shared" si="57"/>
        <v>0</v>
      </c>
      <c r="Q150" s="269"/>
    </row>
    <row r="151" spans="2:17">
      <c r="B151" s="195" t="str">
        <f t="shared" si="39"/>
        <v/>
      </c>
      <c r="C151" s="507">
        <f>IF(D93="","-",+C150+1)</f>
        <v>2062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58"/>
        <v>0</v>
      </c>
      <c r="G151" s="523">
        <f t="shared" si="51"/>
        <v>0</v>
      </c>
      <c r="H151" s="526">
        <f t="shared" si="52"/>
        <v>0</v>
      </c>
      <c r="I151" s="577">
        <f t="shared" si="53"/>
        <v>0</v>
      </c>
      <c r="J151" s="514">
        <f t="shared" si="54"/>
        <v>0</v>
      </c>
      <c r="K151" s="514"/>
      <c r="L151" s="525"/>
      <c r="M151" s="514">
        <f t="shared" si="55"/>
        <v>0</v>
      </c>
      <c r="N151" s="525"/>
      <c r="O151" s="514">
        <f t="shared" si="56"/>
        <v>0</v>
      </c>
      <c r="P151" s="514">
        <f t="shared" si="57"/>
        <v>0</v>
      </c>
      <c r="Q151" s="269"/>
    </row>
    <row r="152" spans="2:17">
      <c r="B152" s="195" t="str">
        <f t="shared" si="39"/>
        <v/>
      </c>
      <c r="C152" s="507">
        <f>IF(D93="","-",+C151+1)</f>
        <v>2063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58"/>
        <v>0</v>
      </c>
      <c r="G152" s="523">
        <f t="shared" si="51"/>
        <v>0</v>
      </c>
      <c r="H152" s="526">
        <f t="shared" si="52"/>
        <v>0</v>
      </c>
      <c r="I152" s="577">
        <f t="shared" si="53"/>
        <v>0</v>
      </c>
      <c r="J152" s="514">
        <f t="shared" si="54"/>
        <v>0</v>
      </c>
      <c r="K152" s="514"/>
      <c r="L152" s="525"/>
      <c r="M152" s="514">
        <f t="shared" si="55"/>
        <v>0</v>
      </c>
      <c r="N152" s="525"/>
      <c r="O152" s="514">
        <f t="shared" si="56"/>
        <v>0</v>
      </c>
      <c r="P152" s="514">
        <f t="shared" si="57"/>
        <v>0</v>
      </c>
      <c r="Q152" s="269"/>
    </row>
    <row r="153" spans="2:17">
      <c r="B153" s="195" t="str">
        <f t="shared" si="39"/>
        <v/>
      </c>
      <c r="C153" s="507">
        <f>IF(D93="","-",+C152+1)</f>
        <v>2064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58"/>
        <v>0</v>
      </c>
      <c r="G153" s="523">
        <f t="shared" si="51"/>
        <v>0</v>
      </c>
      <c r="H153" s="526">
        <f t="shared" si="52"/>
        <v>0</v>
      </c>
      <c r="I153" s="577">
        <f t="shared" si="53"/>
        <v>0</v>
      </c>
      <c r="J153" s="514">
        <f t="shared" si="54"/>
        <v>0</v>
      </c>
      <c r="K153" s="514"/>
      <c r="L153" s="525"/>
      <c r="M153" s="514">
        <f t="shared" si="55"/>
        <v>0</v>
      </c>
      <c r="N153" s="525"/>
      <c r="O153" s="514">
        <f t="shared" si="56"/>
        <v>0</v>
      </c>
      <c r="P153" s="514">
        <f t="shared" si="57"/>
        <v>0</v>
      </c>
      <c r="Q153" s="269"/>
    </row>
    <row r="154" spans="2:17" ht="13.5" thickBot="1">
      <c r="B154" s="195" t="str">
        <f t="shared" si="39"/>
        <v/>
      </c>
      <c r="C154" s="527">
        <f>IF(D93="","-",+C153+1)</f>
        <v>2065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58"/>
        <v>0</v>
      </c>
      <c r="G154" s="528">
        <f t="shared" si="51"/>
        <v>0</v>
      </c>
      <c r="H154" s="530">
        <f t="shared" si="52"/>
        <v>0</v>
      </c>
      <c r="I154" s="579">
        <f t="shared" si="53"/>
        <v>0</v>
      </c>
      <c r="J154" s="533">
        <f t="shared" si="54"/>
        <v>0</v>
      </c>
      <c r="K154" s="514"/>
      <c r="L154" s="532"/>
      <c r="M154" s="533">
        <f t="shared" si="55"/>
        <v>0</v>
      </c>
      <c r="N154" s="532"/>
      <c r="O154" s="533">
        <f t="shared" si="56"/>
        <v>0</v>
      </c>
      <c r="P154" s="533">
        <f t="shared" si="57"/>
        <v>0</v>
      </c>
      <c r="Q154" s="269"/>
    </row>
    <row r="155" spans="2:17">
      <c r="C155" s="374" t="s">
        <v>78</v>
      </c>
      <c r="D155" s="375"/>
      <c r="E155" s="375">
        <f>SUM(E99:E154)</f>
        <v>88842</v>
      </c>
      <c r="F155" s="375"/>
      <c r="G155" s="375"/>
      <c r="H155" s="375">
        <f>SUM(H99:H154)</f>
        <v>317268.03412992536</v>
      </c>
      <c r="I155" s="375">
        <f>SUM(I99:I154)</f>
        <v>317268.03412992536</v>
      </c>
      <c r="J155" s="375">
        <f>SUM(J99:J154)</f>
        <v>0</v>
      </c>
      <c r="K155" s="375"/>
      <c r="L155" s="375"/>
      <c r="M155" s="375"/>
      <c r="N155" s="375"/>
      <c r="O155" s="375"/>
      <c r="P155" s="269"/>
      <c r="Q155" s="269"/>
    </row>
    <row r="156" spans="2:17"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  <c r="Q156" s="269"/>
    </row>
    <row r="157" spans="2:17">
      <c r="C157" s="580" t="s">
        <v>92</v>
      </c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  <c r="Q157" s="269"/>
    </row>
    <row r="158" spans="2:17"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  <c r="Q158" s="269"/>
    </row>
    <row r="159" spans="2:17">
      <c r="C159" s="534" t="s">
        <v>97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  <c r="Q159" s="269"/>
    </row>
    <row r="160" spans="2:17">
      <c r="C160" s="581" t="s">
        <v>79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  <c r="Q160" s="269"/>
    </row>
    <row r="161" spans="3:17">
      <c r="C161" s="581" t="s">
        <v>80</v>
      </c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  <c r="Q161" s="269"/>
    </row>
    <row r="162" spans="3:17" ht="18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454" t="s">
        <v>131</v>
      </c>
      <c r="Q162" s="269"/>
    </row>
  </sheetData>
  <phoneticPr fontId="0" type="noConversion"/>
  <conditionalFormatting sqref="C17:C72">
    <cfRule type="cellIs" dxfId="113" priority="1" stopIfTrue="1" operator="equal">
      <formula>$I$10</formula>
    </cfRule>
  </conditionalFormatting>
  <conditionalFormatting sqref="C99:C154">
    <cfRule type="cellIs" dxfId="112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77"/>
  <dimension ref="A1:Q162"/>
  <sheetViews>
    <sheetView topLeftCell="A87" zoomScaleNormal="100" zoomScaleSheetLayoutView="75" workbookViewId="0">
      <selection activeCell="D99" sqref="D99:I110"/>
    </sheetView>
  </sheetViews>
  <sheetFormatPr defaultColWidth="8.7109375" defaultRowHeight="12.75" customHeight="1"/>
  <cols>
    <col min="1" max="1" width="4.7109375" style="183" customWidth="1"/>
    <col min="2" max="2" width="6.7109375" style="183" customWidth="1"/>
    <col min="3" max="3" width="23.28515625" style="183" customWidth="1"/>
    <col min="4" max="4" width="24" style="183" customWidth="1"/>
    <col min="5" max="8" width="17.7109375" style="183" customWidth="1"/>
    <col min="9" max="9" width="20.42578125" style="183" customWidth="1"/>
    <col min="10" max="10" width="16.42578125" style="183" customWidth="1"/>
    <col min="11" max="11" width="17.7109375" style="183" customWidth="1"/>
    <col min="12" max="12" width="16.140625" style="183" customWidth="1"/>
    <col min="13" max="13" width="17.7109375" style="183" customWidth="1"/>
    <col min="14" max="14" width="16.140625" style="183" customWidth="1"/>
    <col min="15" max="15" width="16.85546875" style="183" customWidth="1"/>
    <col min="16" max="16" width="24.42578125" style="183" customWidth="1"/>
    <col min="17" max="17" width="4.7109375" style="183" customWidth="1"/>
    <col min="18" max="22" width="8.7109375" style="183"/>
    <col min="23" max="23" width="9.140625" style="183" customWidth="1"/>
    <col min="24" max="16384" width="8.7109375" style="183"/>
  </cols>
  <sheetData>
    <row r="1" spans="1:17" ht="20.25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26 of 75</v>
      </c>
      <c r="Q1" s="453"/>
    </row>
    <row r="2" spans="1:17" ht="18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454" t="s">
        <v>129</v>
      </c>
    </row>
    <row r="3" spans="1:17" ht="18.75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 t="str">
        <f>RIGHT(N3,3)</f>
        <v/>
      </c>
      <c r="P3" s="455">
        <v>1</v>
      </c>
    </row>
    <row r="4" spans="1:17" ht="15.75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7" ht="1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26559.297712193376</v>
      </c>
      <c r="P5" s="269"/>
    </row>
    <row r="6" spans="1:17" ht="15.7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26559.297712193376</v>
      </c>
      <c r="O6" s="269"/>
      <c r="P6" s="269"/>
    </row>
    <row r="7" spans="1:17" ht="13.5" thickBot="1">
      <c r="C7" s="467" t="s">
        <v>48</v>
      </c>
      <c r="D7" s="620" t="s">
        <v>273</v>
      </c>
      <c r="E7" s="269"/>
      <c r="F7" s="269"/>
      <c r="G7" s="534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7" ht="13.5" thickBot="1">
      <c r="C8" s="472"/>
      <c r="D8" s="599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7" ht="13.5" thickBot="1">
      <c r="A9" s="191"/>
      <c r="C9" s="476" t="s">
        <v>50</v>
      </c>
      <c r="D9" s="621" t="s">
        <v>277</v>
      </c>
      <c r="E9" s="478"/>
      <c r="F9" s="478"/>
      <c r="G9" s="478"/>
      <c r="H9" s="478"/>
      <c r="I9" s="479"/>
      <c r="J9" s="480"/>
      <c r="O9" s="481"/>
      <c r="P9" s="272"/>
    </row>
    <row r="10" spans="1:17">
      <c r="C10" s="482" t="s">
        <v>51</v>
      </c>
      <c r="D10" s="483">
        <v>249141</v>
      </c>
      <c r="E10" s="353" t="s">
        <v>52</v>
      </c>
      <c r="F10" s="481"/>
      <c r="G10" s="484"/>
      <c r="H10" s="484"/>
      <c r="I10" s="485">
        <f>+'SWE.WS.F.BPU.ATRR.Projected'!L19</f>
        <v>2024</v>
      </c>
      <c r="J10" s="480"/>
      <c r="K10" s="375" t="s">
        <v>53</v>
      </c>
      <c r="O10" s="272"/>
      <c r="P10" s="272"/>
    </row>
    <row r="11" spans="1:17">
      <c r="C11" s="486" t="s">
        <v>54</v>
      </c>
      <c r="D11" s="487">
        <v>2011</v>
      </c>
      <c r="E11" s="486" t="s">
        <v>55</v>
      </c>
      <c r="F11" s="484"/>
      <c r="G11" s="233"/>
      <c r="H11" s="233"/>
      <c r="I11" s="488"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7">
      <c r="C12" s="486" t="s">
        <v>56</v>
      </c>
      <c r="D12" s="483">
        <v>6</v>
      </c>
      <c r="E12" s="486" t="s">
        <v>57</v>
      </c>
      <c r="F12" s="484"/>
      <c r="G12" s="233"/>
      <c r="H12" s="233"/>
      <c r="I12" s="490">
        <f>'SWE.WS.F.BPU.ATRR.Projected'!$F$81</f>
        <v>0.11952713165403545</v>
      </c>
      <c r="J12" s="425"/>
      <c r="K12" s="183" t="s">
        <v>58</v>
      </c>
      <c r="O12" s="272"/>
      <c r="P12" s="272"/>
    </row>
    <row r="13" spans="1:17">
      <c r="C13" s="486" t="s">
        <v>59</v>
      </c>
      <c r="D13" s="488">
        <f>+'SWE.WS.F.BPU.ATRR.Projected'!F$93</f>
        <v>44</v>
      </c>
      <c r="E13" s="486" t="s">
        <v>60</v>
      </c>
      <c r="F13" s="484"/>
      <c r="G13" s="233"/>
      <c r="H13" s="233"/>
      <c r="I13" s="490">
        <f>IF(G5="",I12,'SWE.WS.F.BPU.ATRR.Projected'!$F$80)</f>
        <v>0.11952713165403545</v>
      </c>
      <c r="J13" s="425"/>
      <c r="K13" s="375" t="s">
        <v>61</v>
      </c>
      <c r="L13" s="324"/>
      <c r="M13" s="324"/>
      <c r="N13" s="324"/>
      <c r="O13" s="272"/>
      <c r="P13" s="272"/>
    </row>
    <row r="14" spans="1:17" ht="13.5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5662.295454545455</v>
      </c>
      <c r="J14" s="375"/>
      <c r="K14" s="375"/>
      <c r="L14" s="375"/>
      <c r="M14" s="375"/>
      <c r="N14" s="375"/>
      <c r="O14" s="272"/>
      <c r="P14" s="272"/>
    </row>
    <row r="15" spans="1:17" ht="38.25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388</v>
      </c>
      <c r="H15" s="495" t="s">
        <v>389</v>
      </c>
      <c r="I15" s="496" t="s">
        <v>260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7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>
      <c r="C17" s="507">
        <f>IF(D11= "","-",D11)</f>
        <v>2011</v>
      </c>
      <c r="D17" s="508">
        <v>91500</v>
      </c>
      <c r="E17" s="509">
        <v>0</v>
      </c>
      <c r="F17" s="508">
        <v>91500</v>
      </c>
      <c r="G17" s="509">
        <v>13154.497429496008</v>
      </c>
      <c r="H17" s="510">
        <v>13154.497429496008</v>
      </c>
      <c r="I17" s="517">
        <v>0</v>
      </c>
      <c r="J17" s="511"/>
      <c r="K17" s="512">
        <f t="shared" ref="K17:K22" si="0">G17</f>
        <v>13154.497429496008</v>
      </c>
      <c r="L17" s="597">
        <f t="shared" ref="L17:L48" si="1">IF(K17&lt;&gt;0,+G17-K17,0)</f>
        <v>0</v>
      </c>
      <c r="M17" s="512">
        <f t="shared" ref="M17:M22" si="2">H17</f>
        <v>13154.497429496008</v>
      </c>
      <c r="N17" s="513">
        <f t="shared" ref="N17:N48" si="3">IF(M17&lt;&gt;0,+H17-M17,0)</f>
        <v>0</v>
      </c>
      <c r="O17" s="514">
        <f t="shared" ref="O17:O48" si="4">+N17-L17</f>
        <v>0</v>
      </c>
      <c r="P17" s="272"/>
    </row>
    <row r="18" spans="2:16">
      <c r="B18" s="195" t="str">
        <f t="shared" ref="B18:B49" si="5">IF(D18=F17,"","IU")</f>
        <v>IU</v>
      </c>
      <c r="C18" s="507">
        <f>IF(D11="","-",+C17+1)</f>
        <v>2012</v>
      </c>
      <c r="D18" s="515">
        <v>249141</v>
      </c>
      <c r="E18" s="516">
        <v>5931.9285714285716</v>
      </c>
      <c r="F18" s="515">
        <v>243209.07142857142</v>
      </c>
      <c r="G18" s="516">
        <v>42102.015739943599</v>
      </c>
      <c r="H18" s="510">
        <v>42102.015739943599</v>
      </c>
      <c r="I18" s="517">
        <v>0</v>
      </c>
      <c r="J18" s="511"/>
      <c r="K18" s="518">
        <f t="shared" si="0"/>
        <v>42102.015739943599</v>
      </c>
      <c r="L18" s="519">
        <f t="shared" si="1"/>
        <v>0</v>
      </c>
      <c r="M18" s="518">
        <f t="shared" si="2"/>
        <v>42102.015739943599</v>
      </c>
      <c r="N18" s="514">
        <f t="shared" si="3"/>
        <v>0</v>
      </c>
      <c r="O18" s="514">
        <f t="shared" si="4"/>
        <v>0</v>
      </c>
      <c r="P18" s="272"/>
    </row>
    <row r="19" spans="2:16">
      <c r="B19" s="195" t="str">
        <f t="shared" si="5"/>
        <v/>
      </c>
      <c r="C19" s="507">
        <f>IF(D11="","-",+C18+1)</f>
        <v>2013</v>
      </c>
      <c r="D19" s="608">
        <v>243209.07142857142</v>
      </c>
      <c r="E19" s="609">
        <v>5931.9285714285716</v>
      </c>
      <c r="F19" s="608">
        <v>237277.14285714284</v>
      </c>
      <c r="G19" s="609">
        <v>39147.663443283265</v>
      </c>
      <c r="H19" s="610">
        <v>39147.663443283265</v>
      </c>
      <c r="I19" s="596">
        <v>0</v>
      </c>
      <c r="J19" s="511"/>
      <c r="K19" s="518">
        <f t="shared" si="0"/>
        <v>39147.663443283265</v>
      </c>
      <c r="L19" s="519">
        <f t="shared" ref="L19:L24" si="6">IF(K19&lt;&gt;0,+G19-K19,0)</f>
        <v>0</v>
      </c>
      <c r="M19" s="518">
        <f t="shared" si="2"/>
        <v>39147.663443283265</v>
      </c>
      <c r="N19" s="514">
        <f t="shared" ref="N19:N24" si="7">IF(M19&lt;&gt;0,+H19-M19,0)</f>
        <v>0</v>
      </c>
      <c r="O19" s="514">
        <f t="shared" si="4"/>
        <v>0</v>
      </c>
      <c r="P19" s="272"/>
    </row>
    <row r="20" spans="2:16">
      <c r="B20" s="195" t="str">
        <f t="shared" si="5"/>
        <v/>
      </c>
      <c r="C20" s="507">
        <f>IF(D11="","-",+C19+1)</f>
        <v>2014</v>
      </c>
      <c r="D20" s="608">
        <v>237277.14285714284</v>
      </c>
      <c r="E20" s="609">
        <v>5931.9285714285716</v>
      </c>
      <c r="F20" s="608">
        <v>231345.21428571426</v>
      </c>
      <c r="G20" s="609">
        <v>37142.829011918198</v>
      </c>
      <c r="H20" s="610">
        <v>37142.829011918198</v>
      </c>
      <c r="I20" s="596">
        <v>0</v>
      </c>
      <c r="J20" s="511"/>
      <c r="K20" s="518">
        <f t="shared" si="0"/>
        <v>37142.829011918198</v>
      </c>
      <c r="L20" s="519">
        <f t="shared" si="6"/>
        <v>0</v>
      </c>
      <c r="M20" s="518">
        <f t="shared" si="2"/>
        <v>37142.829011918198</v>
      </c>
      <c r="N20" s="514">
        <f t="shared" si="7"/>
        <v>0</v>
      </c>
      <c r="O20" s="514">
        <f>+N20-L20</f>
        <v>0</v>
      </c>
      <c r="P20" s="272"/>
    </row>
    <row r="21" spans="2:16">
      <c r="B21" s="195" t="str">
        <f t="shared" si="5"/>
        <v/>
      </c>
      <c r="C21" s="507">
        <f>IF(D12="","-",+C20+1)</f>
        <v>2015</v>
      </c>
      <c r="D21" s="608">
        <v>231345.21428571426</v>
      </c>
      <c r="E21" s="609">
        <v>5931.9285714285716</v>
      </c>
      <c r="F21" s="608">
        <v>225413.28571428568</v>
      </c>
      <c r="G21" s="609">
        <v>35619.940503574464</v>
      </c>
      <c r="H21" s="610">
        <v>35619.940503574464</v>
      </c>
      <c r="I21" s="511">
        <v>0</v>
      </c>
      <c r="J21" s="511"/>
      <c r="K21" s="518">
        <f t="shared" si="0"/>
        <v>35619.940503574464</v>
      </c>
      <c r="L21" s="519">
        <f t="shared" si="6"/>
        <v>0</v>
      </c>
      <c r="M21" s="518">
        <f t="shared" si="2"/>
        <v>35619.940503574464</v>
      </c>
      <c r="N21" s="514">
        <f t="shared" si="7"/>
        <v>0</v>
      </c>
      <c r="O21" s="514">
        <f>+N21-L21</f>
        <v>0</v>
      </c>
      <c r="P21" s="272"/>
    </row>
    <row r="22" spans="2:16">
      <c r="B22" s="195" t="str">
        <f t="shared" si="5"/>
        <v/>
      </c>
      <c r="C22" s="507">
        <f>IF(D11="","-",+C21+1)</f>
        <v>2016</v>
      </c>
      <c r="D22" s="608">
        <v>225413.28571428568</v>
      </c>
      <c r="E22" s="609">
        <v>5931.9285714285716</v>
      </c>
      <c r="F22" s="608">
        <v>219481.3571428571</v>
      </c>
      <c r="G22" s="609">
        <v>34482.05802568973</v>
      </c>
      <c r="H22" s="610">
        <v>34482.05802568973</v>
      </c>
      <c r="I22" s="511">
        <f t="shared" ref="I22:I49" si="8">H22-G22</f>
        <v>0</v>
      </c>
      <c r="J22" s="511"/>
      <c r="K22" s="518">
        <f t="shared" si="0"/>
        <v>34482.05802568973</v>
      </c>
      <c r="L22" s="519">
        <f t="shared" si="6"/>
        <v>0</v>
      </c>
      <c r="M22" s="518">
        <f t="shared" si="2"/>
        <v>34482.05802568973</v>
      </c>
      <c r="N22" s="514">
        <f t="shared" si="7"/>
        <v>0</v>
      </c>
      <c r="O22" s="514">
        <f>+N22-L22</f>
        <v>0</v>
      </c>
      <c r="P22" s="272"/>
    </row>
    <row r="23" spans="2:16">
      <c r="B23" s="195" t="str">
        <f t="shared" si="5"/>
        <v/>
      </c>
      <c r="C23" s="507">
        <f>IF(D11="","-",+C22+1)</f>
        <v>2017</v>
      </c>
      <c r="D23" s="608">
        <v>219481.3571428571</v>
      </c>
      <c r="E23" s="609">
        <v>5793.9767441860467</v>
      </c>
      <c r="F23" s="608">
        <v>213687.38039867106</v>
      </c>
      <c r="G23" s="609">
        <v>32627.162932907937</v>
      </c>
      <c r="H23" s="610">
        <v>32627.162932907937</v>
      </c>
      <c r="I23" s="511">
        <f t="shared" si="8"/>
        <v>0</v>
      </c>
      <c r="J23" s="511"/>
      <c r="K23" s="518">
        <f t="shared" ref="K23:K28" si="9">G23</f>
        <v>32627.162932907937</v>
      </c>
      <c r="L23" s="519">
        <f t="shared" si="6"/>
        <v>0</v>
      </c>
      <c r="M23" s="518">
        <f t="shared" ref="M23:M28" si="10">H23</f>
        <v>32627.162932907937</v>
      </c>
      <c r="N23" s="514">
        <f t="shared" si="7"/>
        <v>0</v>
      </c>
      <c r="O23" s="514">
        <f>+N23-L23</f>
        <v>0</v>
      </c>
      <c r="P23" s="272"/>
    </row>
    <row r="24" spans="2:16">
      <c r="B24" s="195" t="str">
        <f t="shared" si="5"/>
        <v/>
      </c>
      <c r="C24" s="507">
        <f>IF(D11="","-",+C23+1)</f>
        <v>2018</v>
      </c>
      <c r="D24" s="608">
        <v>213687.38039867106</v>
      </c>
      <c r="E24" s="609">
        <v>6076.6097560975613</v>
      </c>
      <c r="F24" s="608">
        <v>207610.77064257348</v>
      </c>
      <c r="G24" s="609">
        <v>32848.86419946191</v>
      </c>
      <c r="H24" s="610">
        <v>32848.86419946191</v>
      </c>
      <c r="I24" s="511">
        <f t="shared" si="8"/>
        <v>0</v>
      </c>
      <c r="J24" s="511"/>
      <c r="K24" s="518">
        <f t="shared" si="9"/>
        <v>32848.86419946191</v>
      </c>
      <c r="L24" s="519">
        <f t="shared" si="6"/>
        <v>0</v>
      </c>
      <c r="M24" s="518">
        <f t="shared" si="10"/>
        <v>32848.86419946191</v>
      </c>
      <c r="N24" s="514">
        <f t="shared" si="7"/>
        <v>0</v>
      </c>
      <c r="O24" s="514">
        <f>+N24-L24</f>
        <v>0</v>
      </c>
      <c r="P24" s="272"/>
    </row>
    <row r="25" spans="2:16">
      <c r="B25" s="195" t="str">
        <f t="shared" si="5"/>
        <v/>
      </c>
      <c r="C25" s="507">
        <f>IF(D11="","-",+C24+1)</f>
        <v>2019</v>
      </c>
      <c r="D25" s="608">
        <v>207610.77064257348</v>
      </c>
      <c r="E25" s="609">
        <v>6076.6097560975613</v>
      </c>
      <c r="F25" s="608">
        <v>201534.16088647593</v>
      </c>
      <c r="G25" s="609">
        <v>32076.562957972019</v>
      </c>
      <c r="H25" s="610">
        <v>32076.562957972019</v>
      </c>
      <c r="I25" s="511">
        <f t="shared" si="8"/>
        <v>0</v>
      </c>
      <c r="J25" s="511"/>
      <c r="K25" s="518">
        <f t="shared" si="9"/>
        <v>32076.562957972019</v>
      </c>
      <c r="L25" s="519">
        <f t="shared" ref="L25" si="11">IF(K25&lt;&gt;0,+G25-K25,0)</f>
        <v>0</v>
      </c>
      <c r="M25" s="518">
        <f t="shared" si="10"/>
        <v>32076.562957972019</v>
      </c>
      <c r="N25" s="514">
        <f t="shared" si="3"/>
        <v>0</v>
      </c>
      <c r="O25" s="514">
        <f t="shared" si="4"/>
        <v>0</v>
      </c>
      <c r="P25" s="272"/>
    </row>
    <row r="26" spans="2:16">
      <c r="B26" s="195" t="str">
        <f t="shared" si="5"/>
        <v/>
      </c>
      <c r="C26" s="507">
        <f>IF(D11="","-",+C25+1)</f>
        <v>2020</v>
      </c>
      <c r="D26" s="608">
        <v>201534.16088647593</v>
      </c>
      <c r="E26" s="609">
        <v>6076.6097560975613</v>
      </c>
      <c r="F26" s="608">
        <v>195457.55113037839</v>
      </c>
      <c r="G26" s="609">
        <v>26389.773553263374</v>
      </c>
      <c r="H26" s="610">
        <v>26389.773553263374</v>
      </c>
      <c r="I26" s="511">
        <f t="shared" si="8"/>
        <v>0</v>
      </c>
      <c r="J26" s="511"/>
      <c r="K26" s="518">
        <f t="shared" si="9"/>
        <v>26389.773553263374</v>
      </c>
      <c r="L26" s="519">
        <f t="shared" ref="L26" si="12">IF(K26&lt;&gt;0,+G26-K26,0)</f>
        <v>0</v>
      </c>
      <c r="M26" s="518">
        <f t="shared" si="10"/>
        <v>26389.773553263374</v>
      </c>
      <c r="N26" s="514">
        <f t="shared" si="3"/>
        <v>0</v>
      </c>
      <c r="O26" s="514">
        <f t="shared" si="4"/>
        <v>0</v>
      </c>
      <c r="P26" s="272"/>
    </row>
    <row r="27" spans="2:16">
      <c r="B27" s="195" t="str">
        <f t="shared" si="5"/>
        <v>IU</v>
      </c>
      <c r="C27" s="507">
        <f>IF(D11="","-",+C26+1)</f>
        <v>2021</v>
      </c>
      <c r="D27" s="608">
        <v>195740.18414228992</v>
      </c>
      <c r="E27" s="609">
        <v>5931.9285714285716</v>
      </c>
      <c r="F27" s="608">
        <v>189808.25557086134</v>
      </c>
      <c r="G27" s="609">
        <v>26366.872043271276</v>
      </c>
      <c r="H27" s="610">
        <v>26366.872043271276</v>
      </c>
      <c r="I27" s="511">
        <f t="shared" si="8"/>
        <v>0</v>
      </c>
      <c r="J27" s="511"/>
      <c r="K27" s="518">
        <f t="shared" si="9"/>
        <v>26366.872043271276</v>
      </c>
      <c r="L27" s="519">
        <f t="shared" ref="L27" si="13">IF(K27&lt;&gt;0,+G27-K27,0)</f>
        <v>0</v>
      </c>
      <c r="M27" s="518">
        <f t="shared" si="10"/>
        <v>26366.872043271276</v>
      </c>
      <c r="N27" s="514">
        <f t="shared" si="3"/>
        <v>0</v>
      </c>
      <c r="O27" s="514">
        <f t="shared" si="4"/>
        <v>0</v>
      </c>
      <c r="P27" s="272"/>
    </row>
    <row r="28" spans="2:16">
      <c r="B28" s="195" t="str">
        <f t="shared" si="5"/>
        <v>IU</v>
      </c>
      <c r="C28" s="507">
        <f>IF(D11="","-",+C27+1)</f>
        <v>2022</v>
      </c>
      <c r="D28" s="608">
        <v>189525.62255894984</v>
      </c>
      <c r="E28" s="609">
        <v>5931.9285714285716</v>
      </c>
      <c r="F28" s="608">
        <v>183593.69398752126</v>
      </c>
      <c r="G28" s="609">
        <v>26909.46086077678</v>
      </c>
      <c r="H28" s="610">
        <v>26909.46086077678</v>
      </c>
      <c r="I28" s="511">
        <f t="shared" si="8"/>
        <v>0</v>
      </c>
      <c r="J28" s="511"/>
      <c r="K28" s="518">
        <f t="shared" si="9"/>
        <v>26909.46086077678</v>
      </c>
      <c r="L28" s="519">
        <f t="shared" ref="L28" si="14">IF(K28&lt;&gt;0,+G28-K28,0)</f>
        <v>0</v>
      </c>
      <c r="M28" s="518">
        <f t="shared" si="10"/>
        <v>26909.46086077678</v>
      </c>
      <c r="N28" s="514">
        <f t="shared" si="3"/>
        <v>0</v>
      </c>
      <c r="O28" s="514">
        <f t="shared" si="4"/>
        <v>0</v>
      </c>
      <c r="P28" s="272"/>
    </row>
    <row r="29" spans="2:16">
      <c r="B29" s="195" t="str">
        <f t="shared" si="5"/>
        <v/>
      </c>
      <c r="C29" s="507">
        <f>IF(D11="","-",+C28+1)</f>
        <v>2023</v>
      </c>
      <c r="D29" s="608">
        <v>183593.69398752126</v>
      </c>
      <c r="E29" s="609">
        <v>5931.9285714285716</v>
      </c>
      <c r="F29" s="608">
        <v>177661.76541609268</v>
      </c>
      <c r="G29" s="609">
        <v>28750.049484710118</v>
      </c>
      <c r="H29" s="610">
        <v>28750.049484710118</v>
      </c>
      <c r="I29" s="511">
        <f t="shared" si="8"/>
        <v>0</v>
      </c>
      <c r="J29" s="511"/>
      <c r="K29" s="518">
        <f t="shared" ref="K29" si="15">G29</f>
        <v>28750.049484710118</v>
      </c>
      <c r="L29" s="519">
        <f t="shared" ref="L29" si="16">IF(K29&lt;&gt;0,+G29-K29,0)</f>
        <v>0</v>
      </c>
      <c r="M29" s="518">
        <f t="shared" ref="M29" si="17">H29</f>
        <v>28750.049484710118</v>
      </c>
      <c r="N29" s="514">
        <f t="shared" ref="N29" si="18">IF(M29&lt;&gt;0,+H29-M29,0)</f>
        <v>0</v>
      </c>
      <c r="O29" s="514">
        <f t="shared" ref="O29" si="19">+N29-L29</f>
        <v>0</v>
      </c>
      <c r="P29" s="272"/>
    </row>
    <row r="30" spans="2:16">
      <c r="B30" s="195" t="str">
        <f t="shared" si="5"/>
        <v/>
      </c>
      <c r="C30" s="673">
        <f>IF(D11="","-",+C29+1)</f>
        <v>2024</v>
      </c>
      <c r="D30" s="523">
        <f>IF(F29+SUM(E$17:E29)=D$10,F29,D$10-SUM(E$17:E29))</f>
        <v>177661.76541609268</v>
      </c>
      <c r="E30" s="522">
        <f>IF(+I14&lt;F29,I14,D30)</f>
        <v>5662.295454545455</v>
      </c>
      <c r="F30" s="523">
        <f t="shared" ref="F30:F49" si="20">+D30-E30</f>
        <v>171999.46996154723</v>
      </c>
      <c r="G30" s="524">
        <f t="shared" ref="G30:G54" si="21">+I$12*((D30+F30)/2)+E30</f>
        <v>26559.297712193376</v>
      </c>
      <c r="H30" s="491">
        <f t="shared" ref="H30:H54" si="22">+I$13*((D30+F30)/2)+E30</f>
        <v>26559.297712193376</v>
      </c>
      <c r="I30" s="511">
        <f t="shared" si="8"/>
        <v>0</v>
      </c>
      <c r="J30" s="511"/>
      <c r="K30" s="525"/>
      <c r="L30" s="514">
        <f t="shared" si="1"/>
        <v>0</v>
      </c>
      <c r="M30" s="525"/>
      <c r="N30" s="514">
        <f t="shared" si="3"/>
        <v>0</v>
      </c>
      <c r="O30" s="514">
        <f t="shared" si="4"/>
        <v>0</v>
      </c>
      <c r="P30" s="272"/>
    </row>
    <row r="31" spans="2:16">
      <c r="B31" s="195" t="str">
        <f t="shared" si="5"/>
        <v/>
      </c>
      <c r="C31" s="507">
        <f>IF(D11="","-",+C30+1)</f>
        <v>2025</v>
      </c>
      <c r="D31" s="523">
        <f>IF(F30+SUM(E$17:E30)=D$10,F30,D$10-SUM(E$17:E30))</f>
        <v>171999.46996154723</v>
      </c>
      <c r="E31" s="522">
        <f>IF(+I14&lt;F30,I14,D31)</f>
        <v>5662.295454545455</v>
      </c>
      <c r="F31" s="523">
        <f t="shared" si="20"/>
        <v>166337.17450700179</v>
      </c>
      <c r="G31" s="524">
        <f t="shared" si="21"/>
        <v>25882.499777933877</v>
      </c>
      <c r="H31" s="491">
        <f t="shared" si="22"/>
        <v>25882.499777933877</v>
      </c>
      <c r="I31" s="511">
        <f t="shared" si="8"/>
        <v>0</v>
      </c>
      <c r="J31" s="511"/>
      <c r="K31" s="525"/>
      <c r="L31" s="514">
        <f t="shared" si="1"/>
        <v>0</v>
      </c>
      <c r="M31" s="525"/>
      <c r="N31" s="514">
        <f t="shared" si="3"/>
        <v>0</v>
      </c>
      <c r="O31" s="514">
        <f t="shared" si="4"/>
        <v>0</v>
      </c>
      <c r="P31" s="272"/>
    </row>
    <row r="32" spans="2:16">
      <c r="B32" s="195" t="str">
        <f t="shared" si="5"/>
        <v/>
      </c>
      <c r="C32" s="507">
        <f>IF(D11="","-",+C31+1)</f>
        <v>2026</v>
      </c>
      <c r="D32" s="523">
        <f>IF(F31+SUM(E$17:E31)=D$10,F31,D$10-SUM(E$17:E31))</f>
        <v>166337.17450700179</v>
      </c>
      <c r="E32" s="522">
        <f>IF(+I14&lt;F31,I14,D32)</f>
        <v>5662.295454545455</v>
      </c>
      <c r="F32" s="523">
        <f t="shared" si="20"/>
        <v>160674.87905245635</v>
      </c>
      <c r="G32" s="524">
        <f t="shared" si="21"/>
        <v>25205.701843674375</v>
      </c>
      <c r="H32" s="491">
        <f t="shared" si="22"/>
        <v>25205.701843674375</v>
      </c>
      <c r="I32" s="511">
        <f t="shared" si="8"/>
        <v>0</v>
      </c>
      <c r="J32" s="511"/>
      <c r="K32" s="525"/>
      <c r="L32" s="514">
        <f t="shared" si="1"/>
        <v>0</v>
      </c>
      <c r="M32" s="525"/>
      <c r="N32" s="514">
        <f t="shared" si="3"/>
        <v>0</v>
      </c>
      <c r="O32" s="514">
        <f t="shared" si="4"/>
        <v>0</v>
      </c>
      <c r="P32" s="272"/>
    </row>
    <row r="33" spans="2:16">
      <c r="B33" s="195" t="str">
        <f t="shared" si="5"/>
        <v/>
      </c>
      <c r="C33" s="507">
        <f>IF(D11="","-",+C32+1)</f>
        <v>2027</v>
      </c>
      <c r="D33" s="523">
        <f>IF(F32+SUM(E$17:E32)=D$10,F32,D$10-SUM(E$17:E32))</f>
        <v>160674.87905245635</v>
      </c>
      <c r="E33" s="522">
        <f>IF(+I14&lt;F32,I14,D33)</f>
        <v>5662.295454545455</v>
      </c>
      <c r="F33" s="523">
        <f t="shared" si="20"/>
        <v>155012.58359791091</v>
      </c>
      <c r="G33" s="524">
        <f t="shared" si="21"/>
        <v>24528.903909414879</v>
      </c>
      <c r="H33" s="491">
        <f t="shared" si="22"/>
        <v>24528.903909414879</v>
      </c>
      <c r="I33" s="511">
        <f t="shared" si="8"/>
        <v>0</v>
      </c>
      <c r="J33" s="511"/>
      <c r="K33" s="525"/>
      <c r="L33" s="514">
        <f t="shared" si="1"/>
        <v>0</v>
      </c>
      <c r="M33" s="525"/>
      <c r="N33" s="514">
        <f t="shared" si="3"/>
        <v>0</v>
      </c>
      <c r="O33" s="514">
        <f t="shared" si="4"/>
        <v>0</v>
      </c>
      <c r="P33" s="272"/>
    </row>
    <row r="34" spans="2:16">
      <c r="B34" s="195" t="str">
        <f t="shared" si="5"/>
        <v/>
      </c>
      <c r="C34" s="507">
        <f>IF(D11="","-",+C33+1)</f>
        <v>2028</v>
      </c>
      <c r="D34" s="523">
        <f>IF(F33+SUM(E$17:E33)=D$10,F33,D$10-SUM(E$17:E33))</f>
        <v>155012.58359791091</v>
      </c>
      <c r="E34" s="522">
        <f>IF(+I14&lt;F33,I14,D34)</f>
        <v>5662.295454545455</v>
      </c>
      <c r="F34" s="523">
        <f t="shared" si="20"/>
        <v>149350.28814336547</v>
      </c>
      <c r="G34" s="524">
        <f t="shared" si="21"/>
        <v>23852.105975155377</v>
      </c>
      <c r="H34" s="491">
        <f t="shared" si="22"/>
        <v>23852.105975155377</v>
      </c>
      <c r="I34" s="511">
        <f t="shared" si="8"/>
        <v>0</v>
      </c>
      <c r="J34" s="511"/>
      <c r="K34" s="525"/>
      <c r="L34" s="514">
        <f t="shared" si="1"/>
        <v>0</v>
      </c>
      <c r="M34" s="525"/>
      <c r="N34" s="514">
        <f t="shared" si="3"/>
        <v>0</v>
      </c>
      <c r="O34" s="514">
        <f t="shared" si="4"/>
        <v>0</v>
      </c>
      <c r="P34" s="272"/>
    </row>
    <row r="35" spans="2:16">
      <c r="B35" s="195" t="str">
        <f t="shared" si="5"/>
        <v/>
      </c>
      <c r="C35" s="507">
        <f>IF(D11="","-",+C34+1)</f>
        <v>2029</v>
      </c>
      <c r="D35" s="523">
        <f>IF(F34+SUM(E$17:E34)=D$10,F34,D$10-SUM(E$17:E34))</f>
        <v>149350.28814336547</v>
      </c>
      <c r="E35" s="522">
        <f>IF(+I14&lt;F34,I14,D35)</f>
        <v>5662.295454545455</v>
      </c>
      <c r="F35" s="523">
        <f t="shared" si="20"/>
        <v>143687.99268882003</v>
      </c>
      <c r="G35" s="524">
        <f t="shared" si="21"/>
        <v>23175.308040895881</v>
      </c>
      <c r="H35" s="491">
        <f t="shared" si="22"/>
        <v>23175.308040895881</v>
      </c>
      <c r="I35" s="511">
        <f t="shared" si="8"/>
        <v>0</v>
      </c>
      <c r="J35" s="511"/>
      <c r="K35" s="525"/>
      <c r="L35" s="514">
        <f t="shared" si="1"/>
        <v>0</v>
      </c>
      <c r="M35" s="525"/>
      <c r="N35" s="514">
        <f t="shared" si="3"/>
        <v>0</v>
      </c>
      <c r="O35" s="514">
        <f t="shared" si="4"/>
        <v>0</v>
      </c>
      <c r="P35" s="272"/>
    </row>
    <row r="36" spans="2:16">
      <c r="B36" s="195" t="str">
        <f t="shared" si="5"/>
        <v/>
      </c>
      <c r="C36" s="507">
        <f>IF(D11="","-",+C35+1)</f>
        <v>2030</v>
      </c>
      <c r="D36" s="523">
        <f>IF(F35+SUM(E$17:E35)=D$10,F35,D$10-SUM(E$17:E35))</f>
        <v>143687.99268882003</v>
      </c>
      <c r="E36" s="522">
        <f>IF(+I14&lt;F35,I14,D36)</f>
        <v>5662.295454545455</v>
      </c>
      <c r="F36" s="523">
        <f t="shared" si="20"/>
        <v>138025.69723427459</v>
      </c>
      <c r="G36" s="524">
        <f t="shared" si="21"/>
        <v>22498.510106636379</v>
      </c>
      <c r="H36" s="491">
        <f t="shared" si="22"/>
        <v>22498.510106636379</v>
      </c>
      <c r="I36" s="511">
        <f t="shared" si="8"/>
        <v>0</v>
      </c>
      <c r="J36" s="511"/>
      <c r="K36" s="525"/>
      <c r="L36" s="514">
        <f t="shared" si="1"/>
        <v>0</v>
      </c>
      <c r="M36" s="525"/>
      <c r="N36" s="514">
        <f t="shared" si="3"/>
        <v>0</v>
      </c>
      <c r="O36" s="514">
        <f t="shared" si="4"/>
        <v>0</v>
      </c>
      <c r="P36" s="272"/>
    </row>
    <row r="37" spans="2:16">
      <c r="B37" s="195" t="str">
        <f t="shared" si="5"/>
        <v/>
      </c>
      <c r="C37" s="507">
        <f>IF(D11="","-",+C36+1)</f>
        <v>2031</v>
      </c>
      <c r="D37" s="523">
        <f>IF(F36+SUM(E$17:E36)=D$10,F36,D$10-SUM(E$17:E36))</f>
        <v>138025.69723427459</v>
      </c>
      <c r="E37" s="522">
        <f>IF(+I14&lt;F36,I14,D37)</f>
        <v>5662.295454545455</v>
      </c>
      <c r="F37" s="523">
        <f t="shared" si="20"/>
        <v>132363.40177972915</v>
      </c>
      <c r="G37" s="524">
        <f t="shared" si="21"/>
        <v>21821.712172376883</v>
      </c>
      <c r="H37" s="491">
        <f t="shared" si="22"/>
        <v>21821.712172376883</v>
      </c>
      <c r="I37" s="511">
        <f t="shared" si="8"/>
        <v>0</v>
      </c>
      <c r="J37" s="511"/>
      <c r="K37" s="525"/>
      <c r="L37" s="514">
        <f t="shared" si="1"/>
        <v>0</v>
      </c>
      <c r="M37" s="525"/>
      <c r="N37" s="514">
        <f t="shared" si="3"/>
        <v>0</v>
      </c>
      <c r="O37" s="514">
        <f t="shared" si="4"/>
        <v>0</v>
      </c>
      <c r="P37" s="272"/>
    </row>
    <row r="38" spans="2:16">
      <c r="B38" s="195" t="str">
        <f t="shared" si="5"/>
        <v/>
      </c>
      <c r="C38" s="507">
        <f>IF(D11="","-",+C37+1)</f>
        <v>2032</v>
      </c>
      <c r="D38" s="523">
        <f>IF(F37+SUM(E$17:E37)=D$10,F37,D$10-SUM(E$17:E37))</f>
        <v>132363.40177972915</v>
      </c>
      <c r="E38" s="522">
        <f>IF(+I14&lt;F37,I14,D38)</f>
        <v>5662.295454545455</v>
      </c>
      <c r="F38" s="523">
        <f t="shared" si="20"/>
        <v>126701.10632518369</v>
      </c>
      <c r="G38" s="524">
        <f t="shared" si="21"/>
        <v>21144.914238117377</v>
      </c>
      <c r="H38" s="491">
        <f t="shared" si="22"/>
        <v>21144.914238117377</v>
      </c>
      <c r="I38" s="511">
        <f t="shared" si="8"/>
        <v>0</v>
      </c>
      <c r="J38" s="511"/>
      <c r="K38" s="525"/>
      <c r="L38" s="514">
        <f t="shared" si="1"/>
        <v>0</v>
      </c>
      <c r="M38" s="525"/>
      <c r="N38" s="514">
        <f t="shared" si="3"/>
        <v>0</v>
      </c>
      <c r="O38" s="514">
        <f t="shared" si="4"/>
        <v>0</v>
      </c>
      <c r="P38" s="272"/>
    </row>
    <row r="39" spans="2:16">
      <c r="B39" s="195" t="str">
        <f t="shared" si="5"/>
        <v/>
      </c>
      <c r="C39" s="507">
        <f>IF(D11="","-",+C38+1)</f>
        <v>2033</v>
      </c>
      <c r="D39" s="523">
        <f>IF(F38+SUM(E$17:E38)=D$10,F38,D$10-SUM(E$17:E38))</f>
        <v>126701.10632518369</v>
      </c>
      <c r="E39" s="522">
        <f>IF(+I14&lt;F38,I14,D39)</f>
        <v>5662.295454545455</v>
      </c>
      <c r="F39" s="523">
        <f t="shared" si="20"/>
        <v>121038.81087063823</v>
      </c>
      <c r="G39" s="524">
        <f t="shared" si="21"/>
        <v>20468.116303857878</v>
      </c>
      <c r="H39" s="491">
        <f t="shared" si="22"/>
        <v>20468.116303857878</v>
      </c>
      <c r="I39" s="511">
        <f t="shared" si="8"/>
        <v>0</v>
      </c>
      <c r="J39" s="511"/>
      <c r="K39" s="525"/>
      <c r="L39" s="514">
        <f t="shared" si="1"/>
        <v>0</v>
      </c>
      <c r="M39" s="525"/>
      <c r="N39" s="514">
        <f t="shared" si="3"/>
        <v>0</v>
      </c>
      <c r="O39" s="514">
        <f t="shared" si="4"/>
        <v>0</v>
      </c>
      <c r="P39" s="272"/>
    </row>
    <row r="40" spans="2:16">
      <c r="B40" s="195" t="str">
        <f t="shared" si="5"/>
        <v/>
      </c>
      <c r="C40" s="507">
        <f>IF(D11="","-",+C39+1)</f>
        <v>2034</v>
      </c>
      <c r="D40" s="523">
        <f>IF(F39+SUM(E$17:E39)=D$10,F39,D$10-SUM(E$17:E39))</f>
        <v>121038.81087063823</v>
      </c>
      <c r="E40" s="522">
        <f>IF(+I14&lt;F39,I14,D40)</f>
        <v>5662.295454545455</v>
      </c>
      <c r="F40" s="523">
        <f t="shared" si="20"/>
        <v>115376.51541609278</v>
      </c>
      <c r="G40" s="524">
        <f t="shared" si="21"/>
        <v>19791.318369598375</v>
      </c>
      <c r="H40" s="491">
        <f t="shared" si="22"/>
        <v>19791.318369598375</v>
      </c>
      <c r="I40" s="511">
        <f t="shared" si="8"/>
        <v>0</v>
      </c>
      <c r="J40" s="511"/>
      <c r="K40" s="525"/>
      <c r="L40" s="514">
        <f t="shared" si="1"/>
        <v>0</v>
      </c>
      <c r="M40" s="525"/>
      <c r="N40" s="514">
        <f t="shared" si="3"/>
        <v>0</v>
      </c>
      <c r="O40" s="514">
        <f t="shared" si="4"/>
        <v>0</v>
      </c>
      <c r="P40" s="272"/>
    </row>
    <row r="41" spans="2:16">
      <c r="B41" s="195" t="str">
        <f t="shared" si="5"/>
        <v/>
      </c>
      <c r="C41" s="507">
        <f>IF(D11="","-",+C40+1)</f>
        <v>2035</v>
      </c>
      <c r="D41" s="523">
        <f>IF(F40+SUM(E$17:E40)=D$10,F40,D$10-SUM(E$17:E40))</f>
        <v>115376.51541609278</v>
      </c>
      <c r="E41" s="522">
        <f>IF(+I14&lt;F40,I14,D41)</f>
        <v>5662.295454545455</v>
      </c>
      <c r="F41" s="523">
        <f t="shared" si="20"/>
        <v>109714.21996154732</v>
      </c>
      <c r="G41" s="524">
        <f t="shared" si="21"/>
        <v>19114.520435338876</v>
      </c>
      <c r="H41" s="491">
        <f t="shared" si="22"/>
        <v>19114.520435338876</v>
      </c>
      <c r="I41" s="511">
        <f t="shared" si="8"/>
        <v>0</v>
      </c>
      <c r="J41" s="511"/>
      <c r="K41" s="525"/>
      <c r="L41" s="514">
        <f t="shared" si="1"/>
        <v>0</v>
      </c>
      <c r="M41" s="525"/>
      <c r="N41" s="514">
        <f t="shared" si="3"/>
        <v>0</v>
      </c>
      <c r="O41" s="514">
        <f t="shared" si="4"/>
        <v>0</v>
      </c>
      <c r="P41" s="272"/>
    </row>
    <row r="42" spans="2:16">
      <c r="B42" s="195" t="str">
        <f t="shared" si="5"/>
        <v/>
      </c>
      <c r="C42" s="507">
        <f>IF(D11="","-",+C41+1)</f>
        <v>2036</v>
      </c>
      <c r="D42" s="523">
        <f>IF(F41+SUM(E$17:E41)=D$10,F41,D$10-SUM(E$17:E41))</f>
        <v>109714.21996154732</v>
      </c>
      <c r="E42" s="522">
        <f>IF(+I14&lt;F41,I14,D42)</f>
        <v>5662.295454545455</v>
      </c>
      <c r="F42" s="523">
        <f t="shared" si="20"/>
        <v>104051.92450700187</v>
      </c>
      <c r="G42" s="524">
        <f t="shared" si="21"/>
        <v>18437.722501079374</v>
      </c>
      <c r="H42" s="491">
        <f t="shared" si="22"/>
        <v>18437.722501079374</v>
      </c>
      <c r="I42" s="511">
        <f t="shared" si="8"/>
        <v>0</v>
      </c>
      <c r="J42" s="511"/>
      <c r="K42" s="525"/>
      <c r="L42" s="514">
        <f t="shared" si="1"/>
        <v>0</v>
      </c>
      <c r="M42" s="525"/>
      <c r="N42" s="514">
        <f t="shared" si="3"/>
        <v>0</v>
      </c>
      <c r="O42" s="514">
        <f t="shared" si="4"/>
        <v>0</v>
      </c>
      <c r="P42" s="272"/>
    </row>
    <row r="43" spans="2:16">
      <c r="B43" s="195" t="str">
        <f t="shared" si="5"/>
        <v/>
      </c>
      <c r="C43" s="507">
        <f>IF(D11="","-",+C42+1)</f>
        <v>2037</v>
      </c>
      <c r="D43" s="523">
        <f>IF(F42+SUM(E$17:E42)=D$10,F42,D$10-SUM(E$17:E42))</f>
        <v>104051.92450700187</v>
      </c>
      <c r="E43" s="522">
        <f>IF(+I14&lt;F42,I14,D43)</f>
        <v>5662.295454545455</v>
      </c>
      <c r="F43" s="523">
        <f t="shared" si="20"/>
        <v>98389.62905245641</v>
      </c>
      <c r="G43" s="524">
        <f t="shared" si="21"/>
        <v>17760.924566819875</v>
      </c>
      <c r="H43" s="491">
        <f t="shared" si="22"/>
        <v>17760.924566819875</v>
      </c>
      <c r="I43" s="511">
        <f t="shared" si="8"/>
        <v>0</v>
      </c>
      <c r="J43" s="511"/>
      <c r="K43" s="525"/>
      <c r="L43" s="514">
        <f t="shared" si="1"/>
        <v>0</v>
      </c>
      <c r="M43" s="525"/>
      <c r="N43" s="514">
        <f t="shared" si="3"/>
        <v>0</v>
      </c>
      <c r="O43" s="514">
        <f t="shared" si="4"/>
        <v>0</v>
      </c>
      <c r="P43" s="272"/>
    </row>
    <row r="44" spans="2:16">
      <c r="B44" s="195" t="str">
        <f t="shared" si="5"/>
        <v/>
      </c>
      <c r="C44" s="507">
        <f>IF(D11="","-",+C43+1)</f>
        <v>2038</v>
      </c>
      <c r="D44" s="523">
        <f>IF(F43+SUM(E$17:E43)=D$10,F43,D$10-SUM(E$17:E43))</f>
        <v>98389.62905245641</v>
      </c>
      <c r="E44" s="522">
        <f>IF(+I14&lt;F43,I14,D44)</f>
        <v>5662.295454545455</v>
      </c>
      <c r="F44" s="523">
        <f t="shared" si="20"/>
        <v>92727.333597910954</v>
      </c>
      <c r="G44" s="524">
        <f t="shared" si="21"/>
        <v>17084.126632560372</v>
      </c>
      <c r="H44" s="491">
        <f t="shared" si="22"/>
        <v>17084.126632560372</v>
      </c>
      <c r="I44" s="511">
        <f t="shared" si="8"/>
        <v>0</v>
      </c>
      <c r="J44" s="511"/>
      <c r="K44" s="525"/>
      <c r="L44" s="514">
        <f t="shared" si="1"/>
        <v>0</v>
      </c>
      <c r="M44" s="525"/>
      <c r="N44" s="514">
        <f t="shared" si="3"/>
        <v>0</v>
      </c>
      <c r="O44" s="514">
        <f t="shared" si="4"/>
        <v>0</v>
      </c>
      <c r="P44" s="272"/>
    </row>
    <row r="45" spans="2:16">
      <c r="B45" s="195" t="str">
        <f t="shared" si="5"/>
        <v/>
      </c>
      <c r="C45" s="507">
        <f>IF(D11="","-",+C44+1)</f>
        <v>2039</v>
      </c>
      <c r="D45" s="523">
        <f>IF(F44+SUM(E$17:E44)=D$10,F44,D$10-SUM(E$17:E44))</f>
        <v>92727.333597910954</v>
      </c>
      <c r="E45" s="522">
        <f>IF(+I14&lt;F44,I14,D45)</f>
        <v>5662.295454545455</v>
      </c>
      <c r="F45" s="523">
        <f t="shared" si="20"/>
        <v>87065.038143365498</v>
      </c>
      <c r="G45" s="524">
        <f t="shared" si="21"/>
        <v>16407.328698300873</v>
      </c>
      <c r="H45" s="491">
        <f t="shared" si="22"/>
        <v>16407.328698300873</v>
      </c>
      <c r="I45" s="511">
        <f t="shared" si="8"/>
        <v>0</v>
      </c>
      <c r="J45" s="511"/>
      <c r="K45" s="525"/>
      <c r="L45" s="514">
        <f t="shared" si="1"/>
        <v>0</v>
      </c>
      <c r="M45" s="525"/>
      <c r="N45" s="514">
        <f t="shared" si="3"/>
        <v>0</v>
      </c>
      <c r="O45" s="514">
        <f t="shared" si="4"/>
        <v>0</v>
      </c>
      <c r="P45" s="272"/>
    </row>
    <row r="46" spans="2:16">
      <c r="B46" s="195" t="str">
        <f t="shared" si="5"/>
        <v/>
      </c>
      <c r="C46" s="507">
        <f>IF(D11="","-",+C45+1)</f>
        <v>2040</v>
      </c>
      <c r="D46" s="523">
        <f>IF(F45+SUM(E$17:E45)=D$10,F45,D$10-SUM(E$17:E45))</f>
        <v>87065.038143365498</v>
      </c>
      <c r="E46" s="522">
        <f>IF(+I14&lt;F45,I14,D46)</f>
        <v>5662.295454545455</v>
      </c>
      <c r="F46" s="523">
        <f t="shared" si="20"/>
        <v>81402.742688820043</v>
      </c>
      <c r="G46" s="524">
        <f t="shared" si="21"/>
        <v>15730.53076404137</v>
      </c>
      <c r="H46" s="491">
        <f t="shared" si="22"/>
        <v>15730.53076404137</v>
      </c>
      <c r="I46" s="511">
        <f t="shared" si="8"/>
        <v>0</v>
      </c>
      <c r="J46" s="511"/>
      <c r="K46" s="525"/>
      <c r="L46" s="514">
        <f t="shared" si="1"/>
        <v>0</v>
      </c>
      <c r="M46" s="525"/>
      <c r="N46" s="514">
        <f t="shared" si="3"/>
        <v>0</v>
      </c>
      <c r="O46" s="514">
        <f t="shared" si="4"/>
        <v>0</v>
      </c>
      <c r="P46" s="272"/>
    </row>
    <row r="47" spans="2:16">
      <c r="B47" s="195" t="str">
        <f t="shared" si="5"/>
        <v/>
      </c>
      <c r="C47" s="507">
        <f>IF(D11="","-",+C46+1)</f>
        <v>2041</v>
      </c>
      <c r="D47" s="523">
        <f>IF(F46+SUM(E$17:E46)=D$10,F46,D$10-SUM(E$17:E46))</f>
        <v>81402.742688820043</v>
      </c>
      <c r="E47" s="522">
        <f>IF(+I14&lt;F46,I14,D47)</f>
        <v>5662.295454545455</v>
      </c>
      <c r="F47" s="523">
        <f t="shared" si="20"/>
        <v>75740.447234274587</v>
      </c>
      <c r="G47" s="524">
        <f t="shared" si="21"/>
        <v>15053.732829781871</v>
      </c>
      <c r="H47" s="491">
        <f t="shared" si="22"/>
        <v>15053.732829781871</v>
      </c>
      <c r="I47" s="511">
        <f t="shared" si="8"/>
        <v>0</v>
      </c>
      <c r="J47" s="511"/>
      <c r="K47" s="525"/>
      <c r="L47" s="514">
        <f t="shared" si="1"/>
        <v>0</v>
      </c>
      <c r="M47" s="525"/>
      <c r="N47" s="514">
        <f t="shared" si="3"/>
        <v>0</v>
      </c>
      <c r="O47" s="514">
        <f t="shared" si="4"/>
        <v>0</v>
      </c>
      <c r="P47" s="272"/>
    </row>
    <row r="48" spans="2:16">
      <c r="B48" s="195" t="str">
        <f t="shared" si="5"/>
        <v/>
      </c>
      <c r="C48" s="507">
        <f>IF(D11="","-",+C47+1)</f>
        <v>2042</v>
      </c>
      <c r="D48" s="523">
        <f>IF(F47+SUM(E$17:E47)=D$10,F47,D$10-SUM(E$17:E47))</f>
        <v>75740.447234274587</v>
      </c>
      <c r="E48" s="522">
        <f>IF(+I14&lt;F47,I14,D48)</f>
        <v>5662.295454545455</v>
      </c>
      <c r="F48" s="523">
        <f t="shared" si="20"/>
        <v>70078.151779729131</v>
      </c>
      <c r="G48" s="524">
        <f t="shared" si="21"/>
        <v>14376.934895522369</v>
      </c>
      <c r="H48" s="491">
        <f t="shared" si="22"/>
        <v>14376.934895522369</v>
      </c>
      <c r="I48" s="511">
        <f t="shared" si="8"/>
        <v>0</v>
      </c>
      <c r="J48" s="511"/>
      <c r="K48" s="525"/>
      <c r="L48" s="514">
        <f t="shared" si="1"/>
        <v>0</v>
      </c>
      <c r="M48" s="525"/>
      <c r="N48" s="514">
        <f t="shared" si="3"/>
        <v>0</v>
      </c>
      <c r="O48" s="514">
        <f t="shared" si="4"/>
        <v>0</v>
      </c>
      <c r="P48" s="272"/>
    </row>
    <row r="49" spans="2:17">
      <c r="B49" s="195" t="str">
        <f t="shared" si="5"/>
        <v/>
      </c>
      <c r="C49" s="507">
        <f>IF(D11="","-",+C48+1)</f>
        <v>2043</v>
      </c>
      <c r="D49" s="523">
        <f>IF(F48+SUM(E$17:E48)=D$10,F48,D$10-SUM(E$17:E48))</f>
        <v>70078.151779729131</v>
      </c>
      <c r="E49" s="522">
        <f>IF(+I14&lt;F48,I14,D49)</f>
        <v>5662.295454545455</v>
      </c>
      <c r="F49" s="523">
        <f t="shared" si="20"/>
        <v>64415.856325183675</v>
      </c>
      <c r="G49" s="524">
        <f t="shared" si="21"/>
        <v>13700.136961262868</v>
      </c>
      <c r="H49" s="491">
        <f t="shared" si="22"/>
        <v>13700.136961262868</v>
      </c>
      <c r="I49" s="511">
        <f t="shared" si="8"/>
        <v>0</v>
      </c>
      <c r="J49" s="511"/>
      <c r="K49" s="525"/>
      <c r="L49" s="514">
        <f t="shared" ref="L49:L72" si="23">IF(K49&lt;&gt;0,+G49-K49,0)</f>
        <v>0</v>
      </c>
      <c r="M49" s="525"/>
      <c r="N49" s="514">
        <f t="shared" ref="N49:N72" si="24">IF(M49&lt;&gt;0,+H49-M49,0)</f>
        <v>0</v>
      </c>
      <c r="O49" s="514">
        <f t="shared" ref="O49:O72" si="25">+N49-L49</f>
        <v>0</v>
      </c>
      <c r="P49" s="272"/>
    </row>
    <row r="50" spans="2:17">
      <c r="B50" s="195" t="str">
        <f t="shared" ref="B50:B72" si="26">IF(D50=F49,"","IU")</f>
        <v/>
      </c>
      <c r="C50" s="507">
        <f>IF(D11="","-",+C49+1)</f>
        <v>2044</v>
      </c>
      <c r="D50" s="523">
        <f>IF(F49+SUM(E$17:E49)=D$10,F49,D$10-SUM(E$17:E49))</f>
        <v>64415.856325183675</v>
      </c>
      <c r="E50" s="522">
        <f>IF(+I14&lt;F49,I14,D50)</f>
        <v>5662.295454545455</v>
      </c>
      <c r="F50" s="523">
        <f t="shared" ref="F50:F72" si="27">+D50-E50</f>
        <v>58753.560870638219</v>
      </c>
      <c r="G50" s="524">
        <f t="shared" si="21"/>
        <v>13023.339027003365</v>
      </c>
      <c r="H50" s="491">
        <f t="shared" si="22"/>
        <v>13023.339027003365</v>
      </c>
      <c r="I50" s="511">
        <f t="shared" ref="I50:I72" si="28">H50-G50</f>
        <v>0</v>
      </c>
      <c r="J50" s="511"/>
      <c r="K50" s="525"/>
      <c r="L50" s="514">
        <f t="shared" si="23"/>
        <v>0</v>
      </c>
      <c r="M50" s="525"/>
      <c r="N50" s="514">
        <f t="shared" si="24"/>
        <v>0</v>
      </c>
      <c r="O50" s="514">
        <f t="shared" si="25"/>
        <v>0</v>
      </c>
      <c r="P50" s="272"/>
    </row>
    <row r="51" spans="2:17">
      <c r="B51" s="195" t="str">
        <f t="shared" si="26"/>
        <v/>
      </c>
      <c r="C51" s="507">
        <f>IF(D11="","-",+C50+1)</f>
        <v>2045</v>
      </c>
      <c r="D51" s="523">
        <f>IF(F50+SUM(E$17:E50)=D$10,F50,D$10-SUM(E$17:E50))</f>
        <v>58753.560870638219</v>
      </c>
      <c r="E51" s="522">
        <f>IF(+I14&lt;F50,I14,D51)</f>
        <v>5662.295454545455</v>
      </c>
      <c r="F51" s="523">
        <f t="shared" si="27"/>
        <v>53091.265416092763</v>
      </c>
      <c r="G51" s="524">
        <f t="shared" si="21"/>
        <v>12346.541092743864</v>
      </c>
      <c r="H51" s="491">
        <f t="shared" si="22"/>
        <v>12346.541092743864</v>
      </c>
      <c r="I51" s="511">
        <f t="shared" si="28"/>
        <v>0</v>
      </c>
      <c r="J51" s="511"/>
      <c r="K51" s="525"/>
      <c r="L51" s="514">
        <f t="shared" si="23"/>
        <v>0</v>
      </c>
      <c r="M51" s="525"/>
      <c r="N51" s="514">
        <f t="shared" si="24"/>
        <v>0</v>
      </c>
      <c r="O51" s="514">
        <f t="shared" si="25"/>
        <v>0</v>
      </c>
      <c r="P51" s="272"/>
    </row>
    <row r="52" spans="2:17">
      <c r="B52" s="195" t="str">
        <f t="shared" si="26"/>
        <v/>
      </c>
      <c r="C52" s="507">
        <f>IF(D11="","-",+C51+1)</f>
        <v>2046</v>
      </c>
      <c r="D52" s="523">
        <f>IF(F51+SUM(E$17:E51)=D$10,F51,D$10-SUM(E$17:E51))</f>
        <v>53091.265416092763</v>
      </c>
      <c r="E52" s="522">
        <f>IF(+I14&lt;F51,I14,D52)</f>
        <v>5662.295454545455</v>
      </c>
      <c r="F52" s="523">
        <f t="shared" si="27"/>
        <v>47428.969961547307</v>
      </c>
      <c r="G52" s="524">
        <f t="shared" si="21"/>
        <v>11669.743158484363</v>
      </c>
      <c r="H52" s="491">
        <f t="shared" si="22"/>
        <v>11669.743158484363</v>
      </c>
      <c r="I52" s="511">
        <f t="shared" si="28"/>
        <v>0</v>
      </c>
      <c r="J52" s="511"/>
      <c r="K52" s="525"/>
      <c r="L52" s="514">
        <f t="shared" si="23"/>
        <v>0</v>
      </c>
      <c r="M52" s="525"/>
      <c r="N52" s="514">
        <f t="shared" si="24"/>
        <v>0</v>
      </c>
      <c r="O52" s="514">
        <f t="shared" si="25"/>
        <v>0</v>
      </c>
      <c r="P52" s="272"/>
    </row>
    <row r="53" spans="2:17">
      <c r="B53" s="195" t="str">
        <f t="shared" si="26"/>
        <v/>
      </c>
      <c r="C53" s="507">
        <f>IF(D11="","-",+C52+1)</f>
        <v>2047</v>
      </c>
      <c r="D53" s="523">
        <f>IF(F52+SUM(E$17:E52)=D$10,F52,D$10-SUM(E$17:E52))</f>
        <v>47428.969961547307</v>
      </c>
      <c r="E53" s="522">
        <f>IF(+I14&lt;F52,I14,D53)</f>
        <v>5662.295454545455</v>
      </c>
      <c r="F53" s="523">
        <f t="shared" si="27"/>
        <v>41766.674507001851</v>
      </c>
      <c r="G53" s="524">
        <f t="shared" si="21"/>
        <v>10992.945224224863</v>
      </c>
      <c r="H53" s="491">
        <f t="shared" si="22"/>
        <v>10992.945224224863</v>
      </c>
      <c r="I53" s="511">
        <f t="shared" si="28"/>
        <v>0</v>
      </c>
      <c r="J53" s="511"/>
      <c r="K53" s="525"/>
      <c r="L53" s="514">
        <f t="shared" si="23"/>
        <v>0</v>
      </c>
      <c r="M53" s="525"/>
      <c r="N53" s="514">
        <f t="shared" si="24"/>
        <v>0</v>
      </c>
      <c r="O53" s="514">
        <f t="shared" si="25"/>
        <v>0</v>
      </c>
      <c r="P53" s="272"/>
    </row>
    <row r="54" spans="2:17">
      <c r="B54" s="195" t="str">
        <f t="shared" si="26"/>
        <v/>
      </c>
      <c r="C54" s="507">
        <f>IF(D11="","-",+C53+1)</f>
        <v>2048</v>
      </c>
      <c r="D54" s="523">
        <f>IF(F53+SUM(E$17:E53)=D$10,F53,D$10-SUM(E$17:E53))</f>
        <v>41766.674507001851</v>
      </c>
      <c r="E54" s="522">
        <f>IF(+I14&lt;F53,I14,D54)</f>
        <v>5662.295454545455</v>
      </c>
      <c r="F54" s="523">
        <f t="shared" si="27"/>
        <v>36104.379052456396</v>
      </c>
      <c r="G54" s="524">
        <f t="shared" si="21"/>
        <v>10316.14728996536</v>
      </c>
      <c r="H54" s="491">
        <f t="shared" si="22"/>
        <v>10316.14728996536</v>
      </c>
      <c r="I54" s="511">
        <f t="shared" si="28"/>
        <v>0</v>
      </c>
      <c r="J54" s="511"/>
      <c r="K54" s="525"/>
      <c r="L54" s="514">
        <f t="shared" si="23"/>
        <v>0</v>
      </c>
      <c r="M54" s="525"/>
      <c r="N54" s="514">
        <f t="shared" si="24"/>
        <v>0</v>
      </c>
      <c r="O54" s="514">
        <f t="shared" si="25"/>
        <v>0</v>
      </c>
      <c r="P54" s="272"/>
    </row>
    <row r="55" spans="2:17">
      <c r="B55" s="195" t="str">
        <f t="shared" si="26"/>
        <v/>
      </c>
      <c r="C55" s="507">
        <f>IF(D11="","-",+C54+1)</f>
        <v>2049</v>
      </c>
      <c r="D55" s="523">
        <f>IF(F54+SUM(E$17:E54)=D$10,F54,D$10-SUM(E$17:E54))</f>
        <v>36104.379052456396</v>
      </c>
      <c r="E55" s="522">
        <f>IF(+I14&lt;F54,I14,D55)</f>
        <v>5662.295454545455</v>
      </c>
      <c r="F55" s="523">
        <f t="shared" si="27"/>
        <v>30442.08359791094</v>
      </c>
      <c r="G55" s="524">
        <f t="shared" ref="G55:G72" si="29">+I$12*((D55+F55)/2)+E55</f>
        <v>9639.3493557058591</v>
      </c>
      <c r="H55" s="491">
        <f t="shared" ref="H55:H72" si="30">+I$13*((D55+F55)/2)+E55</f>
        <v>9639.3493557058591</v>
      </c>
      <c r="I55" s="511">
        <f t="shared" si="28"/>
        <v>0</v>
      </c>
      <c r="J55" s="511"/>
      <c r="K55" s="525"/>
      <c r="L55" s="514">
        <f t="shared" si="23"/>
        <v>0</v>
      </c>
      <c r="M55" s="525"/>
      <c r="N55" s="514">
        <f t="shared" si="24"/>
        <v>0</v>
      </c>
      <c r="O55" s="514">
        <f t="shared" si="25"/>
        <v>0</v>
      </c>
      <c r="P55" s="272"/>
    </row>
    <row r="56" spans="2:17">
      <c r="B56" s="195" t="str">
        <f t="shared" si="26"/>
        <v/>
      </c>
      <c r="C56" s="507">
        <f>IF(D11="","-",+C55+1)</f>
        <v>2050</v>
      </c>
      <c r="D56" s="523">
        <f>IF(F55+SUM(E$17:E55)=D$10,F55,D$10-SUM(E$17:E55))</f>
        <v>30442.08359791094</v>
      </c>
      <c r="E56" s="522">
        <f>IF(+I14&lt;F55,I14,D56)</f>
        <v>5662.295454545455</v>
      </c>
      <c r="F56" s="523">
        <f t="shared" si="27"/>
        <v>24779.788143365484</v>
      </c>
      <c r="G56" s="524">
        <f t="shared" si="29"/>
        <v>8962.5514214463583</v>
      </c>
      <c r="H56" s="491">
        <f t="shared" si="30"/>
        <v>8962.5514214463583</v>
      </c>
      <c r="I56" s="511">
        <f t="shared" si="28"/>
        <v>0</v>
      </c>
      <c r="J56" s="511"/>
      <c r="K56" s="525"/>
      <c r="L56" s="514">
        <f t="shared" si="23"/>
        <v>0</v>
      </c>
      <c r="M56" s="525"/>
      <c r="N56" s="514">
        <f t="shared" si="24"/>
        <v>0</v>
      </c>
      <c r="O56" s="514">
        <f t="shared" si="25"/>
        <v>0</v>
      </c>
      <c r="P56" s="272"/>
    </row>
    <row r="57" spans="2:17">
      <c r="B57" s="195" t="str">
        <f t="shared" si="26"/>
        <v/>
      </c>
      <c r="C57" s="507">
        <f>IF(D11="","-",+C56+1)</f>
        <v>2051</v>
      </c>
      <c r="D57" s="523">
        <f>IF(F56+SUM(E$17:E56)=D$10,F56,D$10-SUM(E$17:E56))</f>
        <v>24779.788143365484</v>
      </c>
      <c r="E57" s="522">
        <f>IF(+I14&lt;F56,I14,D57)</f>
        <v>5662.295454545455</v>
      </c>
      <c r="F57" s="523">
        <f t="shared" si="27"/>
        <v>19117.492688820028</v>
      </c>
      <c r="G57" s="524">
        <f t="shared" si="29"/>
        <v>8285.7534871868575</v>
      </c>
      <c r="H57" s="491">
        <f t="shared" si="30"/>
        <v>8285.7534871868575</v>
      </c>
      <c r="I57" s="511">
        <f t="shared" si="28"/>
        <v>0</v>
      </c>
      <c r="J57" s="511"/>
      <c r="K57" s="525"/>
      <c r="L57" s="514">
        <f t="shared" si="23"/>
        <v>0</v>
      </c>
      <c r="M57" s="525"/>
      <c r="N57" s="514">
        <f t="shared" si="24"/>
        <v>0</v>
      </c>
      <c r="O57" s="514">
        <f t="shared" si="25"/>
        <v>0</v>
      </c>
      <c r="P57" s="272"/>
    </row>
    <row r="58" spans="2:17">
      <c r="B58" s="195" t="str">
        <f t="shared" si="26"/>
        <v/>
      </c>
      <c r="C58" s="507">
        <f>IF(D11="","-",+C57+1)</f>
        <v>2052</v>
      </c>
      <c r="D58" s="523">
        <f>IF(F57+SUM(E$17:E57)=D$10,F57,D$10-SUM(E$17:E57))</f>
        <v>19117.492688820028</v>
      </c>
      <c r="E58" s="522">
        <f>IF(+I14&lt;F57,I14,D58)</f>
        <v>5662.295454545455</v>
      </c>
      <c r="F58" s="523">
        <f t="shared" si="27"/>
        <v>13455.197234274572</v>
      </c>
      <c r="G58" s="524">
        <f t="shared" si="29"/>
        <v>7608.9555529273557</v>
      </c>
      <c r="H58" s="491">
        <f t="shared" si="30"/>
        <v>7608.9555529273557</v>
      </c>
      <c r="I58" s="511">
        <f t="shared" si="28"/>
        <v>0</v>
      </c>
      <c r="J58" s="511"/>
      <c r="K58" s="525"/>
      <c r="L58" s="514">
        <f t="shared" si="23"/>
        <v>0</v>
      </c>
      <c r="M58" s="525"/>
      <c r="N58" s="514">
        <f t="shared" si="24"/>
        <v>0</v>
      </c>
      <c r="O58" s="514">
        <f t="shared" si="25"/>
        <v>0</v>
      </c>
      <c r="P58" s="272"/>
      <c r="Q58" s="183" t="str">
        <f>IF(ROUND(Q57,0)=ROUND(SUM(Q18:Q56),0),"","Error -- check allocations above).")</f>
        <v/>
      </c>
    </row>
    <row r="59" spans="2:17">
      <c r="B59" s="195" t="str">
        <f t="shared" si="26"/>
        <v/>
      </c>
      <c r="C59" s="507">
        <f>IF(D11="","-",+C58+1)</f>
        <v>2053</v>
      </c>
      <c r="D59" s="523">
        <f>IF(F58+SUM(E$17:E58)=D$10,F58,D$10-SUM(E$17:E58))</f>
        <v>13455.197234274572</v>
      </c>
      <c r="E59" s="522">
        <f>IF(+I14&lt;F58,I14,D59)</f>
        <v>5662.295454545455</v>
      </c>
      <c r="F59" s="523">
        <f t="shared" si="27"/>
        <v>7792.9017797291172</v>
      </c>
      <c r="G59" s="524">
        <f t="shared" si="29"/>
        <v>6932.1576186678549</v>
      </c>
      <c r="H59" s="491">
        <f t="shared" si="30"/>
        <v>6932.1576186678549</v>
      </c>
      <c r="I59" s="511">
        <f t="shared" si="28"/>
        <v>0</v>
      </c>
      <c r="J59" s="511"/>
      <c r="K59" s="525"/>
      <c r="L59" s="514">
        <f t="shared" si="23"/>
        <v>0</v>
      </c>
      <c r="M59" s="525"/>
      <c r="N59" s="514">
        <f t="shared" si="24"/>
        <v>0</v>
      </c>
      <c r="O59" s="514">
        <f t="shared" si="25"/>
        <v>0</v>
      </c>
      <c r="P59" s="272"/>
    </row>
    <row r="60" spans="2:17">
      <c r="B60" s="195" t="str">
        <f t="shared" si="26"/>
        <v/>
      </c>
      <c r="C60" s="507">
        <f>IF(D11="","-",+C59+1)</f>
        <v>2054</v>
      </c>
      <c r="D60" s="523">
        <f>IF(F59+SUM(E$17:E59)=D$10,F59,D$10-SUM(E$17:E59))</f>
        <v>7792.9017797291172</v>
      </c>
      <c r="E60" s="522">
        <f>IF(+I14&lt;F59,I14,D60)</f>
        <v>5662.295454545455</v>
      </c>
      <c r="F60" s="523">
        <f t="shared" si="27"/>
        <v>2130.6063251836622</v>
      </c>
      <c r="G60" s="524">
        <f t="shared" si="29"/>
        <v>6255.359684408354</v>
      </c>
      <c r="H60" s="491">
        <f t="shared" si="30"/>
        <v>6255.359684408354</v>
      </c>
      <c r="I60" s="511">
        <f t="shared" si="28"/>
        <v>0</v>
      </c>
      <c r="J60" s="511"/>
      <c r="K60" s="525"/>
      <c r="L60" s="514">
        <f t="shared" si="23"/>
        <v>0</v>
      </c>
      <c r="M60" s="525"/>
      <c r="N60" s="514">
        <f t="shared" si="24"/>
        <v>0</v>
      </c>
      <c r="O60" s="514">
        <f t="shared" si="25"/>
        <v>0</v>
      </c>
      <c r="P60" s="272"/>
    </row>
    <row r="61" spans="2:17">
      <c r="B61" s="195" t="str">
        <f t="shared" si="26"/>
        <v/>
      </c>
      <c r="C61" s="507">
        <f>IF(D11="","-",+C60+1)</f>
        <v>2055</v>
      </c>
      <c r="D61" s="523">
        <f>IF(F60+SUM(E$17:E60)=D$10,F60,D$10-SUM(E$17:E60))</f>
        <v>2130.6063251836622</v>
      </c>
      <c r="E61" s="522">
        <f>IF(+I14&lt;F60,I14,D61)</f>
        <v>2130.6063251836622</v>
      </c>
      <c r="F61" s="523">
        <f t="shared" si="27"/>
        <v>0</v>
      </c>
      <c r="G61" s="526">
        <f t="shared" si="29"/>
        <v>2257.9389565502365</v>
      </c>
      <c r="H61" s="491">
        <f t="shared" si="30"/>
        <v>2257.9389565502365</v>
      </c>
      <c r="I61" s="511">
        <f t="shared" si="28"/>
        <v>0</v>
      </c>
      <c r="J61" s="511"/>
      <c r="K61" s="525"/>
      <c r="L61" s="514">
        <f t="shared" si="23"/>
        <v>0</v>
      </c>
      <c r="M61" s="525"/>
      <c r="N61" s="514">
        <f t="shared" si="24"/>
        <v>0</v>
      </c>
      <c r="O61" s="514">
        <f t="shared" si="25"/>
        <v>0</v>
      </c>
      <c r="P61" s="272"/>
    </row>
    <row r="62" spans="2:17">
      <c r="B62" s="195" t="str">
        <f t="shared" si="26"/>
        <v/>
      </c>
      <c r="C62" s="507">
        <f>IF(D11="","-",+C61+1)</f>
        <v>2056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27"/>
        <v>0</v>
      </c>
      <c r="G62" s="526">
        <f t="shared" si="29"/>
        <v>0</v>
      </c>
      <c r="H62" s="491">
        <f t="shared" si="30"/>
        <v>0</v>
      </c>
      <c r="I62" s="511">
        <f t="shared" si="28"/>
        <v>0</v>
      </c>
      <c r="J62" s="511"/>
      <c r="K62" s="525"/>
      <c r="L62" s="514">
        <f t="shared" si="23"/>
        <v>0</v>
      </c>
      <c r="M62" s="525"/>
      <c r="N62" s="514">
        <f t="shared" si="24"/>
        <v>0</v>
      </c>
      <c r="O62" s="514">
        <f t="shared" si="25"/>
        <v>0</v>
      </c>
      <c r="P62" s="272"/>
    </row>
    <row r="63" spans="2:17">
      <c r="B63" s="195" t="str">
        <f t="shared" si="26"/>
        <v/>
      </c>
      <c r="C63" s="507">
        <f>IF(D11="","-",+C62+1)</f>
        <v>2057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27"/>
        <v>0</v>
      </c>
      <c r="G63" s="526">
        <f t="shared" si="29"/>
        <v>0</v>
      </c>
      <c r="H63" s="491">
        <f t="shared" si="30"/>
        <v>0</v>
      </c>
      <c r="I63" s="511">
        <f t="shared" si="28"/>
        <v>0</v>
      </c>
      <c r="J63" s="511"/>
      <c r="K63" s="525"/>
      <c r="L63" s="514">
        <f t="shared" si="23"/>
        <v>0</v>
      </c>
      <c r="M63" s="525"/>
      <c r="N63" s="514">
        <f t="shared" si="24"/>
        <v>0</v>
      </c>
      <c r="O63" s="514">
        <f t="shared" si="25"/>
        <v>0</v>
      </c>
      <c r="P63" s="272"/>
    </row>
    <row r="64" spans="2:17">
      <c r="B64" s="195" t="str">
        <f t="shared" si="26"/>
        <v/>
      </c>
      <c r="C64" s="507">
        <f>IF(D11="","-",+C63+1)</f>
        <v>2058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27"/>
        <v>0</v>
      </c>
      <c r="G64" s="526">
        <f t="shared" si="29"/>
        <v>0</v>
      </c>
      <c r="H64" s="491">
        <f t="shared" si="30"/>
        <v>0</v>
      </c>
      <c r="I64" s="511">
        <f t="shared" si="28"/>
        <v>0</v>
      </c>
      <c r="J64" s="511"/>
      <c r="K64" s="525"/>
      <c r="L64" s="514">
        <f t="shared" si="23"/>
        <v>0</v>
      </c>
      <c r="M64" s="525"/>
      <c r="N64" s="514">
        <f t="shared" si="24"/>
        <v>0</v>
      </c>
      <c r="O64" s="514">
        <f t="shared" si="25"/>
        <v>0</v>
      </c>
      <c r="P64" s="272"/>
    </row>
    <row r="65" spans="1:16">
      <c r="B65" s="195" t="str">
        <f t="shared" si="26"/>
        <v/>
      </c>
      <c r="C65" s="507">
        <f>IF(D11="","-",+C64+1)</f>
        <v>2059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27"/>
        <v>0</v>
      </c>
      <c r="G65" s="526">
        <f t="shared" si="29"/>
        <v>0</v>
      </c>
      <c r="H65" s="491">
        <f t="shared" si="30"/>
        <v>0</v>
      </c>
      <c r="I65" s="511">
        <f t="shared" si="28"/>
        <v>0</v>
      </c>
      <c r="J65" s="511"/>
      <c r="K65" s="525"/>
      <c r="L65" s="514">
        <f t="shared" si="23"/>
        <v>0</v>
      </c>
      <c r="M65" s="525"/>
      <c r="N65" s="514">
        <f t="shared" si="24"/>
        <v>0</v>
      </c>
      <c r="O65" s="514">
        <f t="shared" si="25"/>
        <v>0</v>
      </c>
      <c r="P65" s="272"/>
    </row>
    <row r="66" spans="1:16">
      <c r="B66" s="195" t="str">
        <f t="shared" si="26"/>
        <v/>
      </c>
      <c r="C66" s="507">
        <f>IF(D11="","-",+C65+1)</f>
        <v>2060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27"/>
        <v>0</v>
      </c>
      <c r="G66" s="526">
        <f t="shared" si="29"/>
        <v>0</v>
      </c>
      <c r="H66" s="491">
        <f t="shared" si="30"/>
        <v>0</v>
      </c>
      <c r="I66" s="511">
        <f t="shared" si="28"/>
        <v>0</v>
      </c>
      <c r="J66" s="511"/>
      <c r="K66" s="525"/>
      <c r="L66" s="514">
        <f t="shared" si="23"/>
        <v>0</v>
      </c>
      <c r="M66" s="525"/>
      <c r="N66" s="514">
        <f t="shared" si="24"/>
        <v>0</v>
      </c>
      <c r="O66" s="514">
        <f t="shared" si="25"/>
        <v>0</v>
      </c>
      <c r="P66" s="272"/>
    </row>
    <row r="67" spans="1:16">
      <c r="B67" s="195" t="str">
        <f t="shared" si="26"/>
        <v/>
      </c>
      <c r="C67" s="507">
        <f>IF(D11="","-",+C66+1)</f>
        <v>2061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27"/>
        <v>0</v>
      </c>
      <c r="G67" s="526">
        <f t="shared" si="29"/>
        <v>0</v>
      </c>
      <c r="H67" s="491">
        <f t="shared" si="30"/>
        <v>0</v>
      </c>
      <c r="I67" s="511">
        <f t="shared" si="28"/>
        <v>0</v>
      </c>
      <c r="J67" s="511"/>
      <c r="K67" s="525"/>
      <c r="L67" s="514">
        <f t="shared" si="23"/>
        <v>0</v>
      </c>
      <c r="M67" s="525"/>
      <c r="N67" s="514">
        <f t="shared" si="24"/>
        <v>0</v>
      </c>
      <c r="O67" s="514">
        <f t="shared" si="25"/>
        <v>0</v>
      </c>
      <c r="P67" s="272"/>
    </row>
    <row r="68" spans="1:16">
      <c r="B68" s="195" t="str">
        <f t="shared" si="26"/>
        <v/>
      </c>
      <c r="C68" s="507">
        <f>IF(D11="","-",+C67+1)</f>
        <v>2062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27"/>
        <v>0</v>
      </c>
      <c r="G68" s="526">
        <f t="shared" si="29"/>
        <v>0</v>
      </c>
      <c r="H68" s="491">
        <f t="shared" si="30"/>
        <v>0</v>
      </c>
      <c r="I68" s="511">
        <f t="shared" si="28"/>
        <v>0</v>
      </c>
      <c r="J68" s="511"/>
      <c r="K68" s="525"/>
      <c r="L68" s="514">
        <f t="shared" si="23"/>
        <v>0</v>
      </c>
      <c r="M68" s="525"/>
      <c r="N68" s="514">
        <f t="shared" si="24"/>
        <v>0</v>
      </c>
      <c r="O68" s="514">
        <f t="shared" si="25"/>
        <v>0</v>
      </c>
      <c r="P68" s="272"/>
    </row>
    <row r="69" spans="1:16">
      <c r="B69" s="195" t="str">
        <f t="shared" si="26"/>
        <v/>
      </c>
      <c r="C69" s="507">
        <f>IF(D11="","-",+C68+1)</f>
        <v>2063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27"/>
        <v>0</v>
      </c>
      <c r="G69" s="526">
        <f t="shared" si="29"/>
        <v>0</v>
      </c>
      <c r="H69" s="491">
        <f t="shared" si="30"/>
        <v>0</v>
      </c>
      <c r="I69" s="511">
        <f t="shared" si="28"/>
        <v>0</v>
      </c>
      <c r="J69" s="511"/>
      <c r="K69" s="525"/>
      <c r="L69" s="514">
        <f t="shared" si="23"/>
        <v>0</v>
      </c>
      <c r="M69" s="525"/>
      <c r="N69" s="514">
        <f t="shared" si="24"/>
        <v>0</v>
      </c>
      <c r="O69" s="514">
        <f t="shared" si="25"/>
        <v>0</v>
      </c>
      <c r="P69" s="272"/>
    </row>
    <row r="70" spans="1:16">
      <c r="B70" s="195" t="str">
        <f t="shared" si="26"/>
        <v/>
      </c>
      <c r="C70" s="507">
        <f>IF(D11="","-",+C69+1)</f>
        <v>2064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27"/>
        <v>0</v>
      </c>
      <c r="G70" s="526">
        <f t="shared" si="29"/>
        <v>0</v>
      </c>
      <c r="H70" s="491">
        <f t="shared" si="30"/>
        <v>0</v>
      </c>
      <c r="I70" s="511">
        <f t="shared" si="28"/>
        <v>0</v>
      </c>
      <c r="J70" s="511"/>
      <c r="K70" s="525"/>
      <c r="L70" s="514">
        <f t="shared" si="23"/>
        <v>0</v>
      </c>
      <c r="M70" s="525"/>
      <c r="N70" s="514">
        <f t="shared" si="24"/>
        <v>0</v>
      </c>
      <c r="O70" s="514">
        <f t="shared" si="25"/>
        <v>0</v>
      </c>
      <c r="P70" s="272"/>
    </row>
    <row r="71" spans="1:16">
      <c r="B71" s="195" t="str">
        <f t="shared" si="26"/>
        <v/>
      </c>
      <c r="C71" s="507">
        <f>IF(D11="","-",+C70+1)</f>
        <v>2065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27"/>
        <v>0</v>
      </c>
      <c r="G71" s="526">
        <f t="shared" si="29"/>
        <v>0</v>
      </c>
      <c r="H71" s="491">
        <f t="shared" si="30"/>
        <v>0</v>
      </c>
      <c r="I71" s="511">
        <f t="shared" si="28"/>
        <v>0</v>
      </c>
      <c r="J71" s="511"/>
      <c r="K71" s="525"/>
      <c r="L71" s="514">
        <f t="shared" si="23"/>
        <v>0</v>
      </c>
      <c r="M71" s="525"/>
      <c r="N71" s="514">
        <f t="shared" si="24"/>
        <v>0</v>
      </c>
      <c r="O71" s="514">
        <f t="shared" si="25"/>
        <v>0</v>
      </c>
      <c r="P71" s="272"/>
    </row>
    <row r="72" spans="1:16" ht="13.5" thickBot="1">
      <c r="B72" s="195" t="str">
        <f t="shared" si="26"/>
        <v/>
      </c>
      <c r="C72" s="527">
        <f>IF(D11="","-",+C71+1)</f>
        <v>2066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27"/>
        <v>0</v>
      </c>
      <c r="G72" s="530">
        <f t="shared" si="29"/>
        <v>0</v>
      </c>
      <c r="H72" s="471">
        <f t="shared" si="30"/>
        <v>0</v>
      </c>
      <c r="I72" s="531">
        <f t="shared" si="28"/>
        <v>0</v>
      </c>
      <c r="J72" s="511"/>
      <c r="K72" s="532"/>
      <c r="L72" s="533">
        <f t="shared" si="23"/>
        <v>0</v>
      </c>
      <c r="M72" s="532"/>
      <c r="N72" s="533">
        <f t="shared" si="24"/>
        <v>0</v>
      </c>
      <c r="O72" s="533">
        <f t="shared" si="25"/>
        <v>0</v>
      </c>
      <c r="P72" s="272"/>
    </row>
    <row r="73" spans="1:16">
      <c r="C73" s="374" t="s">
        <v>78</v>
      </c>
      <c r="D73" s="375"/>
      <c r="E73" s="375">
        <f>SUM(E17:E72)</f>
        <v>249140.9999999998</v>
      </c>
      <c r="F73" s="375"/>
      <c r="G73" s="375">
        <f>SUM(G17:G72)</f>
        <v>918502.87879014574</v>
      </c>
      <c r="H73" s="375">
        <f>SUM(H17:H72)</f>
        <v>918502.87879014574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1:16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1:16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1:16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1:16" ht="18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535"/>
      <c r="P77" s="272"/>
    </row>
    <row r="78" spans="1:16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1:16" ht="15">
      <c r="A79" s="536"/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</row>
    <row r="80" spans="1:16" ht="18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7">
      <c r="B81" s="269"/>
      <c r="C81" s="537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7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  <c r="Q82" s="269"/>
    </row>
    <row r="83" spans="1:17" ht="20.25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535" t="str">
        <f ca="1">P1</f>
        <v>SWEPCO Project 26 of 75</v>
      </c>
      <c r="Q83" s="269"/>
    </row>
    <row r="84" spans="1:17" ht="18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454" t="s">
        <v>128</v>
      </c>
      <c r="Q84" s="269"/>
    </row>
    <row r="85" spans="1:17" ht="18.7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  <c r="Q85" s="269"/>
    </row>
    <row r="86" spans="1:17" ht="15.75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2022</v>
      </c>
      <c r="M86" s="541" t="s">
        <v>9</v>
      </c>
      <c r="N86" s="542" t="s">
        <v>159</v>
      </c>
      <c r="O86" s="543" t="s">
        <v>11</v>
      </c>
      <c r="P86" s="269"/>
      <c r="Q86" s="269"/>
    </row>
    <row r="87" spans="1:17" ht="1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391</v>
      </c>
      <c r="M87" s="546">
        <f>IF(J92&lt;D11,0,VLOOKUP(J92,C17:O72,9))</f>
        <v>26909.46086077678</v>
      </c>
      <c r="N87" s="546">
        <f>IF(J92&lt;D11,0,VLOOKUP(J92,C17:O72,11))</f>
        <v>26909.46086077678</v>
      </c>
      <c r="O87" s="547">
        <f>+N87-M87</f>
        <v>0</v>
      </c>
      <c r="P87" s="269"/>
      <c r="Q87" s="269"/>
    </row>
    <row r="88" spans="1:17" ht="15.7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392</v>
      </c>
      <c r="M88" s="550">
        <f>IF(J92&lt;D11,0,VLOOKUP(J92,C99:P154,6))</f>
        <v>27546.639267223029</v>
      </c>
      <c r="N88" s="550">
        <f>IF(J92&lt;D11,0,VLOOKUP(J92,C99:P154,7))</f>
        <v>27546.639267223029</v>
      </c>
      <c r="O88" s="551">
        <f>+N88-M88</f>
        <v>0</v>
      </c>
      <c r="P88" s="269"/>
      <c r="Q88" s="269"/>
    </row>
    <row r="89" spans="1:17" ht="13.5" thickBot="1">
      <c r="C89" s="467" t="s">
        <v>84</v>
      </c>
      <c r="D89" s="620" t="str">
        <f>D7</f>
        <v>Whitney repl CB and Switches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637.17840644624812</v>
      </c>
      <c r="N89" s="555">
        <f>+N88-N87</f>
        <v>637.17840644624812</v>
      </c>
      <c r="O89" s="556">
        <f>+O88-O87</f>
        <v>0</v>
      </c>
      <c r="P89" s="269"/>
      <c r="Q89" s="269"/>
    </row>
    <row r="90" spans="1:17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  <c r="Q90" s="269"/>
    </row>
    <row r="91" spans="1:17" ht="13.5" thickBot="1">
      <c r="A91" s="191"/>
      <c r="C91" s="558" t="s">
        <v>85</v>
      </c>
      <c r="D91" s="559" t="str">
        <f>+D9</f>
        <v>PID 452, UIP 10586</v>
      </c>
      <c r="E91" s="560"/>
      <c r="F91" s="560"/>
      <c r="G91" s="560"/>
      <c r="H91" s="560"/>
      <c r="I91" s="560"/>
      <c r="J91" s="561"/>
      <c r="K91" s="562"/>
      <c r="P91" s="481"/>
      <c r="Q91" s="269"/>
    </row>
    <row r="92" spans="1:17">
      <c r="C92" s="486" t="s">
        <v>51</v>
      </c>
      <c r="D92" s="483">
        <f>IF(D11=I10,0,D10)</f>
        <v>249141</v>
      </c>
      <c r="E92" s="340" t="s">
        <v>86</v>
      </c>
      <c r="H92" s="484"/>
      <c r="I92" s="484"/>
      <c r="J92" s="485">
        <f>+'SWE.WS.G.BPU.ATRR.True-up'!M16</f>
        <v>2022</v>
      </c>
      <c r="K92" s="480"/>
      <c r="L92" s="375" t="s">
        <v>87</v>
      </c>
      <c r="P92" s="272"/>
      <c r="Q92" s="269"/>
    </row>
    <row r="93" spans="1:17">
      <c r="C93" s="486" t="s">
        <v>54</v>
      </c>
      <c r="D93" s="563">
        <f>IF(D11=I10,"",D11)</f>
        <v>2011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  <c r="Q93" s="269"/>
    </row>
    <row r="94" spans="1:17">
      <c r="C94" s="486" t="s">
        <v>56</v>
      </c>
      <c r="D94" s="564">
        <f>IF(D11=I10,"",D12)</f>
        <v>6</v>
      </c>
      <c r="E94" s="486" t="s">
        <v>57</v>
      </c>
      <c r="F94" s="484"/>
      <c r="G94" s="484"/>
      <c r="J94" s="490">
        <f>'SWE.WS.G.BPU.ATRR.True-up'!$F$81</f>
        <v>0.11351422637179906</v>
      </c>
      <c r="K94" s="425"/>
      <c r="L94" s="183" t="s">
        <v>88</v>
      </c>
      <c r="P94" s="272"/>
      <c r="Q94" s="269"/>
    </row>
    <row r="95" spans="1:17">
      <c r="C95" s="486" t="s">
        <v>59</v>
      </c>
      <c r="D95" s="488">
        <f>'SWE.WS.G.BPU.ATRR.True-up'!F$93</f>
        <v>41</v>
      </c>
      <c r="E95" s="486" t="s">
        <v>60</v>
      </c>
      <c r="F95" s="484"/>
      <c r="G95" s="484"/>
      <c r="J95" s="490">
        <f>IF(H87="",J94,'SWE.WS.G.BPU.ATRR.True-up'!$F$80)</f>
        <v>0.11351422637179906</v>
      </c>
      <c r="K95" s="324"/>
      <c r="L95" s="375" t="s">
        <v>61</v>
      </c>
      <c r="M95" s="324"/>
      <c r="N95" s="324"/>
      <c r="O95" s="324"/>
      <c r="P95" s="272"/>
      <c r="Q95" s="269"/>
    </row>
    <row r="96" spans="1:17" ht="13.5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6076.6097560975613</v>
      </c>
      <c r="K96" s="375"/>
      <c r="L96" s="375"/>
      <c r="M96" s="375"/>
      <c r="N96" s="375"/>
      <c r="O96" s="375"/>
      <c r="P96" s="272"/>
      <c r="Q96" s="269"/>
    </row>
    <row r="97" spans="1:17" ht="38.25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388</v>
      </c>
      <c r="I97" s="495" t="s">
        <v>389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  <c r="Q97" s="269"/>
    </row>
    <row r="98" spans="1:17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  <c r="Q98" s="269"/>
    </row>
    <row r="99" spans="1:17">
      <c r="C99" s="507">
        <f>IF(D93= "","-",D93)</f>
        <v>2011</v>
      </c>
      <c r="D99" s="508">
        <v>0</v>
      </c>
      <c r="E99" s="516">
        <v>2965.9642857142858</v>
      </c>
      <c r="F99" s="515">
        <v>246175.03571428571</v>
      </c>
      <c r="G99" s="574">
        <v>123087.51785714286</v>
      </c>
      <c r="H99" s="575">
        <v>21475.853068363114</v>
      </c>
      <c r="I99" s="576">
        <v>21475.853068363114</v>
      </c>
      <c r="J99" s="613">
        <f t="shared" ref="J99:J130" si="31">+I99-H99</f>
        <v>0</v>
      </c>
      <c r="K99" s="514"/>
      <c r="L99" s="512">
        <f t="shared" ref="L99:L104" si="32">H99</f>
        <v>21475.853068363114</v>
      </c>
      <c r="M99" s="597">
        <f t="shared" ref="M99:M130" si="33">IF(L99&lt;&gt;0,+H99-L99,0)</f>
        <v>0</v>
      </c>
      <c r="N99" s="512">
        <f t="shared" ref="N99:N104" si="34">I99</f>
        <v>21475.853068363114</v>
      </c>
      <c r="O99" s="513">
        <f t="shared" ref="O99:O130" si="35">IF(N99&lt;&gt;0,+I99-N99,0)</f>
        <v>0</v>
      </c>
      <c r="P99" s="513">
        <f t="shared" ref="P99:P130" si="36">+O99-M99</f>
        <v>0</v>
      </c>
      <c r="Q99" s="269"/>
    </row>
    <row r="100" spans="1:17">
      <c r="B100" s="195" t="str">
        <f t="shared" ref="B100:B131" si="37">IF(D100=F99,"","IU")</f>
        <v/>
      </c>
      <c r="C100" s="507">
        <f>IF(D93="","-",+C99+1)</f>
        <v>2012</v>
      </c>
      <c r="D100" s="508">
        <v>246175.03571428571</v>
      </c>
      <c r="E100" s="516">
        <v>5931.9285714285716</v>
      </c>
      <c r="F100" s="515">
        <v>240243.10714285713</v>
      </c>
      <c r="G100" s="515">
        <v>243209.07142857142</v>
      </c>
      <c r="H100" s="516">
        <v>41721.09968063391</v>
      </c>
      <c r="I100" s="510">
        <v>41721.09968063391</v>
      </c>
      <c r="J100" s="613">
        <f t="shared" si="31"/>
        <v>0</v>
      </c>
      <c r="K100" s="514"/>
      <c r="L100" s="518">
        <f t="shared" si="32"/>
        <v>41721.09968063391</v>
      </c>
      <c r="M100" s="519">
        <f t="shared" si="33"/>
        <v>0</v>
      </c>
      <c r="N100" s="518">
        <f t="shared" si="34"/>
        <v>41721.09968063391</v>
      </c>
      <c r="O100" s="514">
        <f t="shared" si="35"/>
        <v>0</v>
      </c>
      <c r="P100" s="514">
        <f t="shared" si="36"/>
        <v>0</v>
      </c>
      <c r="Q100" s="269"/>
    </row>
    <row r="101" spans="1:17">
      <c r="B101" s="195" t="str">
        <f t="shared" si="37"/>
        <v/>
      </c>
      <c r="C101" s="507">
        <f>IF(D93="","-",+C100+1)</f>
        <v>2013</v>
      </c>
      <c r="D101" s="508">
        <v>240243.10714285713</v>
      </c>
      <c r="E101" s="516">
        <v>5931.9285714285716</v>
      </c>
      <c r="F101" s="515">
        <v>234311.17857142855</v>
      </c>
      <c r="G101" s="515">
        <v>237277.14285714284</v>
      </c>
      <c r="H101" s="516">
        <v>38033.557147693406</v>
      </c>
      <c r="I101" s="510">
        <v>38033.557147693406</v>
      </c>
      <c r="J101" s="613">
        <v>0</v>
      </c>
      <c r="K101" s="514"/>
      <c r="L101" s="518">
        <f t="shared" si="32"/>
        <v>38033.557147693406</v>
      </c>
      <c r="M101" s="519">
        <f t="shared" ref="M101:M106" si="38">IF(L101&lt;&gt;0,+H101-L101,0)</f>
        <v>0</v>
      </c>
      <c r="N101" s="518">
        <f t="shared" si="34"/>
        <v>38033.557147693406</v>
      </c>
      <c r="O101" s="514">
        <f>IF(N101&lt;&gt;0,+I101-N101,0)</f>
        <v>0</v>
      </c>
      <c r="P101" s="514">
        <f>+O101-M101</f>
        <v>0</v>
      </c>
      <c r="Q101" s="269"/>
    </row>
    <row r="102" spans="1:17">
      <c r="B102" s="195" t="str">
        <f t="shared" si="37"/>
        <v/>
      </c>
      <c r="C102" s="507">
        <f>IF(D93="","-",+C101+1)</f>
        <v>2014</v>
      </c>
      <c r="D102" s="508">
        <v>234311.17857142855</v>
      </c>
      <c r="E102" s="516">
        <v>5931.9285714285716</v>
      </c>
      <c r="F102" s="515">
        <v>228379.24999999997</v>
      </c>
      <c r="G102" s="515">
        <v>231345.21428571426</v>
      </c>
      <c r="H102" s="516">
        <v>37377.170497097119</v>
      </c>
      <c r="I102" s="510">
        <v>37377.170497097119</v>
      </c>
      <c r="J102" s="514">
        <v>0</v>
      </c>
      <c r="K102" s="514"/>
      <c r="L102" s="518">
        <f t="shared" si="32"/>
        <v>37377.170497097119</v>
      </c>
      <c r="M102" s="519">
        <f t="shared" si="38"/>
        <v>0</v>
      </c>
      <c r="N102" s="518">
        <f t="shared" si="34"/>
        <v>37377.170497097119</v>
      </c>
      <c r="O102" s="514">
        <f>IF(N102&lt;&gt;0,+I102-N102,0)</f>
        <v>0</v>
      </c>
      <c r="P102" s="514">
        <f>+O102-M102</f>
        <v>0</v>
      </c>
      <c r="Q102" s="269"/>
    </row>
    <row r="103" spans="1:17">
      <c r="B103" s="195" t="str">
        <f t="shared" si="37"/>
        <v/>
      </c>
      <c r="C103" s="507">
        <f>IF(D93="","-",+C102+1)</f>
        <v>2015</v>
      </c>
      <c r="D103" s="508">
        <v>228379.24999999997</v>
      </c>
      <c r="E103" s="516">
        <v>5931.9285714285716</v>
      </c>
      <c r="F103" s="515">
        <v>222447.32142857139</v>
      </c>
      <c r="G103" s="515">
        <v>225413.28571428568</v>
      </c>
      <c r="H103" s="516">
        <v>35634.384288114808</v>
      </c>
      <c r="I103" s="510">
        <v>35634.384288114808</v>
      </c>
      <c r="J103" s="514">
        <f t="shared" si="31"/>
        <v>0</v>
      </c>
      <c r="K103" s="514"/>
      <c r="L103" s="518">
        <f t="shared" si="32"/>
        <v>35634.384288114808</v>
      </c>
      <c r="M103" s="519">
        <f t="shared" si="38"/>
        <v>0</v>
      </c>
      <c r="N103" s="518">
        <f t="shared" si="34"/>
        <v>35634.384288114808</v>
      </c>
      <c r="O103" s="514">
        <f>IF(N103&lt;&gt;0,+I103-N103,0)</f>
        <v>0</v>
      </c>
      <c r="P103" s="514">
        <f>+O103-M103</f>
        <v>0</v>
      </c>
      <c r="Q103" s="269"/>
    </row>
    <row r="104" spans="1:17">
      <c r="B104" s="195" t="str">
        <f t="shared" si="37"/>
        <v/>
      </c>
      <c r="C104" s="507">
        <f>IF(D93="","-",+C103+1)</f>
        <v>2016</v>
      </c>
      <c r="D104" s="508">
        <v>222447.32142857139</v>
      </c>
      <c r="E104" s="516">
        <v>5793.9767441860467</v>
      </c>
      <c r="F104" s="515">
        <v>216653.34468438535</v>
      </c>
      <c r="G104" s="515">
        <v>219550.33305647835</v>
      </c>
      <c r="H104" s="516">
        <v>33665.888954411937</v>
      </c>
      <c r="I104" s="510">
        <v>33665.888954411937</v>
      </c>
      <c r="J104" s="514">
        <f t="shared" si="31"/>
        <v>0</v>
      </c>
      <c r="K104" s="514"/>
      <c r="L104" s="518">
        <f t="shared" si="32"/>
        <v>33665.888954411937</v>
      </c>
      <c r="M104" s="519">
        <f t="shared" si="38"/>
        <v>0</v>
      </c>
      <c r="N104" s="518">
        <f t="shared" si="34"/>
        <v>33665.888954411937</v>
      </c>
      <c r="O104" s="514">
        <f>IF(N104&lt;&gt;0,+I104-N104,0)</f>
        <v>0</v>
      </c>
      <c r="P104" s="514">
        <f>+O104-M104</f>
        <v>0</v>
      </c>
      <c r="Q104" s="269"/>
    </row>
    <row r="105" spans="1:17">
      <c r="B105" s="195" t="str">
        <f t="shared" si="37"/>
        <v/>
      </c>
      <c r="C105" s="507">
        <f>IF(D93="","-",+C104+1)</f>
        <v>2017</v>
      </c>
      <c r="D105" s="508">
        <v>216653.34468438535</v>
      </c>
      <c r="E105" s="516">
        <v>5931.9285714285716</v>
      </c>
      <c r="F105" s="515">
        <v>210721.41611295677</v>
      </c>
      <c r="G105" s="515">
        <v>213687.38039867106</v>
      </c>
      <c r="H105" s="516">
        <v>31888.846157126722</v>
      </c>
      <c r="I105" s="510">
        <v>31888.846157126722</v>
      </c>
      <c r="J105" s="514">
        <f t="shared" si="31"/>
        <v>0</v>
      </c>
      <c r="K105" s="514"/>
      <c r="L105" s="518">
        <f>H105</f>
        <v>31888.846157126722</v>
      </c>
      <c r="M105" s="519">
        <f t="shared" si="38"/>
        <v>0</v>
      </c>
      <c r="N105" s="518">
        <f>I105</f>
        <v>31888.846157126722</v>
      </c>
      <c r="O105" s="514">
        <f>IF(N105&lt;&gt;0,+I105-N105,0)</f>
        <v>0</v>
      </c>
      <c r="P105" s="514">
        <f>+O105-M105</f>
        <v>0</v>
      </c>
      <c r="Q105" s="269"/>
    </row>
    <row r="106" spans="1:17">
      <c r="B106" s="195" t="str">
        <f t="shared" si="37"/>
        <v/>
      </c>
      <c r="C106" s="507">
        <f>IF(D93="","-",+C105+1)</f>
        <v>2018</v>
      </c>
      <c r="D106" s="508">
        <v>210721.41611295677</v>
      </c>
      <c r="E106" s="516">
        <v>5931.9285714285716</v>
      </c>
      <c r="F106" s="515">
        <v>204789.48754152819</v>
      </c>
      <c r="G106" s="515">
        <v>207755.45182724248</v>
      </c>
      <c r="H106" s="516">
        <v>27871.857013447705</v>
      </c>
      <c r="I106" s="510">
        <v>27871.857013447705</v>
      </c>
      <c r="J106" s="514">
        <f t="shared" si="31"/>
        <v>0</v>
      </c>
      <c r="K106" s="514"/>
      <c r="L106" s="518">
        <f>H106</f>
        <v>27871.857013447705</v>
      </c>
      <c r="M106" s="519">
        <f t="shared" si="38"/>
        <v>0</v>
      </c>
      <c r="N106" s="518">
        <f>I106</f>
        <v>27871.857013447705</v>
      </c>
      <c r="O106" s="514">
        <f t="shared" si="35"/>
        <v>0</v>
      </c>
      <c r="P106" s="514">
        <f t="shared" si="36"/>
        <v>0</v>
      </c>
      <c r="Q106" s="269"/>
    </row>
    <row r="107" spans="1:17">
      <c r="B107" s="195" t="str">
        <f t="shared" si="37"/>
        <v/>
      </c>
      <c r="C107" s="507">
        <f>IF(D93="","-",+C106+1)</f>
        <v>2019</v>
      </c>
      <c r="D107" s="508">
        <v>204789.48754152819</v>
      </c>
      <c r="E107" s="516">
        <v>5793.9767441860467</v>
      </c>
      <c r="F107" s="515">
        <v>198995.51079734214</v>
      </c>
      <c r="G107" s="515">
        <v>201892.49916943518</v>
      </c>
      <c r="H107" s="516">
        <v>27404.660198025118</v>
      </c>
      <c r="I107" s="510">
        <v>27404.660198025118</v>
      </c>
      <c r="J107" s="514">
        <f t="shared" si="31"/>
        <v>0</v>
      </c>
      <c r="K107" s="514"/>
      <c r="L107" s="518">
        <f>H107</f>
        <v>27404.660198025118</v>
      </c>
      <c r="M107" s="519">
        <f t="shared" ref="M107:M108" si="39">IF(L107&lt;&gt;0,+H107-L107,0)</f>
        <v>0</v>
      </c>
      <c r="N107" s="518">
        <f>I107</f>
        <v>27404.660198025118</v>
      </c>
      <c r="O107" s="514">
        <f t="shared" si="35"/>
        <v>0</v>
      </c>
      <c r="P107" s="514">
        <f t="shared" si="36"/>
        <v>0</v>
      </c>
      <c r="Q107" s="269"/>
    </row>
    <row r="108" spans="1:17">
      <c r="B108" s="195" t="str">
        <f t="shared" si="37"/>
        <v/>
      </c>
      <c r="C108" s="507">
        <f>IF(D93="","-",+C107+1)</f>
        <v>2020</v>
      </c>
      <c r="D108" s="508">
        <v>198995.51079734214</v>
      </c>
      <c r="E108" s="516">
        <v>5931.9285714285716</v>
      </c>
      <c r="F108" s="515">
        <v>193063.58222591356</v>
      </c>
      <c r="G108" s="515">
        <v>196029.54651162785</v>
      </c>
      <c r="H108" s="516">
        <v>27019.578173065966</v>
      </c>
      <c r="I108" s="510">
        <v>27019.578173065966</v>
      </c>
      <c r="J108" s="514">
        <f t="shared" si="31"/>
        <v>0</v>
      </c>
      <c r="K108" s="514"/>
      <c r="L108" s="518">
        <f>H108</f>
        <v>27019.578173065966</v>
      </c>
      <c r="M108" s="519">
        <f t="shared" si="39"/>
        <v>0</v>
      </c>
      <c r="N108" s="518">
        <f>I108</f>
        <v>27019.578173065966</v>
      </c>
      <c r="O108" s="514">
        <f t="shared" si="35"/>
        <v>0</v>
      </c>
      <c r="P108" s="514">
        <f t="shared" si="36"/>
        <v>0</v>
      </c>
      <c r="Q108" s="269"/>
    </row>
    <row r="109" spans="1:17">
      <c r="B109" s="195" t="str">
        <f t="shared" si="37"/>
        <v/>
      </c>
      <c r="C109" s="507">
        <f>IF(D93="","-",+C108+1)</f>
        <v>2021</v>
      </c>
      <c r="D109" s="508">
        <v>193063.58222591356</v>
      </c>
      <c r="E109" s="516">
        <v>6076.6097560975613</v>
      </c>
      <c r="F109" s="515">
        <v>186986.97246981598</v>
      </c>
      <c r="G109" s="515">
        <v>190025.27734786476</v>
      </c>
      <c r="H109" s="516">
        <v>27647.182105326981</v>
      </c>
      <c r="I109" s="510">
        <v>27647.182105326981</v>
      </c>
      <c r="J109" s="514">
        <f t="shared" si="31"/>
        <v>0</v>
      </c>
      <c r="K109" s="514"/>
      <c r="L109" s="518">
        <f>H109</f>
        <v>27647.182105326981</v>
      </c>
      <c r="M109" s="519">
        <f t="shared" ref="M109" si="40">IF(L109&lt;&gt;0,+H109-L109,0)</f>
        <v>0</v>
      </c>
      <c r="N109" s="518">
        <f>I109</f>
        <v>27647.182105326981</v>
      </c>
      <c r="O109" s="514">
        <f t="shared" ref="O109" si="41">IF(N109&lt;&gt;0,+I109-N109,0)</f>
        <v>0</v>
      </c>
      <c r="P109" s="514">
        <f t="shared" ref="P109" si="42">+O109-M109</f>
        <v>0</v>
      </c>
      <c r="Q109" s="269"/>
    </row>
    <row r="110" spans="1:17">
      <c r="B110" s="195" t="str">
        <f t="shared" si="37"/>
        <v/>
      </c>
      <c r="C110" s="673">
        <f>IF(D93="","-",+C109+1)</f>
        <v>2022</v>
      </c>
      <c r="D110" s="374">
        <v>186986.97246981598</v>
      </c>
      <c r="E110" s="522">
        <v>5931.9285714285716</v>
      </c>
      <c r="F110" s="523">
        <v>181055.0438983874</v>
      </c>
      <c r="G110" s="523">
        <v>184021.00818410169</v>
      </c>
      <c r="H110" s="526">
        <v>27546.639267223029</v>
      </c>
      <c r="I110" s="577">
        <v>27546.639267223029</v>
      </c>
      <c r="J110" s="514">
        <f t="shared" si="31"/>
        <v>0</v>
      </c>
      <c r="K110" s="514"/>
      <c r="L110" s="525"/>
      <c r="M110" s="514">
        <f t="shared" si="33"/>
        <v>0</v>
      </c>
      <c r="N110" s="525"/>
      <c r="O110" s="514">
        <f t="shared" si="35"/>
        <v>0</v>
      </c>
      <c r="P110" s="514">
        <f t="shared" si="36"/>
        <v>0</v>
      </c>
      <c r="Q110" s="269"/>
    </row>
    <row r="111" spans="1:17">
      <c r="B111" s="195" t="str">
        <f t="shared" si="37"/>
        <v/>
      </c>
      <c r="C111" s="507">
        <f>IF(D93="","-",+C110+1)</f>
        <v>2023</v>
      </c>
      <c r="D111" s="374">
        <f>IF(F110+SUM(E$99:E110)=D$92,F110,D$92-SUM(E$99:E110))</f>
        <v>181055.0438983874</v>
      </c>
      <c r="E111" s="522">
        <f>IF(+J96&lt;F110,J96,D111)</f>
        <v>6076.6097560975613</v>
      </c>
      <c r="F111" s="523">
        <f t="shared" ref="F111:F131" si="43">+D111-E111</f>
        <v>174978.43414228986</v>
      </c>
      <c r="G111" s="523">
        <f t="shared" ref="G111:G130" si="44">+(F111+D111)/2</f>
        <v>178016.73902033863</v>
      </c>
      <c r="H111" s="526">
        <f t="shared" ref="H111:H130" si="45">+J$94*G111+E111</f>
        <v>26284.042167221756</v>
      </c>
      <c r="I111" s="577">
        <f t="shared" ref="I111:I130" si="46">+J$95*G111+E111</f>
        <v>26284.042167221756</v>
      </c>
      <c r="J111" s="514">
        <f t="shared" si="31"/>
        <v>0</v>
      </c>
      <c r="K111" s="514"/>
      <c r="L111" s="525"/>
      <c r="M111" s="514">
        <f t="shared" si="33"/>
        <v>0</v>
      </c>
      <c r="N111" s="525"/>
      <c r="O111" s="514">
        <f t="shared" si="35"/>
        <v>0</v>
      </c>
      <c r="P111" s="514">
        <f t="shared" si="36"/>
        <v>0</v>
      </c>
      <c r="Q111" s="269"/>
    </row>
    <row r="112" spans="1:17">
      <c r="B112" s="195" t="str">
        <f t="shared" si="37"/>
        <v/>
      </c>
      <c r="C112" s="507">
        <f>IF(D93="","-",+C111+1)</f>
        <v>2024</v>
      </c>
      <c r="D112" s="374">
        <f>IF(F111+SUM(E$99:E111)=D$92,F111,D$92-SUM(E$99:E111))</f>
        <v>174978.43414228986</v>
      </c>
      <c r="E112" s="522">
        <f>IF(+J96&lt;F111,J96,D112)</f>
        <v>6076.6097560975613</v>
      </c>
      <c r="F112" s="523">
        <f t="shared" si="43"/>
        <v>168901.82438619231</v>
      </c>
      <c r="G112" s="523">
        <f t="shared" si="44"/>
        <v>171940.12926424108</v>
      </c>
      <c r="H112" s="526">
        <f t="shared" si="45"/>
        <v>25594.260511795015</v>
      </c>
      <c r="I112" s="577">
        <f t="shared" si="46"/>
        <v>25594.260511795015</v>
      </c>
      <c r="J112" s="514">
        <f t="shared" si="31"/>
        <v>0</v>
      </c>
      <c r="K112" s="514"/>
      <c r="L112" s="525"/>
      <c r="M112" s="514">
        <f t="shared" si="33"/>
        <v>0</v>
      </c>
      <c r="N112" s="525"/>
      <c r="O112" s="514">
        <f t="shared" si="35"/>
        <v>0</v>
      </c>
      <c r="P112" s="514">
        <f t="shared" si="36"/>
        <v>0</v>
      </c>
      <c r="Q112" s="269"/>
    </row>
    <row r="113" spans="2:17">
      <c r="B113" s="195" t="str">
        <f t="shared" si="37"/>
        <v/>
      </c>
      <c r="C113" s="507">
        <f>IF(D93="","-",+C112+1)</f>
        <v>2025</v>
      </c>
      <c r="D113" s="374">
        <f>IF(F112+SUM(E$99:E112)=D$92,F112,D$92-SUM(E$99:E112))</f>
        <v>168901.82438619231</v>
      </c>
      <c r="E113" s="522">
        <f>IF(+J96&lt;F112,J96,D113)</f>
        <v>6076.6097560975613</v>
      </c>
      <c r="F113" s="523">
        <f t="shared" si="43"/>
        <v>162825.21463009476</v>
      </c>
      <c r="G113" s="523">
        <f t="shared" si="44"/>
        <v>165863.51950814354</v>
      </c>
      <c r="H113" s="526">
        <f t="shared" si="45"/>
        <v>24904.478856368278</v>
      </c>
      <c r="I113" s="577">
        <f t="shared" si="46"/>
        <v>24904.478856368278</v>
      </c>
      <c r="J113" s="514">
        <f t="shared" si="31"/>
        <v>0</v>
      </c>
      <c r="K113" s="514"/>
      <c r="L113" s="525"/>
      <c r="M113" s="514">
        <f t="shared" si="33"/>
        <v>0</v>
      </c>
      <c r="N113" s="525"/>
      <c r="O113" s="514">
        <f t="shared" si="35"/>
        <v>0</v>
      </c>
      <c r="P113" s="514">
        <f t="shared" si="36"/>
        <v>0</v>
      </c>
      <c r="Q113" s="269"/>
    </row>
    <row r="114" spans="2:17">
      <c r="B114" s="195" t="str">
        <f t="shared" si="37"/>
        <v/>
      </c>
      <c r="C114" s="507">
        <f>IF(D93="","-",+C113+1)</f>
        <v>2026</v>
      </c>
      <c r="D114" s="374">
        <f>IF(F113+SUM(E$99:E113)=D$92,F113,D$92-SUM(E$99:E113))</f>
        <v>162825.21463009476</v>
      </c>
      <c r="E114" s="522">
        <f>IF(+J96&lt;F113,J96,D114)</f>
        <v>6076.6097560975613</v>
      </c>
      <c r="F114" s="523">
        <f t="shared" si="43"/>
        <v>156748.60487399722</v>
      </c>
      <c r="G114" s="523">
        <f t="shared" si="44"/>
        <v>159786.90975204599</v>
      </c>
      <c r="H114" s="526">
        <f t="shared" si="45"/>
        <v>24214.697200941537</v>
      </c>
      <c r="I114" s="577">
        <f t="shared" si="46"/>
        <v>24214.697200941537</v>
      </c>
      <c r="J114" s="514">
        <f t="shared" si="31"/>
        <v>0</v>
      </c>
      <c r="K114" s="514"/>
      <c r="L114" s="525"/>
      <c r="M114" s="514">
        <f t="shared" si="33"/>
        <v>0</v>
      </c>
      <c r="N114" s="525"/>
      <c r="O114" s="514">
        <f t="shared" si="35"/>
        <v>0</v>
      </c>
      <c r="P114" s="514">
        <f t="shared" si="36"/>
        <v>0</v>
      </c>
      <c r="Q114" s="269"/>
    </row>
    <row r="115" spans="2:17">
      <c r="B115" s="195" t="str">
        <f t="shared" si="37"/>
        <v/>
      </c>
      <c r="C115" s="507">
        <f>IF(D93="","-",+C114+1)</f>
        <v>2027</v>
      </c>
      <c r="D115" s="374">
        <f>IF(F114+SUM(E$99:E114)=D$92,F114,D$92-SUM(E$99:E114))</f>
        <v>156748.60487399722</v>
      </c>
      <c r="E115" s="522">
        <f>IF(+J96&lt;F114,J96,D115)</f>
        <v>6076.6097560975613</v>
      </c>
      <c r="F115" s="523">
        <f t="shared" si="43"/>
        <v>150671.99511789967</v>
      </c>
      <c r="G115" s="523">
        <f t="shared" si="44"/>
        <v>153710.29999594844</v>
      </c>
      <c r="H115" s="526">
        <f t="shared" si="45"/>
        <v>23524.915545514796</v>
      </c>
      <c r="I115" s="577">
        <f t="shared" si="46"/>
        <v>23524.915545514796</v>
      </c>
      <c r="J115" s="514">
        <f t="shared" si="31"/>
        <v>0</v>
      </c>
      <c r="K115" s="514"/>
      <c r="L115" s="525"/>
      <c r="M115" s="514">
        <f t="shared" si="33"/>
        <v>0</v>
      </c>
      <c r="N115" s="525"/>
      <c r="O115" s="514">
        <f t="shared" si="35"/>
        <v>0</v>
      </c>
      <c r="P115" s="514">
        <f t="shared" si="36"/>
        <v>0</v>
      </c>
      <c r="Q115" s="269"/>
    </row>
    <row r="116" spans="2:17">
      <c r="B116" s="195" t="str">
        <f t="shared" si="37"/>
        <v/>
      </c>
      <c r="C116" s="507">
        <f>IF(D93="","-",+C115+1)</f>
        <v>2028</v>
      </c>
      <c r="D116" s="374">
        <f>IF(F115+SUM(E$99:E115)=D$92,F115,D$92-SUM(E$99:E115))</f>
        <v>150671.99511789967</v>
      </c>
      <c r="E116" s="522">
        <f>IF(+J96&lt;F115,J96,D116)</f>
        <v>6076.6097560975613</v>
      </c>
      <c r="F116" s="523">
        <f t="shared" si="43"/>
        <v>144595.38536180212</v>
      </c>
      <c r="G116" s="523">
        <f t="shared" si="44"/>
        <v>147633.6902398509</v>
      </c>
      <c r="H116" s="526">
        <f t="shared" si="45"/>
        <v>22835.133890088058</v>
      </c>
      <c r="I116" s="577">
        <f t="shared" si="46"/>
        <v>22835.133890088058</v>
      </c>
      <c r="J116" s="514">
        <f t="shared" si="31"/>
        <v>0</v>
      </c>
      <c r="K116" s="514"/>
      <c r="L116" s="525"/>
      <c r="M116" s="514">
        <f t="shared" si="33"/>
        <v>0</v>
      </c>
      <c r="N116" s="525"/>
      <c r="O116" s="514">
        <f t="shared" si="35"/>
        <v>0</v>
      </c>
      <c r="P116" s="514">
        <f t="shared" si="36"/>
        <v>0</v>
      </c>
      <c r="Q116" s="269"/>
    </row>
    <row r="117" spans="2:17">
      <c r="B117" s="195" t="str">
        <f t="shared" si="37"/>
        <v/>
      </c>
      <c r="C117" s="507">
        <f>IF(D93="","-",+C116+1)</f>
        <v>2029</v>
      </c>
      <c r="D117" s="374">
        <f>IF(F116+SUM(E$99:E116)=D$92,F116,D$92-SUM(E$99:E116))</f>
        <v>144595.38536180212</v>
      </c>
      <c r="E117" s="522">
        <f>IF(+J96&lt;F116,J96,D117)</f>
        <v>6076.6097560975613</v>
      </c>
      <c r="F117" s="523">
        <f t="shared" si="43"/>
        <v>138518.77560570458</v>
      </c>
      <c r="G117" s="523">
        <f t="shared" si="44"/>
        <v>141557.08048375335</v>
      </c>
      <c r="H117" s="526">
        <f t="shared" si="45"/>
        <v>22145.352234661317</v>
      </c>
      <c r="I117" s="577">
        <f t="shared" si="46"/>
        <v>22145.352234661317</v>
      </c>
      <c r="J117" s="514">
        <f t="shared" si="31"/>
        <v>0</v>
      </c>
      <c r="K117" s="514"/>
      <c r="L117" s="525"/>
      <c r="M117" s="514">
        <f t="shared" si="33"/>
        <v>0</v>
      </c>
      <c r="N117" s="525"/>
      <c r="O117" s="514">
        <f t="shared" si="35"/>
        <v>0</v>
      </c>
      <c r="P117" s="514">
        <f t="shared" si="36"/>
        <v>0</v>
      </c>
      <c r="Q117" s="269"/>
    </row>
    <row r="118" spans="2:17">
      <c r="B118" s="195" t="str">
        <f t="shared" si="37"/>
        <v/>
      </c>
      <c r="C118" s="507">
        <f>IF(D93="","-",+C117+1)</f>
        <v>2030</v>
      </c>
      <c r="D118" s="374">
        <f>IF(F117+SUM(E$99:E117)=D$92,F117,D$92-SUM(E$99:E117))</f>
        <v>138518.77560570458</v>
      </c>
      <c r="E118" s="522">
        <f>IF(+J96&lt;F117,J96,D118)</f>
        <v>6076.6097560975613</v>
      </c>
      <c r="F118" s="523">
        <f t="shared" si="43"/>
        <v>132442.16584960703</v>
      </c>
      <c r="G118" s="523">
        <f t="shared" si="44"/>
        <v>135480.4707276558</v>
      </c>
      <c r="H118" s="526">
        <f t="shared" si="45"/>
        <v>21455.570579234576</v>
      </c>
      <c r="I118" s="577">
        <f t="shared" si="46"/>
        <v>21455.570579234576</v>
      </c>
      <c r="J118" s="514">
        <f t="shared" si="31"/>
        <v>0</v>
      </c>
      <c r="K118" s="514"/>
      <c r="L118" s="525"/>
      <c r="M118" s="514">
        <f t="shared" si="33"/>
        <v>0</v>
      </c>
      <c r="N118" s="525"/>
      <c r="O118" s="514">
        <f t="shared" si="35"/>
        <v>0</v>
      </c>
      <c r="P118" s="514">
        <f t="shared" si="36"/>
        <v>0</v>
      </c>
      <c r="Q118" s="269"/>
    </row>
    <row r="119" spans="2:17">
      <c r="B119" s="195" t="str">
        <f t="shared" si="37"/>
        <v/>
      </c>
      <c r="C119" s="507">
        <f>IF(D93="","-",+C118+1)</f>
        <v>2031</v>
      </c>
      <c r="D119" s="374">
        <f>IF(F118+SUM(E$99:E118)=D$92,F118,D$92-SUM(E$99:E118))</f>
        <v>132442.16584960703</v>
      </c>
      <c r="E119" s="522">
        <f>IF(+J96&lt;F118,J96,D119)</f>
        <v>6076.6097560975613</v>
      </c>
      <c r="F119" s="523">
        <f t="shared" si="43"/>
        <v>126365.55609350947</v>
      </c>
      <c r="G119" s="523">
        <f t="shared" si="44"/>
        <v>129403.86097155826</v>
      </c>
      <c r="H119" s="526">
        <f t="shared" si="45"/>
        <v>20765.788923807839</v>
      </c>
      <c r="I119" s="577">
        <f t="shared" si="46"/>
        <v>20765.788923807839</v>
      </c>
      <c r="J119" s="514">
        <f t="shared" si="31"/>
        <v>0</v>
      </c>
      <c r="K119" s="514"/>
      <c r="L119" s="525"/>
      <c r="M119" s="514">
        <f t="shared" si="33"/>
        <v>0</v>
      </c>
      <c r="N119" s="525"/>
      <c r="O119" s="514">
        <f t="shared" si="35"/>
        <v>0</v>
      </c>
      <c r="P119" s="514">
        <f t="shared" si="36"/>
        <v>0</v>
      </c>
      <c r="Q119" s="269"/>
    </row>
    <row r="120" spans="2:17">
      <c r="B120" s="195" t="str">
        <f t="shared" si="37"/>
        <v/>
      </c>
      <c r="C120" s="507">
        <f>IF(D93="","-",+C119+1)</f>
        <v>2032</v>
      </c>
      <c r="D120" s="374">
        <f>IF(F119+SUM(E$99:E119)=D$92,F119,D$92-SUM(E$99:E119))</f>
        <v>126365.55609350947</v>
      </c>
      <c r="E120" s="522">
        <f>IF(+J96&lt;F119,J96,D120)</f>
        <v>6076.6097560975613</v>
      </c>
      <c r="F120" s="523">
        <f t="shared" si="43"/>
        <v>120288.94633741191</v>
      </c>
      <c r="G120" s="523">
        <f t="shared" si="44"/>
        <v>123327.25121546068</v>
      </c>
      <c r="H120" s="526">
        <f t="shared" si="45"/>
        <v>20076.007268381094</v>
      </c>
      <c r="I120" s="577">
        <f t="shared" si="46"/>
        <v>20076.007268381094</v>
      </c>
      <c r="J120" s="514">
        <f t="shared" si="31"/>
        <v>0</v>
      </c>
      <c r="K120" s="514"/>
      <c r="L120" s="525"/>
      <c r="M120" s="514">
        <f t="shared" si="33"/>
        <v>0</v>
      </c>
      <c r="N120" s="525"/>
      <c r="O120" s="514">
        <f t="shared" si="35"/>
        <v>0</v>
      </c>
      <c r="P120" s="514">
        <f t="shared" si="36"/>
        <v>0</v>
      </c>
      <c r="Q120" s="269"/>
    </row>
    <row r="121" spans="2:17">
      <c r="B121" s="195" t="str">
        <f t="shared" si="37"/>
        <v/>
      </c>
      <c r="C121" s="507">
        <f>IF(D93="","-",+C120+1)</f>
        <v>2033</v>
      </c>
      <c r="D121" s="374">
        <f>IF(F120+SUM(E$99:E120)=D$92,F120,D$92-SUM(E$99:E120))</f>
        <v>120288.94633741191</v>
      </c>
      <c r="E121" s="522">
        <f>IF(+J96&lt;F120,J96,D121)</f>
        <v>6076.6097560975613</v>
      </c>
      <c r="F121" s="523">
        <f t="shared" si="43"/>
        <v>114212.33658131435</v>
      </c>
      <c r="G121" s="523">
        <f t="shared" si="44"/>
        <v>117250.64145936313</v>
      </c>
      <c r="H121" s="526">
        <f t="shared" si="45"/>
        <v>19386.225612954357</v>
      </c>
      <c r="I121" s="577">
        <f t="shared" si="46"/>
        <v>19386.225612954357</v>
      </c>
      <c r="J121" s="514">
        <f t="shared" si="31"/>
        <v>0</v>
      </c>
      <c r="K121" s="514"/>
      <c r="L121" s="525"/>
      <c r="M121" s="514">
        <f t="shared" si="33"/>
        <v>0</v>
      </c>
      <c r="N121" s="525"/>
      <c r="O121" s="514">
        <f t="shared" si="35"/>
        <v>0</v>
      </c>
      <c r="P121" s="514">
        <f t="shared" si="36"/>
        <v>0</v>
      </c>
      <c r="Q121" s="269"/>
    </row>
    <row r="122" spans="2:17">
      <c r="B122" s="195" t="str">
        <f t="shared" si="37"/>
        <v/>
      </c>
      <c r="C122" s="507">
        <f>IF(D93="","-",+C121+1)</f>
        <v>2034</v>
      </c>
      <c r="D122" s="374">
        <f>IF(F121+SUM(E$99:E121)=D$92,F121,D$92-SUM(E$99:E121))</f>
        <v>114212.33658131435</v>
      </c>
      <c r="E122" s="522">
        <f>IF(+J96&lt;F121,J96,D122)</f>
        <v>6076.6097560975613</v>
      </c>
      <c r="F122" s="523">
        <f t="shared" si="43"/>
        <v>108135.72682521679</v>
      </c>
      <c r="G122" s="523">
        <f t="shared" si="44"/>
        <v>111174.03170326556</v>
      </c>
      <c r="H122" s="526">
        <f t="shared" si="45"/>
        <v>18696.443957527612</v>
      </c>
      <c r="I122" s="577">
        <f t="shared" si="46"/>
        <v>18696.443957527612</v>
      </c>
      <c r="J122" s="514">
        <f t="shared" si="31"/>
        <v>0</v>
      </c>
      <c r="K122" s="514"/>
      <c r="L122" s="525"/>
      <c r="M122" s="514">
        <f t="shared" si="33"/>
        <v>0</v>
      </c>
      <c r="N122" s="525"/>
      <c r="O122" s="514">
        <f t="shared" si="35"/>
        <v>0</v>
      </c>
      <c r="P122" s="514">
        <f t="shared" si="36"/>
        <v>0</v>
      </c>
      <c r="Q122" s="269"/>
    </row>
    <row r="123" spans="2:17">
      <c r="B123" s="195" t="str">
        <f t="shared" si="37"/>
        <v/>
      </c>
      <c r="C123" s="507">
        <f>IF(D93="","-",+C122+1)</f>
        <v>2035</v>
      </c>
      <c r="D123" s="374">
        <f>IF(F122+SUM(E$99:E122)=D$92,F122,D$92-SUM(E$99:E122))</f>
        <v>108135.72682521679</v>
      </c>
      <c r="E123" s="522">
        <f>IF(+J96&lt;F122,J96,D123)</f>
        <v>6076.6097560975613</v>
      </c>
      <c r="F123" s="523">
        <f t="shared" si="43"/>
        <v>102059.11706911922</v>
      </c>
      <c r="G123" s="523">
        <f t="shared" si="44"/>
        <v>105097.42194716801</v>
      </c>
      <c r="H123" s="526">
        <f t="shared" si="45"/>
        <v>18006.662302100875</v>
      </c>
      <c r="I123" s="577">
        <f t="shared" si="46"/>
        <v>18006.662302100875</v>
      </c>
      <c r="J123" s="514">
        <f t="shared" si="31"/>
        <v>0</v>
      </c>
      <c r="K123" s="514"/>
      <c r="L123" s="525"/>
      <c r="M123" s="514">
        <f t="shared" si="33"/>
        <v>0</v>
      </c>
      <c r="N123" s="525"/>
      <c r="O123" s="514">
        <f t="shared" si="35"/>
        <v>0</v>
      </c>
      <c r="P123" s="514">
        <f t="shared" si="36"/>
        <v>0</v>
      </c>
      <c r="Q123" s="269"/>
    </row>
    <row r="124" spans="2:17">
      <c r="B124" s="195" t="str">
        <f t="shared" si="37"/>
        <v/>
      </c>
      <c r="C124" s="507">
        <f>IF(D93="","-",+C123+1)</f>
        <v>2036</v>
      </c>
      <c r="D124" s="374">
        <f>IF(F123+SUM(E$99:E123)=D$92,F123,D$92-SUM(E$99:E123))</f>
        <v>102059.11706911922</v>
      </c>
      <c r="E124" s="522">
        <f>IF(+J96&lt;F123,J96,D124)</f>
        <v>6076.6097560975613</v>
      </c>
      <c r="F124" s="523">
        <f t="shared" si="43"/>
        <v>95982.507313021662</v>
      </c>
      <c r="G124" s="523">
        <f t="shared" si="44"/>
        <v>99020.812191070436</v>
      </c>
      <c r="H124" s="526">
        <f t="shared" si="45"/>
        <v>17316.88064667413</v>
      </c>
      <c r="I124" s="577">
        <f t="shared" si="46"/>
        <v>17316.88064667413</v>
      </c>
      <c r="J124" s="514">
        <f t="shared" si="31"/>
        <v>0</v>
      </c>
      <c r="K124" s="514"/>
      <c r="L124" s="525"/>
      <c r="M124" s="514">
        <f t="shared" si="33"/>
        <v>0</v>
      </c>
      <c r="N124" s="525"/>
      <c r="O124" s="514">
        <f t="shared" si="35"/>
        <v>0</v>
      </c>
      <c r="P124" s="514">
        <f t="shared" si="36"/>
        <v>0</v>
      </c>
      <c r="Q124" s="269"/>
    </row>
    <row r="125" spans="2:17">
      <c r="B125" s="195" t="str">
        <f t="shared" si="37"/>
        <v/>
      </c>
      <c r="C125" s="507">
        <f>IF(D93="","-",+C124+1)</f>
        <v>2037</v>
      </c>
      <c r="D125" s="374">
        <f>IF(F124+SUM(E$99:E124)=D$92,F124,D$92-SUM(E$99:E124))</f>
        <v>95982.507313021662</v>
      </c>
      <c r="E125" s="522">
        <f>IF(+J96&lt;F124,J96,D125)</f>
        <v>6076.6097560975613</v>
      </c>
      <c r="F125" s="523">
        <f t="shared" si="43"/>
        <v>89905.897556924101</v>
      </c>
      <c r="G125" s="523">
        <f t="shared" si="44"/>
        <v>92944.202434972889</v>
      </c>
      <c r="H125" s="526">
        <f t="shared" si="45"/>
        <v>16627.098991247389</v>
      </c>
      <c r="I125" s="577">
        <f t="shared" si="46"/>
        <v>16627.098991247389</v>
      </c>
      <c r="J125" s="514">
        <f t="shared" si="31"/>
        <v>0</v>
      </c>
      <c r="K125" s="514"/>
      <c r="L125" s="525"/>
      <c r="M125" s="514">
        <f t="shared" si="33"/>
        <v>0</v>
      </c>
      <c r="N125" s="525"/>
      <c r="O125" s="514">
        <f t="shared" si="35"/>
        <v>0</v>
      </c>
      <c r="P125" s="514">
        <f t="shared" si="36"/>
        <v>0</v>
      </c>
      <c r="Q125" s="269"/>
    </row>
    <row r="126" spans="2:17">
      <c r="B126" s="195" t="str">
        <f t="shared" si="37"/>
        <v/>
      </c>
      <c r="C126" s="507">
        <f>IF(D93="","-",+C125+1)</f>
        <v>2038</v>
      </c>
      <c r="D126" s="374">
        <f>IF(F125+SUM(E$99:E125)=D$92,F125,D$92-SUM(E$99:E125))</f>
        <v>89905.897556924101</v>
      </c>
      <c r="E126" s="522">
        <f>IF(+J96&lt;F125,J96,D126)</f>
        <v>6076.6097560975613</v>
      </c>
      <c r="F126" s="523">
        <f t="shared" si="43"/>
        <v>83829.28780082654</v>
      </c>
      <c r="G126" s="523">
        <f t="shared" si="44"/>
        <v>86867.592678875313</v>
      </c>
      <c r="H126" s="526">
        <f t="shared" si="45"/>
        <v>15937.317335820648</v>
      </c>
      <c r="I126" s="577">
        <f t="shared" si="46"/>
        <v>15937.317335820648</v>
      </c>
      <c r="J126" s="514">
        <f t="shared" si="31"/>
        <v>0</v>
      </c>
      <c r="K126" s="514"/>
      <c r="L126" s="525"/>
      <c r="M126" s="514">
        <f t="shared" si="33"/>
        <v>0</v>
      </c>
      <c r="N126" s="525"/>
      <c r="O126" s="514">
        <f t="shared" si="35"/>
        <v>0</v>
      </c>
      <c r="P126" s="514">
        <f t="shared" si="36"/>
        <v>0</v>
      </c>
      <c r="Q126" s="269"/>
    </row>
    <row r="127" spans="2:17">
      <c r="B127" s="195" t="str">
        <f t="shared" si="37"/>
        <v/>
      </c>
      <c r="C127" s="507">
        <f>IF(D93="","-",+C126+1)</f>
        <v>2039</v>
      </c>
      <c r="D127" s="374">
        <f>IF(F126+SUM(E$99:E126)=D$92,F126,D$92-SUM(E$99:E126))</f>
        <v>83829.28780082654</v>
      </c>
      <c r="E127" s="522">
        <f>IF(+J96&lt;F126,J96,D127)</f>
        <v>6076.6097560975613</v>
      </c>
      <c r="F127" s="523">
        <f t="shared" si="43"/>
        <v>77752.678044728978</v>
      </c>
      <c r="G127" s="523">
        <f t="shared" si="44"/>
        <v>80790.982922777766</v>
      </c>
      <c r="H127" s="526">
        <f t="shared" si="45"/>
        <v>15247.535680393908</v>
      </c>
      <c r="I127" s="577">
        <f t="shared" si="46"/>
        <v>15247.535680393908</v>
      </c>
      <c r="J127" s="514">
        <f t="shared" si="31"/>
        <v>0</v>
      </c>
      <c r="K127" s="514"/>
      <c r="L127" s="525"/>
      <c r="M127" s="514">
        <f t="shared" si="33"/>
        <v>0</v>
      </c>
      <c r="N127" s="525"/>
      <c r="O127" s="514">
        <f t="shared" si="35"/>
        <v>0</v>
      </c>
      <c r="P127" s="514">
        <f t="shared" si="36"/>
        <v>0</v>
      </c>
      <c r="Q127" s="269"/>
    </row>
    <row r="128" spans="2:17">
      <c r="B128" s="195" t="str">
        <f t="shared" si="37"/>
        <v/>
      </c>
      <c r="C128" s="507">
        <f>IF(D93="","-",+C127+1)</f>
        <v>2040</v>
      </c>
      <c r="D128" s="374">
        <f>IF(F127+SUM(E$99:E127)=D$92,F127,D$92-SUM(E$99:E127))</f>
        <v>77752.678044728978</v>
      </c>
      <c r="E128" s="522">
        <f>IF(+J96&lt;F127,J96,D128)</f>
        <v>6076.6097560975613</v>
      </c>
      <c r="F128" s="523">
        <f t="shared" si="43"/>
        <v>71676.068288631417</v>
      </c>
      <c r="G128" s="523">
        <f t="shared" si="44"/>
        <v>74714.37316668019</v>
      </c>
      <c r="H128" s="526">
        <f t="shared" si="45"/>
        <v>14557.754024967166</v>
      </c>
      <c r="I128" s="577">
        <f t="shared" si="46"/>
        <v>14557.754024967166</v>
      </c>
      <c r="J128" s="514">
        <f t="shared" si="31"/>
        <v>0</v>
      </c>
      <c r="K128" s="514"/>
      <c r="L128" s="525"/>
      <c r="M128" s="514">
        <f t="shared" si="33"/>
        <v>0</v>
      </c>
      <c r="N128" s="525"/>
      <c r="O128" s="514">
        <f t="shared" si="35"/>
        <v>0</v>
      </c>
      <c r="P128" s="514">
        <f t="shared" si="36"/>
        <v>0</v>
      </c>
      <c r="Q128" s="269"/>
    </row>
    <row r="129" spans="2:17">
      <c r="B129" s="195" t="str">
        <f t="shared" si="37"/>
        <v/>
      </c>
      <c r="C129" s="507">
        <f>IF(D93="","-",+C128+1)</f>
        <v>2041</v>
      </c>
      <c r="D129" s="374">
        <f>IF(F128+SUM(E$99:E128)=D$92,F128,D$92-SUM(E$99:E128))</f>
        <v>71676.068288631417</v>
      </c>
      <c r="E129" s="522">
        <f>IF(+J96&lt;F128,J96,D129)</f>
        <v>6076.6097560975613</v>
      </c>
      <c r="F129" s="523">
        <f t="shared" si="43"/>
        <v>65599.458532533856</v>
      </c>
      <c r="G129" s="523">
        <f t="shared" si="44"/>
        <v>68637.763410582644</v>
      </c>
      <c r="H129" s="526">
        <f t="shared" si="45"/>
        <v>13867.972369540426</v>
      </c>
      <c r="I129" s="577">
        <f t="shared" si="46"/>
        <v>13867.972369540426</v>
      </c>
      <c r="J129" s="514">
        <f t="shared" si="31"/>
        <v>0</v>
      </c>
      <c r="K129" s="514"/>
      <c r="L129" s="525"/>
      <c r="M129" s="514">
        <f t="shared" si="33"/>
        <v>0</v>
      </c>
      <c r="N129" s="525"/>
      <c r="O129" s="514">
        <f t="shared" si="35"/>
        <v>0</v>
      </c>
      <c r="P129" s="514">
        <f t="shared" si="36"/>
        <v>0</v>
      </c>
      <c r="Q129" s="269"/>
    </row>
    <row r="130" spans="2:17">
      <c r="B130" s="195" t="str">
        <f t="shared" si="37"/>
        <v/>
      </c>
      <c r="C130" s="507">
        <f>IF(D93="","-",+C129+1)</f>
        <v>2042</v>
      </c>
      <c r="D130" s="374">
        <f>IF(F129+SUM(E$99:E129)=D$92,F129,D$92-SUM(E$99:E129))</f>
        <v>65599.458532533856</v>
      </c>
      <c r="E130" s="522">
        <f>IF(+J96&lt;F129,J96,D130)</f>
        <v>6076.6097560975613</v>
      </c>
      <c r="F130" s="523">
        <f t="shared" si="43"/>
        <v>59522.848776436294</v>
      </c>
      <c r="G130" s="523">
        <f t="shared" si="44"/>
        <v>62561.153654485075</v>
      </c>
      <c r="H130" s="526">
        <f t="shared" si="45"/>
        <v>13178.190714113683</v>
      </c>
      <c r="I130" s="577">
        <f t="shared" si="46"/>
        <v>13178.190714113683</v>
      </c>
      <c r="J130" s="514">
        <f t="shared" si="31"/>
        <v>0</v>
      </c>
      <c r="K130" s="514"/>
      <c r="L130" s="525"/>
      <c r="M130" s="514">
        <f t="shared" si="33"/>
        <v>0</v>
      </c>
      <c r="N130" s="525"/>
      <c r="O130" s="514">
        <f t="shared" si="35"/>
        <v>0</v>
      </c>
      <c r="P130" s="514">
        <f t="shared" si="36"/>
        <v>0</v>
      </c>
      <c r="Q130" s="269"/>
    </row>
    <row r="131" spans="2:17">
      <c r="B131" s="195" t="str">
        <f t="shared" si="37"/>
        <v/>
      </c>
      <c r="C131" s="507">
        <f>IF(D93="","-",+C130+1)</f>
        <v>2043</v>
      </c>
      <c r="D131" s="374">
        <f>IF(F130+SUM(E$99:E130)=D$92,F130,D$92-SUM(E$99:E130))</f>
        <v>59522.848776436294</v>
      </c>
      <c r="E131" s="522">
        <f>IF(+J96&lt;F130,J96,D131)</f>
        <v>6076.6097560975613</v>
      </c>
      <c r="F131" s="523">
        <f t="shared" si="43"/>
        <v>53446.239020338733</v>
      </c>
      <c r="G131" s="523">
        <f t="shared" ref="G131:G154" si="47">+(F131+D131)/2</f>
        <v>56484.543898387514</v>
      </c>
      <c r="H131" s="526">
        <f t="shared" ref="H131:H154" si="48">+J$94*G131+E131</f>
        <v>12488.409058686942</v>
      </c>
      <c r="I131" s="577">
        <f t="shared" ref="I131:I154" si="49">+J$95*G131+E131</f>
        <v>12488.409058686942</v>
      </c>
      <c r="J131" s="514">
        <f t="shared" ref="J131:J154" si="50">+I131-H131</f>
        <v>0</v>
      </c>
      <c r="K131" s="514"/>
      <c r="L131" s="525"/>
      <c r="M131" s="514">
        <f t="shared" ref="M131:M154" si="51">IF(L131&lt;&gt;0,+H131-L131,0)</f>
        <v>0</v>
      </c>
      <c r="N131" s="525"/>
      <c r="O131" s="514">
        <f t="shared" ref="O131:O154" si="52">IF(N131&lt;&gt;0,+I131-N131,0)</f>
        <v>0</v>
      </c>
      <c r="P131" s="514">
        <f t="shared" ref="P131:P154" si="53">+O131-M131</f>
        <v>0</v>
      </c>
      <c r="Q131" s="269"/>
    </row>
    <row r="132" spans="2:17">
      <c r="B132" s="195" t="str">
        <f t="shared" ref="B132:B154" si="54">IF(D132=F131,"","IU")</f>
        <v/>
      </c>
      <c r="C132" s="507">
        <f>IF(D93="","-",+C131+1)</f>
        <v>2044</v>
      </c>
      <c r="D132" s="374">
        <f>IF(F131+SUM(E$99:E131)=D$92,F131,D$92-SUM(E$99:E131))</f>
        <v>53446.239020338733</v>
      </c>
      <c r="E132" s="522">
        <f>IF(+J96&lt;F131,J96,D132)</f>
        <v>6076.6097560975613</v>
      </c>
      <c r="F132" s="523">
        <f t="shared" ref="F132:F154" si="55">+D132-E132</f>
        <v>47369.629264241172</v>
      </c>
      <c r="G132" s="523">
        <f t="shared" si="47"/>
        <v>50407.934142289952</v>
      </c>
      <c r="H132" s="526">
        <f t="shared" si="48"/>
        <v>11798.627403260201</v>
      </c>
      <c r="I132" s="577">
        <f t="shared" si="49"/>
        <v>11798.627403260201</v>
      </c>
      <c r="J132" s="514">
        <f t="shared" si="50"/>
        <v>0</v>
      </c>
      <c r="K132" s="514"/>
      <c r="L132" s="525"/>
      <c r="M132" s="514">
        <f t="shared" si="51"/>
        <v>0</v>
      </c>
      <c r="N132" s="525"/>
      <c r="O132" s="514">
        <f t="shared" si="52"/>
        <v>0</v>
      </c>
      <c r="P132" s="514">
        <f t="shared" si="53"/>
        <v>0</v>
      </c>
      <c r="Q132" s="269"/>
    </row>
    <row r="133" spans="2:17">
      <c r="B133" s="195" t="str">
        <f t="shared" si="54"/>
        <v/>
      </c>
      <c r="C133" s="507">
        <f>IF(D93="","-",+C132+1)</f>
        <v>2045</v>
      </c>
      <c r="D133" s="374">
        <f>IF(F132+SUM(E$99:E132)=D$92,F132,D$92-SUM(E$99:E132))</f>
        <v>47369.629264241172</v>
      </c>
      <c r="E133" s="522">
        <f>IF(+J96&lt;F132,J96,D133)</f>
        <v>6076.6097560975613</v>
      </c>
      <c r="F133" s="523">
        <f t="shared" si="55"/>
        <v>41293.01950814361</v>
      </c>
      <c r="G133" s="523">
        <f t="shared" si="47"/>
        <v>44331.324386192391</v>
      </c>
      <c r="H133" s="526">
        <f t="shared" si="48"/>
        <v>11108.84574783346</v>
      </c>
      <c r="I133" s="577">
        <f t="shared" si="49"/>
        <v>11108.84574783346</v>
      </c>
      <c r="J133" s="514">
        <f t="shared" si="50"/>
        <v>0</v>
      </c>
      <c r="K133" s="514"/>
      <c r="L133" s="525"/>
      <c r="M133" s="514">
        <f t="shared" si="51"/>
        <v>0</v>
      </c>
      <c r="N133" s="525"/>
      <c r="O133" s="514">
        <f t="shared" si="52"/>
        <v>0</v>
      </c>
      <c r="P133" s="514">
        <f t="shared" si="53"/>
        <v>0</v>
      </c>
      <c r="Q133" s="269"/>
    </row>
    <row r="134" spans="2:17">
      <c r="B134" s="195" t="str">
        <f t="shared" si="54"/>
        <v/>
      </c>
      <c r="C134" s="507">
        <f>IF(D93="","-",+C133+1)</f>
        <v>2046</v>
      </c>
      <c r="D134" s="374">
        <f>IF(F133+SUM(E$99:E133)=D$92,F133,D$92-SUM(E$99:E133))</f>
        <v>41293.01950814361</v>
      </c>
      <c r="E134" s="522">
        <f>IF(+J96&lt;F133,J96,D134)</f>
        <v>6076.6097560975613</v>
      </c>
      <c r="F134" s="523">
        <f t="shared" si="55"/>
        <v>35216.409752046049</v>
      </c>
      <c r="G134" s="523">
        <f t="shared" si="47"/>
        <v>38254.71463009483</v>
      </c>
      <c r="H134" s="526">
        <f t="shared" si="48"/>
        <v>10419.064092406719</v>
      </c>
      <c r="I134" s="577">
        <f t="shared" si="49"/>
        <v>10419.064092406719</v>
      </c>
      <c r="J134" s="514">
        <f t="shared" si="50"/>
        <v>0</v>
      </c>
      <c r="K134" s="514"/>
      <c r="L134" s="525"/>
      <c r="M134" s="514">
        <f t="shared" si="51"/>
        <v>0</v>
      </c>
      <c r="N134" s="525"/>
      <c r="O134" s="514">
        <f t="shared" si="52"/>
        <v>0</v>
      </c>
      <c r="P134" s="514">
        <f t="shared" si="53"/>
        <v>0</v>
      </c>
      <c r="Q134" s="269"/>
    </row>
    <row r="135" spans="2:17">
      <c r="B135" s="195" t="str">
        <f t="shared" si="54"/>
        <v/>
      </c>
      <c r="C135" s="507">
        <f>IF(D93="","-",+C134+1)</f>
        <v>2047</v>
      </c>
      <c r="D135" s="374">
        <f>IF(F134+SUM(E$99:E134)=D$92,F134,D$92-SUM(E$99:E134))</f>
        <v>35216.409752046049</v>
      </c>
      <c r="E135" s="522">
        <f>IF(+J96&lt;F134,J96,D135)</f>
        <v>6076.6097560975613</v>
      </c>
      <c r="F135" s="523">
        <f t="shared" si="55"/>
        <v>29139.799995948488</v>
      </c>
      <c r="G135" s="523">
        <f t="shared" si="47"/>
        <v>32178.104873997268</v>
      </c>
      <c r="H135" s="526">
        <f t="shared" si="48"/>
        <v>9729.2824369799782</v>
      </c>
      <c r="I135" s="577">
        <f t="shared" si="49"/>
        <v>9729.2824369799782</v>
      </c>
      <c r="J135" s="514">
        <f t="shared" si="50"/>
        <v>0</v>
      </c>
      <c r="K135" s="514"/>
      <c r="L135" s="525"/>
      <c r="M135" s="514">
        <f t="shared" si="51"/>
        <v>0</v>
      </c>
      <c r="N135" s="525"/>
      <c r="O135" s="514">
        <f t="shared" si="52"/>
        <v>0</v>
      </c>
      <c r="P135" s="514">
        <f t="shared" si="53"/>
        <v>0</v>
      </c>
      <c r="Q135" s="269"/>
    </row>
    <row r="136" spans="2:17">
      <c r="B136" s="195" t="str">
        <f t="shared" si="54"/>
        <v/>
      </c>
      <c r="C136" s="507">
        <f>IF(D93="","-",+C135+1)</f>
        <v>2048</v>
      </c>
      <c r="D136" s="374">
        <f>IF(F135+SUM(E$99:E135)=D$92,F135,D$92-SUM(E$99:E135))</f>
        <v>29139.799995948488</v>
      </c>
      <c r="E136" s="522">
        <f>IF(+J96&lt;F135,J96,D136)</f>
        <v>6076.6097560975613</v>
      </c>
      <c r="F136" s="523">
        <f t="shared" si="55"/>
        <v>23063.190239850926</v>
      </c>
      <c r="G136" s="523">
        <f t="shared" si="47"/>
        <v>26101.495117899707</v>
      </c>
      <c r="H136" s="526">
        <f t="shared" si="48"/>
        <v>9039.5007815532372</v>
      </c>
      <c r="I136" s="577">
        <f t="shared" si="49"/>
        <v>9039.5007815532372</v>
      </c>
      <c r="J136" s="514">
        <f t="shared" si="50"/>
        <v>0</v>
      </c>
      <c r="K136" s="514"/>
      <c r="L136" s="525"/>
      <c r="M136" s="514">
        <f t="shared" si="51"/>
        <v>0</v>
      </c>
      <c r="N136" s="525"/>
      <c r="O136" s="514">
        <f t="shared" si="52"/>
        <v>0</v>
      </c>
      <c r="P136" s="514">
        <f t="shared" si="53"/>
        <v>0</v>
      </c>
      <c r="Q136" s="269"/>
    </row>
    <row r="137" spans="2:17">
      <c r="B137" s="195" t="str">
        <f t="shared" si="54"/>
        <v/>
      </c>
      <c r="C137" s="507">
        <f>IF(D93="","-",+C136+1)</f>
        <v>2049</v>
      </c>
      <c r="D137" s="374">
        <f>IF(F136+SUM(E$99:E136)=D$92,F136,D$92-SUM(E$99:E136))</f>
        <v>23063.190239850926</v>
      </c>
      <c r="E137" s="522">
        <f>IF(+J96&lt;F136,J96,D137)</f>
        <v>6076.6097560975613</v>
      </c>
      <c r="F137" s="523">
        <f t="shared" si="55"/>
        <v>16986.580483753365</v>
      </c>
      <c r="G137" s="523">
        <f t="shared" si="47"/>
        <v>20024.885361802146</v>
      </c>
      <c r="H137" s="526">
        <f t="shared" si="48"/>
        <v>8349.7191261264961</v>
      </c>
      <c r="I137" s="577">
        <f t="shared" si="49"/>
        <v>8349.7191261264961</v>
      </c>
      <c r="J137" s="514">
        <f t="shared" si="50"/>
        <v>0</v>
      </c>
      <c r="K137" s="514"/>
      <c r="L137" s="525"/>
      <c r="M137" s="514">
        <f t="shared" si="51"/>
        <v>0</v>
      </c>
      <c r="N137" s="525"/>
      <c r="O137" s="514">
        <f t="shared" si="52"/>
        <v>0</v>
      </c>
      <c r="P137" s="514">
        <f t="shared" si="53"/>
        <v>0</v>
      </c>
      <c r="Q137" s="269"/>
    </row>
    <row r="138" spans="2:17">
      <c r="B138" s="195" t="str">
        <f t="shared" si="54"/>
        <v/>
      </c>
      <c r="C138" s="507">
        <f>IF(D93="","-",+C137+1)</f>
        <v>2050</v>
      </c>
      <c r="D138" s="374">
        <f>IF(F137+SUM(E$99:E137)=D$92,F137,D$92-SUM(E$99:E137))</f>
        <v>16986.580483753365</v>
      </c>
      <c r="E138" s="522">
        <f>IF(+J96&lt;F137,J96,D138)</f>
        <v>6076.6097560975613</v>
      </c>
      <c r="F138" s="523">
        <f t="shared" si="55"/>
        <v>10909.970727655804</v>
      </c>
      <c r="G138" s="523">
        <f t="shared" si="47"/>
        <v>13948.275605704584</v>
      </c>
      <c r="H138" s="526">
        <f t="shared" si="48"/>
        <v>7659.9374706997542</v>
      </c>
      <c r="I138" s="577">
        <f t="shared" si="49"/>
        <v>7659.9374706997542</v>
      </c>
      <c r="J138" s="514">
        <f t="shared" si="50"/>
        <v>0</v>
      </c>
      <c r="K138" s="514"/>
      <c r="L138" s="525"/>
      <c r="M138" s="514">
        <f t="shared" si="51"/>
        <v>0</v>
      </c>
      <c r="N138" s="525"/>
      <c r="O138" s="514">
        <f t="shared" si="52"/>
        <v>0</v>
      </c>
      <c r="P138" s="514">
        <f t="shared" si="53"/>
        <v>0</v>
      </c>
      <c r="Q138" s="269"/>
    </row>
    <row r="139" spans="2:17">
      <c r="B139" s="195" t="str">
        <f t="shared" si="54"/>
        <v/>
      </c>
      <c r="C139" s="507">
        <f>IF(D93="","-",+C138+1)</f>
        <v>2051</v>
      </c>
      <c r="D139" s="374">
        <f>IF(F138+SUM(E$99:E138)=D$92,F138,D$92-SUM(E$99:E138))</f>
        <v>10909.970727655804</v>
      </c>
      <c r="E139" s="522">
        <f>IF(+J96&lt;F138,J96,D139)</f>
        <v>6076.6097560975613</v>
      </c>
      <c r="F139" s="523">
        <f t="shared" si="55"/>
        <v>4833.3609715582425</v>
      </c>
      <c r="G139" s="523">
        <f t="shared" si="47"/>
        <v>7871.6658496070231</v>
      </c>
      <c r="H139" s="526">
        <f t="shared" si="48"/>
        <v>6970.1558152730131</v>
      </c>
      <c r="I139" s="577">
        <f t="shared" si="49"/>
        <v>6970.1558152730131</v>
      </c>
      <c r="J139" s="514">
        <f t="shared" si="50"/>
        <v>0</v>
      </c>
      <c r="K139" s="514"/>
      <c r="L139" s="525"/>
      <c r="M139" s="514">
        <f t="shared" si="51"/>
        <v>0</v>
      </c>
      <c r="N139" s="525"/>
      <c r="O139" s="514">
        <f t="shared" si="52"/>
        <v>0</v>
      </c>
      <c r="P139" s="514">
        <f t="shared" si="53"/>
        <v>0</v>
      </c>
      <c r="Q139" s="269"/>
    </row>
    <row r="140" spans="2:17">
      <c r="B140" s="195" t="str">
        <f t="shared" si="54"/>
        <v/>
      </c>
      <c r="C140" s="507">
        <f>IF(D93="","-",+C139+1)</f>
        <v>2052</v>
      </c>
      <c r="D140" s="374">
        <f>IF(F139+SUM(E$99:E139)=D$92,F139,D$92-SUM(E$99:E139))</f>
        <v>4833.3609715582425</v>
      </c>
      <c r="E140" s="522">
        <f>IF(+J96&lt;F139,J96,D140)</f>
        <v>4833.3609715582425</v>
      </c>
      <c r="F140" s="523">
        <f t="shared" si="55"/>
        <v>0</v>
      </c>
      <c r="G140" s="523">
        <f t="shared" si="47"/>
        <v>2416.6804857791212</v>
      </c>
      <c r="H140" s="526">
        <f t="shared" si="48"/>
        <v>5107.6885872892826</v>
      </c>
      <c r="I140" s="577">
        <f t="shared" si="49"/>
        <v>5107.6885872892826</v>
      </c>
      <c r="J140" s="514">
        <f t="shared" si="50"/>
        <v>0</v>
      </c>
      <c r="K140" s="514"/>
      <c r="L140" s="525"/>
      <c r="M140" s="514">
        <f t="shared" si="51"/>
        <v>0</v>
      </c>
      <c r="N140" s="525"/>
      <c r="O140" s="514">
        <f t="shared" si="52"/>
        <v>0</v>
      </c>
      <c r="P140" s="514">
        <f t="shared" si="53"/>
        <v>0</v>
      </c>
      <c r="Q140" s="269"/>
    </row>
    <row r="141" spans="2:17">
      <c r="B141" s="195" t="str">
        <f t="shared" si="54"/>
        <v/>
      </c>
      <c r="C141" s="507">
        <f>IF(D93="","-",+C140+1)</f>
        <v>2053</v>
      </c>
      <c r="D141" s="374">
        <f>IF(F140+SUM(E$99:E140)=D$92,F140,D$92-SUM(E$99:E140))</f>
        <v>0</v>
      </c>
      <c r="E141" s="522">
        <f>IF(+J96&lt;F140,J96,D141)</f>
        <v>0</v>
      </c>
      <c r="F141" s="523">
        <f t="shared" si="55"/>
        <v>0</v>
      </c>
      <c r="G141" s="523">
        <f t="shared" si="47"/>
        <v>0</v>
      </c>
      <c r="H141" s="526">
        <f t="shared" si="48"/>
        <v>0</v>
      </c>
      <c r="I141" s="577">
        <f t="shared" si="49"/>
        <v>0</v>
      </c>
      <c r="J141" s="514">
        <f t="shared" si="50"/>
        <v>0</v>
      </c>
      <c r="K141" s="514"/>
      <c r="L141" s="525"/>
      <c r="M141" s="514">
        <f t="shared" si="51"/>
        <v>0</v>
      </c>
      <c r="N141" s="525"/>
      <c r="O141" s="514">
        <f t="shared" si="52"/>
        <v>0</v>
      </c>
      <c r="P141" s="514">
        <f t="shared" si="53"/>
        <v>0</v>
      </c>
      <c r="Q141" s="269"/>
    </row>
    <row r="142" spans="2:17">
      <c r="B142" s="195" t="str">
        <f t="shared" si="54"/>
        <v/>
      </c>
      <c r="C142" s="507">
        <f>IF(D93="","-",+C141+1)</f>
        <v>2054</v>
      </c>
      <c r="D142" s="374">
        <f>IF(F141+SUM(E$99:E141)=D$92,F141,D$92-SUM(E$99:E141))</f>
        <v>0</v>
      </c>
      <c r="E142" s="522">
        <f>IF(+J96&lt;F141,J96,D142)</f>
        <v>0</v>
      </c>
      <c r="F142" s="523">
        <f t="shared" si="55"/>
        <v>0</v>
      </c>
      <c r="G142" s="523">
        <f t="shared" si="47"/>
        <v>0</v>
      </c>
      <c r="H142" s="526">
        <f t="shared" si="48"/>
        <v>0</v>
      </c>
      <c r="I142" s="577">
        <f t="shared" si="49"/>
        <v>0</v>
      </c>
      <c r="J142" s="514">
        <f t="shared" si="50"/>
        <v>0</v>
      </c>
      <c r="K142" s="514"/>
      <c r="L142" s="525"/>
      <c r="M142" s="514">
        <f t="shared" si="51"/>
        <v>0</v>
      </c>
      <c r="N142" s="525"/>
      <c r="O142" s="514">
        <f t="shared" si="52"/>
        <v>0</v>
      </c>
      <c r="P142" s="514">
        <f t="shared" si="53"/>
        <v>0</v>
      </c>
      <c r="Q142" s="269"/>
    </row>
    <row r="143" spans="2:17">
      <c r="B143" s="195" t="str">
        <f t="shared" si="54"/>
        <v/>
      </c>
      <c r="C143" s="507">
        <f>IF(D93="","-",+C142+1)</f>
        <v>2055</v>
      </c>
      <c r="D143" s="374">
        <f>IF(F142+SUM(E$99:E142)=D$92,F142,D$92-SUM(E$99:E142))</f>
        <v>0</v>
      </c>
      <c r="E143" s="522">
        <f>IF(+J96&lt;F142,J96,D143)</f>
        <v>0</v>
      </c>
      <c r="F143" s="523">
        <f t="shared" si="55"/>
        <v>0</v>
      </c>
      <c r="G143" s="523">
        <f t="shared" si="47"/>
        <v>0</v>
      </c>
      <c r="H143" s="526">
        <f t="shared" si="48"/>
        <v>0</v>
      </c>
      <c r="I143" s="577">
        <f t="shared" si="49"/>
        <v>0</v>
      </c>
      <c r="J143" s="514">
        <f t="shared" si="50"/>
        <v>0</v>
      </c>
      <c r="K143" s="514"/>
      <c r="L143" s="525"/>
      <c r="M143" s="514">
        <f t="shared" si="51"/>
        <v>0</v>
      </c>
      <c r="N143" s="525"/>
      <c r="O143" s="514">
        <f t="shared" si="52"/>
        <v>0</v>
      </c>
      <c r="P143" s="514">
        <f t="shared" si="53"/>
        <v>0</v>
      </c>
      <c r="Q143" s="269"/>
    </row>
    <row r="144" spans="2:17">
      <c r="B144" s="195" t="str">
        <f t="shared" si="54"/>
        <v/>
      </c>
      <c r="C144" s="507">
        <f>IF(D93="","-",+C143+1)</f>
        <v>2056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55"/>
        <v>0</v>
      </c>
      <c r="G144" s="523">
        <f t="shared" si="47"/>
        <v>0</v>
      </c>
      <c r="H144" s="526">
        <f t="shared" si="48"/>
        <v>0</v>
      </c>
      <c r="I144" s="577">
        <f t="shared" si="49"/>
        <v>0</v>
      </c>
      <c r="J144" s="514">
        <f t="shared" si="50"/>
        <v>0</v>
      </c>
      <c r="K144" s="514"/>
      <c r="L144" s="525"/>
      <c r="M144" s="514">
        <f t="shared" si="51"/>
        <v>0</v>
      </c>
      <c r="N144" s="525"/>
      <c r="O144" s="514">
        <f t="shared" si="52"/>
        <v>0</v>
      </c>
      <c r="P144" s="514">
        <f t="shared" si="53"/>
        <v>0</v>
      </c>
      <c r="Q144" s="269"/>
    </row>
    <row r="145" spans="2:17">
      <c r="B145" s="195" t="str">
        <f t="shared" si="54"/>
        <v/>
      </c>
      <c r="C145" s="507">
        <f>IF(D93="","-",+C144+1)</f>
        <v>2057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55"/>
        <v>0</v>
      </c>
      <c r="G145" s="523">
        <f t="shared" si="47"/>
        <v>0</v>
      </c>
      <c r="H145" s="526">
        <f t="shared" si="48"/>
        <v>0</v>
      </c>
      <c r="I145" s="577">
        <f t="shared" si="49"/>
        <v>0</v>
      </c>
      <c r="J145" s="514">
        <f t="shared" si="50"/>
        <v>0</v>
      </c>
      <c r="K145" s="514"/>
      <c r="L145" s="525"/>
      <c r="M145" s="514">
        <f t="shared" si="51"/>
        <v>0</v>
      </c>
      <c r="N145" s="525"/>
      <c r="O145" s="514">
        <f t="shared" si="52"/>
        <v>0</v>
      </c>
      <c r="P145" s="514">
        <f t="shared" si="53"/>
        <v>0</v>
      </c>
      <c r="Q145" s="269"/>
    </row>
    <row r="146" spans="2:17">
      <c r="B146" s="195" t="str">
        <f t="shared" si="54"/>
        <v/>
      </c>
      <c r="C146" s="507">
        <f>IF(D93="","-",+C145+1)</f>
        <v>2058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55"/>
        <v>0</v>
      </c>
      <c r="G146" s="523">
        <f t="shared" si="47"/>
        <v>0</v>
      </c>
      <c r="H146" s="526">
        <f t="shared" si="48"/>
        <v>0</v>
      </c>
      <c r="I146" s="577">
        <f t="shared" si="49"/>
        <v>0</v>
      </c>
      <c r="J146" s="514">
        <f t="shared" si="50"/>
        <v>0</v>
      </c>
      <c r="K146" s="514"/>
      <c r="L146" s="525"/>
      <c r="M146" s="514">
        <f t="shared" si="51"/>
        <v>0</v>
      </c>
      <c r="N146" s="525"/>
      <c r="O146" s="514">
        <f t="shared" si="52"/>
        <v>0</v>
      </c>
      <c r="P146" s="514">
        <f t="shared" si="53"/>
        <v>0</v>
      </c>
      <c r="Q146" s="269"/>
    </row>
    <row r="147" spans="2:17">
      <c r="B147" s="195" t="str">
        <f t="shared" si="54"/>
        <v/>
      </c>
      <c r="C147" s="507">
        <f>IF(D93="","-",+C146+1)</f>
        <v>2059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55"/>
        <v>0</v>
      </c>
      <c r="G147" s="523">
        <f t="shared" si="47"/>
        <v>0</v>
      </c>
      <c r="H147" s="526">
        <f t="shared" si="48"/>
        <v>0</v>
      </c>
      <c r="I147" s="577">
        <f t="shared" si="49"/>
        <v>0</v>
      </c>
      <c r="J147" s="514">
        <f t="shared" si="50"/>
        <v>0</v>
      </c>
      <c r="K147" s="514"/>
      <c r="L147" s="525"/>
      <c r="M147" s="514">
        <f t="shared" si="51"/>
        <v>0</v>
      </c>
      <c r="N147" s="525"/>
      <c r="O147" s="514">
        <f t="shared" si="52"/>
        <v>0</v>
      </c>
      <c r="P147" s="514">
        <f t="shared" si="53"/>
        <v>0</v>
      </c>
      <c r="Q147" s="269"/>
    </row>
    <row r="148" spans="2:17">
      <c r="B148" s="195" t="str">
        <f t="shared" si="54"/>
        <v/>
      </c>
      <c r="C148" s="507">
        <f>IF(D93="","-",+C147+1)</f>
        <v>2060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55"/>
        <v>0</v>
      </c>
      <c r="G148" s="523">
        <f t="shared" si="47"/>
        <v>0</v>
      </c>
      <c r="H148" s="526">
        <f t="shared" si="48"/>
        <v>0</v>
      </c>
      <c r="I148" s="577">
        <f t="shared" si="49"/>
        <v>0</v>
      </c>
      <c r="J148" s="514">
        <f t="shared" si="50"/>
        <v>0</v>
      </c>
      <c r="K148" s="514"/>
      <c r="L148" s="525"/>
      <c r="M148" s="514">
        <f t="shared" si="51"/>
        <v>0</v>
      </c>
      <c r="N148" s="525"/>
      <c r="O148" s="514">
        <f t="shared" si="52"/>
        <v>0</v>
      </c>
      <c r="P148" s="514">
        <f t="shared" si="53"/>
        <v>0</v>
      </c>
      <c r="Q148" s="269"/>
    </row>
    <row r="149" spans="2:17">
      <c r="B149" s="195" t="str">
        <f t="shared" si="54"/>
        <v/>
      </c>
      <c r="C149" s="507">
        <f>IF(D93="","-",+C148+1)</f>
        <v>2061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55"/>
        <v>0</v>
      </c>
      <c r="G149" s="523">
        <f t="shared" si="47"/>
        <v>0</v>
      </c>
      <c r="H149" s="526">
        <f t="shared" si="48"/>
        <v>0</v>
      </c>
      <c r="I149" s="577">
        <f t="shared" si="49"/>
        <v>0</v>
      </c>
      <c r="J149" s="514">
        <f t="shared" si="50"/>
        <v>0</v>
      </c>
      <c r="K149" s="514"/>
      <c r="L149" s="525"/>
      <c r="M149" s="514">
        <f t="shared" si="51"/>
        <v>0</v>
      </c>
      <c r="N149" s="525"/>
      <c r="O149" s="514">
        <f t="shared" si="52"/>
        <v>0</v>
      </c>
      <c r="P149" s="514">
        <f t="shared" si="53"/>
        <v>0</v>
      </c>
      <c r="Q149" s="269"/>
    </row>
    <row r="150" spans="2:17">
      <c r="B150" s="195" t="str">
        <f t="shared" si="54"/>
        <v/>
      </c>
      <c r="C150" s="507">
        <f>IF(D93="","-",+C149+1)</f>
        <v>2062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55"/>
        <v>0</v>
      </c>
      <c r="G150" s="523">
        <f t="shared" si="47"/>
        <v>0</v>
      </c>
      <c r="H150" s="526">
        <f t="shared" si="48"/>
        <v>0</v>
      </c>
      <c r="I150" s="577">
        <f t="shared" si="49"/>
        <v>0</v>
      </c>
      <c r="J150" s="514">
        <f t="shared" si="50"/>
        <v>0</v>
      </c>
      <c r="K150" s="514"/>
      <c r="L150" s="525"/>
      <c r="M150" s="514">
        <f t="shared" si="51"/>
        <v>0</v>
      </c>
      <c r="N150" s="525"/>
      <c r="O150" s="514">
        <f t="shared" si="52"/>
        <v>0</v>
      </c>
      <c r="P150" s="514">
        <f t="shared" si="53"/>
        <v>0</v>
      </c>
      <c r="Q150" s="269"/>
    </row>
    <row r="151" spans="2:17">
      <c r="B151" s="195" t="str">
        <f t="shared" si="54"/>
        <v/>
      </c>
      <c r="C151" s="507">
        <f>IF(D93="","-",+C150+1)</f>
        <v>2063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55"/>
        <v>0</v>
      </c>
      <c r="G151" s="523">
        <f t="shared" si="47"/>
        <v>0</v>
      </c>
      <c r="H151" s="526">
        <f t="shared" si="48"/>
        <v>0</v>
      </c>
      <c r="I151" s="577">
        <f t="shared" si="49"/>
        <v>0</v>
      </c>
      <c r="J151" s="514">
        <f t="shared" si="50"/>
        <v>0</v>
      </c>
      <c r="K151" s="514"/>
      <c r="L151" s="525"/>
      <c r="M151" s="514">
        <f t="shared" si="51"/>
        <v>0</v>
      </c>
      <c r="N151" s="525"/>
      <c r="O151" s="514">
        <f t="shared" si="52"/>
        <v>0</v>
      </c>
      <c r="P151" s="514">
        <f t="shared" si="53"/>
        <v>0</v>
      </c>
      <c r="Q151" s="269"/>
    </row>
    <row r="152" spans="2:17">
      <c r="B152" s="195" t="str">
        <f t="shared" si="54"/>
        <v/>
      </c>
      <c r="C152" s="507">
        <f>IF(D93="","-",+C151+1)</f>
        <v>2064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55"/>
        <v>0</v>
      </c>
      <c r="G152" s="523">
        <f t="shared" si="47"/>
        <v>0</v>
      </c>
      <c r="H152" s="526">
        <f t="shared" si="48"/>
        <v>0</v>
      </c>
      <c r="I152" s="577">
        <f t="shared" si="49"/>
        <v>0</v>
      </c>
      <c r="J152" s="514">
        <f t="shared" si="50"/>
        <v>0</v>
      </c>
      <c r="K152" s="514"/>
      <c r="L152" s="525"/>
      <c r="M152" s="514">
        <f t="shared" si="51"/>
        <v>0</v>
      </c>
      <c r="N152" s="525"/>
      <c r="O152" s="514">
        <f t="shared" si="52"/>
        <v>0</v>
      </c>
      <c r="P152" s="514">
        <f t="shared" si="53"/>
        <v>0</v>
      </c>
      <c r="Q152" s="269"/>
    </row>
    <row r="153" spans="2:17">
      <c r="B153" s="195" t="str">
        <f t="shared" si="54"/>
        <v/>
      </c>
      <c r="C153" s="507">
        <f>IF(D93="","-",+C152+1)</f>
        <v>2065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55"/>
        <v>0</v>
      </c>
      <c r="G153" s="523">
        <f t="shared" si="47"/>
        <v>0</v>
      </c>
      <c r="H153" s="526">
        <f t="shared" si="48"/>
        <v>0</v>
      </c>
      <c r="I153" s="577">
        <f t="shared" si="49"/>
        <v>0</v>
      </c>
      <c r="J153" s="514">
        <f t="shared" si="50"/>
        <v>0</v>
      </c>
      <c r="K153" s="514"/>
      <c r="L153" s="525"/>
      <c r="M153" s="514">
        <f t="shared" si="51"/>
        <v>0</v>
      </c>
      <c r="N153" s="525"/>
      <c r="O153" s="514">
        <f t="shared" si="52"/>
        <v>0</v>
      </c>
      <c r="P153" s="514">
        <f t="shared" si="53"/>
        <v>0</v>
      </c>
      <c r="Q153" s="269"/>
    </row>
    <row r="154" spans="2:17" ht="13.5" thickBot="1">
      <c r="B154" s="195" t="str">
        <f t="shared" si="54"/>
        <v/>
      </c>
      <c r="C154" s="527">
        <f>IF(D93="","-",+C153+1)</f>
        <v>2066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55"/>
        <v>0</v>
      </c>
      <c r="G154" s="528">
        <f t="shared" si="47"/>
        <v>0</v>
      </c>
      <c r="H154" s="530">
        <f t="shared" si="48"/>
        <v>0</v>
      </c>
      <c r="I154" s="579">
        <f t="shared" si="49"/>
        <v>0</v>
      </c>
      <c r="J154" s="533">
        <f t="shared" si="50"/>
        <v>0</v>
      </c>
      <c r="K154" s="514"/>
      <c r="L154" s="532"/>
      <c r="M154" s="533">
        <f t="shared" si="51"/>
        <v>0</v>
      </c>
      <c r="N154" s="532"/>
      <c r="O154" s="533">
        <f t="shared" si="52"/>
        <v>0</v>
      </c>
      <c r="P154" s="533">
        <f t="shared" si="53"/>
        <v>0</v>
      </c>
      <c r="Q154" s="269"/>
    </row>
    <row r="155" spans="2:17">
      <c r="C155" s="374" t="s">
        <v>78</v>
      </c>
      <c r="D155" s="375"/>
      <c r="E155" s="375">
        <f>SUM(E99:E154)</f>
        <v>249140.99999999977</v>
      </c>
      <c r="F155" s="375"/>
      <c r="G155" s="375"/>
      <c r="H155" s="375">
        <f>SUM(H99:H154)</f>
        <v>864580.27588399348</v>
      </c>
      <c r="I155" s="375">
        <f>SUM(I99:I154)</f>
        <v>864580.27588399348</v>
      </c>
      <c r="J155" s="375">
        <f>SUM(J99:J154)</f>
        <v>0</v>
      </c>
      <c r="K155" s="375"/>
      <c r="L155" s="375"/>
      <c r="M155" s="375"/>
      <c r="N155" s="375"/>
      <c r="O155" s="375"/>
      <c r="P155" s="269"/>
      <c r="Q155" s="269"/>
    </row>
    <row r="156" spans="2:17"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  <c r="Q156" s="269"/>
    </row>
    <row r="157" spans="2:17">
      <c r="C157" s="580" t="s">
        <v>92</v>
      </c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  <c r="Q157" s="269"/>
    </row>
    <row r="158" spans="2:17"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  <c r="Q158" s="269"/>
    </row>
    <row r="159" spans="2:17">
      <c r="C159" s="534" t="s">
        <v>97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  <c r="Q159" s="269"/>
    </row>
    <row r="160" spans="2:17">
      <c r="C160" s="581" t="s">
        <v>79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  <c r="Q160" s="269"/>
    </row>
    <row r="161" spans="3:17">
      <c r="C161" s="581" t="s">
        <v>80</v>
      </c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  <c r="Q161" s="269"/>
    </row>
    <row r="162" spans="3:17" ht="18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454" t="s">
        <v>131</v>
      </c>
      <c r="Q162" s="269"/>
    </row>
  </sheetData>
  <phoneticPr fontId="0" type="noConversion"/>
  <conditionalFormatting sqref="C17:C72">
    <cfRule type="cellIs" dxfId="111" priority="1" stopIfTrue="1" operator="equal">
      <formula>$I$10</formula>
    </cfRule>
  </conditionalFormatting>
  <conditionalFormatting sqref="C99:C154">
    <cfRule type="cellIs" dxfId="110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0"/>
  <dimension ref="A1:S137"/>
  <sheetViews>
    <sheetView topLeftCell="A75" zoomScale="70" zoomScaleNormal="70" zoomScaleSheetLayoutView="70" workbookViewId="0">
      <selection activeCell="R105" sqref="R105"/>
    </sheetView>
  </sheetViews>
  <sheetFormatPr defaultColWidth="8.7109375" defaultRowHeight="12.75" customHeight="1"/>
  <cols>
    <col min="1" max="1" width="4.7109375" style="183" customWidth="1"/>
    <col min="2" max="2" width="6.7109375" style="183" customWidth="1"/>
    <col min="3" max="3" width="20.7109375" style="183" customWidth="1"/>
    <col min="4" max="9" width="17.7109375" style="183" customWidth="1"/>
    <col min="10" max="10" width="17.7109375" style="183" bestFit="1" customWidth="1"/>
    <col min="11" max="11" width="2.140625" style="183" customWidth="1"/>
    <col min="12" max="15" width="17.7109375" style="183" customWidth="1"/>
    <col min="16" max="16" width="19.5703125" style="183" customWidth="1"/>
    <col min="17" max="17" width="2.140625" style="183" customWidth="1"/>
    <col min="18" max="18" width="16.42578125" style="183" customWidth="1"/>
    <col min="19" max="19" width="52.42578125" style="183" customWidth="1"/>
    <col min="20" max="16384" width="8.7109375" style="183"/>
  </cols>
  <sheetData>
    <row r="1" spans="1:19" ht="18">
      <c r="A1" s="687" t="str">
        <f>'SWE.WS.F.BPU.ATRR.Projected'!A1</f>
        <v xml:space="preserve">AEP West SPP Member Companies </v>
      </c>
      <c r="B1" s="693"/>
      <c r="C1" s="693"/>
      <c r="D1" s="693"/>
      <c r="E1" s="693"/>
      <c r="F1" s="693"/>
      <c r="G1" s="693"/>
      <c r="H1" s="693"/>
      <c r="I1" s="693"/>
      <c r="J1" s="693"/>
      <c r="K1" s="693"/>
      <c r="Q1" s="233"/>
      <c r="R1" s="233"/>
    </row>
    <row r="2" spans="1:19" ht="18">
      <c r="A2" s="687" t="str">
        <f>'SWE.WS.F.BPU.ATRR.Projected'!A2</f>
        <v>2024 Cost of Service Formula Rate Projected on 2023 FF1 Balances</v>
      </c>
      <c r="B2" s="693"/>
      <c r="C2" s="693"/>
      <c r="D2" s="693"/>
      <c r="E2" s="693"/>
      <c r="F2" s="693"/>
      <c r="G2" s="693"/>
      <c r="H2" s="693"/>
      <c r="I2" s="693"/>
      <c r="J2" s="693"/>
      <c r="K2" s="693"/>
      <c r="Q2" s="267" t="s">
        <v>111</v>
      </c>
      <c r="R2" s="233"/>
    </row>
    <row r="3" spans="1:19" ht="18">
      <c r="A3" s="690" t="s">
        <v>126</v>
      </c>
      <c r="B3" s="689"/>
      <c r="C3" s="689"/>
      <c r="D3" s="689"/>
      <c r="E3" s="689"/>
      <c r="F3" s="689"/>
      <c r="G3" s="689"/>
      <c r="H3" s="689"/>
      <c r="I3" s="689"/>
      <c r="J3" s="689"/>
      <c r="K3" s="689"/>
      <c r="Q3" s="233"/>
      <c r="R3" s="233"/>
    </row>
    <row r="4" spans="1:19" ht="18">
      <c r="A4" s="689" t="str">
        <f>"Based on a Carrying Charge Derived from ""Trued-Up"" "&amp;M16&amp;" Data"</f>
        <v>Based on a Carrying Charge Derived from "Trued-Up" 2022 Data</v>
      </c>
      <c r="B4" s="689"/>
      <c r="C4" s="689"/>
      <c r="D4" s="689"/>
      <c r="E4" s="689"/>
      <c r="F4" s="689"/>
      <c r="G4" s="689"/>
      <c r="H4" s="689"/>
      <c r="I4" s="689"/>
      <c r="J4" s="689"/>
      <c r="K4" s="689"/>
      <c r="Q4" s="233"/>
      <c r="R4" s="233"/>
    </row>
    <row r="5" spans="1:19" ht="18">
      <c r="A5" s="694" t="str">
        <f>'SWE.WS.F.BPU.ATRR.Projected'!A5</f>
        <v>SOUTHWESTERN ELECTRIC POWER COMPANY</v>
      </c>
      <c r="B5" s="695"/>
      <c r="C5" s="695"/>
      <c r="D5" s="695"/>
      <c r="E5" s="695"/>
      <c r="F5" s="695"/>
      <c r="G5" s="695"/>
      <c r="H5" s="695"/>
      <c r="I5" s="695"/>
      <c r="J5" s="695"/>
      <c r="K5" s="695"/>
      <c r="N5" s="249"/>
      <c r="Q5" s="233"/>
      <c r="R5" s="233"/>
    </row>
    <row r="6" spans="1:19" ht="20.25">
      <c r="A6" s="401"/>
      <c r="C6" s="332"/>
      <c r="D6" s="195"/>
      <c r="I6" s="247"/>
      <c r="K6" s="233"/>
      <c r="Q6" s="233"/>
      <c r="R6" s="233"/>
    </row>
    <row r="7" spans="1:19">
      <c r="D7" s="195"/>
      <c r="I7" s="247"/>
      <c r="K7" s="233"/>
      <c r="Q7" s="233"/>
      <c r="R7" s="233"/>
    </row>
    <row r="8" spans="1:19" ht="18">
      <c r="B8" s="273" t="s">
        <v>0</v>
      </c>
      <c r="C8" s="684" t="str">
        <f>"Calculate Return and Income Taxes with "&amp;F13&amp;" basis point ROE increase for Projects Qualified for Incentive."</f>
        <v>Calculate Return and Income Taxes with 0 basis point ROE increase for Projects Qualified for Incentive.</v>
      </c>
      <c r="D8" s="685"/>
      <c r="E8" s="685"/>
      <c r="F8" s="685"/>
      <c r="G8" s="685"/>
      <c r="H8" s="685"/>
      <c r="I8" s="685"/>
      <c r="K8" s="233"/>
      <c r="Q8" s="233"/>
      <c r="R8" s="233"/>
    </row>
    <row r="9" spans="1:19" ht="15.75" customHeight="1">
      <c r="C9" s="402"/>
      <c r="D9" s="402"/>
      <c r="E9" s="402"/>
      <c r="F9" s="402"/>
      <c r="G9" s="402"/>
      <c r="H9" s="402"/>
      <c r="I9" s="402"/>
      <c r="K9" s="233"/>
      <c r="Q9" s="233"/>
      <c r="R9" s="233"/>
    </row>
    <row r="10" spans="1:19" ht="15.75">
      <c r="C10" s="274" t="str">
        <f>"A.   Determine 'R' with hypothetical "&amp;F13&amp;" basis point increase in ROE for Identified Projects"</f>
        <v>A.   Determine 'R' with hypothetical 0 basis point increase in ROE for Identified Projects</v>
      </c>
      <c r="D10" s="195"/>
      <c r="I10" s="247"/>
      <c r="K10" s="233"/>
      <c r="Q10" s="233"/>
      <c r="R10" s="233"/>
    </row>
    <row r="11" spans="1:19">
      <c r="D11" s="195"/>
      <c r="I11" s="247"/>
      <c r="K11" s="233"/>
      <c r="Q11" s="233"/>
      <c r="R11" s="233"/>
    </row>
    <row r="12" spans="1:19">
      <c r="C12" s="277" t="str">
        <f>S105</f>
        <v xml:space="preserve">   ROE w/o incentives  (True-Up TCOS, ln 135)</v>
      </c>
      <c r="D12" s="195"/>
      <c r="E12" s="278"/>
      <c r="F12" s="279">
        <f>+R105</f>
        <v>0.105</v>
      </c>
      <c r="G12" s="279"/>
      <c r="H12" s="280"/>
      <c r="I12" s="281"/>
      <c r="J12" s="282"/>
      <c r="K12" s="283"/>
      <c r="L12" s="282"/>
      <c r="M12" s="282"/>
      <c r="N12" s="282"/>
      <c r="O12" s="282"/>
      <c r="P12" s="282"/>
      <c r="Q12" s="283"/>
      <c r="R12" s="272"/>
      <c r="S12" s="269"/>
    </row>
    <row r="13" spans="1:19" ht="13.5" thickBot="1">
      <c r="C13" s="277" t="s">
        <v>1</v>
      </c>
      <c r="D13" s="195"/>
      <c r="E13" s="278"/>
      <c r="F13" s="403">
        <f>R106</f>
        <v>0</v>
      </c>
      <c r="G13" s="404" t="s">
        <v>155</v>
      </c>
      <c r="L13" s="282"/>
      <c r="M13" s="282"/>
      <c r="N13" s="282"/>
      <c r="O13" s="282"/>
      <c r="P13" s="282"/>
      <c r="Q13" s="283"/>
      <c r="R13" s="272"/>
      <c r="S13" s="269"/>
    </row>
    <row r="14" spans="1:19">
      <c r="C14" s="277" t="str">
        <f>"   ROE with additional "&amp;F13&amp;" basis point incentive"</f>
        <v xml:space="preserve">   ROE with additional 0 basis point incentive</v>
      </c>
      <c r="D14" s="278"/>
      <c r="E14" s="278"/>
      <c r="F14" s="285">
        <f>IF((F12+(F13/10000)&gt;0.1245),"ERROR",F12+(F13/10000))</f>
        <v>0.105</v>
      </c>
      <c r="G14" s="286" t="s">
        <v>2</v>
      </c>
      <c r="I14" s="282"/>
      <c r="J14" s="282"/>
      <c r="K14" s="283"/>
      <c r="L14" s="405" t="s">
        <v>81</v>
      </c>
      <c r="M14" s="406"/>
      <c r="N14" s="406"/>
      <c r="O14" s="406"/>
      <c r="P14" s="407"/>
      <c r="Q14" s="283"/>
      <c r="R14" s="272"/>
      <c r="S14" s="269"/>
    </row>
    <row r="15" spans="1:19">
      <c r="C15" s="277" t="s">
        <v>3</v>
      </c>
      <c r="D15" s="195"/>
      <c r="E15" s="278"/>
      <c r="F15" s="285"/>
      <c r="G15" s="285"/>
      <c r="H15" s="278"/>
      <c r="I15" s="282"/>
      <c r="J15" s="282"/>
      <c r="K15" s="283"/>
      <c r="L15" s="295"/>
      <c r="M15" s="283"/>
      <c r="N15" s="283" t="s">
        <v>9</v>
      </c>
      <c r="O15" s="283" t="s">
        <v>10</v>
      </c>
      <c r="P15" s="297" t="s">
        <v>11</v>
      </c>
      <c r="Q15" s="283"/>
      <c r="R15" s="272"/>
      <c r="S15" s="269"/>
    </row>
    <row r="16" spans="1:19">
      <c r="C16" s="283"/>
      <c r="D16" s="287" t="s">
        <v>5</v>
      </c>
      <c r="E16" s="287" t="s">
        <v>6</v>
      </c>
      <c r="F16" s="288" t="s">
        <v>7</v>
      </c>
      <c r="G16" s="288"/>
      <c r="H16" s="278"/>
      <c r="I16" s="282"/>
      <c r="J16" s="282"/>
      <c r="K16" s="283"/>
      <c r="L16" s="295" t="s">
        <v>82</v>
      </c>
      <c r="M16" s="408">
        <f>+R104</f>
        <v>2022</v>
      </c>
      <c r="N16" s="233"/>
      <c r="O16" s="233"/>
      <c r="P16" s="302"/>
      <c r="Q16" s="283"/>
      <c r="R16" s="272"/>
      <c r="S16" s="269"/>
    </row>
    <row r="17" spans="3:19">
      <c r="C17" s="289" t="s">
        <v>8</v>
      </c>
      <c r="D17" s="290">
        <f>R107</f>
        <v>0.51144399173830357</v>
      </c>
      <c r="E17" s="291">
        <f>R108</f>
        <v>3.8440092705067347E-2</v>
      </c>
      <c r="F17" s="409">
        <f>E17*D17</f>
        <v>1.9659954455870089E-2</v>
      </c>
      <c r="G17" s="409"/>
      <c r="H17" s="278"/>
      <c r="I17" s="282"/>
      <c r="J17" s="293"/>
      <c r="K17" s="294"/>
      <c r="L17" s="301"/>
      <c r="M17" s="410" t="s">
        <v>245</v>
      </c>
      <c r="N17" s="411">
        <f>SUM('S.001:S.xyz - blank'!M87)</f>
        <v>81586302.478650466</v>
      </c>
      <c r="O17" s="411">
        <f>SUM('S.001:S.xyz - blank'!N87)</f>
        <v>81586302.478650466</v>
      </c>
      <c r="P17" s="412">
        <f>+O17-N17</f>
        <v>0</v>
      </c>
      <c r="Q17" s="294"/>
      <c r="R17" s="272"/>
      <c r="S17" s="269"/>
    </row>
    <row r="18" spans="3:19" ht="13.5" thickBot="1">
      <c r="C18" s="289" t="s">
        <v>12</v>
      </c>
      <c r="D18" s="290">
        <f>R109</f>
        <v>0</v>
      </c>
      <c r="E18" s="291">
        <f>R110</f>
        <v>0</v>
      </c>
      <c r="F18" s="409">
        <f>E18*D18</f>
        <v>0</v>
      </c>
      <c r="G18" s="409"/>
      <c r="H18" s="298"/>
      <c r="I18" s="298"/>
      <c r="J18" s="299"/>
      <c r="K18" s="300"/>
      <c r="L18" s="301"/>
      <c r="M18" s="410" t="s">
        <v>246</v>
      </c>
      <c r="N18" s="413">
        <f>SUM('S.001:S.xyz - blank'!M88)</f>
        <v>85563159.98434034</v>
      </c>
      <c r="O18" s="413">
        <f>SUM('S.001:S.xyz - blank'!N88)</f>
        <v>85563159.98434034</v>
      </c>
      <c r="P18" s="308">
        <f>+O18-N18</f>
        <v>0</v>
      </c>
      <c r="Q18" s="300"/>
      <c r="R18" s="272"/>
      <c r="S18" s="269"/>
    </row>
    <row r="19" spans="3:19">
      <c r="C19" s="303" t="s">
        <v>13</v>
      </c>
      <c r="D19" s="290">
        <f>R111</f>
        <v>0.48855600826169648</v>
      </c>
      <c r="E19" s="291">
        <f>+F14</f>
        <v>0.105</v>
      </c>
      <c r="F19" s="414">
        <f>E19*D19</f>
        <v>5.1298380867478129E-2</v>
      </c>
      <c r="G19" s="414"/>
      <c r="H19" s="298"/>
      <c r="I19" s="298"/>
      <c r="J19" s="285"/>
      <c r="K19" s="300"/>
      <c r="L19" s="301"/>
      <c r="M19" s="410" t="str">
        <f>"True-up Adjustment For "&amp;M16&amp;""</f>
        <v>True-up Adjustment For 2022</v>
      </c>
      <c r="N19" s="415">
        <f>ROUND(N18-N17,0)</f>
        <v>3976858</v>
      </c>
      <c r="O19" s="415">
        <f>+O18-O17</f>
        <v>3976857.5056898743</v>
      </c>
      <c r="P19" s="416">
        <f>+P18-P17</f>
        <v>0</v>
      </c>
      <c r="Q19" s="300"/>
      <c r="R19" s="272"/>
      <c r="S19" s="269"/>
    </row>
    <row r="20" spans="3:19">
      <c r="C20" s="277"/>
      <c r="D20" s="278"/>
      <c r="E20" s="309" t="s">
        <v>15</v>
      </c>
      <c r="F20" s="409">
        <f>SUM(F17:F19)</f>
        <v>7.0958335323348221E-2</v>
      </c>
      <c r="G20" s="409"/>
      <c r="H20" s="417"/>
      <c r="I20" s="298"/>
      <c r="J20" s="299"/>
      <c r="K20" s="300"/>
      <c r="L20" s="301"/>
      <c r="M20" s="233"/>
      <c r="N20" s="310" t="str">
        <f>IF(N19=ROUND(SUM('S.001:S.xyz - blank'!M89),0),"","ERROR")</f>
        <v/>
      </c>
      <c r="O20" s="310"/>
      <c r="P20" s="310" t="str">
        <f>IF(P19=SUM('S.001:S.xyz - blank'!O89),"","ERROR")</f>
        <v/>
      </c>
      <c r="Q20" s="300"/>
      <c r="R20" s="272"/>
      <c r="S20" s="269"/>
    </row>
    <row r="21" spans="3:19" ht="13.5" thickBot="1">
      <c r="D21" s="311"/>
      <c r="E21" s="311"/>
      <c r="F21" s="298"/>
      <c r="G21" s="298"/>
      <c r="H21" s="298"/>
      <c r="I21" s="298"/>
      <c r="J21" s="298"/>
      <c r="K21" s="312"/>
      <c r="L21" s="418"/>
      <c r="M21" s="419"/>
      <c r="N21" s="420"/>
      <c r="O21" s="420"/>
      <c r="P21" s="308"/>
      <c r="Q21" s="312"/>
      <c r="R21" s="272"/>
      <c r="S21" s="269"/>
    </row>
    <row r="22" spans="3:19" ht="15.75">
      <c r="C22" s="274" t="str">
        <f>"B.   Determine Return using 'R' with hypothetical "&amp;F13&amp;" basis point ROE increase for Identified Projects."</f>
        <v>B.   Determine Return using 'R' with hypothetical 0 basis point ROE increase for Identified Projects.</v>
      </c>
      <c r="D22" s="311"/>
      <c r="E22" s="311"/>
      <c r="F22" s="313"/>
      <c r="G22" s="313"/>
      <c r="H22" s="298"/>
      <c r="I22" s="278"/>
      <c r="J22" s="298"/>
      <c r="K22" s="312"/>
      <c r="L22" s="298"/>
      <c r="M22" s="298"/>
      <c r="N22" s="298"/>
      <c r="O22" s="298"/>
      <c r="P22" s="298"/>
      <c r="Q22" s="312"/>
      <c r="R22" s="272"/>
      <c r="S22" s="269"/>
    </row>
    <row r="23" spans="3:19">
      <c r="C23" s="283"/>
      <c r="D23" s="311"/>
      <c r="E23" s="311"/>
      <c r="F23" s="312"/>
      <c r="G23" s="312"/>
      <c r="H23" s="312"/>
      <c r="I23" s="312"/>
      <c r="J23" s="312"/>
      <c r="K23" s="312"/>
      <c r="L23" s="212" t="s">
        <v>16</v>
      </c>
      <c r="M23" s="312"/>
      <c r="N23" s="312"/>
      <c r="O23" s="312"/>
      <c r="P23" s="312"/>
      <c r="Q23" s="312"/>
      <c r="R23" s="272"/>
      <c r="S23" s="269"/>
    </row>
    <row r="24" spans="3:19">
      <c r="C24" s="277" t="str">
        <f>S112</f>
        <v xml:space="preserve">   Rate Base  (TCOS, ln 63)</v>
      </c>
      <c r="D24" s="278"/>
      <c r="E24" s="315">
        <f>R112</f>
        <v>1392581419.3466702</v>
      </c>
      <c r="F24" s="316"/>
      <c r="G24" s="316"/>
      <c r="H24" s="312"/>
      <c r="I24" s="312"/>
      <c r="J24" s="312"/>
      <c r="K24" s="312"/>
      <c r="L24" s="183" t="s">
        <v>17</v>
      </c>
      <c r="M24" s="312"/>
      <c r="N24" s="312"/>
      <c r="O24" s="312"/>
      <c r="P24" s="316"/>
      <c r="Q24" s="312"/>
      <c r="R24" s="272"/>
      <c r="S24" s="269"/>
    </row>
    <row r="25" spans="3:19">
      <c r="C25" s="283" t="s">
        <v>18</v>
      </c>
      <c r="D25" s="280"/>
      <c r="E25" s="317">
        <f>F20</f>
        <v>7.0958335323348221E-2</v>
      </c>
      <c r="F25" s="312"/>
      <c r="G25" s="312"/>
      <c r="H25" s="312"/>
      <c r="I25" s="312"/>
      <c r="J25" s="312"/>
      <c r="K25" s="312"/>
      <c r="L25" s="312"/>
      <c r="M25" s="312"/>
      <c r="N25" s="312"/>
      <c r="O25" s="312"/>
      <c r="P25" s="312"/>
      <c r="Q25" s="312"/>
      <c r="R25" s="272"/>
      <c r="S25" s="269"/>
    </row>
    <row r="26" spans="3:19">
      <c r="C26" s="318" t="s">
        <v>19</v>
      </c>
      <c r="D26" s="318"/>
      <c r="E26" s="299">
        <f>E24*E25</f>
        <v>98815259.319065228</v>
      </c>
      <c r="F26" s="312"/>
      <c r="G26" s="312"/>
      <c r="H26" s="312"/>
      <c r="I26" s="312"/>
      <c r="J26" s="300"/>
      <c r="K26" s="300"/>
      <c r="L26" s="300"/>
      <c r="M26" s="300"/>
      <c r="N26" s="421"/>
      <c r="O26" s="300"/>
      <c r="P26" s="312"/>
      <c r="Q26" s="300"/>
      <c r="R26" s="272"/>
      <c r="S26" s="269"/>
    </row>
    <row r="27" spans="3:19">
      <c r="C27" s="319"/>
      <c r="D27" s="282"/>
      <c r="E27" s="282"/>
      <c r="F27" s="312"/>
      <c r="G27" s="312"/>
      <c r="H27" s="312"/>
      <c r="I27" s="312"/>
      <c r="J27" s="300"/>
      <c r="K27" s="300"/>
      <c r="L27" s="300"/>
      <c r="M27" s="300"/>
      <c r="N27" s="310"/>
      <c r="O27" s="300"/>
      <c r="P27" s="312"/>
      <c r="Q27" s="300"/>
      <c r="R27" s="272"/>
      <c r="S27" s="269"/>
    </row>
    <row r="28" spans="3:19" ht="15.75">
      <c r="C28" s="274" t="str">
        <f>"C.   Determine Income Taxes using Return with hypothetical "&amp;F13&amp;" basis point ROE increase for Identified Projects."</f>
        <v>C.   Determine Income Taxes using Return with hypothetical 0 basis point ROE increase for Identified Projects.</v>
      </c>
      <c r="D28" s="320"/>
      <c r="E28" s="320"/>
      <c r="F28" s="321"/>
      <c r="G28" s="321"/>
      <c r="H28" s="321"/>
      <c r="I28" s="321"/>
      <c r="J28" s="322"/>
      <c r="K28" s="322"/>
      <c r="L28" s="322"/>
      <c r="M28" s="322"/>
      <c r="N28" s="422"/>
      <c r="O28" s="322"/>
      <c r="P28" s="321"/>
      <c r="Q28" s="322"/>
      <c r="R28" s="272"/>
      <c r="S28" s="269"/>
    </row>
    <row r="29" spans="3:19">
      <c r="C29" s="277"/>
      <c r="D29" s="282"/>
      <c r="E29" s="282"/>
      <c r="F29" s="312"/>
      <c r="G29" s="312"/>
      <c r="H29" s="312"/>
      <c r="I29" s="312"/>
      <c r="J29" s="300"/>
      <c r="K29" s="300"/>
      <c r="L29" s="300"/>
      <c r="M29" s="300"/>
      <c r="N29" s="300"/>
      <c r="O29" s="300"/>
      <c r="P29" s="312"/>
      <c r="Q29" s="300"/>
      <c r="R29" s="272"/>
      <c r="S29" s="269"/>
    </row>
    <row r="30" spans="3:19">
      <c r="C30" s="283" t="s">
        <v>20</v>
      </c>
      <c r="D30" s="309"/>
      <c r="E30" s="323">
        <f>E26</f>
        <v>98815259.319065228</v>
      </c>
      <c r="F30" s="312"/>
      <c r="G30" s="312"/>
      <c r="H30" s="312"/>
      <c r="I30" s="312"/>
      <c r="J30" s="312"/>
      <c r="K30" s="312"/>
      <c r="L30" s="312"/>
      <c r="M30" s="312"/>
      <c r="N30" s="423"/>
      <c r="O30" s="312"/>
      <c r="P30" s="312"/>
      <c r="Q30" s="312"/>
      <c r="R30" s="272"/>
      <c r="S30" s="269"/>
    </row>
    <row r="31" spans="3:19">
      <c r="C31" s="277" t="str">
        <f>S113</f>
        <v xml:space="preserve">   Tax Rate  (TCOS, ln 99)</v>
      </c>
      <c r="D31" s="309"/>
      <c r="E31" s="324">
        <f>R113</f>
        <v>0.25005299999999997</v>
      </c>
      <c r="F31" s="312"/>
      <c r="G31" s="312"/>
      <c r="H31" s="312"/>
      <c r="I31" s="312"/>
      <c r="J31" s="312"/>
      <c r="K31" s="312"/>
      <c r="L31" s="312"/>
      <c r="M31" s="312"/>
      <c r="N31" s="312"/>
      <c r="O31" s="312"/>
      <c r="P31" s="312"/>
      <c r="Q31" s="312"/>
      <c r="R31" s="272"/>
      <c r="S31" s="269"/>
    </row>
    <row r="32" spans="3:19">
      <c r="C32" s="283" t="s">
        <v>21</v>
      </c>
      <c r="D32" s="270"/>
      <c r="E32" s="285">
        <f>IF(F17&gt;0,($E31/(1-$E31))*(1-$F17/$F20),0)</f>
        <v>0.24104700314976032</v>
      </c>
      <c r="F32" s="269"/>
      <c r="G32" s="269"/>
      <c r="H32" s="269"/>
      <c r="I32" s="271"/>
      <c r="J32" s="269"/>
      <c r="K32" s="272"/>
      <c r="L32" s="269"/>
      <c r="M32" s="269"/>
      <c r="N32" s="269"/>
      <c r="O32" s="269"/>
      <c r="P32" s="269"/>
      <c r="Q32" s="272"/>
      <c r="R32" s="272"/>
      <c r="S32" s="366"/>
    </row>
    <row r="33" spans="2:19">
      <c r="C33" s="319" t="s">
        <v>22</v>
      </c>
      <c r="D33" s="270"/>
      <c r="E33" s="326">
        <f>E30*E32</f>
        <v>23819122.124327101</v>
      </c>
      <c r="F33" s="269"/>
      <c r="G33" s="269"/>
      <c r="H33" s="269"/>
      <c r="I33" s="271"/>
      <c r="J33" s="269"/>
      <c r="K33" s="272"/>
      <c r="L33" s="269"/>
      <c r="M33" s="269"/>
      <c r="N33" s="269"/>
      <c r="O33" s="269"/>
      <c r="P33" s="269"/>
      <c r="Q33" s="272"/>
      <c r="R33" s="272"/>
      <c r="S33" s="269"/>
    </row>
    <row r="34" spans="2:19" ht="15">
      <c r="C34" s="277" t="str">
        <f>S114</f>
        <v xml:space="preserve">   ITC Adjustment  (TCOS, ln 108)</v>
      </c>
      <c r="D34" s="327"/>
      <c r="E34" s="328">
        <f>R114</f>
        <v>-250546.24186235954</v>
      </c>
      <c r="F34" s="327"/>
      <c r="G34" s="327"/>
      <c r="H34" s="327"/>
      <c r="I34" s="327"/>
      <c r="J34" s="327"/>
      <c r="K34" s="327"/>
      <c r="L34" s="327"/>
      <c r="M34" s="327"/>
      <c r="N34" s="327"/>
      <c r="O34" s="327"/>
      <c r="P34" s="329"/>
      <c r="Q34" s="327"/>
      <c r="R34" s="272"/>
      <c r="S34" s="269"/>
    </row>
    <row r="35" spans="2:19" ht="15">
      <c r="C35" s="334" t="str">
        <f>+S115</f>
        <v xml:space="preserve">   Excess DFIT Adjustment  (TCOS, ln 109)</v>
      </c>
      <c r="D35" s="327"/>
      <c r="E35" s="328">
        <f>R115</f>
        <v>-4810113.7689068662</v>
      </c>
      <c r="F35" s="327"/>
      <c r="G35" s="327"/>
      <c r="H35" s="327"/>
      <c r="I35" s="327"/>
      <c r="J35" s="327"/>
      <c r="K35" s="327"/>
      <c r="L35" s="327"/>
      <c r="M35" s="327"/>
      <c r="N35" s="327"/>
      <c r="O35" s="327"/>
      <c r="P35" s="329"/>
      <c r="Q35" s="327"/>
      <c r="R35" s="272"/>
      <c r="S35" s="269"/>
    </row>
    <row r="36" spans="2:19" ht="15">
      <c r="C36" s="334" t="str">
        <f>+S116</f>
        <v xml:space="preserve">   Tax Effect of Permanent and Flow Through Differences (TCOS, ln 110)</v>
      </c>
      <c r="D36" s="327"/>
      <c r="E36" s="328">
        <f>R116</f>
        <v>284565.6293044709</v>
      </c>
      <c r="F36" s="327"/>
      <c r="G36" s="327"/>
      <c r="H36" s="327"/>
      <c r="I36" s="327"/>
      <c r="J36" s="327"/>
      <c r="K36" s="327"/>
      <c r="L36" s="327"/>
      <c r="M36" s="327"/>
      <c r="N36" s="327"/>
      <c r="O36" s="327"/>
      <c r="P36" s="329"/>
      <c r="Q36" s="327"/>
      <c r="R36" s="272"/>
      <c r="S36" s="269"/>
    </row>
    <row r="37" spans="2:19" ht="15">
      <c r="C37" s="319" t="s">
        <v>23</v>
      </c>
      <c r="D37" s="327"/>
      <c r="E37" s="328">
        <f>E33+E34+E35+E36</f>
        <v>19043027.742862348</v>
      </c>
      <c r="F37" s="327"/>
      <c r="G37" s="327"/>
      <c r="H37" s="327"/>
      <c r="I37" s="327"/>
      <c r="J37" s="327"/>
      <c r="K37" s="327"/>
      <c r="L37" s="327"/>
      <c r="M37" s="327"/>
      <c r="N37" s="327"/>
      <c r="O37" s="327"/>
      <c r="P37" s="330"/>
      <c r="Q37" s="327"/>
      <c r="R37" s="272"/>
      <c r="S37" s="269"/>
    </row>
    <row r="38" spans="2:19" ht="12.75" customHeight="1">
      <c r="C38" s="331"/>
      <c r="D38" s="327"/>
      <c r="E38" s="327"/>
      <c r="F38" s="327"/>
      <c r="G38" s="327"/>
      <c r="H38" s="327"/>
      <c r="I38" s="327"/>
      <c r="J38" s="327"/>
      <c r="K38" s="327"/>
      <c r="L38" s="327"/>
      <c r="M38" s="327"/>
      <c r="N38" s="327"/>
      <c r="O38" s="327"/>
      <c r="P38" s="330"/>
      <c r="Q38" s="327"/>
      <c r="R38" s="272"/>
      <c r="S38" s="269"/>
    </row>
    <row r="39" spans="2:19" ht="18.75">
      <c r="B39" s="273" t="s">
        <v>24</v>
      </c>
      <c r="C39" s="332" t="str">
        <f>"Calculate Net Plant Carrying Charge Rate (Fixed Charge Rate or FCR) with hypothetical "&amp;F13&amp;" basis point"</f>
        <v>Calculate Net Plant Carrying Charge Rate (Fixed Charge Rate or FCR) with hypothetical 0 basis point</v>
      </c>
      <c r="D39" s="327"/>
      <c r="E39" s="327"/>
      <c r="F39" s="327"/>
      <c r="G39" s="327"/>
      <c r="H39" s="327"/>
      <c r="I39" s="327"/>
      <c r="J39" s="327"/>
      <c r="K39" s="327"/>
      <c r="L39" s="327"/>
      <c r="M39" s="327"/>
      <c r="N39" s="327"/>
      <c r="O39" s="327"/>
      <c r="P39" s="330"/>
      <c r="Q39" s="327"/>
      <c r="R39" s="272"/>
      <c r="S39" s="269"/>
    </row>
    <row r="40" spans="2:19" ht="18.75" customHeight="1">
      <c r="B40" s="273"/>
      <c r="C40" s="332" t="str">
        <f>"ROE increase."</f>
        <v>ROE increase.</v>
      </c>
      <c r="D40" s="327"/>
      <c r="E40" s="327"/>
      <c r="F40" s="327"/>
      <c r="G40" s="327"/>
      <c r="H40" s="327"/>
      <c r="I40" s="327"/>
      <c r="J40" s="327"/>
      <c r="K40" s="327"/>
      <c r="L40" s="327"/>
      <c r="M40" s="327"/>
      <c r="N40" s="327"/>
      <c r="O40" s="327"/>
      <c r="P40" s="330"/>
      <c r="Q40" s="327"/>
      <c r="R40" s="272"/>
      <c r="S40" s="269"/>
    </row>
    <row r="41" spans="2:19" ht="12.75" customHeight="1">
      <c r="C41" s="331"/>
      <c r="D41" s="327"/>
      <c r="E41" s="327"/>
      <c r="F41" s="327"/>
      <c r="G41" s="327"/>
      <c r="H41" s="327"/>
      <c r="I41" s="327"/>
      <c r="J41" s="327"/>
      <c r="K41" s="327"/>
      <c r="L41" s="327"/>
      <c r="M41" s="327"/>
      <c r="N41" s="327"/>
      <c r="O41" s="327"/>
      <c r="P41" s="330"/>
      <c r="Q41" s="327"/>
      <c r="R41" s="272"/>
      <c r="S41" s="269"/>
    </row>
    <row r="42" spans="2:19" ht="15.75">
      <c r="C42" s="274" t="s">
        <v>25</v>
      </c>
      <c r="D42" s="327"/>
      <c r="E42" s="327"/>
      <c r="F42" s="333"/>
      <c r="G42" s="333"/>
      <c r="H42" s="327"/>
      <c r="I42" s="327"/>
      <c r="J42" s="327"/>
      <c r="K42" s="327"/>
      <c r="L42" s="327"/>
      <c r="M42" s="327"/>
      <c r="N42" s="327"/>
      <c r="O42" s="327"/>
      <c r="P42" s="330"/>
      <c r="Q42" s="327"/>
      <c r="R42" s="272"/>
      <c r="S42" s="269"/>
    </row>
    <row r="43" spans="2:19">
      <c r="B43" s="269"/>
      <c r="C43" s="334"/>
      <c r="D43" s="335"/>
      <c r="E43" s="335"/>
      <c r="F43" s="335"/>
      <c r="G43" s="335"/>
      <c r="H43" s="335"/>
      <c r="I43" s="335"/>
      <c r="J43" s="335"/>
      <c r="K43" s="335"/>
      <c r="L43" s="335"/>
      <c r="M43" s="335"/>
      <c r="N43" s="335"/>
      <c r="O43" s="335"/>
      <c r="P43" s="328"/>
      <c r="Q43" s="335"/>
      <c r="R43" s="272"/>
      <c r="S43" s="269"/>
    </row>
    <row r="44" spans="2:19" ht="12.75" customHeight="1">
      <c r="B44" s="269"/>
      <c r="C44" s="277" t="str">
        <f>S117</f>
        <v xml:space="preserve">   Net Revenue Requirement  (TCOS, ln 117)</v>
      </c>
      <c r="D44" s="335"/>
      <c r="E44" s="335"/>
      <c r="F44" s="328">
        <f>R117</f>
        <v>230492964.19349214</v>
      </c>
      <c r="G44" s="328"/>
      <c r="H44" s="335"/>
      <c r="I44" s="335"/>
      <c r="J44" s="335"/>
      <c r="K44" s="335"/>
      <c r="L44" s="335"/>
      <c r="M44" s="335"/>
      <c r="N44" s="335"/>
      <c r="O44" s="335"/>
      <c r="P44" s="328"/>
      <c r="Q44" s="335"/>
      <c r="R44" s="272"/>
      <c r="S44" s="269"/>
    </row>
    <row r="45" spans="2:19">
      <c r="B45" s="269"/>
      <c r="C45" s="277" t="str">
        <f>S118</f>
        <v xml:space="preserve">   Return  (TCOS, ln 112)</v>
      </c>
      <c r="D45" s="335"/>
      <c r="E45" s="335"/>
      <c r="F45" s="328">
        <f>R118</f>
        <v>98815259.319065228</v>
      </c>
      <c r="G45" s="336"/>
      <c r="H45" s="337"/>
      <c r="I45" s="337"/>
      <c r="J45" s="337"/>
      <c r="K45" s="337"/>
      <c r="L45" s="337"/>
      <c r="M45" s="337"/>
      <c r="N45" s="337"/>
      <c r="O45" s="337"/>
      <c r="P45" s="328"/>
      <c r="Q45" s="337"/>
      <c r="R45" s="272"/>
      <c r="S45" s="269"/>
    </row>
    <row r="46" spans="2:19">
      <c r="B46" s="269"/>
      <c r="C46" s="277" t="str">
        <f>S119</f>
        <v xml:space="preserve">   Income Taxes  (TCOS, ln 111)</v>
      </c>
      <c r="D46" s="335"/>
      <c r="E46" s="335"/>
      <c r="F46" s="328">
        <f>R119</f>
        <v>19043027.742862348</v>
      </c>
      <c r="G46" s="328"/>
      <c r="H46" s="335"/>
      <c r="I46" s="335"/>
      <c r="J46" s="338"/>
      <c r="K46" s="338"/>
      <c r="L46" s="338"/>
      <c r="M46" s="338"/>
      <c r="N46" s="338"/>
      <c r="O46" s="338"/>
      <c r="P46" s="335"/>
      <c r="Q46" s="338"/>
      <c r="R46" s="272"/>
      <c r="S46" s="269"/>
    </row>
    <row r="47" spans="2:19">
      <c r="B47" s="269"/>
      <c r="C47" s="277" t="str">
        <f>S120</f>
        <v xml:space="preserve">  Gross Margin Taxes  (TCOS, ln 116)</v>
      </c>
      <c r="D47" s="335"/>
      <c r="E47" s="335"/>
      <c r="F47" s="339">
        <f>R120</f>
        <v>96697.562582519677</v>
      </c>
      <c r="G47" s="328"/>
      <c r="H47" s="335"/>
      <c r="I47" s="335"/>
      <c r="J47" s="338"/>
      <c r="K47" s="338"/>
      <c r="L47" s="338"/>
      <c r="M47" s="338"/>
      <c r="N47" s="338"/>
      <c r="O47" s="338"/>
      <c r="P47" s="335"/>
      <c r="Q47" s="338"/>
      <c r="R47" s="272"/>
      <c r="S47" s="269"/>
    </row>
    <row r="48" spans="2:19">
      <c r="B48" s="269"/>
      <c r="C48" s="340" t="s">
        <v>26</v>
      </c>
      <c r="D48" s="335"/>
      <c r="E48" s="335"/>
      <c r="F48" s="336">
        <f>F44-F45-F46-F47</f>
        <v>112537979.56898205</v>
      </c>
      <c r="G48" s="336"/>
      <c r="H48" s="341"/>
      <c r="I48" s="335"/>
      <c r="J48" s="341"/>
      <c r="K48" s="341"/>
      <c r="L48" s="341"/>
      <c r="M48" s="341"/>
      <c r="N48" s="341"/>
      <c r="O48" s="341"/>
      <c r="P48" s="341"/>
      <c r="Q48" s="341"/>
      <c r="R48" s="272"/>
      <c r="S48" s="269"/>
    </row>
    <row r="49" spans="2:19">
      <c r="B49" s="269"/>
      <c r="C49" s="334"/>
      <c r="D49" s="335"/>
      <c r="E49" s="335"/>
      <c r="F49" s="328"/>
      <c r="G49" s="328"/>
      <c r="H49" s="342"/>
      <c r="I49" s="343"/>
      <c r="J49" s="343"/>
      <c r="K49" s="343"/>
      <c r="L49" s="343"/>
      <c r="M49" s="343"/>
      <c r="N49" s="343"/>
      <c r="O49" s="343"/>
      <c r="P49" s="343"/>
      <c r="Q49" s="343"/>
      <c r="R49" s="272"/>
      <c r="S49" s="269"/>
    </row>
    <row r="50" spans="2:19" ht="15.75">
      <c r="B50" s="269"/>
      <c r="C50" s="274" t="str">
        <f>"B.   Determine Net Revenue Requirement with hypothetical "&amp;F13&amp;" basis point increase in ROE."</f>
        <v>B.   Determine Net Revenue Requirement with hypothetical 0 basis point increase in ROE.</v>
      </c>
      <c r="D50" s="344"/>
      <c r="E50" s="344"/>
      <c r="F50" s="328"/>
      <c r="G50" s="328"/>
      <c r="H50" s="342"/>
      <c r="I50" s="343"/>
      <c r="J50" s="343"/>
      <c r="K50" s="343"/>
      <c r="L50" s="343"/>
      <c r="M50" s="343"/>
      <c r="N50" s="343"/>
      <c r="O50" s="343"/>
      <c r="P50" s="343"/>
      <c r="Q50" s="343"/>
      <c r="R50" s="272"/>
      <c r="S50" s="269"/>
    </row>
    <row r="51" spans="2:19">
      <c r="B51" s="269"/>
      <c r="C51" s="334"/>
      <c r="D51" s="344"/>
      <c r="E51" s="344"/>
      <c r="F51" s="328"/>
      <c r="G51" s="328"/>
      <c r="H51" s="342"/>
      <c r="I51" s="343"/>
      <c r="J51" s="343"/>
      <c r="K51" s="343"/>
      <c r="L51" s="343"/>
      <c r="M51" s="343"/>
      <c r="N51" s="343"/>
      <c r="O51" s="343"/>
      <c r="P51" s="343"/>
      <c r="Q51" s="343"/>
      <c r="R51" s="272"/>
      <c r="S51" s="269"/>
    </row>
    <row r="52" spans="2:19">
      <c r="B52" s="269"/>
      <c r="C52" s="334" t="str">
        <f>C48</f>
        <v xml:space="preserve">   Net Revenue Requirement, Less Return and Taxes</v>
      </c>
      <c r="D52" s="344"/>
      <c r="E52" s="344"/>
      <c r="F52" s="328">
        <f>F48</f>
        <v>112537979.56898205</v>
      </c>
      <c r="G52" s="328"/>
      <c r="H52" s="335"/>
      <c r="I52" s="335"/>
      <c r="J52" s="335"/>
      <c r="K52" s="335"/>
      <c r="L52" s="335"/>
      <c r="M52" s="335"/>
      <c r="N52" s="335"/>
      <c r="O52" s="335"/>
      <c r="P52" s="347"/>
      <c r="Q52" s="335"/>
      <c r="R52" s="272"/>
      <c r="S52" s="269"/>
    </row>
    <row r="53" spans="2:19">
      <c r="B53" s="269"/>
      <c r="C53" s="283" t="s">
        <v>93</v>
      </c>
      <c r="D53" s="349"/>
      <c r="E53" s="340"/>
      <c r="F53" s="350">
        <f>E26</f>
        <v>98815259.319065228</v>
      </c>
      <c r="G53" s="350"/>
      <c r="H53" s="340"/>
      <c r="I53" s="351"/>
      <c r="J53" s="340"/>
      <c r="K53" s="340"/>
      <c r="L53" s="340"/>
      <c r="M53" s="340"/>
      <c r="N53" s="340"/>
      <c r="O53" s="340"/>
      <c r="P53" s="340"/>
      <c r="Q53" s="340"/>
      <c r="R53" s="272"/>
      <c r="S53" s="269"/>
    </row>
    <row r="54" spans="2:19" ht="12.75" customHeight="1">
      <c r="B54" s="269"/>
      <c r="C54" s="277" t="s">
        <v>27</v>
      </c>
      <c r="D54" s="335"/>
      <c r="E54" s="335"/>
      <c r="F54" s="424">
        <f>E37</f>
        <v>19043027.742862348</v>
      </c>
      <c r="G54" s="352"/>
      <c r="H54" s="269"/>
      <c r="I54" s="271"/>
      <c r="J54" s="269"/>
      <c r="K54" s="272"/>
      <c r="L54" s="269"/>
      <c r="M54" s="269"/>
      <c r="N54" s="269"/>
      <c r="O54" s="269"/>
      <c r="P54" s="269"/>
      <c r="Q54" s="272"/>
      <c r="R54" s="272"/>
      <c r="S54" s="269"/>
    </row>
    <row r="55" spans="2:19">
      <c r="B55" s="269"/>
      <c r="C55" s="340" t="str">
        <f>"   Net Revenue Requirement, with "&amp;F13&amp;" Basis Point ROE increase"</f>
        <v xml:space="preserve">   Net Revenue Requirement, with 0 Basis Point ROE increase</v>
      </c>
      <c r="D55" s="270"/>
      <c r="E55" s="269"/>
      <c r="F55" s="326">
        <f>SUM(F52:F54)</f>
        <v>230396266.63090962</v>
      </c>
      <c r="G55" s="326"/>
      <c r="H55" s="269"/>
      <c r="I55" s="271"/>
      <c r="J55" s="269"/>
      <c r="K55" s="272"/>
      <c r="L55" s="269"/>
      <c r="M55" s="269"/>
      <c r="N55" s="269"/>
      <c r="O55" s="269"/>
      <c r="P55" s="269"/>
      <c r="Q55" s="272"/>
      <c r="R55" s="272"/>
      <c r="S55" s="269"/>
    </row>
    <row r="56" spans="2:19">
      <c r="B56" s="269"/>
      <c r="C56" s="353" t="str">
        <f>"   Gross Margin Tax with "&amp;F13&amp;" Basis Point ROE Increase (II C. below)"</f>
        <v xml:space="preserve">   Gross Margin Tax with 0 Basis Point ROE Increase (II C. below)</v>
      </c>
      <c r="D56" s="227"/>
      <c r="E56" s="227"/>
      <c r="F56" s="354">
        <f>+F71</f>
        <v>132763.17948608703</v>
      </c>
      <c r="G56" s="350"/>
      <c r="H56" s="269"/>
      <c r="I56" s="271"/>
      <c r="J56" s="269"/>
      <c r="K56" s="272"/>
      <c r="L56" s="269"/>
      <c r="M56" s="269"/>
      <c r="N56" s="269"/>
      <c r="O56" s="269"/>
      <c r="P56" s="269"/>
      <c r="Q56" s="272"/>
      <c r="R56" s="272"/>
      <c r="S56" s="269"/>
    </row>
    <row r="57" spans="2:19">
      <c r="B57" s="269"/>
      <c r="C57" s="340" t="s">
        <v>28</v>
      </c>
      <c r="D57" s="270"/>
      <c r="E57" s="269"/>
      <c r="F57" s="355">
        <f>+F55+F56</f>
        <v>230529029.81039572</v>
      </c>
      <c r="G57" s="355"/>
      <c r="H57" s="269"/>
      <c r="I57" s="271"/>
      <c r="J57" s="269"/>
      <c r="K57" s="272"/>
      <c r="L57" s="269"/>
      <c r="M57" s="269"/>
      <c r="N57" s="269"/>
      <c r="O57" s="269"/>
      <c r="P57" s="269"/>
      <c r="Q57" s="272"/>
      <c r="R57" s="272"/>
      <c r="S57" s="269"/>
    </row>
    <row r="58" spans="2:19">
      <c r="B58" s="269"/>
      <c r="C58" s="277" t="str">
        <f>S121</f>
        <v xml:space="preserve">   Less: Depreciation  (TCOS, ln 86)</v>
      </c>
      <c r="D58" s="270"/>
      <c r="E58" s="269"/>
      <c r="F58" s="356">
        <f>R121</f>
        <v>51733091.61842034</v>
      </c>
      <c r="G58" s="356"/>
      <c r="H58" s="269"/>
      <c r="I58" s="271"/>
      <c r="J58" s="269"/>
      <c r="K58" s="272"/>
      <c r="L58" s="269"/>
      <c r="M58" s="269"/>
      <c r="N58" s="269"/>
      <c r="O58" s="269"/>
      <c r="P58" s="269"/>
      <c r="Q58" s="272"/>
      <c r="R58" s="272"/>
      <c r="S58" s="269"/>
    </row>
    <row r="59" spans="2:19">
      <c r="B59" s="269"/>
      <c r="C59" s="340" t="str">
        <f>"   Net Rev. Req, w/"&amp;F13&amp;" Basis Point ROE increase, less Depreciation"</f>
        <v xml:space="preserve">   Net Rev. Req, w/0 Basis Point ROE increase, less Depreciation</v>
      </c>
      <c r="D59" s="270"/>
      <c r="E59" s="269"/>
      <c r="F59" s="326">
        <f>F57-F58</f>
        <v>178795938.19197538</v>
      </c>
      <c r="G59" s="326"/>
      <c r="H59" s="269"/>
      <c r="I59" s="271"/>
      <c r="J59" s="269"/>
      <c r="K59" s="272"/>
      <c r="L59" s="269"/>
      <c r="M59" s="269"/>
      <c r="N59" s="269"/>
      <c r="O59" s="269"/>
      <c r="P59" s="269"/>
      <c r="Q59" s="272"/>
      <c r="R59" s="272"/>
      <c r="S59" s="269"/>
    </row>
    <row r="60" spans="2:19">
      <c r="B60" s="269"/>
      <c r="C60" s="269"/>
      <c r="D60" s="270"/>
      <c r="E60" s="269"/>
      <c r="F60" s="269"/>
      <c r="G60" s="269"/>
      <c r="H60" s="269"/>
      <c r="I60" s="271"/>
      <c r="J60" s="269"/>
      <c r="K60" s="272"/>
      <c r="L60" s="269"/>
      <c r="M60" s="269"/>
      <c r="N60" s="269"/>
      <c r="O60" s="269"/>
      <c r="P60" s="269"/>
      <c r="Q60" s="272" t="str">
        <f>IF(ROUND(Q59,0)=ROUND(SUM(Q18:Q58),0),"","Error -- check allocations above).")</f>
        <v/>
      </c>
      <c r="R60" s="272"/>
      <c r="S60" s="269"/>
    </row>
    <row r="61" spans="2:19" ht="15.75">
      <c r="B61" s="269"/>
      <c r="C61" s="358" t="str">
        <f>"C.   Determine Gross Margin Tax with hypothetical "&amp;F13&amp;" basis point increase in ROE."</f>
        <v>C.   Determine Gross Margin Tax with hypothetical 0 basis point increase in ROE.</v>
      </c>
      <c r="D61" s="359"/>
      <c r="E61" s="359"/>
      <c r="F61" s="360"/>
      <c r="G61" s="360"/>
      <c r="H61" s="357"/>
      <c r="I61" s="271"/>
      <c r="J61" s="269"/>
      <c r="K61" s="272"/>
      <c r="L61" s="269"/>
      <c r="M61" s="269"/>
      <c r="N61" s="269"/>
      <c r="O61" s="269"/>
      <c r="P61" s="269"/>
      <c r="Q61" s="272"/>
      <c r="R61" s="272"/>
      <c r="S61" s="269"/>
    </row>
    <row r="62" spans="2:19">
      <c r="B62" s="269"/>
      <c r="C62" s="353" t="str">
        <f>"   Net Revenue Requirement before Gross Margin Taxes, with "&amp;F13&amp;" "</f>
        <v xml:space="preserve">   Net Revenue Requirement before Gross Margin Taxes, with 0 </v>
      </c>
      <c r="D62" s="359"/>
      <c r="E62" s="359"/>
      <c r="F62" s="360">
        <f>+F55</f>
        <v>230396266.63090962</v>
      </c>
      <c r="G62" s="360"/>
      <c r="H62" s="357"/>
      <c r="I62" s="271"/>
      <c r="J62" s="269"/>
      <c r="K62" s="272"/>
      <c r="L62" s="269"/>
      <c r="M62" s="269"/>
      <c r="N62" s="269"/>
      <c r="O62" s="269"/>
      <c r="P62" s="269"/>
      <c r="Q62" s="272"/>
      <c r="R62" s="272"/>
      <c r="S62" s="269"/>
    </row>
    <row r="63" spans="2:19">
      <c r="B63" s="269"/>
      <c r="C63" s="353" t="s">
        <v>29</v>
      </c>
      <c r="D63" s="359"/>
      <c r="E63" s="359"/>
      <c r="F63" s="360"/>
      <c r="G63" s="360"/>
      <c r="H63" s="357"/>
      <c r="I63" s="271"/>
      <c r="J63" s="269"/>
      <c r="K63" s="272"/>
      <c r="L63" s="269"/>
      <c r="M63" s="269"/>
      <c r="N63" s="269"/>
      <c r="O63" s="269"/>
      <c r="P63" s="269"/>
      <c r="Q63" s="272"/>
      <c r="R63" s="272"/>
      <c r="S63" s="269"/>
    </row>
    <row r="64" spans="2:19">
      <c r="B64" s="269"/>
      <c r="C64" s="340" t="str">
        <f>S122</f>
        <v xml:space="preserve">       Apportionment Factor to Texas (Worksheet K, ln 12)</v>
      </c>
      <c r="D64" s="325"/>
      <c r="E64" s="357"/>
      <c r="F64" s="362">
        <f>R122</f>
        <v>0.41136014865158921</v>
      </c>
      <c r="G64" s="425"/>
      <c r="H64" s="357"/>
      <c r="I64" s="271"/>
      <c r="J64" s="269"/>
      <c r="K64" s="272"/>
      <c r="L64" s="269"/>
      <c r="M64" s="269"/>
      <c r="N64" s="269"/>
      <c r="O64" s="269"/>
      <c r="P64" s="269"/>
      <c r="Q64" s="272"/>
      <c r="R64" s="272"/>
      <c r="S64" s="269"/>
    </row>
    <row r="65" spans="2:19">
      <c r="B65" s="269"/>
      <c r="C65" s="340" t="s">
        <v>30</v>
      </c>
      <c r="D65" s="325"/>
      <c r="E65" s="357"/>
      <c r="F65" s="360">
        <f>+F64*F62</f>
        <v>94775842.490062162</v>
      </c>
      <c r="G65" s="360"/>
      <c r="H65" s="357"/>
      <c r="I65" s="271"/>
      <c r="J65" s="269"/>
      <c r="K65" s="272"/>
      <c r="L65" s="269"/>
      <c r="M65" s="269"/>
      <c r="N65" s="269"/>
      <c r="O65" s="269"/>
      <c r="P65" s="269"/>
      <c r="Q65" s="272"/>
      <c r="R65" s="272"/>
      <c r="S65" s="269"/>
    </row>
    <row r="66" spans="2:19">
      <c r="B66" s="269"/>
      <c r="C66" s="340" t="str">
        <f>+'SWE.WS.F.BPU.ATRR.Projected'!C66</f>
        <v xml:space="preserve">       Taxable Percentage of Revenue (22%)</v>
      </c>
      <c r="D66" s="325"/>
      <c r="E66" s="357"/>
      <c r="F66" s="363">
        <f>+'SWE.WS.F.BPU.ATRR.Projected'!F66</f>
        <v>0.14000000000000001</v>
      </c>
      <c r="G66" s="426"/>
      <c r="H66" s="357"/>
      <c r="I66" s="271"/>
      <c r="J66" s="269"/>
      <c r="K66" s="272"/>
      <c r="L66" s="269"/>
      <c r="M66" s="269"/>
      <c r="N66" s="269"/>
      <c r="O66" s="269"/>
      <c r="P66" s="269"/>
      <c r="Q66" s="272"/>
      <c r="R66" s="272"/>
      <c r="S66" s="269"/>
    </row>
    <row r="67" spans="2:19">
      <c r="B67" s="269"/>
      <c r="C67" s="340" t="s">
        <v>31</v>
      </c>
      <c r="D67" s="325"/>
      <c r="E67" s="357"/>
      <c r="F67" s="360">
        <f>+F65*F66</f>
        <v>13268617.948608704</v>
      </c>
      <c r="G67" s="360"/>
      <c r="H67" s="357"/>
      <c r="I67" s="271"/>
      <c r="J67" s="269"/>
      <c r="K67" s="272"/>
      <c r="L67" s="269"/>
      <c r="M67" s="269"/>
      <c r="N67" s="269"/>
      <c r="O67" s="269"/>
      <c r="P67" s="269"/>
      <c r="Q67" s="272"/>
      <c r="R67" s="272"/>
      <c r="S67" s="269"/>
    </row>
    <row r="68" spans="2:19">
      <c r="B68" s="269"/>
      <c r="C68" s="340" t="s">
        <v>32</v>
      </c>
      <c r="D68" s="325"/>
      <c r="E68" s="357"/>
      <c r="F68" s="363">
        <v>0.01</v>
      </c>
      <c r="G68" s="426"/>
      <c r="H68" s="357"/>
      <c r="I68" s="271"/>
      <c r="J68" s="269"/>
      <c r="K68" s="272"/>
      <c r="L68" s="269"/>
      <c r="M68" s="269"/>
      <c r="N68" s="269"/>
      <c r="O68" s="269"/>
      <c r="P68" s="269"/>
      <c r="Q68" s="272"/>
      <c r="R68" s="272"/>
      <c r="S68" s="269"/>
    </row>
    <row r="69" spans="2:19">
      <c r="B69" s="269"/>
      <c r="C69" s="340" t="s">
        <v>33</v>
      </c>
      <c r="D69" s="325"/>
      <c r="E69" s="357"/>
      <c r="F69" s="360">
        <f>+F67*F68</f>
        <v>132686.17948608703</v>
      </c>
      <c r="G69" s="360"/>
      <c r="H69" s="357"/>
      <c r="I69" s="271"/>
      <c r="J69" s="269"/>
      <c r="K69" s="272"/>
      <c r="L69" s="269"/>
      <c r="M69" s="269"/>
      <c r="N69" s="269"/>
      <c r="O69" s="269"/>
      <c r="P69" s="269"/>
      <c r="Q69" s="272"/>
      <c r="R69" s="272"/>
      <c r="S69" s="269"/>
    </row>
    <row r="70" spans="2:19">
      <c r="B70" s="269"/>
      <c r="C70" s="340" t="s">
        <v>34</v>
      </c>
      <c r="D70" s="325"/>
      <c r="E70" s="357"/>
      <c r="F70" s="364">
        <f>+ROUND((F69*F66*F64)/(1-F68)*F68,0)</f>
        <v>77</v>
      </c>
      <c r="G70" s="427"/>
      <c r="H70" s="357"/>
      <c r="I70" s="271"/>
      <c r="J70" s="269"/>
      <c r="K70" s="272"/>
      <c r="L70" s="269"/>
      <c r="M70" s="269"/>
      <c r="N70" s="269"/>
      <c r="O70" s="269"/>
      <c r="P70" s="269"/>
      <c r="Q70" s="272"/>
      <c r="R70" s="272"/>
      <c r="S70" s="269"/>
    </row>
    <row r="71" spans="2:19">
      <c r="B71" s="269"/>
      <c r="C71" s="340" t="s">
        <v>35</v>
      </c>
      <c r="D71" s="325"/>
      <c r="E71" s="357"/>
      <c r="F71" s="360">
        <f>+F69+F70</f>
        <v>132763.17948608703</v>
      </c>
      <c r="G71" s="360"/>
      <c r="H71" s="357"/>
      <c r="I71" s="271"/>
      <c r="J71" s="269"/>
      <c r="K71" s="272"/>
      <c r="L71" s="269"/>
      <c r="M71" s="269"/>
      <c r="N71" s="269"/>
      <c r="O71" s="269"/>
      <c r="P71" s="269"/>
      <c r="Q71" s="272"/>
      <c r="R71" s="272"/>
      <c r="S71" s="269"/>
    </row>
    <row r="72" spans="2:19">
      <c r="B72" s="269"/>
      <c r="C72" s="269"/>
      <c r="D72" s="270"/>
      <c r="E72" s="269"/>
      <c r="F72" s="269"/>
      <c r="G72" s="269"/>
      <c r="H72" s="269"/>
      <c r="I72" s="271"/>
      <c r="J72" s="269"/>
      <c r="K72" s="272"/>
      <c r="L72" s="269"/>
      <c r="M72" s="269"/>
      <c r="N72" s="269"/>
      <c r="O72" s="269"/>
      <c r="P72" s="269"/>
      <c r="Q72" s="272"/>
      <c r="R72" s="272"/>
      <c r="S72" s="269"/>
    </row>
    <row r="73" spans="2:19" ht="15.75">
      <c r="B73" s="269"/>
      <c r="C73" s="274" t="str">
        <f>"D.   Determine FCR with hypothetical "&amp;F13&amp;" basis point ROE increase."</f>
        <v>D.   Determine FCR with hypothetical 0 basis point ROE increase.</v>
      </c>
      <c r="D73" s="270"/>
      <c r="E73" s="269"/>
      <c r="F73" s="269"/>
      <c r="G73" s="269"/>
      <c r="H73" s="269"/>
      <c r="I73" s="247"/>
      <c r="J73" s="269"/>
      <c r="K73" s="272"/>
      <c r="L73" s="269"/>
      <c r="M73" s="269"/>
      <c r="N73" s="269"/>
      <c r="O73" s="269"/>
      <c r="P73" s="269"/>
      <c r="Q73" s="272"/>
      <c r="R73" s="272"/>
      <c r="S73" s="269"/>
    </row>
    <row r="74" spans="2:19">
      <c r="B74" s="269"/>
      <c r="C74" s="269"/>
      <c r="D74" s="270"/>
      <c r="E74" s="269"/>
      <c r="F74" s="269"/>
      <c r="G74" s="269"/>
      <c r="H74" s="269"/>
      <c r="I74" s="271"/>
      <c r="J74" s="269"/>
      <c r="K74" s="272"/>
      <c r="L74" s="269"/>
      <c r="M74" s="269"/>
      <c r="N74" s="269"/>
      <c r="O74" s="269"/>
      <c r="P74" s="269"/>
      <c r="Q74" s="272"/>
      <c r="R74" s="272"/>
      <c r="S74" s="269"/>
    </row>
    <row r="75" spans="2:19">
      <c r="B75" s="269"/>
      <c r="C75" s="334" t="str">
        <f>S123</f>
        <v xml:space="preserve">   Net Transmission Plant  (TCOS, ln 37)</v>
      </c>
      <c r="D75" s="270"/>
      <c r="E75" s="269"/>
      <c r="F75" s="326">
        <f>R123</f>
        <v>1574779464.1137781</v>
      </c>
      <c r="G75" s="326"/>
      <c r="I75" s="247"/>
      <c r="J75" s="269"/>
      <c r="K75" s="272"/>
      <c r="L75" s="269"/>
      <c r="M75" s="269"/>
      <c r="N75" s="269"/>
      <c r="O75" s="269"/>
      <c r="P75" s="269"/>
      <c r="Q75" s="272"/>
      <c r="R75" s="272"/>
      <c r="S75" s="269"/>
    </row>
    <row r="76" spans="2:19" ht="15">
      <c r="B76" s="269"/>
      <c r="C76" s="340" t="str">
        <f>"   Net Revenue Requirement, with "&amp;F13&amp;" Basis Point ROE increase"</f>
        <v xml:space="preserve">   Net Revenue Requirement, with 0 Basis Point ROE increase</v>
      </c>
      <c r="D76" s="270"/>
      <c r="E76" s="269"/>
      <c r="F76" s="428">
        <f>+F57</f>
        <v>230529029.81039572</v>
      </c>
      <c r="G76" s="428"/>
      <c r="I76" s="247"/>
      <c r="J76" s="269"/>
      <c r="K76" s="272"/>
      <c r="L76" s="269"/>
      <c r="M76" s="269"/>
      <c r="N76" s="269"/>
      <c r="O76" s="269"/>
      <c r="P76" s="269"/>
      <c r="Q76" s="272"/>
      <c r="R76" s="272"/>
      <c r="S76" s="269"/>
    </row>
    <row r="77" spans="2:19">
      <c r="B77" s="269"/>
      <c r="C77" s="340" t="str">
        <f>"   FCR with "&amp;F13&amp;" Basis Point increase in ROE"</f>
        <v xml:space="preserve">   FCR with 0 Basis Point increase in ROE</v>
      </c>
      <c r="D77" s="270"/>
      <c r="E77" s="269"/>
      <c r="F77" s="366">
        <f>IF(F75=0,0,F76/F75)</f>
        <v>0.14638813564928477</v>
      </c>
      <c r="G77" s="366"/>
      <c r="I77" s="247"/>
      <c r="J77" s="269"/>
      <c r="K77" s="272"/>
      <c r="L77" s="269"/>
      <c r="M77" s="269"/>
      <c r="N77" s="269"/>
      <c r="O77" s="269"/>
      <c r="P77" s="269"/>
      <c r="Q77" s="272"/>
      <c r="R77" s="272"/>
      <c r="S77" s="269"/>
    </row>
    <row r="78" spans="2:19">
      <c r="B78" s="269"/>
      <c r="D78" s="270"/>
      <c r="E78" s="269"/>
      <c r="F78" s="357"/>
      <c r="G78" s="357"/>
      <c r="H78" s="429"/>
      <c r="I78" s="247"/>
      <c r="J78" s="269"/>
      <c r="K78" s="272"/>
      <c r="L78" s="269"/>
      <c r="M78" s="269"/>
      <c r="N78" s="269"/>
      <c r="O78" s="269"/>
      <c r="P78" s="269"/>
      <c r="Q78" s="272"/>
      <c r="R78" s="272"/>
      <c r="S78" s="269"/>
    </row>
    <row r="79" spans="2:19">
      <c r="B79" s="269"/>
      <c r="C79" s="340" t="str">
        <f>"   Net Rev. Req, w / "&amp;F13&amp;" Basis Point ROE increase, less Dep."</f>
        <v xml:space="preserve">   Net Rev. Req, w / 0 Basis Point ROE increase, less Dep.</v>
      </c>
      <c r="D79" s="270"/>
      <c r="E79" s="269"/>
      <c r="F79" s="326">
        <f>+F59</f>
        <v>178795938.19197538</v>
      </c>
      <c r="G79" s="326"/>
      <c r="I79" s="247"/>
      <c r="J79" s="269"/>
      <c r="K79" s="272"/>
      <c r="L79" s="269"/>
      <c r="M79" s="269"/>
      <c r="N79" s="269"/>
      <c r="O79" s="269"/>
      <c r="P79" s="269"/>
      <c r="Q79" s="272"/>
      <c r="R79" s="272"/>
      <c r="S79" s="269"/>
    </row>
    <row r="80" spans="2:19">
      <c r="B80" s="269"/>
      <c r="C80" s="340" t="str">
        <f>"   FCR with "&amp;F13&amp;" Basis Point ROE increase, less Depreciation"</f>
        <v xml:space="preserve">   FCR with 0 Basis Point ROE increase, less Depreciation</v>
      </c>
      <c r="D80" s="270"/>
      <c r="E80" s="269"/>
      <c r="F80" s="366">
        <f>IF(F75=0,0,F79/F75)</f>
        <v>0.11353712838298566</v>
      </c>
      <c r="G80" s="366"/>
      <c r="H80" s="275"/>
      <c r="I80" s="247"/>
      <c r="J80" s="269"/>
      <c r="K80" s="272"/>
      <c r="L80" s="269"/>
      <c r="M80" s="269"/>
      <c r="N80" s="269"/>
      <c r="O80" s="269"/>
      <c r="P80" s="269"/>
      <c r="Q80" s="272"/>
      <c r="R80" s="272"/>
      <c r="S80" s="269"/>
    </row>
    <row r="81" spans="2:19">
      <c r="B81" s="269"/>
      <c r="C81" s="334" t="str">
        <f>S124</f>
        <v xml:space="preserve">   FCR less Depreciation  (TCOS, ln 10)</v>
      </c>
      <c r="D81" s="270"/>
      <c r="E81" s="269"/>
      <c r="F81" s="367">
        <f>R124</f>
        <v>0.11351422637179906</v>
      </c>
      <c r="G81" s="367"/>
      <c r="H81" s="430"/>
      <c r="I81" s="247"/>
      <c r="J81" s="269"/>
      <c r="K81" s="272"/>
      <c r="L81" s="269"/>
      <c r="M81" s="269"/>
      <c r="N81" s="269"/>
      <c r="O81" s="269"/>
      <c r="P81" s="269"/>
      <c r="Q81" s="272"/>
      <c r="R81" s="272"/>
      <c r="S81" s="269"/>
    </row>
    <row r="82" spans="2:19">
      <c r="B82" s="269"/>
      <c r="C82" s="340" t="str">
        <f>"   Incremental FCR with "&amp;F13&amp;" Basis Point ROE increase, less Depreciation"</f>
        <v xml:space="preserve">   Incremental FCR with 0 Basis Point ROE increase, less Depreciation</v>
      </c>
      <c r="D82" s="270"/>
      <c r="E82" s="269"/>
      <c r="F82" s="366">
        <f>F80-F81</f>
        <v>2.2902011186598514E-5</v>
      </c>
      <c r="G82" s="366"/>
      <c r="I82" s="247"/>
      <c r="J82" s="269"/>
      <c r="K82" s="272"/>
      <c r="L82" s="269"/>
      <c r="M82" s="269"/>
      <c r="N82" s="269"/>
      <c r="O82" s="269"/>
      <c r="P82" s="269"/>
      <c r="Q82" s="272"/>
      <c r="R82" s="272"/>
      <c r="S82" s="269"/>
    </row>
    <row r="83" spans="2:19">
      <c r="B83" s="269"/>
      <c r="C83" s="340"/>
      <c r="D83" s="270"/>
      <c r="E83" s="269"/>
      <c r="F83" s="366"/>
      <c r="G83" s="366"/>
      <c r="H83" s="269"/>
      <c r="I83" s="271"/>
      <c r="J83" s="269"/>
      <c r="K83" s="272"/>
      <c r="L83" s="269"/>
      <c r="M83" s="269"/>
      <c r="N83" s="269"/>
      <c r="O83" s="269"/>
      <c r="P83" s="269"/>
      <c r="Q83" s="272"/>
      <c r="R83" s="272"/>
      <c r="S83" s="269"/>
    </row>
    <row r="84" spans="2:19" ht="18.75">
      <c r="B84" s="273" t="s">
        <v>36</v>
      </c>
      <c r="C84" s="332" t="s">
        <v>37</v>
      </c>
      <c r="D84" s="270"/>
      <c r="E84" s="269"/>
      <c r="F84" s="366"/>
      <c r="G84" s="366"/>
      <c r="H84" s="269"/>
      <c r="I84" s="271"/>
      <c r="J84" s="269"/>
      <c r="K84" s="272"/>
      <c r="L84" s="269"/>
      <c r="M84" s="269"/>
      <c r="N84" s="269"/>
      <c r="O84" s="269"/>
      <c r="P84" s="269"/>
      <c r="Q84" s="272"/>
      <c r="R84" s="272"/>
      <c r="S84" s="269"/>
    </row>
    <row r="85" spans="2:19" ht="12.75" customHeight="1">
      <c r="B85" s="273"/>
      <c r="C85" s="332"/>
      <c r="D85" s="270"/>
      <c r="E85" s="269"/>
      <c r="F85" s="366"/>
      <c r="G85" s="366"/>
      <c r="H85" s="269"/>
      <c r="I85" s="271"/>
      <c r="J85" s="269"/>
      <c r="K85" s="272"/>
      <c r="L85" s="269"/>
      <c r="M85" s="269"/>
      <c r="N85" s="269"/>
      <c r="O85" s="269"/>
      <c r="P85" s="269"/>
      <c r="Q85" s="272"/>
      <c r="R85" s="272"/>
      <c r="S85" s="269"/>
    </row>
    <row r="86" spans="2:19" ht="12.75" customHeight="1">
      <c r="B86" s="273"/>
      <c r="C86" s="340" t="s">
        <v>38</v>
      </c>
      <c r="D86" s="270"/>
      <c r="F86" s="361">
        <f>R125</f>
        <v>2172102538</v>
      </c>
      <c r="G86" s="269" t="s">
        <v>39</v>
      </c>
      <c r="I86" s="271"/>
      <c r="J86" s="269"/>
      <c r="K86" s="272"/>
      <c r="L86" s="269"/>
      <c r="M86" s="269"/>
      <c r="N86" s="269"/>
      <c r="O86" s="269"/>
      <c r="P86" s="269"/>
      <c r="Q86" s="272"/>
      <c r="R86" s="272"/>
      <c r="S86" s="269"/>
    </row>
    <row r="87" spans="2:19" ht="12.75" customHeight="1">
      <c r="B87" s="273"/>
      <c r="C87" s="340" t="s">
        <v>40</v>
      </c>
      <c r="D87" s="270"/>
      <c r="F87" s="368">
        <f>R126</f>
        <v>2324483589</v>
      </c>
      <c r="G87" s="269" t="s">
        <v>39</v>
      </c>
      <c r="I87" s="271"/>
      <c r="J87" s="269"/>
      <c r="K87" s="272"/>
      <c r="L87" s="269"/>
      <c r="M87" s="269"/>
      <c r="N87" s="269"/>
      <c r="O87" s="269"/>
      <c r="P87" s="269"/>
      <c r="Q87" s="272"/>
      <c r="R87" s="272"/>
      <c r="S87" s="269"/>
    </row>
    <row r="88" spans="2:19" ht="12.75" customHeight="1">
      <c r="B88" s="273"/>
      <c r="C88" s="340"/>
      <c r="D88" s="270"/>
      <c r="F88" s="271">
        <f>+F87+F86</f>
        <v>4496586127</v>
      </c>
      <c r="G88" s="271"/>
      <c r="H88" s="269"/>
      <c r="I88" s="271"/>
      <c r="J88" s="269"/>
      <c r="K88" s="272"/>
      <c r="L88" s="269"/>
      <c r="M88" s="269"/>
      <c r="N88" s="269"/>
      <c r="O88" s="269"/>
      <c r="P88" s="269"/>
      <c r="Q88" s="272"/>
      <c r="R88" s="272"/>
      <c r="S88" s="269"/>
    </row>
    <row r="89" spans="2:19">
      <c r="B89" s="269"/>
      <c r="C89" s="340" t="str">
        <f>+S127</f>
        <v>Transmission Plant Average Balance for 2019</v>
      </c>
      <c r="D89" s="325"/>
      <c r="E89" s="191"/>
      <c r="F89" s="351">
        <f>+F88/2</f>
        <v>2248293063.5</v>
      </c>
      <c r="G89" s="351"/>
      <c r="I89" s="271"/>
      <c r="J89" s="269"/>
      <c r="K89" s="272"/>
      <c r="L89" s="269"/>
      <c r="M89" s="269"/>
      <c r="N89" s="269"/>
      <c r="O89" s="269"/>
      <c r="P89" s="269"/>
      <c r="Q89" s="272"/>
      <c r="R89" s="272"/>
      <c r="S89" s="269"/>
    </row>
    <row r="90" spans="2:19">
      <c r="B90" s="269"/>
      <c r="C90" s="277" t="str">
        <f>S128</f>
        <v>Annual Depreciation Expense  (True-Up TCOS,  ln 86)</v>
      </c>
      <c r="D90" s="325"/>
      <c r="E90" s="357"/>
      <c r="F90" s="351">
        <f>R128</f>
        <v>54560968</v>
      </c>
      <c r="G90" s="351"/>
      <c r="I90" s="271"/>
      <c r="J90" s="269"/>
      <c r="K90" s="272"/>
      <c r="L90" s="269"/>
      <c r="M90" s="269"/>
      <c r="N90" s="269"/>
      <c r="O90" s="269"/>
      <c r="P90" s="269"/>
      <c r="Q90" s="272"/>
      <c r="R90" s="272"/>
      <c r="S90" s="269"/>
    </row>
    <row r="91" spans="2:19">
      <c r="B91" s="269"/>
      <c r="C91" s="340" t="s">
        <v>41</v>
      </c>
      <c r="D91" s="270"/>
      <c r="E91" s="269"/>
      <c r="F91" s="366">
        <f>IF(F89=0,0,F90/F89)</f>
        <v>2.4267729543702345E-2</v>
      </c>
      <c r="G91" s="366"/>
      <c r="H91" s="269"/>
      <c r="I91" s="370"/>
      <c r="J91" s="269"/>
      <c r="K91" s="272"/>
      <c r="L91" s="269"/>
      <c r="M91" s="269"/>
      <c r="N91" s="269"/>
      <c r="O91" s="269"/>
      <c r="P91" s="269"/>
      <c r="Q91" s="272"/>
      <c r="R91" s="272"/>
      <c r="S91" s="269"/>
    </row>
    <row r="92" spans="2:19">
      <c r="B92" s="269"/>
      <c r="C92" s="340" t="s">
        <v>42</v>
      </c>
      <c r="D92" s="270"/>
      <c r="E92" s="269"/>
      <c r="F92" s="371">
        <f>IF(F91=0,0,1/F91)</f>
        <v>41.206986347822856</v>
      </c>
      <c r="G92" s="371"/>
      <c r="H92" s="269"/>
      <c r="I92" s="271"/>
      <c r="J92" s="269"/>
      <c r="K92" s="272"/>
      <c r="L92" s="269"/>
      <c r="M92" s="269"/>
      <c r="N92" s="269"/>
      <c r="O92" s="269"/>
      <c r="P92" s="269"/>
      <c r="Q92" s="272"/>
      <c r="R92" s="272"/>
      <c r="S92" s="269"/>
    </row>
    <row r="93" spans="2:19">
      <c r="B93" s="269"/>
      <c r="C93" s="340" t="s">
        <v>43</v>
      </c>
      <c r="D93" s="270"/>
      <c r="E93" s="269"/>
      <c r="F93" s="372">
        <f>ROUND(F92,0)</f>
        <v>41</v>
      </c>
      <c r="G93" s="372"/>
      <c r="H93" s="269"/>
      <c r="I93" s="271"/>
      <c r="J93" s="269"/>
      <c r="K93" s="272"/>
      <c r="L93" s="269"/>
      <c r="M93" s="269"/>
      <c r="N93" s="269"/>
      <c r="O93" s="269"/>
      <c r="P93" s="269"/>
      <c r="Q93" s="272"/>
      <c r="R93" s="272"/>
      <c r="S93" s="269"/>
    </row>
    <row r="94" spans="2:19">
      <c r="B94" s="269"/>
      <c r="C94" s="340"/>
      <c r="D94" s="270"/>
      <c r="E94" s="269"/>
      <c r="F94" s="372"/>
      <c r="G94" s="372"/>
      <c r="H94" s="269"/>
      <c r="I94" s="271"/>
      <c r="J94" s="269"/>
      <c r="K94" s="272"/>
      <c r="L94" s="269"/>
      <c r="M94" s="269"/>
      <c r="N94" s="269"/>
      <c r="O94" s="269"/>
      <c r="P94" s="269"/>
      <c r="Q94" s="272"/>
      <c r="R94" s="272"/>
      <c r="S94" s="269"/>
    </row>
    <row r="95" spans="2:19">
      <c r="B95" s="269"/>
      <c r="C95" s="340"/>
      <c r="D95" s="270"/>
      <c r="E95" s="269"/>
      <c r="F95" s="372"/>
      <c r="G95" s="372"/>
      <c r="H95" s="269"/>
      <c r="I95" s="271"/>
      <c r="J95" s="269"/>
      <c r="K95" s="272"/>
      <c r="L95" s="269"/>
      <c r="M95" s="269"/>
      <c r="N95" s="269"/>
      <c r="O95" s="269"/>
      <c r="P95" s="269"/>
      <c r="Q95" s="272"/>
      <c r="R95" s="272"/>
      <c r="S95" s="269"/>
    </row>
    <row r="96" spans="2:19">
      <c r="B96" s="269"/>
      <c r="C96" s="340"/>
      <c r="D96" s="270"/>
      <c r="E96" s="269"/>
      <c r="F96" s="372"/>
      <c r="G96" s="372"/>
      <c r="H96" s="269"/>
      <c r="I96" s="271"/>
      <c r="J96" s="269"/>
      <c r="K96" s="272"/>
      <c r="L96" s="269"/>
      <c r="M96" s="269"/>
      <c r="N96" s="269"/>
      <c r="O96" s="269"/>
      <c r="P96" s="269"/>
      <c r="Q96" s="272"/>
      <c r="R96" s="272"/>
      <c r="S96" s="269"/>
    </row>
    <row r="97" spans="3:19">
      <c r="C97" s="269"/>
      <c r="D97" s="270"/>
      <c r="E97" s="269"/>
      <c r="F97" s="269"/>
      <c r="G97" s="269"/>
      <c r="H97" s="269"/>
      <c r="I97" s="271"/>
      <c r="J97" s="269"/>
      <c r="K97" s="272"/>
      <c r="L97" s="269"/>
      <c r="M97" s="269"/>
      <c r="N97" s="269"/>
      <c r="O97" s="269"/>
      <c r="P97" s="269"/>
      <c r="Q97" s="272"/>
      <c r="R97" s="377" t="s">
        <v>112</v>
      </c>
      <c r="S97" s="262" t="s">
        <v>118</v>
      </c>
    </row>
    <row r="98" spans="3:19">
      <c r="C98" s="269"/>
      <c r="D98" s="270"/>
      <c r="E98" s="269"/>
      <c r="F98" s="269"/>
      <c r="G98" s="269"/>
      <c r="H98" s="269"/>
      <c r="I98" s="271"/>
      <c r="J98" s="269"/>
      <c r="K98" s="272"/>
      <c r="L98" s="269"/>
      <c r="M98" s="269"/>
      <c r="N98" s="269"/>
      <c r="O98" s="269"/>
      <c r="P98" s="269"/>
      <c r="Q98" s="272"/>
    </row>
    <row r="99" spans="3:19">
      <c r="C99" s="267" t="s">
        <v>109</v>
      </c>
      <c r="J99" s="233"/>
      <c r="L99" s="267" t="s">
        <v>108</v>
      </c>
      <c r="N99" s="269"/>
      <c r="O99" s="269"/>
      <c r="P99" s="269"/>
      <c r="Q99" s="272"/>
    </row>
    <row r="100" spans="3:19">
      <c r="C100" s="269"/>
      <c r="D100" s="270"/>
      <c r="E100" s="269"/>
      <c r="F100" s="269"/>
      <c r="G100" s="269"/>
      <c r="H100" s="269"/>
      <c r="I100" s="271"/>
      <c r="J100" s="269"/>
      <c r="K100" s="272"/>
      <c r="L100" s="269"/>
      <c r="M100" s="269"/>
      <c r="N100" s="269"/>
      <c r="O100" s="269"/>
      <c r="P100" s="269"/>
      <c r="Q100" s="272"/>
      <c r="S100" s="262" t="s">
        <v>106</v>
      </c>
    </row>
    <row r="101" spans="3:19">
      <c r="C101" s="269"/>
      <c r="D101" s="270"/>
      <c r="E101" s="269"/>
      <c r="F101" s="269"/>
      <c r="G101" s="269"/>
      <c r="H101" s="269"/>
      <c r="I101" s="271"/>
      <c r="J101" s="269"/>
      <c r="K101" s="272"/>
      <c r="L101" s="269"/>
      <c r="M101" s="269"/>
      <c r="N101" s="269"/>
      <c r="O101" s="269"/>
      <c r="P101" s="269"/>
      <c r="Q101" s="272"/>
      <c r="R101" s="377" t="s">
        <v>103</v>
      </c>
      <c r="S101" s="236" t="s">
        <v>120</v>
      </c>
    </row>
    <row r="102" spans="3:19" ht="13.5" thickBot="1">
      <c r="C102" s="269"/>
      <c r="D102" s="270"/>
      <c r="E102" s="269"/>
      <c r="F102" s="269"/>
      <c r="G102" s="269"/>
      <c r="H102" s="269"/>
      <c r="I102" s="271"/>
      <c r="J102" s="269"/>
      <c r="K102" s="272"/>
      <c r="L102" s="269"/>
      <c r="M102" s="269"/>
      <c r="N102" s="269"/>
      <c r="O102" s="269"/>
      <c r="P102" s="269"/>
      <c r="Q102" s="272"/>
      <c r="R102" s="378" t="s">
        <v>138</v>
      </c>
    </row>
    <row r="103" spans="3:19">
      <c r="C103" s="269"/>
      <c r="D103" s="270"/>
      <c r="E103" s="269"/>
      <c r="F103" s="269"/>
      <c r="G103" s="269"/>
      <c r="H103" s="269"/>
      <c r="I103" s="271"/>
      <c r="J103" s="269"/>
      <c r="K103" s="272"/>
      <c r="L103" s="269"/>
      <c r="M103" s="269"/>
      <c r="N103" s="269"/>
      <c r="O103" s="269"/>
      <c r="P103" s="269"/>
      <c r="Q103" s="272"/>
      <c r="R103" s="431" t="s">
        <v>160</v>
      </c>
      <c r="S103" s="432" t="s">
        <v>127</v>
      </c>
    </row>
    <row r="104" spans="3:19">
      <c r="C104" s="269"/>
      <c r="D104" s="270"/>
      <c r="E104" s="269"/>
      <c r="F104" s="269"/>
      <c r="G104" s="269"/>
      <c r="H104" s="269"/>
      <c r="I104" s="271"/>
      <c r="J104" s="269"/>
      <c r="K104" s="272"/>
      <c r="L104" s="269"/>
      <c r="M104" s="269"/>
      <c r="N104" s="269"/>
      <c r="O104" s="269"/>
      <c r="P104" s="269"/>
      <c r="Q104" s="272"/>
      <c r="R104" s="433">
        <v>2022</v>
      </c>
      <c r="S104" s="434" t="s">
        <v>82</v>
      </c>
    </row>
    <row r="105" spans="3:19">
      <c r="C105" s="269"/>
      <c r="D105" s="270"/>
      <c r="E105" s="269"/>
      <c r="F105" s="269"/>
      <c r="G105" s="269"/>
      <c r="H105" s="269"/>
      <c r="I105" s="271"/>
      <c r="J105" s="269"/>
      <c r="K105" s="272"/>
      <c r="L105" s="269"/>
      <c r="M105" s="269"/>
      <c r="N105" s="269"/>
      <c r="O105" s="269"/>
      <c r="P105" s="269"/>
      <c r="Q105" s="272"/>
      <c r="R105" s="435">
        <v>0.105</v>
      </c>
      <c r="S105" s="382" t="s">
        <v>434</v>
      </c>
    </row>
    <row r="106" spans="3:19">
      <c r="C106" s="269"/>
      <c r="D106" s="270"/>
      <c r="E106" s="269"/>
      <c r="F106" s="269"/>
      <c r="G106" s="269"/>
      <c r="H106" s="269"/>
      <c r="I106" s="271"/>
      <c r="J106" s="269"/>
      <c r="K106" s="272"/>
      <c r="L106" s="269"/>
      <c r="M106" s="269"/>
      <c r="N106" s="269"/>
      <c r="O106" s="269"/>
      <c r="P106" s="269"/>
      <c r="Q106" s="272"/>
      <c r="R106" s="436">
        <v>0</v>
      </c>
      <c r="S106" s="382" t="s">
        <v>1</v>
      </c>
    </row>
    <row r="107" spans="3:19">
      <c r="C107" s="269"/>
      <c r="D107" s="270"/>
      <c r="E107" s="269"/>
      <c r="F107" s="269"/>
      <c r="G107" s="269"/>
      <c r="H107" s="269"/>
      <c r="I107" s="271"/>
      <c r="J107" s="269"/>
      <c r="K107" s="272"/>
      <c r="L107" s="269"/>
      <c r="M107" s="269"/>
      <c r="N107" s="269"/>
      <c r="O107" s="269"/>
      <c r="P107" s="269"/>
      <c r="Q107" s="272"/>
      <c r="R107" s="435">
        <v>0.51144399173830357</v>
      </c>
      <c r="S107" s="385" t="s">
        <v>98</v>
      </c>
    </row>
    <row r="108" spans="3:19">
      <c r="C108" s="269"/>
      <c r="D108" s="270"/>
      <c r="E108" s="269"/>
      <c r="F108" s="269"/>
      <c r="G108" s="269"/>
      <c r="H108" s="269"/>
      <c r="I108" s="271"/>
      <c r="J108" s="269"/>
      <c r="K108" s="272"/>
      <c r="L108" s="269"/>
      <c r="M108" s="269"/>
      <c r="N108" s="269"/>
      <c r="O108" s="269"/>
      <c r="P108" s="269"/>
      <c r="Q108" s="272"/>
      <c r="R108" s="437">
        <v>3.8440092705067347E-2</v>
      </c>
      <c r="S108" s="385" t="s">
        <v>99</v>
      </c>
    </row>
    <row r="109" spans="3:19">
      <c r="C109" s="269"/>
      <c r="D109" s="270"/>
      <c r="E109" s="269"/>
      <c r="F109" s="269"/>
      <c r="G109" s="269"/>
      <c r="H109" s="269"/>
      <c r="I109" s="271"/>
      <c r="J109" s="269"/>
      <c r="K109" s="272"/>
      <c r="L109" s="269"/>
      <c r="M109" s="269"/>
      <c r="N109" s="269"/>
      <c r="O109" s="269"/>
      <c r="P109" s="269"/>
      <c r="Q109" s="272"/>
      <c r="R109" s="435">
        <v>0</v>
      </c>
      <c r="S109" s="385" t="s">
        <v>100</v>
      </c>
    </row>
    <row r="110" spans="3:19">
      <c r="C110" s="269"/>
      <c r="D110" s="270"/>
      <c r="E110" s="269"/>
      <c r="F110" s="269"/>
      <c r="G110" s="269"/>
      <c r="H110" s="269"/>
      <c r="I110" s="271"/>
      <c r="J110" s="269"/>
      <c r="K110" s="272"/>
      <c r="L110" s="269"/>
      <c r="M110" s="269"/>
      <c r="N110" s="269"/>
      <c r="O110" s="269"/>
      <c r="P110" s="269"/>
      <c r="Q110" s="272"/>
      <c r="R110" s="437">
        <v>0</v>
      </c>
      <c r="S110" s="385" t="s">
        <v>101</v>
      </c>
    </row>
    <row r="111" spans="3:19">
      <c r="C111" s="269"/>
      <c r="D111" s="270"/>
      <c r="E111" s="269"/>
      <c r="F111" s="269"/>
      <c r="G111" s="269"/>
      <c r="H111" s="269"/>
      <c r="I111" s="271"/>
      <c r="J111" s="269"/>
      <c r="K111" s="272"/>
      <c r="L111" s="269"/>
      <c r="M111" s="269"/>
      <c r="N111" s="269"/>
      <c r="O111" s="269"/>
      <c r="P111" s="269"/>
      <c r="Q111" s="272"/>
      <c r="R111" s="435">
        <v>0.48855600826169648</v>
      </c>
      <c r="S111" s="387" t="s">
        <v>102</v>
      </c>
    </row>
    <row r="112" spans="3:19">
      <c r="C112" s="269"/>
      <c r="D112" s="270"/>
      <c r="E112" s="269"/>
      <c r="F112" s="269"/>
      <c r="G112" s="269"/>
      <c r="H112" s="269"/>
      <c r="I112" s="271"/>
      <c r="J112" s="269"/>
      <c r="K112" s="272"/>
      <c r="L112" s="269"/>
      <c r="M112" s="269"/>
      <c r="N112" s="269"/>
      <c r="O112" s="269"/>
      <c r="P112" s="269"/>
      <c r="Q112" s="272"/>
      <c r="R112" s="438">
        <v>1392581419.3466702</v>
      </c>
      <c r="S112" s="439" t="s">
        <v>449</v>
      </c>
    </row>
    <row r="113" spans="3:19">
      <c r="C113" s="269"/>
      <c r="D113" s="270"/>
      <c r="E113" s="269"/>
      <c r="F113" s="269"/>
      <c r="G113" s="269"/>
      <c r="H113" s="269"/>
      <c r="I113" s="271"/>
      <c r="J113" s="269"/>
      <c r="K113" s="272"/>
      <c r="L113" s="269"/>
      <c r="M113" s="269"/>
      <c r="N113" s="269"/>
      <c r="O113" s="269"/>
      <c r="P113" s="269"/>
      <c r="Q113" s="272"/>
      <c r="R113" s="440">
        <v>0.25005299999999997</v>
      </c>
      <c r="S113" s="441" t="s">
        <v>450</v>
      </c>
    </row>
    <row r="114" spans="3:19">
      <c r="C114" s="269"/>
      <c r="D114" s="270"/>
      <c r="E114" s="269"/>
      <c r="F114" s="269"/>
      <c r="G114" s="269"/>
      <c r="H114" s="269"/>
      <c r="I114" s="271"/>
      <c r="J114" s="269"/>
      <c r="K114" s="272"/>
      <c r="L114" s="269"/>
      <c r="M114" s="269"/>
      <c r="N114" s="269"/>
      <c r="O114" s="269"/>
      <c r="P114" s="269"/>
      <c r="Q114" s="272"/>
      <c r="R114" s="438">
        <v>-250546.24186235954</v>
      </c>
      <c r="S114" s="441" t="s">
        <v>451</v>
      </c>
    </row>
    <row r="115" spans="3:19">
      <c r="C115" s="269"/>
      <c r="D115" s="270"/>
      <c r="E115" s="269"/>
      <c r="F115" s="269"/>
      <c r="G115" s="269"/>
      <c r="H115" s="269"/>
      <c r="I115" s="271"/>
      <c r="J115" s="269"/>
      <c r="K115" s="272"/>
      <c r="L115" s="269"/>
      <c r="M115" s="269"/>
      <c r="N115" s="269"/>
      <c r="O115" s="269"/>
      <c r="P115" s="269"/>
      <c r="Q115" s="272"/>
      <c r="R115" s="438">
        <v>-4810113.7689068662</v>
      </c>
      <c r="S115" s="442" t="s">
        <v>436</v>
      </c>
    </row>
    <row r="116" spans="3:19">
      <c r="C116" s="269"/>
      <c r="D116" s="270"/>
      <c r="E116" s="269"/>
      <c r="F116" s="269"/>
      <c r="G116" s="269"/>
      <c r="H116" s="269"/>
      <c r="I116" s="271"/>
      <c r="J116" s="269"/>
      <c r="K116" s="272"/>
      <c r="L116" s="269"/>
      <c r="M116" s="269"/>
      <c r="N116" s="269"/>
      <c r="O116" s="269"/>
      <c r="P116" s="269"/>
      <c r="Q116" s="272"/>
      <c r="R116" s="438">
        <v>284565.6293044709</v>
      </c>
      <c r="S116" s="442" t="s">
        <v>437</v>
      </c>
    </row>
    <row r="117" spans="3:19">
      <c r="C117" s="269"/>
      <c r="D117" s="270"/>
      <c r="E117" s="269"/>
      <c r="F117" s="269"/>
      <c r="G117" s="269"/>
      <c r="H117" s="269"/>
      <c r="I117" s="271"/>
      <c r="J117" s="269"/>
      <c r="K117" s="272"/>
      <c r="L117" s="269"/>
      <c r="M117" s="269"/>
      <c r="N117" s="269"/>
      <c r="O117" s="269"/>
      <c r="P117" s="269"/>
      <c r="Q117" s="272"/>
      <c r="R117" s="438">
        <v>230492964.19349214</v>
      </c>
      <c r="S117" s="441" t="s">
        <v>452</v>
      </c>
    </row>
    <row r="118" spans="3:19">
      <c r="C118" s="269"/>
      <c r="D118" s="270"/>
      <c r="E118" s="269"/>
      <c r="F118" s="269"/>
      <c r="G118" s="269"/>
      <c r="H118" s="269"/>
      <c r="I118" s="271"/>
      <c r="J118" s="269"/>
      <c r="K118" s="272"/>
      <c r="L118" s="269"/>
      <c r="M118" s="269"/>
      <c r="N118" s="269"/>
      <c r="O118" s="269"/>
      <c r="P118" s="269"/>
      <c r="Q118" s="272"/>
      <c r="R118" s="438">
        <v>98815259.319065228</v>
      </c>
      <c r="S118" s="441" t="s">
        <v>453</v>
      </c>
    </row>
    <row r="119" spans="3:19">
      <c r="C119" s="269"/>
      <c r="D119" s="270"/>
      <c r="E119" s="269"/>
      <c r="F119" s="269"/>
      <c r="G119" s="269"/>
      <c r="H119" s="269"/>
      <c r="I119" s="271"/>
      <c r="J119" s="269"/>
      <c r="K119" s="272"/>
      <c r="L119" s="269"/>
      <c r="M119" s="269"/>
      <c r="N119" s="269"/>
      <c r="O119" s="269"/>
      <c r="P119" s="269"/>
      <c r="Q119" s="272"/>
      <c r="R119" s="438">
        <v>19043027.742862348</v>
      </c>
      <c r="S119" s="441" t="s">
        <v>454</v>
      </c>
    </row>
    <row r="120" spans="3:19">
      <c r="C120" s="269"/>
      <c r="D120" s="270"/>
      <c r="E120" s="269"/>
      <c r="F120" s="269"/>
      <c r="G120" s="269"/>
      <c r="H120" s="269"/>
      <c r="I120" s="271"/>
      <c r="J120" s="269"/>
      <c r="K120" s="272"/>
      <c r="L120" s="269"/>
      <c r="M120" s="269"/>
      <c r="N120" s="269"/>
      <c r="O120" s="269"/>
      <c r="P120" s="269"/>
      <c r="Q120" s="272"/>
      <c r="R120" s="438">
        <v>96697.562582519677</v>
      </c>
      <c r="S120" s="441" t="s">
        <v>455</v>
      </c>
    </row>
    <row r="121" spans="3:19">
      <c r="C121" s="269"/>
      <c r="D121" s="270"/>
      <c r="E121" s="269"/>
      <c r="F121" s="269"/>
      <c r="G121" s="269"/>
      <c r="H121" s="269"/>
      <c r="I121" s="271"/>
      <c r="J121" s="269"/>
      <c r="K121" s="272"/>
      <c r="L121" s="269"/>
      <c r="M121" s="269"/>
      <c r="N121" s="269"/>
      <c r="O121" s="269"/>
      <c r="P121" s="269"/>
      <c r="Q121" s="272"/>
      <c r="R121" s="438">
        <v>51733091.61842034</v>
      </c>
      <c r="S121" s="441" t="s">
        <v>456</v>
      </c>
    </row>
    <row r="122" spans="3:19">
      <c r="C122" s="269"/>
      <c r="D122" s="270"/>
      <c r="E122" s="269"/>
      <c r="F122" s="269"/>
      <c r="G122" s="269"/>
      <c r="H122" s="269"/>
      <c r="I122" s="271"/>
      <c r="J122" s="269"/>
      <c r="K122" s="272"/>
      <c r="L122" s="269"/>
      <c r="M122" s="269"/>
      <c r="N122" s="269"/>
      <c r="O122" s="269"/>
      <c r="P122" s="269"/>
      <c r="Q122" s="272"/>
      <c r="R122" s="440">
        <v>0.41136014865158921</v>
      </c>
      <c r="S122" s="441" t="s">
        <v>105</v>
      </c>
    </row>
    <row r="123" spans="3:19">
      <c r="C123" s="269"/>
      <c r="D123" s="270"/>
      <c r="E123" s="269"/>
      <c r="F123" s="269"/>
      <c r="G123" s="269"/>
      <c r="H123" s="269"/>
      <c r="I123" s="271"/>
      <c r="J123" s="269"/>
      <c r="K123" s="272"/>
      <c r="L123" s="269"/>
      <c r="M123" s="269"/>
      <c r="N123" s="269"/>
      <c r="O123" s="269"/>
      <c r="P123" s="269"/>
      <c r="Q123" s="272"/>
      <c r="R123" s="438">
        <v>1574779464.1137781</v>
      </c>
      <c r="S123" s="441" t="s">
        <v>438</v>
      </c>
    </row>
    <row r="124" spans="3:19">
      <c r="C124" s="269"/>
      <c r="D124" s="270"/>
      <c r="E124" s="269"/>
      <c r="F124" s="269"/>
      <c r="G124" s="269"/>
      <c r="H124" s="269"/>
      <c r="I124" s="271"/>
      <c r="J124" s="269"/>
      <c r="K124" s="272"/>
      <c r="L124" s="269"/>
      <c r="M124" s="269"/>
      <c r="N124" s="269"/>
      <c r="O124" s="269"/>
      <c r="P124" s="269"/>
      <c r="Q124" s="272"/>
      <c r="R124" s="440">
        <v>0.11351422637179906</v>
      </c>
      <c r="S124" s="443" t="s">
        <v>439</v>
      </c>
    </row>
    <row r="125" spans="3:19">
      <c r="C125" s="269"/>
      <c r="D125" s="270"/>
      <c r="E125" s="269"/>
      <c r="F125" s="269"/>
      <c r="G125" s="269"/>
      <c r="H125" s="269"/>
      <c r="I125" s="271"/>
      <c r="J125" s="269"/>
      <c r="K125" s="272"/>
      <c r="L125" s="269"/>
      <c r="M125" s="269"/>
      <c r="N125" s="269"/>
      <c r="O125" s="269"/>
      <c r="P125" s="269"/>
      <c r="Q125" s="272"/>
      <c r="R125" s="444">
        <v>2172102538</v>
      </c>
      <c r="S125" s="385" t="s">
        <v>38</v>
      </c>
    </row>
    <row r="126" spans="3:19">
      <c r="C126" s="269"/>
      <c r="D126" s="270"/>
      <c r="E126" s="269"/>
      <c r="F126" s="269"/>
      <c r="G126" s="269"/>
      <c r="H126" s="269"/>
      <c r="I126" s="271"/>
      <c r="J126" s="269"/>
      <c r="K126" s="272"/>
      <c r="L126" s="269"/>
      <c r="M126" s="269"/>
      <c r="N126" s="269"/>
      <c r="O126" s="269"/>
      <c r="P126" s="269"/>
      <c r="Q126" s="272"/>
      <c r="R126" s="445">
        <v>2324483589</v>
      </c>
      <c r="S126" s="387" t="s">
        <v>40</v>
      </c>
    </row>
    <row r="127" spans="3:19">
      <c r="C127" s="269"/>
      <c r="D127" s="270"/>
      <c r="E127" s="269"/>
      <c r="F127" s="269"/>
      <c r="G127" s="269"/>
      <c r="H127" s="269"/>
      <c r="I127" s="271"/>
      <c r="J127" s="269"/>
      <c r="K127" s="272"/>
      <c r="L127" s="269"/>
      <c r="M127" s="269"/>
      <c r="N127" s="269"/>
      <c r="O127" s="269"/>
      <c r="P127" s="269"/>
      <c r="Q127" s="272"/>
      <c r="R127" s="445">
        <v>2244208888.5384617</v>
      </c>
      <c r="S127" s="395" t="s">
        <v>447</v>
      </c>
    </row>
    <row r="128" spans="3:19" ht="13.5" thickBot="1">
      <c r="C128" s="269"/>
      <c r="D128" s="270"/>
      <c r="E128" s="269"/>
      <c r="F128" s="269"/>
      <c r="G128" s="269"/>
      <c r="H128" s="269"/>
      <c r="I128" s="271"/>
      <c r="J128" s="269"/>
      <c r="K128" s="272"/>
      <c r="L128" s="269"/>
      <c r="M128" s="269"/>
      <c r="N128" s="269"/>
      <c r="O128" s="269"/>
      <c r="P128" s="269"/>
      <c r="Q128" s="272"/>
      <c r="R128" s="446">
        <v>54560968</v>
      </c>
      <c r="S128" s="397" t="s">
        <v>448</v>
      </c>
    </row>
    <row r="129" spans="3:19">
      <c r="C129" s="269"/>
      <c r="D129" s="270"/>
      <c r="E129" s="269"/>
      <c r="F129" s="269"/>
      <c r="G129" s="269"/>
      <c r="H129" s="269"/>
      <c r="I129" s="271"/>
      <c r="J129" s="269"/>
      <c r="K129" s="272"/>
      <c r="L129" s="269"/>
      <c r="M129" s="269"/>
      <c r="N129" s="269"/>
      <c r="O129" s="269"/>
      <c r="P129" s="269"/>
      <c r="Q129" s="272"/>
      <c r="R129" s="269"/>
      <c r="S129" s="269"/>
    </row>
    <row r="130" spans="3:19">
      <c r="C130" s="269"/>
      <c r="D130" s="270"/>
      <c r="E130" s="269"/>
      <c r="F130" s="269"/>
      <c r="G130" s="269"/>
      <c r="H130" s="269"/>
      <c r="I130" s="271"/>
      <c r="J130" s="269"/>
      <c r="K130" s="272"/>
      <c r="L130" s="269"/>
      <c r="M130" s="269"/>
      <c r="N130" s="269"/>
      <c r="O130" s="269"/>
      <c r="P130" s="269"/>
      <c r="Q130" s="272"/>
      <c r="R130" s="377" t="s">
        <v>104</v>
      </c>
      <c r="S130" s="269" t="s">
        <v>116</v>
      </c>
    </row>
    <row r="131" spans="3:19" ht="13.5" thickBot="1">
      <c r="C131" s="269"/>
      <c r="D131" s="270"/>
      <c r="E131" s="269"/>
      <c r="F131" s="269"/>
      <c r="G131" s="269"/>
      <c r="H131" s="269"/>
      <c r="I131" s="271"/>
      <c r="J131" s="269"/>
      <c r="K131" s="272"/>
      <c r="L131" s="269"/>
      <c r="M131" s="269"/>
      <c r="N131" s="269"/>
      <c r="O131" s="269"/>
      <c r="P131" s="269"/>
      <c r="Q131" s="272"/>
      <c r="R131" s="378" t="s">
        <v>139</v>
      </c>
      <c r="S131" s="269"/>
    </row>
    <row r="132" spans="3:19">
      <c r="C132" s="269"/>
      <c r="D132" s="270"/>
      <c r="E132" s="269"/>
      <c r="F132" s="269"/>
      <c r="G132" s="269"/>
      <c r="H132" s="269"/>
      <c r="I132" s="271"/>
      <c r="J132" s="269"/>
      <c r="K132" s="272"/>
      <c r="L132" s="269"/>
      <c r="M132" s="269"/>
      <c r="N132" s="269"/>
      <c r="O132" s="269"/>
      <c r="P132" s="269"/>
      <c r="Q132" s="272"/>
      <c r="R132" s="447">
        <v>79787935.722708017</v>
      </c>
      <c r="S132" s="183" t="s">
        <v>121</v>
      </c>
    </row>
    <row r="133" spans="3:19">
      <c r="C133" s="269"/>
      <c r="D133" s="270"/>
      <c r="E133" s="269"/>
      <c r="F133" s="269"/>
      <c r="G133" s="269"/>
      <c r="H133" s="269"/>
      <c r="I133" s="271"/>
      <c r="J133" s="269"/>
      <c r="K133" s="272"/>
      <c r="L133" s="269"/>
      <c r="M133" s="269"/>
      <c r="N133" s="269"/>
      <c r="O133" s="269"/>
      <c r="P133" s="269"/>
      <c r="Q133" s="272"/>
      <c r="R133" s="448">
        <v>79787935.722708017</v>
      </c>
      <c r="S133" s="183" t="s">
        <v>122</v>
      </c>
    </row>
    <row r="134" spans="3:19">
      <c r="C134" s="269"/>
      <c r="D134" s="270"/>
      <c r="E134" s="269"/>
      <c r="F134" s="269"/>
      <c r="G134" s="269"/>
      <c r="H134" s="269"/>
      <c r="I134" s="271"/>
      <c r="J134" s="269"/>
      <c r="K134" s="272"/>
      <c r="L134" s="269"/>
      <c r="M134" s="269"/>
      <c r="N134" s="269"/>
      <c r="O134" s="269"/>
      <c r="P134" s="269"/>
      <c r="Q134" s="272"/>
      <c r="R134" s="448">
        <v>85637476.7757691</v>
      </c>
      <c r="S134" s="183" t="s">
        <v>123</v>
      </c>
    </row>
    <row r="135" spans="3:19" ht="13.5" thickBot="1">
      <c r="C135" s="269"/>
      <c r="D135" s="270"/>
      <c r="E135" s="269"/>
      <c r="F135" s="269"/>
      <c r="G135" s="269"/>
      <c r="H135" s="269"/>
      <c r="I135" s="271"/>
      <c r="J135" s="269"/>
      <c r="K135" s="272"/>
      <c r="L135" s="269"/>
      <c r="M135" s="269"/>
      <c r="N135" s="269"/>
      <c r="O135" s="269"/>
      <c r="P135" s="269"/>
      <c r="Q135" s="272"/>
      <c r="R135" s="449">
        <v>85637476.7757691</v>
      </c>
      <c r="S135" s="183" t="s">
        <v>124</v>
      </c>
    </row>
    <row r="136" spans="3:19" ht="12.75" customHeight="1">
      <c r="R136" s="269"/>
      <c r="S136" s="269"/>
    </row>
    <row r="137" spans="3:19" ht="12.75" customHeight="1">
      <c r="R137" s="377" t="s">
        <v>114</v>
      </c>
      <c r="S137" s="262" t="s">
        <v>119</v>
      </c>
    </row>
  </sheetData>
  <mergeCells count="6">
    <mergeCell ref="C8:I8"/>
    <mergeCell ref="A1:K1"/>
    <mergeCell ref="A2:K2"/>
    <mergeCell ref="A3:K3"/>
    <mergeCell ref="A4:K4"/>
    <mergeCell ref="A5:K5"/>
  </mergeCells>
  <phoneticPr fontId="0" type="noConversion"/>
  <printOptions horizontalCentered="1"/>
  <pageMargins left="0.25" right="0.25" top="0.75" bottom="0.25" header="0.25" footer="0.5"/>
  <pageSetup scale="41" fitToHeight="5" orientation="landscape" horizontalDpi="1200" verticalDpi="1200" r:id="rId1"/>
  <headerFooter alignWithMargins="0">
    <oddHeader xml:space="preserve">&amp;R&amp;16AEP - SPP Formula Rate
SWEPCO TCOS - WS G
Page: &amp;P of &amp;N
</oddHeader>
    <oddFooter>&amp;L&amp;A</oddFooter>
  </headerFooter>
  <legacy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78"/>
  <dimension ref="A1:Q162"/>
  <sheetViews>
    <sheetView topLeftCell="A89" zoomScaleNormal="100" zoomScaleSheetLayoutView="75" workbookViewId="0">
      <selection activeCell="D99" sqref="D99:I109"/>
    </sheetView>
  </sheetViews>
  <sheetFormatPr defaultColWidth="8.7109375" defaultRowHeight="12.75" customHeight="1"/>
  <cols>
    <col min="1" max="1" width="4.7109375" style="183" customWidth="1"/>
    <col min="2" max="2" width="6.7109375" style="183" customWidth="1"/>
    <col min="3" max="3" width="23.28515625" style="183" customWidth="1"/>
    <col min="4" max="8" width="17.7109375" style="183" customWidth="1"/>
    <col min="9" max="9" width="20.42578125" style="183" customWidth="1"/>
    <col min="10" max="10" width="16.42578125" style="183" customWidth="1"/>
    <col min="11" max="11" width="17.7109375" style="183" customWidth="1"/>
    <col min="12" max="12" width="16.140625" style="183" customWidth="1"/>
    <col min="13" max="13" width="17.7109375" style="183" customWidth="1"/>
    <col min="14" max="14" width="16.140625" style="183" customWidth="1"/>
    <col min="15" max="15" width="16.85546875" style="183" customWidth="1"/>
    <col min="16" max="16" width="24.42578125" style="183" customWidth="1"/>
    <col min="17" max="17" width="4.7109375" style="183" customWidth="1"/>
    <col min="18" max="22" width="8.7109375" style="183"/>
    <col min="23" max="23" width="9.140625" style="183" customWidth="1"/>
    <col min="24" max="16384" width="8.7109375" style="183"/>
  </cols>
  <sheetData>
    <row r="1" spans="1:17" ht="20.25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27 of 75</v>
      </c>
      <c r="Q1" s="453"/>
    </row>
    <row r="2" spans="1:17" ht="18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454" t="s">
        <v>129</v>
      </c>
    </row>
    <row r="3" spans="1:17" ht="18.75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 t="str">
        <f>RIGHT(N3,3)</f>
        <v/>
      </c>
      <c r="P3" s="455">
        <v>1</v>
      </c>
    </row>
    <row r="4" spans="1:17" ht="15.75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7" ht="1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45445.779236146016</v>
      </c>
      <c r="P5" s="269"/>
    </row>
    <row r="6" spans="1:17" ht="15.7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45445.779236146016</v>
      </c>
      <c r="O6" s="269"/>
      <c r="P6" s="269"/>
    </row>
    <row r="7" spans="1:17" ht="13.5" thickBot="1">
      <c r="C7" s="467" t="s">
        <v>48</v>
      </c>
      <c r="D7" s="620" t="s">
        <v>279</v>
      </c>
      <c r="E7" s="269"/>
      <c r="F7" s="269"/>
      <c r="G7" s="534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7" ht="13.5" thickBot="1">
      <c r="C8" s="472"/>
      <c r="D8" s="599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7" ht="13.5" thickBot="1">
      <c r="A9" s="191"/>
      <c r="C9" s="476" t="s">
        <v>50</v>
      </c>
      <c r="D9" s="621" t="s">
        <v>278</v>
      </c>
      <c r="E9" s="666" t="s">
        <v>488</v>
      </c>
      <c r="F9" s="478"/>
      <c r="G9" s="478"/>
      <c r="H9" s="478"/>
      <c r="I9" s="479"/>
      <c r="J9" s="480"/>
      <c r="O9" s="481"/>
      <c r="P9" s="272"/>
    </row>
    <row r="10" spans="1:17">
      <c r="C10" s="482" t="s">
        <v>51</v>
      </c>
      <c r="D10" s="483">
        <v>421517</v>
      </c>
      <c r="E10" s="353" t="s">
        <v>52</v>
      </c>
      <c r="F10" s="481"/>
      <c r="G10" s="484"/>
      <c r="H10" s="484"/>
      <c r="I10" s="485">
        <f>+'SWE.WS.F.BPU.ATRR.Projected'!L19</f>
        <v>2024</v>
      </c>
      <c r="J10" s="480"/>
      <c r="K10" s="375" t="s">
        <v>53</v>
      </c>
      <c r="O10" s="272"/>
      <c r="P10" s="272"/>
    </row>
    <row r="11" spans="1:17">
      <c r="C11" s="486" t="s">
        <v>54</v>
      </c>
      <c r="D11" s="487">
        <v>2012</v>
      </c>
      <c r="E11" s="486" t="s">
        <v>55</v>
      </c>
      <c r="F11" s="484"/>
      <c r="G11" s="233"/>
      <c r="H11" s="233"/>
      <c r="I11" s="488"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7">
      <c r="C12" s="486" t="s">
        <v>56</v>
      </c>
      <c r="D12" s="483">
        <v>6</v>
      </c>
      <c r="E12" s="486" t="s">
        <v>57</v>
      </c>
      <c r="F12" s="484"/>
      <c r="G12" s="233"/>
      <c r="H12" s="233"/>
      <c r="I12" s="490">
        <f>'SWE.WS.F.BPU.ATRR.Projected'!$F$81</f>
        <v>0.11952713165403545</v>
      </c>
      <c r="J12" s="425"/>
      <c r="K12" s="183" t="s">
        <v>58</v>
      </c>
      <c r="O12" s="272"/>
      <c r="P12" s="272"/>
    </row>
    <row r="13" spans="1:17">
      <c r="C13" s="486" t="s">
        <v>59</v>
      </c>
      <c r="D13" s="488">
        <f>+'SWE.WS.F.BPU.ATRR.Projected'!F$93</f>
        <v>44</v>
      </c>
      <c r="E13" s="486" t="s">
        <v>60</v>
      </c>
      <c r="F13" s="484"/>
      <c r="G13" s="233"/>
      <c r="H13" s="233"/>
      <c r="I13" s="490">
        <f>IF(G5="",I12,'SWE.WS.F.BPU.ATRR.Projected'!$F$80)</f>
        <v>0.11952713165403545</v>
      </c>
      <c r="J13" s="425"/>
      <c r="K13" s="375" t="s">
        <v>61</v>
      </c>
      <c r="L13" s="324"/>
      <c r="M13" s="324"/>
      <c r="N13" s="324"/>
      <c r="O13" s="272"/>
      <c r="P13" s="272"/>
    </row>
    <row r="14" spans="1:17" ht="13.5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9579.931818181818</v>
      </c>
      <c r="J14" s="375"/>
      <c r="K14" s="375"/>
      <c r="L14" s="375"/>
      <c r="M14" s="375"/>
      <c r="N14" s="375"/>
      <c r="O14" s="272"/>
      <c r="P14" s="272"/>
    </row>
    <row r="15" spans="1:17" ht="38.25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388</v>
      </c>
      <c r="H15" s="495" t="s">
        <v>389</v>
      </c>
      <c r="I15" s="496" t="s">
        <v>260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7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>
      <c r="C17" s="507">
        <f>IF(D11= "","-",D11)</f>
        <v>2012</v>
      </c>
      <c r="D17" s="508">
        <v>450200</v>
      </c>
      <c r="E17" s="509">
        <v>5359.5238095238092</v>
      </c>
      <c r="F17" s="508">
        <v>444840.47619047621</v>
      </c>
      <c r="G17" s="509">
        <v>71516.261736212298</v>
      </c>
      <c r="H17" s="510">
        <v>71516.261736212298</v>
      </c>
      <c r="I17" s="517">
        <v>0</v>
      </c>
      <c r="J17" s="511"/>
      <c r="K17" s="512">
        <f t="shared" ref="K17:K22" si="0">G17</f>
        <v>71516.261736212298</v>
      </c>
      <c r="L17" s="597">
        <f t="shared" ref="L17:L48" si="1">IF(K17&lt;&gt;0,+G17-K17,0)</f>
        <v>0</v>
      </c>
      <c r="M17" s="512">
        <f t="shared" ref="M17:M22" si="2">H17</f>
        <v>71516.261736212298</v>
      </c>
      <c r="N17" s="513">
        <f t="shared" ref="N17:N48" si="3">IF(M17&lt;&gt;0,+H17-M17,0)</f>
        <v>0</v>
      </c>
      <c r="O17" s="514">
        <f t="shared" ref="O17:O48" si="4">+N17-L17</f>
        <v>0</v>
      </c>
      <c r="P17" s="272"/>
    </row>
    <row r="18" spans="2:16">
      <c r="B18" s="195" t="str">
        <f t="shared" ref="B18:B49" si="5">IF(D18=F17,"","IU")</f>
        <v>IU</v>
      </c>
      <c r="C18" s="507">
        <f>IF(D11="","-",+C17+1)</f>
        <v>2013</v>
      </c>
      <c r="D18" s="608">
        <v>424657.47619047621</v>
      </c>
      <c r="E18" s="609">
        <v>10238.5</v>
      </c>
      <c r="F18" s="608">
        <v>414418.97619047621</v>
      </c>
      <c r="G18" s="609">
        <v>68251.803233746105</v>
      </c>
      <c r="H18" s="610">
        <v>68251.803233746105</v>
      </c>
      <c r="I18" s="596">
        <v>0</v>
      </c>
      <c r="J18" s="511"/>
      <c r="K18" s="518">
        <f t="shared" si="0"/>
        <v>68251.803233746105</v>
      </c>
      <c r="L18" s="519">
        <f t="shared" ref="L18:L23" si="6">IF(K18&lt;&gt;0,+G18-K18,0)</f>
        <v>0</v>
      </c>
      <c r="M18" s="518">
        <f t="shared" si="2"/>
        <v>68251.803233746105</v>
      </c>
      <c r="N18" s="514">
        <f t="shared" ref="N18:N23" si="7">IF(M18&lt;&gt;0,+H18-M18,0)</f>
        <v>0</v>
      </c>
      <c r="O18" s="514">
        <f t="shared" ref="O18:O23" si="8">+N18-L18</f>
        <v>0</v>
      </c>
      <c r="P18" s="272"/>
    </row>
    <row r="19" spans="2:16">
      <c r="B19" s="195" t="str">
        <f t="shared" si="5"/>
        <v/>
      </c>
      <c r="C19" s="507">
        <f>IF(D11="","-",+C18+1)</f>
        <v>2014</v>
      </c>
      <c r="D19" s="608">
        <v>414418.97619047621</v>
      </c>
      <c r="E19" s="609">
        <v>10238.5</v>
      </c>
      <c r="F19" s="608">
        <v>404180.47619047621</v>
      </c>
      <c r="G19" s="609">
        <v>64766.693467581994</v>
      </c>
      <c r="H19" s="610">
        <v>64766.693467581994</v>
      </c>
      <c r="I19" s="596">
        <v>0</v>
      </c>
      <c r="J19" s="511"/>
      <c r="K19" s="518">
        <f t="shared" si="0"/>
        <v>64766.693467581994</v>
      </c>
      <c r="L19" s="519">
        <f t="shared" si="6"/>
        <v>0</v>
      </c>
      <c r="M19" s="518">
        <f t="shared" si="2"/>
        <v>64766.693467581994</v>
      </c>
      <c r="N19" s="514">
        <f t="shared" si="7"/>
        <v>0</v>
      </c>
      <c r="O19" s="514">
        <f t="shared" si="8"/>
        <v>0</v>
      </c>
      <c r="P19" s="272"/>
    </row>
    <row r="20" spans="2:16">
      <c r="B20" s="195" t="str">
        <f t="shared" si="5"/>
        <v>IU</v>
      </c>
      <c r="C20" s="507">
        <f>IF(D11="","-",+C19+1)</f>
        <v>2015</v>
      </c>
      <c r="D20" s="608">
        <v>395680.47619047621</v>
      </c>
      <c r="E20" s="609">
        <v>10036.119047619048</v>
      </c>
      <c r="F20" s="608">
        <v>385644.35714285716</v>
      </c>
      <c r="G20" s="609">
        <v>60827.332352293794</v>
      </c>
      <c r="H20" s="610">
        <v>60827.332352293794</v>
      </c>
      <c r="I20" s="511">
        <v>0</v>
      </c>
      <c r="J20" s="511"/>
      <c r="K20" s="518">
        <f t="shared" si="0"/>
        <v>60827.332352293794</v>
      </c>
      <c r="L20" s="519">
        <f t="shared" si="6"/>
        <v>0</v>
      </c>
      <c r="M20" s="518">
        <f t="shared" si="2"/>
        <v>60827.332352293794</v>
      </c>
      <c r="N20" s="514">
        <f t="shared" si="7"/>
        <v>0</v>
      </c>
      <c r="O20" s="514">
        <f t="shared" si="8"/>
        <v>0</v>
      </c>
      <c r="P20" s="272"/>
    </row>
    <row r="21" spans="2:16">
      <c r="B21" s="195" t="str">
        <f t="shared" si="5"/>
        <v/>
      </c>
      <c r="C21" s="507">
        <f>IF(D12="","-",+C20+1)</f>
        <v>2016</v>
      </c>
      <c r="D21" s="608">
        <v>385644.35714285716</v>
      </c>
      <c r="E21" s="609">
        <v>10036.119047619048</v>
      </c>
      <c r="F21" s="608">
        <v>375608.23809523811</v>
      </c>
      <c r="G21" s="609">
        <v>58895.229275947575</v>
      </c>
      <c r="H21" s="610">
        <v>58895.229275947575</v>
      </c>
      <c r="I21" s="511">
        <f t="shared" ref="I21:I49" si="9">H21-G21</f>
        <v>0</v>
      </c>
      <c r="J21" s="511"/>
      <c r="K21" s="518">
        <f t="shared" si="0"/>
        <v>58895.229275947575</v>
      </c>
      <c r="L21" s="519">
        <f t="shared" si="6"/>
        <v>0</v>
      </c>
      <c r="M21" s="518">
        <f t="shared" si="2"/>
        <v>58895.229275947575</v>
      </c>
      <c r="N21" s="514">
        <f t="shared" si="7"/>
        <v>0</v>
      </c>
      <c r="O21" s="514">
        <f t="shared" si="8"/>
        <v>0</v>
      </c>
      <c r="P21" s="272"/>
    </row>
    <row r="22" spans="2:16">
      <c r="B22" s="195" t="str">
        <f t="shared" si="5"/>
        <v/>
      </c>
      <c r="C22" s="507">
        <f>IF(D11="","-",+C21+1)</f>
        <v>2017</v>
      </c>
      <c r="D22" s="608">
        <v>375608.23809523811</v>
      </c>
      <c r="E22" s="609">
        <v>9802.7209302325573</v>
      </c>
      <c r="F22" s="608">
        <v>365805.51716500556</v>
      </c>
      <c r="G22" s="609">
        <v>55730.535228858629</v>
      </c>
      <c r="H22" s="610">
        <v>55730.535228858629</v>
      </c>
      <c r="I22" s="511">
        <f t="shared" si="9"/>
        <v>0</v>
      </c>
      <c r="J22" s="511"/>
      <c r="K22" s="518">
        <f t="shared" si="0"/>
        <v>55730.535228858629</v>
      </c>
      <c r="L22" s="519">
        <f t="shared" si="6"/>
        <v>0</v>
      </c>
      <c r="M22" s="518">
        <f t="shared" si="2"/>
        <v>55730.535228858629</v>
      </c>
      <c r="N22" s="514">
        <f t="shared" si="7"/>
        <v>0</v>
      </c>
      <c r="O22" s="514">
        <f t="shared" si="8"/>
        <v>0</v>
      </c>
      <c r="P22" s="272"/>
    </row>
    <row r="23" spans="2:16">
      <c r="B23" s="195" t="str">
        <f t="shared" si="5"/>
        <v/>
      </c>
      <c r="C23" s="507">
        <f>IF(D11="","-",+C22+1)</f>
        <v>2018</v>
      </c>
      <c r="D23" s="608">
        <v>365805.51716500556</v>
      </c>
      <c r="E23" s="609">
        <v>10280.90243902439</v>
      </c>
      <c r="F23" s="608">
        <v>355524.61472598114</v>
      </c>
      <c r="G23" s="609">
        <v>56119.304010268112</v>
      </c>
      <c r="H23" s="610">
        <v>56119.304010268112</v>
      </c>
      <c r="I23" s="511">
        <f t="shared" si="9"/>
        <v>0</v>
      </c>
      <c r="J23" s="511"/>
      <c r="K23" s="518">
        <f t="shared" ref="K23:K28" si="10">G23</f>
        <v>56119.304010268112</v>
      </c>
      <c r="L23" s="519">
        <f t="shared" si="6"/>
        <v>0</v>
      </c>
      <c r="M23" s="518">
        <f t="shared" ref="M23:M28" si="11">H23</f>
        <v>56119.304010268112</v>
      </c>
      <c r="N23" s="514">
        <f t="shared" si="7"/>
        <v>0</v>
      </c>
      <c r="O23" s="514">
        <f t="shared" si="8"/>
        <v>0</v>
      </c>
      <c r="P23" s="272"/>
    </row>
    <row r="24" spans="2:16">
      <c r="B24" s="195" t="str">
        <f t="shared" si="5"/>
        <v/>
      </c>
      <c r="C24" s="507">
        <f>IF(D11="","-",+C23+1)</f>
        <v>2019</v>
      </c>
      <c r="D24" s="608">
        <v>355524.61472598114</v>
      </c>
      <c r="E24" s="609">
        <v>10280.90243902439</v>
      </c>
      <c r="F24" s="608">
        <v>345243.71228695672</v>
      </c>
      <c r="G24" s="609">
        <v>54812.661978610966</v>
      </c>
      <c r="H24" s="610">
        <v>54812.661978610966</v>
      </c>
      <c r="I24" s="511">
        <f t="shared" si="9"/>
        <v>0</v>
      </c>
      <c r="J24" s="511"/>
      <c r="K24" s="518">
        <f t="shared" si="10"/>
        <v>54812.661978610966</v>
      </c>
      <c r="L24" s="519">
        <f t="shared" ref="L24" si="12">IF(K24&lt;&gt;0,+G24-K24,0)</f>
        <v>0</v>
      </c>
      <c r="M24" s="518">
        <f t="shared" si="11"/>
        <v>54812.661978610966</v>
      </c>
      <c r="N24" s="514">
        <f t="shared" si="3"/>
        <v>0</v>
      </c>
      <c r="O24" s="514">
        <f t="shared" si="4"/>
        <v>0</v>
      </c>
      <c r="P24" s="272"/>
    </row>
    <row r="25" spans="2:16">
      <c r="B25" s="195" t="str">
        <f t="shared" si="5"/>
        <v/>
      </c>
      <c r="C25" s="507">
        <f>IF(D11="","-",+C24+1)</f>
        <v>2020</v>
      </c>
      <c r="D25" s="608">
        <v>345243.71228695672</v>
      </c>
      <c r="E25" s="609">
        <v>10280.90243902439</v>
      </c>
      <c r="F25" s="608">
        <v>334962.80984793231</v>
      </c>
      <c r="G25" s="609">
        <v>45085.524504887275</v>
      </c>
      <c r="H25" s="610">
        <v>45085.524504887275</v>
      </c>
      <c r="I25" s="511">
        <f t="shared" si="9"/>
        <v>0</v>
      </c>
      <c r="J25" s="511"/>
      <c r="K25" s="518">
        <f t="shared" si="10"/>
        <v>45085.524504887275</v>
      </c>
      <c r="L25" s="519">
        <f t="shared" ref="L25" si="13">IF(K25&lt;&gt;0,+G25-K25,0)</f>
        <v>0</v>
      </c>
      <c r="M25" s="518">
        <f t="shared" si="11"/>
        <v>45085.524504887275</v>
      </c>
      <c r="N25" s="514">
        <f t="shared" si="3"/>
        <v>0</v>
      </c>
      <c r="O25" s="514">
        <f t="shared" si="4"/>
        <v>0</v>
      </c>
      <c r="P25" s="272"/>
    </row>
    <row r="26" spans="2:16">
      <c r="B26" s="195" t="str">
        <f t="shared" si="5"/>
        <v>IU</v>
      </c>
      <c r="C26" s="507">
        <f>IF(D11="","-",+C25+1)</f>
        <v>2021</v>
      </c>
      <c r="D26" s="608">
        <v>335440.99135672417</v>
      </c>
      <c r="E26" s="609">
        <v>10036.119047619048</v>
      </c>
      <c r="F26" s="608">
        <v>325404.87230910512</v>
      </c>
      <c r="G26" s="609">
        <v>45062.451608216499</v>
      </c>
      <c r="H26" s="610">
        <v>45062.451608216499</v>
      </c>
      <c r="I26" s="511">
        <f t="shared" si="9"/>
        <v>0</v>
      </c>
      <c r="J26" s="511"/>
      <c r="K26" s="518">
        <f t="shared" si="10"/>
        <v>45062.451608216499</v>
      </c>
      <c r="L26" s="519">
        <f t="shared" ref="L26" si="14">IF(K26&lt;&gt;0,+G26-K26,0)</f>
        <v>0</v>
      </c>
      <c r="M26" s="518">
        <f t="shared" si="11"/>
        <v>45062.451608216499</v>
      </c>
      <c r="N26" s="514">
        <f t="shared" si="3"/>
        <v>0</v>
      </c>
      <c r="O26" s="514">
        <f t="shared" si="4"/>
        <v>0</v>
      </c>
      <c r="P26" s="272"/>
    </row>
    <row r="27" spans="2:16">
      <c r="B27" s="195" t="str">
        <f t="shared" si="5"/>
        <v>IU</v>
      </c>
      <c r="C27" s="507">
        <f>IF(D11="","-",+C26+1)</f>
        <v>2022</v>
      </c>
      <c r="D27" s="608">
        <v>324926.69080031331</v>
      </c>
      <c r="E27" s="609">
        <v>10036.119047619048</v>
      </c>
      <c r="F27" s="608">
        <v>314890.57175269426</v>
      </c>
      <c r="G27" s="609">
        <v>46007.95617660469</v>
      </c>
      <c r="H27" s="610">
        <v>46007.95617660469</v>
      </c>
      <c r="I27" s="511">
        <f t="shared" si="9"/>
        <v>0</v>
      </c>
      <c r="J27" s="511"/>
      <c r="K27" s="518">
        <f t="shared" si="10"/>
        <v>46007.95617660469</v>
      </c>
      <c r="L27" s="519">
        <f t="shared" ref="L27" si="15">IF(K27&lt;&gt;0,+G27-K27,0)</f>
        <v>0</v>
      </c>
      <c r="M27" s="518">
        <f t="shared" si="11"/>
        <v>46007.95617660469</v>
      </c>
      <c r="N27" s="514">
        <f t="shared" si="3"/>
        <v>0</v>
      </c>
      <c r="O27" s="514">
        <f t="shared" si="4"/>
        <v>0</v>
      </c>
      <c r="P27" s="272"/>
    </row>
    <row r="28" spans="2:16">
      <c r="B28" s="195" t="str">
        <f t="shared" si="5"/>
        <v/>
      </c>
      <c r="C28" s="507">
        <f>IF(D11="","-",+C27+1)</f>
        <v>2023</v>
      </c>
      <c r="D28" s="608">
        <v>314890.57175269426</v>
      </c>
      <c r="E28" s="609">
        <v>10036.119047619048</v>
      </c>
      <c r="F28" s="608">
        <v>304854.45270507521</v>
      </c>
      <c r="G28" s="609">
        <v>49181.318200671747</v>
      </c>
      <c r="H28" s="610">
        <v>49181.318200671747</v>
      </c>
      <c r="I28" s="511">
        <f t="shared" si="9"/>
        <v>0</v>
      </c>
      <c r="J28" s="511"/>
      <c r="K28" s="518">
        <f t="shared" si="10"/>
        <v>49181.318200671747</v>
      </c>
      <c r="L28" s="519">
        <f t="shared" ref="L28" si="16">IF(K28&lt;&gt;0,+G28-K28,0)</f>
        <v>0</v>
      </c>
      <c r="M28" s="518">
        <f t="shared" si="11"/>
        <v>49181.318200671747</v>
      </c>
      <c r="N28" s="514">
        <f t="shared" ref="N28" si="17">IF(M28&lt;&gt;0,+H28-M28,0)</f>
        <v>0</v>
      </c>
      <c r="O28" s="514">
        <f t="shared" ref="O28" si="18">+N28-L28</f>
        <v>0</v>
      </c>
      <c r="P28" s="272"/>
    </row>
    <row r="29" spans="2:16">
      <c r="B29" s="195" t="str">
        <f t="shared" si="5"/>
        <v/>
      </c>
      <c r="C29" s="673">
        <f>IF(D11="","-",+C28+1)</f>
        <v>2024</v>
      </c>
      <c r="D29" s="523">
        <f>IF(F28+SUM(E$17:E28)=D$10,F28,D$10-SUM(E$17:E28))</f>
        <v>304854.45270507521</v>
      </c>
      <c r="E29" s="522">
        <f>IF(+I14&lt;F28,I14,D29)</f>
        <v>9579.931818181818</v>
      </c>
      <c r="F29" s="523">
        <f t="shared" ref="F29:F49" si="19">+D29-E29</f>
        <v>295274.52088689338</v>
      </c>
      <c r="G29" s="524">
        <f t="shared" ref="G29:G53" si="20">+I$12*((D29+F29)/2)+E29</f>
        <v>45445.779236146016</v>
      </c>
      <c r="H29" s="491">
        <f t="shared" ref="H29:H53" si="21">+I$13*((D29+F29)/2)+E29</f>
        <v>45445.779236146016</v>
      </c>
      <c r="I29" s="511">
        <f t="shared" si="9"/>
        <v>0</v>
      </c>
      <c r="J29" s="511"/>
      <c r="K29" s="525"/>
      <c r="L29" s="514">
        <f t="shared" si="1"/>
        <v>0</v>
      </c>
      <c r="M29" s="525"/>
      <c r="N29" s="514">
        <f t="shared" si="3"/>
        <v>0</v>
      </c>
      <c r="O29" s="514">
        <f t="shared" si="4"/>
        <v>0</v>
      </c>
      <c r="P29" s="272"/>
    </row>
    <row r="30" spans="2:16">
      <c r="B30" s="195" t="str">
        <f t="shared" si="5"/>
        <v/>
      </c>
      <c r="C30" s="507">
        <f>IF(D11="","-",+C29+1)</f>
        <v>2025</v>
      </c>
      <c r="D30" s="523">
        <f>IF(F29+SUM(E$17:E29)=D$10,F29,D$10-SUM(E$17:E29))</f>
        <v>295274.52088689338</v>
      </c>
      <c r="E30" s="522">
        <f>IF(+I14&lt;F29,I14,D30)</f>
        <v>9579.931818181818</v>
      </c>
      <c r="F30" s="523">
        <f t="shared" si="19"/>
        <v>285694.58906871156</v>
      </c>
      <c r="G30" s="524">
        <f t="shared" si="20"/>
        <v>44300.717464477508</v>
      </c>
      <c r="H30" s="491">
        <f t="shared" si="21"/>
        <v>44300.717464477508</v>
      </c>
      <c r="I30" s="511">
        <f t="shared" si="9"/>
        <v>0</v>
      </c>
      <c r="J30" s="511"/>
      <c r="K30" s="525"/>
      <c r="L30" s="514">
        <f t="shared" si="1"/>
        <v>0</v>
      </c>
      <c r="M30" s="525"/>
      <c r="N30" s="514">
        <f t="shared" si="3"/>
        <v>0</v>
      </c>
      <c r="O30" s="514">
        <f t="shared" si="4"/>
        <v>0</v>
      </c>
      <c r="P30" s="272"/>
    </row>
    <row r="31" spans="2:16">
      <c r="B31" s="195" t="str">
        <f t="shared" si="5"/>
        <v/>
      </c>
      <c r="C31" s="507">
        <f>IF(D11="","-",+C30+1)</f>
        <v>2026</v>
      </c>
      <c r="D31" s="523">
        <f>IF(F30+SUM(E$17:E30)=D$10,F30,D$10-SUM(E$17:E30))</f>
        <v>285694.58906871156</v>
      </c>
      <c r="E31" s="522">
        <f>IF(+I14&lt;F30,I14,D31)</f>
        <v>9579.931818181818</v>
      </c>
      <c r="F31" s="523">
        <f t="shared" si="19"/>
        <v>276114.65725052974</v>
      </c>
      <c r="G31" s="524">
        <f t="shared" si="20"/>
        <v>43155.655692809014</v>
      </c>
      <c r="H31" s="491">
        <f t="shared" si="21"/>
        <v>43155.655692809014</v>
      </c>
      <c r="I31" s="511">
        <f t="shared" si="9"/>
        <v>0</v>
      </c>
      <c r="J31" s="511"/>
      <c r="K31" s="525"/>
      <c r="L31" s="514">
        <f t="shared" si="1"/>
        <v>0</v>
      </c>
      <c r="M31" s="525"/>
      <c r="N31" s="514">
        <f t="shared" si="3"/>
        <v>0</v>
      </c>
      <c r="O31" s="514">
        <f t="shared" si="4"/>
        <v>0</v>
      </c>
      <c r="P31" s="272"/>
    </row>
    <row r="32" spans="2:16">
      <c r="B32" s="195" t="str">
        <f t="shared" si="5"/>
        <v/>
      </c>
      <c r="C32" s="507">
        <f>IF(D11="","-",+C31+1)</f>
        <v>2027</v>
      </c>
      <c r="D32" s="523">
        <f>IF(F31+SUM(E$17:E31)=D$10,F31,D$10-SUM(E$17:E31))</f>
        <v>276114.65725052974</v>
      </c>
      <c r="E32" s="522">
        <f>IF(+I14&lt;F31,I14,D32)</f>
        <v>9579.931818181818</v>
      </c>
      <c r="F32" s="523">
        <f t="shared" si="19"/>
        <v>266534.72543234791</v>
      </c>
      <c r="G32" s="524">
        <f t="shared" si="20"/>
        <v>42010.593921140506</v>
      </c>
      <c r="H32" s="491">
        <f t="shared" si="21"/>
        <v>42010.593921140506</v>
      </c>
      <c r="I32" s="511">
        <f t="shared" si="9"/>
        <v>0</v>
      </c>
      <c r="J32" s="511"/>
      <c r="K32" s="525"/>
      <c r="L32" s="514">
        <f t="shared" si="1"/>
        <v>0</v>
      </c>
      <c r="M32" s="525"/>
      <c r="N32" s="514">
        <f t="shared" si="3"/>
        <v>0</v>
      </c>
      <c r="O32" s="514">
        <f t="shared" si="4"/>
        <v>0</v>
      </c>
      <c r="P32" s="272"/>
    </row>
    <row r="33" spans="2:16">
      <c r="B33" s="195" t="str">
        <f t="shared" si="5"/>
        <v/>
      </c>
      <c r="C33" s="507">
        <f>IF(D11="","-",+C32+1)</f>
        <v>2028</v>
      </c>
      <c r="D33" s="523">
        <f>IF(F32+SUM(E$17:E32)=D$10,F32,D$10-SUM(E$17:E32))</f>
        <v>266534.72543234791</v>
      </c>
      <c r="E33" s="522">
        <f>IF(+I14&lt;F32,I14,D33)</f>
        <v>9579.931818181818</v>
      </c>
      <c r="F33" s="523">
        <f t="shared" si="19"/>
        <v>256954.79361416609</v>
      </c>
      <c r="G33" s="524">
        <f t="shared" si="20"/>
        <v>40865.532149472005</v>
      </c>
      <c r="H33" s="491">
        <f t="shared" si="21"/>
        <v>40865.532149472005</v>
      </c>
      <c r="I33" s="511">
        <f t="shared" si="9"/>
        <v>0</v>
      </c>
      <c r="J33" s="511"/>
      <c r="K33" s="525"/>
      <c r="L33" s="514">
        <f t="shared" si="1"/>
        <v>0</v>
      </c>
      <c r="M33" s="525"/>
      <c r="N33" s="514">
        <f t="shared" si="3"/>
        <v>0</v>
      </c>
      <c r="O33" s="514">
        <f t="shared" si="4"/>
        <v>0</v>
      </c>
      <c r="P33" s="272"/>
    </row>
    <row r="34" spans="2:16">
      <c r="B34" s="195" t="str">
        <f t="shared" si="5"/>
        <v/>
      </c>
      <c r="C34" s="507">
        <f>IF(D11="","-",+C33+1)</f>
        <v>2029</v>
      </c>
      <c r="D34" s="523">
        <f>IF(F33+SUM(E$17:E33)=D$10,F33,D$10-SUM(E$17:E33))</f>
        <v>256954.79361416609</v>
      </c>
      <c r="E34" s="522">
        <f>IF(+I14&lt;F33,I14,D34)</f>
        <v>9579.931818181818</v>
      </c>
      <c r="F34" s="523">
        <f t="shared" si="19"/>
        <v>247374.86179598427</v>
      </c>
      <c r="G34" s="524">
        <f t="shared" si="20"/>
        <v>39720.470377803504</v>
      </c>
      <c r="H34" s="491">
        <f t="shared" si="21"/>
        <v>39720.470377803504</v>
      </c>
      <c r="I34" s="511">
        <f t="shared" si="9"/>
        <v>0</v>
      </c>
      <c r="J34" s="511"/>
      <c r="K34" s="525"/>
      <c r="L34" s="514">
        <f t="shared" si="1"/>
        <v>0</v>
      </c>
      <c r="M34" s="525"/>
      <c r="N34" s="514">
        <f t="shared" si="3"/>
        <v>0</v>
      </c>
      <c r="O34" s="514">
        <f t="shared" si="4"/>
        <v>0</v>
      </c>
      <c r="P34" s="272"/>
    </row>
    <row r="35" spans="2:16">
      <c r="B35" s="195" t="str">
        <f t="shared" si="5"/>
        <v/>
      </c>
      <c r="C35" s="507">
        <f>IF(D11="","-",+C34+1)</f>
        <v>2030</v>
      </c>
      <c r="D35" s="523">
        <f>IF(F34+SUM(E$17:E34)=D$10,F34,D$10-SUM(E$17:E34))</f>
        <v>247374.86179598427</v>
      </c>
      <c r="E35" s="522">
        <f>IF(+I14&lt;F34,I14,D35)</f>
        <v>9579.931818181818</v>
      </c>
      <c r="F35" s="523">
        <f t="shared" si="19"/>
        <v>237794.92997780244</v>
      </c>
      <c r="G35" s="524">
        <f t="shared" si="20"/>
        <v>38575.408606135003</v>
      </c>
      <c r="H35" s="491">
        <f t="shared" si="21"/>
        <v>38575.408606135003</v>
      </c>
      <c r="I35" s="511">
        <f t="shared" si="9"/>
        <v>0</v>
      </c>
      <c r="J35" s="511"/>
      <c r="K35" s="525"/>
      <c r="L35" s="514">
        <f t="shared" si="1"/>
        <v>0</v>
      </c>
      <c r="M35" s="525"/>
      <c r="N35" s="514">
        <f t="shared" si="3"/>
        <v>0</v>
      </c>
      <c r="O35" s="514">
        <f t="shared" si="4"/>
        <v>0</v>
      </c>
      <c r="P35" s="272"/>
    </row>
    <row r="36" spans="2:16">
      <c r="B36" s="195" t="str">
        <f t="shared" si="5"/>
        <v/>
      </c>
      <c r="C36" s="507">
        <f>IF(D11="","-",+C35+1)</f>
        <v>2031</v>
      </c>
      <c r="D36" s="523">
        <f>IF(F35+SUM(E$17:E35)=D$10,F35,D$10-SUM(E$17:E35))</f>
        <v>237794.92997780244</v>
      </c>
      <c r="E36" s="522">
        <f>IF(+I14&lt;F35,I14,D36)</f>
        <v>9579.931818181818</v>
      </c>
      <c r="F36" s="523">
        <f t="shared" si="19"/>
        <v>228214.99815962062</v>
      </c>
      <c r="G36" s="524">
        <f t="shared" si="20"/>
        <v>37430.346834466502</v>
      </c>
      <c r="H36" s="491">
        <f t="shared" si="21"/>
        <v>37430.346834466502</v>
      </c>
      <c r="I36" s="511">
        <f t="shared" si="9"/>
        <v>0</v>
      </c>
      <c r="J36" s="511"/>
      <c r="K36" s="525"/>
      <c r="L36" s="514">
        <f t="shared" si="1"/>
        <v>0</v>
      </c>
      <c r="M36" s="525"/>
      <c r="N36" s="514">
        <f t="shared" si="3"/>
        <v>0</v>
      </c>
      <c r="O36" s="514">
        <f t="shared" si="4"/>
        <v>0</v>
      </c>
      <c r="P36" s="272"/>
    </row>
    <row r="37" spans="2:16">
      <c r="B37" s="195" t="str">
        <f t="shared" si="5"/>
        <v/>
      </c>
      <c r="C37" s="507">
        <f>IF(D11="","-",+C36+1)</f>
        <v>2032</v>
      </c>
      <c r="D37" s="523">
        <f>IF(F36+SUM(E$17:E36)=D$10,F36,D$10-SUM(E$17:E36))</f>
        <v>228214.99815962062</v>
      </c>
      <c r="E37" s="522">
        <f>IF(+I14&lt;F36,I14,D37)</f>
        <v>9579.931818181818</v>
      </c>
      <c r="F37" s="523">
        <f t="shared" si="19"/>
        <v>218635.0663414388</v>
      </c>
      <c r="G37" s="524">
        <f t="shared" si="20"/>
        <v>36285.285062798001</v>
      </c>
      <c r="H37" s="491">
        <f t="shared" si="21"/>
        <v>36285.285062798001</v>
      </c>
      <c r="I37" s="511">
        <f t="shared" si="9"/>
        <v>0</v>
      </c>
      <c r="J37" s="511"/>
      <c r="K37" s="525"/>
      <c r="L37" s="514">
        <f t="shared" si="1"/>
        <v>0</v>
      </c>
      <c r="M37" s="525"/>
      <c r="N37" s="514">
        <f t="shared" si="3"/>
        <v>0</v>
      </c>
      <c r="O37" s="514">
        <f t="shared" si="4"/>
        <v>0</v>
      </c>
      <c r="P37" s="272"/>
    </row>
    <row r="38" spans="2:16">
      <c r="B38" s="195" t="str">
        <f t="shared" si="5"/>
        <v/>
      </c>
      <c r="C38" s="507">
        <f>IF(D11="","-",+C37+1)</f>
        <v>2033</v>
      </c>
      <c r="D38" s="523">
        <f>IF(F37+SUM(E$17:E37)=D$10,F37,D$10-SUM(E$17:E37))</f>
        <v>218635.0663414388</v>
      </c>
      <c r="E38" s="522">
        <f>IF(+I14&lt;F37,I14,D38)</f>
        <v>9579.931818181818</v>
      </c>
      <c r="F38" s="523">
        <f t="shared" si="19"/>
        <v>209055.13452325697</v>
      </c>
      <c r="G38" s="524">
        <f t="shared" si="20"/>
        <v>35140.223291129492</v>
      </c>
      <c r="H38" s="491">
        <f t="shared" si="21"/>
        <v>35140.223291129492</v>
      </c>
      <c r="I38" s="511">
        <f t="shared" si="9"/>
        <v>0</v>
      </c>
      <c r="J38" s="511"/>
      <c r="K38" s="525"/>
      <c r="L38" s="514">
        <f t="shared" si="1"/>
        <v>0</v>
      </c>
      <c r="M38" s="525"/>
      <c r="N38" s="514">
        <f t="shared" si="3"/>
        <v>0</v>
      </c>
      <c r="O38" s="514">
        <f t="shared" si="4"/>
        <v>0</v>
      </c>
      <c r="P38" s="272"/>
    </row>
    <row r="39" spans="2:16">
      <c r="B39" s="195" t="str">
        <f t="shared" si="5"/>
        <v/>
      </c>
      <c r="C39" s="507">
        <f>IF(D11="","-",+C38+1)</f>
        <v>2034</v>
      </c>
      <c r="D39" s="523">
        <f>IF(F38+SUM(E$17:E38)=D$10,F38,D$10-SUM(E$17:E38))</f>
        <v>209055.13452325697</v>
      </c>
      <c r="E39" s="522">
        <f>IF(+I14&lt;F38,I14,D39)</f>
        <v>9579.931818181818</v>
      </c>
      <c r="F39" s="523">
        <f t="shared" si="19"/>
        <v>199475.20270507515</v>
      </c>
      <c r="G39" s="524">
        <f t="shared" si="20"/>
        <v>33995.161519460991</v>
      </c>
      <c r="H39" s="491">
        <f t="shared" si="21"/>
        <v>33995.161519460991</v>
      </c>
      <c r="I39" s="511">
        <f t="shared" si="9"/>
        <v>0</v>
      </c>
      <c r="J39" s="511"/>
      <c r="K39" s="525"/>
      <c r="L39" s="514">
        <f t="shared" si="1"/>
        <v>0</v>
      </c>
      <c r="M39" s="525"/>
      <c r="N39" s="514">
        <f t="shared" si="3"/>
        <v>0</v>
      </c>
      <c r="O39" s="514">
        <f t="shared" si="4"/>
        <v>0</v>
      </c>
      <c r="P39" s="272"/>
    </row>
    <row r="40" spans="2:16">
      <c r="B40" s="195" t="str">
        <f t="shared" si="5"/>
        <v/>
      </c>
      <c r="C40" s="507">
        <f>IF(D11="","-",+C39+1)</f>
        <v>2035</v>
      </c>
      <c r="D40" s="523">
        <f>IF(F39+SUM(E$17:E39)=D$10,F39,D$10-SUM(E$17:E39))</f>
        <v>199475.20270507515</v>
      </c>
      <c r="E40" s="522">
        <f>IF(+I14&lt;F39,I14,D40)</f>
        <v>9579.931818181818</v>
      </c>
      <c r="F40" s="523">
        <f t="shared" si="19"/>
        <v>189895.27088689333</v>
      </c>
      <c r="G40" s="524">
        <f t="shared" si="20"/>
        <v>32850.09974779249</v>
      </c>
      <c r="H40" s="491">
        <f t="shared" si="21"/>
        <v>32850.09974779249</v>
      </c>
      <c r="I40" s="511">
        <f t="shared" si="9"/>
        <v>0</v>
      </c>
      <c r="J40" s="511"/>
      <c r="K40" s="525"/>
      <c r="L40" s="514">
        <f t="shared" si="1"/>
        <v>0</v>
      </c>
      <c r="M40" s="525"/>
      <c r="N40" s="514">
        <f t="shared" si="3"/>
        <v>0</v>
      </c>
      <c r="O40" s="514">
        <f t="shared" si="4"/>
        <v>0</v>
      </c>
      <c r="P40" s="272"/>
    </row>
    <row r="41" spans="2:16">
      <c r="B41" s="195" t="str">
        <f t="shared" si="5"/>
        <v/>
      </c>
      <c r="C41" s="507">
        <f>IF(D11="","-",+C40+1)</f>
        <v>2036</v>
      </c>
      <c r="D41" s="523">
        <f>IF(F40+SUM(E$17:E40)=D$10,F40,D$10-SUM(E$17:E40))</f>
        <v>189895.27088689333</v>
      </c>
      <c r="E41" s="522">
        <f>IF(+I14&lt;F40,I14,D41)</f>
        <v>9579.931818181818</v>
      </c>
      <c r="F41" s="523">
        <f t="shared" si="19"/>
        <v>180315.3390687115</v>
      </c>
      <c r="G41" s="524">
        <f t="shared" si="20"/>
        <v>31705.037976123989</v>
      </c>
      <c r="H41" s="491">
        <f t="shared" si="21"/>
        <v>31705.037976123989</v>
      </c>
      <c r="I41" s="511">
        <f t="shared" si="9"/>
        <v>0</v>
      </c>
      <c r="J41" s="511"/>
      <c r="K41" s="525"/>
      <c r="L41" s="514">
        <f t="shared" si="1"/>
        <v>0</v>
      </c>
      <c r="M41" s="525"/>
      <c r="N41" s="514">
        <f t="shared" si="3"/>
        <v>0</v>
      </c>
      <c r="O41" s="514">
        <f t="shared" si="4"/>
        <v>0</v>
      </c>
      <c r="P41" s="272"/>
    </row>
    <row r="42" spans="2:16">
      <c r="B42" s="195" t="str">
        <f t="shared" si="5"/>
        <v/>
      </c>
      <c r="C42" s="507">
        <f>IF(D11="","-",+C41+1)</f>
        <v>2037</v>
      </c>
      <c r="D42" s="523">
        <f>IF(F41+SUM(E$17:E41)=D$10,F41,D$10-SUM(E$17:E41))</f>
        <v>180315.3390687115</v>
      </c>
      <c r="E42" s="522">
        <f>IF(+I14&lt;F41,I14,D42)</f>
        <v>9579.931818181818</v>
      </c>
      <c r="F42" s="523">
        <f t="shared" si="19"/>
        <v>170735.40725052968</v>
      </c>
      <c r="G42" s="524">
        <f t="shared" si="20"/>
        <v>30559.976204455488</v>
      </c>
      <c r="H42" s="491">
        <f t="shared" si="21"/>
        <v>30559.976204455488</v>
      </c>
      <c r="I42" s="511">
        <f t="shared" si="9"/>
        <v>0</v>
      </c>
      <c r="J42" s="511"/>
      <c r="K42" s="525"/>
      <c r="L42" s="514">
        <f t="shared" si="1"/>
        <v>0</v>
      </c>
      <c r="M42" s="525"/>
      <c r="N42" s="514">
        <f t="shared" si="3"/>
        <v>0</v>
      </c>
      <c r="O42" s="514">
        <f t="shared" si="4"/>
        <v>0</v>
      </c>
      <c r="P42" s="272"/>
    </row>
    <row r="43" spans="2:16">
      <c r="B43" s="195" t="str">
        <f t="shared" si="5"/>
        <v/>
      </c>
      <c r="C43" s="507">
        <f>IF(D11="","-",+C42+1)</f>
        <v>2038</v>
      </c>
      <c r="D43" s="523">
        <f>IF(F42+SUM(E$17:E42)=D$10,F42,D$10-SUM(E$17:E42))</f>
        <v>170735.40725052968</v>
      </c>
      <c r="E43" s="522">
        <f>IF(+I14&lt;F42,I14,D43)</f>
        <v>9579.931818181818</v>
      </c>
      <c r="F43" s="523">
        <f t="shared" si="19"/>
        <v>161155.47543234786</v>
      </c>
      <c r="G43" s="524">
        <f t="shared" si="20"/>
        <v>29414.914432786987</v>
      </c>
      <c r="H43" s="491">
        <f t="shared" si="21"/>
        <v>29414.914432786987</v>
      </c>
      <c r="I43" s="511">
        <f t="shared" si="9"/>
        <v>0</v>
      </c>
      <c r="J43" s="511"/>
      <c r="K43" s="525"/>
      <c r="L43" s="514">
        <f t="shared" si="1"/>
        <v>0</v>
      </c>
      <c r="M43" s="525"/>
      <c r="N43" s="514">
        <f t="shared" si="3"/>
        <v>0</v>
      </c>
      <c r="O43" s="514">
        <f t="shared" si="4"/>
        <v>0</v>
      </c>
      <c r="P43" s="272"/>
    </row>
    <row r="44" spans="2:16">
      <c r="B44" s="195" t="str">
        <f t="shared" si="5"/>
        <v/>
      </c>
      <c r="C44" s="507">
        <f>IF(D11="","-",+C43+1)</f>
        <v>2039</v>
      </c>
      <c r="D44" s="523">
        <f>IF(F43+SUM(E$17:E43)=D$10,F43,D$10-SUM(E$17:E43))</f>
        <v>161155.47543234786</v>
      </c>
      <c r="E44" s="522">
        <f>IF(+I14&lt;F43,I14,D44)</f>
        <v>9579.931818181818</v>
      </c>
      <c r="F44" s="523">
        <f t="shared" si="19"/>
        <v>151575.54361416603</v>
      </c>
      <c r="G44" s="524">
        <f t="shared" si="20"/>
        <v>28269.852661118486</v>
      </c>
      <c r="H44" s="491">
        <f t="shared" si="21"/>
        <v>28269.852661118486</v>
      </c>
      <c r="I44" s="511">
        <f t="shared" si="9"/>
        <v>0</v>
      </c>
      <c r="J44" s="511"/>
      <c r="K44" s="525"/>
      <c r="L44" s="514">
        <f t="shared" si="1"/>
        <v>0</v>
      </c>
      <c r="M44" s="525"/>
      <c r="N44" s="514">
        <f t="shared" si="3"/>
        <v>0</v>
      </c>
      <c r="O44" s="514">
        <f t="shared" si="4"/>
        <v>0</v>
      </c>
      <c r="P44" s="272"/>
    </row>
    <row r="45" spans="2:16">
      <c r="B45" s="195" t="str">
        <f t="shared" si="5"/>
        <v/>
      </c>
      <c r="C45" s="507">
        <f>IF(D11="","-",+C44+1)</f>
        <v>2040</v>
      </c>
      <c r="D45" s="523">
        <f>IF(F44+SUM(E$17:E44)=D$10,F44,D$10-SUM(E$17:E44))</f>
        <v>151575.54361416603</v>
      </c>
      <c r="E45" s="522">
        <f>IF(+I14&lt;F44,I14,D45)</f>
        <v>9579.931818181818</v>
      </c>
      <c r="F45" s="523">
        <f t="shared" si="19"/>
        <v>141995.61179598421</v>
      </c>
      <c r="G45" s="524">
        <f t="shared" si="20"/>
        <v>27124.790889449985</v>
      </c>
      <c r="H45" s="491">
        <f t="shared" si="21"/>
        <v>27124.790889449985</v>
      </c>
      <c r="I45" s="511">
        <f t="shared" si="9"/>
        <v>0</v>
      </c>
      <c r="J45" s="511"/>
      <c r="K45" s="525"/>
      <c r="L45" s="514">
        <f t="shared" si="1"/>
        <v>0</v>
      </c>
      <c r="M45" s="525"/>
      <c r="N45" s="514">
        <f t="shared" si="3"/>
        <v>0</v>
      </c>
      <c r="O45" s="514">
        <f t="shared" si="4"/>
        <v>0</v>
      </c>
      <c r="P45" s="272"/>
    </row>
    <row r="46" spans="2:16">
      <c r="B46" s="195" t="str">
        <f t="shared" si="5"/>
        <v/>
      </c>
      <c r="C46" s="507">
        <f>IF(D11="","-",+C45+1)</f>
        <v>2041</v>
      </c>
      <c r="D46" s="523">
        <f>IF(F45+SUM(E$17:E45)=D$10,F45,D$10-SUM(E$17:E45))</f>
        <v>141995.61179598421</v>
      </c>
      <c r="E46" s="522">
        <f>IF(+I14&lt;F45,I14,D46)</f>
        <v>9579.931818181818</v>
      </c>
      <c r="F46" s="523">
        <f t="shared" si="19"/>
        <v>132415.67997780239</v>
      </c>
      <c r="G46" s="524">
        <f t="shared" si="20"/>
        <v>25979.729117781477</v>
      </c>
      <c r="H46" s="491">
        <f t="shared" si="21"/>
        <v>25979.729117781477</v>
      </c>
      <c r="I46" s="511">
        <f t="shared" si="9"/>
        <v>0</v>
      </c>
      <c r="J46" s="511"/>
      <c r="K46" s="525"/>
      <c r="L46" s="514">
        <f t="shared" si="1"/>
        <v>0</v>
      </c>
      <c r="M46" s="525"/>
      <c r="N46" s="514">
        <f t="shared" si="3"/>
        <v>0</v>
      </c>
      <c r="O46" s="514">
        <f t="shared" si="4"/>
        <v>0</v>
      </c>
      <c r="P46" s="272"/>
    </row>
    <row r="47" spans="2:16">
      <c r="B47" s="195" t="str">
        <f t="shared" si="5"/>
        <v/>
      </c>
      <c r="C47" s="507">
        <f>IF(D11="","-",+C46+1)</f>
        <v>2042</v>
      </c>
      <c r="D47" s="523">
        <f>IF(F46+SUM(E$17:E46)=D$10,F46,D$10-SUM(E$17:E46))</f>
        <v>132415.67997780239</v>
      </c>
      <c r="E47" s="522">
        <f>IF(+I14&lt;F46,I14,D47)</f>
        <v>9579.931818181818</v>
      </c>
      <c r="F47" s="523">
        <f t="shared" si="19"/>
        <v>122835.74815962056</v>
      </c>
      <c r="G47" s="524">
        <f t="shared" si="20"/>
        <v>24834.667346112976</v>
      </c>
      <c r="H47" s="491">
        <f t="shared" si="21"/>
        <v>24834.667346112976</v>
      </c>
      <c r="I47" s="511">
        <f t="shared" si="9"/>
        <v>0</v>
      </c>
      <c r="J47" s="511"/>
      <c r="K47" s="525"/>
      <c r="L47" s="514">
        <f t="shared" si="1"/>
        <v>0</v>
      </c>
      <c r="M47" s="525"/>
      <c r="N47" s="514">
        <f t="shared" si="3"/>
        <v>0</v>
      </c>
      <c r="O47" s="514">
        <f t="shared" si="4"/>
        <v>0</v>
      </c>
      <c r="P47" s="272"/>
    </row>
    <row r="48" spans="2:16">
      <c r="B48" s="195" t="str">
        <f t="shared" si="5"/>
        <v/>
      </c>
      <c r="C48" s="507">
        <f>IF(D11="","-",+C47+1)</f>
        <v>2043</v>
      </c>
      <c r="D48" s="523">
        <f>IF(F47+SUM(E$17:E47)=D$10,F47,D$10-SUM(E$17:E47))</f>
        <v>122835.74815962056</v>
      </c>
      <c r="E48" s="522">
        <f>IF(+I14&lt;F47,I14,D48)</f>
        <v>9579.931818181818</v>
      </c>
      <c r="F48" s="523">
        <f t="shared" si="19"/>
        <v>113255.81634143874</v>
      </c>
      <c r="G48" s="524">
        <f t="shared" si="20"/>
        <v>23689.605574444475</v>
      </c>
      <c r="H48" s="491">
        <f t="shared" si="21"/>
        <v>23689.605574444475</v>
      </c>
      <c r="I48" s="511">
        <f t="shared" si="9"/>
        <v>0</v>
      </c>
      <c r="J48" s="511"/>
      <c r="K48" s="525"/>
      <c r="L48" s="514">
        <f t="shared" si="1"/>
        <v>0</v>
      </c>
      <c r="M48" s="525"/>
      <c r="N48" s="514">
        <f t="shared" si="3"/>
        <v>0</v>
      </c>
      <c r="O48" s="514">
        <f t="shared" si="4"/>
        <v>0</v>
      </c>
      <c r="P48" s="272"/>
    </row>
    <row r="49" spans="2:17">
      <c r="B49" s="195" t="str">
        <f t="shared" si="5"/>
        <v/>
      </c>
      <c r="C49" s="507">
        <f>IF(D11="","-",+C48+1)</f>
        <v>2044</v>
      </c>
      <c r="D49" s="523">
        <f>IF(F48+SUM(E$17:E48)=D$10,F48,D$10-SUM(E$17:E48))</f>
        <v>113255.81634143874</v>
      </c>
      <c r="E49" s="522">
        <f>IF(+I14&lt;F48,I14,D49)</f>
        <v>9579.931818181818</v>
      </c>
      <c r="F49" s="523">
        <f t="shared" si="19"/>
        <v>103675.88452325691</v>
      </c>
      <c r="G49" s="524">
        <f t="shared" si="20"/>
        <v>22544.543802775974</v>
      </c>
      <c r="H49" s="491">
        <f t="shared" si="21"/>
        <v>22544.543802775974</v>
      </c>
      <c r="I49" s="511">
        <f t="shared" si="9"/>
        <v>0</v>
      </c>
      <c r="J49" s="511"/>
      <c r="K49" s="525"/>
      <c r="L49" s="514">
        <f t="shared" ref="L49:L72" si="22">IF(K49&lt;&gt;0,+G49-K49,0)</f>
        <v>0</v>
      </c>
      <c r="M49" s="525"/>
      <c r="N49" s="514">
        <f t="shared" ref="N49:N72" si="23">IF(M49&lt;&gt;0,+H49-M49,0)</f>
        <v>0</v>
      </c>
      <c r="O49" s="514">
        <f t="shared" ref="O49:O72" si="24">+N49-L49</f>
        <v>0</v>
      </c>
      <c r="P49" s="272"/>
    </row>
    <row r="50" spans="2:17">
      <c r="B50" s="195" t="str">
        <f t="shared" ref="B50:B72" si="25">IF(D50=F49,"","IU")</f>
        <v/>
      </c>
      <c r="C50" s="507">
        <f>IF(D11="","-",+C49+1)</f>
        <v>2045</v>
      </c>
      <c r="D50" s="523">
        <f>IF(F49+SUM(E$17:E49)=D$10,F49,D$10-SUM(E$17:E49))</f>
        <v>103675.88452325691</v>
      </c>
      <c r="E50" s="522">
        <f>IF(+I14&lt;F49,I14,D50)</f>
        <v>9579.931818181818</v>
      </c>
      <c r="F50" s="523">
        <f t="shared" ref="F50:F72" si="26">+D50-E50</f>
        <v>94095.952705075091</v>
      </c>
      <c r="G50" s="524">
        <f t="shared" si="20"/>
        <v>21399.482031107473</v>
      </c>
      <c r="H50" s="491">
        <f t="shared" si="21"/>
        <v>21399.482031107473</v>
      </c>
      <c r="I50" s="511">
        <f t="shared" ref="I50:I72" si="27">H50-G50</f>
        <v>0</v>
      </c>
      <c r="J50" s="511"/>
      <c r="K50" s="525"/>
      <c r="L50" s="514">
        <f t="shared" si="22"/>
        <v>0</v>
      </c>
      <c r="M50" s="525"/>
      <c r="N50" s="514">
        <f t="shared" si="23"/>
        <v>0</v>
      </c>
      <c r="O50" s="514">
        <f t="shared" si="24"/>
        <v>0</v>
      </c>
      <c r="P50" s="272"/>
    </row>
    <row r="51" spans="2:17">
      <c r="B51" s="195" t="str">
        <f t="shared" si="25"/>
        <v/>
      </c>
      <c r="C51" s="507">
        <f>IF(D11="","-",+C50+1)</f>
        <v>2046</v>
      </c>
      <c r="D51" s="523">
        <f>IF(F50+SUM(E$17:E50)=D$10,F50,D$10-SUM(E$17:E50))</f>
        <v>94095.952705075091</v>
      </c>
      <c r="E51" s="522">
        <f>IF(+I14&lt;F50,I14,D51)</f>
        <v>9579.931818181818</v>
      </c>
      <c r="F51" s="523">
        <f t="shared" si="26"/>
        <v>84516.020886893268</v>
      </c>
      <c r="G51" s="524">
        <f t="shared" si="20"/>
        <v>20254.420259438972</v>
      </c>
      <c r="H51" s="491">
        <f t="shared" si="21"/>
        <v>20254.420259438972</v>
      </c>
      <c r="I51" s="511">
        <f t="shared" si="27"/>
        <v>0</v>
      </c>
      <c r="J51" s="511"/>
      <c r="K51" s="525"/>
      <c r="L51" s="514">
        <f t="shared" si="22"/>
        <v>0</v>
      </c>
      <c r="M51" s="525"/>
      <c r="N51" s="514">
        <f t="shared" si="23"/>
        <v>0</v>
      </c>
      <c r="O51" s="514">
        <f t="shared" si="24"/>
        <v>0</v>
      </c>
      <c r="P51" s="272"/>
    </row>
    <row r="52" spans="2:17">
      <c r="B52" s="195" t="str">
        <f t="shared" si="25"/>
        <v/>
      </c>
      <c r="C52" s="507">
        <f>IF(D11="","-",+C51+1)</f>
        <v>2047</v>
      </c>
      <c r="D52" s="523">
        <f>IF(F51+SUM(E$17:E51)=D$10,F51,D$10-SUM(E$17:E51))</f>
        <v>84516.020886893268</v>
      </c>
      <c r="E52" s="522">
        <f>IF(+I14&lt;F51,I14,D52)</f>
        <v>9579.931818181818</v>
      </c>
      <c r="F52" s="523">
        <f t="shared" si="26"/>
        <v>74936.089068711444</v>
      </c>
      <c r="G52" s="524">
        <f t="shared" si="20"/>
        <v>19109.358487770471</v>
      </c>
      <c r="H52" s="491">
        <f t="shared" si="21"/>
        <v>19109.358487770471</v>
      </c>
      <c r="I52" s="511">
        <f t="shared" si="27"/>
        <v>0</v>
      </c>
      <c r="J52" s="511"/>
      <c r="K52" s="525"/>
      <c r="L52" s="514">
        <f t="shared" si="22"/>
        <v>0</v>
      </c>
      <c r="M52" s="525"/>
      <c r="N52" s="514">
        <f t="shared" si="23"/>
        <v>0</v>
      </c>
      <c r="O52" s="514">
        <f t="shared" si="24"/>
        <v>0</v>
      </c>
      <c r="P52" s="272"/>
    </row>
    <row r="53" spans="2:17">
      <c r="B53" s="195" t="str">
        <f t="shared" si="25"/>
        <v/>
      </c>
      <c r="C53" s="507">
        <f>IF(D11="","-",+C52+1)</f>
        <v>2048</v>
      </c>
      <c r="D53" s="523">
        <f>IF(F52+SUM(E$17:E52)=D$10,F52,D$10-SUM(E$17:E52))</f>
        <v>74936.089068711444</v>
      </c>
      <c r="E53" s="522">
        <f>IF(+I14&lt;F52,I14,D53)</f>
        <v>9579.931818181818</v>
      </c>
      <c r="F53" s="523">
        <f t="shared" si="26"/>
        <v>65356.157250529628</v>
      </c>
      <c r="G53" s="524">
        <f t="shared" si="20"/>
        <v>17964.296716101966</v>
      </c>
      <c r="H53" s="491">
        <f t="shared" si="21"/>
        <v>17964.296716101966</v>
      </c>
      <c r="I53" s="511">
        <f t="shared" si="27"/>
        <v>0</v>
      </c>
      <c r="J53" s="511"/>
      <c r="K53" s="525"/>
      <c r="L53" s="514">
        <f t="shared" si="22"/>
        <v>0</v>
      </c>
      <c r="M53" s="525"/>
      <c r="N53" s="514">
        <f t="shared" si="23"/>
        <v>0</v>
      </c>
      <c r="O53" s="514">
        <f t="shared" si="24"/>
        <v>0</v>
      </c>
      <c r="P53" s="272"/>
    </row>
    <row r="54" spans="2:17">
      <c r="B54" s="195" t="str">
        <f t="shared" si="25"/>
        <v/>
      </c>
      <c r="C54" s="507">
        <f>IF(D11="","-",+C53+1)</f>
        <v>2049</v>
      </c>
      <c r="D54" s="523">
        <f>IF(F53+SUM(E$17:E53)=D$10,F53,D$10-SUM(E$17:E53))</f>
        <v>65356.157250529628</v>
      </c>
      <c r="E54" s="522">
        <f>IF(+I14&lt;F53,I14,D54)</f>
        <v>9579.931818181818</v>
      </c>
      <c r="F54" s="523">
        <f t="shared" si="26"/>
        <v>55776.225432347812</v>
      </c>
      <c r="G54" s="524">
        <f t="shared" ref="G54:G72" si="28">+I$12*((D54+F54)/2)+E54</f>
        <v>16819.234944433465</v>
      </c>
      <c r="H54" s="491">
        <f t="shared" ref="H54:H72" si="29">+I$13*((D54+F54)/2)+E54</f>
        <v>16819.234944433465</v>
      </c>
      <c r="I54" s="511">
        <f t="shared" si="27"/>
        <v>0</v>
      </c>
      <c r="J54" s="511"/>
      <c r="K54" s="525"/>
      <c r="L54" s="514">
        <f t="shared" si="22"/>
        <v>0</v>
      </c>
      <c r="M54" s="525"/>
      <c r="N54" s="514">
        <f t="shared" si="23"/>
        <v>0</v>
      </c>
      <c r="O54" s="514">
        <f t="shared" si="24"/>
        <v>0</v>
      </c>
      <c r="P54" s="272"/>
    </row>
    <row r="55" spans="2:17">
      <c r="B55" s="195" t="str">
        <f t="shared" si="25"/>
        <v/>
      </c>
      <c r="C55" s="507">
        <f>IF(D11="","-",+C54+1)</f>
        <v>2050</v>
      </c>
      <c r="D55" s="523">
        <f>IF(F54+SUM(E$17:E54)=D$10,F54,D$10-SUM(E$17:E54))</f>
        <v>55776.225432347812</v>
      </c>
      <c r="E55" s="522">
        <f>IF(+I14&lt;F54,I14,D55)</f>
        <v>9579.931818181818</v>
      </c>
      <c r="F55" s="523">
        <f t="shared" si="26"/>
        <v>46196.293614165996</v>
      </c>
      <c r="G55" s="524">
        <f t="shared" si="28"/>
        <v>15674.173172764964</v>
      </c>
      <c r="H55" s="491">
        <f t="shared" si="29"/>
        <v>15674.173172764964</v>
      </c>
      <c r="I55" s="511">
        <f t="shared" si="27"/>
        <v>0</v>
      </c>
      <c r="J55" s="511"/>
      <c r="K55" s="525"/>
      <c r="L55" s="514">
        <f t="shared" si="22"/>
        <v>0</v>
      </c>
      <c r="M55" s="525"/>
      <c r="N55" s="514">
        <f t="shared" si="23"/>
        <v>0</v>
      </c>
      <c r="O55" s="514">
        <f t="shared" si="24"/>
        <v>0</v>
      </c>
      <c r="P55" s="272"/>
    </row>
    <row r="56" spans="2:17">
      <c r="B56" s="195" t="str">
        <f t="shared" si="25"/>
        <v/>
      </c>
      <c r="C56" s="507">
        <f>IF(D11="","-",+C55+1)</f>
        <v>2051</v>
      </c>
      <c r="D56" s="523">
        <f>IF(F55+SUM(E$17:E55)=D$10,F55,D$10-SUM(E$17:E55))</f>
        <v>46196.293614165996</v>
      </c>
      <c r="E56" s="522">
        <f>IF(+I14&lt;F55,I14,D56)</f>
        <v>9579.931818181818</v>
      </c>
      <c r="F56" s="523">
        <f t="shared" si="26"/>
        <v>36616.361795984179</v>
      </c>
      <c r="G56" s="524">
        <f t="shared" si="28"/>
        <v>14529.111401096463</v>
      </c>
      <c r="H56" s="491">
        <f t="shared" si="29"/>
        <v>14529.111401096463</v>
      </c>
      <c r="I56" s="511">
        <f t="shared" si="27"/>
        <v>0</v>
      </c>
      <c r="J56" s="511"/>
      <c r="K56" s="525"/>
      <c r="L56" s="514">
        <f t="shared" si="22"/>
        <v>0</v>
      </c>
      <c r="M56" s="525"/>
      <c r="N56" s="514">
        <f t="shared" si="23"/>
        <v>0</v>
      </c>
      <c r="O56" s="514">
        <f t="shared" si="24"/>
        <v>0</v>
      </c>
      <c r="P56" s="272"/>
    </row>
    <row r="57" spans="2:17">
      <c r="B57" s="195" t="str">
        <f t="shared" si="25"/>
        <v/>
      </c>
      <c r="C57" s="507">
        <f>IF(D11="","-",+C56+1)</f>
        <v>2052</v>
      </c>
      <c r="D57" s="523">
        <f>IF(F56+SUM(E$17:E56)=D$10,F56,D$10-SUM(E$17:E56))</f>
        <v>36616.361795984179</v>
      </c>
      <c r="E57" s="522">
        <f>IF(+I14&lt;F56,I14,D57)</f>
        <v>9579.931818181818</v>
      </c>
      <c r="F57" s="523">
        <f t="shared" si="26"/>
        <v>27036.429977802363</v>
      </c>
      <c r="G57" s="524">
        <f t="shared" si="28"/>
        <v>13384.049629427962</v>
      </c>
      <c r="H57" s="491">
        <f t="shared" si="29"/>
        <v>13384.049629427962</v>
      </c>
      <c r="I57" s="511">
        <f t="shared" si="27"/>
        <v>0</v>
      </c>
      <c r="J57" s="511"/>
      <c r="K57" s="525"/>
      <c r="L57" s="514">
        <f t="shared" si="22"/>
        <v>0</v>
      </c>
      <c r="M57" s="525"/>
      <c r="N57" s="514">
        <f t="shared" si="23"/>
        <v>0</v>
      </c>
      <c r="O57" s="514">
        <f t="shared" si="24"/>
        <v>0</v>
      </c>
      <c r="P57" s="272"/>
    </row>
    <row r="58" spans="2:17">
      <c r="B58" s="195" t="str">
        <f t="shared" si="25"/>
        <v/>
      </c>
      <c r="C58" s="507">
        <f>IF(D11="","-",+C57+1)</f>
        <v>2053</v>
      </c>
      <c r="D58" s="523">
        <f>IF(F57+SUM(E$17:E57)=D$10,F57,D$10-SUM(E$17:E57))</f>
        <v>27036.429977802363</v>
      </c>
      <c r="E58" s="522">
        <f>IF(+I14&lt;F57,I14,D58)</f>
        <v>9579.931818181818</v>
      </c>
      <c r="F58" s="523">
        <f t="shared" si="26"/>
        <v>17456.498159620547</v>
      </c>
      <c r="G58" s="524">
        <f t="shared" si="28"/>
        <v>12238.987857759461</v>
      </c>
      <c r="H58" s="491">
        <f t="shared" si="29"/>
        <v>12238.987857759461</v>
      </c>
      <c r="I58" s="511">
        <f t="shared" si="27"/>
        <v>0</v>
      </c>
      <c r="J58" s="511"/>
      <c r="K58" s="525"/>
      <c r="L58" s="514">
        <f t="shared" si="22"/>
        <v>0</v>
      </c>
      <c r="M58" s="525"/>
      <c r="N58" s="514">
        <f t="shared" si="23"/>
        <v>0</v>
      </c>
      <c r="O58" s="514">
        <f t="shared" si="24"/>
        <v>0</v>
      </c>
      <c r="P58" s="272"/>
      <c r="Q58" s="183" t="str">
        <f>IF(ROUND(Q57,0)=ROUND(SUM(Q18:Q56),0),"","Error -- check allocations above).")</f>
        <v/>
      </c>
    </row>
    <row r="59" spans="2:17">
      <c r="B59" s="195" t="str">
        <f t="shared" si="25"/>
        <v/>
      </c>
      <c r="C59" s="507">
        <f>IF(D11="","-",+C58+1)</f>
        <v>2054</v>
      </c>
      <c r="D59" s="523">
        <f>IF(F58+SUM(E$17:E58)=D$10,F58,D$10-SUM(E$17:E58))</f>
        <v>17456.498159620547</v>
      </c>
      <c r="E59" s="522">
        <f>IF(+I14&lt;F58,I14,D59)</f>
        <v>9579.931818181818</v>
      </c>
      <c r="F59" s="523">
        <f t="shared" si="26"/>
        <v>7876.5663414387291</v>
      </c>
      <c r="G59" s="524">
        <f t="shared" si="28"/>
        <v>11093.92608609096</v>
      </c>
      <c r="H59" s="491">
        <f t="shared" si="29"/>
        <v>11093.92608609096</v>
      </c>
      <c r="I59" s="511">
        <f t="shared" si="27"/>
        <v>0</v>
      </c>
      <c r="J59" s="511"/>
      <c r="K59" s="525"/>
      <c r="L59" s="514">
        <f t="shared" si="22"/>
        <v>0</v>
      </c>
      <c r="M59" s="525"/>
      <c r="N59" s="514">
        <f t="shared" si="23"/>
        <v>0</v>
      </c>
      <c r="O59" s="514">
        <f t="shared" si="24"/>
        <v>0</v>
      </c>
      <c r="P59" s="272"/>
    </row>
    <row r="60" spans="2:17">
      <c r="B60" s="195" t="str">
        <f t="shared" si="25"/>
        <v/>
      </c>
      <c r="C60" s="507">
        <f>IF(D11="","-",+C59+1)</f>
        <v>2055</v>
      </c>
      <c r="D60" s="523">
        <f>IF(F59+SUM(E$17:E59)=D$10,F59,D$10-SUM(E$17:E59))</f>
        <v>7876.5663414387291</v>
      </c>
      <c r="E60" s="522">
        <f>IF(+I14&lt;F59,I14,D60)</f>
        <v>7876.5663414387291</v>
      </c>
      <c r="F60" s="523">
        <f t="shared" si="26"/>
        <v>0</v>
      </c>
      <c r="G60" s="524">
        <f t="shared" si="28"/>
        <v>8347.2980324761738</v>
      </c>
      <c r="H60" s="491">
        <f t="shared" si="29"/>
        <v>8347.2980324761738</v>
      </c>
      <c r="I60" s="511">
        <f t="shared" si="27"/>
        <v>0</v>
      </c>
      <c r="J60" s="511"/>
      <c r="K60" s="525"/>
      <c r="L60" s="514">
        <f t="shared" si="22"/>
        <v>0</v>
      </c>
      <c r="M60" s="525"/>
      <c r="N60" s="514">
        <f t="shared" si="23"/>
        <v>0</v>
      </c>
      <c r="O60" s="514">
        <f t="shared" si="24"/>
        <v>0</v>
      </c>
      <c r="P60" s="272"/>
    </row>
    <row r="61" spans="2:17">
      <c r="B61" s="195" t="str">
        <f t="shared" si="25"/>
        <v/>
      </c>
      <c r="C61" s="507">
        <f>IF(D11="","-",+C60+1)</f>
        <v>2056</v>
      </c>
      <c r="D61" s="523">
        <f>IF(F60+SUM(E$17:E60)=D$10,F60,D$10-SUM(E$17:E60))</f>
        <v>0</v>
      </c>
      <c r="E61" s="522">
        <f>IF(+I14&lt;F60,I14,D61)</f>
        <v>0</v>
      </c>
      <c r="F61" s="523">
        <f t="shared" si="26"/>
        <v>0</v>
      </c>
      <c r="G61" s="526">
        <f t="shared" si="28"/>
        <v>0</v>
      </c>
      <c r="H61" s="491">
        <f t="shared" si="29"/>
        <v>0</v>
      </c>
      <c r="I61" s="511">
        <f t="shared" si="27"/>
        <v>0</v>
      </c>
      <c r="J61" s="511"/>
      <c r="K61" s="525"/>
      <c r="L61" s="514">
        <f t="shared" si="22"/>
        <v>0</v>
      </c>
      <c r="M61" s="525"/>
      <c r="N61" s="514">
        <f t="shared" si="23"/>
        <v>0</v>
      </c>
      <c r="O61" s="514">
        <f t="shared" si="24"/>
        <v>0</v>
      </c>
      <c r="P61" s="272"/>
    </row>
    <row r="62" spans="2:17">
      <c r="B62" s="195" t="str">
        <f t="shared" si="25"/>
        <v/>
      </c>
      <c r="C62" s="507">
        <f>IF(D11="","-",+C61+1)</f>
        <v>2057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26"/>
        <v>0</v>
      </c>
      <c r="G62" s="526">
        <f t="shared" si="28"/>
        <v>0</v>
      </c>
      <c r="H62" s="491">
        <f t="shared" si="29"/>
        <v>0</v>
      </c>
      <c r="I62" s="511">
        <f t="shared" si="27"/>
        <v>0</v>
      </c>
      <c r="J62" s="511"/>
      <c r="K62" s="525"/>
      <c r="L62" s="514">
        <f t="shared" si="22"/>
        <v>0</v>
      </c>
      <c r="M62" s="525"/>
      <c r="N62" s="514">
        <f t="shared" si="23"/>
        <v>0</v>
      </c>
      <c r="O62" s="514">
        <f t="shared" si="24"/>
        <v>0</v>
      </c>
      <c r="P62" s="272"/>
    </row>
    <row r="63" spans="2:17">
      <c r="B63" s="195" t="str">
        <f t="shared" si="25"/>
        <v/>
      </c>
      <c r="C63" s="507">
        <f>IF(D11="","-",+C62+1)</f>
        <v>2058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26"/>
        <v>0</v>
      </c>
      <c r="G63" s="526">
        <f t="shared" si="28"/>
        <v>0</v>
      </c>
      <c r="H63" s="491">
        <f t="shared" si="29"/>
        <v>0</v>
      </c>
      <c r="I63" s="511">
        <f t="shared" si="27"/>
        <v>0</v>
      </c>
      <c r="J63" s="511"/>
      <c r="K63" s="525"/>
      <c r="L63" s="514">
        <f t="shared" si="22"/>
        <v>0</v>
      </c>
      <c r="M63" s="525"/>
      <c r="N63" s="514">
        <f t="shared" si="23"/>
        <v>0</v>
      </c>
      <c r="O63" s="514">
        <f t="shared" si="24"/>
        <v>0</v>
      </c>
      <c r="P63" s="272"/>
    </row>
    <row r="64" spans="2:17">
      <c r="B64" s="195" t="str">
        <f t="shared" si="25"/>
        <v/>
      </c>
      <c r="C64" s="507">
        <f>IF(D11="","-",+C63+1)</f>
        <v>2059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26"/>
        <v>0</v>
      </c>
      <c r="G64" s="526">
        <f t="shared" si="28"/>
        <v>0</v>
      </c>
      <c r="H64" s="491">
        <f t="shared" si="29"/>
        <v>0</v>
      </c>
      <c r="I64" s="511">
        <f t="shared" si="27"/>
        <v>0</v>
      </c>
      <c r="J64" s="511"/>
      <c r="K64" s="525"/>
      <c r="L64" s="514">
        <f t="shared" si="22"/>
        <v>0</v>
      </c>
      <c r="M64" s="525"/>
      <c r="N64" s="514">
        <f t="shared" si="23"/>
        <v>0</v>
      </c>
      <c r="O64" s="514">
        <f t="shared" si="24"/>
        <v>0</v>
      </c>
      <c r="P64" s="272"/>
    </row>
    <row r="65" spans="1:16">
      <c r="B65" s="195" t="str">
        <f t="shared" si="25"/>
        <v/>
      </c>
      <c r="C65" s="507">
        <f>IF(D11="","-",+C64+1)</f>
        <v>2060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26"/>
        <v>0</v>
      </c>
      <c r="G65" s="526">
        <f t="shared" si="28"/>
        <v>0</v>
      </c>
      <c r="H65" s="491">
        <f t="shared" si="29"/>
        <v>0</v>
      </c>
      <c r="I65" s="511">
        <f t="shared" si="27"/>
        <v>0</v>
      </c>
      <c r="J65" s="511"/>
      <c r="K65" s="525"/>
      <c r="L65" s="514">
        <f t="shared" si="22"/>
        <v>0</v>
      </c>
      <c r="M65" s="525"/>
      <c r="N65" s="514">
        <f t="shared" si="23"/>
        <v>0</v>
      </c>
      <c r="O65" s="514">
        <f t="shared" si="24"/>
        <v>0</v>
      </c>
      <c r="P65" s="272"/>
    </row>
    <row r="66" spans="1:16">
      <c r="B66" s="195" t="str">
        <f t="shared" si="25"/>
        <v/>
      </c>
      <c r="C66" s="507">
        <f>IF(D11="","-",+C65+1)</f>
        <v>2061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26"/>
        <v>0</v>
      </c>
      <c r="G66" s="526">
        <f t="shared" si="28"/>
        <v>0</v>
      </c>
      <c r="H66" s="491">
        <f t="shared" si="29"/>
        <v>0</v>
      </c>
      <c r="I66" s="511">
        <f t="shared" si="27"/>
        <v>0</v>
      </c>
      <c r="J66" s="511"/>
      <c r="K66" s="525"/>
      <c r="L66" s="514">
        <f t="shared" si="22"/>
        <v>0</v>
      </c>
      <c r="M66" s="525"/>
      <c r="N66" s="514">
        <f t="shared" si="23"/>
        <v>0</v>
      </c>
      <c r="O66" s="514">
        <f t="shared" si="24"/>
        <v>0</v>
      </c>
      <c r="P66" s="272"/>
    </row>
    <row r="67" spans="1:16">
      <c r="B67" s="195" t="str">
        <f t="shared" si="25"/>
        <v/>
      </c>
      <c r="C67" s="507">
        <f>IF(D11="","-",+C66+1)</f>
        <v>2062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26"/>
        <v>0</v>
      </c>
      <c r="G67" s="526">
        <f t="shared" si="28"/>
        <v>0</v>
      </c>
      <c r="H67" s="491">
        <f t="shared" si="29"/>
        <v>0</v>
      </c>
      <c r="I67" s="511">
        <f t="shared" si="27"/>
        <v>0</v>
      </c>
      <c r="J67" s="511"/>
      <c r="K67" s="525"/>
      <c r="L67" s="514">
        <f t="shared" si="22"/>
        <v>0</v>
      </c>
      <c r="M67" s="525"/>
      <c r="N67" s="514">
        <f t="shared" si="23"/>
        <v>0</v>
      </c>
      <c r="O67" s="514">
        <f t="shared" si="24"/>
        <v>0</v>
      </c>
      <c r="P67" s="272"/>
    </row>
    <row r="68" spans="1:16">
      <c r="B68" s="195" t="str">
        <f t="shared" si="25"/>
        <v/>
      </c>
      <c r="C68" s="507">
        <f>IF(D11="","-",+C67+1)</f>
        <v>2063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26"/>
        <v>0</v>
      </c>
      <c r="G68" s="526">
        <f t="shared" si="28"/>
        <v>0</v>
      </c>
      <c r="H68" s="491">
        <f t="shared" si="29"/>
        <v>0</v>
      </c>
      <c r="I68" s="511">
        <f t="shared" si="27"/>
        <v>0</v>
      </c>
      <c r="J68" s="511"/>
      <c r="K68" s="525"/>
      <c r="L68" s="514">
        <f t="shared" si="22"/>
        <v>0</v>
      </c>
      <c r="M68" s="525"/>
      <c r="N68" s="514">
        <f t="shared" si="23"/>
        <v>0</v>
      </c>
      <c r="O68" s="514">
        <f t="shared" si="24"/>
        <v>0</v>
      </c>
      <c r="P68" s="272"/>
    </row>
    <row r="69" spans="1:16">
      <c r="B69" s="195" t="str">
        <f t="shared" si="25"/>
        <v/>
      </c>
      <c r="C69" s="507">
        <f>IF(D11="","-",+C68+1)</f>
        <v>2064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26"/>
        <v>0</v>
      </c>
      <c r="G69" s="526">
        <f t="shared" si="28"/>
        <v>0</v>
      </c>
      <c r="H69" s="491">
        <f t="shared" si="29"/>
        <v>0</v>
      </c>
      <c r="I69" s="511">
        <f t="shared" si="27"/>
        <v>0</v>
      </c>
      <c r="J69" s="511"/>
      <c r="K69" s="525"/>
      <c r="L69" s="514">
        <f t="shared" si="22"/>
        <v>0</v>
      </c>
      <c r="M69" s="525"/>
      <c r="N69" s="514">
        <f t="shared" si="23"/>
        <v>0</v>
      </c>
      <c r="O69" s="514">
        <f t="shared" si="24"/>
        <v>0</v>
      </c>
      <c r="P69" s="272"/>
    </row>
    <row r="70" spans="1:16">
      <c r="B70" s="195" t="str">
        <f t="shared" si="25"/>
        <v/>
      </c>
      <c r="C70" s="507">
        <f>IF(D11="","-",+C69+1)</f>
        <v>2065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26"/>
        <v>0</v>
      </c>
      <c r="G70" s="526">
        <f t="shared" si="28"/>
        <v>0</v>
      </c>
      <c r="H70" s="491">
        <f t="shared" si="29"/>
        <v>0</v>
      </c>
      <c r="I70" s="511">
        <f t="shared" si="27"/>
        <v>0</v>
      </c>
      <c r="J70" s="511"/>
      <c r="K70" s="525"/>
      <c r="L70" s="514">
        <f t="shared" si="22"/>
        <v>0</v>
      </c>
      <c r="M70" s="525"/>
      <c r="N70" s="514">
        <f t="shared" si="23"/>
        <v>0</v>
      </c>
      <c r="O70" s="514">
        <f t="shared" si="24"/>
        <v>0</v>
      </c>
      <c r="P70" s="272"/>
    </row>
    <row r="71" spans="1:16">
      <c r="B71" s="195" t="str">
        <f t="shared" si="25"/>
        <v/>
      </c>
      <c r="C71" s="507">
        <f>IF(D11="","-",+C70+1)</f>
        <v>2066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26"/>
        <v>0</v>
      </c>
      <c r="G71" s="526">
        <f t="shared" si="28"/>
        <v>0</v>
      </c>
      <c r="H71" s="491">
        <f t="shared" si="29"/>
        <v>0</v>
      </c>
      <c r="I71" s="511">
        <f t="shared" si="27"/>
        <v>0</v>
      </c>
      <c r="J71" s="511"/>
      <c r="K71" s="525"/>
      <c r="L71" s="514">
        <f t="shared" si="22"/>
        <v>0</v>
      </c>
      <c r="M71" s="525"/>
      <c r="N71" s="514">
        <f t="shared" si="23"/>
        <v>0</v>
      </c>
      <c r="O71" s="514">
        <f t="shared" si="24"/>
        <v>0</v>
      </c>
      <c r="P71" s="272"/>
    </row>
    <row r="72" spans="1:16" ht="13.5" thickBot="1">
      <c r="B72" s="195" t="str">
        <f t="shared" si="25"/>
        <v/>
      </c>
      <c r="C72" s="527">
        <f>IF(D11="","-",+C71+1)</f>
        <v>2067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26"/>
        <v>0</v>
      </c>
      <c r="G72" s="530">
        <f t="shared" si="28"/>
        <v>0</v>
      </c>
      <c r="H72" s="471">
        <f t="shared" si="29"/>
        <v>0</v>
      </c>
      <c r="I72" s="531">
        <f t="shared" si="27"/>
        <v>0</v>
      </c>
      <c r="J72" s="511"/>
      <c r="K72" s="532"/>
      <c r="L72" s="533">
        <f t="shared" si="22"/>
        <v>0</v>
      </c>
      <c r="M72" s="532"/>
      <c r="N72" s="533">
        <f t="shared" si="23"/>
        <v>0</v>
      </c>
      <c r="O72" s="533">
        <f t="shared" si="24"/>
        <v>0</v>
      </c>
      <c r="P72" s="272"/>
    </row>
    <row r="73" spans="1:16">
      <c r="C73" s="374" t="s">
        <v>78</v>
      </c>
      <c r="D73" s="375"/>
      <c r="E73" s="375">
        <f>SUM(E17:E72)</f>
        <v>421517</v>
      </c>
      <c r="F73" s="375"/>
      <c r="G73" s="375">
        <f>SUM(G17:G72)</f>
        <v>1560969.8023010483</v>
      </c>
      <c r="H73" s="375">
        <f>SUM(H17:H72)</f>
        <v>1560969.8023010483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1:16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1:16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1:16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1:16" ht="18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535"/>
      <c r="P77" s="272"/>
    </row>
    <row r="78" spans="1:16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1:16" ht="15">
      <c r="A79" s="536"/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</row>
    <row r="80" spans="1:16" ht="18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7">
      <c r="B81" s="269"/>
      <c r="C81" s="537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7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  <c r="Q82" s="269"/>
    </row>
    <row r="83" spans="1:17" ht="20.25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535" t="str">
        <f ca="1">P1</f>
        <v>SWEPCO Project 27 of 75</v>
      </c>
      <c r="Q83" s="269"/>
    </row>
    <row r="84" spans="1:17" ht="18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454" t="s">
        <v>128</v>
      </c>
      <c r="Q84" s="269"/>
    </row>
    <row r="85" spans="1:17" ht="18.7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  <c r="Q85" s="269"/>
    </row>
    <row r="86" spans="1:17" ht="15.75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2022</v>
      </c>
      <c r="M86" s="541" t="s">
        <v>9</v>
      </c>
      <c r="N86" s="542" t="s">
        <v>159</v>
      </c>
      <c r="O86" s="543" t="s">
        <v>11</v>
      </c>
      <c r="P86" s="269"/>
      <c r="Q86" s="269"/>
    </row>
    <row r="87" spans="1:17" ht="1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391</v>
      </c>
      <c r="M87" s="546">
        <f>IF(J92&lt;D11,0,VLOOKUP(J92,C17:O72,9))</f>
        <v>46007.95617660469</v>
      </c>
      <c r="N87" s="546">
        <f>IF(J92&lt;D11,0,VLOOKUP(J92,C17:O72,11))</f>
        <v>46007.95617660469</v>
      </c>
      <c r="O87" s="547">
        <f>+N87-M87</f>
        <v>0</v>
      </c>
      <c r="P87" s="269"/>
      <c r="Q87" s="269"/>
    </row>
    <row r="88" spans="1:17" ht="15.7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392</v>
      </c>
      <c r="M88" s="550">
        <f>IF(J92&lt;D11,0,VLOOKUP(J92,C99:P154,6))</f>
        <v>47748.808019325494</v>
      </c>
      <c r="N88" s="550">
        <f>IF(J92&lt;D11,0,VLOOKUP(J92,C99:P154,7))</f>
        <v>47748.808019325494</v>
      </c>
      <c r="O88" s="551">
        <f>+N88-M88</f>
        <v>0</v>
      </c>
      <c r="P88" s="269"/>
      <c r="Q88" s="269"/>
    </row>
    <row r="89" spans="1:17" ht="13.5" thickBot="1">
      <c r="C89" s="467" t="s">
        <v>84</v>
      </c>
      <c r="D89" s="620" t="str">
        <f>D7</f>
        <v>Linwood - Powell Street 138 kV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1740.8518427208037</v>
      </c>
      <c r="N89" s="555">
        <f>+N88-N87</f>
        <v>1740.8518427208037</v>
      </c>
      <c r="O89" s="556">
        <f>+O88-O87</f>
        <v>0</v>
      </c>
      <c r="P89" s="269"/>
      <c r="Q89" s="269"/>
    </row>
    <row r="90" spans="1:17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  <c r="Q90" s="269"/>
    </row>
    <row r="91" spans="1:17" ht="13.5" thickBot="1">
      <c r="A91" s="191"/>
      <c r="C91" s="558" t="s">
        <v>85</v>
      </c>
      <c r="D91" s="559" t="str">
        <f>+D9</f>
        <v>TP2009015</v>
      </c>
      <c r="E91" s="560"/>
      <c r="F91" s="560"/>
      <c r="G91" s="560"/>
      <c r="H91" s="560"/>
      <c r="I91" s="560"/>
      <c r="J91" s="561"/>
      <c r="K91" s="562"/>
      <c r="P91" s="481"/>
      <c r="Q91" s="269"/>
    </row>
    <row r="92" spans="1:17">
      <c r="C92" s="486" t="s">
        <v>51</v>
      </c>
      <c r="D92" s="483">
        <v>421517</v>
      </c>
      <c r="E92" s="340" t="s">
        <v>86</v>
      </c>
      <c r="H92" s="484"/>
      <c r="I92" s="484"/>
      <c r="J92" s="485">
        <f>+'SWE.WS.G.BPU.ATRR.True-up'!M16</f>
        <v>2022</v>
      </c>
      <c r="K92" s="480"/>
      <c r="L92" s="375" t="s">
        <v>87</v>
      </c>
      <c r="P92" s="272"/>
      <c r="Q92" s="269"/>
    </row>
    <row r="93" spans="1:17">
      <c r="C93" s="486" t="s">
        <v>54</v>
      </c>
      <c r="D93" s="563">
        <f>IF(D11=I10,"",D11)</f>
        <v>2012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  <c r="Q93" s="269"/>
    </row>
    <row r="94" spans="1:17">
      <c r="C94" s="486" t="s">
        <v>56</v>
      </c>
      <c r="D94" s="564">
        <f>IF(D11=I10,"",D12)</f>
        <v>6</v>
      </c>
      <c r="E94" s="486" t="s">
        <v>57</v>
      </c>
      <c r="F94" s="484"/>
      <c r="G94" s="484"/>
      <c r="J94" s="490">
        <f>'SWE.WS.G.BPU.ATRR.True-up'!$F$81</f>
        <v>0.11351422637179906</v>
      </c>
      <c r="K94" s="425"/>
      <c r="L94" s="183" t="s">
        <v>88</v>
      </c>
      <c r="P94" s="272"/>
      <c r="Q94" s="269"/>
    </row>
    <row r="95" spans="1:17">
      <c r="C95" s="486" t="s">
        <v>59</v>
      </c>
      <c r="D95" s="488">
        <f>'SWE.WS.G.BPU.ATRR.True-up'!F$93</f>
        <v>41</v>
      </c>
      <c r="E95" s="486" t="s">
        <v>60</v>
      </c>
      <c r="F95" s="484"/>
      <c r="G95" s="484"/>
      <c r="J95" s="490">
        <f>IF(H87="",J94,'SWE.WS.G.BPU.ATRR.True-up'!$F$80)</f>
        <v>0.11351422637179906</v>
      </c>
      <c r="K95" s="324"/>
      <c r="L95" s="375" t="s">
        <v>61</v>
      </c>
      <c r="M95" s="324"/>
      <c r="N95" s="324"/>
      <c r="O95" s="324"/>
      <c r="P95" s="272"/>
      <c r="Q95" s="269"/>
    </row>
    <row r="96" spans="1:17" ht="13.5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10280.90243902439</v>
      </c>
      <c r="K96" s="375"/>
      <c r="L96" s="375"/>
      <c r="M96" s="375"/>
      <c r="N96" s="375"/>
      <c r="O96" s="375"/>
      <c r="P96" s="272"/>
      <c r="Q96" s="269"/>
    </row>
    <row r="97" spans="1:17" ht="38.25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388</v>
      </c>
      <c r="I97" s="495" t="s">
        <v>389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  <c r="Q97" s="269"/>
    </row>
    <row r="98" spans="1:17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  <c r="Q98" s="269"/>
    </row>
    <row r="99" spans="1:17">
      <c r="C99" s="507">
        <f>IF(D93= "","-",D93)</f>
        <v>2012</v>
      </c>
      <c r="D99" s="508">
        <v>0</v>
      </c>
      <c r="E99" s="516">
        <v>5119.25</v>
      </c>
      <c r="F99" s="515">
        <v>424897.75</v>
      </c>
      <c r="G99" s="574">
        <v>212448.875</v>
      </c>
      <c r="H99" s="575">
        <v>36381.937261919113</v>
      </c>
      <c r="I99" s="576">
        <v>36381.937261919113</v>
      </c>
      <c r="J99" s="613">
        <f t="shared" ref="J99:J130" si="30">+I99-H99</f>
        <v>0</v>
      </c>
      <c r="K99" s="514"/>
      <c r="L99" s="512">
        <f t="shared" ref="L99:L104" si="31">H99</f>
        <v>36381.937261919113</v>
      </c>
      <c r="M99" s="597">
        <f t="shared" ref="M99:M130" si="32">IF(L99&lt;&gt;0,+H99-L99,0)</f>
        <v>0</v>
      </c>
      <c r="N99" s="512">
        <f t="shared" ref="N99:N104" si="33">I99</f>
        <v>36381.937261919113</v>
      </c>
      <c r="O99" s="513">
        <f t="shared" ref="O99:O130" si="34">IF(N99&lt;&gt;0,+I99-N99,0)</f>
        <v>0</v>
      </c>
      <c r="P99" s="513">
        <f t="shared" ref="P99:P130" si="35">+O99-M99</f>
        <v>0</v>
      </c>
      <c r="Q99" s="269"/>
    </row>
    <row r="100" spans="1:17">
      <c r="B100" s="195" t="str">
        <f t="shared" ref="B100:B131" si="36">IF(D100=F99,"","IU")</f>
        <v/>
      </c>
      <c r="C100" s="507">
        <f>IF(D93="","-",+C99+1)</f>
        <v>2013</v>
      </c>
      <c r="D100" s="508">
        <v>424897.75</v>
      </c>
      <c r="E100" s="516">
        <v>10238.5</v>
      </c>
      <c r="F100" s="515">
        <v>414659.25</v>
      </c>
      <c r="G100" s="515">
        <v>419778.5</v>
      </c>
      <c r="H100" s="575">
        <v>67031.047857906437</v>
      </c>
      <c r="I100" s="576">
        <v>67031.047857906437</v>
      </c>
      <c r="J100" s="613">
        <v>0</v>
      </c>
      <c r="K100" s="514"/>
      <c r="L100" s="518">
        <f t="shared" si="31"/>
        <v>67031.047857906437</v>
      </c>
      <c r="M100" s="519">
        <f t="shared" ref="M100:M105" si="37">IF(L100&lt;&gt;0,+H100-L100,0)</f>
        <v>0</v>
      </c>
      <c r="N100" s="518">
        <f t="shared" si="33"/>
        <v>67031.047857906437</v>
      </c>
      <c r="O100" s="514">
        <f>IF(N100&lt;&gt;0,+I100-N100,0)</f>
        <v>0</v>
      </c>
      <c r="P100" s="514">
        <f>+O100-M100</f>
        <v>0</v>
      </c>
      <c r="Q100" s="269"/>
    </row>
    <row r="101" spans="1:17">
      <c r="B101" s="195" t="str">
        <f t="shared" si="36"/>
        <v>IU</v>
      </c>
      <c r="C101" s="507">
        <f>IF(D93="","-",+C100+1)</f>
        <v>2014</v>
      </c>
      <c r="D101" s="508">
        <v>406159.25</v>
      </c>
      <c r="E101" s="516">
        <v>10036.119047619048</v>
      </c>
      <c r="F101" s="515">
        <v>396123.13095238095</v>
      </c>
      <c r="G101" s="515">
        <v>401141.19047619047</v>
      </c>
      <c r="H101" s="575">
        <v>64560.617511183853</v>
      </c>
      <c r="I101" s="576">
        <v>64560.617511183853</v>
      </c>
      <c r="J101" s="514">
        <v>0</v>
      </c>
      <c r="K101" s="514"/>
      <c r="L101" s="518">
        <f t="shared" si="31"/>
        <v>64560.617511183853</v>
      </c>
      <c r="M101" s="519">
        <f t="shared" si="37"/>
        <v>0</v>
      </c>
      <c r="N101" s="518">
        <f t="shared" si="33"/>
        <v>64560.617511183853</v>
      </c>
      <c r="O101" s="514">
        <f>IF(N101&lt;&gt;0,+I101-N101,0)</f>
        <v>0</v>
      </c>
      <c r="P101" s="514">
        <f>+O101-M101</f>
        <v>0</v>
      </c>
      <c r="Q101" s="269"/>
    </row>
    <row r="102" spans="1:17">
      <c r="B102" s="195" t="str">
        <f t="shared" si="36"/>
        <v/>
      </c>
      <c r="C102" s="507">
        <f>IF(D93="","-",+C101+1)</f>
        <v>2015</v>
      </c>
      <c r="D102" s="508">
        <v>396123.13095238095</v>
      </c>
      <c r="E102" s="516">
        <v>10036.119047619048</v>
      </c>
      <c r="F102" s="515">
        <v>386087.01190476189</v>
      </c>
      <c r="G102" s="515">
        <v>391105.07142857142</v>
      </c>
      <c r="H102" s="575">
        <v>61571.595440980236</v>
      </c>
      <c r="I102" s="576">
        <v>61571.595440980236</v>
      </c>
      <c r="J102" s="514">
        <f t="shared" si="30"/>
        <v>0</v>
      </c>
      <c r="K102" s="514"/>
      <c r="L102" s="518">
        <f t="shared" si="31"/>
        <v>61571.595440980236</v>
      </c>
      <c r="M102" s="519">
        <f t="shared" si="37"/>
        <v>0</v>
      </c>
      <c r="N102" s="518">
        <f t="shared" si="33"/>
        <v>61571.595440980236</v>
      </c>
      <c r="O102" s="514">
        <f>IF(N102&lt;&gt;0,+I102-N102,0)</f>
        <v>0</v>
      </c>
      <c r="P102" s="514">
        <f>+O102-M102</f>
        <v>0</v>
      </c>
      <c r="Q102" s="269"/>
    </row>
    <row r="103" spans="1:17">
      <c r="B103" s="195" t="str">
        <f t="shared" si="36"/>
        <v/>
      </c>
      <c r="C103" s="507">
        <f>IF(D93="","-",+C102+1)</f>
        <v>2016</v>
      </c>
      <c r="D103" s="508">
        <v>386087.01190476189</v>
      </c>
      <c r="E103" s="516">
        <v>9802.7209302325573</v>
      </c>
      <c r="F103" s="515">
        <v>376284.29097452934</v>
      </c>
      <c r="G103" s="515">
        <v>381185.65143964562</v>
      </c>
      <c r="H103" s="575">
        <v>58194.234916187183</v>
      </c>
      <c r="I103" s="576">
        <v>58194.234916187183</v>
      </c>
      <c r="J103" s="514">
        <f t="shared" si="30"/>
        <v>0</v>
      </c>
      <c r="K103" s="514"/>
      <c r="L103" s="518">
        <f t="shared" si="31"/>
        <v>58194.234916187183</v>
      </c>
      <c r="M103" s="519">
        <f t="shared" si="37"/>
        <v>0</v>
      </c>
      <c r="N103" s="518">
        <f t="shared" si="33"/>
        <v>58194.234916187183</v>
      </c>
      <c r="O103" s="514">
        <f>IF(N103&lt;&gt;0,+I103-N103,0)</f>
        <v>0</v>
      </c>
      <c r="P103" s="514">
        <f>+O103-M103</f>
        <v>0</v>
      </c>
      <c r="Q103" s="269"/>
    </row>
    <row r="104" spans="1:17">
      <c r="B104" s="195" t="str">
        <f t="shared" si="36"/>
        <v/>
      </c>
      <c r="C104" s="507">
        <f>IF(D93="","-",+C103+1)</f>
        <v>2017</v>
      </c>
      <c r="D104" s="508">
        <v>376284.29097452934</v>
      </c>
      <c r="E104" s="516">
        <v>10036.119047619048</v>
      </c>
      <c r="F104" s="515">
        <v>366248.17192691029</v>
      </c>
      <c r="G104" s="515">
        <v>371266.23145071982</v>
      </c>
      <c r="H104" s="575">
        <v>55134.369370776643</v>
      </c>
      <c r="I104" s="576">
        <v>55134.369370776643</v>
      </c>
      <c r="J104" s="514">
        <f t="shared" si="30"/>
        <v>0</v>
      </c>
      <c r="K104" s="514"/>
      <c r="L104" s="518">
        <f t="shared" si="31"/>
        <v>55134.369370776643</v>
      </c>
      <c r="M104" s="519">
        <f t="shared" si="37"/>
        <v>0</v>
      </c>
      <c r="N104" s="518">
        <f t="shared" si="33"/>
        <v>55134.369370776643</v>
      </c>
      <c r="O104" s="514">
        <f>IF(N104&lt;&gt;0,+I104-N104,0)</f>
        <v>0</v>
      </c>
      <c r="P104" s="514">
        <f>+O104-M104</f>
        <v>0</v>
      </c>
      <c r="Q104" s="269"/>
    </row>
    <row r="105" spans="1:17">
      <c r="B105" s="195" t="str">
        <f t="shared" si="36"/>
        <v/>
      </c>
      <c r="C105" s="507">
        <f>IF(D93="","-",+C104+1)</f>
        <v>2018</v>
      </c>
      <c r="D105" s="508">
        <v>366248.17192691029</v>
      </c>
      <c r="E105" s="516">
        <v>10036.119047619048</v>
      </c>
      <c r="F105" s="515">
        <v>356212.05287929124</v>
      </c>
      <c r="G105" s="515">
        <v>361230.11240310076</v>
      </c>
      <c r="H105" s="575">
        <v>48183.675453584445</v>
      </c>
      <c r="I105" s="576">
        <v>48183.675453584445</v>
      </c>
      <c r="J105" s="514">
        <f t="shared" si="30"/>
        <v>0</v>
      </c>
      <c r="K105" s="514"/>
      <c r="L105" s="518">
        <f t="shared" ref="L105" si="38">H105</f>
        <v>48183.675453584445</v>
      </c>
      <c r="M105" s="519">
        <f t="shared" si="37"/>
        <v>0</v>
      </c>
      <c r="N105" s="518">
        <f t="shared" ref="N105" si="39">I105</f>
        <v>48183.675453584445</v>
      </c>
      <c r="O105" s="514">
        <f t="shared" si="34"/>
        <v>0</v>
      </c>
      <c r="P105" s="514">
        <f t="shared" si="35"/>
        <v>0</v>
      </c>
      <c r="Q105" s="269"/>
    </row>
    <row r="106" spans="1:17">
      <c r="B106" s="195" t="str">
        <f t="shared" si="36"/>
        <v/>
      </c>
      <c r="C106" s="507">
        <f>IF(D93="","-",+C105+1)</f>
        <v>2019</v>
      </c>
      <c r="D106" s="508">
        <v>356212.05287929124</v>
      </c>
      <c r="E106" s="516">
        <v>9802.7209302325573</v>
      </c>
      <c r="F106" s="515">
        <v>346409.33194905869</v>
      </c>
      <c r="G106" s="515">
        <v>351310.69241417496</v>
      </c>
      <c r="H106" s="575">
        <v>47407.209452315969</v>
      </c>
      <c r="I106" s="576">
        <v>47407.209452315969</v>
      </c>
      <c r="J106" s="514">
        <f t="shared" si="30"/>
        <v>0</v>
      </c>
      <c r="K106" s="514"/>
      <c r="L106" s="518">
        <f t="shared" ref="L106:L107" si="40">H106</f>
        <v>47407.209452315969</v>
      </c>
      <c r="M106" s="519">
        <f t="shared" ref="M106:M107" si="41">IF(L106&lt;&gt;0,+H106-L106,0)</f>
        <v>0</v>
      </c>
      <c r="N106" s="518">
        <f t="shared" ref="N106:N107" si="42">I106</f>
        <v>47407.209452315969</v>
      </c>
      <c r="O106" s="514">
        <f t="shared" si="34"/>
        <v>0</v>
      </c>
      <c r="P106" s="514">
        <f t="shared" si="35"/>
        <v>0</v>
      </c>
      <c r="Q106" s="269"/>
    </row>
    <row r="107" spans="1:17">
      <c r="B107" s="195" t="str">
        <f t="shared" si="36"/>
        <v/>
      </c>
      <c r="C107" s="507">
        <f>IF(D93="","-",+C106+1)</f>
        <v>2020</v>
      </c>
      <c r="D107" s="508">
        <v>346409.33194905869</v>
      </c>
      <c r="E107" s="516">
        <v>10036.119047619048</v>
      </c>
      <c r="F107" s="515">
        <v>336373.21290143963</v>
      </c>
      <c r="G107" s="515">
        <v>341391.27242524916</v>
      </c>
      <c r="H107" s="575">
        <v>46760.886604706458</v>
      </c>
      <c r="I107" s="576">
        <v>46760.886604706458</v>
      </c>
      <c r="J107" s="514">
        <f t="shared" si="30"/>
        <v>0</v>
      </c>
      <c r="K107" s="514"/>
      <c r="L107" s="518">
        <f t="shared" si="40"/>
        <v>46760.886604706458</v>
      </c>
      <c r="M107" s="519">
        <f t="shared" si="41"/>
        <v>0</v>
      </c>
      <c r="N107" s="518">
        <f t="shared" si="42"/>
        <v>46760.886604706458</v>
      </c>
      <c r="O107" s="514">
        <f t="shared" si="34"/>
        <v>0</v>
      </c>
      <c r="P107" s="514">
        <f t="shared" si="35"/>
        <v>0</v>
      </c>
      <c r="Q107" s="269"/>
    </row>
    <row r="108" spans="1:17">
      <c r="B108" s="195" t="str">
        <f t="shared" si="36"/>
        <v/>
      </c>
      <c r="C108" s="507">
        <f>IF(D93="","-",+C107+1)</f>
        <v>2021</v>
      </c>
      <c r="D108" s="508">
        <v>336373.21290143963</v>
      </c>
      <c r="E108" s="516">
        <v>10280.90243902439</v>
      </c>
      <c r="F108" s="515">
        <v>326092.31046241522</v>
      </c>
      <c r="G108" s="515">
        <v>331232.76168192743</v>
      </c>
      <c r="H108" s="575">
        <v>47880.533130342868</v>
      </c>
      <c r="I108" s="576">
        <v>47880.533130342868</v>
      </c>
      <c r="J108" s="514">
        <f t="shared" si="30"/>
        <v>0</v>
      </c>
      <c r="K108" s="514"/>
      <c r="L108" s="518">
        <f t="shared" ref="L108" si="43">H108</f>
        <v>47880.533130342868</v>
      </c>
      <c r="M108" s="519">
        <f t="shared" ref="M108" si="44">IF(L108&lt;&gt;0,+H108-L108,0)</f>
        <v>0</v>
      </c>
      <c r="N108" s="518">
        <f t="shared" ref="N108" si="45">I108</f>
        <v>47880.533130342868</v>
      </c>
      <c r="O108" s="514">
        <f t="shared" ref="O108" si="46">IF(N108&lt;&gt;0,+I108-N108,0)</f>
        <v>0</v>
      </c>
      <c r="P108" s="514">
        <f t="shared" ref="P108" si="47">+O108-M108</f>
        <v>0</v>
      </c>
      <c r="Q108" s="269"/>
    </row>
    <row r="109" spans="1:17">
      <c r="B109" s="195" t="str">
        <f t="shared" si="36"/>
        <v/>
      </c>
      <c r="C109" s="673">
        <f>IF(D93="","-",+C108+1)</f>
        <v>2022</v>
      </c>
      <c r="D109" s="374">
        <v>326092.31046241522</v>
      </c>
      <c r="E109" s="522">
        <v>10036.119047619048</v>
      </c>
      <c r="F109" s="523">
        <v>316056.19141479617</v>
      </c>
      <c r="G109" s="523">
        <v>321074.25093860569</v>
      </c>
      <c r="H109" s="526">
        <v>47748.808019325494</v>
      </c>
      <c r="I109" s="577">
        <v>47748.808019325494</v>
      </c>
      <c r="J109" s="514">
        <f t="shared" si="30"/>
        <v>0</v>
      </c>
      <c r="K109" s="514"/>
      <c r="L109" s="525"/>
      <c r="M109" s="514">
        <f t="shared" si="32"/>
        <v>0</v>
      </c>
      <c r="N109" s="525"/>
      <c r="O109" s="514">
        <f t="shared" si="34"/>
        <v>0</v>
      </c>
      <c r="P109" s="514">
        <f t="shared" si="35"/>
        <v>0</v>
      </c>
      <c r="Q109" s="269"/>
    </row>
    <row r="110" spans="1:17">
      <c r="B110" s="195" t="str">
        <f t="shared" si="36"/>
        <v/>
      </c>
      <c r="C110" s="507">
        <f>IF(D93="","-",+C109+1)</f>
        <v>2023</v>
      </c>
      <c r="D110" s="374">
        <f>IF(F109+SUM(E$99:E109)=D$92,F109,D$92-SUM(E$99:E109))</f>
        <v>316056.19141479617</v>
      </c>
      <c r="E110" s="522">
        <f>IF(+J96&lt;F109,J96,D110)</f>
        <v>10280.90243902439</v>
      </c>
      <c r="F110" s="523">
        <f t="shared" ref="F110:F131" si="48">+D110-E110</f>
        <v>305775.28897577175</v>
      </c>
      <c r="G110" s="523">
        <f t="shared" ref="G110:G130" si="49">+(F110+D110)/2</f>
        <v>310915.74019528396</v>
      </c>
      <c r="H110" s="526">
        <f t="shared" ref="H110:H130" si="50">+J$94*G110+E110</f>
        <v>45574.262154107317</v>
      </c>
      <c r="I110" s="577">
        <f t="shared" ref="I110:I130" si="51">+J$95*G110+E110</f>
        <v>45574.262154107317</v>
      </c>
      <c r="J110" s="514">
        <f t="shared" si="30"/>
        <v>0</v>
      </c>
      <c r="K110" s="514"/>
      <c r="L110" s="525"/>
      <c r="M110" s="514">
        <f t="shared" si="32"/>
        <v>0</v>
      </c>
      <c r="N110" s="525"/>
      <c r="O110" s="514">
        <f t="shared" si="34"/>
        <v>0</v>
      </c>
      <c r="P110" s="514">
        <f t="shared" si="35"/>
        <v>0</v>
      </c>
      <c r="Q110" s="269"/>
    </row>
    <row r="111" spans="1:17">
      <c r="B111" s="195" t="str">
        <f t="shared" si="36"/>
        <v/>
      </c>
      <c r="C111" s="507">
        <f>IF(D93="","-",+C110+1)</f>
        <v>2024</v>
      </c>
      <c r="D111" s="374">
        <f>IF(F110+SUM(E$99:E110)=D$92,F110,D$92-SUM(E$99:E110))</f>
        <v>305775.28897577175</v>
      </c>
      <c r="E111" s="522">
        <f>IF(+J96&lt;F110,J96,D111)</f>
        <v>10280.90243902439</v>
      </c>
      <c r="F111" s="523">
        <f t="shared" si="48"/>
        <v>295494.38653674733</v>
      </c>
      <c r="G111" s="523">
        <f t="shared" si="49"/>
        <v>300634.83775625954</v>
      </c>
      <c r="H111" s="526">
        <f t="shared" si="50"/>
        <v>44407.233467337515</v>
      </c>
      <c r="I111" s="577">
        <f t="shared" si="51"/>
        <v>44407.233467337515</v>
      </c>
      <c r="J111" s="514">
        <f t="shared" si="30"/>
        <v>0</v>
      </c>
      <c r="K111" s="514"/>
      <c r="L111" s="525"/>
      <c r="M111" s="514">
        <f t="shared" si="32"/>
        <v>0</v>
      </c>
      <c r="N111" s="525"/>
      <c r="O111" s="514">
        <f t="shared" si="34"/>
        <v>0</v>
      </c>
      <c r="P111" s="514">
        <f t="shared" si="35"/>
        <v>0</v>
      </c>
      <c r="Q111" s="269"/>
    </row>
    <row r="112" spans="1:17">
      <c r="B112" s="195" t="str">
        <f t="shared" si="36"/>
        <v/>
      </c>
      <c r="C112" s="507">
        <f>IF(D93="","-",+C111+1)</f>
        <v>2025</v>
      </c>
      <c r="D112" s="374">
        <f>IF(F111+SUM(E$99:E111)=D$92,F111,D$92-SUM(E$99:E111))</f>
        <v>295494.38653674733</v>
      </c>
      <c r="E112" s="522">
        <f>IF(+J96&lt;F111,J96,D112)</f>
        <v>10280.90243902439</v>
      </c>
      <c r="F112" s="523">
        <f t="shared" si="48"/>
        <v>285213.48409772292</v>
      </c>
      <c r="G112" s="523">
        <f t="shared" si="49"/>
        <v>290353.93531723513</v>
      </c>
      <c r="H112" s="526">
        <f t="shared" si="50"/>
        <v>43240.204780567714</v>
      </c>
      <c r="I112" s="577">
        <f t="shared" si="51"/>
        <v>43240.204780567714</v>
      </c>
      <c r="J112" s="514">
        <f t="shared" si="30"/>
        <v>0</v>
      </c>
      <c r="K112" s="514"/>
      <c r="L112" s="525"/>
      <c r="M112" s="514">
        <f t="shared" si="32"/>
        <v>0</v>
      </c>
      <c r="N112" s="525"/>
      <c r="O112" s="514">
        <f t="shared" si="34"/>
        <v>0</v>
      </c>
      <c r="P112" s="514">
        <f t="shared" si="35"/>
        <v>0</v>
      </c>
      <c r="Q112" s="269"/>
    </row>
    <row r="113" spans="2:17">
      <c r="B113" s="195" t="str">
        <f t="shared" si="36"/>
        <v/>
      </c>
      <c r="C113" s="507">
        <f>IF(D93="","-",+C112+1)</f>
        <v>2026</v>
      </c>
      <c r="D113" s="374">
        <f>IF(F112+SUM(E$99:E112)=D$92,F112,D$92-SUM(E$99:E112))</f>
        <v>285213.48409772292</v>
      </c>
      <c r="E113" s="522">
        <f>IF(+J96&lt;F112,J96,D113)</f>
        <v>10280.90243902439</v>
      </c>
      <c r="F113" s="523">
        <f t="shared" si="48"/>
        <v>274932.5816586985</v>
      </c>
      <c r="G113" s="523">
        <f t="shared" si="49"/>
        <v>280073.03287821071</v>
      </c>
      <c r="H113" s="526">
        <f t="shared" si="50"/>
        <v>42073.176093797927</v>
      </c>
      <c r="I113" s="577">
        <f t="shared" si="51"/>
        <v>42073.176093797927</v>
      </c>
      <c r="J113" s="514">
        <f t="shared" si="30"/>
        <v>0</v>
      </c>
      <c r="K113" s="514"/>
      <c r="L113" s="525"/>
      <c r="M113" s="514">
        <f t="shared" si="32"/>
        <v>0</v>
      </c>
      <c r="N113" s="525"/>
      <c r="O113" s="514">
        <f t="shared" si="34"/>
        <v>0</v>
      </c>
      <c r="P113" s="514">
        <f t="shared" si="35"/>
        <v>0</v>
      </c>
      <c r="Q113" s="269"/>
    </row>
    <row r="114" spans="2:17">
      <c r="B114" s="195" t="str">
        <f t="shared" si="36"/>
        <v/>
      </c>
      <c r="C114" s="507">
        <f>IF(D93="","-",+C113+1)</f>
        <v>2027</v>
      </c>
      <c r="D114" s="374">
        <f>IF(F113+SUM(E$99:E113)=D$92,F113,D$92-SUM(E$99:E113))</f>
        <v>274932.5816586985</v>
      </c>
      <c r="E114" s="522">
        <f>IF(+J96&lt;F113,J96,D114)</f>
        <v>10280.90243902439</v>
      </c>
      <c r="F114" s="523">
        <f t="shared" si="48"/>
        <v>264651.67921967409</v>
      </c>
      <c r="G114" s="523">
        <f t="shared" si="49"/>
        <v>269792.13043918629</v>
      </c>
      <c r="H114" s="526">
        <f t="shared" si="50"/>
        <v>40906.147407028126</v>
      </c>
      <c r="I114" s="577">
        <f t="shared" si="51"/>
        <v>40906.147407028126</v>
      </c>
      <c r="J114" s="514">
        <f t="shared" si="30"/>
        <v>0</v>
      </c>
      <c r="K114" s="514"/>
      <c r="L114" s="525"/>
      <c r="M114" s="514">
        <f t="shared" si="32"/>
        <v>0</v>
      </c>
      <c r="N114" s="525"/>
      <c r="O114" s="514">
        <f t="shared" si="34"/>
        <v>0</v>
      </c>
      <c r="P114" s="514">
        <f t="shared" si="35"/>
        <v>0</v>
      </c>
      <c r="Q114" s="269"/>
    </row>
    <row r="115" spans="2:17">
      <c r="B115" s="195" t="str">
        <f t="shared" si="36"/>
        <v/>
      </c>
      <c r="C115" s="507">
        <f>IF(D93="","-",+C114+1)</f>
        <v>2028</v>
      </c>
      <c r="D115" s="374">
        <f>IF(F114+SUM(E$99:E114)=D$92,F114,D$92-SUM(E$99:E114))</f>
        <v>264651.67921967409</v>
      </c>
      <c r="E115" s="522">
        <f>IF(+J96&lt;F114,J96,D115)</f>
        <v>10280.90243902439</v>
      </c>
      <c r="F115" s="523">
        <f t="shared" si="48"/>
        <v>254370.7767806497</v>
      </c>
      <c r="G115" s="523">
        <f t="shared" si="49"/>
        <v>259511.22800016188</v>
      </c>
      <c r="H115" s="526">
        <f t="shared" si="50"/>
        <v>39739.118720258324</v>
      </c>
      <c r="I115" s="577">
        <f t="shared" si="51"/>
        <v>39739.118720258324</v>
      </c>
      <c r="J115" s="514">
        <f t="shared" si="30"/>
        <v>0</v>
      </c>
      <c r="K115" s="514"/>
      <c r="L115" s="525"/>
      <c r="M115" s="514">
        <f t="shared" si="32"/>
        <v>0</v>
      </c>
      <c r="N115" s="525"/>
      <c r="O115" s="514">
        <f t="shared" si="34"/>
        <v>0</v>
      </c>
      <c r="P115" s="514">
        <f t="shared" si="35"/>
        <v>0</v>
      </c>
      <c r="Q115" s="269"/>
    </row>
    <row r="116" spans="2:17">
      <c r="B116" s="195" t="str">
        <f t="shared" si="36"/>
        <v/>
      </c>
      <c r="C116" s="507">
        <f>IF(D93="","-",+C115+1)</f>
        <v>2029</v>
      </c>
      <c r="D116" s="374">
        <f>IF(F115+SUM(E$99:E115)=D$92,F115,D$92-SUM(E$99:E115))</f>
        <v>254370.7767806497</v>
      </c>
      <c r="E116" s="522">
        <f>IF(+J96&lt;F115,J96,D116)</f>
        <v>10280.90243902439</v>
      </c>
      <c r="F116" s="523">
        <f t="shared" si="48"/>
        <v>244089.87434162531</v>
      </c>
      <c r="G116" s="523">
        <f t="shared" si="49"/>
        <v>249230.32556113752</v>
      </c>
      <c r="H116" s="526">
        <f t="shared" si="50"/>
        <v>38572.090033488537</v>
      </c>
      <c r="I116" s="577">
        <f t="shared" si="51"/>
        <v>38572.090033488537</v>
      </c>
      <c r="J116" s="514">
        <f t="shared" si="30"/>
        <v>0</v>
      </c>
      <c r="K116" s="514"/>
      <c r="L116" s="525"/>
      <c r="M116" s="514">
        <f t="shared" si="32"/>
        <v>0</v>
      </c>
      <c r="N116" s="525"/>
      <c r="O116" s="514">
        <f t="shared" si="34"/>
        <v>0</v>
      </c>
      <c r="P116" s="514">
        <f t="shared" si="35"/>
        <v>0</v>
      </c>
      <c r="Q116" s="269"/>
    </row>
    <row r="117" spans="2:17">
      <c r="B117" s="195" t="str">
        <f t="shared" si="36"/>
        <v/>
      </c>
      <c r="C117" s="507">
        <f>IF(D93="","-",+C116+1)</f>
        <v>2030</v>
      </c>
      <c r="D117" s="374">
        <f>IF(F116+SUM(E$99:E116)=D$92,F116,D$92-SUM(E$99:E116))</f>
        <v>244089.87434162531</v>
      </c>
      <c r="E117" s="522">
        <f>IF(+J96&lt;F116,J96,D117)</f>
        <v>10280.90243902439</v>
      </c>
      <c r="F117" s="523">
        <f t="shared" si="48"/>
        <v>233808.97190260093</v>
      </c>
      <c r="G117" s="523">
        <f t="shared" si="49"/>
        <v>238949.4231221131</v>
      </c>
      <c r="H117" s="526">
        <f t="shared" si="50"/>
        <v>37405.061346718736</v>
      </c>
      <c r="I117" s="577">
        <f t="shared" si="51"/>
        <v>37405.061346718736</v>
      </c>
      <c r="J117" s="514">
        <f t="shared" si="30"/>
        <v>0</v>
      </c>
      <c r="K117" s="514"/>
      <c r="L117" s="525"/>
      <c r="M117" s="514">
        <f t="shared" si="32"/>
        <v>0</v>
      </c>
      <c r="N117" s="525"/>
      <c r="O117" s="514">
        <f t="shared" si="34"/>
        <v>0</v>
      </c>
      <c r="P117" s="514">
        <f t="shared" si="35"/>
        <v>0</v>
      </c>
      <c r="Q117" s="269"/>
    </row>
    <row r="118" spans="2:17">
      <c r="B118" s="195" t="str">
        <f t="shared" si="36"/>
        <v/>
      </c>
      <c r="C118" s="507">
        <f>IF(D93="","-",+C117+1)</f>
        <v>2031</v>
      </c>
      <c r="D118" s="374">
        <f>IF(F117+SUM(E$99:E117)=D$92,F117,D$92-SUM(E$99:E117))</f>
        <v>233808.97190260093</v>
      </c>
      <c r="E118" s="522">
        <f>IF(+J96&lt;F117,J96,D118)</f>
        <v>10280.90243902439</v>
      </c>
      <c r="F118" s="523">
        <f t="shared" si="48"/>
        <v>223528.06946357654</v>
      </c>
      <c r="G118" s="523">
        <f t="shared" si="49"/>
        <v>228668.52068308875</v>
      </c>
      <c r="H118" s="526">
        <f t="shared" si="50"/>
        <v>36238.032659948942</v>
      </c>
      <c r="I118" s="577">
        <f t="shared" si="51"/>
        <v>36238.032659948942</v>
      </c>
      <c r="J118" s="514">
        <f t="shared" si="30"/>
        <v>0</v>
      </c>
      <c r="K118" s="514"/>
      <c r="L118" s="525"/>
      <c r="M118" s="514">
        <f t="shared" si="32"/>
        <v>0</v>
      </c>
      <c r="N118" s="525"/>
      <c r="O118" s="514">
        <f t="shared" si="34"/>
        <v>0</v>
      </c>
      <c r="P118" s="514">
        <f t="shared" si="35"/>
        <v>0</v>
      </c>
      <c r="Q118" s="269"/>
    </row>
    <row r="119" spans="2:17">
      <c r="B119" s="195" t="str">
        <f t="shared" si="36"/>
        <v/>
      </c>
      <c r="C119" s="507">
        <f>IF(D93="","-",+C118+1)</f>
        <v>2032</v>
      </c>
      <c r="D119" s="374">
        <f>IF(F118+SUM(E$99:E118)=D$92,F118,D$92-SUM(E$99:E118))</f>
        <v>223528.06946357654</v>
      </c>
      <c r="E119" s="522">
        <f>IF(+J96&lt;F118,J96,D119)</f>
        <v>10280.90243902439</v>
      </c>
      <c r="F119" s="523">
        <f t="shared" si="48"/>
        <v>213247.16702455215</v>
      </c>
      <c r="G119" s="523">
        <f t="shared" si="49"/>
        <v>218387.61824406433</v>
      </c>
      <c r="H119" s="526">
        <f t="shared" si="50"/>
        <v>35071.003973179148</v>
      </c>
      <c r="I119" s="577">
        <f t="shared" si="51"/>
        <v>35071.003973179148</v>
      </c>
      <c r="J119" s="514">
        <f t="shared" si="30"/>
        <v>0</v>
      </c>
      <c r="K119" s="514"/>
      <c r="L119" s="525"/>
      <c r="M119" s="514">
        <f t="shared" si="32"/>
        <v>0</v>
      </c>
      <c r="N119" s="525"/>
      <c r="O119" s="514">
        <f t="shared" si="34"/>
        <v>0</v>
      </c>
      <c r="P119" s="514">
        <f t="shared" si="35"/>
        <v>0</v>
      </c>
      <c r="Q119" s="269"/>
    </row>
    <row r="120" spans="2:17">
      <c r="B120" s="195" t="str">
        <f t="shared" si="36"/>
        <v/>
      </c>
      <c r="C120" s="507">
        <f>IF(D93="","-",+C119+1)</f>
        <v>2033</v>
      </c>
      <c r="D120" s="374">
        <f>IF(F119+SUM(E$99:E119)=D$92,F119,D$92-SUM(E$99:E119))</f>
        <v>213247.16702455215</v>
      </c>
      <c r="E120" s="522">
        <f>IF(+J96&lt;F119,J96,D120)</f>
        <v>10280.90243902439</v>
      </c>
      <c r="F120" s="523">
        <f t="shared" si="48"/>
        <v>202966.26458552777</v>
      </c>
      <c r="G120" s="523">
        <f t="shared" si="49"/>
        <v>208106.71580503997</v>
      </c>
      <c r="H120" s="526">
        <f t="shared" si="50"/>
        <v>33903.975286409346</v>
      </c>
      <c r="I120" s="577">
        <f t="shared" si="51"/>
        <v>33903.975286409346</v>
      </c>
      <c r="J120" s="514">
        <f t="shared" si="30"/>
        <v>0</v>
      </c>
      <c r="K120" s="514"/>
      <c r="L120" s="525"/>
      <c r="M120" s="514">
        <f t="shared" si="32"/>
        <v>0</v>
      </c>
      <c r="N120" s="525"/>
      <c r="O120" s="514">
        <f t="shared" si="34"/>
        <v>0</v>
      </c>
      <c r="P120" s="514">
        <f t="shared" si="35"/>
        <v>0</v>
      </c>
      <c r="Q120" s="269"/>
    </row>
    <row r="121" spans="2:17">
      <c r="B121" s="195" t="str">
        <f t="shared" si="36"/>
        <v/>
      </c>
      <c r="C121" s="507">
        <f>IF(D93="","-",+C120+1)</f>
        <v>2034</v>
      </c>
      <c r="D121" s="374">
        <f>IF(F120+SUM(E$99:E120)=D$92,F120,D$92-SUM(E$99:E120))</f>
        <v>202966.26458552777</v>
      </c>
      <c r="E121" s="522">
        <f>IF(+J96&lt;F120,J96,D121)</f>
        <v>10280.90243902439</v>
      </c>
      <c r="F121" s="523">
        <f t="shared" si="48"/>
        <v>192685.36214650338</v>
      </c>
      <c r="G121" s="523">
        <f t="shared" si="49"/>
        <v>197825.81336601556</v>
      </c>
      <c r="H121" s="526">
        <f t="shared" si="50"/>
        <v>32736.946599639552</v>
      </c>
      <c r="I121" s="577">
        <f t="shared" si="51"/>
        <v>32736.946599639552</v>
      </c>
      <c r="J121" s="514">
        <f t="shared" si="30"/>
        <v>0</v>
      </c>
      <c r="K121" s="514"/>
      <c r="L121" s="525"/>
      <c r="M121" s="514">
        <f t="shared" si="32"/>
        <v>0</v>
      </c>
      <c r="N121" s="525"/>
      <c r="O121" s="514">
        <f t="shared" si="34"/>
        <v>0</v>
      </c>
      <c r="P121" s="514">
        <f t="shared" si="35"/>
        <v>0</v>
      </c>
      <c r="Q121" s="269"/>
    </row>
    <row r="122" spans="2:17">
      <c r="B122" s="195" t="str">
        <f t="shared" si="36"/>
        <v/>
      </c>
      <c r="C122" s="507">
        <f>IF(D93="","-",+C121+1)</f>
        <v>2035</v>
      </c>
      <c r="D122" s="374">
        <f>IF(F121+SUM(E$99:E121)=D$92,F121,D$92-SUM(E$99:E121))</f>
        <v>192685.36214650338</v>
      </c>
      <c r="E122" s="522">
        <f>IF(+J96&lt;F121,J96,D122)</f>
        <v>10280.90243902439</v>
      </c>
      <c r="F122" s="523">
        <f t="shared" si="48"/>
        <v>182404.45970747899</v>
      </c>
      <c r="G122" s="523">
        <f t="shared" si="49"/>
        <v>187544.9109269912</v>
      </c>
      <c r="H122" s="526">
        <f t="shared" si="50"/>
        <v>31569.917912869761</v>
      </c>
      <c r="I122" s="577">
        <f t="shared" si="51"/>
        <v>31569.917912869761</v>
      </c>
      <c r="J122" s="514">
        <f t="shared" si="30"/>
        <v>0</v>
      </c>
      <c r="K122" s="514"/>
      <c r="L122" s="525"/>
      <c r="M122" s="514">
        <f t="shared" si="32"/>
        <v>0</v>
      </c>
      <c r="N122" s="525"/>
      <c r="O122" s="514">
        <f t="shared" si="34"/>
        <v>0</v>
      </c>
      <c r="P122" s="514">
        <f t="shared" si="35"/>
        <v>0</v>
      </c>
      <c r="Q122" s="269"/>
    </row>
    <row r="123" spans="2:17">
      <c r="B123" s="195" t="str">
        <f t="shared" si="36"/>
        <v/>
      </c>
      <c r="C123" s="507">
        <f>IF(D93="","-",+C122+1)</f>
        <v>2036</v>
      </c>
      <c r="D123" s="374">
        <f>IF(F122+SUM(E$99:E122)=D$92,F122,D$92-SUM(E$99:E122))</f>
        <v>182404.45970747899</v>
      </c>
      <c r="E123" s="522">
        <f>IF(+J96&lt;F122,J96,D123)</f>
        <v>10280.90243902439</v>
      </c>
      <c r="F123" s="523">
        <f t="shared" si="48"/>
        <v>172123.55726845461</v>
      </c>
      <c r="G123" s="523">
        <f t="shared" si="49"/>
        <v>177264.00848796678</v>
      </c>
      <c r="H123" s="526">
        <f t="shared" si="50"/>
        <v>30402.88922609996</v>
      </c>
      <c r="I123" s="577">
        <f t="shared" si="51"/>
        <v>30402.88922609996</v>
      </c>
      <c r="J123" s="514">
        <f t="shared" si="30"/>
        <v>0</v>
      </c>
      <c r="K123" s="514"/>
      <c r="L123" s="525"/>
      <c r="M123" s="514">
        <f t="shared" si="32"/>
        <v>0</v>
      </c>
      <c r="N123" s="525"/>
      <c r="O123" s="514">
        <f t="shared" si="34"/>
        <v>0</v>
      </c>
      <c r="P123" s="514">
        <f t="shared" si="35"/>
        <v>0</v>
      </c>
      <c r="Q123" s="269"/>
    </row>
    <row r="124" spans="2:17">
      <c r="B124" s="195" t="str">
        <f t="shared" si="36"/>
        <v/>
      </c>
      <c r="C124" s="507">
        <f>IF(D93="","-",+C123+1)</f>
        <v>2037</v>
      </c>
      <c r="D124" s="374">
        <f>IF(F123+SUM(E$99:E123)=D$92,F123,D$92-SUM(E$99:E123))</f>
        <v>172123.55726845461</v>
      </c>
      <c r="E124" s="522">
        <f>IF(+J96&lt;F123,J96,D124)</f>
        <v>10280.90243902439</v>
      </c>
      <c r="F124" s="523">
        <f t="shared" si="48"/>
        <v>161842.65482943022</v>
      </c>
      <c r="G124" s="523">
        <f t="shared" si="49"/>
        <v>166983.10604894243</v>
      </c>
      <c r="H124" s="526">
        <f t="shared" si="50"/>
        <v>29235.86053933017</v>
      </c>
      <c r="I124" s="577">
        <f t="shared" si="51"/>
        <v>29235.86053933017</v>
      </c>
      <c r="J124" s="514">
        <f t="shared" si="30"/>
        <v>0</v>
      </c>
      <c r="K124" s="514"/>
      <c r="L124" s="525"/>
      <c r="M124" s="514">
        <f t="shared" si="32"/>
        <v>0</v>
      </c>
      <c r="N124" s="525"/>
      <c r="O124" s="514">
        <f t="shared" si="34"/>
        <v>0</v>
      </c>
      <c r="P124" s="514">
        <f t="shared" si="35"/>
        <v>0</v>
      </c>
      <c r="Q124" s="269"/>
    </row>
    <row r="125" spans="2:17">
      <c r="B125" s="195" t="str">
        <f t="shared" si="36"/>
        <v/>
      </c>
      <c r="C125" s="507">
        <f>IF(D93="","-",+C124+1)</f>
        <v>2038</v>
      </c>
      <c r="D125" s="374">
        <f>IF(F124+SUM(E$99:E124)=D$92,F124,D$92-SUM(E$99:E124))</f>
        <v>161842.65482943022</v>
      </c>
      <c r="E125" s="522">
        <f>IF(+J96&lt;F124,J96,D125)</f>
        <v>10280.90243902439</v>
      </c>
      <c r="F125" s="523">
        <f t="shared" si="48"/>
        <v>151561.75239040583</v>
      </c>
      <c r="G125" s="523">
        <f t="shared" si="49"/>
        <v>156702.20360991801</v>
      </c>
      <c r="H125" s="526">
        <f t="shared" si="50"/>
        <v>28068.831852560372</v>
      </c>
      <c r="I125" s="577">
        <f t="shared" si="51"/>
        <v>28068.831852560372</v>
      </c>
      <c r="J125" s="514">
        <f t="shared" si="30"/>
        <v>0</v>
      </c>
      <c r="K125" s="514"/>
      <c r="L125" s="525"/>
      <c r="M125" s="514">
        <f t="shared" si="32"/>
        <v>0</v>
      </c>
      <c r="N125" s="525"/>
      <c r="O125" s="514">
        <f t="shared" si="34"/>
        <v>0</v>
      </c>
      <c r="P125" s="514">
        <f t="shared" si="35"/>
        <v>0</v>
      </c>
      <c r="Q125" s="269"/>
    </row>
    <row r="126" spans="2:17">
      <c r="B126" s="195" t="str">
        <f t="shared" si="36"/>
        <v/>
      </c>
      <c r="C126" s="507">
        <f>IF(D93="","-",+C125+1)</f>
        <v>2039</v>
      </c>
      <c r="D126" s="374">
        <f>IF(F125+SUM(E$99:E125)=D$92,F125,D$92-SUM(E$99:E125))</f>
        <v>151561.75239040583</v>
      </c>
      <c r="E126" s="522">
        <f>IF(+J96&lt;F125,J96,D126)</f>
        <v>10280.90243902439</v>
      </c>
      <c r="F126" s="523">
        <f t="shared" si="48"/>
        <v>141280.84995138145</v>
      </c>
      <c r="G126" s="523">
        <f t="shared" si="49"/>
        <v>146421.30117089365</v>
      </c>
      <c r="H126" s="526">
        <f t="shared" si="50"/>
        <v>26901.803165790578</v>
      </c>
      <c r="I126" s="577">
        <f t="shared" si="51"/>
        <v>26901.803165790578</v>
      </c>
      <c r="J126" s="514">
        <f t="shared" si="30"/>
        <v>0</v>
      </c>
      <c r="K126" s="514"/>
      <c r="L126" s="525"/>
      <c r="M126" s="514">
        <f t="shared" si="32"/>
        <v>0</v>
      </c>
      <c r="N126" s="525"/>
      <c r="O126" s="514">
        <f t="shared" si="34"/>
        <v>0</v>
      </c>
      <c r="P126" s="514">
        <f t="shared" si="35"/>
        <v>0</v>
      </c>
      <c r="Q126" s="269"/>
    </row>
    <row r="127" spans="2:17">
      <c r="B127" s="195" t="str">
        <f t="shared" si="36"/>
        <v/>
      </c>
      <c r="C127" s="507">
        <f>IF(D93="","-",+C126+1)</f>
        <v>2040</v>
      </c>
      <c r="D127" s="374">
        <f>IF(F126+SUM(E$99:E126)=D$92,F126,D$92-SUM(E$99:E126))</f>
        <v>141280.84995138145</v>
      </c>
      <c r="E127" s="522">
        <f>IF(+J96&lt;F126,J96,D127)</f>
        <v>10280.90243902439</v>
      </c>
      <c r="F127" s="523">
        <f t="shared" si="48"/>
        <v>130999.94751235706</v>
      </c>
      <c r="G127" s="523">
        <f t="shared" si="49"/>
        <v>136140.39873186924</v>
      </c>
      <c r="H127" s="526">
        <f t="shared" si="50"/>
        <v>25734.77447902078</v>
      </c>
      <c r="I127" s="577">
        <f t="shared" si="51"/>
        <v>25734.77447902078</v>
      </c>
      <c r="J127" s="514">
        <f t="shared" si="30"/>
        <v>0</v>
      </c>
      <c r="K127" s="514"/>
      <c r="L127" s="525"/>
      <c r="M127" s="514">
        <f t="shared" si="32"/>
        <v>0</v>
      </c>
      <c r="N127" s="525"/>
      <c r="O127" s="514">
        <f t="shared" si="34"/>
        <v>0</v>
      </c>
      <c r="P127" s="514">
        <f t="shared" si="35"/>
        <v>0</v>
      </c>
      <c r="Q127" s="269"/>
    </row>
    <row r="128" spans="2:17">
      <c r="B128" s="195" t="str">
        <f t="shared" si="36"/>
        <v/>
      </c>
      <c r="C128" s="507">
        <f>IF(D93="","-",+C127+1)</f>
        <v>2041</v>
      </c>
      <c r="D128" s="374">
        <f>IF(F127+SUM(E$99:E127)=D$92,F127,D$92-SUM(E$99:E127))</f>
        <v>130999.94751235706</v>
      </c>
      <c r="E128" s="522">
        <f>IF(+J96&lt;F127,J96,D128)</f>
        <v>10280.90243902439</v>
      </c>
      <c r="F128" s="523">
        <f t="shared" si="48"/>
        <v>120719.04507333267</v>
      </c>
      <c r="G128" s="523">
        <f t="shared" si="49"/>
        <v>125859.49629284487</v>
      </c>
      <c r="H128" s="526">
        <f t="shared" si="50"/>
        <v>24567.745792250986</v>
      </c>
      <c r="I128" s="577">
        <f t="shared" si="51"/>
        <v>24567.745792250986</v>
      </c>
      <c r="J128" s="514">
        <f t="shared" si="30"/>
        <v>0</v>
      </c>
      <c r="K128" s="514"/>
      <c r="L128" s="525"/>
      <c r="M128" s="514">
        <f t="shared" si="32"/>
        <v>0</v>
      </c>
      <c r="N128" s="525"/>
      <c r="O128" s="514">
        <f t="shared" si="34"/>
        <v>0</v>
      </c>
      <c r="P128" s="514">
        <f t="shared" si="35"/>
        <v>0</v>
      </c>
      <c r="Q128" s="269"/>
    </row>
    <row r="129" spans="2:17">
      <c r="B129" s="195" t="str">
        <f t="shared" si="36"/>
        <v/>
      </c>
      <c r="C129" s="507">
        <f>IF(D93="","-",+C128+1)</f>
        <v>2042</v>
      </c>
      <c r="D129" s="374">
        <f>IF(F128+SUM(E$99:E128)=D$92,F128,D$92-SUM(E$99:E128))</f>
        <v>120719.04507333267</v>
      </c>
      <c r="E129" s="522">
        <f>IF(+J96&lt;F128,J96,D129)</f>
        <v>10280.90243902439</v>
      </c>
      <c r="F129" s="523">
        <f t="shared" si="48"/>
        <v>110438.14263430829</v>
      </c>
      <c r="G129" s="523">
        <f t="shared" si="49"/>
        <v>115578.59385382048</v>
      </c>
      <c r="H129" s="526">
        <f t="shared" si="50"/>
        <v>23400.717105481192</v>
      </c>
      <c r="I129" s="577">
        <f t="shared" si="51"/>
        <v>23400.717105481192</v>
      </c>
      <c r="J129" s="514">
        <f t="shared" si="30"/>
        <v>0</v>
      </c>
      <c r="K129" s="514"/>
      <c r="L129" s="525"/>
      <c r="M129" s="514">
        <f t="shared" si="32"/>
        <v>0</v>
      </c>
      <c r="N129" s="525"/>
      <c r="O129" s="514">
        <f t="shared" si="34"/>
        <v>0</v>
      </c>
      <c r="P129" s="514">
        <f t="shared" si="35"/>
        <v>0</v>
      </c>
      <c r="Q129" s="269"/>
    </row>
    <row r="130" spans="2:17">
      <c r="B130" s="195" t="str">
        <f t="shared" si="36"/>
        <v/>
      </c>
      <c r="C130" s="507">
        <f>IF(D93="","-",+C129+1)</f>
        <v>2043</v>
      </c>
      <c r="D130" s="374">
        <f>IF(F129+SUM(E$99:E129)=D$92,F129,D$92-SUM(E$99:E129))</f>
        <v>110438.14263430829</v>
      </c>
      <c r="E130" s="522">
        <f>IF(+J96&lt;F129,J96,D130)</f>
        <v>10280.90243902439</v>
      </c>
      <c r="F130" s="523">
        <f t="shared" si="48"/>
        <v>100157.2401952839</v>
      </c>
      <c r="G130" s="523">
        <f t="shared" si="49"/>
        <v>105297.69141479609</v>
      </c>
      <c r="H130" s="526">
        <f t="shared" si="50"/>
        <v>22233.688418711397</v>
      </c>
      <c r="I130" s="577">
        <f t="shared" si="51"/>
        <v>22233.688418711397</v>
      </c>
      <c r="J130" s="514">
        <f t="shared" si="30"/>
        <v>0</v>
      </c>
      <c r="K130" s="514"/>
      <c r="L130" s="525"/>
      <c r="M130" s="514">
        <f t="shared" si="32"/>
        <v>0</v>
      </c>
      <c r="N130" s="525"/>
      <c r="O130" s="514">
        <f t="shared" si="34"/>
        <v>0</v>
      </c>
      <c r="P130" s="514">
        <f t="shared" si="35"/>
        <v>0</v>
      </c>
      <c r="Q130" s="269"/>
    </row>
    <row r="131" spans="2:17">
      <c r="B131" s="195" t="str">
        <f t="shared" si="36"/>
        <v/>
      </c>
      <c r="C131" s="507">
        <f>IF(D93="","-",+C130+1)</f>
        <v>2044</v>
      </c>
      <c r="D131" s="374">
        <f>IF(F130+SUM(E$99:E130)=D$92,F130,D$92-SUM(E$99:E130))</f>
        <v>100157.2401952839</v>
      </c>
      <c r="E131" s="522">
        <f>IF(+J96&lt;F130,J96,D131)</f>
        <v>10280.90243902439</v>
      </c>
      <c r="F131" s="523">
        <f t="shared" si="48"/>
        <v>89876.337756259512</v>
      </c>
      <c r="G131" s="523">
        <f t="shared" ref="G131:G154" si="52">+(F131+D131)/2</f>
        <v>95016.788975771706</v>
      </c>
      <c r="H131" s="526">
        <f t="shared" ref="H131:H154" si="53">+J$94*G131+E131</f>
        <v>21066.659731941603</v>
      </c>
      <c r="I131" s="577">
        <f t="shared" ref="I131:I154" si="54">+J$95*G131+E131</f>
        <v>21066.659731941603</v>
      </c>
      <c r="J131" s="514">
        <f t="shared" ref="J131:J154" si="55">+I131-H131</f>
        <v>0</v>
      </c>
      <c r="K131" s="514"/>
      <c r="L131" s="525"/>
      <c r="M131" s="514">
        <f t="shared" ref="M131:M154" si="56">IF(L131&lt;&gt;0,+H131-L131,0)</f>
        <v>0</v>
      </c>
      <c r="N131" s="525"/>
      <c r="O131" s="514">
        <f t="shared" ref="O131:O154" si="57">IF(N131&lt;&gt;0,+I131-N131,0)</f>
        <v>0</v>
      </c>
      <c r="P131" s="514">
        <f t="shared" ref="P131:P154" si="58">+O131-M131</f>
        <v>0</v>
      </c>
      <c r="Q131" s="269"/>
    </row>
    <row r="132" spans="2:17">
      <c r="B132" s="195" t="str">
        <f t="shared" ref="B132:B154" si="59">IF(D132=F131,"","IU")</f>
        <v/>
      </c>
      <c r="C132" s="507">
        <f>IF(D93="","-",+C131+1)</f>
        <v>2045</v>
      </c>
      <c r="D132" s="374">
        <f>IF(F131+SUM(E$99:E131)=D$92,F131,D$92-SUM(E$99:E131))</f>
        <v>89876.337756259512</v>
      </c>
      <c r="E132" s="522">
        <f>IF(+J96&lt;F131,J96,D132)</f>
        <v>10280.90243902439</v>
      </c>
      <c r="F132" s="523">
        <f t="shared" ref="F132:F154" si="60">+D132-E132</f>
        <v>79595.435317235126</v>
      </c>
      <c r="G132" s="523">
        <f t="shared" si="52"/>
        <v>84735.886536747319</v>
      </c>
      <c r="H132" s="526">
        <f t="shared" si="53"/>
        <v>19899.631045171805</v>
      </c>
      <c r="I132" s="577">
        <f t="shared" si="54"/>
        <v>19899.631045171805</v>
      </c>
      <c r="J132" s="514">
        <f t="shared" si="55"/>
        <v>0</v>
      </c>
      <c r="K132" s="514"/>
      <c r="L132" s="525"/>
      <c r="M132" s="514">
        <f t="shared" si="56"/>
        <v>0</v>
      </c>
      <c r="N132" s="525"/>
      <c r="O132" s="514">
        <f t="shared" si="57"/>
        <v>0</v>
      </c>
      <c r="P132" s="514">
        <f t="shared" si="58"/>
        <v>0</v>
      </c>
      <c r="Q132" s="269"/>
    </row>
    <row r="133" spans="2:17">
      <c r="B133" s="195" t="str">
        <f t="shared" si="59"/>
        <v/>
      </c>
      <c r="C133" s="507">
        <f>IF(D93="","-",+C132+1)</f>
        <v>2046</v>
      </c>
      <c r="D133" s="374">
        <f>IF(F132+SUM(E$99:E132)=D$92,F132,D$92-SUM(E$99:E132))</f>
        <v>79595.435317235126</v>
      </c>
      <c r="E133" s="522">
        <f>IF(+J96&lt;F132,J96,D133)</f>
        <v>10280.90243902439</v>
      </c>
      <c r="F133" s="523">
        <f t="shared" si="60"/>
        <v>69314.532878210739</v>
      </c>
      <c r="G133" s="523">
        <f t="shared" si="52"/>
        <v>74454.984097722932</v>
      </c>
      <c r="H133" s="526">
        <f t="shared" si="53"/>
        <v>18732.602358402011</v>
      </c>
      <c r="I133" s="577">
        <f t="shared" si="54"/>
        <v>18732.602358402011</v>
      </c>
      <c r="J133" s="514">
        <f t="shared" si="55"/>
        <v>0</v>
      </c>
      <c r="K133" s="514"/>
      <c r="L133" s="525"/>
      <c r="M133" s="514">
        <f t="shared" si="56"/>
        <v>0</v>
      </c>
      <c r="N133" s="525"/>
      <c r="O133" s="514">
        <f t="shared" si="57"/>
        <v>0</v>
      </c>
      <c r="P133" s="514">
        <f t="shared" si="58"/>
        <v>0</v>
      </c>
      <c r="Q133" s="269"/>
    </row>
    <row r="134" spans="2:17">
      <c r="B134" s="195" t="str">
        <f t="shared" si="59"/>
        <v/>
      </c>
      <c r="C134" s="507">
        <f>IF(D93="","-",+C133+1)</f>
        <v>2047</v>
      </c>
      <c r="D134" s="374">
        <f>IF(F133+SUM(E$99:E133)=D$92,F133,D$92-SUM(E$99:E133))</f>
        <v>69314.532878210739</v>
      </c>
      <c r="E134" s="522">
        <f>IF(+J96&lt;F133,J96,D134)</f>
        <v>10280.90243902439</v>
      </c>
      <c r="F134" s="523">
        <f t="shared" si="60"/>
        <v>59033.630439186352</v>
      </c>
      <c r="G134" s="523">
        <f t="shared" si="52"/>
        <v>64174.081658698546</v>
      </c>
      <c r="H134" s="526">
        <f t="shared" si="53"/>
        <v>17565.573671632214</v>
      </c>
      <c r="I134" s="577">
        <f t="shared" si="54"/>
        <v>17565.573671632214</v>
      </c>
      <c r="J134" s="514">
        <f t="shared" si="55"/>
        <v>0</v>
      </c>
      <c r="K134" s="514"/>
      <c r="L134" s="525"/>
      <c r="M134" s="514">
        <f t="shared" si="56"/>
        <v>0</v>
      </c>
      <c r="N134" s="525"/>
      <c r="O134" s="514">
        <f t="shared" si="57"/>
        <v>0</v>
      </c>
      <c r="P134" s="514">
        <f t="shared" si="58"/>
        <v>0</v>
      </c>
      <c r="Q134" s="269"/>
    </row>
    <row r="135" spans="2:17">
      <c r="B135" s="195" t="str">
        <f t="shared" si="59"/>
        <v/>
      </c>
      <c r="C135" s="507">
        <f>IF(D93="","-",+C134+1)</f>
        <v>2048</v>
      </c>
      <c r="D135" s="374">
        <f>IF(F134+SUM(E$99:E134)=D$92,F134,D$92-SUM(E$99:E134))</f>
        <v>59033.630439186352</v>
      </c>
      <c r="E135" s="522">
        <f>IF(+J96&lt;F134,J96,D135)</f>
        <v>10280.90243902439</v>
      </c>
      <c r="F135" s="523">
        <f t="shared" si="60"/>
        <v>48752.728000161966</v>
      </c>
      <c r="G135" s="523">
        <f t="shared" si="52"/>
        <v>53893.179219674159</v>
      </c>
      <c r="H135" s="526">
        <f t="shared" si="53"/>
        <v>16398.544984862419</v>
      </c>
      <c r="I135" s="577">
        <f t="shared" si="54"/>
        <v>16398.544984862419</v>
      </c>
      <c r="J135" s="514">
        <f t="shared" si="55"/>
        <v>0</v>
      </c>
      <c r="K135" s="514"/>
      <c r="L135" s="525"/>
      <c r="M135" s="514">
        <f t="shared" si="56"/>
        <v>0</v>
      </c>
      <c r="N135" s="525"/>
      <c r="O135" s="514">
        <f t="shared" si="57"/>
        <v>0</v>
      </c>
      <c r="P135" s="514">
        <f t="shared" si="58"/>
        <v>0</v>
      </c>
      <c r="Q135" s="269"/>
    </row>
    <row r="136" spans="2:17">
      <c r="B136" s="195" t="str">
        <f t="shared" si="59"/>
        <v/>
      </c>
      <c r="C136" s="507">
        <f>IF(D93="","-",+C135+1)</f>
        <v>2049</v>
      </c>
      <c r="D136" s="374">
        <f>IF(F135+SUM(E$99:E135)=D$92,F135,D$92-SUM(E$99:E135))</f>
        <v>48752.728000161966</v>
      </c>
      <c r="E136" s="522">
        <f>IF(+J96&lt;F135,J96,D136)</f>
        <v>10280.90243902439</v>
      </c>
      <c r="F136" s="523">
        <f t="shared" si="60"/>
        <v>38471.825561137579</v>
      </c>
      <c r="G136" s="523">
        <f t="shared" si="52"/>
        <v>43612.276780649772</v>
      </c>
      <c r="H136" s="526">
        <f t="shared" si="53"/>
        <v>15231.516298092625</v>
      </c>
      <c r="I136" s="577">
        <f t="shared" si="54"/>
        <v>15231.516298092625</v>
      </c>
      <c r="J136" s="514">
        <f t="shared" si="55"/>
        <v>0</v>
      </c>
      <c r="K136" s="514"/>
      <c r="L136" s="525"/>
      <c r="M136" s="514">
        <f t="shared" si="56"/>
        <v>0</v>
      </c>
      <c r="N136" s="525"/>
      <c r="O136" s="514">
        <f t="shared" si="57"/>
        <v>0</v>
      </c>
      <c r="P136" s="514">
        <f t="shared" si="58"/>
        <v>0</v>
      </c>
      <c r="Q136" s="269"/>
    </row>
    <row r="137" spans="2:17">
      <c r="B137" s="195" t="str">
        <f t="shared" si="59"/>
        <v/>
      </c>
      <c r="C137" s="507">
        <f>IF(D93="","-",+C136+1)</f>
        <v>2050</v>
      </c>
      <c r="D137" s="374">
        <f>IF(F136+SUM(E$99:E136)=D$92,F136,D$92-SUM(E$99:E136))</f>
        <v>38471.825561137579</v>
      </c>
      <c r="E137" s="522">
        <f>IF(+J96&lt;F136,J96,D137)</f>
        <v>10280.90243902439</v>
      </c>
      <c r="F137" s="523">
        <f t="shared" si="60"/>
        <v>28190.923122113189</v>
      </c>
      <c r="G137" s="523">
        <f t="shared" si="52"/>
        <v>33331.374341625386</v>
      </c>
      <c r="H137" s="526">
        <f t="shared" si="53"/>
        <v>14064.487611322829</v>
      </c>
      <c r="I137" s="577">
        <f t="shared" si="54"/>
        <v>14064.487611322829</v>
      </c>
      <c r="J137" s="514">
        <f t="shared" si="55"/>
        <v>0</v>
      </c>
      <c r="K137" s="514"/>
      <c r="L137" s="525"/>
      <c r="M137" s="514">
        <f t="shared" si="56"/>
        <v>0</v>
      </c>
      <c r="N137" s="525"/>
      <c r="O137" s="514">
        <f t="shared" si="57"/>
        <v>0</v>
      </c>
      <c r="P137" s="514">
        <f t="shared" si="58"/>
        <v>0</v>
      </c>
      <c r="Q137" s="269"/>
    </row>
    <row r="138" spans="2:17">
      <c r="B138" s="195" t="str">
        <f t="shared" si="59"/>
        <v/>
      </c>
      <c r="C138" s="507">
        <f>IF(D93="","-",+C137+1)</f>
        <v>2051</v>
      </c>
      <c r="D138" s="374">
        <f>IF(F137+SUM(E$99:E137)=D$92,F137,D$92-SUM(E$99:E137))</f>
        <v>28190.923122113189</v>
      </c>
      <c r="E138" s="522">
        <f>IF(+J96&lt;F137,J96,D138)</f>
        <v>10280.90243902439</v>
      </c>
      <c r="F138" s="523">
        <f t="shared" si="60"/>
        <v>17910.020683088798</v>
      </c>
      <c r="G138" s="523">
        <f t="shared" si="52"/>
        <v>23050.471902600992</v>
      </c>
      <c r="H138" s="526">
        <f t="shared" si="53"/>
        <v>12897.458924553033</v>
      </c>
      <c r="I138" s="577">
        <f t="shared" si="54"/>
        <v>12897.458924553033</v>
      </c>
      <c r="J138" s="514">
        <f t="shared" si="55"/>
        <v>0</v>
      </c>
      <c r="K138" s="514"/>
      <c r="L138" s="525"/>
      <c r="M138" s="514">
        <f t="shared" si="56"/>
        <v>0</v>
      </c>
      <c r="N138" s="525"/>
      <c r="O138" s="514">
        <f t="shared" si="57"/>
        <v>0</v>
      </c>
      <c r="P138" s="514">
        <f t="shared" si="58"/>
        <v>0</v>
      </c>
      <c r="Q138" s="269"/>
    </row>
    <row r="139" spans="2:17">
      <c r="B139" s="195" t="str">
        <f t="shared" si="59"/>
        <v/>
      </c>
      <c r="C139" s="507">
        <f>IF(D93="","-",+C138+1)</f>
        <v>2052</v>
      </c>
      <c r="D139" s="374">
        <f>IF(F138+SUM(E$99:E138)=D$92,F138,D$92-SUM(E$99:E138))</f>
        <v>17910.020683088798</v>
      </c>
      <c r="E139" s="522">
        <f>IF(+J96&lt;F138,J96,D139)</f>
        <v>10280.90243902439</v>
      </c>
      <c r="F139" s="523">
        <f t="shared" si="60"/>
        <v>7629.1182440644079</v>
      </c>
      <c r="G139" s="523">
        <f t="shared" si="52"/>
        <v>12769.569463576603</v>
      </c>
      <c r="H139" s="526">
        <f t="shared" si="53"/>
        <v>11730.430237783237</v>
      </c>
      <c r="I139" s="577">
        <f t="shared" si="54"/>
        <v>11730.430237783237</v>
      </c>
      <c r="J139" s="514">
        <f t="shared" si="55"/>
        <v>0</v>
      </c>
      <c r="K139" s="514"/>
      <c r="L139" s="525"/>
      <c r="M139" s="514">
        <f t="shared" si="56"/>
        <v>0</v>
      </c>
      <c r="N139" s="525"/>
      <c r="O139" s="514">
        <f t="shared" si="57"/>
        <v>0</v>
      </c>
      <c r="P139" s="514">
        <f t="shared" si="58"/>
        <v>0</v>
      </c>
      <c r="Q139" s="269"/>
    </row>
    <row r="140" spans="2:17">
      <c r="B140" s="195" t="str">
        <f t="shared" si="59"/>
        <v/>
      </c>
      <c r="C140" s="507">
        <f>IF(D93="","-",+C139+1)</f>
        <v>2053</v>
      </c>
      <c r="D140" s="374">
        <f>IF(F139+SUM(E$99:E139)=D$92,F139,D$92-SUM(E$99:E139))</f>
        <v>7629.1182440644079</v>
      </c>
      <c r="E140" s="522">
        <f>IF(+J96&lt;F139,J96,D140)</f>
        <v>7629.1182440644079</v>
      </c>
      <c r="F140" s="523">
        <f t="shared" si="60"/>
        <v>0</v>
      </c>
      <c r="G140" s="523">
        <f t="shared" si="52"/>
        <v>3814.559122032204</v>
      </c>
      <c r="H140" s="526">
        <f t="shared" si="53"/>
        <v>8062.1249717513829</v>
      </c>
      <c r="I140" s="577">
        <f t="shared" si="54"/>
        <v>8062.1249717513829</v>
      </c>
      <c r="J140" s="514">
        <f t="shared" si="55"/>
        <v>0</v>
      </c>
      <c r="K140" s="514"/>
      <c r="L140" s="525"/>
      <c r="M140" s="514">
        <f t="shared" si="56"/>
        <v>0</v>
      </c>
      <c r="N140" s="525"/>
      <c r="O140" s="514">
        <f t="shared" si="57"/>
        <v>0</v>
      </c>
      <c r="P140" s="514">
        <f t="shared" si="58"/>
        <v>0</v>
      </c>
      <c r="Q140" s="269"/>
    </row>
    <row r="141" spans="2:17">
      <c r="B141" s="195" t="str">
        <f t="shared" si="59"/>
        <v/>
      </c>
      <c r="C141" s="507">
        <f>IF(D93="","-",+C140+1)</f>
        <v>2054</v>
      </c>
      <c r="D141" s="374">
        <f>IF(F140+SUM(E$99:E140)=D$92,F140,D$92-SUM(E$99:E140))</f>
        <v>0</v>
      </c>
      <c r="E141" s="522">
        <f>IF(+J96&lt;F140,J96,D141)</f>
        <v>0</v>
      </c>
      <c r="F141" s="523">
        <f t="shared" si="60"/>
        <v>0</v>
      </c>
      <c r="G141" s="523">
        <f t="shared" si="52"/>
        <v>0</v>
      </c>
      <c r="H141" s="526">
        <f t="shared" si="53"/>
        <v>0</v>
      </c>
      <c r="I141" s="577">
        <f t="shared" si="54"/>
        <v>0</v>
      </c>
      <c r="J141" s="514">
        <f t="shared" si="55"/>
        <v>0</v>
      </c>
      <c r="K141" s="514"/>
      <c r="L141" s="525"/>
      <c r="M141" s="514">
        <f t="shared" si="56"/>
        <v>0</v>
      </c>
      <c r="N141" s="525"/>
      <c r="O141" s="514">
        <f t="shared" si="57"/>
        <v>0</v>
      </c>
      <c r="P141" s="514">
        <f t="shared" si="58"/>
        <v>0</v>
      </c>
      <c r="Q141" s="269"/>
    </row>
    <row r="142" spans="2:17">
      <c r="B142" s="195" t="str">
        <f t="shared" si="59"/>
        <v/>
      </c>
      <c r="C142" s="507">
        <f>IF(D93="","-",+C141+1)</f>
        <v>2055</v>
      </c>
      <c r="D142" s="374">
        <f>IF(F141+SUM(E$99:E141)=D$92,F141,D$92-SUM(E$99:E141))</f>
        <v>0</v>
      </c>
      <c r="E142" s="522">
        <f>IF(+J96&lt;F141,J96,D142)</f>
        <v>0</v>
      </c>
      <c r="F142" s="523">
        <f t="shared" si="60"/>
        <v>0</v>
      </c>
      <c r="G142" s="523">
        <f t="shared" si="52"/>
        <v>0</v>
      </c>
      <c r="H142" s="526">
        <f t="shared" si="53"/>
        <v>0</v>
      </c>
      <c r="I142" s="577">
        <f t="shared" si="54"/>
        <v>0</v>
      </c>
      <c r="J142" s="514">
        <f t="shared" si="55"/>
        <v>0</v>
      </c>
      <c r="K142" s="514"/>
      <c r="L142" s="525"/>
      <c r="M142" s="514">
        <f t="shared" si="56"/>
        <v>0</v>
      </c>
      <c r="N142" s="525"/>
      <c r="O142" s="514">
        <f t="shared" si="57"/>
        <v>0</v>
      </c>
      <c r="P142" s="514">
        <f t="shared" si="58"/>
        <v>0</v>
      </c>
      <c r="Q142" s="269"/>
    </row>
    <row r="143" spans="2:17">
      <c r="B143" s="195" t="str">
        <f t="shared" si="59"/>
        <v/>
      </c>
      <c r="C143" s="507">
        <f>IF(D93="","-",+C142+1)</f>
        <v>2056</v>
      </c>
      <c r="D143" s="374">
        <f>IF(F142+SUM(E$99:E142)=D$92,F142,D$92-SUM(E$99:E142))</f>
        <v>0</v>
      </c>
      <c r="E143" s="522">
        <f>IF(+J96&lt;F142,J96,D143)</f>
        <v>0</v>
      </c>
      <c r="F143" s="523">
        <f t="shared" si="60"/>
        <v>0</v>
      </c>
      <c r="G143" s="523">
        <f t="shared" si="52"/>
        <v>0</v>
      </c>
      <c r="H143" s="526">
        <f t="shared" si="53"/>
        <v>0</v>
      </c>
      <c r="I143" s="577">
        <f t="shared" si="54"/>
        <v>0</v>
      </c>
      <c r="J143" s="514">
        <f t="shared" si="55"/>
        <v>0</v>
      </c>
      <c r="K143" s="514"/>
      <c r="L143" s="525"/>
      <c r="M143" s="514">
        <f t="shared" si="56"/>
        <v>0</v>
      </c>
      <c r="N143" s="525"/>
      <c r="O143" s="514">
        <f t="shared" si="57"/>
        <v>0</v>
      </c>
      <c r="P143" s="514">
        <f t="shared" si="58"/>
        <v>0</v>
      </c>
      <c r="Q143" s="269"/>
    </row>
    <row r="144" spans="2:17">
      <c r="B144" s="195" t="str">
        <f t="shared" si="59"/>
        <v/>
      </c>
      <c r="C144" s="507">
        <f>IF(D93="","-",+C143+1)</f>
        <v>2057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60"/>
        <v>0</v>
      </c>
      <c r="G144" s="523">
        <f t="shared" si="52"/>
        <v>0</v>
      </c>
      <c r="H144" s="526">
        <f t="shared" si="53"/>
        <v>0</v>
      </c>
      <c r="I144" s="577">
        <f t="shared" si="54"/>
        <v>0</v>
      </c>
      <c r="J144" s="514">
        <f t="shared" si="55"/>
        <v>0</v>
      </c>
      <c r="K144" s="514"/>
      <c r="L144" s="525"/>
      <c r="M144" s="514">
        <f t="shared" si="56"/>
        <v>0</v>
      </c>
      <c r="N144" s="525"/>
      <c r="O144" s="514">
        <f t="shared" si="57"/>
        <v>0</v>
      </c>
      <c r="P144" s="514">
        <f t="shared" si="58"/>
        <v>0</v>
      </c>
      <c r="Q144" s="269"/>
    </row>
    <row r="145" spans="2:17">
      <c r="B145" s="195" t="str">
        <f t="shared" si="59"/>
        <v/>
      </c>
      <c r="C145" s="507">
        <f>IF(D93="","-",+C144+1)</f>
        <v>2058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60"/>
        <v>0</v>
      </c>
      <c r="G145" s="523">
        <f t="shared" si="52"/>
        <v>0</v>
      </c>
      <c r="H145" s="526">
        <f t="shared" si="53"/>
        <v>0</v>
      </c>
      <c r="I145" s="577">
        <f t="shared" si="54"/>
        <v>0</v>
      </c>
      <c r="J145" s="514">
        <f t="shared" si="55"/>
        <v>0</v>
      </c>
      <c r="K145" s="514"/>
      <c r="L145" s="525"/>
      <c r="M145" s="514">
        <f t="shared" si="56"/>
        <v>0</v>
      </c>
      <c r="N145" s="525"/>
      <c r="O145" s="514">
        <f t="shared" si="57"/>
        <v>0</v>
      </c>
      <c r="P145" s="514">
        <f t="shared" si="58"/>
        <v>0</v>
      </c>
      <c r="Q145" s="269"/>
    </row>
    <row r="146" spans="2:17">
      <c r="B146" s="195" t="str">
        <f t="shared" si="59"/>
        <v/>
      </c>
      <c r="C146" s="507">
        <f>IF(D93="","-",+C145+1)</f>
        <v>2059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60"/>
        <v>0</v>
      </c>
      <c r="G146" s="523">
        <f t="shared" si="52"/>
        <v>0</v>
      </c>
      <c r="H146" s="526">
        <f t="shared" si="53"/>
        <v>0</v>
      </c>
      <c r="I146" s="577">
        <f t="shared" si="54"/>
        <v>0</v>
      </c>
      <c r="J146" s="514">
        <f t="shared" si="55"/>
        <v>0</v>
      </c>
      <c r="K146" s="514"/>
      <c r="L146" s="525"/>
      <c r="M146" s="514">
        <f t="shared" si="56"/>
        <v>0</v>
      </c>
      <c r="N146" s="525"/>
      <c r="O146" s="514">
        <f t="shared" si="57"/>
        <v>0</v>
      </c>
      <c r="P146" s="514">
        <f t="shared" si="58"/>
        <v>0</v>
      </c>
      <c r="Q146" s="269"/>
    </row>
    <row r="147" spans="2:17">
      <c r="B147" s="195" t="str">
        <f t="shared" si="59"/>
        <v/>
      </c>
      <c r="C147" s="507">
        <f>IF(D93="","-",+C146+1)</f>
        <v>2060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60"/>
        <v>0</v>
      </c>
      <c r="G147" s="523">
        <f t="shared" si="52"/>
        <v>0</v>
      </c>
      <c r="H147" s="526">
        <f t="shared" si="53"/>
        <v>0</v>
      </c>
      <c r="I147" s="577">
        <f t="shared" si="54"/>
        <v>0</v>
      </c>
      <c r="J147" s="514">
        <f t="shared" si="55"/>
        <v>0</v>
      </c>
      <c r="K147" s="514"/>
      <c r="L147" s="525"/>
      <c r="M147" s="514">
        <f t="shared" si="56"/>
        <v>0</v>
      </c>
      <c r="N147" s="525"/>
      <c r="O147" s="514">
        <f t="shared" si="57"/>
        <v>0</v>
      </c>
      <c r="P147" s="514">
        <f t="shared" si="58"/>
        <v>0</v>
      </c>
      <c r="Q147" s="269"/>
    </row>
    <row r="148" spans="2:17">
      <c r="B148" s="195" t="str">
        <f t="shared" si="59"/>
        <v/>
      </c>
      <c r="C148" s="507">
        <f>IF(D93="","-",+C147+1)</f>
        <v>2061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60"/>
        <v>0</v>
      </c>
      <c r="G148" s="523">
        <f t="shared" si="52"/>
        <v>0</v>
      </c>
      <c r="H148" s="526">
        <f t="shared" si="53"/>
        <v>0</v>
      </c>
      <c r="I148" s="577">
        <f t="shared" si="54"/>
        <v>0</v>
      </c>
      <c r="J148" s="514">
        <f t="shared" si="55"/>
        <v>0</v>
      </c>
      <c r="K148" s="514"/>
      <c r="L148" s="525"/>
      <c r="M148" s="514">
        <f t="shared" si="56"/>
        <v>0</v>
      </c>
      <c r="N148" s="525"/>
      <c r="O148" s="514">
        <f t="shared" si="57"/>
        <v>0</v>
      </c>
      <c r="P148" s="514">
        <f t="shared" si="58"/>
        <v>0</v>
      </c>
      <c r="Q148" s="269"/>
    </row>
    <row r="149" spans="2:17">
      <c r="B149" s="195" t="str">
        <f t="shared" si="59"/>
        <v/>
      </c>
      <c r="C149" s="507">
        <f>IF(D93="","-",+C148+1)</f>
        <v>2062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60"/>
        <v>0</v>
      </c>
      <c r="G149" s="523">
        <f t="shared" si="52"/>
        <v>0</v>
      </c>
      <c r="H149" s="526">
        <f t="shared" si="53"/>
        <v>0</v>
      </c>
      <c r="I149" s="577">
        <f t="shared" si="54"/>
        <v>0</v>
      </c>
      <c r="J149" s="514">
        <f t="shared" si="55"/>
        <v>0</v>
      </c>
      <c r="K149" s="514"/>
      <c r="L149" s="525"/>
      <c r="M149" s="514">
        <f t="shared" si="56"/>
        <v>0</v>
      </c>
      <c r="N149" s="525"/>
      <c r="O149" s="514">
        <f t="shared" si="57"/>
        <v>0</v>
      </c>
      <c r="P149" s="514">
        <f t="shared" si="58"/>
        <v>0</v>
      </c>
      <c r="Q149" s="269"/>
    </row>
    <row r="150" spans="2:17">
      <c r="B150" s="195" t="str">
        <f t="shared" si="59"/>
        <v/>
      </c>
      <c r="C150" s="507">
        <f>IF(D93="","-",+C149+1)</f>
        <v>2063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60"/>
        <v>0</v>
      </c>
      <c r="G150" s="523">
        <f t="shared" si="52"/>
        <v>0</v>
      </c>
      <c r="H150" s="526">
        <f t="shared" si="53"/>
        <v>0</v>
      </c>
      <c r="I150" s="577">
        <f t="shared" si="54"/>
        <v>0</v>
      </c>
      <c r="J150" s="514">
        <f t="shared" si="55"/>
        <v>0</v>
      </c>
      <c r="K150" s="514"/>
      <c r="L150" s="525"/>
      <c r="M150" s="514">
        <f t="shared" si="56"/>
        <v>0</v>
      </c>
      <c r="N150" s="525"/>
      <c r="O150" s="514">
        <f t="shared" si="57"/>
        <v>0</v>
      </c>
      <c r="P150" s="514">
        <f t="shared" si="58"/>
        <v>0</v>
      </c>
      <c r="Q150" s="269"/>
    </row>
    <row r="151" spans="2:17">
      <c r="B151" s="195" t="str">
        <f t="shared" si="59"/>
        <v/>
      </c>
      <c r="C151" s="507">
        <f>IF(D93="","-",+C150+1)</f>
        <v>2064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60"/>
        <v>0</v>
      </c>
      <c r="G151" s="523">
        <f t="shared" si="52"/>
        <v>0</v>
      </c>
      <c r="H151" s="526">
        <f t="shared" si="53"/>
        <v>0</v>
      </c>
      <c r="I151" s="577">
        <f t="shared" si="54"/>
        <v>0</v>
      </c>
      <c r="J151" s="514">
        <f t="shared" si="55"/>
        <v>0</v>
      </c>
      <c r="K151" s="514"/>
      <c r="L151" s="525"/>
      <c r="M151" s="514">
        <f t="shared" si="56"/>
        <v>0</v>
      </c>
      <c r="N151" s="525"/>
      <c r="O151" s="514">
        <f t="shared" si="57"/>
        <v>0</v>
      </c>
      <c r="P151" s="514">
        <f t="shared" si="58"/>
        <v>0</v>
      </c>
      <c r="Q151" s="269"/>
    </row>
    <row r="152" spans="2:17">
      <c r="B152" s="195" t="str">
        <f t="shared" si="59"/>
        <v/>
      </c>
      <c r="C152" s="507">
        <f>IF(D93="","-",+C151+1)</f>
        <v>2065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60"/>
        <v>0</v>
      </c>
      <c r="G152" s="523">
        <f t="shared" si="52"/>
        <v>0</v>
      </c>
      <c r="H152" s="526">
        <f t="shared" si="53"/>
        <v>0</v>
      </c>
      <c r="I152" s="577">
        <f t="shared" si="54"/>
        <v>0</v>
      </c>
      <c r="J152" s="514">
        <f t="shared" si="55"/>
        <v>0</v>
      </c>
      <c r="K152" s="514"/>
      <c r="L152" s="525"/>
      <c r="M152" s="514">
        <f t="shared" si="56"/>
        <v>0</v>
      </c>
      <c r="N152" s="525"/>
      <c r="O152" s="514">
        <f t="shared" si="57"/>
        <v>0</v>
      </c>
      <c r="P152" s="514">
        <f t="shared" si="58"/>
        <v>0</v>
      </c>
      <c r="Q152" s="269"/>
    </row>
    <row r="153" spans="2:17">
      <c r="B153" s="195" t="str">
        <f t="shared" si="59"/>
        <v/>
      </c>
      <c r="C153" s="507">
        <f>IF(D93="","-",+C152+1)</f>
        <v>2066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60"/>
        <v>0</v>
      </c>
      <c r="G153" s="523">
        <f t="shared" si="52"/>
        <v>0</v>
      </c>
      <c r="H153" s="526">
        <f t="shared" si="53"/>
        <v>0</v>
      </c>
      <c r="I153" s="577">
        <f t="shared" si="54"/>
        <v>0</v>
      </c>
      <c r="J153" s="514">
        <f t="shared" si="55"/>
        <v>0</v>
      </c>
      <c r="K153" s="514"/>
      <c r="L153" s="525"/>
      <c r="M153" s="514">
        <f t="shared" si="56"/>
        <v>0</v>
      </c>
      <c r="N153" s="525"/>
      <c r="O153" s="514">
        <f t="shared" si="57"/>
        <v>0</v>
      </c>
      <c r="P153" s="514">
        <f t="shared" si="58"/>
        <v>0</v>
      </c>
      <c r="Q153" s="269"/>
    </row>
    <row r="154" spans="2:17" ht="13.5" thickBot="1">
      <c r="B154" s="195" t="str">
        <f t="shared" si="59"/>
        <v/>
      </c>
      <c r="C154" s="527">
        <f>IF(D93="","-",+C153+1)</f>
        <v>2067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60"/>
        <v>0</v>
      </c>
      <c r="G154" s="528">
        <f t="shared" si="52"/>
        <v>0</v>
      </c>
      <c r="H154" s="530">
        <f t="shared" si="53"/>
        <v>0</v>
      </c>
      <c r="I154" s="579">
        <f t="shared" si="54"/>
        <v>0</v>
      </c>
      <c r="J154" s="533">
        <f t="shared" si="55"/>
        <v>0</v>
      </c>
      <c r="K154" s="514"/>
      <c r="L154" s="532"/>
      <c r="M154" s="533">
        <f t="shared" si="56"/>
        <v>0</v>
      </c>
      <c r="N154" s="532"/>
      <c r="O154" s="533">
        <f t="shared" si="57"/>
        <v>0</v>
      </c>
      <c r="P154" s="533">
        <f t="shared" si="58"/>
        <v>0</v>
      </c>
      <c r="Q154" s="269"/>
    </row>
    <row r="155" spans="2:17">
      <c r="C155" s="374" t="s">
        <v>78</v>
      </c>
      <c r="D155" s="375"/>
      <c r="E155" s="375">
        <f>SUM(E99:E154)</f>
        <v>421517.00000000023</v>
      </c>
      <c r="F155" s="375"/>
      <c r="G155" s="375"/>
      <c r="H155" s="375">
        <f>SUM(H99:H154)</f>
        <v>1448487.4258693384</v>
      </c>
      <c r="I155" s="375">
        <f>SUM(I99:I154)</f>
        <v>1448487.4258693384</v>
      </c>
      <c r="J155" s="375">
        <f>SUM(J99:J154)</f>
        <v>0</v>
      </c>
      <c r="K155" s="375"/>
      <c r="L155" s="375"/>
      <c r="M155" s="375"/>
      <c r="N155" s="375"/>
      <c r="O155" s="375"/>
      <c r="P155" s="269"/>
      <c r="Q155" s="269"/>
    </row>
    <row r="156" spans="2:17"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  <c r="Q156" s="269"/>
    </row>
    <row r="157" spans="2:17">
      <c r="C157" s="580" t="s">
        <v>92</v>
      </c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  <c r="Q157" s="269"/>
    </row>
    <row r="158" spans="2:17"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  <c r="Q158" s="269"/>
    </row>
    <row r="159" spans="2:17">
      <c r="C159" s="534" t="s">
        <v>97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  <c r="Q159" s="269"/>
    </row>
    <row r="160" spans="2:17">
      <c r="C160" s="581" t="s">
        <v>79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  <c r="Q160" s="269"/>
    </row>
    <row r="161" spans="3:17">
      <c r="C161" s="581" t="s">
        <v>80</v>
      </c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  <c r="Q161" s="269"/>
    </row>
    <row r="162" spans="3:17" ht="18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454" t="s">
        <v>131</v>
      </c>
      <c r="Q162" s="269"/>
    </row>
  </sheetData>
  <phoneticPr fontId="0" type="noConversion"/>
  <conditionalFormatting sqref="C17:C72">
    <cfRule type="cellIs" dxfId="109" priority="1" stopIfTrue="1" operator="equal">
      <formula>$I$10</formula>
    </cfRule>
  </conditionalFormatting>
  <conditionalFormatting sqref="C99:C154">
    <cfRule type="cellIs" dxfId="108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79"/>
  <dimension ref="A1:Q162"/>
  <sheetViews>
    <sheetView topLeftCell="A92" zoomScaleNormal="100" zoomScaleSheetLayoutView="75" workbookViewId="0">
      <selection activeCell="D99" sqref="D99:I109"/>
    </sheetView>
  </sheetViews>
  <sheetFormatPr defaultColWidth="8.7109375" defaultRowHeight="12.75" customHeight="1"/>
  <cols>
    <col min="1" max="1" width="4.7109375" style="183" customWidth="1"/>
    <col min="2" max="2" width="6.7109375" style="183" customWidth="1"/>
    <col min="3" max="3" width="23.28515625" style="183" customWidth="1"/>
    <col min="4" max="8" width="17.7109375" style="183" customWidth="1"/>
    <col min="9" max="9" width="20.42578125" style="183" customWidth="1"/>
    <col min="10" max="10" width="16.42578125" style="183" customWidth="1"/>
    <col min="11" max="11" width="17.7109375" style="183" customWidth="1"/>
    <col min="12" max="12" width="16.140625" style="183" customWidth="1"/>
    <col min="13" max="13" width="17.7109375" style="183" customWidth="1"/>
    <col min="14" max="14" width="16.140625" style="183" customWidth="1"/>
    <col min="15" max="15" width="16.85546875" style="183" customWidth="1"/>
    <col min="16" max="16" width="24.42578125" style="183" customWidth="1"/>
    <col min="17" max="17" width="4.7109375" style="183" customWidth="1"/>
    <col min="18" max="22" width="8.7109375" style="183"/>
    <col min="23" max="23" width="9.140625" style="183" customWidth="1"/>
    <col min="24" max="16384" width="8.7109375" style="183"/>
  </cols>
  <sheetData>
    <row r="1" spans="1:17" ht="20.25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28 of 75</v>
      </c>
      <c r="Q1" s="453"/>
    </row>
    <row r="2" spans="1:17" ht="18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454" t="s">
        <v>129</v>
      </c>
    </row>
    <row r="3" spans="1:17" ht="18.75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 t="str">
        <f>RIGHT(N3,3)</f>
        <v/>
      </c>
      <c r="P3" s="455">
        <v>1</v>
      </c>
    </row>
    <row r="4" spans="1:17" ht="15.75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7" ht="1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568353.29756523797</v>
      </c>
      <c r="P5" s="269"/>
    </row>
    <row r="6" spans="1:17" ht="15.7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568353.29756523797</v>
      </c>
      <c r="O6" s="269"/>
      <c r="P6" s="269"/>
    </row>
    <row r="7" spans="1:17" ht="13.5" thickBot="1">
      <c r="C7" s="467" t="s">
        <v>48</v>
      </c>
      <c r="D7" s="620" t="s">
        <v>462</v>
      </c>
      <c r="E7" s="269"/>
      <c r="F7" s="269"/>
      <c r="G7" s="534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7" ht="13.5" thickBot="1">
      <c r="C8" s="472"/>
      <c r="D8" s="599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7" ht="13.5" thickBot="1">
      <c r="A9" s="191"/>
      <c r="C9" s="476" t="s">
        <v>50</v>
      </c>
      <c r="D9" s="621" t="s">
        <v>280</v>
      </c>
      <c r="E9" s="666" t="s">
        <v>489</v>
      </c>
      <c r="F9" s="478"/>
      <c r="G9" s="478"/>
      <c r="H9" s="478"/>
      <c r="I9" s="479"/>
      <c r="J9" s="480"/>
      <c r="O9" s="481"/>
      <c r="P9" s="272"/>
    </row>
    <row r="10" spans="1:17">
      <c r="C10" s="482" t="s">
        <v>51</v>
      </c>
      <c r="D10" s="483">
        <v>5268479</v>
      </c>
      <c r="E10" s="353" t="s">
        <v>52</v>
      </c>
      <c r="F10" s="481"/>
      <c r="G10" s="484"/>
      <c r="H10" s="484"/>
      <c r="I10" s="485">
        <f>+'SWE.WS.F.BPU.ATRR.Projected'!L19</f>
        <v>2024</v>
      </c>
      <c r="J10" s="480"/>
      <c r="K10" s="375" t="s">
        <v>53</v>
      </c>
      <c r="O10" s="272"/>
      <c r="P10" s="272"/>
    </row>
    <row r="11" spans="1:17">
      <c r="C11" s="486" t="s">
        <v>54</v>
      </c>
      <c r="D11" s="487">
        <v>2012</v>
      </c>
      <c r="E11" s="486" t="s">
        <v>55</v>
      </c>
      <c r="F11" s="484"/>
      <c r="G11" s="233"/>
      <c r="H11" s="233"/>
      <c r="I11" s="488"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7">
      <c r="C12" s="486" t="s">
        <v>56</v>
      </c>
      <c r="D12" s="483">
        <v>6</v>
      </c>
      <c r="E12" s="486" t="s">
        <v>57</v>
      </c>
      <c r="F12" s="484"/>
      <c r="G12" s="233"/>
      <c r="H12" s="233"/>
      <c r="I12" s="490">
        <f>'SWE.WS.F.BPU.ATRR.Projected'!$F$81</f>
        <v>0.11952713165403545</v>
      </c>
      <c r="J12" s="425"/>
      <c r="K12" s="183" t="s">
        <v>58</v>
      </c>
      <c r="O12" s="272"/>
      <c r="P12" s="272"/>
    </row>
    <row r="13" spans="1:17">
      <c r="C13" s="486" t="s">
        <v>59</v>
      </c>
      <c r="D13" s="488">
        <f>+'SWE.WS.F.BPU.ATRR.Projected'!F$93</f>
        <v>44</v>
      </c>
      <c r="E13" s="486" t="s">
        <v>60</v>
      </c>
      <c r="F13" s="484"/>
      <c r="G13" s="233"/>
      <c r="H13" s="233"/>
      <c r="I13" s="490">
        <f>IF(G5="",I12,'SWE.WS.F.BPU.ATRR.Projected'!$F$80)</f>
        <v>0.11952713165403545</v>
      </c>
      <c r="J13" s="425"/>
      <c r="K13" s="375" t="s">
        <v>61</v>
      </c>
      <c r="L13" s="324"/>
      <c r="M13" s="324"/>
      <c r="N13" s="324"/>
      <c r="O13" s="272"/>
      <c r="P13" s="272"/>
    </row>
    <row r="14" spans="1:17" ht="13.5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119738.15909090909</v>
      </c>
      <c r="J14" s="375"/>
      <c r="K14" s="375"/>
      <c r="L14" s="375"/>
      <c r="M14" s="375"/>
      <c r="N14" s="375"/>
      <c r="O14" s="272"/>
      <c r="P14" s="272"/>
    </row>
    <row r="15" spans="1:17" ht="38.25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388</v>
      </c>
      <c r="H15" s="495" t="s">
        <v>389</v>
      </c>
      <c r="I15" s="496" t="s">
        <v>260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7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>
      <c r="C17" s="507">
        <f>IF(D11= "","-",D11)</f>
        <v>2012</v>
      </c>
      <c r="D17" s="508">
        <v>5819300</v>
      </c>
      <c r="E17" s="509">
        <v>69277.380952380947</v>
      </c>
      <c r="F17" s="508">
        <v>5750022.6190476194</v>
      </c>
      <c r="G17" s="509">
        <v>924421.55024775688</v>
      </c>
      <c r="H17" s="510">
        <v>924421.55024775688</v>
      </c>
      <c r="I17" s="517">
        <v>0</v>
      </c>
      <c r="J17" s="511"/>
      <c r="K17" s="512">
        <f t="shared" ref="K17:K22" si="0">G17</f>
        <v>924421.55024775688</v>
      </c>
      <c r="L17" s="597">
        <f t="shared" ref="L17:L48" si="1">IF(K17&lt;&gt;0,+G17-K17,0)</f>
        <v>0</v>
      </c>
      <c r="M17" s="512">
        <f t="shared" ref="M17:M22" si="2">H17</f>
        <v>924421.55024775688</v>
      </c>
      <c r="N17" s="513">
        <f t="shared" ref="N17:N48" si="3">IF(M17&lt;&gt;0,+H17-M17,0)</f>
        <v>0</v>
      </c>
      <c r="O17" s="514">
        <f t="shared" ref="O17:O48" si="4">+N17-L17</f>
        <v>0</v>
      </c>
      <c r="P17" s="272"/>
    </row>
    <row r="18" spans="2:16">
      <c r="B18" s="195" t="str">
        <f t="shared" ref="B18:B49" si="5">IF(D18=F17,"","IU")</f>
        <v>IU</v>
      </c>
      <c r="C18" s="507">
        <f>IF(D11="","-",+C17+1)</f>
        <v>2013</v>
      </c>
      <c r="D18" s="608">
        <v>5198431.6190476194</v>
      </c>
      <c r="E18" s="609">
        <v>125421.64285714286</v>
      </c>
      <c r="F18" s="608">
        <v>5073009.9761904767</v>
      </c>
      <c r="G18" s="609">
        <v>835577.50676548237</v>
      </c>
      <c r="H18" s="610">
        <v>835577.50676548237</v>
      </c>
      <c r="I18" s="596">
        <v>0</v>
      </c>
      <c r="J18" s="511"/>
      <c r="K18" s="518">
        <f t="shared" si="0"/>
        <v>835577.50676548237</v>
      </c>
      <c r="L18" s="519">
        <f t="shared" ref="L18:L23" si="6">IF(K18&lt;&gt;0,+G18-K18,0)</f>
        <v>0</v>
      </c>
      <c r="M18" s="518">
        <f t="shared" si="2"/>
        <v>835577.50676548237</v>
      </c>
      <c r="N18" s="514">
        <f t="shared" ref="N18:N23" si="7">IF(M18&lt;&gt;0,+H18-M18,0)</f>
        <v>0</v>
      </c>
      <c r="O18" s="514">
        <f t="shared" ref="O18:O23" si="8">+N18-L18</f>
        <v>0</v>
      </c>
      <c r="P18" s="272"/>
    </row>
    <row r="19" spans="2:16">
      <c r="B19" s="195" t="str">
        <f t="shared" si="5"/>
        <v>IU</v>
      </c>
      <c r="C19" s="507">
        <f>IF(D11="","-",+C18+1)</f>
        <v>2014</v>
      </c>
      <c r="D19" s="608">
        <v>5073787.9761904757</v>
      </c>
      <c r="E19" s="609">
        <v>125440.16666666667</v>
      </c>
      <c r="F19" s="608">
        <v>4948347.8095238088</v>
      </c>
      <c r="G19" s="609">
        <v>793024.28464727127</v>
      </c>
      <c r="H19" s="610">
        <v>793024.28464727127</v>
      </c>
      <c r="I19" s="596">
        <v>0</v>
      </c>
      <c r="J19" s="511"/>
      <c r="K19" s="518">
        <f t="shared" si="0"/>
        <v>793024.28464727127</v>
      </c>
      <c r="L19" s="519">
        <f t="shared" si="6"/>
        <v>0</v>
      </c>
      <c r="M19" s="518">
        <f t="shared" si="2"/>
        <v>793024.28464727127</v>
      </c>
      <c r="N19" s="514">
        <f t="shared" si="7"/>
        <v>0</v>
      </c>
      <c r="O19" s="514">
        <f t="shared" si="8"/>
        <v>0</v>
      </c>
      <c r="P19" s="272"/>
    </row>
    <row r="20" spans="2:16">
      <c r="B20" s="195" t="str">
        <f t="shared" si="5"/>
        <v/>
      </c>
      <c r="C20" s="507">
        <f>IF(D11="","-",+C19+1)</f>
        <v>2015</v>
      </c>
      <c r="D20" s="608">
        <v>4948347.8095238088</v>
      </c>
      <c r="E20" s="609">
        <v>125440.16666666667</v>
      </c>
      <c r="F20" s="608">
        <v>4822907.6428571418</v>
      </c>
      <c r="G20" s="609">
        <v>760640.25789050967</v>
      </c>
      <c r="H20" s="610">
        <v>760640.25789050967</v>
      </c>
      <c r="I20" s="511">
        <v>0</v>
      </c>
      <c r="J20" s="511"/>
      <c r="K20" s="518">
        <f t="shared" si="0"/>
        <v>760640.25789050967</v>
      </c>
      <c r="L20" s="519">
        <f t="shared" si="6"/>
        <v>0</v>
      </c>
      <c r="M20" s="518">
        <f t="shared" si="2"/>
        <v>760640.25789050967</v>
      </c>
      <c r="N20" s="514">
        <f t="shared" si="7"/>
        <v>0</v>
      </c>
      <c r="O20" s="514">
        <f t="shared" si="8"/>
        <v>0</v>
      </c>
      <c r="P20" s="272"/>
    </row>
    <row r="21" spans="2:16">
      <c r="B21" s="195" t="str">
        <f t="shared" si="5"/>
        <v>IU</v>
      </c>
      <c r="C21" s="507">
        <f>IF(D12="","-",+C20+1)</f>
        <v>2016</v>
      </c>
      <c r="D21" s="608">
        <v>4822899.6428571427</v>
      </c>
      <c r="E21" s="609">
        <v>125439.97619047618</v>
      </c>
      <c r="F21" s="608">
        <v>4697459.666666667</v>
      </c>
      <c r="G21" s="609">
        <v>736485.41228285304</v>
      </c>
      <c r="H21" s="610">
        <v>736485.41228285304</v>
      </c>
      <c r="I21" s="511">
        <f t="shared" ref="I21:I48" si="9">H21-G21</f>
        <v>0</v>
      </c>
      <c r="J21" s="511"/>
      <c r="K21" s="518">
        <f t="shared" si="0"/>
        <v>736485.41228285304</v>
      </c>
      <c r="L21" s="519">
        <f t="shared" si="6"/>
        <v>0</v>
      </c>
      <c r="M21" s="518">
        <f t="shared" si="2"/>
        <v>736485.41228285304</v>
      </c>
      <c r="N21" s="514">
        <f t="shared" si="7"/>
        <v>0</v>
      </c>
      <c r="O21" s="514">
        <f t="shared" si="8"/>
        <v>0</v>
      </c>
      <c r="P21" s="272"/>
    </row>
    <row r="22" spans="2:16">
      <c r="B22" s="195" t="str">
        <f t="shared" si="5"/>
        <v/>
      </c>
      <c r="C22" s="507">
        <f>IF(D11="","-",+C21+1)</f>
        <v>2017</v>
      </c>
      <c r="D22" s="608">
        <v>4697459.666666667</v>
      </c>
      <c r="E22" s="609">
        <v>122522.76744186046</v>
      </c>
      <c r="F22" s="608">
        <v>4574936.8992248066</v>
      </c>
      <c r="G22" s="609">
        <v>696913.1190640803</v>
      </c>
      <c r="H22" s="610">
        <v>696913.1190640803</v>
      </c>
      <c r="I22" s="511">
        <f t="shared" si="9"/>
        <v>0</v>
      </c>
      <c r="J22" s="511"/>
      <c r="K22" s="518">
        <f t="shared" si="0"/>
        <v>696913.1190640803</v>
      </c>
      <c r="L22" s="519">
        <f t="shared" si="6"/>
        <v>0</v>
      </c>
      <c r="M22" s="518">
        <f t="shared" si="2"/>
        <v>696913.1190640803</v>
      </c>
      <c r="N22" s="514">
        <f t="shared" si="7"/>
        <v>0</v>
      </c>
      <c r="O22" s="514">
        <f t="shared" si="8"/>
        <v>0</v>
      </c>
      <c r="P22" s="272"/>
    </row>
    <row r="23" spans="2:16">
      <c r="B23" s="195" t="str">
        <f t="shared" si="5"/>
        <v/>
      </c>
      <c r="C23" s="507">
        <f>IF(D11="","-",+C22+1)</f>
        <v>2018</v>
      </c>
      <c r="D23" s="608">
        <v>4574936.8992248066</v>
      </c>
      <c r="E23" s="609">
        <v>128499.48780487805</v>
      </c>
      <c r="F23" s="608">
        <v>4446437.4114199281</v>
      </c>
      <c r="G23" s="609">
        <v>701781.20735784783</v>
      </c>
      <c r="H23" s="610">
        <v>701781.20735784783</v>
      </c>
      <c r="I23" s="511">
        <f t="shared" si="9"/>
        <v>0</v>
      </c>
      <c r="J23" s="511"/>
      <c r="K23" s="518">
        <f t="shared" ref="K23:K28" si="10">G23</f>
        <v>701781.20735784783</v>
      </c>
      <c r="L23" s="519">
        <f t="shared" si="6"/>
        <v>0</v>
      </c>
      <c r="M23" s="518">
        <f t="shared" ref="M23:M28" si="11">H23</f>
        <v>701781.20735784783</v>
      </c>
      <c r="N23" s="514">
        <f t="shared" si="7"/>
        <v>0</v>
      </c>
      <c r="O23" s="514">
        <f t="shared" si="8"/>
        <v>0</v>
      </c>
      <c r="P23" s="272"/>
    </row>
    <row r="24" spans="2:16">
      <c r="B24" s="195" t="str">
        <f t="shared" si="5"/>
        <v/>
      </c>
      <c r="C24" s="507">
        <f>IF(D11="","-",+C23+1)</f>
        <v>2019</v>
      </c>
      <c r="D24" s="608">
        <v>4446437.4114199281</v>
      </c>
      <c r="E24" s="609">
        <v>128499.48780487805</v>
      </c>
      <c r="F24" s="608">
        <v>4317937.9236150496</v>
      </c>
      <c r="G24" s="609">
        <v>685449.68074254401</v>
      </c>
      <c r="H24" s="610">
        <v>685449.68074254401</v>
      </c>
      <c r="I24" s="511">
        <f t="shared" si="9"/>
        <v>0</v>
      </c>
      <c r="J24" s="511"/>
      <c r="K24" s="518">
        <f t="shared" si="10"/>
        <v>685449.68074254401</v>
      </c>
      <c r="L24" s="519">
        <f t="shared" ref="L24" si="12">IF(K24&lt;&gt;0,+G24-K24,0)</f>
        <v>0</v>
      </c>
      <c r="M24" s="518">
        <f t="shared" si="11"/>
        <v>685449.68074254401</v>
      </c>
      <c r="N24" s="514">
        <f t="shared" si="3"/>
        <v>0</v>
      </c>
      <c r="O24" s="514">
        <f t="shared" si="4"/>
        <v>0</v>
      </c>
      <c r="P24" s="272"/>
    </row>
    <row r="25" spans="2:16">
      <c r="B25" s="195" t="str">
        <f t="shared" si="5"/>
        <v/>
      </c>
      <c r="C25" s="507">
        <f>IF(D11="","-",+C24+1)</f>
        <v>2020</v>
      </c>
      <c r="D25" s="608">
        <v>4317937.9236150496</v>
      </c>
      <c r="E25" s="609">
        <v>128499.48780487805</v>
      </c>
      <c r="F25" s="608">
        <v>4189438.4358101715</v>
      </c>
      <c r="G25" s="609">
        <v>563802.60432385455</v>
      </c>
      <c r="H25" s="610">
        <v>563802.60432385455</v>
      </c>
      <c r="I25" s="511">
        <f t="shared" si="9"/>
        <v>0</v>
      </c>
      <c r="J25" s="511"/>
      <c r="K25" s="518">
        <f t="shared" si="10"/>
        <v>563802.60432385455</v>
      </c>
      <c r="L25" s="519">
        <f t="shared" ref="L25" si="13">IF(K25&lt;&gt;0,+G25-K25,0)</f>
        <v>0</v>
      </c>
      <c r="M25" s="518">
        <f t="shared" si="11"/>
        <v>563802.60432385455</v>
      </c>
      <c r="N25" s="514">
        <f t="shared" si="3"/>
        <v>0</v>
      </c>
      <c r="O25" s="514">
        <f t="shared" si="4"/>
        <v>0</v>
      </c>
      <c r="P25" s="272"/>
    </row>
    <row r="26" spans="2:16">
      <c r="B26" s="195" t="str">
        <f t="shared" si="5"/>
        <v>IU</v>
      </c>
      <c r="C26" s="507">
        <f>IF(D11="","-",+C25+1)</f>
        <v>2021</v>
      </c>
      <c r="D26" s="608">
        <v>4195415.1561731901</v>
      </c>
      <c r="E26" s="609">
        <v>125439.97619047618</v>
      </c>
      <c r="F26" s="608">
        <v>4069975.1799827139</v>
      </c>
      <c r="G26" s="609">
        <v>563524.4472824221</v>
      </c>
      <c r="H26" s="610">
        <v>563524.4472824221</v>
      </c>
      <c r="I26" s="511">
        <f t="shared" si="9"/>
        <v>0</v>
      </c>
      <c r="J26" s="511"/>
      <c r="K26" s="518">
        <f t="shared" si="10"/>
        <v>563524.4472824221</v>
      </c>
      <c r="L26" s="519">
        <f t="shared" ref="L26" si="14">IF(K26&lt;&gt;0,+G26-K26,0)</f>
        <v>0</v>
      </c>
      <c r="M26" s="518">
        <f t="shared" si="11"/>
        <v>563524.4472824221</v>
      </c>
      <c r="N26" s="514">
        <f t="shared" si="3"/>
        <v>0</v>
      </c>
      <c r="O26" s="514">
        <f t="shared" si="4"/>
        <v>0</v>
      </c>
      <c r="P26" s="272"/>
    </row>
    <row r="27" spans="2:16">
      <c r="B27" s="195" t="str">
        <f t="shared" si="5"/>
        <v>IU</v>
      </c>
      <c r="C27" s="507">
        <f>IF(D11="","-",+C26+1)</f>
        <v>2022</v>
      </c>
      <c r="D27" s="608">
        <v>4063998.4596196958</v>
      </c>
      <c r="E27" s="609">
        <v>125439.97619047618</v>
      </c>
      <c r="F27" s="608">
        <v>3938558.4834292196</v>
      </c>
      <c r="G27" s="609">
        <v>575360.12029871624</v>
      </c>
      <c r="H27" s="610">
        <v>575360.12029871624</v>
      </c>
      <c r="I27" s="511">
        <f t="shared" si="9"/>
        <v>0</v>
      </c>
      <c r="J27" s="511"/>
      <c r="K27" s="518">
        <f t="shared" si="10"/>
        <v>575360.12029871624</v>
      </c>
      <c r="L27" s="519">
        <f t="shared" ref="L27" si="15">IF(K27&lt;&gt;0,+G27-K27,0)</f>
        <v>0</v>
      </c>
      <c r="M27" s="518">
        <f t="shared" si="11"/>
        <v>575360.12029871624</v>
      </c>
      <c r="N27" s="514">
        <f t="shared" si="3"/>
        <v>0</v>
      </c>
      <c r="O27" s="514">
        <f t="shared" si="4"/>
        <v>0</v>
      </c>
      <c r="P27" s="272"/>
    </row>
    <row r="28" spans="2:16">
      <c r="B28" s="195" t="str">
        <f t="shared" si="5"/>
        <v/>
      </c>
      <c r="C28" s="507">
        <f>IF(D11="","-",+C27+1)</f>
        <v>2023</v>
      </c>
      <c r="D28" s="608">
        <v>3938558.4834292196</v>
      </c>
      <c r="E28" s="609">
        <v>125439.97619047618</v>
      </c>
      <c r="F28" s="608">
        <v>3813118.5072387434</v>
      </c>
      <c r="G28" s="609">
        <v>615062.20403380867</v>
      </c>
      <c r="H28" s="610">
        <v>615062.20403380867</v>
      </c>
      <c r="I28" s="511">
        <f t="shared" si="9"/>
        <v>0</v>
      </c>
      <c r="J28" s="511"/>
      <c r="K28" s="518">
        <f t="shared" si="10"/>
        <v>615062.20403380867</v>
      </c>
      <c r="L28" s="519">
        <f t="shared" ref="L28" si="16">IF(K28&lt;&gt;0,+G28-K28,0)</f>
        <v>0</v>
      </c>
      <c r="M28" s="518">
        <f t="shared" si="11"/>
        <v>615062.20403380867</v>
      </c>
      <c r="N28" s="514">
        <f t="shared" ref="N28" si="17">IF(M28&lt;&gt;0,+H28-M28,0)</f>
        <v>0</v>
      </c>
      <c r="O28" s="514">
        <f t="shared" ref="O28" si="18">+N28-L28</f>
        <v>0</v>
      </c>
      <c r="P28" s="272"/>
    </row>
    <row r="29" spans="2:16">
      <c r="B29" s="195" t="str">
        <f t="shared" si="5"/>
        <v/>
      </c>
      <c r="C29" s="673">
        <f>IF(D11="","-",+C28+1)</f>
        <v>2024</v>
      </c>
      <c r="D29" s="523">
        <f>IF(F28+SUM(E$17:E28)=D$10,F28,D$10-SUM(E$17:E28))</f>
        <v>3813118.5072387434</v>
      </c>
      <c r="E29" s="522">
        <f>IF(+I14&lt;F28,I14,D29)</f>
        <v>119738.15909090909</v>
      </c>
      <c r="F29" s="523">
        <f t="shared" ref="F29:F48" si="19">+D29-E29</f>
        <v>3693380.3481478342</v>
      </c>
      <c r="G29" s="524">
        <f t="shared" ref="G29:G53" si="20">+I$12*((D29+F29)/2)+E29</f>
        <v>568353.29756523797</v>
      </c>
      <c r="H29" s="491">
        <f t="shared" ref="H29:H53" si="21">+I$13*((D29+F29)/2)+E29</f>
        <v>568353.29756523797</v>
      </c>
      <c r="I29" s="511">
        <f t="shared" si="9"/>
        <v>0</v>
      </c>
      <c r="J29" s="511"/>
      <c r="K29" s="525"/>
      <c r="L29" s="514">
        <f t="shared" si="1"/>
        <v>0</v>
      </c>
      <c r="M29" s="525"/>
      <c r="N29" s="514">
        <f t="shared" si="3"/>
        <v>0</v>
      </c>
      <c r="O29" s="514">
        <f t="shared" si="4"/>
        <v>0</v>
      </c>
      <c r="P29" s="272"/>
    </row>
    <row r="30" spans="2:16">
      <c r="B30" s="195" t="str">
        <f t="shared" si="5"/>
        <v/>
      </c>
      <c r="C30" s="507">
        <f>IF(D11="","-",+C29+1)</f>
        <v>2025</v>
      </c>
      <c r="D30" s="523">
        <f>IF(F29+SUM(E$17:E29)=D$10,F29,D$10-SUM(E$17:E29))</f>
        <v>3693380.3481478342</v>
      </c>
      <c r="E30" s="522">
        <f>IF(+I14&lt;F29,I14,D30)</f>
        <v>119738.15909090909</v>
      </c>
      <c r="F30" s="523">
        <f t="shared" si="19"/>
        <v>3573642.189056925</v>
      </c>
      <c r="G30" s="524">
        <f t="shared" si="20"/>
        <v>554041.33885956707</v>
      </c>
      <c r="H30" s="491">
        <f t="shared" si="21"/>
        <v>554041.33885956707</v>
      </c>
      <c r="I30" s="511">
        <f t="shared" si="9"/>
        <v>0</v>
      </c>
      <c r="J30" s="511"/>
      <c r="K30" s="525"/>
      <c r="L30" s="514">
        <f t="shared" si="1"/>
        <v>0</v>
      </c>
      <c r="M30" s="525"/>
      <c r="N30" s="514">
        <f t="shared" si="3"/>
        <v>0</v>
      </c>
      <c r="O30" s="514">
        <f t="shared" si="4"/>
        <v>0</v>
      </c>
      <c r="P30" s="272"/>
    </row>
    <row r="31" spans="2:16">
      <c r="B31" s="195" t="str">
        <f t="shared" si="5"/>
        <v/>
      </c>
      <c r="C31" s="507">
        <f>IF(D11="","-",+C30+1)</f>
        <v>2026</v>
      </c>
      <c r="D31" s="523">
        <f>IF(F30+SUM(E$17:E30)=D$10,F30,D$10-SUM(E$17:E30))</f>
        <v>3573642.189056925</v>
      </c>
      <c r="E31" s="522">
        <f>IF(+I14&lt;F30,I14,D31)</f>
        <v>119738.15909090909</v>
      </c>
      <c r="F31" s="523">
        <f t="shared" si="19"/>
        <v>3453904.0299660158</v>
      </c>
      <c r="G31" s="524">
        <f t="shared" si="20"/>
        <v>539729.38015389617</v>
      </c>
      <c r="H31" s="491">
        <f t="shared" si="21"/>
        <v>539729.38015389617</v>
      </c>
      <c r="I31" s="511">
        <f t="shared" si="9"/>
        <v>0</v>
      </c>
      <c r="J31" s="511"/>
      <c r="K31" s="525"/>
      <c r="L31" s="514">
        <f t="shared" si="1"/>
        <v>0</v>
      </c>
      <c r="M31" s="525"/>
      <c r="N31" s="514">
        <f t="shared" si="3"/>
        <v>0</v>
      </c>
      <c r="O31" s="514">
        <f t="shared" si="4"/>
        <v>0</v>
      </c>
      <c r="P31" s="272"/>
    </row>
    <row r="32" spans="2:16">
      <c r="B32" s="195" t="str">
        <f t="shared" si="5"/>
        <v/>
      </c>
      <c r="C32" s="507">
        <f>IF(D11="","-",+C31+1)</f>
        <v>2027</v>
      </c>
      <c r="D32" s="523">
        <f>IF(F31+SUM(E$17:E31)=D$10,F31,D$10-SUM(E$17:E31))</f>
        <v>3453904.0299660158</v>
      </c>
      <c r="E32" s="522">
        <f>IF(+I14&lt;F31,I14,D32)</f>
        <v>119738.15909090909</v>
      </c>
      <c r="F32" s="523">
        <f t="shared" si="19"/>
        <v>3334165.8708751067</v>
      </c>
      <c r="G32" s="524">
        <f t="shared" si="20"/>
        <v>525417.42144822516</v>
      </c>
      <c r="H32" s="491">
        <f t="shared" si="21"/>
        <v>525417.42144822516</v>
      </c>
      <c r="I32" s="511">
        <f t="shared" si="9"/>
        <v>0</v>
      </c>
      <c r="J32" s="511"/>
      <c r="K32" s="525"/>
      <c r="L32" s="514">
        <f t="shared" si="1"/>
        <v>0</v>
      </c>
      <c r="M32" s="525"/>
      <c r="N32" s="514">
        <f t="shared" si="3"/>
        <v>0</v>
      </c>
      <c r="O32" s="514">
        <f t="shared" si="4"/>
        <v>0</v>
      </c>
      <c r="P32" s="272"/>
    </row>
    <row r="33" spans="2:16">
      <c r="B33" s="195" t="str">
        <f t="shared" si="5"/>
        <v/>
      </c>
      <c r="C33" s="507">
        <f>IF(D11="","-",+C32+1)</f>
        <v>2028</v>
      </c>
      <c r="D33" s="523">
        <f>IF(F32+SUM(E$17:E32)=D$10,F32,D$10-SUM(E$17:E32))</f>
        <v>3334165.8708751067</v>
      </c>
      <c r="E33" s="522">
        <f>IF(+I14&lt;F32,I14,D33)</f>
        <v>119738.15909090909</v>
      </c>
      <c r="F33" s="523">
        <f t="shared" si="19"/>
        <v>3214427.7117841975</v>
      </c>
      <c r="G33" s="524">
        <f t="shared" si="20"/>
        <v>511105.46274255426</v>
      </c>
      <c r="H33" s="491">
        <f t="shared" si="21"/>
        <v>511105.46274255426</v>
      </c>
      <c r="I33" s="511">
        <f t="shared" si="9"/>
        <v>0</v>
      </c>
      <c r="J33" s="511"/>
      <c r="K33" s="525"/>
      <c r="L33" s="514">
        <f t="shared" si="1"/>
        <v>0</v>
      </c>
      <c r="M33" s="525"/>
      <c r="N33" s="514">
        <f t="shared" si="3"/>
        <v>0</v>
      </c>
      <c r="O33" s="514">
        <f t="shared" si="4"/>
        <v>0</v>
      </c>
      <c r="P33" s="272"/>
    </row>
    <row r="34" spans="2:16">
      <c r="B34" s="195" t="str">
        <f t="shared" si="5"/>
        <v/>
      </c>
      <c r="C34" s="507">
        <f>IF(D11="","-",+C33+1)</f>
        <v>2029</v>
      </c>
      <c r="D34" s="523">
        <f>IF(F33+SUM(E$17:E33)=D$10,F33,D$10-SUM(E$17:E33))</f>
        <v>3214427.7117841975</v>
      </c>
      <c r="E34" s="522">
        <f>IF(+I14&lt;F33,I14,D34)</f>
        <v>119738.15909090909</v>
      </c>
      <c r="F34" s="523">
        <f t="shared" si="19"/>
        <v>3094689.5526932883</v>
      </c>
      <c r="G34" s="524">
        <f t="shared" si="20"/>
        <v>496793.50403688324</v>
      </c>
      <c r="H34" s="491">
        <f t="shared" si="21"/>
        <v>496793.50403688324</v>
      </c>
      <c r="I34" s="511">
        <f t="shared" si="9"/>
        <v>0</v>
      </c>
      <c r="J34" s="511"/>
      <c r="K34" s="525"/>
      <c r="L34" s="514">
        <f t="shared" si="1"/>
        <v>0</v>
      </c>
      <c r="M34" s="525"/>
      <c r="N34" s="514">
        <f t="shared" si="3"/>
        <v>0</v>
      </c>
      <c r="O34" s="514">
        <f t="shared" si="4"/>
        <v>0</v>
      </c>
      <c r="P34" s="272"/>
    </row>
    <row r="35" spans="2:16">
      <c r="B35" s="195" t="str">
        <f t="shared" si="5"/>
        <v/>
      </c>
      <c r="C35" s="507">
        <f>IF(D11="","-",+C34+1)</f>
        <v>2030</v>
      </c>
      <c r="D35" s="523">
        <f>IF(F34+SUM(E$17:E34)=D$10,F34,D$10-SUM(E$17:E34))</f>
        <v>3094689.5526932883</v>
      </c>
      <c r="E35" s="522">
        <f>IF(+I14&lt;F34,I14,D35)</f>
        <v>119738.15909090909</v>
      </c>
      <c r="F35" s="523">
        <f t="shared" si="19"/>
        <v>2974951.3936023791</v>
      </c>
      <c r="G35" s="524">
        <f t="shared" si="20"/>
        <v>482481.54533121234</v>
      </c>
      <c r="H35" s="491">
        <f t="shared" si="21"/>
        <v>482481.54533121234</v>
      </c>
      <c r="I35" s="511">
        <f t="shared" si="9"/>
        <v>0</v>
      </c>
      <c r="J35" s="511"/>
      <c r="K35" s="525"/>
      <c r="L35" s="514">
        <f t="shared" si="1"/>
        <v>0</v>
      </c>
      <c r="M35" s="525"/>
      <c r="N35" s="514">
        <f t="shared" si="3"/>
        <v>0</v>
      </c>
      <c r="O35" s="514">
        <f t="shared" si="4"/>
        <v>0</v>
      </c>
      <c r="P35" s="272"/>
    </row>
    <row r="36" spans="2:16">
      <c r="B36" s="195" t="str">
        <f t="shared" si="5"/>
        <v/>
      </c>
      <c r="C36" s="507">
        <f>IF(D11="","-",+C35+1)</f>
        <v>2031</v>
      </c>
      <c r="D36" s="523">
        <f>IF(F35+SUM(E$17:E35)=D$10,F35,D$10-SUM(E$17:E35))</f>
        <v>2974951.3936023791</v>
      </c>
      <c r="E36" s="522">
        <f>IF(+I14&lt;F35,I14,D36)</f>
        <v>119738.15909090909</v>
      </c>
      <c r="F36" s="523">
        <f t="shared" si="19"/>
        <v>2855213.23451147</v>
      </c>
      <c r="G36" s="524">
        <f t="shared" si="20"/>
        <v>468169.58662554144</v>
      </c>
      <c r="H36" s="491">
        <f t="shared" si="21"/>
        <v>468169.58662554144</v>
      </c>
      <c r="I36" s="511">
        <f t="shared" si="9"/>
        <v>0</v>
      </c>
      <c r="J36" s="511"/>
      <c r="K36" s="525"/>
      <c r="L36" s="514">
        <f t="shared" si="1"/>
        <v>0</v>
      </c>
      <c r="M36" s="525"/>
      <c r="N36" s="514">
        <f t="shared" si="3"/>
        <v>0</v>
      </c>
      <c r="O36" s="514">
        <f t="shared" si="4"/>
        <v>0</v>
      </c>
      <c r="P36" s="272"/>
    </row>
    <row r="37" spans="2:16">
      <c r="B37" s="195" t="str">
        <f t="shared" si="5"/>
        <v/>
      </c>
      <c r="C37" s="507">
        <f>IF(D11="","-",+C36+1)</f>
        <v>2032</v>
      </c>
      <c r="D37" s="523">
        <f>IF(F36+SUM(E$17:E36)=D$10,F36,D$10-SUM(E$17:E36))</f>
        <v>2855213.23451147</v>
      </c>
      <c r="E37" s="522">
        <f>IF(+I14&lt;F36,I14,D37)</f>
        <v>119738.15909090909</v>
      </c>
      <c r="F37" s="523">
        <f t="shared" si="19"/>
        <v>2735475.0754205608</v>
      </c>
      <c r="G37" s="524">
        <f t="shared" si="20"/>
        <v>453857.62791987043</v>
      </c>
      <c r="H37" s="491">
        <f t="shared" si="21"/>
        <v>453857.62791987043</v>
      </c>
      <c r="I37" s="511">
        <f t="shared" si="9"/>
        <v>0</v>
      </c>
      <c r="J37" s="511"/>
      <c r="K37" s="525"/>
      <c r="L37" s="514">
        <f t="shared" si="1"/>
        <v>0</v>
      </c>
      <c r="M37" s="525"/>
      <c r="N37" s="514">
        <f t="shared" si="3"/>
        <v>0</v>
      </c>
      <c r="O37" s="514">
        <f t="shared" si="4"/>
        <v>0</v>
      </c>
      <c r="P37" s="272"/>
    </row>
    <row r="38" spans="2:16">
      <c r="B38" s="195" t="str">
        <f t="shared" si="5"/>
        <v/>
      </c>
      <c r="C38" s="507">
        <f>IF(D11="","-",+C37+1)</f>
        <v>2033</v>
      </c>
      <c r="D38" s="523">
        <f>IF(F37+SUM(E$17:E37)=D$10,F37,D$10-SUM(E$17:E37))</f>
        <v>2735475.0754205608</v>
      </c>
      <c r="E38" s="522">
        <f>IF(+I14&lt;F37,I14,D38)</f>
        <v>119738.15909090909</v>
      </c>
      <c r="F38" s="523">
        <f t="shared" si="19"/>
        <v>2615736.9163296516</v>
      </c>
      <c r="G38" s="524">
        <f t="shared" si="20"/>
        <v>439545.66921419953</v>
      </c>
      <c r="H38" s="491">
        <f t="shared" si="21"/>
        <v>439545.66921419953</v>
      </c>
      <c r="I38" s="511">
        <f t="shared" si="9"/>
        <v>0</v>
      </c>
      <c r="J38" s="511"/>
      <c r="K38" s="525"/>
      <c r="L38" s="514">
        <f t="shared" si="1"/>
        <v>0</v>
      </c>
      <c r="M38" s="525"/>
      <c r="N38" s="514">
        <f t="shared" si="3"/>
        <v>0</v>
      </c>
      <c r="O38" s="514">
        <f t="shared" si="4"/>
        <v>0</v>
      </c>
      <c r="P38" s="272"/>
    </row>
    <row r="39" spans="2:16">
      <c r="B39" s="195" t="str">
        <f t="shared" si="5"/>
        <v/>
      </c>
      <c r="C39" s="507">
        <f>IF(D11="","-",+C38+1)</f>
        <v>2034</v>
      </c>
      <c r="D39" s="523">
        <f>IF(F38+SUM(E$17:E38)=D$10,F38,D$10-SUM(E$17:E38))</f>
        <v>2615736.9163296516</v>
      </c>
      <c r="E39" s="522">
        <f>IF(+I14&lt;F38,I14,D39)</f>
        <v>119738.15909090909</v>
      </c>
      <c r="F39" s="523">
        <f t="shared" si="19"/>
        <v>2495998.7572387424</v>
      </c>
      <c r="G39" s="524">
        <f t="shared" si="20"/>
        <v>425233.71050852863</v>
      </c>
      <c r="H39" s="491">
        <f t="shared" si="21"/>
        <v>425233.71050852863</v>
      </c>
      <c r="I39" s="511">
        <f t="shared" si="9"/>
        <v>0</v>
      </c>
      <c r="J39" s="511"/>
      <c r="K39" s="525"/>
      <c r="L39" s="514">
        <f t="shared" si="1"/>
        <v>0</v>
      </c>
      <c r="M39" s="525"/>
      <c r="N39" s="514">
        <f t="shared" si="3"/>
        <v>0</v>
      </c>
      <c r="O39" s="514">
        <f t="shared" si="4"/>
        <v>0</v>
      </c>
      <c r="P39" s="272"/>
    </row>
    <row r="40" spans="2:16">
      <c r="B40" s="195" t="str">
        <f t="shared" si="5"/>
        <v/>
      </c>
      <c r="C40" s="507">
        <f>IF(D11="","-",+C39+1)</f>
        <v>2035</v>
      </c>
      <c r="D40" s="523">
        <f>IF(F39+SUM(E$17:E39)=D$10,F39,D$10-SUM(E$17:E39))</f>
        <v>2495998.7572387424</v>
      </c>
      <c r="E40" s="522">
        <f>IF(+I14&lt;F39,I14,D40)</f>
        <v>119738.15909090909</v>
      </c>
      <c r="F40" s="523">
        <f t="shared" si="19"/>
        <v>2376260.5981478333</v>
      </c>
      <c r="G40" s="524">
        <f t="shared" si="20"/>
        <v>410921.75180285762</v>
      </c>
      <c r="H40" s="491">
        <f t="shared" si="21"/>
        <v>410921.75180285762</v>
      </c>
      <c r="I40" s="511">
        <f t="shared" si="9"/>
        <v>0</v>
      </c>
      <c r="J40" s="511"/>
      <c r="K40" s="525"/>
      <c r="L40" s="514">
        <f t="shared" si="1"/>
        <v>0</v>
      </c>
      <c r="M40" s="525"/>
      <c r="N40" s="514">
        <f t="shared" si="3"/>
        <v>0</v>
      </c>
      <c r="O40" s="514">
        <f t="shared" si="4"/>
        <v>0</v>
      </c>
      <c r="P40" s="272"/>
    </row>
    <row r="41" spans="2:16">
      <c r="B41" s="195" t="str">
        <f t="shared" si="5"/>
        <v/>
      </c>
      <c r="C41" s="507">
        <f>IF(D11="","-",+C40+1)</f>
        <v>2036</v>
      </c>
      <c r="D41" s="523">
        <f>IF(F40+SUM(E$17:E40)=D$10,F40,D$10-SUM(E$17:E40))</f>
        <v>2376260.5981478333</v>
      </c>
      <c r="E41" s="522">
        <f>IF(+I14&lt;F40,I14,D41)</f>
        <v>119738.15909090909</v>
      </c>
      <c r="F41" s="523">
        <f t="shared" si="19"/>
        <v>2256522.4390569241</v>
      </c>
      <c r="G41" s="524">
        <f t="shared" si="20"/>
        <v>396609.79309718672</v>
      </c>
      <c r="H41" s="491">
        <f t="shared" si="21"/>
        <v>396609.79309718672</v>
      </c>
      <c r="I41" s="511">
        <f t="shared" si="9"/>
        <v>0</v>
      </c>
      <c r="J41" s="511"/>
      <c r="K41" s="525"/>
      <c r="L41" s="514">
        <f t="shared" si="1"/>
        <v>0</v>
      </c>
      <c r="M41" s="525"/>
      <c r="N41" s="514">
        <f t="shared" si="3"/>
        <v>0</v>
      </c>
      <c r="O41" s="514">
        <f t="shared" si="4"/>
        <v>0</v>
      </c>
      <c r="P41" s="272"/>
    </row>
    <row r="42" spans="2:16">
      <c r="B42" s="195" t="str">
        <f t="shared" si="5"/>
        <v/>
      </c>
      <c r="C42" s="507">
        <f>IF(D11="","-",+C41+1)</f>
        <v>2037</v>
      </c>
      <c r="D42" s="523">
        <f>IF(F41+SUM(E$17:E41)=D$10,F41,D$10-SUM(E$17:E41))</f>
        <v>2256522.4390569241</v>
      </c>
      <c r="E42" s="522">
        <f>IF(+I14&lt;F41,I14,D42)</f>
        <v>119738.15909090909</v>
      </c>
      <c r="F42" s="523">
        <f t="shared" si="19"/>
        <v>2136784.2799660149</v>
      </c>
      <c r="G42" s="524">
        <f t="shared" si="20"/>
        <v>382297.8343915157</v>
      </c>
      <c r="H42" s="491">
        <f t="shared" si="21"/>
        <v>382297.8343915157</v>
      </c>
      <c r="I42" s="511">
        <f t="shared" si="9"/>
        <v>0</v>
      </c>
      <c r="J42" s="511"/>
      <c r="K42" s="525"/>
      <c r="L42" s="514">
        <f t="shared" si="1"/>
        <v>0</v>
      </c>
      <c r="M42" s="525"/>
      <c r="N42" s="514">
        <f t="shared" si="3"/>
        <v>0</v>
      </c>
      <c r="O42" s="514">
        <f t="shared" si="4"/>
        <v>0</v>
      </c>
      <c r="P42" s="272"/>
    </row>
    <row r="43" spans="2:16">
      <c r="B43" s="195" t="str">
        <f t="shared" si="5"/>
        <v/>
      </c>
      <c r="C43" s="507">
        <f>IF(D11="","-",+C42+1)</f>
        <v>2038</v>
      </c>
      <c r="D43" s="523">
        <f>IF(F42+SUM(E$17:E42)=D$10,F42,D$10-SUM(E$17:E42))</f>
        <v>2136784.2799660149</v>
      </c>
      <c r="E43" s="522">
        <f>IF(+I14&lt;F42,I14,D43)</f>
        <v>119738.15909090909</v>
      </c>
      <c r="F43" s="523">
        <f t="shared" si="19"/>
        <v>2017046.1208751057</v>
      </c>
      <c r="G43" s="524">
        <f t="shared" si="20"/>
        <v>367985.8756858448</v>
      </c>
      <c r="H43" s="491">
        <f t="shared" si="21"/>
        <v>367985.8756858448</v>
      </c>
      <c r="I43" s="511">
        <f t="shared" si="9"/>
        <v>0</v>
      </c>
      <c r="J43" s="511"/>
      <c r="K43" s="525"/>
      <c r="L43" s="514">
        <f t="shared" si="1"/>
        <v>0</v>
      </c>
      <c r="M43" s="525"/>
      <c r="N43" s="514">
        <f t="shared" si="3"/>
        <v>0</v>
      </c>
      <c r="O43" s="514">
        <f t="shared" si="4"/>
        <v>0</v>
      </c>
      <c r="P43" s="272"/>
    </row>
    <row r="44" spans="2:16">
      <c r="B44" s="195" t="str">
        <f t="shared" si="5"/>
        <v/>
      </c>
      <c r="C44" s="507">
        <f>IF(D11="","-",+C43+1)</f>
        <v>2039</v>
      </c>
      <c r="D44" s="523">
        <f>IF(F43+SUM(E$17:E43)=D$10,F43,D$10-SUM(E$17:E43))</f>
        <v>2017046.1208751057</v>
      </c>
      <c r="E44" s="522">
        <f>IF(+I14&lt;F43,I14,D44)</f>
        <v>119738.15909090909</v>
      </c>
      <c r="F44" s="523">
        <f t="shared" si="19"/>
        <v>1897307.9617841966</v>
      </c>
      <c r="G44" s="524">
        <f t="shared" si="20"/>
        <v>353673.9169801739</v>
      </c>
      <c r="H44" s="491">
        <f t="shared" si="21"/>
        <v>353673.9169801739</v>
      </c>
      <c r="I44" s="511">
        <f t="shared" si="9"/>
        <v>0</v>
      </c>
      <c r="J44" s="511"/>
      <c r="K44" s="525"/>
      <c r="L44" s="514">
        <f t="shared" si="1"/>
        <v>0</v>
      </c>
      <c r="M44" s="525"/>
      <c r="N44" s="514">
        <f t="shared" si="3"/>
        <v>0</v>
      </c>
      <c r="O44" s="514">
        <f t="shared" si="4"/>
        <v>0</v>
      </c>
      <c r="P44" s="272"/>
    </row>
    <row r="45" spans="2:16">
      <c r="B45" s="195" t="str">
        <f t="shared" si="5"/>
        <v/>
      </c>
      <c r="C45" s="507">
        <f>IF(D11="","-",+C44+1)</f>
        <v>2040</v>
      </c>
      <c r="D45" s="523">
        <f>IF(F44+SUM(E$17:E44)=D$10,F44,D$10-SUM(E$17:E44))</f>
        <v>1897307.9617841966</v>
      </c>
      <c r="E45" s="522">
        <f>IF(+I14&lt;F44,I14,D45)</f>
        <v>119738.15909090909</v>
      </c>
      <c r="F45" s="523">
        <f t="shared" si="19"/>
        <v>1777569.8026932874</v>
      </c>
      <c r="G45" s="524">
        <f t="shared" si="20"/>
        <v>339361.95827450289</v>
      </c>
      <c r="H45" s="491">
        <f t="shared" si="21"/>
        <v>339361.95827450289</v>
      </c>
      <c r="I45" s="511">
        <f t="shared" si="9"/>
        <v>0</v>
      </c>
      <c r="J45" s="511"/>
      <c r="K45" s="525"/>
      <c r="L45" s="514">
        <f t="shared" si="1"/>
        <v>0</v>
      </c>
      <c r="M45" s="525"/>
      <c r="N45" s="514">
        <f t="shared" si="3"/>
        <v>0</v>
      </c>
      <c r="O45" s="514">
        <f t="shared" si="4"/>
        <v>0</v>
      </c>
      <c r="P45" s="272"/>
    </row>
    <row r="46" spans="2:16">
      <c r="B46" s="195" t="str">
        <f t="shared" si="5"/>
        <v/>
      </c>
      <c r="C46" s="507">
        <f>IF(D11="","-",+C45+1)</f>
        <v>2041</v>
      </c>
      <c r="D46" s="523">
        <f>IF(F45+SUM(E$17:E45)=D$10,F45,D$10-SUM(E$17:E45))</f>
        <v>1777569.8026932874</v>
      </c>
      <c r="E46" s="522">
        <f>IF(+I14&lt;F45,I14,D46)</f>
        <v>119738.15909090909</v>
      </c>
      <c r="F46" s="523">
        <f t="shared" si="19"/>
        <v>1657831.6436023782</v>
      </c>
      <c r="G46" s="524">
        <f t="shared" si="20"/>
        <v>325049.99956883199</v>
      </c>
      <c r="H46" s="491">
        <f t="shared" si="21"/>
        <v>325049.99956883199</v>
      </c>
      <c r="I46" s="511">
        <f t="shared" si="9"/>
        <v>0</v>
      </c>
      <c r="J46" s="511"/>
      <c r="K46" s="525"/>
      <c r="L46" s="514">
        <f t="shared" si="1"/>
        <v>0</v>
      </c>
      <c r="M46" s="525"/>
      <c r="N46" s="514">
        <f t="shared" si="3"/>
        <v>0</v>
      </c>
      <c r="O46" s="514">
        <f t="shared" si="4"/>
        <v>0</v>
      </c>
      <c r="P46" s="272"/>
    </row>
    <row r="47" spans="2:16">
      <c r="B47" s="195" t="str">
        <f t="shared" si="5"/>
        <v/>
      </c>
      <c r="C47" s="507">
        <f>IF(D11="","-",+C46+1)</f>
        <v>2042</v>
      </c>
      <c r="D47" s="523">
        <f>IF(F46+SUM(E$17:E46)=D$10,F46,D$10-SUM(E$17:E46))</f>
        <v>1657831.6436023782</v>
      </c>
      <c r="E47" s="522">
        <f>IF(+I14&lt;F46,I14,D47)</f>
        <v>119738.15909090909</v>
      </c>
      <c r="F47" s="523">
        <f t="shared" si="19"/>
        <v>1538093.484511469</v>
      </c>
      <c r="G47" s="524">
        <f t="shared" si="20"/>
        <v>310738.04086316103</v>
      </c>
      <c r="H47" s="491">
        <f t="shared" si="21"/>
        <v>310738.04086316103</v>
      </c>
      <c r="I47" s="511">
        <f t="shared" si="9"/>
        <v>0</v>
      </c>
      <c r="J47" s="511"/>
      <c r="K47" s="525"/>
      <c r="L47" s="514">
        <f t="shared" si="1"/>
        <v>0</v>
      </c>
      <c r="M47" s="525"/>
      <c r="N47" s="514">
        <f t="shared" si="3"/>
        <v>0</v>
      </c>
      <c r="O47" s="514">
        <f t="shared" si="4"/>
        <v>0</v>
      </c>
      <c r="P47" s="272"/>
    </row>
    <row r="48" spans="2:16">
      <c r="B48" s="195" t="str">
        <f t="shared" si="5"/>
        <v/>
      </c>
      <c r="C48" s="507">
        <f>IF(D11="","-",+C47+1)</f>
        <v>2043</v>
      </c>
      <c r="D48" s="523">
        <f>IF(F47+SUM(E$17:E47)=D$10,F47,D$10-SUM(E$17:E47))</f>
        <v>1538093.484511469</v>
      </c>
      <c r="E48" s="522">
        <f>IF(+I14&lt;F47,I14,D48)</f>
        <v>119738.15909090909</v>
      </c>
      <c r="F48" s="523">
        <f t="shared" si="19"/>
        <v>1418355.3254205598</v>
      </c>
      <c r="G48" s="524">
        <f t="shared" si="20"/>
        <v>296426.08215749008</v>
      </c>
      <c r="H48" s="491">
        <f t="shared" si="21"/>
        <v>296426.08215749008</v>
      </c>
      <c r="I48" s="511">
        <f t="shared" si="9"/>
        <v>0</v>
      </c>
      <c r="J48" s="511"/>
      <c r="K48" s="525"/>
      <c r="L48" s="514">
        <f t="shared" si="1"/>
        <v>0</v>
      </c>
      <c r="M48" s="525"/>
      <c r="N48" s="514">
        <f t="shared" si="3"/>
        <v>0</v>
      </c>
      <c r="O48" s="514">
        <f t="shared" si="4"/>
        <v>0</v>
      </c>
      <c r="P48" s="272"/>
    </row>
    <row r="49" spans="2:17">
      <c r="B49" s="195" t="str">
        <f t="shared" si="5"/>
        <v/>
      </c>
      <c r="C49" s="507">
        <f>IF(D11="","-",+C48+1)</f>
        <v>2044</v>
      </c>
      <c r="D49" s="523">
        <f>IF(F48+SUM(E$17:E48)=D$10,F48,D$10-SUM(E$17:E48))</f>
        <v>1418355.3254205598</v>
      </c>
      <c r="E49" s="522">
        <f>IF(+I14&lt;F48,I14,D49)</f>
        <v>119738.15909090909</v>
      </c>
      <c r="F49" s="523">
        <f t="shared" ref="F49:F72" si="22">+D49-E49</f>
        <v>1298617.1663296507</v>
      </c>
      <c r="G49" s="524">
        <f t="shared" si="20"/>
        <v>282114.12345181918</v>
      </c>
      <c r="H49" s="491">
        <f t="shared" si="21"/>
        <v>282114.12345181918</v>
      </c>
      <c r="I49" s="511">
        <f t="shared" ref="I49:I72" si="23">H49-G49</f>
        <v>0</v>
      </c>
      <c r="J49" s="511"/>
      <c r="K49" s="525"/>
      <c r="L49" s="514">
        <f t="shared" ref="L49:L72" si="24">IF(K49&lt;&gt;0,+G49-K49,0)</f>
        <v>0</v>
      </c>
      <c r="M49" s="525"/>
      <c r="N49" s="514">
        <f t="shared" ref="N49:N72" si="25">IF(M49&lt;&gt;0,+H49-M49,0)</f>
        <v>0</v>
      </c>
      <c r="O49" s="514">
        <f t="shared" ref="O49:O72" si="26">+N49-L49</f>
        <v>0</v>
      </c>
      <c r="P49" s="272"/>
    </row>
    <row r="50" spans="2:17">
      <c r="B50" s="195" t="str">
        <f t="shared" ref="B50:B72" si="27">IF(D50=F49,"","IU")</f>
        <v/>
      </c>
      <c r="C50" s="507">
        <f>IF(D11="","-",+C49+1)</f>
        <v>2045</v>
      </c>
      <c r="D50" s="523">
        <f>IF(F49+SUM(E$17:E49)=D$10,F49,D$10-SUM(E$17:E49))</f>
        <v>1298617.1663296507</v>
      </c>
      <c r="E50" s="522">
        <f>IF(+I14&lt;F49,I14,D50)</f>
        <v>119738.15909090909</v>
      </c>
      <c r="F50" s="523">
        <f t="shared" si="22"/>
        <v>1178879.0072387415</v>
      </c>
      <c r="G50" s="524">
        <f t="shared" si="20"/>
        <v>267802.16474614822</v>
      </c>
      <c r="H50" s="491">
        <f t="shared" si="21"/>
        <v>267802.16474614822</v>
      </c>
      <c r="I50" s="511">
        <f t="shared" si="23"/>
        <v>0</v>
      </c>
      <c r="J50" s="511"/>
      <c r="K50" s="525"/>
      <c r="L50" s="514">
        <f t="shared" si="24"/>
        <v>0</v>
      </c>
      <c r="M50" s="525"/>
      <c r="N50" s="514">
        <f t="shared" si="25"/>
        <v>0</v>
      </c>
      <c r="O50" s="514">
        <f t="shared" si="26"/>
        <v>0</v>
      </c>
      <c r="P50" s="272"/>
    </row>
    <row r="51" spans="2:17">
      <c r="B51" s="195" t="str">
        <f t="shared" si="27"/>
        <v/>
      </c>
      <c r="C51" s="507">
        <f>IF(D11="","-",+C50+1)</f>
        <v>2046</v>
      </c>
      <c r="D51" s="523">
        <f>IF(F50+SUM(E$17:E50)=D$10,F50,D$10-SUM(E$17:E50))</f>
        <v>1178879.0072387415</v>
      </c>
      <c r="E51" s="522">
        <f>IF(+I14&lt;F50,I14,D51)</f>
        <v>119738.15909090909</v>
      </c>
      <c r="F51" s="523">
        <f t="shared" si="22"/>
        <v>1059140.8481478323</v>
      </c>
      <c r="G51" s="524">
        <f t="shared" si="20"/>
        <v>253490.20604047726</v>
      </c>
      <c r="H51" s="491">
        <f t="shared" si="21"/>
        <v>253490.20604047726</v>
      </c>
      <c r="I51" s="511">
        <f t="shared" si="23"/>
        <v>0</v>
      </c>
      <c r="J51" s="511"/>
      <c r="K51" s="525"/>
      <c r="L51" s="514">
        <f t="shared" si="24"/>
        <v>0</v>
      </c>
      <c r="M51" s="525"/>
      <c r="N51" s="514">
        <f t="shared" si="25"/>
        <v>0</v>
      </c>
      <c r="O51" s="514">
        <f t="shared" si="26"/>
        <v>0</v>
      </c>
      <c r="P51" s="272"/>
    </row>
    <row r="52" spans="2:17">
      <c r="B52" s="195" t="str">
        <f t="shared" si="27"/>
        <v/>
      </c>
      <c r="C52" s="507">
        <f>IF(D11="","-",+C51+1)</f>
        <v>2047</v>
      </c>
      <c r="D52" s="523">
        <f>IF(F51+SUM(E$17:E51)=D$10,F51,D$10-SUM(E$17:E51))</f>
        <v>1059140.8481478323</v>
      </c>
      <c r="E52" s="522">
        <f>IF(+I14&lt;F51,I14,D52)</f>
        <v>119738.15909090909</v>
      </c>
      <c r="F52" s="523">
        <f t="shared" si="22"/>
        <v>939402.68905692326</v>
      </c>
      <c r="G52" s="524">
        <f t="shared" si="20"/>
        <v>239178.24733480634</v>
      </c>
      <c r="H52" s="491">
        <f t="shared" si="21"/>
        <v>239178.24733480634</v>
      </c>
      <c r="I52" s="511">
        <f t="shared" si="23"/>
        <v>0</v>
      </c>
      <c r="J52" s="511"/>
      <c r="K52" s="525"/>
      <c r="L52" s="514">
        <f t="shared" si="24"/>
        <v>0</v>
      </c>
      <c r="M52" s="525"/>
      <c r="N52" s="514">
        <f t="shared" si="25"/>
        <v>0</v>
      </c>
      <c r="O52" s="514">
        <f t="shared" si="26"/>
        <v>0</v>
      </c>
      <c r="P52" s="272"/>
    </row>
    <row r="53" spans="2:17">
      <c r="B53" s="195" t="str">
        <f t="shared" si="27"/>
        <v/>
      </c>
      <c r="C53" s="507">
        <f>IF(D11="","-",+C52+1)</f>
        <v>2048</v>
      </c>
      <c r="D53" s="523">
        <f>IF(F52+SUM(E$17:E52)=D$10,F52,D$10-SUM(E$17:E52))</f>
        <v>939402.68905692326</v>
      </c>
      <c r="E53" s="522">
        <f>IF(+I14&lt;F52,I14,D53)</f>
        <v>119738.15909090909</v>
      </c>
      <c r="F53" s="523">
        <f t="shared" si="22"/>
        <v>819664.5299660142</v>
      </c>
      <c r="G53" s="524">
        <f t="shared" si="20"/>
        <v>224866.28862913541</v>
      </c>
      <c r="H53" s="491">
        <f t="shared" si="21"/>
        <v>224866.28862913541</v>
      </c>
      <c r="I53" s="511">
        <f t="shared" si="23"/>
        <v>0</v>
      </c>
      <c r="J53" s="511"/>
      <c r="K53" s="525"/>
      <c r="L53" s="514">
        <f t="shared" si="24"/>
        <v>0</v>
      </c>
      <c r="M53" s="525"/>
      <c r="N53" s="514">
        <f t="shared" si="25"/>
        <v>0</v>
      </c>
      <c r="O53" s="514">
        <f t="shared" si="26"/>
        <v>0</v>
      </c>
      <c r="P53" s="272"/>
    </row>
    <row r="54" spans="2:17">
      <c r="B54" s="195" t="str">
        <f t="shared" si="27"/>
        <v/>
      </c>
      <c r="C54" s="507">
        <f>IF(D11="","-",+C53+1)</f>
        <v>2049</v>
      </c>
      <c r="D54" s="523">
        <f>IF(F53+SUM(E$17:E53)=D$10,F53,D$10-SUM(E$17:E53))</f>
        <v>819664.5299660142</v>
      </c>
      <c r="E54" s="522">
        <f>IF(+I14&lt;F53,I14,D54)</f>
        <v>119738.15909090909</v>
      </c>
      <c r="F54" s="523">
        <f t="shared" si="22"/>
        <v>699926.37087510515</v>
      </c>
      <c r="G54" s="524">
        <f t="shared" ref="G54:G72" si="28">+I$12*((D54+F54)/2)+E54</f>
        <v>210554.32992346448</v>
      </c>
      <c r="H54" s="491">
        <f t="shared" ref="H54:H72" si="29">+I$13*((D54+F54)/2)+E54</f>
        <v>210554.32992346448</v>
      </c>
      <c r="I54" s="511">
        <f t="shared" si="23"/>
        <v>0</v>
      </c>
      <c r="J54" s="511"/>
      <c r="K54" s="525"/>
      <c r="L54" s="514">
        <f t="shared" si="24"/>
        <v>0</v>
      </c>
      <c r="M54" s="525"/>
      <c r="N54" s="514">
        <f t="shared" si="25"/>
        <v>0</v>
      </c>
      <c r="O54" s="514">
        <f t="shared" si="26"/>
        <v>0</v>
      </c>
      <c r="P54" s="272"/>
    </row>
    <row r="55" spans="2:17">
      <c r="B55" s="195" t="str">
        <f t="shared" si="27"/>
        <v/>
      </c>
      <c r="C55" s="507">
        <f>IF(D11="","-",+C54+1)</f>
        <v>2050</v>
      </c>
      <c r="D55" s="523">
        <f>IF(F54+SUM(E$17:E54)=D$10,F54,D$10-SUM(E$17:E54))</f>
        <v>699926.37087510515</v>
      </c>
      <c r="E55" s="522">
        <f>IF(+I14&lt;F54,I14,D55)</f>
        <v>119738.15909090909</v>
      </c>
      <c r="F55" s="523">
        <f t="shared" si="22"/>
        <v>580188.21178419609</v>
      </c>
      <c r="G55" s="524">
        <f t="shared" si="28"/>
        <v>196242.37121779355</v>
      </c>
      <c r="H55" s="491">
        <f t="shared" si="29"/>
        <v>196242.37121779355</v>
      </c>
      <c r="I55" s="511">
        <f t="shared" si="23"/>
        <v>0</v>
      </c>
      <c r="J55" s="511"/>
      <c r="K55" s="525"/>
      <c r="L55" s="514">
        <f t="shared" si="24"/>
        <v>0</v>
      </c>
      <c r="M55" s="525"/>
      <c r="N55" s="514">
        <f t="shared" si="25"/>
        <v>0</v>
      </c>
      <c r="O55" s="514">
        <f t="shared" si="26"/>
        <v>0</v>
      </c>
      <c r="P55" s="272"/>
    </row>
    <row r="56" spans="2:17">
      <c r="B56" s="195" t="str">
        <f t="shared" si="27"/>
        <v/>
      </c>
      <c r="C56" s="507">
        <f>IF(D11="","-",+C55+1)</f>
        <v>2051</v>
      </c>
      <c r="D56" s="523">
        <f>IF(F55+SUM(E$17:E55)=D$10,F55,D$10-SUM(E$17:E55))</f>
        <v>580188.21178419609</v>
      </c>
      <c r="E56" s="522">
        <f>IF(+I14&lt;F55,I14,D56)</f>
        <v>119738.15909090909</v>
      </c>
      <c r="F56" s="523">
        <f t="shared" si="22"/>
        <v>460450.05269328703</v>
      </c>
      <c r="G56" s="524">
        <f t="shared" si="28"/>
        <v>181930.41251212262</v>
      </c>
      <c r="H56" s="491">
        <f t="shared" si="29"/>
        <v>181930.41251212262</v>
      </c>
      <c r="I56" s="511">
        <f t="shared" si="23"/>
        <v>0</v>
      </c>
      <c r="J56" s="511"/>
      <c r="K56" s="525"/>
      <c r="L56" s="514">
        <f t="shared" si="24"/>
        <v>0</v>
      </c>
      <c r="M56" s="525"/>
      <c r="N56" s="514">
        <f t="shared" si="25"/>
        <v>0</v>
      </c>
      <c r="O56" s="514">
        <f t="shared" si="26"/>
        <v>0</v>
      </c>
      <c r="P56" s="272"/>
    </row>
    <row r="57" spans="2:17">
      <c r="B57" s="195" t="str">
        <f t="shared" si="27"/>
        <v/>
      </c>
      <c r="C57" s="507">
        <f>IF(D11="","-",+C56+1)</f>
        <v>2052</v>
      </c>
      <c r="D57" s="523">
        <f>IF(F56+SUM(E$17:E56)=D$10,F56,D$10-SUM(E$17:E56))</f>
        <v>460450.05269328703</v>
      </c>
      <c r="E57" s="522">
        <f>IF(+I14&lt;F56,I14,D57)</f>
        <v>119738.15909090909</v>
      </c>
      <c r="F57" s="523">
        <f t="shared" si="22"/>
        <v>340711.89360237797</v>
      </c>
      <c r="G57" s="524">
        <f t="shared" si="28"/>
        <v>167618.4538064517</v>
      </c>
      <c r="H57" s="491">
        <f t="shared" si="29"/>
        <v>167618.4538064517</v>
      </c>
      <c r="I57" s="511">
        <f t="shared" si="23"/>
        <v>0</v>
      </c>
      <c r="J57" s="511"/>
      <c r="K57" s="525"/>
      <c r="L57" s="514">
        <f t="shared" si="24"/>
        <v>0</v>
      </c>
      <c r="M57" s="525"/>
      <c r="N57" s="514">
        <f t="shared" si="25"/>
        <v>0</v>
      </c>
      <c r="O57" s="514">
        <f t="shared" si="26"/>
        <v>0</v>
      </c>
      <c r="P57" s="272"/>
    </row>
    <row r="58" spans="2:17">
      <c r="B58" s="195" t="str">
        <f t="shared" si="27"/>
        <v/>
      </c>
      <c r="C58" s="507">
        <f>IF(D11="","-",+C57+1)</f>
        <v>2053</v>
      </c>
      <c r="D58" s="523">
        <f>IF(F57+SUM(E$17:E57)=D$10,F57,D$10-SUM(E$17:E57))</f>
        <v>340711.89360237797</v>
      </c>
      <c r="E58" s="522">
        <f>IF(+I14&lt;F57,I14,D58)</f>
        <v>119738.15909090909</v>
      </c>
      <c r="F58" s="523">
        <f t="shared" si="22"/>
        <v>220973.73451146888</v>
      </c>
      <c r="G58" s="524">
        <f t="shared" si="28"/>
        <v>153306.49510078077</v>
      </c>
      <c r="H58" s="491">
        <f t="shared" si="29"/>
        <v>153306.49510078077</v>
      </c>
      <c r="I58" s="511">
        <f t="shared" si="23"/>
        <v>0</v>
      </c>
      <c r="J58" s="511"/>
      <c r="K58" s="525"/>
      <c r="L58" s="514">
        <f t="shared" si="24"/>
        <v>0</v>
      </c>
      <c r="M58" s="525"/>
      <c r="N58" s="514">
        <f t="shared" si="25"/>
        <v>0</v>
      </c>
      <c r="O58" s="514">
        <f t="shared" si="26"/>
        <v>0</v>
      </c>
      <c r="P58" s="272"/>
      <c r="Q58" s="183" t="str">
        <f>IF(ROUND(Q57,0)=ROUND(SUM(Q18:Q56),0),"","Error -- check allocations above).")</f>
        <v/>
      </c>
    </row>
    <row r="59" spans="2:17">
      <c r="B59" s="195" t="str">
        <f t="shared" si="27"/>
        <v/>
      </c>
      <c r="C59" s="507">
        <f>IF(D11="","-",+C58+1)</f>
        <v>2054</v>
      </c>
      <c r="D59" s="523">
        <f>IF(F58+SUM(E$17:E58)=D$10,F58,D$10-SUM(E$17:E58))</f>
        <v>220973.73451146888</v>
      </c>
      <c r="E59" s="522">
        <f>IF(+I14&lt;F58,I14,D59)</f>
        <v>119738.15909090909</v>
      </c>
      <c r="F59" s="523">
        <f t="shared" si="22"/>
        <v>101235.57542055979</v>
      </c>
      <c r="G59" s="524">
        <f t="shared" si="28"/>
        <v>138994.53639510984</v>
      </c>
      <c r="H59" s="491">
        <f t="shared" si="29"/>
        <v>138994.53639510984</v>
      </c>
      <c r="I59" s="511">
        <f t="shared" si="23"/>
        <v>0</v>
      </c>
      <c r="J59" s="511"/>
      <c r="K59" s="525"/>
      <c r="L59" s="514">
        <f t="shared" si="24"/>
        <v>0</v>
      </c>
      <c r="M59" s="525"/>
      <c r="N59" s="514">
        <f t="shared" si="25"/>
        <v>0</v>
      </c>
      <c r="O59" s="514">
        <f t="shared" si="26"/>
        <v>0</v>
      </c>
      <c r="P59" s="272"/>
    </row>
    <row r="60" spans="2:17">
      <c r="B60" s="195" t="str">
        <f t="shared" si="27"/>
        <v/>
      </c>
      <c r="C60" s="507">
        <f>IF(D11="","-",+C59+1)</f>
        <v>2055</v>
      </c>
      <c r="D60" s="523">
        <f>IF(F59+SUM(E$17:E59)=D$10,F59,D$10-SUM(E$17:E59))</f>
        <v>101235.57542055979</v>
      </c>
      <c r="E60" s="522">
        <f>IF(+I14&lt;F59,I14,D60)</f>
        <v>101235.57542055979</v>
      </c>
      <c r="F60" s="523">
        <f t="shared" si="22"/>
        <v>0</v>
      </c>
      <c r="G60" s="524">
        <f t="shared" si="28"/>
        <v>107285.77439624243</v>
      </c>
      <c r="H60" s="491">
        <f t="shared" si="29"/>
        <v>107285.77439624243</v>
      </c>
      <c r="I60" s="511">
        <f t="shared" si="23"/>
        <v>0</v>
      </c>
      <c r="J60" s="511"/>
      <c r="K60" s="525"/>
      <c r="L60" s="514">
        <f t="shared" si="24"/>
        <v>0</v>
      </c>
      <c r="M60" s="525"/>
      <c r="N60" s="514">
        <f t="shared" si="25"/>
        <v>0</v>
      </c>
      <c r="O60" s="514">
        <f t="shared" si="26"/>
        <v>0</v>
      </c>
      <c r="P60" s="272"/>
    </row>
    <row r="61" spans="2:17">
      <c r="B61" s="195" t="str">
        <f t="shared" si="27"/>
        <v/>
      </c>
      <c r="C61" s="507">
        <f>IF(D11="","-",+C60+1)</f>
        <v>2056</v>
      </c>
      <c r="D61" s="523">
        <f>IF(F60+SUM(E$17:E60)=D$10,F60,D$10-SUM(E$17:E60))</f>
        <v>0</v>
      </c>
      <c r="E61" s="522">
        <f>IF(+I14&lt;F60,I14,D61)</f>
        <v>0</v>
      </c>
      <c r="F61" s="523">
        <f t="shared" si="22"/>
        <v>0</v>
      </c>
      <c r="G61" s="526">
        <f t="shared" si="28"/>
        <v>0</v>
      </c>
      <c r="H61" s="491">
        <f t="shared" si="29"/>
        <v>0</v>
      </c>
      <c r="I61" s="511">
        <f t="shared" si="23"/>
        <v>0</v>
      </c>
      <c r="J61" s="511"/>
      <c r="K61" s="525"/>
      <c r="L61" s="514">
        <f t="shared" si="24"/>
        <v>0</v>
      </c>
      <c r="M61" s="525"/>
      <c r="N61" s="514">
        <f t="shared" si="25"/>
        <v>0</v>
      </c>
      <c r="O61" s="514">
        <f t="shared" si="26"/>
        <v>0</v>
      </c>
      <c r="P61" s="272"/>
    </row>
    <row r="62" spans="2:17">
      <c r="B62" s="195" t="str">
        <f t="shared" si="27"/>
        <v/>
      </c>
      <c r="C62" s="507">
        <f>IF(D11="","-",+C61+1)</f>
        <v>2057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22"/>
        <v>0</v>
      </c>
      <c r="G62" s="526">
        <f t="shared" si="28"/>
        <v>0</v>
      </c>
      <c r="H62" s="491">
        <f t="shared" si="29"/>
        <v>0</v>
      </c>
      <c r="I62" s="511">
        <f t="shared" si="23"/>
        <v>0</v>
      </c>
      <c r="J62" s="511"/>
      <c r="K62" s="525"/>
      <c r="L62" s="514">
        <f t="shared" si="24"/>
        <v>0</v>
      </c>
      <c r="M62" s="525"/>
      <c r="N62" s="514">
        <f t="shared" si="25"/>
        <v>0</v>
      </c>
      <c r="O62" s="514">
        <f t="shared" si="26"/>
        <v>0</v>
      </c>
      <c r="P62" s="272"/>
    </row>
    <row r="63" spans="2:17">
      <c r="B63" s="195" t="str">
        <f t="shared" si="27"/>
        <v/>
      </c>
      <c r="C63" s="507">
        <f>IF(D11="","-",+C62+1)</f>
        <v>2058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22"/>
        <v>0</v>
      </c>
      <c r="G63" s="526">
        <f t="shared" si="28"/>
        <v>0</v>
      </c>
      <c r="H63" s="491">
        <f t="shared" si="29"/>
        <v>0</v>
      </c>
      <c r="I63" s="511">
        <f t="shared" si="23"/>
        <v>0</v>
      </c>
      <c r="J63" s="511"/>
      <c r="K63" s="525"/>
      <c r="L63" s="514">
        <f t="shared" si="24"/>
        <v>0</v>
      </c>
      <c r="M63" s="525"/>
      <c r="N63" s="514">
        <f t="shared" si="25"/>
        <v>0</v>
      </c>
      <c r="O63" s="514">
        <f t="shared" si="26"/>
        <v>0</v>
      </c>
      <c r="P63" s="272"/>
    </row>
    <row r="64" spans="2:17">
      <c r="B64" s="195" t="str">
        <f t="shared" si="27"/>
        <v/>
      </c>
      <c r="C64" s="507">
        <f>IF(D11="","-",+C63+1)</f>
        <v>2059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22"/>
        <v>0</v>
      </c>
      <c r="G64" s="526">
        <f t="shared" si="28"/>
        <v>0</v>
      </c>
      <c r="H64" s="491">
        <f t="shared" si="29"/>
        <v>0</v>
      </c>
      <c r="I64" s="511">
        <f t="shared" si="23"/>
        <v>0</v>
      </c>
      <c r="J64" s="511"/>
      <c r="K64" s="525"/>
      <c r="L64" s="514">
        <f t="shared" si="24"/>
        <v>0</v>
      </c>
      <c r="M64" s="525"/>
      <c r="N64" s="514">
        <f t="shared" si="25"/>
        <v>0</v>
      </c>
      <c r="O64" s="514">
        <f t="shared" si="26"/>
        <v>0</v>
      </c>
      <c r="P64" s="272"/>
    </row>
    <row r="65" spans="1:16">
      <c r="B65" s="195" t="str">
        <f t="shared" si="27"/>
        <v/>
      </c>
      <c r="C65" s="507">
        <f>IF(D11="","-",+C64+1)</f>
        <v>2060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22"/>
        <v>0</v>
      </c>
      <c r="G65" s="526">
        <f t="shared" si="28"/>
        <v>0</v>
      </c>
      <c r="H65" s="491">
        <f t="shared" si="29"/>
        <v>0</v>
      </c>
      <c r="I65" s="511">
        <f t="shared" si="23"/>
        <v>0</v>
      </c>
      <c r="J65" s="511"/>
      <c r="K65" s="525"/>
      <c r="L65" s="514">
        <f t="shared" si="24"/>
        <v>0</v>
      </c>
      <c r="M65" s="525"/>
      <c r="N65" s="514">
        <f t="shared" si="25"/>
        <v>0</v>
      </c>
      <c r="O65" s="514">
        <f t="shared" si="26"/>
        <v>0</v>
      </c>
      <c r="P65" s="272"/>
    </row>
    <row r="66" spans="1:16">
      <c r="B66" s="195" t="str">
        <f t="shared" si="27"/>
        <v/>
      </c>
      <c r="C66" s="507">
        <f>IF(D11="","-",+C65+1)</f>
        <v>2061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22"/>
        <v>0</v>
      </c>
      <c r="G66" s="526">
        <f t="shared" si="28"/>
        <v>0</v>
      </c>
      <c r="H66" s="491">
        <f t="shared" si="29"/>
        <v>0</v>
      </c>
      <c r="I66" s="511">
        <f t="shared" si="23"/>
        <v>0</v>
      </c>
      <c r="J66" s="511"/>
      <c r="K66" s="525"/>
      <c r="L66" s="514">
        <f t="shared" si="24"/>
        <v>0</v>
      </c>
      <c r="M66" s="525"/>
      <c r="N66" s="514">
        <f t="shared" si="25"/>
        <v>0</v>
      </c>
      <c r="O66" s="514">
        <f t="shared" si="26"/>
        <v>0</v>
      </c>
      <c r="P66" s="272"/>
    </row>
    <row r="67" spans="1:16">
      <c r="B67" s="195" t="str">
        <f t="shared" si="27"/>
        <v/>
      </c>
      <c r="C67" s="507">
        <f>IF(D11="","-",+C66+1)</f>
        <v>2062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22"/>
        <v>0</v>
      </c>
      <c r="G67" s="526">
        <f t="shared" si="28"/>
        <v>0</v>
      </c>
      <c r="H67" s="491">
        <f t="shared" si="29"/>
        <v>0</v>
      </c>
      <c r="I67" s="511">
        <f t="shared" si="23"/>
        <v>0</v>
      </c>
      <c r="J67" s="511"/>
      <c r="K67" s="525"/>
      <c r="L67" s="514">
        <f t="shared" si="24"/>
        <v>0</v>
      </c>
      <c r="M67" s="525"/>
      <c r="N67" s="514">
        <f t="shared" si="25"/>
        <v>0</v>
      </c>
      <c r="O67" s="514">
        <f t="shared" si="26"/>
        <v>0</v>
      </c>
      <c r="P67" s="272"/>
    </row>
    <row r="68" spans="1:16">
      <c r="B68" s="195" t="str">
        <f t="shared" si="27"/>
        <v/>
      </c>
      <c r="C68" s="507">
        <f>IF(D11="","-",+C67+1)</f>
        <v>2063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22"/>
        <v>0</v>
      </c>
      <c r="G68" s="526">
        <f t="shared" si="28"/>
        <v>0</v>
      </c>
      <c r="H68" s="491">
        <f t="shared" si="29"/>
        <v>0</v>
      </c>
      <c r="I68" s="511">
        <f t="shared" si="23"/>
        <v>0</v>
      </c>
      <c r="J68" s="511"/>
      <c r="K68" s="525"/>
      <c r="L68" s="514">
        <f t="shared" si="24"/>
        <v>0</v>
      </c>
      <c r="M68" s="525"/>
      <c r="N68" s="514">
        <f t="shared" si="25"/>
        <v>0</v>
      </c>
      <c r="O68" s="514">
        <f t="shared" si="26"/>
        <v>0</v>
      </c>
      <c r="P68" s="272"/>
    </row>
    <row r="69" spans="1:16">
      <c r="B69" s="195" t="str">
        <f t="shared" si="27"/>
        <v/>
      </c>
      <c r="C69" s="507">
        <f>IF(D11="","-",+C68+1)</f>
        <v>2064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22"/>
        <v>0</v>
      </c>
      <c r="G69" s="526">
        <f t="shared" si="28"/>
        <v>0</v>
      </c>
      <c r="H69" s="491">
        <f t="shared" si="29"/>
        <v>0</v>
      </c>
      <c r="I69" s="511">
        <f t="shared" si="23"/>
        <v>0</v>
      </c>
      <c r="J69" s="511"/>
      <c r="K69" s="525"/>
      <c r="L69" s="514">
        <f t="shared" si="24"/>
        <v>0</v>
      </c>
      <c r="M69" s="525"/>
      <c r="N69" s="514">
        <f t="shared" si="25"/>
        <v>0</v>
      </c>
      <c r="O69" s="514">
        <f t="shared" si="26"/>
        <v>0</v>
      </c>
      <c r="P69" s="272"/>
    </row>
    <row r="70" spans="1:16">
      <c r="B70" s="195" t="str">
        <f t="shared" si="27"/>
        <v/>
      </c>
      <c r="C70" s="507">
        <f>IF(D11="","-",+C69+1)</f>
        <v>2065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22"/>
        <v>0</v>
      </c>
      <c r="G70" s="526">
        <f t="shared" si="28"/>
        <v>0</v>
      </c>
      <c r="H70" s="491">
        <f t="shared" si="29"/>
        <v>0</v>
      </c>
      <c r="I70" s="511">
        <f t="shared" si="23"/>
        <v>0</v>
      </c>
      <c r="J70" s="511"/>
      <c r="K70" s="525"/>
      <c r="L70" s="514">
        <f t="shared" si="24"/>
        <v>0</v>
      </c>
      <c r="M70" s="525"/>
      <c r="N70" s="514">
        <f t="shared" si="25"/>
        <v>0</v>
      </c>
      <c r="O70" s="514">
        <f t="shared" si="26"/>
        <v>0</v>
      </c>
      <c r="P70" s="272"/>
    </row>
    <row r="71" spans="1:16">
      <c r="B71" s="195" t="str">
        <f t="shared" si="27"/>
        <v/>
      </c>
      <c r="C71" s="507">
        <f>IF(D11="","-",+C70+1)</f>
        <v>2066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22"/>
        <v>0</v>
      </c>
      <c r="G71" s="526">
        <f t="shared" si="28"/>
        <v>0</v>
      </c>
      <c r="H71" s="491">
        <f t="shared" si="29"/>
        <v>0</v>
      </c>
      <c r="I71" s="511">
        <f t="shared" si="23"/>
        <v>0</v>
      </c>
      <c r="J71" s="511"/>
      <c r="K71" s="525"/>
      <c r="L71" s="514">
        <f t="shared" si="24"/>
        <v>0</v>
      </c>
      <c r="M71" s="525"/>
      <c r="N71" s="514">
        <f t="shared" si="25"/>
        <v>0</v>
      </c>
      <c r="O71" s="514">
        <f t="shared" si="26"/>
        <v>0</v>
      </c>
      <c r="P71" s="272"/>
    </row>
    <row r="72" spans="1:16" ht="13.5" thickBot="1">
      <c r="B72" s="195" t="str">
        <f t="shared" si="27"/>
        <v/>
      </c>
      <c r="C72" s="527">
        <f>IF(D11="","-",+C71+1)</f>
        <v>2067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22"/>
        <v>0</v>
      </c>
      <c r="G72" s="530">
        <f t="shared" si="28"/>
        <v>0</v>
      </c>
      <c r="H72" s="471">
        <f t="shared" si="29"/>
        <v>0</v>
      </c>
      <c r="I72" s="531">
        <f t="shared" si="23"/>
        <v>0</v>
      </c>
      <c r="J72" s="511"/>
      <c r="K72" s="532"/>
      <c r="L72" s="533">
        <f t="shared" si="24"/>
        <v>0</v>
      </c>
      <c r="M72" s="532"/>
      <c r="N72" s="533">
        <f t="shared" si="25"/>
        <v>0</v>
      </c>
      <c r="O72" s="533">
        <f t="shared" si="26"/>
        <v>0</v>
      </c>
      <c r="P72" s="272"/>
    </row>
    <row r="73" spans="1:16">
      <c r="C73" s="374" t="s">
        <v>78</v>
      </c>
      <c r="D73" s="375"/>
      <c r="E73" s="375">
        <f>SUM(E17:E72)</f>
        <v>5268479</v>
      </c>
      <c r="F73" s="375"/>
      <c r="G73" s="375">
        <f>SUM(G17:G72)</f>
        <v>19523219.595718779</v>
      </c>
      <c r="H73" s="375">
        <f>SUM(H17:H72)</f>
        <v>19523219.595718779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1:16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1:16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1:16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1:16" ht="18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535"/>
      <c r="P77" s="272"/>
    </row>
    <row r="78" spans="1:16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1:16" ht="15">
      <c r="A79" s="536"/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</row>
    <row r="80" spans="1:16" ht="18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7">
      <c r="B81" s="269"/>
      <c r="C81" s="537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7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  <c r="Q82" s="269"/>
    </row>
    <row r="83" spans="1:17" ht="20.25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535" t="str">
        <f ca="1">P1</f>
        <v>SWEPCO Project 28 of 75</v>
      </c>
      <c r="Q83" s="269"/>
    </row>
    <row r="84" spans="1:17" ht="18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454" t="s">
        <v>128</v>
      </c>
      <c r="Q84" s="269"/>
    </row>
    <row r="85" spans="1:17" ht="18.7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  <c r="Q85" s="269"/>
    </row>
    <row r="86" spans="1:17" ht="15.75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2022</v>
      </c>
      <c r="M86" s="541" t="s">
        <v>9</v>
      </c>
      <c r="N86" s="542" t="s">
        <v>159</v>
      </c>
      <c r="O86" s="543" t="s">
        <v>11</v>
      </c>
      <c r="P86" s="269"/>
      <c r="Q86" s="269"/>
    </row>
    <row r="87" spans="1:17" ht="1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391</v>
      </c>
      <c r="M87" s="546">
        <f>IF(J92&lt;D11,0,VLOOKUP(J92,C17:O72,9))</f>
        <v>575360.12029871624</v>
      </c>
      <c r="N87" s="546">
        <f>IF(J92&lt;D11,0,VLOOKUP(J92,C17:O72,11))</f>
        <v>575360.12029871624</v>
      </c>
      <c r="O87" s="547">
        <f>+N87-M87</f>
        <v>0</v>
      </c>
      <c r="P87" s="269"/>
      <c r="Q87" s="269"/>
    </row>
    <row r="88" spans="1:17" ht="15.7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392</v>
      </c>
      <c r="M88" s="550">
        <f>IF(J92&lt;D11,0,VLOOKUP(J92,C99:P154,6))</f>
        <v>597252.03170916019</v>
      </c>
      <c r="N88" s="550">
        <f>IF(J92&lt;D11,0,VLOOKUP(J92,C99:P154,7))</f>
        <v>597252.03170916019</v>
      </c>
      <c r="O88" s="551">
        <f>+N88-M88</f>
        <v>0</v>
      </c>
      <c r="P88" s="269"/>
      <c r="Q88" s="269"/>
    </row>
    <row r="89" spans="1:17" ht="13.5" thickBot="1">
      <c r="C89" s="467" t="s">
        <v>84</v>
      </c>
      <c r="D89" s="620" t="str">
        <f>D7</f>
        <v>Bloomburg-Texarkana Plant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21891.91141044395</v>
      </c>
      <c r="N89" s="555">
        <f>+N88-N87</f>
        <v>21891.91141044395</v>
      </c>
      <c r="O89" s="556">
        <f>+O88-O87</f>
        <v>0</v>
      </c>
      <c r="P89" s="269"/>
      <c r="Q89" s="269"/>
    </row>
    <row r="90" spans="1:17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  <c r="Q90" s="269"/>
    </row>
    <row r="91" spans="1:17" ht="13.5" thickBot="1">
      <c r="A91" s="191"/>
      <c r="C91" s="558" t="s">
        <v>85</v>
      </c>
      <c r="D91" s="559" t="str">
        <f>+D9</f>
        <v>TP2008027</v>
      </c>
      <c r="E91" s="560"/>
      <c r="F91" s="560"/>
      <c r="G91" s="560"/>
      <c r="H91" s="560"/>
      <c r="I91" s="560"/>
      <c r="J91" s="561"/>
      <c r="K91" s="562"/>
      <c r="P91" s="481"/>
      <c r="Q91" s="269"/>
    </row>
    <row r="92" spans="1:17">
      <c r="C92" s="486" t="s">
        <v>51</v>
      </c>
      <c r="D92" s="483">
        <f>IF(D11=I10,0,D10)</f>
        <v>5268479</v>
      </c>
      <c r="E92" s="340" t="s">
        <v>86</v>
      </c>
      <c r="H92" s="484"/>
      <c r="I92" s="484"/>
      <c r="J92" s="485">
        <f>+'SWE.WS.G.BPU.ATRR.True-up'!M16</f>
        <v>2022</v>
      </c>
      <c r="K92" s="480"/>
      <c r="L92" s="375" t="s">
        <v>87</v>
      </c>
      <c r="P92" s="272"/>
      <c r="Q92" s="269"/>
    </row>
    <row r="93" spans="1:17">
      <c r="C93" s="486" t="s">
        <v>54</v>
      </c>
      <c r="D93" s="563">
        <f>IF(D11=I10,"",D11)</f>
        <v>2012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  <c r="Q93" s="269"/>
    </row>
    <row r="94" spans="1:17">
      <c r="C94" s="486" t="s">
        <v>56</v>
      </c>
      <c r="D94" s="564">
        <f>IF(D11=I10,"",D12)</f>
        <v>6</v>
      </c>
      <c r="E94" s="486" t="s">
        <v>57</v>
      </c>
      <c r="F94" s="484"/>
      <c r="G94" s="484"/>
      <c r="J94" s="490">
        <f>'SWE.WS.G.BPU.ATRR.True-up'!$F$81</f>
        <v>0.11351422637179906</v>
      </c>
      <c r="K94" s="425"/>
      <c r="L94" s="183" t="s">
        <v>88</v>
      </c>
      <c r="P94" s="272"/>
      <c r="Q94" s="269"/>
    </row>
    <row r="95" spans="1:17">
      <c r="C95" s="486" t="s">
        <v>59</v>
      </c>
      <c r="D95" s="488">
        <f>'SWE.WS.G.BPU.ATRR.True-up'!F$93</f>
        <v>41</v>
      </c>
      <c r="E95" s="486" t="s">
        <v>60</v>
      </c>
      <c r="F95" s="484"/>
      <c r="G95" s="484"/>
      <c r="J95" s="490">
        <f>IF(H87="",J94,'SWE.WS.G.BPU.ATRR.True-up'!$F$80)</f>
        <v>0.11351422637179906</v>
      </c>
      <c r="K95" s="324"/>
      <c r="L95" s="375" t="s">
        <v>61</v>
      </c>
      <c r="M95" s="324"/>
      <c r="N95" s="324"/>
      <c r="O95" s="324"/>
      <c r="P95" s="272"/>
      <c r="Q95" s="269"/>
    </row>
    <row r="96" spans="1:17" ht="13.5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128499.48780487805</v>
      </c>
      <c r="K96" s="375"/>
      <c r="L96" s="375"/>
      <c r="M96" s="375"/>
      <c r="N96" s="375"/>
      <c r="O96" s="375"/>
      <c r="P96" s="272"/>
      <c r="Q96" s="269"/>
    </row>
    <row r="97" spans="1:17" ht="38.25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388</v>
      </c>
      <c r="I97" s="495" t="s">
        <v>389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  <c r="Q97" s="269"/>
    </row>
    <row r="98" spans="1:17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  <c r="Q98" s="269"/>
    </row>
    <row r="99" spans="1:17">
      <c r="C99" s="507">
        <f>IF(D93= "","-",D93)</f>
        <v>2012</v>
      </c>
      <c r="D99" s="508">
        <v>0</v>
      </c>
      <c r="E99" s="516">
        <v>62710.82142857142</v>
      </c>
      <c r="F99" s="622">
        <v>5204998.1785714282</v>
      </c>
      <c r="G99" s="574">
        <v>2602499.0892857141</v>
      </c>
      <c r="H99" s="576">
        <v>445678.79491286777</v>
      </c>
      <c r="I99" s="576">
        <v>445678.79491286777</v>
      </c>
      <c r="J99" s="514">
        <f t="shared" ref="J99:J130" si="30">+I99-H99</f>
        <v>0</v>
      </c>
      <c r="K99" s="514"/>
      <c r="L99" s="512">
        <f t="shared" ref="L99:L104" si="31">H99</f>
        <v>445678.79491286777</v>
      </c>
      <c r="M99" s="597">
        <f t="shared" ref="M99:M130" si="32">IF(L99&lt;&gt;0,+H99-L99,0)</f>
        <v>0</v>
      </c>
      <c r="N99" s="512">
        <f t="shared" ref="N99:N104" si="33">I99</f>
        <v>445678.79491286777</v>
      </c>
      <c r="O99" s="513">
        <f t="shared" ref="O99:O130" si="34">IF(N99&lt;&gt;0,+I99-N99,0)</f>
        <v>0</v>
      </c>
      <c r="P99" s="513">
        <f t="shared" ref="P99:P130" si="35">+O99-M99</f>
        <v>0</v>
      </c>
      <c r="Q99" s="269"/>
    </row>
    <row r="100" spans="1:17">
      <c r="B100" s="195" t="str">
        <f t="shared" ref="B100:B131" si="36">IF(D100=F99,"","IU")</f>
        <v>IU</v>
      </c>
      <c r="C100" s="507">
        <f>IF(D93="","-",+C99+1)</f>
        <v>2013</v>
      </c>
      <c r="D100" s="508">
        <v>5205776.1785714282</v>
      </c>
      <c r="E100" s="516">
        <v>125440.16666666667</v>
      </c>
      <c r="F100" s="515">
        <v>5080336.0119047612</v>
      </c>
      <c r="G100" s="515">
        <v>5143056.0952380951</v>
      </c>
      <c r="H100" s="575">
        <v>821252.98086440889</v>
      </c>
      <c r="I100" s="576">
        <v>821252.98086440889</v>
      </c>
      <c r="J100" s="514">
        <v>0</v>
      </c>
      <c r="K100" s="514"/>
      <c r="L100" s="518">
        <f t="shared" si="31"/>
        <v>821252.98086440889</v>
      </c>
      <c r="M100" s="519">
        <f t="shared" ref="M100:M105" si="37">IF(L100&lt;&gt;0,+H100-L100,0)</f>
        <v>0</v>
      </c>
      <c r="N100" s="518">
        <f t="shared" si="33"/>
        <v>821252.98086440889</v>
      </c>
      <c r="O100" s="514">
        <f>IF(N100&lt;&gt;0,+I100-N100,0)</f>
        <v>0</v>
      </c>
      <c r="P100" s="514">
        <f>+O100-M100</f>
        <v>0</v>
      </c>
      <c r="Q100" s="269"/>
    </row>
    <row r="101" spans="1:17">
      <c r="B101" s="195" t="str">
        <f t="shared" si="36"/>
        <v/>
      </c>
      <c r="C101" s="507">
        <f>IF(D93="","-",+C100+1)</f>
        <v>2014</v>
      </c>
      <c r="D101" s="508">
        <v>5080336.0119047612</v>
      </c>
      <c r="E101" s="516">
        <v>125440.16666666667</v>
      </c>
      <c r="F101" s="515">
        <v>4954895.8452380942</v>
      </c>
      <c r="G101" s="515">
        <v>5017615.9285714272</v>
      </c>
      <c r="H101" s="575">
        <v>807451.88344744302</v>
      </c>
      <c r="I101" s="576">
        <v>807451.88344744302</v>
      </c>
      <c r="J101" s="514">
        <v>0</v>
      </c>
      <c r="K101" s="514"/>
      <c r="L101" s="518">
        <f t="shared" si="31"/>
        <v>807451.88344744302</v>
      </c>
      <c r="M101" s="519">
        <f t="shared" si="37"/>
        <v>0</v>
      </c>
      <c r="N101" s="518">
        <f t="shared" si="33"/>
        <v>807451.88344744302</v>
      </c>
      <c r="O101" s="514">
        <f>IF(N101&lt;&gt;0,+I101-N101,0)</f>
        <v>0</v>
      </c>
      <c r="P101" s="514">
        <f>+O101-M101</f>
        <v>0</v>
      </c>
      <c r="Q101" s="269"/>
    </row>
    <row r="102" spans="1:17">
      <c r="B102" s="195" t="str">
        <f t="shared" si="36"/>
        <v>IU</v>
      </c>
      <c r="C102" s="507">
        <f>IF(D93="","-",+C101+1)</f>
        <v>2015</v>
      </c>
      <c r="D102" s="508">
        <v>4954887.8452380951</v>
      </c>
      <c r="E102" s="516">
        <v>125439.97619047618</v>
      </c>
      <c r="F102" s="515">
        <v>4829447.8690476194</v>
      </c>
      <c r="G102" s="515">
        <v>4892167.8571428573</v>
      </c>
      <c r="H102" s="575">
        <v>770075.44510229141</v>
      </c>
      <c r="I102" s="576">
        <v>770075.44510229141</v>
      </c>
      <c r="J102" s="514">
        <f t="shared" si="30"/>
        <v>0</v>
      </c>
      <c r="K102" s="514"/>
      <c r="L102" s="518">
        <f t="shared" si="31"/>
        <v>770075.44510229141</v>
      </c>
      <c r="M102" s="519">
        <f t="shared" si="37"/>
        <v>0</v>
      </c>
      <c r="N102" s="518">
        <f t="shared" si="33"/>
        <v>770075.44510229141</v>
      </c>
      <c r="O102" s="514">
        <f>IF(N102&lt;&gt;0,+I102-N102,0)</f>
        <v>0</v>
      </c>
      <c r="P102" s="514">
        <f>+O102-M102</f>
        <v>0</v>
      </c>
      <c r="Q102" s="269"/>
    </row>
    <row r="103" spans="1:17">
      <c r="B103" s="195" t="str">
        <f t="shared" si="36"/>
        <v/>
      </c>
      <c r="C103" s="507">
        <f>IF(D93="","-",+C102+1)</f>
        <v>2016</v>
      </c>
      <c r="D103" s="508">
        <v>4829447.8690476194</v>
      </c>
      <c r="E103" s="516">
        <v>122522.76744186046</v>
      </c>
      <c r="F103" s="515">
        <v>4706925.101605759</v>
      </c>
      <c r="G103" s="515">
        <v>4768186.4853266887</v>
      </c>
      <c r="H103" s="575">
        <v>727843.98591080913</v>
      </c>
      <c r="I103" s="576">
        <v>727843.98591080913</v>
      </c>
      <c r="J103" s="514">
        <f t="shared" si="30"/>
        <v>0</v>
      </c>
      <c r="K103" s="514"/>
      <c r="L103" s="518">
        <f t="shared" si="31"/>
        <v>727843.98591080913</v>
      </c>
      <c r="M103" s="519">
        <f t="shared" si="37"/>
        <v>0</v>
      </c>
      <c r="N103" s="518">
        <f t="shared" si="33"/>
        <v>727843.98591080913</v>
      </c>
      <c r="O103" s="514">
        <f>IF(N103&lt;&gt;0,+I103-N103,0)</f>
        <v>0</v>
      </c>
      <c r="P103" s="514">
        <f>+O103-M103</f>
        <v>0</v>
      </c>
      <c r="Q103" s="269"/>
    </row>
    <row r="104" spans="1:17">
      <c r="B104" s="195" t="str">
        <f t="shared" si="36"/>
        <v/>
      </c>
      <c r="C104" s="507">
        <f>IF(D93="","-",+C103+1)</f>
        <v>2017</v>
      </c>
      <c r="D104" s="508">
        <v>4706925.101605759</v>
      </c>
      <c r="E104" s="516">
        <v>125439.97619047618</v>
      </c>
      <c r="F104" s="515">
        <v>4581485.1254152833</v>
      </c>
      <c r="G104" s="515">
        <v>4644205.1135105211</v>
      </c>
      <c r="H104" s="575">
        <v>689578.34111200261</v>
      </c>
      <c r="I104" s="576">
        <v>689578.34111200261</v>
      </c>
      <c r="J104" s="514">
        <f t="shared" si="30"/>
        <v>0</v>
      </c>
      <c r="K104" s="514"/>
      <c r="L104" s="518">
        <f t="shared" si="31"/>
        <v>689578.34111200261</v>
      </c>
      <c r="M104" s="519">
        <f t="shared" si="37"/>
        <v>0</v>
      </c>
      <c r="N104" s="518">
        <f t="shared" si="33"/>
        <v>689578.34111200261</v>
      </c>
      <c r="O104" s="514">
        <f>IF(N104&lt;&gt;0,+I104-N104,0)</f>
        <v>0</v>
      </c>
      <c r="P104" s="514">
        <f>+O104-M104</f>
        <v>0</v>
      </c>
      <c r="Q104" s="269"/>
    </row>
    <row r="105" spans="1:17">
      <c r="B105" s="195" t="str">
        <f t="shared" si="36"/>
        <v/>
      </c>
      <c r="C105" s="507">
        <f>IF(D93="","-",+C104+1)</f>
        <v>2018</v>
      </c>
      <c r="D105" s="508">
        <v>4581485.1254152833</v>
      </c>
      <c r="E105" s="516">
        <v>125439.97619047618</v>
      </c>
      <c r="F105" s="515">
        <v>4456045.1492248075</v>
      </c>
      <c r="G105" s="515">
        <v>4518765.1373200454</v>
      </c>
      <c r="H105" s="575">
        <v>602642.29693406296</v>
      </c>
      <c r="I105" s="576">
        <v>602642.29693406296</v>
      </c>
      <c r="J105" s="514">
        <f t="shared" si="30"/>
        <v>0</v>
      </c>
      <c r="K105" s="514"/>
      <c r="L105" s="518">
        <f t="shared" ref="L105" si="38">H105</f>
        <v>602642.29693406296</v>
      </c>
      <c r="M105" s="519">
        <f t="shared" si="37"/>
        <v>0</v>
      </c>
      <c r="N105" s="518">
        <f t="shared" ref="N105" si="39">I105</f>
        <v>602642.29693406296</v>
      </c>
      <c r="O105" s="514">
        <f t="shared" si="34"/>
        <v>0</v>
      </c>
      <c r="P105" s="514">
        <f t="shared" si="35"/>
        <v>0</v>
      </c>
      <c r="Q105" s="269"/>
    </row>
    <row r="106" spans="1:17">
      <c r="B106" s="195" t="str">
        <f t="shared" si="36"/>
        <v/>
      </c>
      <c r="C106" s="507">
        <f>IF(D93="","-",+C105+1)</f>
        <v>2019</v>
      </c>
      <c r="D106" s="508">
        <v>4456045.1492248075</v>
      </c>
      <c r="E106" s="516">
        <v>122522.76744186046</v>
      </c>
      <c r="F106" s="515">
        <v>4333522.3817829471</v>
      </c>
      <c r="G106" s="515">
        <v>4394783.7655038778</v>
      </c>
      <c r="H106" s="575">
        <v>592942.82363557536</v>
      </c>
      <c r="I106" s="576">
        <v>592942.82363557536</v>
      </c>
      <c r="J106" s="514">
        <f t="shared" si="30"/>
        <v>0</v>
      </c>
      <c r="K106" s="514"/>
      <c r="L106" s="518">
        <f t="shared" ref="L106:L107" si="40">H106</f>
        <v>592942.82363557536</v>
      </c>
      <c r="M106" s="519">
        <f t="shared" ref="M106:M107" si="41">IF(L106&lt;&gt;0,+H106-L106,0)</f>
        <v>0</v>
      </c>
      <c r="N106" s="518">
        <f t="shared" ref="N106:N107" si="42">I106</f>
        <v>592942.82363557536</v>
      </c>
      <c r="O106" s="514">
        <f t="shared" si="34"/>
        <v>0</v>
      </c>
      <c r="P106" s="514">
        <f t="shared" si="35"/>
        <v>0</v>
      </c>
      <c r="Q106" s="269"/>
    </row>
    <row r="107" spans="1:17">
      <c r="B107" s="195" t="str">
        <f t="shared" si="36"/>
        <v/>
      </c>
      <c r="C107" s="507">
        <f>IF(D93="","-",+C106+1)</f>
        <v>2020</v>
      </c>
      <c r="D107" s="508">
        <v>4333522.3817829471</v>
      </c>
      <c r="E107" s="516">
        <v>125439.97619047618</v>
      </c>
      <c r="F107" s="515">
        <v>4208082.4055924714</v>
      </c>
      <c r="G107" s="515">
        <v>4270802.3936877092</v>
      </c>
      <c r="H107" s="575">
        <v>584866.55753278674</v>
      </c>
      <c r="I107" s="576">
        <v>584866.55753278674</v>
      </c>
      <c r="J107" s="514">
        <f t="shared" si="30"/>
        <v>0</v>
      </c>
      <c r="K107" s="514"/>
      <c r="L107" s="518">
        <f t="shared" si="40"/>
        <v>584866.55753278674</v>
      </c>
      <c r="M107" s="519">
        <f t="shared" si="41"/>
        <v>0</v>
      </c>
      <c r="N107" s="518">
        <f t="shared" si="42"/>
        <v>584866.55753278674</v>
      </c>
      <c r="O107" s="514">
        <f t="shared" si="34"/>
        <v>0</v>
      </c>
      <c r="P107" s="514">
        <f t="shared" si="35"/>
        <v>0</v>
      </c>
      <c r="Q107" s="269"/>
    </row>
    <row r="108" spans="1:17">
      <c r="B108" s="195" t="str">
        <f t="shared" si="36"/>
        <v/>
      </c>
      <c r="C108" s="507">
        <f>IF(D93="","-",+C107+1)</f>
        <v>2021</v>
      </c>
      <c r="D108" s="508">
        <v>4208082.4055924714</v>
      </c>
      <c r="E108" s="516">
        <v>128499.48780487805</v>
      </c>
      <c r="F108" s="515">
        <v>4079582.9177875933</v>
      </c>
      <c r="G108" s="515">
        <v>4143832.6616900321</v>
      </c>
      <c r="H108" s="575">
        <v>598883.44661081501</v>
      </c>
      <c r="I108" s="576">
        <v>598883.44661081501</v>
      </c>
      <c r="J108" s="514">
        <f t="shared" si="30"/>
        <v>0</v>
      </c>
      <c r="K108" s="514"/>
      <c r="L108" s="518">
        <f t="shared" ref="L108" si="43">H108</f>
        <v>598883.44661081501</v>
      </c>
      <c r="M108" s="519">
        <f t="shared" ref="M108" si="44">IF(L108&lt;&gt;0,+H108-L108,0)</f>
        <v>0</v>
      </c>
      <c r="N108" s="518">
        <f t="shared" ref="N108" si="45">I108</f>
        <v>598883.44661081501</v>
      </c>
      <c r="O108" s="514">
        <f t="shared" ref="O108" si="46">IF(N108&lt;&gt;0,+I108-N108,0)</f>
        <v>0</v>
      </c>
      <c r="P108" s="514">
        <f t="shared" ref="P108" si="47">+O108-M108</f>
        <v>0</v>
      </c>
      <c r="Q108" s="269"/>
    </row>
    <row r="109" spans="1:17">
      <c r="B109" s="195" t="str">
        <f t="shared" si="36"/>
        <v/>
      </c>
      <c r="C109" s="673">
        <f>IF(D93="","-",+C108+1)</f>
        <v>2022</v>
      </c>
      <c r="D109" s="374">
        <v>4079582.9177875933</v>
      </c>
      <c r="E109" s="522">
        <v>125439.97619047618</v>
      </c>
      <c r="F109" s="523">
        <v>3954142.9415971171</v>
      </c>
      <c r="G109" s="523">
        <v>4016862.929692355</v>
      </c>
      <c r="H109" s="526">
        <v>597252.03170916019</v>
      </c>
      <c r="I109" s="577">
        <v>597252.03170916019</v>
      </c>
      <c r="J109" s="514">
        <f t="shared" si="30"/>
        <v>0</v>
      </c>
      <c r="K109" s="514"/>
      <c r="L109" s="525"/>
      <c r="M109" s="514">
        <f t="shared" si="32"/>
        <v>0</v>
      </c>
      <c r="N109" s="525"/>
      <c r="O109" s="514">
        <f t="shared" si="34"/>
        <v>0</v>
      </c>
      <c r="P109" s="514">
        <f t="shared" si="35"/>
        <v>0</v>
      </c>
      <c r="Q109" s="269"/>
    </row>
    <row r="110" spans="1:17">
      <c r="B110" s="195" t="str">
        <f t="shared" si="36"/>
        <v/>
      </c>
      <c r="C110" s="507">
        <f>IF(D93="","-",+C109+1)</f>
        <v>2023</v>
      </c>
      <c r="D110" s="374">
        <f>IF(F109+SUM(E$99:E109)=D$92,F109,D$92-SUM(E$99:E109))</f>
        <v>3954142.9415971171</v>
      </c>
      <c r="E110" s="522">
        <f>IF(+J96&lt;F109,J96,D110)</f>
        <v>128499.48780487805</v>
      </c>
      <c r="F110" s="523">
        <f t="shared" ref="F110:F131" si="48">+D110-E110</f>
        <v>3825643.4537922391</v>
      </c>
      <c r="G110" s="523">
        <f t="shared" ref="G110:G130" si="49">+(F110+D110)/2</f>
        <v>3889893.1976946779</v>
      </c>
      <c r="H110" s="526">
        <f t="shared" ref="H110:H130" si="50">+J$94*G110+E110</f>
        <v>570057.70481011306</v>
      </c>
      <c r="I110" s="577">
        <f t="shared" ref="I110:I130" si="51">+J$95*G110+E110</f>
        <v>570057.70481011306</v>
      </c>
      <c r="J110" s="514">
        <f t="shared" si="30"/>
        <v>0</v>
      </c>
      <c r="K110" s="514"/>
      <c r="L110" s="525"/>
      <c r="M110" s="514">
        <f t="shared" si="32"/>
        <v>0</v>
      </c>
      <c r="N110" s="525"/>
      <c r="O110" s="514">
        <f t="shared" si="34"/>
        <v>0</v>
      </c>
      <c r="P110" s="514">
        <f t="shared" si="35"/>
        <v>0</v>
      </c>
      <c r="Q110" s="269"/>
    </row>
    <row r="111" spans="1:17">
      <c r="B111" s="195" t="str">
        <f t="shared" si="36"/>
        <v/>
      </c>
      <c r="C111" s="507">
        <f>IF(D93="","-",+C110+1)</f>
        <v>2024</v>
      </c>
      <c r="D111" s="374">
        <f>IF(F110+SUM(E$99:E110)=D$92,F110,D$92-SUM(E$99:E110))</f>
        <v>3825643.4537922391</v>
      </c>
      <c r="E111" s="522">
        <f>IF(+J96&lt;F110,J96,D111)</f>
        <v>128499.48780487805</v>
      </c>
      <c r="F111" s="523">
        <f t="shared" si="48"/>
        <v>3697143.965987361</v>
      </c>
      <c r="G111" s="523">
        <f t="shared" si="49"/>
        <v>3761393.7098898003</v>
      </c>
      <c r="H111" s="526">
        <f t="shared" si="50"/>
        <v>555471.18486276991</v>
      </c>
      <c r="I111" s="577">
        <f t="shared" si="51"/>
        <v>555471.18486276991</v>
      </c>
      <c r="J111" s="514">
        <f t="shared" si="30"/>
        <v>0</v>
      </c>
      <c r="K111" s="514"/>
      <c r="L111" s="525"/>
      <c r="M111" s="514">
        <f t="shared" si="32"/>
        <v>0</v>
      </c>
      <c r="N111" s="525"/>
      <c r="O111" s="514">
        <f t="shared" si="34"/>
        <v>0</v>
      </c>
      <c r="P111" s="514">
        <f t="shared" si="35"/>
        <v>0</v>
      </c>
      <c r="Q111" s="269"/>
    </row>
    <row r="112" spans="1:17">
      <c r="B112" s="195" t="str">
        <f t="shared" si="36"/>
        <v/>
      </c>
      <c r="C112" s="507">
        <f>IF(D93="","-",+C111+1)</f>
        <v>2025</v>
      </c>
      <c r="D112" s="374">
        <f>IF(F111+SUM(E$99:E111)=D$92,F111,D$92-SUM(E$99:E111))</f>
        <v>3697143.965987361</v>
      </c>
      <c r="E112" s="522">
        <f>IF(+J96&lt;F111,J96,D112)</f>
        <v>128499.48780487805</v>
      </c>
      <c r="F112" s="523">
        <f t="shared" si="48"/>
        <v>3568644.478182483</v>
      </c>
      <c r="G112" s="523">
        <f t="shared" si="49"/>
        <v>3632894.2220849218</v>
      </c>
      <c r="H112" s="526">
        <f t="shared" si="50"/>
        <v>540884.66491542675</v>
      </c>
      <c r="I112" s="577">
        <f t="shared" si="51"/>
        <v>540884.66491542675</v>
      </c>
      <c r="J112" s="514">
        <f t="shared" si="30"/>
        <v>0</v>
      </c>
      <c r="K112" s="514"/>
      <c r="L112" s="525"/>
      <c r="M112" s="514">
        <f t="shared" si="32"/>
        <v>0</v>
      </c>
      <c r="N112" s="525"/>
      <c r="O112" s="514">
        <f t="shared" si="34"/>
        <v>0</v>
      </c>
      <c r="P112" s="514">
        <f t="shared" si="35"/>
        <v>0</v>
      </c>
      <c r="Q112" s="269"/>
    </row>
    <row r="113" spans="2:17">
      <c r="B113" s="195" t="str">
        <f t="shared" si="36"/>
        <v/>
      </c>
      <c r="C113" s="507">
        <f>IF(D93="","-",+C112+1)</f>
        <v>2026</v>
      </c>
      <c r="D113" s="374">
        <f>IF(F112+SUM(E$99:E112)=D$92,F112,D$92-SUM(E$99:E112))</f>
        <v>3568644.478182483</v>
      </c>
      <c r="E113" s="522">
        <f>IF(+J96&lt;F112,J96,D113)</f>
        <v>128499.48780487805</v>
      </c>
      <c r="F113" s="523">
        <f t="shared" si="48"/>
        <v>3440144.990377605</v>
      </c>
      <c r="G113" s="523">
        <f t="shared" si="49"/>
        <v>3504394.7342800442</v>
      </c>
      <c r="H113" s="526">
        <f t="shared" si="50"/>
        <v>526298.14496808359</v>
      </c>
      <c r="I113" s="577">
        <f t="shared" si="51"/>
        <v>526298.14496808359</v>
      </c>
      <c r="J113" s="514">
        <f t="shared" si="30"/>
        <v>0</v>
      </c>
      <c r="K113" s="514"/>
      <c r="L113" s="525"/>
      <c r="M113" s="514">
        <f t="shared" si="32"/>
        <v>0</v>
      </c>
      <c r="N113" s="525"/>
      <c r="O113" s="514">
        <f t="shared" si="34"/>
        <v>0</v>
      </c>
      <c r="P113" s="514">
        <f t="shared" si="35"/>
        <v>0</v>
      </c>
      <c r="Q113" s="269"/>
    </row>
    <row r="114" spans="2:17">
      <c r="B114" s="195" t="str">
        <f t="shared" si="36"/>
        <v/>
      </c>
      <c r="C114" s="507">
        <f>IF(D93="","-",+C113+1)</f>
        <v>2027</v>
      </c>
      <c r="D114" s="374">
        <f>IF(F113+SUM(E$99:E113)=D$92,F113,D$92-SUM(E$99:E113))</f>
        <v>3440144.990377605</v>
      </c>
      <c r="E114" s="522">
        <f>IF(+J96&lt;F113,J96,D114)</f>
        <v>128499.48780487805</v>
      </c>
      <c r="F114" s="523">
        <f t="shared" si="48"/>
        <v>3311645.5025727269</v>
      </c>
      <c r="G114" s="523">
        <f t="shared" si="49"/>
        <v>3375895.2464751657</v>
      </c>
      <c r="H114" s="526">
        <f t="shared" si="50"/>
        <v>511711.62502074038</v>
      </c>
      <c r="I114" s="577">
        <f t="shared" si="51"/>
        <v>511711.62502074038</v>
      </c>
      <c r="J114" s="514">
        <f t="shared" si="30"/>
        <v>0</v>
      </c>
      <c r="K114" s="514"/>
      <c r="L114" s="525"/>
      <c r="M114" s="514">
        <f t="shared" si="32"/>
        <v>0</v>
      </c>
      <c r="N114" s="525"/>
      <c r="O114" s="514">
        <f t="shared" si="34"/>
        <v>0</v>
      </c>
      <c r="P114" s="514">
        <f t="shared" si="35"/>
        <v>0</v>
      </c>
      <c r="Q114" s="269"/>
    </row>
    <row r="115" spans="2:17">
      <c r="B115" s="195" t="str">
        <f t="shared" si="36"/>
        <v/>
      </c>
      <c r="C115" s="507">
        <f>IF(D93="","-",+C114+1)</f>
        <v>2028</v>
      </c>
      <c r="D115" s="374">
        <f>IF(F114+SUM(E$99:E114)=D$92,F114,D$92-SUM(E$99:E114))</f>
        <v>3311645.5025727269</v>
      </c>
      <c r="E115" s="522">
        <f>IF(+J96&lt;F114,J96,D115)</f>
        <v>128499.48780487805</v>
      </c>
      <c r="F115" s="523">
        <f t="shared" si="48"/>
        <v>3183146.0147678489</v>
      </c>
      <c r="G115" s="523">
        <f t="shared" si="49"/>
        <v>3247395.7586702881</v>
      </c>
      <c r="H115" s="526">
        <f t="shared" si="50"/>
        <v>497125.10507339728</v>
      </c>
      <c r="I115" s="577">
        <f t="shared" si="51"/>
        <v>497125.10507339728</v>
      </c>
      <c r="J115" s="514">
        <f t="shared" si="30"/>
        <v>0</v>
      </c>
      <c r="K115" s="514"/>
      <c r="L115" s="525"/>
      <c r="M115" s="514">
        <f t="shared" si="32"/>
        <v>0</v>
      </c>
      <c r="N115" s="525"/>
      <c r="O115" s="514">
        <f t="shared" si="34"/>
        <v>0</v>
      </c>
      <c r="P115" s="514">
        <f t="shared" si="35"/>
        <v>0</v>
      </c>
      <c r="Q115" s="269"/>
    </row>
    <row r="116" spans="2:17">
      <c r="B116" s="195" t="str">
        <f t="shared" si="36"/>
        <v/>
      </c>
      <c r="C116" s="507">
        <f>IF(D93="","-",+C115+1)</f>
        <v>2029</v>
      </c>
      <c r="D116" s="374">
        <f>IF(F115+SUM(E$99:E115)=D$92,F115,D$92-SUM(E$99:E115))</f>
        <v>3183146.0147678489</v>
      </c>
      <c r="E116" s="522">
        <f>IF(+J96&lt;F115,J96,D116)</f>
        <v>128499.48780487805</v>
      </c>
      <c r="F116" s="523">
        <f t="shared" si="48"/>
        <v>3054646.5269629708</v>
      </c>
      <c r="G116" s="523">
        <f t="shared" si="49"/>
        <v>3118896.2708654096</v>
      </c>
      <c r="H116" s="526">
        <f t="shared" si="50"/>
        <v>482538.58512605407</v>
      </c>
      <c r="I116" s="577">
        <f t="shared" si="51"/>
        <v>482538.58512605407</v>
      </c>
      <c r="J116" s="514">
        <f t="shared" si="30"/>
        <v>0</v>
      </c>
      <c r="K116" s="514"/>
      <c r="L116" s="525"/>
      <c r="M116" s="514">
        <f t="shared" si="32"/>
        <v>0</v>
      </c>
      <c r="N116" s="525"/>
      <c r="O116" s="514">
        <f t="shared" si="34"/>
        <v>0</v>
      </c>
      <c r="P116" s="514">
        <f t="shared" si="35"/>
        <v>0</v>
      </c>
      <c r="Q116" s="269"/>
    </row>
    <row r="117" spans="2:17">
      <c r="B117" s="195" t="str">
        <f t="shared" si="36"/>
        <v/>
      </c>
      <c r="C117" s="507">
        <f>IF(D93="","-",+C116+1)</f>
        <v>2030</v>
      </c>
      <c r="D117" s="374">
        <f>IF(F116+SUM(E$99:E116)=D$92,F116,D$92-SUM(E$99:E116))</f>
        <v>3054646.5269629708</v>
      </c>
      <c r="E117" s="522">
        <f>IF(+J96&lt;F116,J96,D117)</f>
        <v>128499.48780487805</v>
      </c>
      <c r="F117" s="523">
        <f t="shared" si="48"/>
        <v>2926147.0391580928</v>
      </c>
      <c r="G117" s="523">
        <f t="shared" si="49"/>
        <v>2990396.7830605321</v>
      </c>
      <c r="H117" s="526">
        <f t="shared" si="50"/>
        <v>467952.06517871097</v>
      </c>
      <c r="I117" s="577">
        <f t="shared" si="51"/>
        <v>467952.06517871097</v>
      </c>
      <c r="J117" s="514">
        <f t="shared" si="30"/>
        <v>0</v>
      </c>
      <c r="K117" s="514"/>
      <c r="L117" s="525"/>
      <c r="M117" s="514">
        <f t="shared" si="32"/>
        <v>0</v>
      </c>
      <c r="N117" s="525"/>
      <c r="O117" s="514">
        <f t="shared" si="34"/>
        <v>0</v>
      </c>
      <c r="P117" s="514">
        <f t="shared" si="35"/>
        <v>0</v>
      </c>
      <c r="Q117" s="269"/>
    </row>
    <row r="118" spans="2:17">
      <c r="B118" s="195" t="str">
        <f t="shared" si="36"/>
        <v/>
      </c>
      <c r="C118" s="507">
        <f>IF(D93="","-",+C117+1)</f>
        <v>2031</v>
      </c>
      <c r="D118" s="374">
        <f>IF(F117+SUM(E$99:E117)=D$92,F117,D$92-SUM(E$99:E117))</f>
        <v>2926147.0391580928</v>
      </c>
      <c r="E118" s="522">
        <f>IF(+J96&lt;F117,J96,D118)</f>
        <v>128499.48780487805</v>
      </c>
      <c r="F118" s="523">
        <f t="shared" si="48"/>
        <v>2797647.5513532148</v>
      </c>
      <c r="G118" s="523">
        <f t="shared" si="49"/>
        <v>2861897.2952556536</v>
      </c>
      <c r="H118" s="526">
        <f t="shared" si="50"/>
        <v>453365.54523136775</v>
      </c>
      <c r="I118" s="577">
        <f t="shared" si="51"/>
        <v>453365.54523136775</v>
      </c>
      <c r="J118" s="514">
        <f t="shared" si="30"/>
        <v>0</v>
      </c>
      <c r="K118" s="514"/>
      <c r="L118" s="525"/>
      <c r="M118" s="514">
        <f t="shared" si="32"/>
        <v>0</v>
      </c>
      <c r="N118" s="525"/>
      <c r="O118" s="514">
        <f t="shared" si="34"/>
        <v>0</v>
      </c>
      <c r="P118" s="514">
        <f t="shared" si="35"/>
        <v>0</v>
      </c>
      <c r="Q118" s="269"/>
    </row>
    <row r="119" spans="2:17">
      <c r="B119" s="195" t="str">
        <f t="shared" si="36"/>
        <v/>
      </c>
      <c r="C119" s="507">
        <f>IF(D93="","-",+C118+1)</f>
        <v>2032</v>
      </c>
      <c r="D119" s="374">
        <f>IF(F118+SUM(E$99:E118)=D$92,F118,D$92-SUM(E$99:E118))</f>
        <v>2797647.5513532148</v>
      </c>
      <c r="E119" s="522">
        <f>IF(+J96&lt;F118,J96,D119)</f>
        <v>128499.48780487805</v>
      </c>
      <c r="F119" s="523">
        <f t="shared" si="48"/>
        <v>2669148.0635483367</v>
      </c>
      <c r="G119" s="523">
        <f t="shared" si="49"/>
        <v>2733397.807450776</v>
      </c>
      <c r="H119" s="526">
        <f t="shared" si="50"/>
        <v>438779.02528402465</v>
      </c>
      <c r="I119" s="577">
        <f t="shared" si="51"/>
        <v>438779.02528402465</v>
      </c>
      <c r="J119" s="514">
        <f t="shared" si="30"/>
        <v>0</v>
      </c>
      <c r="K119" s="514"/>
      <c r="L119" s="525"/>
      <c r="M119" s="514">
        <f t="shared" si="32"/>
        <v>0</v>
      </c>
      <c r="N119" s="525"/>
      <c r="O119" s="514">
        <f t="shared" si="34"/>
        <v>0</v>
      </c>
      <c r="P119" s="514">
        <f t="shared" si="35"/>
        <v>0</v>
      </c>
      <c r="Q119" s="269"/>
    </row>
    <row r="120" spans="2:17">
      <c r="B120" s="195" t="str">
        <f t="shared" si="36"/>
        <v/>
      </c>
      <c r="C120" s="507">
        <f>IF(D93="","-",+C119+1)</f>
        <v>2033</v>
      </c>
      <c r="D120" s="374">
        <f>IF(F119+SUM(E$99:E119)=D$92,F119,D$92-SUM(E$99:E119))</f>
        <v>2669148.0635483367</v>
      </c>
      <c r="E120" s="522">
        <f>IF(+J96&lt;F119,J96,D120)</f>
        <v>128499.48780487805</v>
      </c>
      <c r="F120" s="523">
        <f t="shared" si="48"/>
        <v>2540648.5757434587</v>
      </c>
      <c r="G120" s="523">
        <f t="shared" si="49"/>
        <v>2604898.3196458975</v>
      </c>
      <c r="H120" s="526">
        <f t="shared" si="50"/>
        <v>424192.50533668144</v>
      </c>
      <c r="I120" s="577">
        <f t="shared" si="51"/>
        <v>424192.50533668144</v>
      </c>
      <c r="J120" s="514">
        <f t="shared" si="30"/>
        <v>0</v>
      </c>
      <c r="K120" s="514"/>
      <c r="L120" s="525"/>
      <c r="M120" s="514">
        <f t="shared" si="32"/>
        <v>0</v>
      </c>
      <c r="N120" s="525"/>
      <c r="O120" s="514">
        <f t="shared" si="34"/>
        <v>0</v>
      </c>
      <c r="P120" s="514">
        <f t="shared" si="35"/>
        <v>0</v>
      </c>
      <c r="Q120" s="269"/>
    </row>
    <row r="121" spans="2:17">
      <c r="B121" s="195" t="str">
        <f t="shared" si="36"/>
        <v/>
      </c>
      <c r="C121" s="507">
        <f>IF(D93="","-",+C120+1)</f>
        <v>2034</v>
      </c>
      <c r="D121" s="374">
        <f>IF(F120+SUM(E$99:E120)=D$92,F120,D$92-SUM(E$99:E120))</f>
        <v>2540648.5757434587</v>
      </c>
      <c r="E121" s="522">
        <f>IF(+J96&lt;F120,J96,D121)</f>
        <v>128499.48780487805</v>
      </c>
      <c r="F121" s="523">
        <f t="shared" si="48"/>
        <v>2412149.0879385807</v>
      </c>
      <c r="G121" s="523">
        <f t="shared" si="49"/>
        <v>2476398.8318410199</v>
      </c>
      <c r="H121" s="526">
        <f t="shared" si="50"/>
        <v>409605.98538933834</v>
      </c>
      <c r="I121" s="577">
        <f t="shared" si="51"/>
        <v>409605.98538933834</v>
      </c>
      <c r="J121" s="514">
        <f t="shared" si="30"/>
        <v>0</v>
      </c>
      <c r="K121" s="514"/>
      <c r="L121" s="525"/>
      <c r="M121" s="514">
        <f t="shared" si="32"/>
        <v>0</v>
      </c>
      <c r="N121" s="525"/>
      <c r="O121" s="514">
        <f t="shared" si="34"/>
        <v>0</v>
      </c>
      <c r="P121" s="514">
        <f t="shared" si="35"/>
        <v>0</v>
      </c>
      <c r="Q121" s="269"/>
    </row>
    <row r="122" spans="2:17">
      <c r="B122" s="195" t="str">
        <f t="shared" si="36"/>
        <v/>
      </c>
      <c r="C122" s="507">
        <f>IF(D93="","-",+C121+1)</f>
        <v>2035</v>
      </c>
      <c r="D122" s="374">
        <f>IF(F121+SUM(E$99:E121)=D$92,F121,D$92-SUM(E$99:E121))</f>
        <v>2412149.0879385807</v>
      </c>
      <c r="E122" s="522">
        <f>IF(+J96&lt;F121,J96,D122)</f>
        <v>128499.48780487805</v>
      </c>
      <c r="F122" s="523">
        <f t="shared" si="48"/>
        <v>2283649.6001337026</v>
      </c>
      <c r="G122" s="523">
        <f t="shared" si="49"/>
        <v>2347899.3440361414</v>
      </c>
      <c r="H122" s="526">
        <f t="shared" si="50"/>
        <v>395019.46544199513</v>
      </c>
      <c r="I122" s="577">
        <f t="shared" si="51"/>
        <v>395019.46544199513</v>
      </c>
      <c r="J122" s="514">
        <f t="shared" si="30"/>
        <v>0</v>
      </c>
      <c r="K122" s="514"/>
      <c r="L122" s="525"/>
      <c r="M122" s="514">
        <f t="shared" si="32"/>
        <v>0</v>
      </c>
      <c r="N122" s="525"/>
      <c r="O122" s="514">
        <f t="shared" si="34"/>
        <v>0</v>
      </c>
      <c r="P122" s="514">
        <f t="shared" si="35"/>
        <v>0</v>
      </c>
      <c r="Q122" s="269"/>
    </row>
    <row r="123" spans="2:17">
      <c r="B123" s="195" t="str">
        <f t="shared" si="36"/>
        <v/>
      </c>
      <c r="C123" s="507">
        <f>IF(D93="","-",+C122+1)</f>
        <v>2036</v>
      </c>
      <c r="D123" s="374">
        <f>IF(F122+SUM(E$99:E122)=D$92,F122,D$92-SUM(E$99:E122))</f>
        <v>2283649.6001337026</v>
      </c>
      <c r="E123" s="522">
        <f>IF(+J96&lt;F122,J96,D123)</f>
        <v>128499.48780487805</v>
      </c>
      <c r="F123" s="523">
        <f t="shared" si="48"/>
        <v>2155150.1123288246</v>
      </c>
      <c r="G123" s="523">
        <f t="shared" si="49"/>
        <v>2219399.8562312638</v>
      </c>
      <c r="H123" s="526">
        <f t="shared" si="50"/>
        <v>380432.94549465203</v>
      </c>
      <c r="I123" s="577">
        <f t="shared" si="51"/>
        <v>380432.94549465203</v>
      </c>
      <c r="J123" s="514">
        <f t="shared" si="30"/>
        <v>0</v>
      </c>
      <c r="K123" s="514"/>
      <c r="L123" s="525"/>
      <c r="M123" s="514">
        <f t="shared" si="32"/>
        <v>0</v>
      </c>
      <c r="N123" s="525"/>
      <c r="O123" s="514">
        <f t="shared" si="34"/>
        <v>0</v>
      </c>
      <c r="P123" s="514">
        <f t="shared" si="35"/>
        <v>0</v>
      </c>
      <c r="Q123" s="269"/>
    </row>
    <row r="124" spans="2:17">
      <c r="B124" s="195" t="str">
        <f t="shared" si="36"/>
        <v/>
      </c>
      <c r="C124" s="507">
        <f>IF(D93="","-",+C123+1)</f>
        <v>2037</v>
      </c>
      <c r="D124" s="374">
        <f>IF(F123+SUM(E$99:E123)=D$92,F123,D$92-SUM(E$99:E123))</f>
        <v>2155150.1123288246</v>
      </c>
      <c r="E124" s="522">
        <f>IF(+J96&lt;F123,J96,D124)</f>
        <v>128499.48780487805</v>
      </c>
      <c r="F124" s="523">
        <f t="shared" si="48"/>
        <v>2026650.6245239465</v>
      </c>
      <c r="G124" s="523">
        <f t="shared" si="49"/>
        <v>2090900.3684263856</v>
      </c>
      <c r="H124" s="526">
        <f t="shared" si="50"/>
        <v>365846.42554730881</v>
      </c>
      <c r="I124" s="577">
        <f t="shared" si="51"/>
        <v>365846.42554730881</v>
      </c>
      <c r="J124" s="514">
        <f t="shared" si="30"/>
        <v>0</v>
      </c>
      <c r="K124" s="514"/>
      <c r="L124" s="525"/>
      <c r="M124" s="514">
        <f t="shared" si="32"/>
        <v>0</v>
      </c>
      <c r="N124" s="525"/>
      <c r="O124" s="514">
        <f t="shared" si="34"/>
        <v>0</v>
      </c>
      <c r="P124" s="514">
        <f t="shared" si="35"/>
        <v>0</v>
      </c>
      <c r="Q124" s="269"/>
    </row>
    <row r="125" spans="2:17">
      <c r="B125" s="195" t="str">
        <f t="shared" si="36"/>
        <v/>
      </c>
      <c r="C125" s="507">
        <f>IF(D93="","-",+C124+1)</f>
        <v>2038</v>
      </c>
      <c r="D125" s="374">
        <f>IF(F124+SUM(E$99:E124)=D$92,F124,D$92-SUM(E$99:E124))</f>
        <v>2026650.6245239465</v>
      </c>
      <c r="E125" s="522">
        <f>IF(+J96&lt;F124,J96,D125)</f>
        <v>128499.48780487805</v>
      </c>
      <c r="F125" s="523">
        <f t="shared" si="48"/>
        <v>1898151.1367190685</v>
      </c>
      <c r="G125" s="523">
        <f t="shared" si="49"/>
        <v>1962400.8806215075</v>
      </c>
      <c r="H125" s="526">
        <f t="shared" si="50"/>
        <v>351259.90559996566</v>
      </c>
      <c r="I125" s="577">
        <f t="shared" si="51"/>
        <v>351259.90559996566</v>
      </c>
      <c r="J125" s="514">
        <f t="shared" si="30"/>
        <v>0</v>
      </c>
      <c r="K125" s="514"/>
      <c r="L125" s="525"/>
      <c r="M125" s="514">
        <f t="shared" si="32"/>
        <v>0</v>
      </c>
      <c r="N125" s="525"/>
      <c r="O125" s="514">
        <f t="shared" si="34"/>
        <v>0</v>
      </c>
      <c r="P125" s="514">
        <f t="shared" si="35"/>
        <v>0</v>
      </c>
      <c r="Q125" s="269"/>
    </row>
    <row r="126" spans="2:17">
      <c r="B126" s="195" t="str">
        <f t="shared" si="36"/>
        <v/>
      </c>
      <c r="C126" s="507">
        <f>IF(D93="","-",+C125+1)</f>
        <v>2039</v>
      </c>
      <c r="D126" s="374">
        <f>IF(F125+SUM(E$99:E125)=D$92,F125,D$92-SUM(E$99:E125))</f>
        <v>1898151.1367190685</v>
      </c>
      <c r="E126" s="522">
        <f>IF(+J96&lt;F125,J96,D126)</f>
        <v>128499.48780487805</v>
      </c>
      <c r="F126" s="523">
        <f t="shared" si="48"/>
        <v>1769651.6489141905</v>
      </c>
      <c r="G126" s="523">
        <f t="shared" si="49"/>
        <v>1833901.3928166295</v>
      </c>
      <c r="H126" s="526">
        <f t="shared" si="50"/>
        <v>336673.3856526225</v>
      </c>
      <c r="I126" s="577">
        <f t="shared" si="51"/>
        <v>336673.3856526225</v>
      </c>
      <c r="J126" s="514">
        <f t="shared" si="30"/>
        <v>0</v>
      </c>
      <c r="K126" s="514"/>
      <c r="L126" s="525"/>
      <c r="M126" s="514">
        <f t="shared" si="32"/>
        <v>0</v>
      </c>
      <c r="N126" s="525"/>
      <c r="O126" s="514">
        <f t="shared" si="34"/>
        <v>0</v>
      </c>
      <c r="P126" s="514">
        <f t="shared" si="35"/>
        <v>0</v>
      </c>
      <c r="Q126" s="269"/>
    </row>
    <row r="127" spans="2:17">
      <c r="B127" s="195" t="str">
        <f t="shared" si="36"/>
        <v/>
      </c>
      <c r="C127" s="507">
        <f>IF(D93="","-",+C126+1)</f>
        <v>2040</v>
      </c>
      <c r="D127" s="374">
        <f>IF(F126+SUM(E$99:E126)=D$92,F126,D$92-SUM(E$99:E126))</f>
        <v>1769651.6489141905</v>
      </c>
      <c r="E127" s="522">
        <f>IF(+J96&lt;F126,J96,D127)</f>
        <v>128499.48780487805</v>
      </c>
      <c r="F127" s="523">
        <f t="shared" si="48"/>
        <v>1641152.1611093124</v>
      </c>
      <c r="G127" s="523">
        <f t="shared" si="49"/>
        <v>1705401.9050117515</v>
      </c>
      <c r="H127" s="526">
        <f t="shared" si="50"/>
        <v>322086.86570527934</v>
      </c>
      <c r="I127" s="577">
        <f t="shared" si="51"/>
        <v>322086.86570527934</v>
      </c>
      <c r="J127" s="514">
        <f t="shared" si="30"/>
        <v>0</v>
      </c>
      <c r="K127" s="514"/>
      <c r="L127" s="525"/>
      <c r="M127" s="514">
        <f t="shared" si="32"/>
        <v>0</v>
      </c>
      <c r="N127" s="525"/>
      <c r="O127" s="514">
        <f t="shared" si="34"/>
        <v>0</v>
      </c>
      <c r="P127" s="514">
        <f t="shared" si="35"/>
        <v>0</v>
      </c>
      <c r="Q127" s="269"/>
    </row>
    <row r="128" spans="2:17">
      <c r="B128" s="195" t="str">
        <f t="shared" si="36"/>
        <v/>
      </c>
      <c r="C128" s="507">
        <f>IF(D93="","-",+C127+1)</f>
        <v>2041</v>
      </c>
      <c r="D128" s="374">
        <f>IF(F127+SUM(E$99:E127)=D$92,F127,D$92-SUM(E$99:E127))</f>
        <v>1641152.1611093124</v>
      </c>
      <c r="E128" s="522">
        <f>IF(+J96&lt;F127,J96,D128)</f>
        <v>128499.48780487805</v>
      </c>
      <c r="F128" s="523">
        <f t="shared" si="48"/>
        <v>1512652.6733044344</v>
      </c>
      <c r="G128" s="523">
        <f t="shared" si="49"/>
        <v>1576902.4172068734</v>
      </c>
      <c r="H128" s="526">
        <f t="shared" si="50"/>
        <v>307500.34575793619</v>
      </c>
      <c r="I128" s="577">
        <f t="shared" si="51"/>
        <v>307500.34575793619</v>
      </c>
      <c r="J128" s="514">
        <f t="shared" si="30"/>
        <v>0</v>
      </c>
      <c r="K128" s="514"/>
      <c r="L128" s="525"/>
      <c r="M128" s="514">
        <f t="shared" si="32"/>
        <v>0</v>
      </c>
      <c r="N128" s="525"/>
      <c r="O128" s="514">
        <f t="shared" si="34"/>
        <v>0</v>
      </c>
      <c r="P128" s="514">
        <f t="shared" si="35"/>
        <v>0</v>
      </c>
      <c r="Q128" s="269"/>
    </row>
    <row r="129" spans="2:17">
      <c r="B129" s="195" t="str">
        <f t="shared" si="36"/>
        <v/>
      </c>
      <c r="C129" s="507">
        <f>IF(D93="","-",+C128+1)</f>
        <v>2042</v>
      </c>
      <c r="D129" s="374">
        <f>IF(F128+SUM(E$99:E128)=D$92,F128,D$92-SUM(E$99:E128))</f>
        <v>1512652.6733044344</v>
      </c>
      <c r="E129" s="522">
        <f>IF(+J96&lt;F128,J96,D129)</f>
        <v>128499.48780487805</v>
      </c>
      <c r="F129" s="523">
        <f t="shared" si="48"/>
        <v>1384153.1854995564</v>
      </c>
      <c r="G129" s="523">
        <f t="shared" si="49"/>
        <v>1448402.9294019954</v>
      </c>
      <c r="H129" s="526">
        <f t="shared" si="50"/>
        <v>292913.82581059303</v>
      </c>
      <c r="I129" s="577">
        <f t="shared" si="51"/>
        <v>292913.82581059303</v>
      </c>
      <c r="J129" s="514">
        <f t="shared" si="30"/>
        <v>0</v>
      </c>
      <c r="K129" s="514"/>
      <c r="L129" s="525"/>
      <c r="M129" s="514">
        <f t="shared" si="32"/>
        <v>0</v>
      </c>
      <c r="N129" s="525"/>
      <c r="O129" s="514">
        <f t="shared" si="34"/>
        <v>0</v>
      </c>
      <c r="P129" s="514">
        <f t="shared" si="35"/>
        <v>0</v>
      </c>
      <c r="Q129" s="269"/>
    </row>
    <row r="130" spans="2:17">
      <c r="B130" s="195" t="str">
        <f t="shared" si="36"/>
        <v/>
      </c>
      <c r="C130" s="507">
        <f>IF(D93="","-",+C129+1)</f>
        <v>2043</v>
      </c>
      <c r="D130" s="374">
        <f>IF(F129+SUM(E$99:E129)=D$92,F129,D$92-SUM(E$99:E129))</f>
        <v>1384153.1854995564</v>
      </c>
      <c r="E130" s="522">
        <f>IF(+J96&lt;F129,J96,D130)</f>
        <v>128499.48780487805</v>
      </c>
      <c r="F130" s="523">
        <f t="shared" si="48"/>
        <v>1255653.6976946783</v>
      </c>
      <c r="G130" s="523">
        <f t="shared" si="49"/>
        <v>1319903.4415971173</v>
      </c>
      <c r="H130" s="526">
        <f t="shared" si="50"/>
        <v>278327.30586324987</v>
      </c>
      <c r="I130" s="577">
        <f t="shared" si="51"/>
        <v>278327.30586324987</v>
      </c>
      <c r="J130" s="514">
        <f t="shared" si="30"/>
        <v>0</v>
      </c>
      <c r="K130" s="514"/>
      <c r="L130" s="525"/>
      <c r="M130" s="514">
        <f t="shared" si="32"/>
        <v>0</v>
      </c>
      <c r="N130" s="525"/>
      <c r="O130" s="514">
        <f t="shared" si="34"/>
        <v>0</v>
      </c>
      <c r="P130" s="514">
        <f t="shared" si="35"/>
        <v>0</v>
      </c>
      <c r="Q130" s="269"/>
    </row>
    <row r="131" spans="2:17">
      <c r="B131" s="195" t="str">
        <f t="shared" si="36"/>
        <v/>
      </c>
      <c r="C131" s="507">
        <f>IF(D93="","-",+C130+1)</f>
        <v>2044</v>
      </c>
      <c r="D131" s="374">
        <f>IF(F130+SUM(E$99:E130)=D$92,F130,D$92-SUM(E$99:E130))</f>
        <v>1255653.6976946783</v>
      </c>
      <c r="E131" s="522">
        <f>IF(+J96&lt;F130,J96,D131)</f>
        <v>128499.48780487805</v>
      </c>
      <c r="F131" s="523">
        <f t="shared" si="48"/>
        <v>1127154.2098898003</v>
      </c>
      <c r="G131" s="523">
        <f t="shared" ref="G131:G154" si="52">+(F131+D131)/2</f>
        <v>1191403.9537922393</v>
      </c>
      <c r="H131" s="526">
        <f t="shared" ref="H131:H154" si="53">+J$94*G131+E131</f>
        <v>263740.78591590672</v>
      </c>
      <c r="I131" s="577">
        <f t="shared" ref="I131:I154" si="54">+J$95*G131+E131</f>
        <v>263740.78591590672</v>
      </c>
      <c r="J131" s="514">
        <f t="shared" ref="J131:J154" si="55">+I131-H131</f>
        <v>0</v>
      </c>
      <c r="K131" s="514"/>
      <c r="L131" s="525"/>
      <c r="M131" s="514">
        <f t="shared" ref="M131:M154" si="56">IF(L131&lt;&gt;0,+H131-L131,0)</f>
        <v>0</v>
      </c>
      <c r="N131" s="525"/>
      <c r="O131" s="514">
        <f t="shared" ref="O131:O154" si="57">IF(N131&lt;&gt;0,+I131-N131,0)</f>
        <v>0</v>
      </c>
      <c r="P131" s="514">
        <f t="shared" ref="P131:P154" si="58">+O131-M131</f>
        <v>0</v>
      </c>
      <c r="Q131" s="269"/>
    </row>
    <row r="132" spans="2:17">
      <c r="B132" s="195" t="str">
        <f t="shared" ref="B132:B154" si="59">IF(D132=F131,"","IU")</f>
        <v/>
      </c>
      <c r="C132" s="507">
        <f>IF(D93="","-",+C131+1)</f>
        <v>2045</v>
      </c>
      <c r="D132" s="374">
        <f>IF(F131+SUM(E$99:E131)=D$92,F131,D$92-SUM(E$99:E131))</f>
        <v>1127154.2098898003</v>
      </c>
      <c r="E132" s="522">
        <f>IF(+J96&lt;F131,J96,D132)</f>
        <v>128499.48780487805</v>
      </c>
      <c r="F132" s="523">
        <f t="shared" ref="F132:F154" si="60">+D132-E132</f>
        <v>998654.72208492225</v>
      </c>
      <c r="G132" s="523">
        <f t="shared" si="52"/>
        <v>1062904.4659873613</v>
      </c>
      <c r="H132" s="526">
        <f t="shared" si="53"/>
        <v>249154.26596856356</v>
      </c>
      <c r="I132" s="577">
        <f t="shared" si="54"/>
        <v>249154.26596856356</v>
      </c>
      <c r="J132" s="514">
        <f t="shared" si="55"/>
        <v>0</v>
      </c>
      <c r="K132" s="514"/>
      <c r="L132" s="525"/>
      <c r="M132" s="514">
        <f t="shared" si="56"/>
        <v>0</v>
      </c>
      <c r="N132" s="525"/>
      <c r="O132" s="514">
        <f t="shared" si="57"/>
        <v>0</v>
      </c>
      <c r="P132" s="514">
        <f t="shared" si="58"/>
        <v>0</v>
      </c>
      <c r="Q132" s="269"/>
    </row>
    <row r="133" spans="2:17">
      <c r="B133" s="195" t="str">
        <f t="shared" si="59"/>
        <v/>
      </c>
      <c r="C133" s="507">
        <f>IF(D93="","-",+C132+1)</f>
        <v>2046</v>
      </c>
      <c r="D133" s="374">
        <f>IF(F132+SUM(E$99:E132)=D$92,F132,D$92-SUM(E$99:E132))</f>
        <v>998654.72208492225</v>
      </c>
      <c r="E133" s="522">
        <f>IF(+J96&lt;F132,J96,D133)</f>
        <v>128499.48780487805</v>
      </c>
      <c r="F133" s="523">
        <f t="shared" si="60"/>
        <v>870155.23428004421</v>
      </c>
      <c r="G133" s="523">
        <f t="shared" si="52"/>
        <v>934404.97818248323</v>
      </c>
      <c r="H133" s="526">
        <f t="shared" si="53"/>
        <v>234567.7460212204</v>
      </c>
      <c r="I133" s="577">
        <f t="shared" si="54"/>
        <v>234567.7460212204</v>
      </c>
      <c r="J133" s="514">
        <f t="shared" si="55"/>
        <v>0</v>
      </c>
      <c r="K133" s="514"/>
      <c r="L133" s="525"/>
      <c r="M133" s="514">
        <f t="shared" si="56"/>
        <v>0</v>
      </c>
      <c r="N133" s="525"/>
      <c r="O133" s="514">
        <f t="shared" si="57"/>
        <v>0</v>
      </c>
      <c r="P133" s="514">
        <f t="shared" si="58"/>
        <v>0</v>
      </c>
      <c r="Q133" s="269"/>
    </row>
    <row r="134" spans="2:17">
      <c r="B134" s="195" t="str">
        <f t="shared" si="59"/>
        <v/>
      </c>
      <c r="C134" s="507">
        <f>IF(D93="","-",+C133+1)</f>
        <v>2047</v>
      </c>
      <c r="D134" s="374">
        <f>IF(F133+SUM(E$99:E133)=D$92,F133,D$92-SUM(E$99:E133))</f>
        <v>870155.23428004421</v>
      </c>
      <c r="E134" s="522">
        <f>IF(+J96&lt;F133,J96,D134)</f>
        <v>128499.48780487805</v>
      </c>
      <c r="F134" s="523">
        <f t="shared" si="60"/>
        <v>741655.74647516618</v>
      </c>
      <c r="G134" s="523">
        <f t="shared" si="52"/>
        <v>805905.49037760519</v>
      </c>
      <c r="H134" s="526">
        <f t="shared" si="53"/>
        <v>219981.22607387725</v>
      </c>
      <c r="I134" s="577">
        <f t="shared" si="54"/>
        <v>219981.22607387725</v>
      </c>
      <c r="J134" s="514">
        <f t="shared" si="55"/>
        <v>0</v>
      </c>
      <c r="K134" s="514"/>
      <c r="L134" s="525"/>
      <c r="M134" s="514">
        <f t="shared" si="56"/>
        <v>0</v>
      </c>
      <c r="N134" s="525"/>
      <c r="O134" s="514">
        <f t="shared" si="57"/>
        <v>0</v>
      </c>
      <c r="P134" s="514">
        <f t="shared" si="58"/>
        <v>0</v>
      </c>
      <c r="Q134" s="269"/>
    </row>
    <row r="135" spans="2:17">
      <c r="B135" s="195" t="str">
        <f t="shared" si="59"/>
        <v/>
      </c>
      <c r="C135" s="507">
        <f>IF(D93="","-",+C134+1)</f>
        <v>2048</v>
      </c>
      <c r="D135" s="374">
        <f>IF(F134+SUM(E$99:E134)=D$92,F134,D$92-SUM(E$99:E134))</f>
        <v>741655.74647516618</v>
      </c>
      <c r="E135" s="522">
        <f>IF(+J96&lt;F134,J96,D135)</f>
        <v>128499.48780487805</v>
      </c>
      <c r="F135" s="523">
        <f t="shared" si="60"/>
        <v>613156.25867028814</v>
      </c>
      <c r="G135" s="523">
        <f t="shared" si="52"/>
        <v>677406.00257272716</v>
      </c>
      <c r="H135" s="526">
        <f t="shared" si="53"/>
        <v>205394.70612653409</v>
      </c>
      <c r="I135" s="577">
        <f t="shared" si="54"/>
        <v>205394.70612653409</v>
      </c>
      <c r="J135" s="514">
        <f t="shared" si="55"/>
        <v>0</v>
      </c>
      <c r="K135" s="514"/>
      <c r="L135" s="525"/>
      <c r="M135" s="514">
        <f t="shared" si="56"/>
        <v>0</v>
      </c>
      <c r="N135" s="525"/>
      <c r="O135" s="514">
        <f t="shared" si="57"/>
        <v>0</v>
      </c>
      <c r="P135" s="514">
        <f t="shared" si="58"/>
        <v>0</v>
      </c>
      <c r="Q135" s="269"/>
    </row>
    <row r="136" spans="2:17">
      <c r="B136" s="195" t="str">
        <f t="shared" si="59"/>
        <v/>
      </c>
      <c r="C136" s="507">
        <f>IF(D93="","-",+C135+1)</f>
        <v>2049</v>
      </c>
      <c r="D136" s="374">
        <f>IF(F135+SUM(E$99:E135)=D$92,F135,D$92-SUM(E$99:E135))</f>
        <v>613156.25867028814</v>
      </c>
      <c r="E136" s="522">
        <f>IF(+J96&lt;F135,J96,D136)</f>
        <v>128499.48780487805</v>
      </c>
      <c r="F136" s="523">
        <f t="shared" si="60"/>
        <v>484656.7708654101</v>
      </c>
      <c r="G136" s="523">
        <f t="shared" si="52"/>
        <v>548906.51476784912</v>
      </c>
      <c r="H136" s="526">
        <f t="shared" si="53"/>
        <v>190808.18617919093</v>
      </c>
      <c r="I136" s="577">
        <f t="shared" si="54"/>
        <v>190808.18617919093</v>
      </c>
      <c r="J136" s="514">
        <f t="shared" si="55"/>
        <v>0</v>
      </c>
      <c r="K136" s="514"/>
      <c r="L136" s="525"/>
      <c r="M136" s="514">
        <f t="shared" si="56"/>
        <v>0</v>
      </c>
      <c r="N136" s="525"/>
      <c r="O136" s="514">
        <f t="shared" si="57"/>
        <v>0</v>
      </c>
      <c r="P136" s="514">
        <f t="shared" si="58"/>
        <v>0</v>
      </c>
      <c r="Q136" s="269"/>
    </row>
    <row r="137" spans="2:17">
      <c r="B137" s="195" t="str">
        <f t="shared" si="59"/>
        <v/>
      </c>
      <c r="C137" s="507">
        <f>IF(D93="","-",+C136+1)</f>
        <v>2050</v>
      </c>
      <c r="D137" s="374">
        <f>IF(F136+SUM(E$99:E136)=D$92,F136,D$92-SUM(E$99:E136))</f>
        <v>484656.7708654101</v>
      </c>
      <c r="E137" s="522">
        <f>IF(+J96&lt;F136,J96,D137)</f>
        <v>128499.48780487805</v>
      </c>
      <c r="F137" s="523">
        <f t="shared" si="60"/>
        <v>356157.28306053206</v>
      </c>
      <c r="G137" s="523">
        <f t="shared" si="52"/>
        <v>420407.02696297108</v>
      </c>
      <c r="H137" s="526">
        <f t="shared" si="53"/>
        <v>176221.66623184778</v>
      </c>
      <c r="I137" s="577">
        <f t="shared" si="54"/>
        <v>176221.66623184778</v>
      </c>
      <c r="J137" s="514">
        <f t="shared" si="55"/>
        <v>0</v>
      </c>
      <c r="K137" s="514"/>
      <c r="L137" s="525"/>
      <c r="M137" s="514">
        <f t="shared" si="56"/>
        <v>0</v>
      </c>
      <c r="N137" s="525"/>
      <c r="O137" s="514">
        <f t="shared" si="57"/>
        <v>0</v>
      </c>
      <c r="P137" s="514">
        <f t="shared" si="58"/>
        <v>0</v>
      </c>
      <c r="Q137" s="269"/>
    </row>
    <row r="138" spans="2:17">
      <c r="B138" s="195" t="str">
        <f t="shared" si="59"/>
        <v/>
      </c>
      <c r="C138" s="507">
        <f>IF(D93="","-",+C137+1)</f>
        <v>2051</v>
      </c>
      <c r="D138" s="374">
        <f>IF(F137+SUM(E$99:E137)=D$92,F137,D$92-SUM(E$99:E137))</f>
        <v>356157.28306053206</v>
      </c>
      <c r="E138" s="522">
        <f>IF(+J96&lt;F137,J96,D138)</f>
        <v>128499.48780487805</v>
      </c>
      <c r="F138" s="523">
        <f t="shared" si="60"/>
        <v>227657.79525565403</v>
      </c>
      <c r="G138" s="523">
        <f t="shared" si="52"/>
        <v>291907.53915809304</v>
      </c>
      <c r="H138" s="526">
        <f t="shared" si="53"/>
        <v>161635.14628450462</v>
      </c>
      <c r="I138" s="577">
        <f t="shared" si="54"/>
        <v>161635.14628450462</v>
      </c>
      <c r="J138" s="514">
        <f t="shared" si="55"/>
        <v>0</v>
      </c>
      <c r="K138" s="514"/>
      <c r="L138" s="525"/>
      <c r="M138" s="514">
        <f t="shared" si="56"/>
        <v>0</v>
      </c>
      <c r="N138" s="525"/>
      <c r="O138" s="514">
        <f t="shared" si="57"/>
        <v>0</v>
      </c>
      <c r="P138" s="514">
        <f t="shared" si="58"/>
        <v>0</v>
      </c>
      <c r="Q138" s="269"/>
    </row>
    <row r="139" spans="2:17">
      <c r="B139" s="195" t="str">
        <f t="shared" si="59"/>
        <v>IU</v>
      </c>
      <c r="C139" s="507">
        <f>IF(D93="","-",+C138+1)</f>
        <v>2052</v>
      </c>
      <c r="D139" s="374">
        <f>IF(F138+SUM(E$99:E138)=D$92,F138,D$92-SUM(E$99:E138))</f>
        <v>227657.7952556489</v>
      </c>
      <c r="E139" s="522">
        <f>IF(+J96&lt;F138,J96,D139)</f>
        <v>128499.48780487805</v>
      </c>
      <c r="F139" s="523">
        <f t="shared" si="60"/>
        <v>99158.307450770852</v>
      </c>
      <c r="G139" s="523">
        <f t="shared" si="52"/>
        <v>163408.05135320988</v>
      </c>
      <c r="H139" s="526">
        <f t="shared" si="53"/>
        <v>147048.62633716088</v>
      </c>
      <c r="I139" s="577">
        <f t="shared" si="54"/>
        <v>147048.62633716088</v>
      </c>
      <c r="J139" s="514">
        <f t="shared" si="55"/>
        <v>0</v>
      </c>
      <c r="K139" s="514"/>
      <c r="L139" s="525"/>
      <c r="M139" s="514">
        <f t="shared" si="56"/>
        <v>0</v>
      </c>
      <c r="N139" s="525"/>
      <c r="O139" s="514">
        <f t="shared" si="57"/>
        <v>0</v>
      </c>
      <c r="P139" s="514">
        <f t="shared" si="58"/>
        <v>0</v>
      </c>
      <c r="Q139" s="269"/>
    </row>
    <row r="140" spans="2:17">
      <c r="B140" s="195" t="str">
        <f t="shared" si="59"/>
        <v/>
      </c>
      <c r="C140" s="507">
        <f>IF(D93="","-",+C139+1)</f>
        <v>2053</v>
      </c>
      <c r="D140" s="374">
        <f>IF(F139+SUM(E$99:E139)=D$92,F139,D$92-SUM(E$99:E139))</f>
        <v>99158.307450770852</v>
      </c>
      <c r="E140" s="522">
        <f>IF(+J96&lt;F139,J96,D140)</f>
        <v>99158.307450770852</v>
      </c>
      <c r="F140" s="523">
        <f t="shared" si="60"/>
        <v>0</v>
      </c>
      <c r="G140" s="523">
        <f t="shared" si="52"/>
        <v>49579.153725385426</v>
      </c>
      <c r="H140" s="526">
        <f t="shared" si="53"/>
        <v>104786.24673007648</v>
      </c>
      <c r="I140" s="577">
        <f t="shared" si="54"/>
        <v>104786.24673007648</v>
      </c>
      <c r="J140" s="514">
        <f t="shared" si="55"/>
        <v>0</v>
      </c>
      <c r="K140" s="514"/>
      <c r="L140" s="525"/>
      <c r="M140" s="514">
        <f t="shared" si="56"/>
        <v>0</v>
      </c>
      <c r="N140" s="525"/>
      <c r="O140" s="514">
        <f t="shared" si="57"/>
        <v>0</v>
      </c>
      <c r="P140" s="514">
        <f t="shared" si="58"/>
        <v>0</v>
      </c>
      <c r="Q140" s="269"/>
    </row>
    <row r="141" spans="2:17">
      <c r="B141" s="195" t="str">
        <f t="shared" si="59"/>
        <v/>
      </c>
      <c r="C141" s="507">
        <f>IF(D93="","-",+C140+1)</f>
        <v>2054</v>
      </c>
      <c r="D141" s="374">
        <f>IF(F140+SUM(E$99:E140)=D$92,F140,D$92-SUM(E$99:E140))</f>
        <v>0</v>
      </c>
      <c r="E141" s="522">
        <f>IF(+J96&lt;F140,J96,D141)</f>
        <v>0</v>
      </c>
      <c r="F141" s="523">
        <f t="shared" si="60"/>
        <v>0</v>
      </c>
      <c r="G141" s="523">
        <f t="shared" si="52"/>
        <v>0</v>
      </c>
      <c r="H141" s="526">
        <f t="shared" si="53"/>
        <v>0</v>
      </c>
      <c r="I141" s="577">
        <f t="shared" si="54"/>
        <v>0</v>
      </c>
      <c r="J141" s="514">
        <f t="shared" si="55"/>
        <v>0</v>
      </c>
      <c r="K141" s="514"/>
      <c r="L141" s="525"/>
      <c r="M141" s="514">
        <f t="shared" si="56"/>
        <v>0</v>
      </c>
      <c r="N141" s="525"/>
      <c r="O141" s="514">
        <f t="shared" si="57"/>
        <v>0</v>
      </c>
      <c r="P141" s="514">
        <f t="shared" si="58"/>
        <v>0</v>
      </c>
      <c r="Q141" s="269"/>
    </row>
    <row r="142" spans="2:17">
      <c r="B142" s="195" t="str">
        <f t="shared" si="59"/>
        <v/>
      </c>
      <c r="C142" s="507">
        <f>IF(D93="","-",+C141+1)</f>
        <v>2055</v>
      </c>
      <c r="D142" s="374">
        <f>IF(F141+SUM(E$99:E141)=D$92,F141,D$92-SUM(E$99:E141))</f>
        <v>0</v>
      </c>
      <c r="E142" s="522">
        <f>IF(+J96&lt;F141,J96,D142)</f>
        <v>0</v>
      </c>
      <c r="F142" s="523">
        <f t="shared" si="60"/>
        <v>0</v>
      </c>
      <c r="G142" s="523">
        <f t="shared" si="52"/>
        <v>0</v>
      </c>
      <c r="H142" s="526">
        <f t="shared" si="53"/>
        <v>0</v>
      </c>
      <c r="I142" s="577">
        <f t="shared" si="54"/>
        <v>0</v>
      </c>
      <c r="J142" s="514">
        <f t="shared" si="55"/>
        <v>0</v>
      </c>
      <c r="K142" s="514"/>
      <c r="L142" s="525"/>
      <c r="M142" s="514">
        <f t="shared" si="56"/>
        <v>0</v>
      </c>
      <c r="N142" s="525"/>
      <c r="O142" s="514">
        <f t="shared" si="57"/>
        <v>0</v>
      </c>
      <c r="P142" s="514">
        <f t="shared" si="58"/>
        <v>0</v>
      </c>
      <c r="Q142" s="269"/>
    </row>
    <row r="143" spans="2:17">
      <c r="B143" s="195" t="str">
        <f t="shared" si="59"/>
        <v/>
      </c>
      <c r="C143" s="507">
        <f>IF(D93="","-",+C142+1)</f>
        <v>2056</v>
      </c>
      <c r="D143" s="374">
        <f>IF(F142+SUM(E$99:E142)=D$92,F142,D$92-SUM(E$99:E142))</f>
        <v>0</v>
      </c>
      <c r="E143" s="522">
        <f>IF(+J96&lt;F142,J96,D143)</f>
        <v>0</v>
      </c>
      <c r="F143" s="523">
        <f t="shared" si="60"/>
        <v>0</v>
      </c>
      <c r="G143" s="523">
        <f t="shared" si="52"/>
        <v>0</v>
      </c>
      <c r="H143" s="526">
        <f t="shared" si="53"/>
        <v>0</v>
      </c>
      <c r="I143" s="577">
        <f t="shared" si="54"/>
        <v>0</v>
      </c>
      <c r="J143" s="514">
        <f t="shared" si="55"/>
        <v>0</v>
      </c>
      <c r="K143" s="514"/>
      <c r="L143" s="525"/>
      <c r="M143" s="514">
        <f t="shared" si="56"/>
        <v>0</v>
      </c>
      <c r="N143" s="525"/>
      <c r="O143" s="514">
        <f t="shared" si="57"/>
        <v>0</v>
      </c>
      <c r="P143" s="514">
        <f t="shared" si="58"/>
        <v>0</v>
      </c>
      <c r="Q143" s="269"/>
    </row>
    <row r="144" spans="2:17">
      <c r="B144" s="195" t="str">
        <f t="shared" si="59"/>
        <v/>
      </c>
      <c r="C144" s="507">
        <f>IF(D93="","-",+C143+1)</f>
        <v>2057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60"/>
        <v>0</v>
      </c>
      <c r="G144" s="523">
        <f t="shared" si="52"/>
        <v>0</v>
      </c>
      <c r="H144" s="526">
        <f t="shared" si="53"/>
        <v>0</v>
      </c>
      <c r="I144" s="577">
        <f t="shared" si="54"/>
        <v>0</v>
      </c>
      <c r="J144" s="514">
        <f t="shared" si="55"/>
        <v>0</v>
      </c>
      <c r="K144" s="514"/>
      <c r="L144" s="525"/>
      <c r="M144" s="514">
        <f t="shared" si="56"/>
        <v>0</v>
      </c>
      <c r="N144" s="525"/>
      <c r="O144" s="514">
        <f t="shared" si="57"/>
        <v>0</v>
      </c>
      <c r="P144" s="514">
        <f t="shared" si="58"/>
        <v>0</v>
      </c>
      <c r="Q144" s="269"/>
    </row>
    <row r="145" spans="2:17">
      <c r="B145" s="195" t="str">
        <f t="shared" si="59"/>
        <v/>
      </c>
      <c r="C145" s="507">
        <f>IF(D93="","-",+C144+1)</f>
        <v>2058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60"/>
        <v>0</v>
      </c>
      <c r="G145" s="523">
        <f t="shared" si="52"/>
        <v>0</v>
      </c>
      <c r="H145" s="526">
        <f t="shared" si="53"/>
        <v>0</v>
      </c>
      <c r="I145" s="577">
        <f t="shared" si="54"/>
        <v>0</v>
      </c>
      <c r="J145" s="514">
        <f t="shared" si="55"/>
        <v>0</v>
      </c>
      <c r="K145" s="514"/>
      <c r="L145" s="525"/>
      <c r="M145" s="514">
        <f t="shared" si="56"/>
        <v>0</v>
      </c>
      <c r="N145" s="525"/>
      <c r="O145" s="514">
        <f t="shared" si="57"/>
        <v>0</v>
      </c>
      <c r="P145" s="514">
        <f t="shared" si="58"/>
        <v>0</v>
      </c>
      <c r="Q145" s="269"/>
    </row>
    <row r="146" spans="2:17">
      <c r="B146" s="195" t="str">
        <f t="shared" si="59"/>
        <v/>
      </c>
      <c r="C146" s="507">
        <f>IF(D93="","-",+C145+1)</f>
        <v>2059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60"/>
        <v>0</v>
      </c>
      <c r="G146" s="523">
        <f t="shared" si="52"/>
        <v>0</v>
      </c>
      <c r="H146" s="526">
        <f t="shared" si="53"/>
        <v>0</v>
      </c>
      <c r="I146" s="577">
        <f t="shared" si="54"/>
        <v>0</v>
      </c>
      <c r="J146" s="514">
        <f t="shared" si="55"/>
        <v>0</v>
      </c>
      <c r="K146" s="514"/>
      <c r="L146" s="525"/>
      <c r="M146" s="514">
        <f t="shared" si="56"/>
        <v>0</v>
      </c>
      <c r="N146" s="525"/>
      <c r="O146" s="514">
        <f t="shared" si="57"/>
        <v>0</v>
      </c>
      <c r="P146" s="514">
        <f t="shared" si="58"/>
        <v>0</v>
      </c>
      <c r="Q146" s="269"/>
    </row>
    <row r="147" spans="2:17">
      <c r="B147" s="195" t="str">
        <f t="shared" si="59"/>
        <v/>
      </c>
      <c r="C147" s="507">
        <f>IF(D93="","-",+C146+1)</f>
        <v>2060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60"/>
        <v>0</v>
      </c>
      <c r="G147" s="523">
        <f t="shared" si="52"/>
        <v>0</v>
      </c>
      <c r="H147" s="526">
        <f t="shared" si="53"/>
        <v>0</v>
      </c>
      <c r="I147" s="577">
        <f t="shared" si="54"/>
        <v>0</v>
      </c>
      <c r="J147" s="514">
        <f t="shared" si="55"/>
        <v>0</v>
      </c>
      <c r="K147" s="514"/>
      <c r="L147" s="525"/>
      <c r="M147" s="514">
        <f t="shared" si="56"/>
        <v>0</v>
      </c>
      <c r="N147" s="525"/>
      <c r="O147" s="514">
        <f t="shared" si="57"/>
        <v>0</v>
      </c>
      <c r="P147" s="514">
        <f t="shared" si="58"/>
        <v>0</v>
      </c>
      <c r="Q147" s="269"/>
    </row>
    <row r="148" spans="2:17">
      <c r="B148" s="195" t="str">
        <f t="shared" si="59"/>
        <v/>
      </c>
      <c r="C148" s="507">
        <f>IF(D93="","-",+C147+1)</f>
        <v>2061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60"/>
        <v>0</v>
      </c>
      <c r="G148" s="523">
        <f t="shared" si="52"/>
        <v>0</v>
      </c>
      <c r="H148" s="526">
        <f t="shared" si="53"/>
        <v>0</v>
      </c>
      <c r="I148" s="577">
        <f t="shared" si="54"/>
        <v>0</v>
      </c>
      <c r="J148" s="514">
        <f t="shared" si="55"/>
        <v>0</v>
      </c>
      <c r="K148" s="514"/>
      <c r="L148" s="525"/>
      <c r="M148" s="514">
        <f t="shared" si="56"/>
        <v>0</v>
      </c>
      <c r="N148" s="525"/>
      <c r="O148" s="514">
        <f t="shared" si="57"/>
        <v>0</v>
      </c>
      <c r="P148" s="514">
        <f t="shared" si="58"/>
        <v>0</v>
      </c>
      <c r="Q148" s="269"/>
    </row>
    <row r="149" spans="2:17">
      <c r="B149" s="195" t="str">
        <f t="shared" si="59"/>
        <v/>
      </c>
      <c r="C149" s="507">
        <f>IF(D93="","-",+C148+1)</f>
        <v>2062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60"/>
        <v>0</v>
      </c>
      <c r="G149" s="523">
        <f t="shared" si="52"/>
        <v>0</v>
      </c>
      <c r="H149" s="526">
        <f t="shared" si="53"/>
        <v>0</v>
      </c>
      <c r="I149" s="577">
        <f t="shared" si="54"/>
        <v>0</v>
      </c>
      <c r="J149" s="514">
        <f t="shared" si="55"/>
        <v>0</v>
      </c>
      <c r="K149" s="514"/>
      <c r="L149" s="525"/>
      <c r="M149" s="514">
        <f t="shared" si="56"/>
        <v>0</v>
      </c>
      <c r="N149" s="525"/>
      <c r="O149" s="514">
        <f t="shared" si="57"/>
        <v>0</v>
      </c>
      <c r="P149" s="514">
        <f t="shared" si="58"/>
        <v>0</v>
      </c>
      <c r="Q149" s="269"/>
    </row>
    <row r="150" spans="2:17">
      <c r="B150" s="195" t="str">
        <f t="shared" si="59"/>
        <v/>
      </c>
      <c r="C150" s="507">
        <f>IF(D93="","-",+C149+1)</f>
        <v>2063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60"/>
        <v>0</v>
      </c>
      <c r="G150" s="523">
        <f t="shared" si="52"/>
        <v>0</v>
      </c>
      <c r="H150" s="526">
        <f t="shared" si="53"/>
        <v>0</v>
      </c>
      <c r="I150" s="577">
        <f t="shared" si="54"/>
        <v>0</v>
      </c>
      <c r="J150" s="514">
        <f t="shared" si="55"/>
        <v>0</v>
      </c>
      <c r="K150" s="514"/>
      <c r="L150" s="525"/>
      <c r="M150" s="514">
        <f t="shared" si="56"/>
        <v>0</v>
      </c>
      <c r="N150" s="525"/>
      <c r="O150" s="514">
        <f t="shared" si="57"/>
        <v>0</v>
      </c>
      <c r="P150" s="514">
        <f t="shared" si="58"/>
        <v>0</v>
      </c>
      <c r="Q150" s="269"/>
    </row>
    <row r="151" spans="2:17">
      <c r="B151" s="195" t="str">
        <f t="shared" si="59"/>
        <v/>
      </c>
      <c r="C151" s="507">
        <f>IF(D93="","-",+C150+1)</f>
        <v>2064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60"/>
        <v>0</v>
      </c>
      <c r="G151" s="523">
        <f t="shared" si="52"/>
        <v>0</v>
      </c>
      <c r="H151" s="526">
        <f t="shared" si="53"/>
        <v>0</v>
      </c>
      <c r="I151" s="577">
        <f t="shared" si="54"/>
        <v>0</v>
      </c>
      <c r="J151" s="514">
        <f t="shared" si="55"/>
        <v>0</v>
      </c>
      <c r="K151" s="514"/>
      <c r="L151" s="525"/>
      <c r="M151" s="514">
        <f t="shared" si="56"/>
        <v>0</v>
      </c>
      <c r="N151" s="525"/>
      <c r="O151" s="514">
        <f t="shared" si="57"/>
        <v>0</v>
      </c>
      <c r="P151" s="514">
        <f t="shared" si="58"/>
        <v>0</v>
      </c>
      <c r="Q151" s="269"/>
    </row>
    <row r="152" spans="2:17">
      <c r="B152" s="195" t="str">
        <f t="shared" si="59"/>
        <v/>
      </c>
      <c r="C152" s="507">
        <f>IF(D93="","-",+C151+1)</f>
        <v>2065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60"/>
        <v>0</v>
      </c>
      <c r="G152" s="523">
        <f t="shared" si="52"/>
        <v>0</v>
      </c>
      <c r="H152" s="526">
        <f t="shared" si="53"/>
        <v>0</v>
      </c>
      <c r="I152" s="577">
        <f t="shared" si="54"/>
        <v>0</v>
      </c>
      <c r="J152" s="514">
        <f t="shared" si="55"/>
        <v>0</v>
      </c>
      <c r="K152" s="514"/>
      <c r="L152" s="525"/>
      <c r="M152" s="514">
        <f t="shared" si="56"/>
        <v>0</v>
      </c>
      <c r="N152" s="525"/>
      <c r="O152" s="514">
        <f t="shared" si="57"/>
        <v>0</v>
      </c>
      <c r="P152" s="514">
        <f t="shared" si="58"/>
        <v>0</v>
      </c>
      <c r="Q152" s="269"/>
    </row>
    <row r="153" spans="2:17">
      <c r="B153" s="195" t="str">
        <f t="shared" si="59"/>
        <v/>
      </c>
      <c r="C153" s="507">
        <f>IF(D93="","-",+C152+1)</f>
        <v>2066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60"/>
        <v>0</v>
      </c>
      <c r="G153" s="523">
        <f t="shared" si="52"/>
        <v>0</v>
      </c>
      <c r="H153" s="526">
        <f t="shared" si="53"/>
        <v>0</v>
      </c>
      <c r="I153" s="577">
        <f t="shared" si="54"/>
        <v>0</v>
      </c>
      <c r="J153" s="514">
        <f t="shared" si="55"/>
        <v>0</v>
      </c>
      <c r="K153" s="514"/>
      <c r="L153" s="525"/>
      <c r="M153" s="514">
        <f t="shared" si="56"/>
        <v>0</v>
      </c>
      <c r="N153" s="525"/>
      <c r="O153" s="514">
        <f t="shared" si="57"/>
        <v>0</v>
      </c>
      <c r="P153" s="514">
        <f t="shared" si="58"/>
        <v>0</v>
      </c>
      <c r="Q153" s="269"/>
    </row>
    <row r="154" spans="2:17" ht="13.5" thickBot="1">
      <c r="B154" s="195" t="str">
        <f t="shared" si="59"/>
        <v/>
      </c>
      <c r="C154" s="527">
        <f>IF(D93="","-",+C153+1)</f>
        <v>2067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60"/>
        <v>0</v>
      </c>
      <c r="G154" s="528">
        <f t="shared" si="52"/>
        <v>0</v>
      </c>
      <c r="H154" s="530">
        <f t="shared" si="53"/>
        <v>0</v>
      </c>
      <c r="I154" s="579">
        <f t="shared" si="54"/>
        <v>0</v>
      </c>
      <c r="J154" s="533">
        <f t="shared" si="55"/>
        <v>0</v>
      </c>
      <c r="K154" s="514"/>
      <c r="L154" s="532"/>
      <c r="M154" s="533">
        <f t="shared" si="56"/>
        <v>0</v>
      </c>
      <c r="N154" s="532"/>
      <c r="O154" s="533">
        <f t="shared" si="57"/>
        <v>0</v>
      </c>
      <c r="P154" s="533">
        <f t="shared" si="58"/>
        <v>0</v>
      </c>
      <c r="Q154" s="269"/>
    </row>
    <row r="155" spans="2:17">
      <c r="C155" s="374" t="s">
        <v>78</v>
      </c>
      <c r="D155" s="375"/>
      <c r="E155" s="375">
        <f>SUM(E99:E154)</f>
        <v>5268479</v>
      </c>
      <c r="F155" s="375"/>
      <c r="G155" s="375"/>
      <c r="H155" s="375">
        <f>SUM(H99:H154)</f>
        <v>18099849.801711414</v>
      </c>
      <c r="I155" s="375">
        <f>SUM(I99:I154)</f>
        <v>18099849.801711414</v>
      </c>
      <c r="J155" s="375">
        <f>SUM(J99:J154)</f>
        <v>0</v>
      </c>
      <c r="K155" s="375"/>
      <c r="L155" s="375"/>
      <c r="M155" s="375"/>
      <c r="N155" s="375"/>
      <c r="O155" s="375"/>
      <c r="P155" s="269"/>
      <c r="Q155" s="269"/>
    </row>
    <row r="156" spans="2:17"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  <c r="Q156" s="269"/>
    </row>
    <row r="157" spans="2:17">
      <c r="C157" s="580" t="s">
        <v>92</v>
      </c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  <c r="Q157" s="269"/>
    </row>
    <row r="158" spans="2:17"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  <c r="Q158" s="269"/>
    </row>
    <row r="159" spans="2:17">
      <c r="C159" s="534" t="s">
        <v>97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  <c r="Q159" s="269"/>
    </row>
    <row r="160" spans="2:17">
      <c r="C160" s="581" t="s">
        <v>79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  <c r="Q160" s="269"/>
    </row>
    <row r="161" spans="3:17">
      <c r="C161" s="581" t="s">
        <v>80</v>
      </c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  <c r="Q161" s="269"/>
    </row>
    <row r="162" spans="3:17" ht="18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454" t="s">
        <v>131</v>
      </c>
      <c r="Q162" s="269"/>
    </row>
  </sheetData>
  <phoneticPr fontId="0" type="noConversion"/>
  <conditionalFormatting sqref="C17:C72">
    <cfRule type="cellIs" dxfId="107" priority="1" stopIfTrue="1" operator="equal">
      <formula>$I$10</formula>
    </cfRule>
  </conditionalFormatting>
  <conditionalFormatting sqref="C99:C154">
    <cfRule type="cellIs" dxfId="106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80"/>
  <dimension ref="A1:Q162"/>
  <sheetViews>
    <sheetView topLeftCell="A92" zoomScaleNormal="100" zoomScaleSheetLayoutView="75" workbookViewId="0">
      <selection activeCell="D99" sqref="D99:I109"/>
    </sheetView>
  </sheetViews>
  <sheetFormatPr defaultColWidth="8.7109375" defaultRowHeight="12.75" customHeight="1"/>
  <cols>
    <col min="1" max="1" width="4.7109375" style="183" customWidth="1"/>
    <col min="2" max="2" width="6.7109375" style="183" customWidth="1"/>
    <col min="3" max="3" width="23.28515625" style="183" customWidth="1"/>
    <col min="4" max="8" width="17.7109375" style="183" customWidth="1"/>
    <col min="9" max="9" width="20.42578125" style="183" customWidth="1"/>
    <col min="10" max="10" width="16.42578125" style="183" customWidth="1"/>
    <col min="11" max="11" width="17.7109375" style="183" customWidth="1"/>
    <col min="12" max="12" width="16.140625" style="183" customWidth="1"/>
    <col min="13" max="13" width="17.7109375" style="183" customWidth="1"/>
    <col min="14" max="14" width="16.140625" style="183" customWidth="1"/>
    <col min="15" max="15" width="16.85546875" style="183" customWidth="1"/>
    <col min="16" max="16" width="24.42578125" style="183" customWidth="1"/>
    <col min="17" max="17" width="4.7109375" style="183" customWidth="1"/>
    <col min="18" max="22" width="8.7109375" style="183"/>
    <col min="23" max="23" width="9.140625" style="183" customWidth="1"/>
    <col min="24" max="16384" width="8.7109375" style="183"/>
  </cols>
  <sheetData>
    <row r="1" spans="1:17" ht="20.25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29 of 75</v>
      </c>
      <c r="Q1" s="453"/>
    </row>
    <row r="2" spans="1:17" ht="18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454" t="s">
        <v>129</v>
      </c>
    </row>
    <row r="3" spans="1:17" ht="18.75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 t="str">
        <f>RIGHT(N3,3)</f>
        <v/>
      </c>
      <c r="P3" s="455">
        <v>1</v>
      </c>
    </row>
    <row r="4" spans="1:17" ht="15.75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7" ht="1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205957.48812840792</v>
      </c>
      <c r="P5" s="269"/>
    </row>
    <row r="6" spans="1:17" ht="15.7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205957.48812840792</v>
      </c>
      <c r="O6" s="269"/>
      <c r="P6" s="269"/>
    </row>
    <row r="7" spans="1:17" ht="13.5" thickBot="1">
      <c r="C7" s="467" t="s">
        <v>48</v>
      </c>
      <c r="D7" s="620" t="s">
        <v>282</v>
      </c>
      <c r="E7" s="269"/>
      <c r="F7" s="269"/>
      <c r="G7" s="534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7" ht="13.5" thickBot="1">
      <c r="C8" s="472"/>
      <c r="D8" s="599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7" ht="13.5" thickBot="1">
      <c r="A9" s="191"/>
      <c r="C9" s="476" t="s">
        <v>50</v>
      </c>
      <c r="D9" s="621" t="s">
        <v>281</v>
      </c>
      <c r="E9" s="666" t="s">
        <v>490</v>
      </c>
      <c r="F9" s="478"/>
      <c r="G9" s="478"/>
      <c r="H9" s="478"/>
      <c r="I9" s="479"/>
      <c r="J9" s="480"/>
      <c r="O9" s="481"/>
      <c r="P9" s="272"/>
    </row>
    <row r="10" spans="1:17">
      <c r="C10" s="482" t="s">
        <v>51</v>
      </c>
      <c r="D10" s="483">
        <v>1881887</v>
      </c>
      <c r="E10" s="353" t="s">
        <v>52</v>
      </c>
      <c r="F10" s="481"/>
      <c r="G10" s="484"/>
      <c r="H10" s="484"/>
      <c r="I10" s="485">
        <f>+'SWE.WS.F.BPU.ATRR.Projected'!L19</f>
        <v>2024</v>
      </c>
      <c r="J10" s="480"/>
      <c r="K10" s="375" t="s">
        <v>53</v>
      </c>
      <c r="O10" s="272"/>
      <c r="P10" s="272"/>
    </row>
    <row r="11" spans="1:17">
      <c r="C11" s="486" t="s">
        <v>54</v>
      </c>
      <c r="D11" s="487">
        <v>2012</v>
      </c>
      <c r="E11" s="486" t="s">
        <v>55</v>
      </c>
      <c r="F11" s="484"/>
      <c r="G11" s="233"/>
      <c r="H11" s="233"/>
      <c r="I11" s="488"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7">
      <c r="C12" s="486" t="s">
        <v>56</v>
      </c>
      <c r="D12" s="483">
        <v>12</v>
      </c>
      <c r="E12" s="486" t="s">
        <v>57</v>
      </c>
      <c r="F12" s="484"/>
      <c r="G12" s="233"/>
      <c r="H12" s="233"/>
      <c r="I12" s="490">
        <f>'SWE.WS.F.BPU.ATRR.Projected'!$F$81</f>
        <v>0.11952713165403545</v>
      </c>
      <c r="J12" s="425"/>
      <c r="K12" s="183" t="s">
        <v>58</v>
      </c>
      <c r="O12" s="272"/>
      <c r="P12" s="272"/>
    </row>
    <row r="13" spans="1:17">
      <c r="C13" s="486" t="s">
        <v>59</v>
      </c>
      <c r="D13" s="488">
        <f>+'SWE.WS.F.BPU.ATRR.Projected'!F$93</f>
        <v>44</v>
      </c>
      <c r="E13" s="486" t="s">
        <v>60</v>
      </c>
      <c r="F13" s="484"/>
      <c r="G13" s="233"/>
      <c r="H13" s="233"/>
      <c r="I13" s="490">
        <f>IF(G5="",I12,'SWE.WS.F.BPU.ATRR.Projected'!$F$80)</f>
        <v>0.11952713165403545</v>
      </c>
      <c r="J13" s="425"/>
      <c r="K13" s="375" t="s">
        <v>61</v>
      </c>
      <c r="L13" s="324"/>
      <c r="M13" s="324"/>
      <c r="N13" s="324"/>
      <c r="O13" s="272"/>
      <c r="P13" s="272"/>
    </row>
    <row r="14" spans="1:17" ht="13.5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42770.159090909088</v>
      </c>
      <c r="J14" s="375"/>
      <c r="K14" s="375"/>
      <c r="L14" s="375"/>
      <c r="M14" s="375"/>
      <c r="N14" s="375"/>
      <c r="O14" s="272"/>
      <c r="P14" s="272"/>
    </row>
    <row r="15" spans="1:17" ht="38.25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388</v>
      </c>
      <c r="H15" s="495" t="s">
        <v>389</v>
      </c>
      <c r="I15" s="496" t="s">
        <v>260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7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>
      <c r="C17" s="507">
        <f>IF(D11= "","-",D11)</f>
        <v>2012</v>
      </c>
      <c r="D17" s="508">
        <v>1521900</v>
      </c>
      <c r="E17" s="509">
        <v>0</v>
      </c>
      <c r="F17" s="508">
        <v>1521900</v>
      </c>
      <c r="G17" s="509">
        <v>226337.18116854847</v>
      </c>
      <c r="H17" s="510">
        <v>226337.18116854847</v>
      </c>
      <c r="I17" s="517">
        <v>0</v>
      </c>
      <c r="J17" s="511"/>
      <c r="K17" s="512">
        <f t="shared" ref="K17:K22" si="0">G17</f>
        <v>226337.18116854847</v>
      </c>
      <c r="L17" s="597">
        <f t="shared" ref="L17:L48" si="1">IF(K17&lt;&gt;0,+G17-K17,0)</f>
        <v>0</v>
      </c>
      <c r="M17" s="512">
        <f t="shared" ref="M17:M22" si="2">H17</f>
        <v>226337.18116854847</v>
      </c>
      <c r="N17" s="513">
        <f t="shared" ref="N17:N48" si="3">IF(M17&lt;&gt;0,+H17-M17,0)</f>
        <v>0</v>
      </c>
      <c r="O17" s="514">
        <f t="shared" ref="O17:O48" si="4">+N17-L17</f>
        <v>0</v>
      </c>
      <c r="P17" s="272"/>
    </row>
    <row r="18" spans="2:16">
      <c r="B18" s="195" t="str">
        <f t="shared" ref="B18:B49" si="5">IF(D18=F17,"","IU")</f>
        <v>IU</v>
      </c>
      <c r="C18" s="507">
        <f>IF(D11="","-",+C17+1)</f>
        <v>2013</v>
      </c>
      <c r="D18" s="608">
        <v>1886753</v>
      </c>
      <c r="E18" s="609">
        <v>44922.690476190473</v>
      </c>
      <c r="F18" s="608">
        <v>1841830.3095238095</v>
      </c>
      <c r="G18" s="609">
        <v>302755.14118520013</v>
      </c>
      <c r="H18" s="610">
        <v>302755.14118520013</v>
      </c>
      <c r="I18" s="596">
        <v>0</v>
      </c>
      <c r="J18" s="511"/>
      <c r="K18" s="518">
        <f t="shared" si="0"/>
        <v>302755.14118520013</v>
      </c>
      <c r="L18" s="519">
        <f t="shared" ref="L18:L23" si="6">IF(K18&lt;&gt;0,+G18-K18,0)</f>
        <v>0</v>
      </c>
      <c r="M18" s="518">
        <f t="shared" si="2"/>
        <v>302755.14118520013</v>
      </c>
      <c r="N18" s="514">
        <f t="shared" ref="N18:N23" si="7">IF(M18&lt;&gt;0,+H18-M18,0)</f>
        <v>0</v>
      </c>
      <c r="O18" s="514">
        <f t="shared" ref="O18:O23" si="8">+N18-L18</f>
        <v>0</v>
      </c>
      <c r="P18" s="272"/>
    </row>
    <row r="19" spans="2:16">
      <c r="B19" s="195" t="str">
        <f t="shared" si="5"/>
        <v>IU</v>
      </c>
      <c r="C19" s="507">
        <f>IF(D11="","-",+C18+1)</f>
        <v>2014</v>
      </c>
      <c r="D19" s="608">
        <v>1836964.3095238095</v>
      </c>
      <c r="E19" s="609">
        <v>44806.833333333336</v>
      </c>
      <c r="F19" s="608">
        <v>1792157.4761904762</v>
      </c>
      <c r="G19" s="609">
        <v>286587.70931021811</v>
      </c>
      <c r="H19" s="610">
        <v>286587.70931021811</v>
      </c>
      <c r="I19" s="596">
        <v>0</v>
      </c>
      <c r="J19" s="511"/>
      <c r="K19" s="518">
        <f t="shared" si="0"/>
        <v>286587.70931021811</v>
      </c>
      <c r="L19" s="519">
        <f t="shared" si="6"/>
        <v>0</v>
      </c>
      <c r="M19" s="518">
        <f t="shared" si="2"/>
        <v>286587.70931021811</v>
      </c>
      <c r="N19" s="514">
        <f t="shared" si="7"/>
        <v>0</v>
      </c>
      <c r="O19" s="514">
        <f t="shared" si="8"/>
        <v>0</v>
      </c>
      <c r="P19" s="272"/>
    </row>
    <row r="20" spans="2:16">
      <c r="B20" s="195" t="str">
        <f t="shared" si="5"/>
        <v/>
      </c>
      <c r="C20" s="507">
        <f>IF(D11="","-",+C19+1)</f>
        <v>2015</v>
      </c>
      <c r="D20" s="608">
        <v>1792157.4761904762</v>
      </c>
      <c r="E20" s="609">
        <v>44806.833333333336</v>
      </c>
      <c r="F20" s="608">
        <v>1747350.642857143</v>
      </c>
      <c r="G20" s="609">
        <v>274941.30198456615</v>
      </c>
      <c r="H20" s="610">
        <v>274941.30198456615</v>
      </c>
      <c r="I20" s="511">
        <v>0</v>
      </c>
      <c r="J20" s="511"/>
      <c r="K20" s="518">
        <f t="shared" si="0"/>
        <v>274941.30198456615</v>
      </c>
      <c r="L20" s="519">
        <f t="shared" si="6"/>
        <v>0</v>
      </c>
      <c r="M20" s="518">
        <f t="shared" si="2"/>
        <v>274941.30198456615</v>
      </c>
      <c r="N20" s="514">
        <f t="shared" si="7"/>
        <v>0</v>
      </c>
      <c r="O20" s="514">
        <f t="shared" si="8"/>
        <v>0</v>
      </c>
      <c r="P20" s="272"/>
    </row>
    <row r="21" spans="2:16">
      <c r="B21" s="195" t="str">
        <f t="shared" si="5"/>
        <v/>
      </c>
      <c r="C21" s="507">
        <f>IF(D12="","-",+C20+1)</f>
        <v>2016</v>
      </c>
      <c r="D21" s="608">
        <v>1747350.642857143</v>
      </c>
      <c r="E21" s="609">
        <v>44806.833333333336</v>
      </c>
      <c r="F21" s="608">
        <v>1702543.8095238097</v>
      </c>
      <c r="G21" s="609">
        <v>266273.68954480469</v>
      </c>
      <c r="H21" s="610">
        <v>266273.68954480469</v>
      </c>
      <c r="I21" s="511">
        <f t="shared" ref="I21:I48" si="9">H21-G21</f>
        <v>0</v>
      </c>
      <c r="J21" s="511"/>
      <c r="K21" s="518">
        <f t="shared" si="0"/>
        <v>266273.68954480469</v>
      </c>
      <c r="L21" s="519">
        <f t="shared" si="6"/>
        <v>0</v>
      </c>
      <c r="M21" s="518">
        <f t="shared" si="2"/>
        <v>266273.68954480469</v>
      </c>
      <c r="N21" s="514">
        <f t="shared" si="7"/>
        <v>0</v>
      </c>
      <c r="O21" s="514">
        <f t="shared" si="8"/>
        <v>0</v>
      </c>
      <c r="P21" s="272"/>
    </row>
    <row r="22" spans="2:16">
      <c r="B22" s="195" t="str">
        <f t="shared" si="5"/>
        <v/>
      </c>
      <c r="C22" s="507">
        <f>IF(D11="","-",+C21+1)</f>
        <v>2017</v>
      </c>
      <c r="D22" s="608">
        <v>1702543.8095238097</v>
      </c>
      <c r="E22" s="609">
        <v>43764.813953488374</v>
      </c>
      <c r="F22" s="608">
        <v>1658778.9955703213</v>
      </c>
      <c r="G22" s="609">
        <v>251986.21326636171</v>
      </c>
      <c r="H22" s="610">
        <v>251986.21326636171</v>
      </c>
      <c r="I22" s="511">
        <f t="shared" si="9"/>
        <v>0</v>
      </c>
      <c r="J22" s="511"/>
      <c r="K22" s="518">
        <f t="shared" si="0"/>
        <v>251986.21326636171</v>
      </c>
      <c r="L22" s="519">
        <f t="shared" si="6"/>
        <v>0</v>
      </c>
      <c r="M22" s="518">
        <f t="shared" si="2"/>
        <v>251986.21326636171</v>
      </c>
      <c r="N22" s="514">
        <f t="shared" si="7"/>
        <v>0</v>
      </c>
      <c r="O22" s="514">
        <f t="shared" si="8"/>
        <v>0</v>
      </c>
      <c r="P22" s="272"/>
    </row>
    <row r="23" spans="2:16">
      <c r="B23" s="195" t="str">
        <f t="shared" si="5"/>
        <v/>
      </c>
      <c r="C23" s="507">
        <f>IF(D11="","-",+C22+1)</f>
        <v>2018</v>
      </c>
      <c r="D23" s="608">
        <v>1658778.9955703213</v>
      </c>
      <c r="E23" s="609">
        <v>45899.682926829271</v>
      </c>
      <c r="F23" s="608">
        <v>1612879.3126434921</v>
      </c>
      <c r="G23" s="609">
        <v>253803.9152686233</v>
      </c>
      <c r="H23" s="610">
        <v>253803.9152686233</v>
      </c>
      <c r="I23" s="511">
        <f t="shared" si="9"/>
        <v>0</v>
      </c>
      <c r="J23" s="511"/>
      <c r="K23" s="518">
        <f t="shared" ref="K23:K28" si="10">G23</f>
        <v>253803.9152686233</v>
      </c>
      <c r="L23" s="519">
        <f t="shared" si="6"/>
        <v>0</v>
      </c>
      <c r="M23" s="518">
        <f t="shared" ref="M23:M28" si="11">H23</f>
        <v>253803.9152686233</v>
      </c>
      <c r="N23" s="514">
        <f t="shared" si="7"/>
        <v>0</v>
      </c>
      <c r="O23" s="514">
        <f t="shared" si="8"/>
        <v>0</v>
      </c>
      <c r="P23" s="272"/>
    </row>
    <row r="24" spans="2:16">
      <c r="B24" s="195" t="str">
        <f t="shared" si="5"/>
        <v/>
      </c>
      <c r="C24" s="507">
        <f>IF(D11="","-",+C23+1)</f>
        <v>2019</v>
      </c>
      <c r="D24" s="608">
        <v>1612879.3126434921</v>
      </c>
      <c r="E24" s="609">
        <v>45899.682926829271</v>
      </c>
      <c r="F24" s="608">
        <v>1566979.6297166629</v>
      </c>
      <c r="G24" s="609">
        <v>247970.33642594516</v>
      </c>
      <c r="H24" s="610">
        <v>247970.33642594516</v>
      </c>
      <c r="I24" s="511">
        <f t="shared" si="9"/>
        <v>0</v>
      </c>
      <c r="J24" s="511"/>
      <c r="K24" s="518">
        <f t="shared" si="10"/>
        <v>247970.33642594516</v>
      </c>
      <c r="L24" s="519">
        <f t="shared" ref="L24" si="12">IF(K24&lt;&gt;0,+G24-K24,0)</f>
        <v>0</v>
      </c>
      <c r="M24" s="518">
        <f t="shared" si="11"/>
        <v>247970.33642594516</v>
      </c>
      <c r="N24" s="514">
        <f t="shared" si="3"/>
        <v>0</v>
      </c>
      <c r="O24" s="514">
        <f t="shared" si="4"/>
        <v>0</v>
      </c>
      <c r="P24" s="272"/>
    </row>
    <row r="25" spans="2:16">
      <c r="B25" s="195" t="str">
        <f t="shared" si="5"/>
        <v/>
      </c>
      <c r="C25" s="507">
        <f>IF(D11="","-",+C24+1)</f>
        <v>2020</v>
      </c>
      <c r="D25" s="608">
        <v>1566979.6297166629</v>
      </c>
      <c r="E25" s="609">
        <v>45899.682926829271</v>
      </c>
      <c r="F25" s="608">
        <v>1521079.9467898337</v>
      </c>
      <c r="G25" s="609">
        <v>203908.67428410932</v>
      </c>
      <c r="H25" s="610">
        <v>203908.67428410932</v>
      </c>
      <c r="I25" s="511">
        <f t="shared" si="9"/>
        <v>0</v>
      </c>
      <c r="J25" s="511"/>
      <c r="K25" s="518">
        <f t="shared" si="10"/>
        <v>203908.67428410932</v>
      </c>
      <c r="L25" s="519">
        <f t="shared" ref="L25" si="13">IF(K25&lt;&gt;0,+G25-K25,0)</f>
        <v>0</v>
      </c>
      <c r="M25" s="518">
        <f t="shared" si="11"/>
        <v>203908.67428410932</v>
      </c>
      <c r="N25" s="514">
        <f t="shared" si="3"/>
        <v>0</v>
      </c>
      <c r="O25" s="514">
        <f t="shared" si="4"/>
        <v>0</v>
      </c>
      <c r="P25" s="272"/>
    </row>
    <row r="26" spans="2:16">
      <c r="B26" s="195" t="str">
        <f t="shared" si="5"/>
        <v>IU</v>
      </c>
      <c r="C26" s="507">
        <f>IF(D11="","-",+C25+1)</f>
        <v>2021</v>
      </c>
      <c r="D26" s="608">
        <v>1523214.8157631741</v>
      </c>
      <c r="E26" s="609">
        <v>44806.833333333336</v>
      </c>
      <c r="F26" s="608">
        <v>1478407.9824298408</v>
      </c>
      <c r="G26" s="609">
        <v>203899.66288933976</v>
      </c>
      <c r="H26" s="610">
        <v>203899.66288933976</v>
      </c>
      <c r="I26" s="511">
        <f t="shared" si="9"/>
        <v>0</v>
      </c>
      <c r="J26" s="511"/>
      <c r="K26" s="518">
        <f t="shared" si="10"/>
        <v>203899.66288933976</v>
      </c>
      <c r="L26" s="519">
        <f t="shared" ref="L26" si="14">IF(K26&lt;&gt;0,+G26-K26,0)</f>
        <v>0</v>
      </c>
      <c r="M26" s="518">
        <f t="shared" si="11"/>
        <v>203899.66288933976</v>
      </c>
      <c r="N26" s="514">
        <f t="shared" si="3"/>
        <v>0</v>
      </c>
      <c r="O26" s="514">
        <f t="shared" si="4"/>
        <v>0</v>
      </c>
      <c r="P26" s="272"/>
    </row>
    <row r="27" spans="2:16">
      <c r="B27" s="195" t="str">
        <f t="shared" si="5"/>
        <v>IU</v>
      </c>
      <c r="C27" s="507">
        <f>IF(D11="","-",+C26+1)</f>
        <v>2022</v>
      </c>
      <c r="D27" s="608">
        <v>1476273.1134565</v>
      </c>
      <c r="E27" s="609">
        <v>44806.833333333336</v>
      </c>
      <c r="F27" s="608">
        <v>1431466.2801231667</v>
      </c>
      <c r="G27" s="609">
        <v>208285.89837452956</v>
      </c>
      <c r="H27" s="610">
        <v>208285.89837452956</v>
      </c>
      <c r="I27" s="511">
        <f t="shared" si="9"/>
        <v>0</v>
      </c>
      <c r="J27" s="511"/>
      <c r="K27" s="518">
        <f t="shared" si="10"/>
        <v>208285.89837452956</v>
      </c>
      <c r="L27" s="519">
        <f t="shared" ref="L27" si="15">IF(K27&lt;&gt;0,+G27-K27,0)</f>
        <v>0</v>
      </c>
      <c r="M27" s="518">
        <f t="shared" si="11"/>
        <v>208285.89837452956</v>
      </c>
      <c r="N27" s="514">
        <f t="shared" si="3"/>
        <v>0</v>
      </c>
      <c r="O27" s="514">
        <f t="shared" si="4"/>
        <v>0</v>
      </c>
      <c r="P27" s="272"/>
    </row>
    <row r="28" spans="2:16">
      <c r="B28" s="195" t="str">
        <f t="shared" si="5"/>
        <v/>
      </c>
      <c r="C28" s="507">
        <f>IF(D11="","-",+C27+1)</f>
        <v>2023</v>
      </c>
      <c r="D28" s="608">
        <v>1431466.2801231667</v>
      </c>
      <c r="E28" s="609">
        <v>44806.833333333336</v>
      </c>
      <c r="F28" s="608">
        <v>1386659.4467898335</v>
      </c>
      <c r="G28" s="609">
        <v>222809.21893516878</v>
      </c>
      <c r="H28" s="610">
        <v>222809.21893516878</v>
      </c>
      <c r="I28" s="511">
        <f t="shared" si="9"/>
        <v>0</v>
      </c>
      <c r="J28" s="511"/>
      <c r="K28" s="518">
        <f t="shared" si="10"/>
        <v>222809.21893516878</v>
      </c>
      <c r="L28" s="519">
        <f t="shared" ref="L28" si="16">IF(K28&lt;&gt;0,+G28-K28,0)</f>
        <v>0</v>
      </c>
      <c r="M28" s="518">
        <f t="shared" si="11"/>
        <v>222809.21893516878</v>
      </c>
      <c r="N28" s="514">
        <f t="shared" ref="N28" si="17">IF(M28&lt;&gt;0,+H28-M28,0)</f>
        <v>0</v>
      </c>
      <c r="O28" s="514">
        <f t="shared" ref="O28" si="18">+N28-L28</f>
        <v>0</v>
      </c>
      <c r="P28" s="272"/>
    </row>
    <row r="29" spans="2:16">
      <c r="B29" s="195" t="str">
        <f t="shared" si="5"/>
        <v/>
      </c>
      <c r="C29" s="673">
        <f>IF(D11="","-",+C28+1)</f>
        <v>2024</v>
      </c>
      <c r="D29" s="523">
        <f>IF(F28+SUM(E$17:E28)=D$10,F28,D$10-SUM(E$17:E28))</f>
        <v>1386659.4467898335</v>
      </c>
      <c r="E29" s="522">
        <f>IF(+I14&lt;F28,I14,D29)</f>
        <v>42770.159090909088</v>
      </c>
      <c r="F29" s="523">
        <f t="shared" ref="F29:F48" si="19">+D29-E29</f>
        <v>1343889.2876989243</v>
      </c>
      <c r="G29" s="524">
        <f t="shared" ref="G29:G53" si="20">+I$12*((D29+F29)/2)+E29</f>
        <v>205957.48812840792</v>
      </c>
      <c r="H29" s="491">
        <f t="shared" ref="H29:H53" si="21">+I$13*((D29+F29)/2)+E29</f>
        <v>205957.48812840792</v>
      </c>
      <c r="I29" s="511">
        <f t="shared" si="9"/>
        <v>0</v>
      </c>
      <c r="J29" s="511"/>
      <c r="K29" s="525"/>
      <c r="L29" s="514">
        <f t="shared" si="1"/>
        <v>0</v>
      </c>
      <c r="M29" s="525"/>
      <c r="N29" s="514">
        <f t="shared" si="3"/>
        <v>0</v>
      </c>
      <c r="O29" s="514">
        <f t="shared" si="4"/>
        <v>0</v>
      </c>
      <c r="P29" s="272"/>
    </row>
    <row r="30" spans="2:16">
      <c r="B30" s="195" t="str">
        <f t="shared" si="5"/>
        <v/>
      </c>
      <c r="C30" s="507">
        <f>IF(D11="","-",+C29+1)</f>
        <v>2025</v>
      </c>
      <c r="D30" s="523">
        <f>IF(F29+SUM(E$17:E29)=D$10,F29,D$10-SUM(E$17:E29))</f>
        <v>1343889.2876989243</v>
      </c>
      <c r="E30" s="522">
        <f>IF(+I14&lt;F29,I14,D30)</f>
        <v>42770.159090909088</v>
      </c>
      <c r="F30" s="523">
        <f t="shared" si="19"/>
        <v>1301119.1286080151</v>
      </c>
      <c r="G30" s="524">
        <f t="shared" si="20"/>
        <v>200845.29369188476</v>
      </c>
      <c r="H30" s="491">
        <f t="shared" si="21"/>
        <v>200845.29369188476</v>
      </c>
      <c r="I30" s="511">
        <f t="shared" si="9"/>
        <v>0</v>
      </c>
      <c r="J30" s="511"/>
      <c r="K30" s="525"/>
      <c r="L30" s="514">
        <f t="shared" si="1"/>
        <v>0</v>
      </c>
      <c r="M30" s="525"/>
      <c r="N30" s="514">
        <f t="shared" si="3"/>
        <v>0</v>
      </c>
      <c r="O30" s="514">
        <f t="shared" si="4"/>
        <v>0</v>
      </c>
      <c r="P30" s="272"/>
    </row>
    <row r="31" spans="2:16">
      <c r="B31" s="195" t="str">
        <f t="shared" si="5"/>
        <v/>
      </c>
      <c r="C31" s="507">
        <f>IF(D11="","-",+C30+1)</f>
        <v>2026</v>
      </c>
      <c r="D31" s="523">
        <f>IF(F30+SUM(E$17:E30)=D$10,F30,D$10-SUM(E$17:E30))</f>
        <v>1301119.1286080151</v>
      </c>
      <c r="E31" s="522">
        <f>IF(+I14&lt;F30,I14,D31)</f>
        <v>42770.159090909088</v>
      </c>
      <c r="F31" s="523">
        <f t="shared" si="19"/>
        <v>1258348.969517106</v>
      </c>
      <c r="G31" s="524">
        <f t="shared" si="20"/>
        <v>195733.09925536162</v>
      </c>
      <c r="H31" s="491">
        <f t="shared" si="21"/>
        <v>195733.09925536162</v>
      </c>
      <c r="I31" s="511">
        <f t="shared" si="9"/>
        <v>0</v>
      </c>
      <c r="J31" s="511"/>
      <c r="K31" s="525"/>
      <c r="L31" s="514">
        <f t="shared" si="1"/>
        <v>0</v>
      </c>
      <c r="M31" s="525"/>
      <c r="N31" s="514">
        <f t="shared" si="3"/>
        <v>0</v>
      </c>
      <c r="O31" s="514">
        <f t="shared" si="4"/>
        <v>0</v>
      </c>
      <c r="P31" s="272"/>
    </row>
    <row r="32" spans="2:16">
      <c r="B32" s="195" t="str">
        <f t="shared" si="5"/>
        <v/>
      </c>
      <c r="C32" s="507">
        <f>IF(D11="","-",+C31+1)</f>
        <v>2027</v>
      </c>
      <c r="D32" s="523">
        <f>IF(F31+SUM(E$17:E31)=D$10,F31,D$10-SUM(E$17:E31))</f>
        <v>1258348.969517106</v>
      </c>
      <c r="E32" s="522">
        <f>IF(+I14&lt;F31,I14,D32)</f>
        <v>42770.159090909088</v>
      </c>
      <c r="F32" s="523">
        <f t="shared" si="19"/>
        <v>1215578.8104261968</v>
      </c>
      <c r="G32" s="524">
        <f t="shared" si="20"/>
        <v>190620.90481883849</v>
      </c>
      <c r="H32" s="491">
        <f t="shared" si="21"/>
        <v>190620.90481883849</v>
      </c>
      <c r="I32" s="511">
        <f t="shared" si="9"/>
        <v>0</v>
      </c>
      <c r="J32" s="511"/>
      <c r="K32" s="525"/>
      <c r="L32" s="514">
        <f t="shared" si="1"/>
        <v>0</v>
      </c>
      <c r="M32" s="525"/>
      <c r="N32" s="514">
        <f t="shared" si="3"/>
        <v>0</v>
      </c>
      <c r="O32" s="514">
        <f t="shared" si="4"/>
        <v>0</v>
      </c>
      <c r="P32" s="272"/>
    </row>
    <row r="33" spans="2:16">
      <c r="B33" s="195" t="str">
        <f t="shared" si="5"/>
        <v/>
      </c>
      <c r="C33" s="507">
        <f>IF(D11="","-",+C32+1)</f>
        <v>2028</v>
      </c>
      <c r="D33" s="523">
        <f>IF(F32+SUM(E$17:E32)=D$10,F32,D$10-SUM(E$17:E32))</f>
        <v>1215578.8104261968</v>
      </c>
      <c r="E33" s="522">
        <f>IF(+I14&lt;F32,I14,D33)</f>
        <v>42770.159090909088</v>
      </c>
      <c r="F33" s="523">
        <f t="shared" si="19"/>
        <v>1172808.6513352876</v>
      </c>
      <c r="G33" s="524">
        <f t="shared" si="20"/>
        <v>185508.71038231533</v>
      </c>
      <c r="H33" s="491">
        <f t="shared" si="21"/>
        <v>185508.71038231533</v>
      </c>
      <c r="I33" s="511">
        <f t="shared" si="9"/>
        <v>0</v>
      </c>
      <c r="J33" s="511"/>
      <c r="K33" s="525"/>
      <c r="L33" s="514">
        <f t="shared" si="1"/>
        <v>0</v>
      </c>
      <c r="M33" s="525"/>
      <c r="N33" s="514">
        <f t="shared" si="3"/>
        <v>0</v>
      </c>
      <c r="O33" s="514">
        <f t="shared" si="4"/>
        <v>0</v>
      </c>
      <c r="P33" s="272"/>
    </row>
    <row r="34" spans="2:16">
      <c r="B34" s="195" t="str">
        <f t="shared" si="5"/>
        <v/>
      </c>
      <c r="C34" s="507">
        <f>IF(D11="","-",+C33+1)</f>
        <v>2029</v>
      </c>
      <c r="D34" s="523">
        <f>IF(F33+SUM(E$17:E33)=D$10,F33,D$10-SUM(E$17:E33))</f>
        <v>1172808.6513352876</v>
      </c>
      <c r="E34" s="522">
        <f>IF(+I14&lt;F33,I14,D34)</f>
        <v>42770.159090909088</v>
      </c>
      <c r="F34" s="523">
        <f t="shared" si="19"/>
        <v>1130038.4922443784</v>
      </c>
      <c r="G34" s="524">
        <f t="shared" si="20"/>
        <v>180396.5159457922</v>
      </c>
      <c r="H34" s="491">
        <f t="shared" si="21"/>
        <v>180396.5159457922</v>
      </c>
      <c r="I34" s="511">
        <f t="shared" si="9"/>
        <v>0</v>
      </c>
      <c r="J34" s="511"/>
      <c r="K34" s="525"/>
      <c r="L34" s="514">
        <f t="shared" si="1"/>
        <v>0</v>
      </c>
      <c r="M34" s="525"/>
      <c r="N34" s="514">
        <f t="shared" si="3"/>
        <v>0</v>
      </c>
      <c r="O34" s="514">
        <f t="shared" si="4"/>
        <v>0</v>
      </c>
      <c r="P34" s="272"/>
    </row>
    <row r="35" spans="2:16">
      <c r="B35" s="195" t="str">
        <f t="shared" si="5"/>
        <v/>
      </c>
      <c r="C35" s="507">
        <f>IF(D11="","-",+C34+1)</f>
        <v>2030</v>
      </c>
      <c r="D35" s="523">
        <f>IF(F34+SUM(E$17:E34)=D$10,F34,D$10-SUM(E$17:E34))</f>
        <v>1130038.4922443784</v>
      </c>
      <c r="E35" s="522">
        <f>IF(+I14&lt;F34,I14,D35)</f>
        <v>42770.159090909088</v>
      </c>
      <c r="F35" s="523">
        <f t="shared" si="19"/>
        <v>1087268.3331534693</v>
      </c>
      <c r="G35" s="524">
        <f t="shared" si="20"/>
        <v>175284.32150926904</v>
      </c>
      <c r="H35" s="491">
        <f t="shared" si="21"/>
        <v>175284.32150926904</v>
      </c>
      <c r="I35" s="511">
        <f t="shared" si="9"/>
        <v>0</v>
      </c>
      <c r="J35" s="511"/>
      <c r="K35" s="525"/>
      <c r="L35" s="514">
        <f t="shared" si="1"/>
        <v>0</v>
      </c>
      <c r="M35" s="525"/>
      <c r="N35" s="514">
        <f t="shared" si="3"/>
        <v>0</v>
      </c>
      <c r="O35" s="514">
        <f t="shared" si="4"/>
        <v>0</v>
      </c>
      <c r="P35" s="272"/>
    </row>
    <row r="36" spans="2:16">
      <c r="B36" s="195" t="str">
        <f t="shared" si="5"/>
        <v/>
      </c>
      <c r="C36" s="507">
        <f>IF(D11="","-",+C35+1)</f>
        <v>2031</v>
      </c>
      <c r="D36" s="523">
        <f>IF(F35+SUM(E$17:E35)=D$10,F35,D$10-SUM(E$17:E35))</f>
        <v>1087268.3331534693</v>
      </c>
      <c r="E36" s="522">
        <f>IF(+I14&lt;F35,I14,D36)</f>
        <v>42770.159090909088</v>
      </c>
      <c r="F36" s="523">
        <f t="shared" si="19"/>
        <v>1044498.1740625602</v>
      </c>
      <c r="G36" s="524">
        <f t="shared" si="20"/>
        <v>170172.12707274591</v>
      </c>
      <c r="H36" s="491">
        <f t="shared" si="21"/>
        <v>170172.12707274591</v>
      </c>
      <c r="I36" s="511">
        <f t="shared" si="9"/>
        <v>0</v>
      </c>
      <c r="J36" s="511"/>
      <c r="K36" s="525"/>
      <c r="L36" s="514">
        <f t="shared" si="1"/>
        <v>0</v>
      </c>
      <c r="M36" s="525"/>
      <c r="N36" s="514">
        <f t="shared" si="3"/>
        <v>0</v>
      </c>
      <c r="O36" s="514">
        <f t="shared" si="4"/>
        <v>0</v>
      </c>
      <c r="P36" s="272"/>
    </row>
    <row r="37" spans="2:16">
      <c r="B37" s="195" t="str">
        <f t="shared" si="5"/>
        <v/>
      </c>
      <c r="C37" s="507">
        <f>IF(D11="","-",+C36+1)</f>
        <v>2032</v>
      </c>
      <c r="D37" s="523">
        <f>IF(F36+SUM(E$17:E36)=D$10,F36,D$10-SUM(E$17:E36))</f>
        <v>1044498.1740625602</v>
      </c>
      <c r="E37" s="522">
        <f>IF(+I14&lt;F36,I14,D37)</f>
        <v>42770.159090909088</v>
      </c>
      <c r="F37" s="523">
        <f t="shared" si="19"/>
        <v>1001728.0149716511</v>
      </c>
      <c r="G37" s="524">
        <f t="shared" si="20"/>
        <v>165059.9326362228</v>
      </c>
      <c r="H37" s="491">
        <f t="shared" si="21"/>
        <v>165059.9326362228</v>
      </c>
      <c r="I37" s="511">
        <f t="shared" si="9"/>
        <v>0</v>
      </c>
      <c r="J37" s="511"/>
      <c r="K37" s="525"/>
      <c r="L37" s="514">
        <f t="shared" si="1"/>
        <v>0</v>
      </c>
      <c r="M37" s="525"/>
      <c r="N37" s="514">
        <f t="shared" si="3"/>
        <v>0</v>
      </c>
      <c r="O37" s="514">
        <f t="shared" si="4"/>
        <v>0</v>
      </c>
      <c r="P37" s="272"/>
    </row>
    <row r="38" spans="2:16">
      <c r="B38" s="195" t="str">
        <f t="shared" si="5"/>
        <v/>
      </c>
      <c r="C38" s="507">
        <f>IF(D11="","-",+C37+1)</f>
        <v>2033</v>
      </c>
      <c r="D38" s="523">
        <f>IF(F37+SUM(E$17:E37)=D$10,F37,D$10-SUM(E$17:E37))</f>
        <v>1001728.0149716511</v>
      </c>
      <c r="E38" s="522">
        <f>IF(+I14&lt;F37,I14,D38)</f>
        <v>42770.159090909088</v>
      </c>
      <c r="F38" s="523">
        <f t="shared" si="19"/>
        <v>958957.85588074208</v>
      </c>
      <c r="G38" s="524">
        <f t="shared" si="20"/>
        <v>159947.73819969967</v>
      </c>
      <c r="H38" s="491">
        <f t="shared" si="21"/>
        <v>159947.73819969967</v>
      </c>
      <c r="I38" s="511">
        <f t="shared" si="9"/>
        <v>0</v>
      </c>
      <c r="J38" s="511"/>
      <c r="K38" s="525"/>
      <c r="L38" s="514">
        <f t="shared" si="1"/>
        <v>0</v>
      </c>
      <c r="M38" s="525"/>
      <c r="N38" s="514">
        <f t="shared" si="3"/>
        <v>0</v>
      </c>
      <c r="O38" s="514">
        <f t="shared" si="4"/>
        <v>0</v>
      </c>
      <c r="P38" s="272"/>
    </row>
    <row r="39" spans="2:16">
      <c r="B39" s="195" t="str">
        <f t="shared" si="5"/>
        <v/>
      </c>
      <c r="C39" s="507">
        <f>IF(D11="","-",+C38+1)</f>
        <v>2034</v>
      </c>
      <c r="D39" s="523">
        <f>IF(F38+SUM(E$17:E38)=D$10,F38,D$10-SUM(E$17:E38))</f>
        <v>958957.85588074208</v>
      </c>
      <c r="E39" s="522">
        <f>IF(+I14&lt;F38,I14,D39)</f>
        <v>42770.159090909088</v>
      </c>
      <c r="F39" s="523">
        <f t="shared" si="19"/>
        <v>916187.69678983302</v>
      </c>
      <c r="G39" s="524">
        <f t="shared" si="20"/>
        <v>154835.54376317654</v>
      </c>
      <c r="H39" s="491">
        <f t="shared" si="21"/>
        <v>154835.54376317654</v>
      </c>
      <c r="I39" s="511">
        <f t="shared" si="9"/>
        <v>0</v>
      </c>
      <c r="J39" s="511"/>
      <c r="K39" s="525"/>
      <c r="L39" s="514">
        <f t="shared" si="1"/>
        <v>0</v>
      </c>
      <c r="M39" s="525"/>
      <c r="N39" s="514">
        <f t="shared" si="3"/>
        <v>0</v>
      </c>
      <c r="O39" s="514">
        <f t="shared" si="4"/>
        <v>0</v>
      </c>
      <c r="P39" s="272"/>
    </row>
    <row r="40" spans="2:16">
      <c r="B40" s="195" t="str">
        <f t="shared" si="5"/>
        <v/>
      </c>
      <c r="C40" s="507">
        <f>IF(D11="","-",+C39+1)</f>
        <v>2035</v>
      </c>
      <c r="D40" s="523">
        <f>IF(F39+SUM(E$17:E39)=D$10,F39,D$10-SUM(E$17:E39))</f>
        <v>916187.69678983302</v>
      </c>
      <c r="E40" s="522">
        <f>IF(+I14&lt;F39,I14,D40)</f>
        <v>42770.159090909088</v>
      </c>
      <c r="F40" s="523">
        <f t="shared" si="19"/>
        <v>873417.53769892396</v>
      </c>
      <c r="G40" s="524">
        <f t="shared" si="20"/>
        <v>149723.34932665341</v>
      </c>
      <c r="H40" s="491">
        <f t="shared" si="21"/>
        <v>149723.34932665341</v>
      </c>
      <c r="I40" s="511">
        <f t="shared" si="9"/>
        <v>0</v>
      </c>
      <c r="J40" s="511"/>
      <c r="K40" s="525"/>
      <c r="L40" s="514">
        <f t="shared" si="1"/>
        <v>0</v>
      </c>
      <c r="M40" s="525"/>
      <c r="N40" s="514">
        <f t="shared" si="3"/>
        <v>0</v>
      </c>
      <c r="O40" s="514">
        <f t="shared" si="4"/>
        <v>0</v>
      </c>
      <c r="P40" s="272"/>
    </row>
    <row r="41" spans="2:16">
      <c r="B41" s="195" t="str">
        <f t="shared" si="5"/>
        <v/>
      </c>
      <c r="C41" s="507">
        <f>IF(D11="","-",+C40+1)</f>
        <v>2036</v>
      </c>
      <c r="D41" s="523">
        <f>IF(F40+SUM(E$17:E40)=D$10,F40,D$10-SUM(E$17:E40))</f>
        <v>873417.53769892396</v>
      </c>
      <c r="E41" s="522">
        <f>IF(+I14&lt;F40,I14,D41)</f>
        <v>42770.159090909088</v>
      </c>
      <c r="F41" s="523">
        <f t="shared" si="19"/>
        <v>830647.3786080149</v>
      </c>
      <c r="G41" s="524">
        <f t="shared" si="20"/>
        <v>144611.15489013027</v>
      </c>
      <c r="H41" s="491">
        <f t="shared" si="21"/>
        <v>144611.15489013027</v>
      </c>
      <c r="I41" s="511">
        <f t="shared" si="9"/>
        <v>0</v>
      </c>
      <c r="J41" s="511"/>
      <c r="K41" s="525"/>
      <c r="L41" s="514">
        <f t="shared" si="1"/>
        <v>0</v>
      </c>
      <c r="M41" s="525"/>
      <c r="N41" s="514">
        <f t="shared" si="3"/>
        <v>0</v>
      </c>
      <c r="O41" s="514">
        <f t="shared" si="4"/>
        <v>0</v>
      </c>
      <c r="P41" s="272"/>
    </row>
    <row r="42" spans="2:16">
      <c r="B42" s="195" t="str">
        <f t="shared" si="5"/>
        <v/>
      </c>
      <c r="C42" s="507">
        <f>IF(D11="","-",+C41+1)</f>
        <v>2037</v>
      </c>
      <c r="D42" s="523">
        <f>IF(F41+SUM(E$17:E41)=D$10,F41,D$10-SUM(E$17:E41))</f>
        <v>830647.3786080149</v>
      </c>
      <c r="E42" s="522">
        <f>IF(+I14&lt;F41,I14,D42)</f>
        <v>42770.159090909088</v>
      </c>
      <c r="F42" s="523">
        <f t="shared" si="19"/>
        <v>787877.21951710584</v>
      </c>
      <c r="G42" s="524">
        <f t="shared" si="20"/>
        <v>139498.96045360714</v>
      </c>
      <c r="H42" s="491">
        <f t="shared" si="21"/>
        <v>139498.96045360714</v>
      </c>
      <c r="I42" s="511">
        <f t="shared" si="9"/>
        <v>0</v>
      </c>
      <c r="J42" s="511"/>
      <c r="K42" s="525"/>
      <c r="L42" s="514">
        <f t="shared" si="1"/>
        <v>0</v>
      </c>
      <c r="M42" s="525"/>
      <c r="N42" s="514">
        <f t="shared" si="3"/>
        <v>0</v>
      </c>
      <c r="O42" s="514">
        <f t="shared" si="4"/>
        <v>0</v>
      </c>
      <c r="P42" s="272"/>
    </row>
    <row r="43" spans="2:16">
      <c r="B43" s="195" t="str">
        <f t="shared" si="5"/>
        <v/>
      </c>
      <c r="C43" s="507">
        <f>IF(D11="","-",+C42+1)</f>
        <v>2038</v>
      </c>
      <c r="D43" s="523">
        <f>IF(F42+SUM(E$17:E42)=D$10,F42,D$10-SUM(E$17:E42))</f>
        <v>787877.21951710584</v>
      </c>
      <c r="E43" s="522">
        <f>IF(+I14&lt;F42,I14,D43)</f>
        <v>42770.159090909088</v>
      </c>
      <c r="F43" s="523">
        <f t="shared" si="19"/>
        <v>745107.06042619678</v>
      </c>
      <c r="G43" s="524">
        <f t="shared" si="20"/>
        <v>134386.76601708401</v>
      </c>
      <c r="H43" s="491">
        <f t="shared" si="21"/>
        <v>134386.76601708401</v>
      </c>
      <c r="I43" s="511">
        <f t="shared" si="9"/>
        <v>0</v>
      </c>
      <c r="J43" s="511"/>
      <c r="K43" s="525"/>
      <c r="L43" s="514">
        <f t="shared" si="1"/>
        <v>0</v>
      </c>
      <c r="M43" s="525"/>
      <c r="N43" s="514">
        <f t="shared" si="3"/>
        <v>0</v>
      </c>
      <c r="O43" s="514">
        <f t="shared" si="4"/>
        <v>0</v>
      </c>
      <c r="P43" s="272"/>
    </row>
    <row r="44" spans="2:16">
      <c r="B44" s="195" t="str">
        <f t="shared" si="5"/>
        <v/>
      </c>
      <c r="C44" s="507">
        <f>IF(D11="","-",+C43+1)</f>
        <v>2039</v>
      </c>
      <c r="D44" s="523">
        <f>IF(F43+SUM(E$17:E43)=D$10,F43,D$10-SUM(E$17:E43))</f>
        <v>745107.06042619678</v>
      </c>
      <c r="E44" s="522">
        <f>IF(+I14&lt;F43,I14,D44)</f>
        <v>42770.159090909088</v>
      </c>
      <c r="F44" s="523">
        <f t="shared" si="19"/>
        <v>702336.90133528772</v>
      </c>
      <c r="G44" s="524">
        <f t="shared" si="20"/>
        <v>129274.57158056088</v>
      </c>
      <c r="H44" s="491">
        <f t="shared" si="21"/>
        <v>129274.57158056088</v>
      </c>
      <c r="I44" s="511">
        <f t="shared" si="9"/>
        <v>0</v>
      </c>
      <c r="J44" s="511"/>
      <c r="K44" s="525"/>
      <c r="L44" s="514">
        <f t="shared" si="1"/>
        <v>0</v>
      </c>
      <c r="M44" s="525"/>
      <c r="N44" s="514">
        <f t="shared" si="3"/>
        <v>0</v>
      </c>
      <c r="O44" s="514">
        <f t="shared" si="4"/>
        <v>0</v>
      </c>
      <c r="P44" s="272"/>
    </row>
    <row r="45" spans="2:16">
      <c r="B45" s="195" t="str">
        <f t="shared" si="5"/>
        <v/>
      </c>
      <c r="C45" s="507">
        <f>IF(D11="","-",+C44+1)</f>
        <v>2040</v>
      </c>
      <c r="D45" s="523">
        <f>IF(F44+SUM(E$17:E44)=D$10,F44,D$10-SUM(E$17:E44))</f>
        <v>702336.90133528772</v>
      </c>
      <c r="E45" s="522">
        <f>IF(+I14&lt;F44,I14,D45)</f>
        <v>42770.159090909088</v>
      </c>
      <c r="F45" s="523">
        <f t="shared" si="19"/>
        <v>659566.74224437866</v>
      </c>
      <c r="G45" s="524">
        <f t="shared" si="20"/>
        <v>124162.37714403777</v>
      </c>
      <c r="H45" s="491">
        <f t="shared" si="21"/>
        <v>124162.37714403777</v>
      </c>
      <c r="I45" s="511">
        <f t="shared" si="9"/>
        <v>0</v>
      </c>
      <c r="J45" s="511"/>
      <c r="K45" s="525"/>
      <c r="L45" s="514">
        <f t="shared" si="1"/>
        <v>0</v>
      </c>
      <c r="M45" s="525"/>
      <c r="N45" s="514">
        <f t="shared" si="3"/>
        <v>0</v>
      </c>
      <c r="O45" s="514">
        <f t="shared" si="4"/>
        <v>0</v>
      </c>
      <c r="P45" s="272"/>
    </row>
    <row r="46" spans="2:16">
      <c r="B46" s="195" t="str">
        <f t="shared" si="5"/>
        <v/>
      </c>
      <c r="C46" s="507">
        <f>IF(D11="","-",+C45+1)</f>
        <v>2041</v>
      </c>
      <c r="D46" s="523">
        <f>IF(F45+SUM(E$17:E45)=D$10,F45,D$10-SUM(E$17:E45))</f>
        <v>659566.74224437866</v>
      </c>
      <c r="E46" s="522">
        <f>IF(+I14&lt;F45,I14,D46)</f>
        <v>42770.159090909088</v>
      </c>
      <c r="F46" s="523">
        <f t="shared" si="19"/>
        <v>616796.5831534696</v>
      </c>
      <c r="G46" s="524">
        <f t="shared" si="20"/>
        <v>119050.18270751463</v>
      </c>
      <c r="H46" s="491">
        <f t="shared" si="21"/>
        <v>119050.18270751463</v>
      </c>
      <c r="I46" s="511">
        <f t="shared" si="9"/>
        <v>0</v>
      </c>
      <c r="J46" s="511"/>
      <c r="K46" s="525"/>
      <c r="L46" s="514">
        <f t="shared" si="1"/>
        <v>0</v>
      </c>
      <c r="M46" s="525"/>
      <c r="N46" s="514">
        <f t="shared" si="3"/>
        <v>0</v>
      </c>
      <c r="O46" s="514">
        <f t="shared" si="4"/>
        <v>0</v>
      </c>
      <c r="P46" s="272"/>
    </row>
    <row r="47" spans="2:16">
      <c r="B47" s="195" t="str">
        <f t="shared" si="5"/>
        <v/>
      </c>
      <c r="C47" s="507">
        <f>IF(D11="","-",+C46+1)</f>
        <v>2042</v>
      </c>
      <c r="D47" s="523">
        <f>IF(F46+SUM(E$17:E46)=D$10,F46,D$10-SUM(E$17:E46))</f>
        <v>616796.5831534696</v>
      </c>
      <c r="E47" s="522">
        <f>IF(+I14&lt;F46,I14,D47)</f>
        <v>42770.159090909088</v>
      </c>
      <c r="F47" s="523">
        <f t="shared" si="19"/>
        <v>574026.42406256055</v>
      </c>
      <c r="G47" s="524">
        <f t="shared" si="20"/>
        <v>113937.98827099151</v>
      </c>
      <c r="H47" s="491">
        <f t="shared" si="21"/>
        <v>113937.98827099151</v>
      </c>
      <c r="I47" s="511">
        <f t="shared" si="9"/>
        <v>0</v>
      </c>
      <c r="J47" s="511"/>
      <c r="K47" s="525"/>
      <c r="L47" s="514">
        <f t="shared" si="1"/>
        <v>0</v>
      </c>
      <c r="M47" s="525"/>
      <c r="N47" s="514">
        <f t="shared" si="3"/>
        <v>0</v>
      </c>
      <c r="O47" s="514">
        <f t="shared" si="4"/>
        <v>0</v>
      </c>
      <c r="P47" s="272"/>
    </row>
    <row r="48" spans="2:16">
      <c r="B48" s="195" t="str">
        <f t="shared" si="5"/>
        <v/>
      </c>
      <c r="C48" s="507">
        <f>IF(D11="","-",+C47+1)</f>
        <v>2043</v>
      </c>
      <c r="D48" s="523">
        <f>IF(F47+SUM(E$17:E47)=D$10,F47,D$10-SUM(E$17:E47))</f>
        <v>574026.42406256055</v>
      </c>
      <c r="E48" s="522">
        <f>IF(+I14&lt;F47,I14,D48)</f>
        <v>42770.159090909088</v>
      </c>
      <c r="F48" s="523">
        <f t="shared" si="19"/>
        <v>531256.26497165149</v>
      </c>
      <c r="G48" s="524">
        <f t="shared" si="20"/>
        <v>108825.79383446838</v>
      </c>
      <c r="H48" s="491">
        <f t="shared" si="21"/>
        <v>108825.79383446838</v>
      </c>
      <c r="I48" s="511">
        <f t="shared" si="9"/>
        <v>0</v>
      </c>
      <c r="J48" s="511"/>
      <c r="K48" s="525"/>
      <c r="L48" s="514">
        <f t="shared" si="1"/>
        <v>0</v>
      </c>
      <c r="M48" s="525"/>
      <c r="N48" s="514">
        <f t="shared" si="3"/>
        <v>0</v>
      </c>
      <c r="O48" s="514">
        <f t="shared" si="4"/>
        <v>0</v>
      </c>
      <c r="P48" s="272"/>
    </row>
    <row r="49" spans="2:17">
      <c r="B49" s="195" t="str">
        <f t="shared" si="5"/>
        <v/>
      </c>
      <c r="C49" s="507">
        <f>IF(D11="","-",+C48+1)</f>
        <v>2044</v>
      </c>
      <c r="D49" s="523">
        <f>IF(F48+SUM(E$17:E48)=D$10,F48,D$10-SUM(E$17:E48))</f>
        <v>531256.26497165149</v>
      </c>
      <c r="E49" s="522">
        <f>IF(+I14&lt;F48,I14,D49)</f>
        <v>42770.159090909088</v>
      </c>
      <c r="F49" s="523">
        <f t="shared" ref="F49:F72" si="22">+D49-E49</f>
        <v>488486.10588074243</v>
      </c>
      <c r="G49" s="524">
        <f t="shared" si="20"/>
        <v>103713.59939794525</v>
      </c>
      <c r="H49" s="491">
        <f t="shared" si="21"/>
        <v>103713.59939794525</v>
      </c>
      <c r="I49" s="511">
        <f t="shared" ref="I49:I72" si="23">H49-G49</f>
        <v>0</v>
      </c>
      <c r="J49" s="511"/>
      <c r="K49" s="525"/>
      <c r="L49" s="514">
        <f t="shared" ref="L49:L72" si="24">IF(K49&lt;&gt;0,+G49-K49,0)</f>
        <v>0</v>
      </c>
      <c r="M49" s="525"/>
      <c r="N49" s="514">
        <f t="shared" ref="N49:N72" si="25">IF(M49&lt;&gt;0,+H49-M49,0)</f>
        <v>0</v>
      </c>
      <c r="O49" s="514">
        <f t="shared" ref="O49:O72" si="26">+N49-L49</f>
        <v>0</v>
      </c>
      <c r="P49" s="272"/>
    </row>
    <row r="50" spans="2:17">
      <c r="B50" s="195" t="str">
        <f t="shared" ref="B50:B72" si="27">IF(D50=F49,"","IU")</f>
        <v/>
      </c>
      <c r="C50" s="507">
        <f>IF(D11="","-",+C49+1)</f>
        <v>2045</v>
      </c>
      <c r="D50" s="523">
        <f>IF(F49+SUM(E$17:E49)=D$10,F49,D$10-SUM(E$17:E49))</f>
        <v>488486.10588074243</v>
      </c>
      <c r="E50" s="522">
        <f>IF(+I14&lt;F49,I14,D50)</f>
        <v>42770.159090909088</v>
      </c>
      <c r="F50" s="523">
        <f t="shared" si="22"/>
        <v>445715.94678983337</v>
      </c>
      <c r="G50" s="524">
        <f t="shared" si="20"/>
        <v>98601.404961422115</v>
      </c>
      <c r="H50" s="491">
        <f t="shared" si="21"/>
        <v>98601.404961422115</v>
      </c>
      <c r="I50" s="511">
        <f t="shared" si="23"/>
        <v>0</v>
      </c>
      <c r="J50" s="511"/>
      <c r="K50" s="525"/>
      <c r="L50" s="514">
        <f t="shared" si="24"/>
        <v>0</v>
      </c>
      <c r="M50" s="525"/>
      <c r="N50" s="514">
        <f t="shared" si="25"/>
        <v>0</v>
      </c>
      <c r="O50" s="514">
        <f t="shared" si="26"/>
        <v>0</v>
      </c>
      <c r="P50" s="272"/>
    </row>
    <row r="51" spans="2:17">
      <c r="B51" s="195" t="str">
        <f t="shared" si="27"/>
        <v/>
      </c>
      <c r="C51" s="507">
        <f>IF(D11="","-",+C50+1)</f>
        <v>2046</v>
      </c>
      <c r="D51" s="523">
        <f>IF(F50+SUM(E$17:E50)=D$10,F50,D$10-SUM(E$17:E50))</f>
        <v>445715.94678983337</v>
      </c>
      <c r="E51" s="522">
        <f>IF(+I14&lt;F50,I14,D51)</f>
        <v>42770.159090909088</v>
      </c>
      <c r="F51" s="523">
        <f t="shared" si="22"/>
        <v>402945.78769892431</v>
      </c>
      <c r="G51" s="524">
        <f t="shared" si="20"/>
        <v>93489.210524898997</v>
      </c>
      <c r="H51" s="491">
        <f t="shared" si="21"/>
        <v>93489.210524898997</v>
      </c>
      <c r="I51" s="511">
        <f t="shared" si="23"/>
        <v>0</v>
      </c>
      <c r="J51" s="511"/>
      <c r="K51" s="525"/>
      <c r="L51" s="514">
        <f t="shared" si="24"/>
        <v>0</v>
      </c>
      <c r="M51" s="525"/>
      <c r="N51" s="514">
        <f t="shared" si="25"/>
        <v>0</v>
      </c>
      <c r="O51" s="514">
        <f t="shared" si="26"/>
        <v>0</v>
      </c>
      <c r="P51" s="272"/>
    </row>
    <row r="52" spans="2:17">
      <c r="B52" s="195" t="str">
        <f t="shared" si="27"/>
        <v/>
      </c>
      <c r="C52" s="507">
        <f>IF(D11="","-",+C51+1)</f>
        <v>2047</v>
      </c>
      <c r="D52" s="523">
        <f>IF(F51+SUM(E$17:E51)=D$10,F51,D$10-SUM(E$17:E51))</f>
        <v>402945.78769892431</v>
      </c>
      <c r="E52" s="522">
        <f>IF(+I14&lt;F51,I14,D52)</f>
        <v>42770.159090909088</v>
      </c>
      <c r="F52" s="523">
        <f t="shared" si="22"/>
        <v>360175.62860801525</v>
      </c>
      <c r="G52" s="524">
        <f t="shared" si="20"/>
        <v>88377.016088375865</v>
      </c>
      <c r="H52" s="491">
        <f t="shared" si="21"/>
        <v>88377.016088375865</v>
      </c>
      <c r="I52" s="511">
        <f t="shared" si="23"/>
        <v>0</v>
      </c>
      <c r="J52" s="511"/>
      <c r="K52" s="525"/>
      <c r="L52" s="514">
        <f t="shared" si="24"/>
        <v>0</v>
      </c>
      <c r="M52" s="525"/>
      <c r="N52" s="514">
        <f t="shared" si="25"/>
        <v>0</v>
      </c>
      <c r="O52" s="514">
        <f t="shared" si="26"/>
        <v>0</v>
      </c>
      <c r="P52" s="272"/>
    </row>
    <row r="53" spans="2:17">
      <c r="B53" s="195" t="str">
        <f t="shared" si="27"/>
        <v/>
      </c>
      <c r="C53" s="507">
        <f>IF(D11="","-",+C52+1)</f>
        <v>2048</v>
      </c>
      <c r="D53" s="523">
        <f>IF(F52+SUM(E$17:E52)=D$10,F52,D$10-SUM(E$17:E52))</f>
        <v>360175.62860801525</v>
      </c>
      <c r="E53" s="522">
        <f>IF(+I14&lt;F52,I14,D53)</f>
        <v>42770.159090909088</v>
      </c>
      <c r="F53" s="523">
        <f t="shared" si="22"/>
        <v>317405.46951710619</v>
      </c>
      <c r="G53" s="524">
        <f t="shared" si="20"/>
        <v>83264.821651852748</v>
      </c>
      <c r="H53" s="491">
        <f t="shared" si="21"/>
        <v>83264.821651852748</v>
      </c>
      <c r="I53" s="511">
        <f t="shared" si="23"/>
        <v>0</v>
      </c>
      <c r="J53" s="511"/>
      <c r="K53" s="525"/>
      <c r="L53" s="514">
        <f t="shared" si="24"/>
        <v>0</v>
      </c>
      <c r="M53" s="525"/>
      <c r="N53" s="514">
        <f t="shared" si="25"/>
        <v>0</v>
      </c>
      <c r="O53" s="514">
        <f t="shared" si="26"/>
        <v>0</v>
      </c>
      <c r="P53" s="272"/>
    </row>
    <row r="54" spans="2:17">
      <c r="B54" s="195" t="str">
        <f t="shared" si="27"/>
        <v/>
      </c>
      <c r="C54" s="507">
        <f>IF(D11="","-",+C53+1)</f>
        <v>2049</v>
      </c>
      <c r="D54" s="523">
        <f>IF(F53+SUM(E$17:E53)=D$10,F53,D$10-SUM(E$17:E53))</f>
        <v>317405.46951710619</v>
      </c>
      <c r="E54" s="522">
        <f>IF(+I14&lt;F53,I14,D54)</f>
        <v>42770.159090909088</v>
      </c>
      <c r="F54" s="523">
        <f t="shared" si="22"/>
        <v>274635.31042619713</v>
      </c>
      <c r="G54" s="524">
        <f t="shared" ref="G54:G72" si="28">+I$12*((D54+F54)/2)+E54</f>
        <v>78152.627215329616</v>
      </c>
      <c r="H54" s="491">
        <f t="shared" ref="H54:H72" si="29">+I$13*((D54+F54)/2)+E54</f>
        <v>78152.627215329616</v>
      </c>
      <c r="I54" s="511">
        <f t="shared" si="23"/>
        <v>0</v>
      </c>
      <c r="J54" s="511"/>
      <c r="K54" s="525"/>
      <c r="L54" s="514">
        <f t="shared" si="24"/>
        <v>0</v>
      </c>
      <c r="M54" s="525"/>
      <c r="N54" s="514">
        <f t="shared" si="25"/>
        <v>0</v>
      </c>
      <c r="O54" s="514">
        <f t="shared" si="26"/>
        <v>0</v>
      </c>
      <c r="P54" s="272"/>
    </row>
    <row r="55" spans="2:17">
      <c r="B55" s="195" t="str">
        <f t="shared" si="27"/>
        <v/>
      </c>
      <c r="C55" s="507">
        <f>IF(D11="","-",+C54+1)</f>
        <v>2050</v>
      </c>
      <c r="D55" s="523">
        <f>IF(F54+SUM(E$17:E54)=D$10,F54,D$10-SUM(E$17:E54))</f>
        <v>274635.31042619713</v>
      </c>
      <c r="E55" s="522">
        <f>IF(+I14&lt;F54,I14,D55)</f>
        <v>42770.159090909088</v>
      </c>
      <c r="F55" s="523">
        <f t="shared" si="22"/>
        <v>231865.15133528804</v>
      </c>
      <c r="G55" s="524">
        <f t="shared" si="28"/>
        <v>73040.432778806484</v>
      </c>
      <c r="H55" s="491">
        <f t="shared" si="29"/>
        <v>73040.432778806484</v>
      </c>
      <c r="I55" s="511">
        <f t="shared" si="23"/>
        <v>0</v>
      </c>
      <c r="J55" s="511"/>
      <c r="K55" s="525"/>
      <c r="L55" s="514">
        <f t="shared" si="24"/>
        <v>0</v>
      </c>
      <c r="M55" s="525"/>
      <c r="N55" s="514">
        <f t="shared" si="25"/>
        <v>0</v>
      </c>
      <c r="O55" s="514">
        <f t="shared" si="26"/>
        <v>0</v>
      </c>
      <c r="P55" s="272"/>
    </row>
    <row r="56" spans="2:17">
      <c r="B56" s="195" t="str">
        <f t="shared" si="27"/>
        <v/>
      </c>
      <c r="C56" s="507">
        <f>IF(D11="","-",+C55+1)</f>
        <v>2051</v>
      </c>
      <c r="D56" s="523">
        <f>IF(F55+SUM(E$17:E55)=D$10,F55,D$10-SUM(E$17:E55))</f>
        <v>231865.15133528804</v>
      </c>
      <c r="E56" s="522">
        <f>IF(+I14&lt;F55,I14,D56)</f>
        <v>42770.159090909088</v>
      </c>
      <c r="F56" s="523">
        <f t="shared" si="22"/>
        <v>189094.99224437895</v>
      </c>
      <c r="G56" s="524">
        <f t="shared" si="28"/>
        <v>67928.238342283352</v>
      </c>
      <c r="H56" s="491">
        <f t="shared" si="29"/>
        <v>67928.238342283352</v>
      </c>
      <c r="I56" s="511">
        <f t="shared" si="23"/>
        <v>0</v>
      </c>
      <c r="J56" s="511"/>
      <c r="K56" s="525"/>
      <c r="L56" s="514">
        <f t="shared" si="24"/>
        <v>0</v>
      </c>
      <c r="M56" s="525"/>
      <c r="N56" s="514">
        <f t="shared" si="25"/>
        <v>0</v>
      </c>
      <c r="O56" s="514">
        <f t="shared" si="26"/>
        <v>0</v>
      </c>
      <c r="P56" s="272"/>
    </row>
    <row r="57" spans="2:17">
      <c r="B57" s="195" t="str">
        <f t="shared" si="27"/>
        <v/>
      </c>
      <c r="C57" s="507">
        <f>IF(D11="","-",+C56+1)</f>
        <v>2052</v>
      </c>
      <c r="D57" s="523">
        <f>IF(F56+SUM(E$17:E56)=D$10,F56,D$10-SUM(E$17:E56))</f>
        <v>189094.99224437895</v>
      </c>
      <c r="E57" s="522">
        <f>IF(+I14&lt;F56,I14,D57)</f>
        <v>42770.159090909088</v>
      </c>
      <c r="F57" s="523">
        <f t="shared" si="22"/>
        <v>146324.83315346987</v>
      </c>
      <c r="G57" s="524">
        <f t="shared" si="28"/>
        <v>62816.04390576022</v>
      </c>
      <c r="H57" s="491">
        <f t="shared" si="29"/>
        <v>62816.04390576022</v>
      </c>
      <c r="I57" s="511">
        <f t="shared" si="23"/>
        <v>0</v>
      </c>
      <c r="J57" s="511"/>
      <c r="K57" s="525"/>
      <c r="L57" s="514">
        <f t="shared" si="24"/>
        <v>0</v>
      </c>
      <c r="M57" s="525"/>
      <c r="N57" s="514">
        <f t="shared" si="25"/>
        <v>0</v>
      </c>
      <c r="O57" s="514">
        <f t="shared" si="26"/>
        <v>0</v>
      </c>
      <c r="P57" s="272"/>
    </row>
    <row r="58" spans="2:17">
      <c r="B58" s="195" t="str">
        <f t="shared" si="27"/>
        <v/>
      </c>
      <c r="C58" s="507">
        <f>IF(D11="","-",+C57+1)</f>
        <v>2053</v>
      </c>
      <c r="D58" s="523">
        <f>IF(F57+SUM(E$17:E57)=D$10,F57,D$10-SUM(E$17:E57))</f>
        <v>146324.83315346987</v>
      </c>
      <c r="E58" s="522">
        <f>IF(+I14&lt;F57,I14,D58)</f>
        <v>42770.159090909088</v>
      </c>
      <c r="F58" s="523">
        <f t="shared" si="22"/>
        <v>103554.67406256078</v>
      </c>
      <c r="G58" s="524">
        <f t="shared" si="28"/>
        <v>57703.849469237088</v>
      </c>
      <c r="H58" s="491">
        <f t="shared" si="29"/>
        <v>57703.849469237088</v>
      </c>
      <c r="I58" s="511">
        <f t="shared" si="23"/>
        <v>0</v>
      </c>
      <c r="J58" s="511"/>
      <c r="K58" s="525"/>
      <c r="L58" s="514">
        <f t="shared" si="24"/>
        <v>0</v>
      </c>
      <c r="M58" s="525"/>
      <c r="N58" s="514">
        <f t="shared" si="25"/>
        <v>0</v>
      </c>
      <c r="O58" s="514">
        <f t="shared" si="26"/>
        <v>0</v>
      </c>
      <c r="P58" s="272"/>
      <c r="Q58" s="183" t="str">
        <f>IF(ROUND(Q57,0)=ROUND(SUM(Q18:Q56),0),"","Error -- check allocations above).")</f>
        <v/>
      </c>
    </row>
    <row r="59" spans="2:17">
      <c r="B59" s="195" t="str">
        <f t="shared" si="27"/>
        <v/>
      </c>
      <c r="C59" s="507">
        <f>IF(D11="","-",+C58+1)</f>
        <v>2054</v>
      </c>
      <c r="D59" s="523">
        <f>IF(F58+SUM(E$17:E58)=D$10,F58,D$10-SUM(E$17:E58))</f>
        <v>103554.67406256078</v>
      </c>
      <c r="E59" s="522">
        <f>IF(+I14&lt;F58,I14,D59)</f>
        <v>42770.159090909088</v>
      </c>
      <c r="F59" s="523">
        <f t="shared" si="22"/>
        <v>60784.51497165169</v>
      </c>
      <c r="G59" s="524">
        <f t="shared" si="28"/>
        <v>52591.655032713956</v>
      </c>
      <c r="H59" s="491">
        <f t="shared" si="29"/>
        <v>52591.655032713956</v>
      </c>
      <c r="I59" s="511">
        <f t="shared" si="23"/>
        <v>0</v>
      </c>
      <c r="J59" s="511"/>
      <c r="K59" s="525"/>
      <c r="L59" s="514">
        <f t="shared" si="24"/>
        <v>0</v>
      </c>
      <c r="M59" s="525"/>
      <c r="N59" s="514">
        <f t="shared" si="25"/>
        <v>0</v>
      </c>
      <c r="O59" s="514">
        <f t="shared" si="26"/>
        <v>0</v>
      </c>
      <c r="P59" s="272"/>
    </row>
    <row r="60" spans="2:17">
      <c r="B60" s="195" t="str">
        <f t="shared" si="27"/>
        <v/>
      </c>
      <c r="C60" s="507">
        <f>IF(D11="","-",+C59+1)</f>
        <v>2055</v>
      </c>
      <c r="D60" s="523">
        <f>IF(F59+SUM(E$17:E59)=D$10,F59,D$10-SUM(E$17:E59))</f>
        <v>60784.51497165169</v>
      </c>
      <c r="E60" s="522">
        <f>IF(+I14&lt;F59,I14,D60)</f>
        <v>42770.159090909088</v>
      </c>
      <c r="F60" s="523">
        <f t="shared" si="22"/>
        <v>18014.355880742602</v>
      </c>
      <c r="G60" s="524">
        <f t="shared" si="28"/>
        <v>47479.460596190824</v>
      </c>
      <c r="H60" s="491">
        <f t="shared" si="29"/>
        <v>47479.460596190824</v>
      </c>
      <c r="I60" s="511">
        <f t="shared" si="23"/>
        <v>0</v>
      </c>
      <c r="J60" s="511"/>
      <c r="K60" s="525"/>
      <c r="L60" s="514">
        <f t="shared" si="24"/>
        <v>0</v>
      </c>
      <c r="M60" s="525"/>
      <c r="N60" s="514">
        <f t="shared" si="25"/>
        <v>0</v>
      </c>
      <c r="O60" s="514">
        <f t="shared" si="26"/>
        <v>0</v>
      </c>
      <c r="P60" s="272"/>
    </row>
    <row r="61" spans="2:17">
      <c r="B61" s="195" t="str">
        <f t="shared" si="27"/>
        <v/>
      </c>
      <c r="C61" s="507">
        <f>IF(D11="","-",+C60+1)</f>
        <v>2056</v>
      </c>
      <c r="D61" s="523">
        <f>IF(F60+SUM(E$17:E60)=D$10,F60,D$10-SUM(E$17:E60))</f>
        <v>18014.355880742602</v>
      </c>
      <c r="E61" s="522">
        <f>IF(+I14&lt;F60,I14,D61)</f>
        <v>18014.355880742602</v>
      </c>
      <c r="F61" s="523">
        <f t="shared" si="22"/>
        <v>0</v>
      </c>
      <c r="G61" s="526">
        <f t="shared" si="28"/>
        <v>19090.958024252686</v>
      </c>
      <c r="H61" s="491">
        <f t="shared" si="29"/>
        <v>19090.958024252686</v>
      </c>
      <c r="I61" s="511">
        <f t="shared" si="23"/>
        <v>0</v>
      </c>
      <c r="J61" s="511"/>
      <c r="K61" s="525"/>
      <c r="L61" s="514">
        <f t="shared" si="24"/>
        <v>0</v>
      </c>
      <c r="M61" s="525"/>
      <c r="N61" s="514">
        <f t="shared" si="25"/>
        <v>0</v>
      </c>
      <c r="O61" s="514">
        <f t="shared" si="26"/>
        <v>0</v>
      </c>
      <c r="P61" s="272"/>
    </row>
    <row r="62" spans="2:17">
      <c r="B62" s="195" t="str">
        <f t="shared" si="27"/>
        <v/>
      </c>
      <c r="C62" s="507">
        <f>IF(D11="","-",+C61+1)</f>
        <v>2057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22"/>
        <v>0</v>
      </c>
      <c r="G62" s="526">
        <f t="shared" si="28"/>
        <v>0</v>
      </c>
      <c r="H62" s="491">
        <f t="shared" si="29"/>
        <v>0</v>
      </c>
      <c r="I62" s="511">
        <f t="shared" si="23"/>
        <v>0</v>
      </c>
      <c r="J62" s="511"/>
      <c r="K62" s="525"/>
      <c r="L62" s="514">
        <f t="shared" si="24"/>
        <v>0</v>
      </c>
      <c r="M62" s="525"/>
      <c r="N62" s="514">
        <f t="shared" si="25"/>
        <v>0</v>
      </c>
      <c r="O62" s="514">
        <f t="shared" si="26"/>
        <v>0</v>
      </c>
      <c r="P62" s="272"/>
    </row>
    <row r="63" spans="2:17">
      <c r="B63" s="195" t="str">
        <f t="shared" si="27"/>
        <v/>
      </c>
      <c r="C63" s="507">
        <f>IF(D11="","-",+C62+1)</f>
        <v>2058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22"/>
        <v>0</v>
      </c>
      <c r="G63" s="526">
        <f t="shared" si="28"/>
        <v>0</v>
      </c>
      <c r="H63" s="491">
        <f t="shared" si="29"/>
        <v>0</v>
      </c>
      <c r="I63" s="511">
        <f t="shared" si="23"/>
        <v>0</v>
      </c>
      <c r="J63" s="511"/>
      <c r="K63" s="525"/>
      <c r="L63" s="514">
        <f t="shared" si="24"/>
        <v>0</v>
      </c>
      <c r="M63" s="525"/>
      <c r="N63" s="514">
        <f t="shared" si="25"/>
        <v>0</v>
      </c>
      <c r="O63" s="514">
        <f t="shared" si="26"/>
        <v>0</v>
      </c>
      <c r="P63" s="272"/>
    </row>
    <row r="64" spans="2:17">
      <c r="B64" s="195" t="str">
        <f t="shared" si="27"/>
        <v/>
      </c>
      <c r="C64" s="507">
        <f>IF(D11="","-",+C63+1)</f>
        <v>2059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22"/>
        <v>0</v>
      </c>
      <c r="G64" s="526">
        <f t="shared" si="28"/>
        <v>0</v>
      </c>
      <c r="H64" s="491">
        <f t="shared" si="29"/>
        <v>0</v>
      </c>
      <c r="I64" s="511">
        <f t="shared" si="23"/>
        <v>0</v>
      </c>
      <c r="J64" s="511"/>
      <c r="K64" s="525"/>
      <c r="L64" s="514">
        <f t="shared" si="24"/>
        <v>0</v>
      </c>
      <c r="M64" s="525"/>
      <c r="N64" s="514">
        <f t="shared" si="25"/>
        <v>0</v>
      </c>
      <c r="O64" s="514">
        <f t="shared" si="26"/>
        <v>0</v>
      </c>
      <c r="P64" s="272"/>
    </row>
    <row r="65" spans="1:16">
      <c r="B65" s="195" t="str">
        <f t="shared" si="27"/>
        <v/>
      </c>
      <c r="C65" s="507">
        <f>IF(D11="","-",+C64+1)</f>
        <v>2060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22"/>
        <v>0</v>
      </c>
      <c r="G65" s="526">
        <f t="shared" si="28"/>
        <v>0</v>
      </c>
      <c r="H65" s="491">
        <f t="shared" si="29"/>
        <v>0</v>
      </c>
      <c r="I65" s="511">
        <f t="shared" si="23"/>
        <v>0</v>
      </c>
      <c r="J65" s="511"/>
      <c r="K65" s="525"/>
      <c r="L65" s="514">
        <f t="shared" si="24"/>
        <v>0</v>
      </c>
      <c r="M65" s="525"/>
      <c r="N65" s="514">
        <f t="shared" si="25"/>
        <v>0</v>
      </c>
      <c r="O65" s="514">
        <f t="shared" si="26"/>
        <v>0</v>
      </c>
      <c r="P65" s="272"/>
    </row>
    <row r="66" spans="1:16">
      <c r="B66" s="195" t="str">
        <f t="shared" si="27"/>
        <v/>
      </c>
      <c r="C66" s="507">
        <f>IF(D11="","-",+C65+1)</f>
        <v>2061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22"/>
        <v>0</v>
      </c>
      <c r="G66" s="526">
        <f t="shared" si="28"/>
        <v>0</v>
      </c>
      <c r="H66" s="491">
        <f t="shared" si="29"/>
        <v>0</v>
      </c>
      <c r="I66" s="511">
        <f t="shared" si="23"/>
        <v>0</v>
      </c>
      <c r="J66" s="511"/>
      <c r="K66" s="525"/>
      <c r="L66" s="514">
        <f t="shared" si="24"/>
        <v>0</v>
      </c>
      <c r="M66" s="525"/>
      <c r="N66" s="514">
        <f t="shared" si="25"/>
        <v>0</v>
      </c>
      <c r="O66" s="514">
        <f t="shared" si="26"/>
        <v>0</v>
      </c>
      <c r="P66" s="272"/>
    </row>
    <row r="67" spans="1:16">
      <c r="B67" s="195" t="str">
        <f t="shared" si="27"/>
        <v/>
      </c>
      <c r="C67" s="507">
        <f>IF(D11="","-",+C66+1)</f>
        <v>2062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22"/>
        <v>0</v>
      </c>
      <c r="G67" s="526">
        <f t="shared" si="28"/>
        <v>0</v>
      </c>
      <c r="H67" s="491">
        <f t="shared" si="29"/>
        <v>0</v>
      </c>
      <c r="I67" s="511">
        <f t="shared" si="23"/>
        <v>0</v>
      </c>
      <c r="J67" s="511"/>
      <c r="K67" s="525"/>
      <c r="L67" s="514">
        <f t="shared" si="24"/>
        <v>0</v>
      </c>
      <c r="M67" s="525"/>
      <c r="N67" s="514">
        <f t="shared" si="25"/>
        <v>0</v>
      </c>
      <c r="O67" s="514">
        <f t="shared" si="26"/>
        <v>0</v>
      </c>
      <c r="P67" s="272"/>
    </row>
    <row r="68" spans="1:16">
      <c r="B68" s="195" t="str">
        <f t="shared" si="27"/>
        <v/>
      </c>
      <c r="C68" s="507">
        <f>IF(D11="","-",+C67+1)</f>
        <v>2063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22"/>
        <v>0</v>
      </c>
      <c r="G68" s="526">
        <f t="shared" si="28"/>
        <v>0</v>
      </c>
      <c r="H68" s="491">
        <f t="shared" si="29"/>
        <v>0</v>
      </c>
      <c r="I68" s="511">
        <f t="shared" si="23"/>
        <v>0</v>
      </c>
      <c r="J68" s="511"/>
      <c r="K68" s="525"/>
      <c r="L68" s="514">
        <f t="shared" si="24"/>
        <v>0</v>
      </c>
      <c r="M68" s="525"/>
      <c r="N68" s="514">
        <f t="shared" si="25"/>
        <v>0</v>
      </c>
      <c r="O68" s="514">
        <f t="shared" si="26"/>
        <v>0</v>
      </c>
      <c r="P68" s="272"/>
    </row>
    <row r="69" spans="1:16">
      <c r="B69" s="195" t="str">
        <f t="shared" si="27"/>
        <v/>
      </c>
      <c r="C69" s="507">
        <f>IF(D11="","-",+C68+1)</f>
        <v>2064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22"/>
        <v>0</v>
      </c>
      <c r="G69" s="526">
        <f t="shared" si="28"/>
        <v>0</v>
      </c>
      <c r="H69" s="491">
        <f t="shared" si="29"/>
        <v>0</v>
      </c>
      <c r="I69" s="511">
        <f t="shared" si="23"/>
        <v>0</v>
      </c>
      <c r="J69" s="511"/>
      <c r="K69" s="525"/>
      <c r="L69" s="514">
        <f t="shared" si="24"/>
        <v>0</v>
      </c>
      <c r="M69" s="525"/>
      <c r="N69" s="514">
        <f t="shared" si="25"/>
        <v>0</v>
      </c>
      <c r="O69" s="514">
        <f t="shared" si="26"/>
        <v>0</v>
      </c>
      <c r="P69" s="272"/>
    </row>
    <row r="70" spans="1:16">
      <c r="B70" s="195" t="str">
        <f t="shared" si="27"/>
        <v/>
      </c>
      <c r="C70" s="507">
        <f>IF(D11="","-",+C69+1)</f>
        <v>2065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22"/>
        <v>0</v>
      </c>
      <c r="G70" s="526">
        <f t="shared" si="28"/>
        <v>0</v>
      </c>
      <c r="H70" s="491">
        <f t="shared" si="29"/>
        <v>0</v>
      </c>
      <c r="I70" s="511">
        <f t="shared" si="23"/>
        <v>0</v>
      </c>
      <c r="J70" s="511"/>
      <c r="K70" s="525"/>
      <c r="L70" s="514">
        <f t="shared" si="24"/>
        <v>0</v>
      </c>
      <c r="M70" s="525"/>
      <c r="N70" s="514">
        <f t="shared" si="25"/>
        <v>0</v>
      </c>
      <c r="O70" s="514">
        <f t="shared" si="26"/>
        <v>0</v>
      </c>
      <c r="P70" s="272"/>
    </row>
    <row r="71" spans="1:16">
      <c r="B71" s="195" t="str">
        <f t="shared" si="27"/>
        <v/>
      </c>
      <c r="C71" s="507">
        <f>IF(D11="","-",+C70+1)</f>
        <v>2066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22"/>
        <v>0</v>
      </c>
      <c r="G71" s="526">
        <f t="shared" si="28"/>
        <v>0</v>
      </c>
      <c r="H71" s="491">
        <f t="shared" si="29"/>
        <v>0</v>
      </c>
      <c r="I71" s="511">
        <f t="shared" si="23"/>
        <v>0</v>
      </c>
      <c r="J71" s="511"/>
      <c r="K71" s="525"/>
      <c r="L71" s="514">
        <f t="shared" si="24"/>
        <v>0</v>
      </c>
      <c r="M71" s="525"/>
      <c r="N71" s="514">
        <f t="shared" si="25"/>
        <v>0</v>
      </c>
      <c r="O71" s="514">
        <f t="shared" si="26"/>
        <v>0</v>
      </c>
      <c r="P71" s="272"/>
    </row>
    <row r="72" spans="1:16" ht="13.5" thickBot="1">
      <c r="B72" s="195" t="str">
        <f t="shared" si="27"/>
        <v/>
      </c>
      <c r="C72" s="527">
        <f>IF(D11="","-",+C71+1)</f>
        <v>2067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22"/>
        <v>0</v>
      </c>
      <c r="G72" s="530">
        <f t="shared" si="28"/>
        <v>0</v>
      </c>
      <c r="H72" s="471">
        <f t="shared" si="29"/>
        <v>0</v>
      </c>
      <c r="I72" s="531">
        <f t="shared" si="23"/>
        <v>0</v>
      </c>
      <c r="J72" s="511"/>
      <c r="K72" s="532"/>
      <c r="L72" s="533">
        <f t="shared" si="24"/>
        <v>0</v>
      </c>
      <c r="M72" s="532"/>
      <c r="N72" s="533">
        <f t="shared" si="25"/>
        <v>0</v>
      </c>
      <c r="O72" s="533">
        <f t="shared" si="26"/>
        <v>0</v>
      </c>
      <c r="P72" s="272"/>
    </row>
    <row r="73" spans="1:16">
      <c r="C73" s="374" t="s">
        <v>78</v>
      </c>
      <c r="D73" s="375"/>
      <c r="E73" s="375">
        <f>SUM(E17:E72)</f>
        <v>1881887.0000000014</v>
      </c>
      <c r="F73" s="375"/>
      <c r="G73" s="375">
        <f>SUM(G17:G72)</f>
        <v>7023641.0802552467</v>
      </c>
      <c r="H73" s="375">
        <f>SUM(H17:H72)</f>
        <v>7023641.0802552467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1:16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1:16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1:16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1:16" ht="18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535"/>
      <c r="P77" s="272"/>
    </row>
    <row r="78" spans="1:16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1:16" ht="15">
      <c r="A79" s="536"/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</row>
    <row r="80" spans="1:16" ht="18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7">
      <c r="B81" s="269"/>
      <c r="C81" s="537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7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  <c r="Q82" s="269"/>
    </row>
    <row r="83" spans="1:17" ht="20.25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535" t="str">
        <f ca="1">P1</f>
        <v>SWEPCO Project 29 of 75</v>
      </c>
      <c r="Q83" s="269"/>
    </row>
    <row r="84" spans="1:17" ht="18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454" t="s">
        <v>128</v>
      </c>
      <c r="Q84" s="269"/>
    </row>
    <row r="85" spans="1:17" ht="18.7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  <c r="Q85" s="269"/>
    </row>
    <row r="86" spans="1:17" ht="15.75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2022</v>
      </c>
      <c r="M86" s="541" t="s">
        <v>9</v>
      </c>
      <c r="N86" s="542" t="s">
        <v>159</v>
      </c>
      <c r="O86" s="543" t="s">
        <v>11</v>
      </c>
      <c r="P86" s="269"/>
      <c r="Q86" s="269"/>
    </row>
    <row r="87" spans="1:17" ht="1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391</v>
      </c>
      <c r="M87" s="546">
        <f>IF(J92&lt;D11,0,VLOOKUP(J92,C17:O72,9))</f>
        <v>208285.89837452956</v>
      </c>
      <c r="N87" s="546">
        <f>IF(J92&lt;D11,0,VLOOKUP(J92,C17:O72,11))</f>
        <v>208285.89837452956</v>
      </c>
      <c r="O87" s="547">
        <f>+N87-M87</f>
        <v>0</v>
      </c>
      <c r="P87" s="269"/>
      <c r="Q87" s="269"/>
    </row>
    <row r="88" spans="1:17" ht="15.7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392</v>
      </c>
      <c r="M88" s="550">
        <f>IF(J92&lt;D11,0,VLOOKUP(J92,C99:P154,6))</f>
        <v>215967.96117390104</v>
      </c>
      <c r="N88" s="550">
        <f>IF(J92&lt;D11,0,VLOOKUP(J92,C99:P154,7))</f>
        <v>215967.96117390104</v>
      </c>
      <c r="O88" s="551">
        <f>+N88-M88</f>
        <v>0</v>
      </c>
      <c r="P88" s="269"/>
      <c r="Q88" s="269"/>
    </row>
    <row r="89" spans="1:17" ht="13.5" thickBot="1">
      <c r="C89" s="467" t="s">
        <v>84</v>
      </c>
      <c r="D89" s="620" t="str">
        <f>D7</f>
        <v xml:space="preserve">Knox Lee - Pirkey 138 kV / Pirkey - Whitney 138 kV - Replace Breaker,  Wavetraps, and reset relays and CT's 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7682.0627993714879</v>
      </c>
      <c r="N89" s="555">
        <f>+N88-N87</f>
        <v>7682.0627993714879</v>
      </c>
      <c r="O89" s="556">
        <f>+O88-O87</f>
        <v>0</v>
      </c>
      <c r="P89" s="269"/>
      <c r="Q89" s="269"/>
    </row>
    <row r="90" spans="1:17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  <c r="Q90" s="269"/>
    </row>
    <row r="91" spans="1:17" ht="13.5" thickBot="1">
      <c r="A91" s="191"/>
      <c r="C91" s="558" t="s">
        <v>85</v>
      </c>
      <c r="D91" s="559" t="str">
        <f>+D9</f>
        <v>TP2010062</v>
      </c>
      <c r="E91" s="560"/>
      <c r="F91" s="560"/>
      <c r="G91" s="560"/>
      <c r="H91" s="560"/>
      <c r="I91" s="560"/>
      <c r="J91" s="561"/>
      <c r="K91" s="562"/>
      <c r="P91" s="481"/>
      <c r="Q91" s="269"/>
    </row>
    <row r="92" spans="1:17">
      <c r="C92" s="486" t="s">
        <v>51</v>
      </c>
      <c r="D92" s="483">
        <f>IF(D11=I10,0,D10)</f>
        <v>1881887</v>
      </c>
      <c r="E92" s="340" t="s">
        <v>86</v>
      </c>
      <c r="H92" s="484"/>
      <c r="I92" s="484"/>
      <c r="J92" s="485">
        <f>+'SWE.WS.G.BPU.ATRR.True-up'!M16</f>
        <v>2022</v>
      </c>
      <c r="K92" s="480"/>
      <c r="L92" s="375" t="s">
        <v>87</v>
      </c>
      <c r="P92" s="272"/>
      <c r="Q92" s="269"/>
    </row>
    <row r="93" spans="1:17">
      <c r="C93" s="486" t="s">
        <v>54</v>
      </c>
      <c r="D93" s="563">
        <f>IF(D11=I10,"",D11)</f>
        <v>2012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  <c r="Q93" s="269"/>
    </row>
    <row r="94" spans="1:17">
      <c r="C94" s="486" t="s">
        <v>56</v>
      </c>
      <c r="D94" s="564">
        <f>IF(D11=I10,"",D12)</f>
        <v>12</v>
      </c>
      <c r="E94" s="486" t="s">
        <v>57</v>
      </c>
      <c r="F94" s="484"/>
      <c r="G94" s="484"/>
      <c r="J94" s="490">
        <f>'SWE.WS.G.BPU.ATRR.True-up'!$F$81</f>
        <v>0.11351422637179906</v>
      </c>
      <c r="K94" s="425"/>
      <c r="L94" s="183" t="s">
        <v>88</v>
      </c>
      <c r="P94" s="272"/>
      <c r="Q94" s="269"/>
    </row>
    <row r="95" spans="1:17">
      <c r="C95" s="486" t="s">
        <v>59</v>
      </c>
      <c r="D95" s="488">
        <f>'SWE.WS.G.BPU.ATRR.True-up'!F$93</f>
        <v>41</v>
      </c>
      <c r="E95" s="486" t="s">
        <v>60</v>
      </c>
      <c r="F95" s="484"/>
      <c r="G95" s="484"/>
      <c r="J95" s="490">
        <f>IF(H87="",J94,'SWE.WS.G.BPU.ATRR.True-up'!$F$80)</f>
        <v>0.11351422637179906</v>
      </c>
      <c r="K95" s="324"/>
      <c r="L95" s="375" t="s">
        <v>61</v>
      </c>
      <c r="M95" s="324"/>
      <c r="N95" s="324"/>
      <c r="O95" s="324"/>
      <c r="P95" s="272"/>
      <c r="Q95" s="269"/>
    </row>
    <row r="96" spans="1:17" ht="13.5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45899.682926829271</v>
      </c>
      <c r="K96" s="375"/>
      <c r="L96" s="375"/>
      <c r="M96" s="375"/>
      <c r="N96" s="375"/>
      <c r="O96" s="375"/>
      <c r="P96" s="272"/>
      <c r="Q96" s="269"/>
    </row>
    <row r="97" spans="1:17" ht="38.25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388</v>
      </c>
      <c r="I97" s="495" t="s">
        <v>389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  <c r="Q97" s="269"/>
    </row>
    <row r="98" spans="1:17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  <c r="Q98" s="269"/>
    </row>
    <row r="99" spans="1:17">
      <c r="C99" s="507">
        <f>IF(D93= "","-",D93)</f>
        <v>2012</v>
      </c>
      <c r="D99" s="508">
        <v>0</v>
      </c>
      <c r="E99" s="516">
        <v>0</v>
      </c>
      <c r="F99" s="515">
        <v>1886753</v>
      </c>
      <c r="G99" s="574">
        <v>943376.5</v>
      </c>
      <c r="H99" s="575">
        <v>138821.56113909211</v>
      </c>
      <c r="I99" s="576">
        <v>138821.56113909211</v>
      </c>
      <c r="J99" s="613">
        <f t="shared" ref="J99:J130" si="30">+I99-H99</f>
        <v>0</v>
      </c>
      <c r="K99" s="514"/>
      <c r="L99" s="512">
        <f t="shared" ref="L99:L104" si="31">H99</f>
        <v>138821.56113909211</v>
      </c>
      <c r="M99" s="597">
        <f t="shared" ref="M99:M130" si="32">IF(L99&lt;&gt;0,+H99-L99,0)</f>
        <v>0</v>
      </c>
      <c r="N99" s="512">
        <f t="shared" ref="N99:N104" si="33">I99</f>
        <v>138821.56113909211</v>
      </c>
      <c r="O99" s="513">
        <f t="shared" ref="O99:O130" si="34">IF(N99&lt;&gt;0,+I99-N99,0)</f>
        <v>0</v>
      </c>
      <c r="P99" s="513">
        <f t="shared" ref="P99:P130" si="35">+O99-M99</f>
        <v>0</v>
      </c>
      <c r="Q99" s="269"/>
    </row>
    <row r="100" spans="1:17">
      <c r="B100" s="195" t="str">
        <f t="shared" ref="B100:B131" si="36">IF(D100=F99,"","IU")</f>
        <v>IU</v>
      </c>
      <c r="C100" s="507">
        <f>IF(D93="","-",+C99+1)</f>
        <v>2013</v>
      </c>
      <c r="D100" s="508">
        <v>1881887</v>
      </c>
      <c r="E100" s="516">
        <v>44806.833333333336</v>
      </c>
      <c r="F100" s="515">
        <v>1837080.1666666667</v>
      </c>
      <c r="G100" s="515">
        <v>1859483.5833333335</v>
      </c>
      <c r="H100" s="575">
        <v>296379.53273897158</v>
      </c>
      <c r="I100" s="576">
        <v>296379.53273897158</v>
      </c>
      <c r="J100" s="613">
        <v>0</v>
      </c>
      <c r="K100" s="514"/>
      <c r="L100" s="518">
        <f t="shared" si="31"/>
        <v>296379.53273897158</v>
      </c>
      <c r="M100" s="519">
        <f t="shared" ref="M100:M105" si="37">IF(L100&lt;&gt;0,+H100-L100,0)</f>
        <v>0</v>
      </c>
      <c r="N100" s="518">
        <f t="shared" si="33"/>
        <v>296379.53273897158</v>
      </c>
      <c r="O100" s="514">
        <f>IF(N100&lt;&gt;0,+I100-N100,0)</f>
        <v>0</v>
      </c>
      <c r="P100" s="514">
        <f>+O100-M100</f>
        <v>0</v>
      </c>
      <c r="Q100" s="269"/>
    </row>
    <row r="101" spans="1:17">
      <c r="B101" s="195" t="str">
        <f t="shared" si="36"/>
        <v/>
      </c>
      <c r="C101" s="507">
        <f>IF(D93="","-",+C100+1)</f>
        <v>2014</v>
      </c>
      <c r="D101" s="508">
        <v>1837080.1666666667</v>
      </c>
      <c r="E101" s="516">
        <v>44806.833333333336</v>
      </c>
      <c r="F101" s="515">
        <v>1792273.3333333335</v>
      </c>
      <c r="G101" s="515">
        <v>1814676.75</v>
      </c>
      <c r="H101" s="575">
        <v>291463.97554748988</v>
      </c>
      <c r="I101" s="576">
        <v>291463.97554748988</v>
      </c>
      <c r="J101" s="514">
        <v>0</v>
      </c>
      <c r="K101" s="514"/>
      <c r="L101" s="518">
        <f t="shared" si="31"/>
        <v>291463.97554748988</v>
      </c>
      <c r="M101" s="519">
        <f t="shared" si="37"/>
        <v>0</v>
      </c>
      <c r="N101" s="518">
        <f t="shared" si="33"/>
        <v>291463.97554748988</v>
      </c>
      <c r="O101" s="514">
        <f>IF(N101&lt;&gt;0,+I101-N101,0)</f>
        <v>0</v>
      </c>
      <c r="P101" s="514">
        <f>+O101-M101</f>
        <v>0</v>
      </c>
      <c r="Q101" s="269"/>
    </row>
    <row r="102" spans="1:17">
      <c r="B102" s="195" t="str">
        <f t="shared" si="36"/>
        <v/>
      </c>
      <c r="C102" s="507">
        <f>IF(D93="","-",+C101+1)</f>
        <v>2015</v>
      </c>
      <c r="D102" s="508">
        <v>1792273.3333333335</v>
      </c>
      <c r="E102" s="516">
        <v>44806.833333333336</v>
      </c>
      <c r="F102" s="515">
        <v>1747466.5000000002</v>
      </c>
      <c r="G102" s="515">
        <v>1769869.916666667</v>
      </c>
      <c r="H102" s="575">
        <v>278020.60623720445</v>
      </c>
      <c r="I102" s="576">
        <v>278020.60623720445</v>
      </c>
      <c r="J102" s="514">
        <f t="shared" si="30"/>
        <v>0</v>
      </c>
      <c r="K102" s="514"/>
      <c r="L102" s="518">
        <f t="shared" si="31"/>
        <v>278020.60623720445</v>
      </c>
      <c r="M102" s="519">
        <f t="shared" si="37"/>
        <v>0</v>
      </c>
      <c r="N102" s="518">
        <f t="shared" si="33"/>
        <v>278020.60623720445</v>
      </c>
      <c r="O102" s="514">
        <f>IF(N102&lt;&gt;0,+I102-N102,0)</f>
        <v>0</v>
      </c>
      <c r="P102" s="514">
        <f>+O102-M102</f>
        <v>0</v>
      </c>
      <c r="Q102" s="269"/>
    </row>
    <row r="103" spans="1:17">
      <c r="B103" s="195" t="str">
        <f t="shared" si="36"/>
        <v/>
      </c>
      <c r="C103" s="507">
        <f>IF(D93="","-",+C102+1)</f>
        <v>2016</v>
      </c>
      <c r="D103" s="508">
        <v>1747466.5000000002</v>
      </c>
      <c r="E103" s="516">
        <v>43764.813953488374</v>
      </c>
      <c r="F103" s="515">
        <v>1703701.6860465119</v>
      </c>
      <c r="G103" s="515">
        <v>1725584.0930232559</v>
      </c>
      <c r="H103" s="575">
        <v>262827.69435337436</v>
      </c>
      <c r="I103" s="576">
        <v>262827.69435337436</v>
      </c>
      <c r="J103" s="514">
        <f t="shared" si="30"/>
        <v>0</v>
      </c>
      <c r="K103" s="514"/>
      <c r="L103" s="518">
        <f t="shared" si="31"/>
        <v>262827.69435337436</v>
      </c>
      <c r="M103" s="519">
        <f t="shared" si="37"/>
        <v>0</v>
      </c>
      <c r="N103" s="518">
        <f t="shared" si="33"/>
        <v>262827.69435337436</v>
      </c>
      <c r="O103" s="514">
        <f>IF(N103&lt;&gt;0,+I103-N103,0)</f>
        <v>0</v>
      </c>
      <c r="P103" s="514">
        <f>+O103-M103</f>
        <v>0</v>
      </c>
      <c r="Q103" s="269"/>
    </row>
    <row r="104" spans="1:17">
      <c r="B104" s="195" t="str">
        <f t="shared" si="36"/>
        <v/>
      </c>
      <c r="C104" s="507">
        <f>IF(D93="","-",+C103+1)</f>
        <v>2017</v>
      </c>
      <c r="D104" s="508">
        <v>1703701.6860465119</v>
      </c>
      <c r="E104" s="516">
        <v>44806.833333333336</v>
      </c>
      <c r="F104" s="515">
        <v>1658894.8527131786</v>
      </c>
      <c r="G104" s="515">
        <v>1681298.2693798454</v>
      </c>
      <c r="H104" s="575">
        <v>249036.58491645948</v>
      </c>
      <c r="I104" s="576">
        <v>249036.58491645948</v>
      </c>
      <c r="J104" s="514">
        <f t="shared" si="30"/>
        <v>0</v>
      </c>
      <c r="K104" s="514"/>
      <c r="L104" s="518">
        <f t="shared" si="31"/>
        <v>249036.58491645948</v>
      </c>
      <c r="M104" s="519">
        <f t="shared" si="37"/>
        <v>0</v>
      </c>
      <c r="N104" s="518">
        <f t="shared" si="33"/>
        <v>249036.58491645948</v>
      </c>
      <c r="O104" s="514">
        <f>IF(N104&lt;&gt;0,+I104-N104,0)</f>
        <v>0</v>
      </c>
      <c r="P104" s="514">
        <f>+O104-M104</f>
        <v>0</v>
      </c>
      <c r="Q104" s="269"/>
    </row>
    <row r="105" spans="1:17">
      <c r="B105" s="195" t="str">
        <f t="shared" si="36"/>
        <v/>
      </c>
      <c r="C105" s="507">
        <f>IF(D93="","-",+C104+1)</f>
        <v>2018</v>
      </c>
      <c r="D105" s="508">
        <v>1658894.8527131786</v>
      </c>
      <c r="E105" s="516">
        <v>44806.833333333336</v>
      </c>
      <c r="F105" s="515">
        <v>1614088.0193798454</v>
      </c>
      <c r="G105" s="515">
        <v>1636491.4360465119</v>
      </c>
      <c r="H105" s="575">
        <v>217627.83363465747</v>
      </c>
      <c r="I105" s="576">
        <v>217627.83363465747</v>
      </c>
      <c r="J105" s="514">
        <f t="shared" si="30"/>
        <v>0</v>
      </c>
      <c r="K105" s="514"/>
      <c r="L105" s="518">
        <f t="shared" ref="L105" si="38">H105</f>
        <v>217627.83363465747</v>
      </c>
      <c r="M105" s="519">
        <f t="shared" si="37"/>
        <v>0</v>
      </c>
      <c r="N105" s="518">
        <f t="shared" ref="N105" si="39">I105</f>
        <v>217627.83363465747</v>
      </c>
      <c r="O105" s="514">
        <f t="shared" si="34"/>
        <v>0</v>
      </c>
      <c r="P105" s="514">
        <f t="shared" si="35"/>
        <v>0</v>
      </c>
      <c r="Q105" s="269"/>
    </row>
    <row r="106" spans="1:17">
      <c r="B106" s="195" t="str">
        <f t="shared" si="36"/>
        <v/>
      </c>
      <c r="C106" s="507">
        <f>IF(D93="","-",+C105+1)</f>
        <v>2019</v>
      </c>
      <c r="D106" s="508">
        <v>1614088.0193798454</v>
      </c>
      <c r="E106" s="516">
        <v>43764.813953488374</v>
      </c>
      <c r="F106" s="515">
        <v>1570323.205426357</v>
      </c>
      <c r="G106" s="515">
        <v>1592205.6124031013</v>
      </c>
      <c r="H106" s="575">
        <v>214195.37291245433</v>
      </c>
      <c r="I106" s="576">
        <v>214195.37291245433</v>
      </c>
      <c r="J106" s="514">
        <f t="shared" si="30"/>
        <v>0</v>
      </c>
      <c r="K106" s="514"/>
      <c r="L106" s="518">
        <f t="shared" ref="L106:L107" si="40">H106</f>
        <v>214195.37291245433</v>
      </c>
      <c r="M106" s="519">
        <f t="shared" ref="M106:M107" si="41">IF(L106&lt;&gt;0,+H106-L106,0)</f>
        <v>0</v>
      </c>
      <c r="N106" s="518">
        <f t="shared" ref="N106:N107" si="42">I106</f>
        <v>214195.37291245433</v>
      </c>
      <c r="O106" s="514">
        <f t="shared" si="34"/>
        <v>0</v>
      </c>
      <c r="P106" s="514">
        <f t="shared" si="35"/>
        <v>0</v>
      </c>
      <c r="Q106" s="269"/>
    </row>
    <row r="107" spans="1:17">
      <c r="B107" s="195" t="str">
        <f t="shared" si="36"/>
        <v/>
      </c>
      <c r="C107" s="507">
        <f>IF(D93="","-",+C106+1)</f>
        <v>2020</v>
      </c>
      <c r="D107" s="508">
        <v>1570323.205426357</v>
      </c>
      <c r="E107" s="516">
        <v>44806.833333333336</v>
      </c>
      <c r="F107" s="515">
        <v>1525516.3720930237</v>
      </c>
      <c r="G107" s="515">
        <v>1547919.7887596902</v>
      </c>
      <c r="H107" s="575">
        <v>211322.4974139453</v>
      </c>
      <c r="I107" s="576">
        <v>211322.4974139453</v>
      </c>
      <c r="J107" s="514">
        <f t="shared" si="30"/>
        <v>0</v>
      </c>
      <c r="K107" s="514"/>
      <c r="L107" s="518">
        <f t="shared" si="40"/>
        <v>211322.4974139453</v>
      </c>
      <c r="M107" s="519">
        <f t="shared" si="41"/>
        <v>0</v>
      </c>
      <c r="N107" s="518">
        <f t="shared" si="42"/>
        <v>211322.4974139453</v>
      </c>
      <c r="O107" s="514">
        <f t="shared" si="34"/>
        <v>0</v>
      </c>
      <c r="P107" s="514">
        <f t="shared" si="35"/>
        <v>0</v>
      </c>
      <c r="Q107" s="269"/>
    </row>
    <row r="108" spans="1:17">
      <c r="B108" s="195" t="str">
        <f t="shared" si="36"/>
        <v/>
      </c>
      <c r="C108" s="507">
        <f>IF(D93="","-",+C107+1)</f>
        <v>2021</v>
      </c>
      <c r="D108" s="508">
        <v>1525516.3720930237</v>
      </c>
      <c r="E108" s="516">
        <v>45899.682926829271</v>
      </c>
      <c r="F108" s="515">
        <v>1479616.6891661945</v>
      </c>
      <c r="G108" s="515">
        <v>1502566.5306296092</v>
      </c>
      <c r="H108" s="575">
        <v>216462.36022340748</v>
      </c>
      <c r="I108" s="576">
        <v>216462.36022340748</v>
      </c>
      <c r="J108" s="514">
        <f t="shared" si="30"/>
        <v>0</v>
      </c>
      <c r="K108" s="514"/>
      <c r="L108" s="518">
        <f t="shared" ref="L108" si="43">H108</f>
        <v>216462.36022340748</v>
      </c>
      <c r="M108" s="519">
        <f t="shared" ref="M108" si="44">IF(L108&lt;&gt;0,+H108-L108,0)</f>
        <v>0</v>
      </c>
      <c r="N108" s="518">
        <f t="shared" ref="N108" si="45">I108</f>
        <v>216462.36022340748</v>
      </c>
      <c r="O108" s="514">
        <f t="shared" ref="O108" si="46">IF(N108&lt;&gt;0,+I108-N108,0)</f>
        <v>0</v>
      </c>
      <c r="P108" s="514">
        <f t="shared" ref="P108" si="47">+O108-M108</f>
        <v>0</v>
      </c>
      <c r="Q108" s="269"/>
    </row>
    <row r="109" spans="1:17">
      <c r="B109" s="195" t="str">
        <f t="shared" si="36"/>
        <v/>
      </c>
      <c r="C109" s="673">
        <f>IF(D93="","-",+C108+1)</f>
        <v>2022</v>
      </c>
      <c r="D109" s="374">
        <v>1479616.6891661945</v>
      </c>
      <c r="E109" s="522">
        <v>44806.833333333336</v>
      </c>
      <c r="F109" s="523">
        <v>1434809.8558328613</v>
      </c>
      <c r="G109" s="523">
        <v>1457213.2724995278</v>
      </c>
      <c r="H109" s="526">
        <v>215967.96117390104</v>
      </c>
      <c r="I109" s="577">
        <v>215967.96117390104</v>
      </c>
      <c r="J109" s="514">
        <f t="shared" si="30"/>
        <v>0</v>
      </c>
      <c r="K109" s="514"/>
      <c r="L109" s="525"/>
      <c r="M109" s="514">
        <f t="shared" si="32"/>
        <v>0</v>
      </c>
      <c r="N109" s="525"/>
      <c r="O109" s="514">
        <f t="shared" si="34"/>
        <v>0</v>
      </c>
      <c r="P109" s="514">
        <f t="shared" si="35"/>
        <v>0</v>
      </c>
      <c r="Q109" s="269"/>
    </row>
    <row r="110" spans="1:17">
      <c r="B110" s="195" t="str">
        <f t="shared" si="36"/>
        <v/>
      </c>
      <c r="C110" s="507">
        <f>IF(D93="","-",+C109+1)</f>
        <v>2023</v>
      </c>
      <c r="D110" s="374">
        <f>IF(F109+SUM(E$99:E109)=D$92,F109,D$92-SUM(E$99:E109))</f>
        <v>1434809.8558328613</v>
      </c>
      <c r="E110" s="522">
        <f>IF(+J96&lt;F109,J96,D110)</f>
        <v>45899.682926829271</v>
      </c>
      <c r="F110" s="523">
        <f t="shared" ref="F110:F131" si="48">+D110-E110</f>
        <v>1388910.1729060321</v>
      </c>
      <c r="G110" s="523">
        <f t="shared" ref="G110:G130" si="49">+(F110+D110)/2</f>
        <v>1411860.0143694468</v>
      </c>
      <c r="H110" s="526">
        <f t="shared" ref="H110:H130" si="50">+J$94*G110+E110</f>
        <v>206165.88020325411</v>
      </c>
      <c r="I110" s="577">
        <f t="shared" ref="I110:I130" si="51">+J$95*G110+E110</f>
        <v>206165.88020325411</v>
      </c>
      <c r="J110" s="514">
        <f t="shared" si="30"/>
        <v>0</v>
      </c>
      <c r="K110" s="514"/>
      <c r="L110" s="525"/>
      <c r="M110" s="514">
        <f t="shared" si="32"/>
        <v>0</v>
      </c>
      <c r="N110" s="525"/>
      <c r="O110" s="514">
        <f t="shared" si="34"/>
        <v>0</v>
      </c>
      <c r="P110" s="514">
        <f t="shared" si="35"/>
        <v>0</v>
      </c>
      <c r="Q110" s="269"/>
    </row>
    <row r="111" spans="1:17">
      <c r="B111" s="195" t="str">
        <f t="shared" si="36"/>
        <v/>
      </c>
      <c r="C111" s="507">
        <f>IF(D93="","-",+C110+1)</f>
        <v>2024</v>
      </c>
      <c r="D111" s="374">
        <f>IF(F110+SUM(E$99:E110)=D$92,F110,D$92-SUM(E$99:E110))</f>
        <v>1388910.1729060321</v>
      </c>
      <c r="E111" s="522">
        <f>IF(+J96&lt;F110,J96,D111)</f>
        <v>45899.682926829271</v>
      </c>
      <c r="F111" s="523">
        <f t="shared" si="48"/>
        <v>1343010.4899792029</v>
      </c>
      <c r="G111" s="523">
        <f t="shared" si="49"/>
        <v>1365960.3314426173</v>
      </c>
      <c r="H111" s="526">
        <f t="shared" si="50"/>
        <v>200955.61320510419</v>
      </c>
      <c r="I111" s="577">
        <f t="shared" si="51"/>
        <v>200955.61320510419</v>
      </c>
      <c r="J111" s="514">
        <f t="shared" si="30"/>
        <v>0</v>
      </c>
      <c r="K111" s="514"/>
      <c r="L111" s="525"/>
      <c r="M111" s="514">
        <f t="shared" si="32"/>
        <v>0</v>
      </c>
      <c r="N111" s="525"/>
      <c r="O111" s="514">
        <f t="shared" si="34"/>
        <v>0</v>
      </c>
      <c r="P111" s="514">
        <f t="shared" si="35"/>
        <v>0</v>
      </c>
      <c r="Q111" s="269"/>
    </row>
    <row r="112" spans="1:17">
      <c r="B112" s="195" t="str">
        <f t="shared" si="36"/>
        <v/>
      </c>
      <c r="C112" s="507">
        <f>IF(D93="","-",+C111+1)</f>
        <v>2025</v>
      </c>
      <c r="D112" s="374">
        <f>IF(F111+SUM(E$99:E111)=D$92,F111,D$92-SUM(E$99:E111))</f>
        <v>1343010.4899792029</v>
      </c>
      <c r="E112" s="522">
        <f>IF(+J96&lt;F111,J96,D112)</f>
        <v>45899.682926829271</v>
      </c>
      <c r="F112" s="523">
        <f t="shared" si="48"/>
        <v>1297110.8070523737</v>
      </c>
      <c r="G112" s="523">
        <f t="shared" si="49"/>
        <v>1320060.6485157884</v>
      </c>
      <c r="H112" s="526">
        <f t="shared" si="50"/>
        <v>195745.34620695433</v>
      </c>
      <c r="I112" s="577">
        <f t="shared" si="51"/>
        <v>195745.34620695433</v>
      </c>
      <c r="J112" s="514">
        <f t="shared" si="30"/>
        <v>0</v>
      </c>
      <c r="K112" s="514"/>
      <c r="L112" s="525"/>
      <c r="M112" s="514">
        <f t="shared" si="32"/>
        <v>0</v>
      </c>
      <c r="N112" s="525"/>
      <c r="O112" s="514">
        <f t="shared" si="34"/>
        <v>0</v>
      </c>
      <c r="P112" s="514">
        <f t="shared" si="35"/>
        <v>0</v>
      </c>
      <c r="Q112" s="269"/>
    </row>
    <row r="113" spans="2:17">
      <c r="B113" s="195" t="str">
        <f t="shared" si="36"/>
        <v/>
      </c>
      <c r="C113" s="507">
        <f>IF(D93="","-",+C112+1)</f>
        <v>2026</v>
      </c>
      <c r="D113" s="374">
        <f>IF(F112+SUM(E$99:E112)=D$92,F112,D$92-SUM(E$99:E112))</f>
        <v>1297110.8070523737</v>
      </c>
      <c r="E113" s="522">
        <f>IF(+J96&lt;F112,J96,D113)</f>
        <v>45899.682926829271</v>
      </c>
      <c r="F113" s="523">
        <f t="shared" si="48"/>
        <v>1251211.1241255444</v>
      </c>
      <c r="G113" s="523">
        <f t="shared" si="49"/>
        <v>1274160.9655889589</v>
      </c>
      <c r="H113" s="526">
        <f t="shared" si="50"/>
        <v>190535.07920880441</v>
      </c>
      <c r="I113" s="577">
        <f t="shared" si="51"/>
        <v>190535.07920880441</v>
      </c>
      <c r="J113" s="514">
        <f t="shared" si="30"/>
        <v>0</v>
      </c>
      <c r="K113" s="514"/>
      <c r="L113" s="525"/>
      <c r="M113" s="514">
        <f t="shared" si="32"/>
        <v>0</v>
      </c>
      <c r="N113" s="525"/>
      <c r="O113" s="514">
        <f t="shared" si="34"/>
        <v>0</v>
      </c>
      <c r="P113" s="514">
        <f t="shared" si="35"/>
        <v>0</v>
      </c>
      <c r="Q113" s="269"/>
    </row>
    <row r="114" spans="2:17">
      <c r="B114" s="195" t="str">
        <f t="shared" si="36"/>
        <v/>
      </c>
      <c r="C114" s="507">
        <f>IF(D93="","-",+C113+1)</f>
        <v>2027</v>
      </c>
      <c r="D114" s="374">
        <f>IF(F113+SUM(E$99:E113)=D$92,F113,D$92-SUM(E$99:E113))</f>
        <v>1251211.1241255444</v>
      </c>
      <c r="E114" s="522">
        <f>IF(+J96&lt;F113,J96,D114)</f>
        <v>45899.682926829271</v>
      </c>
      <c r="F114" s="523">
        <f t="shared" si="48"/>
        <v>1205311.4411987152</v>
      </c>
      <c r="G114" s="523">
        <f t="shared" si="49"/>
        <v>1228261.28266213</v>
      </c>
      <c r="H114" s="526">
        <f t="shared" si="50"/>
        <v>185324.81221065455</v>
      </c>
      <c r="I114" s="577">
        <f t="shared" si="51"/>
        <v>185324.81221065455</v>
      </c>
      <c r="J114" s="514">
        <f t="shared" si="30"/>
        <v>0</v>
      </c>
      <c r="K114" s="514"/>
      <c r="L114" s="525"/>
      <c r="M114" s="514">
        <f t="shared" si="32"/>
        <v>0</v>
      </c>
      <c r="N114" s="525"/>
      <c r="O114" s="514">
        <f t="shared" si="34"/>
        <v>0</v>
      </c>
      <c r="P114" s="514">
        <f t="shared" si="35"/>
        <v>0</v>
      </c>
      <c r="Q114" s="269"/>
    </row>
    <row r="115" spans="2:17">
      <c r="B115" s="195" t="str">
        <f t="shared" si="36"/>
        <v/>
      </c>
      <c r="C115" s="507">
        <f>IF(D93="","-",+C114+1)</f>
        <v>2028</v>
      </c>
      <c r="D115" s="374">
        <f>IF(F114+SUM(E$99:E114)=D$92,F114,D$92-SUM(E$99:E114))</f>
        <v>1205311.4411987152</v>
      </c>
      <c r="E115" s="522">
        <f>IF(+J96&lt;F114,J96,D115)</f>
        <v>45899.682926829271</v>
      </c>
      <c r="F115" s="523">
        <f t="shared" si="48"/>
        <v>1159411.758271886</v>
      </c>
      <c r="G115" s="523">
        <f t="shared" si="49"/>
        <v>1182361.5997353005</v>
      </c>
      <c r="H115" s="526">
        <f t="shared" si="50"/>
        <v>180114.54521250463</v>
      </c>
      <c r="I115" s="577">
        <f t="shared" si="51"/>
        <v>180114.54521250463</v>
      </c>
      <c r="J115" s="514">
        <f t="shared" si="30"/>
        <v>0</v>
      </c>
      <c r="K115" s="514"/>
      <c r="L115" s="525"/>
      <c r="M115" s="514">
        <f t="shared" si="32"/>
        <v>0</v>
      </c>
      <c r="N115" s="525"/>
      <c r="O115" s="514">
        <f t="shared" si="34"/>
        <v>0</v>
      </c>
      <c r="P115" s="514">
        <f t="shared" si="35"/>
        <v>0</v>
      </c>
      <c r="Q115" s="269"/>
    </row>
    <row r="116" spans="2:17">
      <c r="B116" s="195" t="str">
        <f t="shared" si="36"/>
        <v/>
      </c>
      <c r="C116" s="507">
        <f>IF(D93="","-",+C115+1)</f>
        <v>2029</v>
      </c>
      <c r="D116" s="374">
        <f>IF(F115+SUM(E$99:E115)=D$92,F115,D$92-SUM(E$99:E115))</f>
        <v>1159411.758271886</v>
      </c>
      <c r="E116" s="522">
        <f>IF(+J96&lt;F115,J96,D116)</f>
        <v>45899.682926829271</v>
      </c>
      <c r="F116" s="523">
        <f t="shared" si="48"/>
        <v>1113512.0753450568</v>
      </c>
      <c r="G116" s="523">
        <f t="shared" si="49"/>
        <v>1136461.9168084715</v>
      </c>
      <c r="H116" s="526">
        <f t="shared" si="50"/>
        <v>174904.2782143548</v>
      </c>
      <c r="I116" s="577">
        <f t="shared" si="51"/>
        <v>174904.2782143548</v>
      </c>
      <c r="J116" s="514">
        <f t="shared" si="30"/>
        <v>0</v>
      </c>
      <c r="K116" s="514"/>
      <c r="L116" s="525"/>
      <c r="M116" s="514">
        <f t="shared" si="32"/>
        <v>0</v>
      </c>
      <c r="N116" s="525"/>
      <c r="O116" s="514">
        <f t="shared" si="34"/>
        <v>0</v>
      </c>
      <c r="P116" s="514">
        <f t="shared" si="35"/>
        <v>0</v>
      </c>
      <c r="Q116" s="269"/>
    </row>
    <row r="117" spans="2:17">
      <c r="B117" s="195" t="str">
        <f t="shared" si="36"/>
        <v/>
      </c>
      <c r="C117" s="507">
        <f>IF(D93="","-",+C116+1)</f>
        <v>2030</v>
      </c>
      <c r="D117" s="374">
        <f>IF(F116+SUM(E$99:E116)=D$92,F116,D$92-SUM(E$99:E116))</f>
        <v>1113512.0753450568</v>
      </c>
      <c r="E117" s="522">
        <f>IF(+J96&lt;F116,J96,D117)</f>
        <v>45899.682926829271</v>
      </c>
      <c r="F117" s="523">
        <f t="shared" si="48"/>
        <v>1067612.3924182276</v>
      </c>
      <c r="G117" s="523">
        <f t="shared" si="49"/>
        <v>1090562.2338816421</v>
      </c>
      <c r="H117" s="526">
        <f t="shared" si="50"/>
        <v>169694.01121620488</v>
      </c>
      <c r="I117" s="577">
        <f t="shared" si="51"/>
        <v>169694.01121620488</v>
      </c>
      <c r="J117" s="514">
        <f t="shared" si="30"/>
        <v>0</v>
      </c>
      <c r="K117" s="514"/>
      <c r="L117" s="525"/>
      <c r="M117" s="514">
        <f t="shared" si="32"/>
        <v>0</v>
      </c>
      <c r="N117" s="525"/>
      <c r="O117" s="514">
        <f t="shared" si="34"/>
        <v>0</v>
      </c>
      <c r="P117" s="514">
        <f t="shared" si="35"/>
        <v>0</v>
      </c>
      <c r="Q117" s="269"/>
    </row>
    <row r="118" spans="2:17">
      <c r="B118" s="195" t="str">
        <f t="shared" si="36"/>
        <v/>
      </c>
      <c r="C118" s="507">
        <f>IF(D93="","-",+C117+1)</f>
        <v>2031</v>
      </c>
      <c r="D118" s="374">
        <f>IF(F117+SUM(E$99:E117)=D$92,F117,D$92-SUM(E$99:E117))</f>
        <v>1067612.3924182276</v>
      </c>
      <c r="E118" s="522">
        <f>IF(+J96&lt;F117,J96,D118)</f>
        <v>45899.682926829271</v>
      </c>
      <c r="F118" s="523">
        <f t="shared" si="48"/>
        <v>1021712.7094913983</v>
      </c>
      <c r="G118" s="523">
        <f t="shared" si="49"/>
        <v>1044662.5509548129</v>
      </c>
      <c r="H118" s="526">
        <f t="shared" si="50"/>
        <v>164483.74421805498</v>
      </c>
      <c r="I118" s="577">
        <f t="shared" si="51"/>
        <v>164483.74421805498</v>
      </c>
      <c r="J118" s="514">
        <f t="shared" si="30"/>
        <v>0</v>
      </c>
      <c r="K118" s="514"/>
      <c r="L118" s="525"/>
      <c r="M118" s="514">
        <f t="shared" si="32"/>
        <v>0</v>
      </c>
      <c r="N118" s="525"/>
      <c r="O118" s="514">
        <f t="shared" si="34"/>
        <v>0</v>
      </c>
      <c r="P118" s="514">
        <f t="shared" si="35"/>
        <v>0</v>
      </c>
      <c r="Q118" s="269"/>
    </row>
    <row r="119" spans="2:17">
      <c r="B119" s="195" t="str">
        <f t="shared" si="36"/>
        <v/>
      </c>
      <c r="C119" s="507">
        <f>IF(D93="","-",+C118+1)</f>
        <v>2032</v>
      </c>
      <c r="D119" s="374">
        <f>IF(F118+SUM(E$99:E118)=D$92,F118,D$92-SUM(E$99:E118))</f>
        <v>1021712.7094913983</v>
      </c>
      <c r="E119" s="522">
        <f>IF(+J96&lt;F118,J96,D119)</f>
        <v>45899.682926829271</v>
      </c>
      <c r="F119" s="523">
        <f t="shared" si="48"/>
        <v>975813.02656456898</v>
      </c>
      <c r="G119" s="523">
        <f t="shared" si="49"/>
        <v>998762.8680279837</v>
      </c>
      <c r="H119" s="526">
        <f t="shared" si="50"/>
        <v>159273.47721990509</v>
      </c>
      <c r="I119" s="577">
        <f t="shared" si="51"/>
        <v>159273.47721990509</v>
      </c>
      <c r="J119" s="514">
        <f t="shared" si="30"/>
        <v>0</v>
      </c>
      <c r="K119" s="514"/>
      <c r="L119" s="525"/>
      <c r="M119" s="514">
        <f t="shared" si="32"/>
        <v>0</v>
      </c>
      <c r="N119" s="525"/>
      <c r="O119" s="514">
        <f t="shared" si="34"/>
        <v>0</v>
      </c>
      <c r="P119" s="514">
        <f t="shared" si="35"/>
        <v>0</v>
      </c>
      <c r="Q119" s="269"/>
    </row>
    <row r="120" spans="2:17">
      <c r="B120" s="195" t="str">
        <f t="shared" si="36"/>
        <v/>
      </c>
      <c r="C120" s="507">
        <f>IF(D93="","-",+C119+1)</f>
        <v>2033</v>
      </c>
      <c r="D120" s="374">
        <f>IF(F119+SUM(E$99:E119)=D$92,F119,D$92-SUM(E$99:E119))</f>
        <v>975813.02656456898</v>
      </c>
      <c r="E120" s="522">
        <f>IF(+J96&lt;F119,J96,D120)</f>
        <v>45899.682926829271</v>
      </c>
      <c r="F120" s="523">
        <f t="shared" si="48"/>
        <v>929913.34363773966</v>
      </c>
      <c r="G120" s="523">
        <f t="shared" si="49"/>
        <v>952863.18510115426</v>
      </c>
      <c r="H120" s="526">
        <f t="shared" si="50"/>
        <v>154063.21022175517</v>
      </c>
      <c r="I120" s="577">
        <f t="shared" si="51"/>
        <v>154063.21022175517</v>
      </c>
      <c r="J120" s="514">
        <f t="shared" si="30"/>
        <v>0</v>
      </c>
      <c r="K120" s="514"/>
      <c r="L120" s="525"/>
      <c r="M120" s="514">
        <f t="shared" si="32"/>
        <v>0</v>
      </c>
      <c r="N120" s="525"/>
      <c r="O120" s="514">
        <f t="shared" si="34"/>
        <v>0</v>
      </c>
      <c r="P120" s="514">
        <f t="shared" si="35"/>
        <v>0</v>
      </c>
      <c r="Q120" s="269"/>
    </row>
    <row r="121" spans="2:17">
      <c r="B121" s="195" t="str">
        <f t="shared" si="36"/>
        <v/>
      </c>
      <c r="C121" s="507">
        <f>IF(D93="","-",+C120+1)</f>
        <v>2034</v>
      </c>
      <c r="D121" s="374">
        <f>IF(F120+SUM(E$99:E120)=D$92,F120,D$92-SUM(E$99:E120))</f>
        <v>929913.34363773966</v>
      </c>
      <c r="E121" s="522">
        <f>IF(+J96&lt;F120,J96,D121)</f>
        <v>45899.682926829271</v>
      </c>
      <c r="F121" s="523">
        <f t="shared" si="48"/>
        <v>884013.66071091034</v>
      </c>
      <c r="G121" s="523">
        <f t="shared" si="49"/>
        <v>906963.50217432505</v>
      </c>
      <c r="H121" s="526">
        <f t="shared" si="50"/>
        <v>148852.94322360528</v>
      </c>
      <c r="I121" s="577">
        <f t="shared" si="51"/>
        <v>148852.94322360528</v>
      </c>
      <c r="J121" s="514">
        <f t="shared" si="30"/>
        <v>0</v>
      </c>
      <c r="K121" s="514"/>
      <c r="L121" s="525"/>
      <c r="M121" s="514">
        <f t="shared" si="32"/>
        <v>0</v>
      </c>
      <c r="N121" s="525"/>
      <c r="O121" s="514">
        <f t="shared" si="34"/>
        <v>0</v>
      </c>
      <c r="P121" s="514">
        <f t="shared" si="35"/>
        <v>0</v>
      </c>
      <c r="Q121" s="269"/>
    </row>
    <row r="122" spans="2:17">
      <c r="B122" s="195" t="str">
        <f t="shared" si="36"/>
        <v/>
      </c>
      <c r="C122" s="507">
        <f>IF(D93="","-",+C121+1)</f>
        <v>2035</v>
      </c>
      <c r="D122" s="374">
        <f>IF(F121+SUM(E$99:E121)=D$92,F121,D$92-SUM(E$99:E121))</f>
        <v>884013.66071091034</v>
      </c>
      <c r="E122" s="522">
        <f>IF(+J96&lt;F121,J96,D122)</f>
        <v>45899.682926829271</v>
      </c>
      <c r="F122" s="523">
        <f t="shared" si="48"/>
        <v>838113.97778408101</v>
      </c>
      <c r="G122" s="523">
        <f t="shared" si="49"/>
        <v>861063.81924749562</v>
      </c>
      <c r="H122" s="526">
        <f t="shared" si="50"/>
        <v>143642.67622545536</v>
      </c>
      <c r="I122" s="577">
        <f t="shared" si="51"/>
        <v>143642.67622545536</v>
      </c>
      <c r="J122" s="514">
        <f t="shared" si="30"/>
        <v>0</v>
      </c>
      <c r="K122" s="514"/>
      <c r="L122" s="525"/>
      <c r="M122" s="514">
        <f t="shared" si="32"/>
        <v>0</v>
      </c>
      <c r="N122" s="525"/>
      <c r="O122" s="514">
        <f t="shared" si="34"/>
        <v>0</v>
      </c>
      <c r="P122" s="514">
        <f t="shared" si="35"/>
        <v>0</v>
      </c>
      <c r="Q122" s="269"/>
    </row>
    <row r="123" spans="2:17">
      <c r="B123" s="195" t="str">
        <f t="shared" si="36"/>
        <v/>
      </c>
      <c r="C123" s="507">
        <f>IF(D93="","-",+C122+1)</f>
        <v>2036</v>
      </c>
      <c r="D123" s="374">
        <f>IF(F122+SUM(E$99:E122)=D$92,F122,D$92-SUM(E$99:E122))</f>
        <v>838113.97778408101</v>
      </c>
      <c r="E123" s="522">
        <f>IF(+J96&lt;F122,J96,D123)</f>
        <v>45899.682926829271</v>
      </c>
      <c r="F123" s="523">
        <f t="shared" si="48"/>
        <v>792214.29485725169</v>
      </c>
      <c r="G123" s="523">
        <f t="shared" si="49"/>
        <v>815164.13632066641</v>
      </c>
      <c r="H123" s="526">
        <f t="shared" si="50"/>
        <v>138432.40922730547</v>
      </c>
      <c r="I123" s="577">
        <f t="shared" si="51"/>
        <v>138432.40922730547</v>
      </c>
      <c r="J123" s="514">
        <f t="shared" si="30"/>
        <v>0</v>
      </c>
      <c r="K123" s="514"/>
      <c r="L123" s="525"/>
      <c r="M123" s="514">
        <f t="shared" si="32"/>
        <v>0</v>
      </c>
      <c r="N123" s="525"/>
      <c r="O123" s="514">
        <f t="shared" si="34"/>
        <v>0</v>
      </c>
      <c r="P123" s="514">
        <f t="shared" si="35"/>
        <v>0</v>
      </c>
      <c r="Q123" s="269"/>
    </row>
    <row r="124" spans="2:17">
      <c r="B124" s="195" t="str">
        <f t="shared" si="36"/>
        <v/>
      </c>
      <c r="C124" s="507">
        <f>IF(D93="","-",+C123+1)</f>
        <v>2037</v>
      </c>
      <c r="D124" s="374">
        <f>IF(F123+SUM(E$99:E123)=D$92,F123,D$92-SUM(E$99:E123))</f>
        <v>792214.29485725169</v>
      </c>
      <c r="E124" s="522">
        <f>IF(+J96&lt;F123,J96,D124)</f>
        <v>45899.682926829271</v>
      </c>
      <c r="F124" s="523">
        <f t="shared" si="48"/>
        <v>746314.61193042237</v>
      </c>
      <c r="G124" s="523">
        <f t="shared" si="49"/>
        <v>769264.45339383697</v>
      </c>
      <c r="H124" s="526">
        <f t="shared" si="50"/>
        <v>133222.14222915555</v>
      </c>
      <c r="I124" s="577">
        <f t="shared" si="51"/>
        <v>133222.14222915555</v>
      </c>
      <c r="J124" s="514">
        <f t="shared" si="30"/>
        <v>0</v>
      </c>
      <c r="K124" s="514"/>
      <c r="L124" s="525"/>
      <c r="M124" s="514">
        <f t="shared" si="32"/>
        <v>0</v>
      </c>
      <c r="N124" s="525"/>
      <c r="O124" s="514">
        <f t="shared" si="34"/>
        <v>0</v>
      </c>
      <c r="P124" s="514">
        <f t="shared" si="35"/>
        <v>0</v>
      </c>
      <c r="Q124" s="269"/>
    </row>
    <row r="125" spans="2:17">
      <c r="B125" s="195" t="str">
        <f t="shared" si="36"/>
        <v/>
      </c>
      <c r="C125" s="507">
        <f>IF(D93="","-",+C124+1)</f>
        <v>2038</v>
      </c>
      <c r="D125" s="374">
        <f>IF(F124+SUM(E$99:E124)=D$92,F124,D$92-SUM(E$99:E124))</f>
        <v>746314.61193042237</v>
      </c>
      <c r="E125" s="522">
        <f>IF(+J96&lt;F124,J96,D125)</f>
        <v>45899.682926829271</v>
      </c>
      <c r="F125" s="523">
        <f t="shared" si="48"/>
        <v>700414.92900359305</v>
      </c>
      <c r="G125" s="523">
        <f t="shared" si="49"/>
        <v>723364.77046700777</v>
      </c>
      <c r="H125" s="526">
        <f t="shared" si="50"/>
        <v>128011.87523100566</v>
      </c>
      <c r="I125" s="577">
        <f t="shared" si="51"/>
        <v>128011.87523100566</v>
      </c>
      <c r="J125" s="514">
        <f t="shared" si="30"/>
        <v>0</v>
      </c>
      <c r="K125" s="514"/>
      <c r="L125" s="525"/>
      <c r="M125" s="514">
        <f t="shared" si="32"/>
        <v>0</v>
      </c>
      <c r="N125" s="525"/>
      <c r="O125" s="514">
        <f t="shared" si="34"/>
        <v>0</v>
      </c>
      <c r="P125" s="514">
        <f t="shared" si="35"/>
        <v>0</v>
      </c>
      <c r="Q125" s="269"/>
    </row>
    <row r="126" spans="2:17">
      <c r="B126" s="195" t="str">
        <f t="shared" si="36"/>
        <v/>
      </c>
      <c r="C126" s="507">
        <f>IF(D93="","-",+C125+1)</f>
        <v>2039</v>
      </c>
      <c r="D126" s="374">
        <f>IF(F125+SUM(E$99:E125)=D$92,F125,D$92-SUM(E$99:E125))</f>
        <v>700414.92900359305</v>
      </c>
      <c r="E126" s="522">
        <f>IF(+J96&lt;F125,J96,D126)</f>
        <v>45899.682926829271</v>
      </c>
      <c r="F126" s="523">
        <f t="shared" si="48"/>
        <v>654515.24607676372</v>
      </c>
      <c r="G126" s="523">
        <f t="shared" si="49"/>
        <v>677465.08754017833</v>
      </c>
      <c r="H126" s="526">
        <f t="shared" si="50"/>
        <v>122801.60823285574</v>
      </c>
      <c r="I126" s="577">
        <f t="shared" si="51"/>
        <v>122801.60823285574</v>
      </c>
      <c r="J126" s="514">
        <f t="shared" si="30"/>
        <v>0</v>
      </c>
      <c r="K126" s="514"/>
      <c r="L126" s="525"/>
      <c r="M126" s="514">
        <f t="shared" si="32"/>
        <v>0</v>
      </c>
      <c r="N126" s="525"/>
      <c r="O126" s="514">
        <f t="shared" si="34"/>
        <v>0</v>
      </c>
      <c r="P126" s="514">
        <f t="shared" si="35"/>
        <v>0</v>
      </c>
      <c r="Q126" s="269"/>
    </row>
    <row r="127" spans="2:17">
      <c r="B127" s="195" t="str">
        <f t="shared" si="36"/>
        <v/>
      </c>
      <c r="C127" s="507">
        <f>IF(D93="","-",+C126+1)</f>
        <v>2040</v>
      </c>
      <c r="D127" s="374">
        <f>IF(F126+SUM(E$99:E126)=D$92,F126,D$92-SUM(E$99:E126))</f>
        <v>654515.24607676372</v>
      </c>
      <c r="E127" s="522">
        <f>IF(+J96&lt;F126,J96,D127)</f>
        <v>45899.682926829271</v>
      </c>
      <c r="F127" s="523">
        <f t="shared" si="48"/>
        <v>608615.5631499344</v>
      </c>
      <c r="G127" s="523">
        <f t="shared" si="49"/>
        <v>631565.40461334912</v>
      </c>
      <c r="H127" s="526">
        <f t="shared" si="50"/>
        <v>117591.34123470585</v>
      </c>
      <c r="I127" s="577">
        <f t="shared" si="51"/>
        <v>117591.34123470585</v>
      </c>
      <c r="J127" s="514">
        <f t="shared" si="30"/>
        <v>0</v>
      </c>
      <c r="K127" s="514"/>
      <c r="L127" s="525"/>
      <c r="M127" s="514">
        <f t="shared" si="32"/>
        <v>0</v>
      </c>
      <c r="N127" s="525"/>
      <c r="O127" s="514">
        <f t="shared" si="34"/>
        <v>0</v>
      </c>
      <c r="P127" s="514">
        <f t="shared" si="35"/>
        <v>0</v>
      </c>
      <c r="Q127" s="269"/>
    </row>
    <row r="128" spans="2:17">
      <c r="B128" s="195" t="str">
        <f t="shared" si="36"/>
        <v/>
      </c>
      <c r="C128" s="507">
        <f>IF(D93="","-",+C127+1)</f>
        <v>2041</v>
      </c>
      <c r="D128" s="374">
        <f>IF(F127+SUM(E$99:E127)=D$92,F127,D$92-SUM(E$99:E127))</f>
        <v>608615.5631499344</v>
      </c>
      <c r="E128" s="522">
        <f>IF(+J96&lt;F127,J96,D128)</f>
        <v>45899.682926829271</v>
      </c>
      <c r="F128" s="523">
        <f t="shared" si="48"/>
        <v>562715.88022310508</v>
      </c>
      <c r="G128" s="523">
        <f t="shared" si="49"/>
        <v>585665.72168651968</v>
      </c>
      <c r="H128" s="526">
        <f t="shared" si="50"/>
        <v>112381.07423655593</v>
      </c>
      <c r="I128" s="577">
        <f t="shared" si="51"/>
        <v>112381.07423655593</v>
      </c>
      <c r="J128" s="514">
        <f t="shared" si="30"/>
        <v>0</v>
      </c>
      <c r="K128" s="514"/>
      <c r="L128" s="525"/>
      <c r="M128" s="514">
        <f t="shared" si="32"/>
        <v>0</v>
      </c>
      <c r="N128" s="525"/>
      <c r="O128" s="514">
        <f t="shared" si="34"/>
        <v>0</v>
      </c>
      <c r="P128" s="514">
        <f t="shared" si="35"/>
        <v>0</v>
      </c>
      <c r="Q128" s="269"/>
    </row>
    <row r="129" spans="2:17">
      <c r="B129" s="195" t="str">
        <f t="shared" si="36"/>
        <v/>
      </c>
      <c r="C129" s="507">
        <f>IF(D93="","-",+C128+1)</f>
        <v>2042</v>
      </c>
      <c r="D129" s="374">
        <f>IF(F128+SUM(E$99:E128)=D$92,F128,D$92-SUM(E$99:E128))</f>
        <v>562715.88022310508</v>
      </c>
      <c r="E129" s="522">
        <f>IF(+J96&lt;F128,J96,D129)</f>
        <v>45899.682926829271</v>
      </c>
      <c r="F129" s="523">
        <f t="shared" si="48"/>
        <v>516816.19729627582</v>
      </c>
      <c r="G129" s="523">
        <f t="shared" si="49"/>
        <v>539766.03875969048</v>
      </c>
      <c r="H129" s="526">
        <f t="shared" si="50"/>
        <v>107170.80723840604</v>
      </c>
      <c r="I129" s="577">
        <f t="shared" si="51"/>
        <v>107170.80723840604</v>
      </c>
      <c r="J129" s="514">
        <f t="shared" si="30"/>
        <v>0</v>
      </c>
      <c r="K129" s="514"/>
      <c r="L129" s="525"/>
      <c r="M129" s="514">
        <f t="shared" si="32"/>
        <v>0</v>
      </c>
      <c r="N129" s="525"/>
      <c r="O129" s="514">
        <f t="shared" si="34"/>
        <v>0</v>
      </c>
      <c r="P129" s="514">
        <f t="shared" si="35"/>
        <v>0</v>
      </c>
      <c r="Q129" s="269"/>
    </row>
    <row r="130" spans="2:17">
      <c r="B130" s="195" t="str">
        <f t="shared" si="36"/>
        <v/>
      </c>
      <c r="C130" s="507">
        <f>IF(D93="","-",+C129+1)</f>
        <v>2043</v>
      </c>
      <c r="D130" s="374">
        <f>IF(F129+SUM(E$99:E129)=D$92,F129,D$92-SUM(E$99:E129))</f>
        <v>516816.19729627582</v>
      </c>
      <c r="E130" s="522">
        <f>IF(+J96&lt;F129,J96,D130)</f>
        <v>45899.682926829271</v>
      </c>
      <c r="F130" s="523">
        <f t="shared" si="48"/>
        <v>470916.51436944655</v>
      </c>
      <c r="G130" s="523">
        <f t="shared" si="49"/>
        <v>493866.35583286115</v>
      </c>
      <c r="H130" s="526">
        <f t="shared" si="50"/>
        <v>101960.54024025614</v>
      </c>
      <c r="I130" s="577">
        <f t="shared" si="51"/>
        <v>101960.54024025614</v>
      </c>
      <c r="J130" s="514">
        <f t="shared" si="30"/>
        <v>0</v>
      </c>
      <c r="K130" s="514"/>
      <c r="L130" s="525"/>
      <c r="M130" s="514">
        <f t="shared" si="32"/>
        <v>0</v>
      </c>
      <c r="N130" s="525"/>
      <c r="O130" s="514">
        <f t="shared" si="34"/>
        <v>0</v>
      </c>
      <c r="P130" s="514">
        <f t="shared" si="35"/>
        <v>0</v>
      </c>
      <c r="Q130" s="269"/>
    </row>
    <row r="131" spans="2:17">
      <c r="B131" s="195" t="str">
        <f t="shared" si="36"/>
        <v/>
      </c>
      <c r="C131" s="507">
        <f>IF(D93="","-",+C130+1)</f>
        <v>2044</v>
      </c>
      <c r="D131" s="374">
        <f>IF(F130+SUM(E$99:E130)=D$92,F130,D$92-SUM(E$99:E130))</f>
        <v>470916.51436944655</v>
      </c>
      <c r="E131" s="522">
        <f>IF(+J96&lt;F130,J96,D131)</f>
        <v>45899.682926829271</v>
      </c>
      <c r="F131" s="523">
        <f t="shared" si="48"/>
        <v>425016.83144261729</v>
      </c>
      <c r="G131" s="523">
        <f t="shared" ref="G131:G154" si="52">+(F131+D131)/2</f>
        <v>447966.67290603195</v>
      </c>
      <c r="H131" s="526">
        <f t="shared" ref="H131:H154" si="53">+J$94*G131+E131</f>
        <v>96750.273242106254</v>
      </c>
      <c r="I131" s="577">
        <f t="shared" ref="I131:I154" si="54">+J$95*G131+E131</f>
        <v>96750.273242106254</v>
      </c>
      <c r="J131" s="514">
        <f t="shared" ref="J131:J154" si="55">+I131-H131</f>
        <v>0</v>
      </c>
      <c r="K131" s="514"/>
      <c r="L131" s="525"/>
      <c r="M131" s="514">
        <f t="shared" ref="M131:M154" si="56">IF(L131&lt;&gt;0,+H131-L131,0)</f>
        <v>0</v>
      </c>
      <c r="N131" s="525"/>
      <c r="O131" s="514">
        <f t="shared" ref="O131:O154" si="57">IF(N131&lt;&gt;0,+I131-N131,0)</f>
        <v>0</v>
      </c>
      <c r="P131" s="514">
        <f t="shared" ref="P131:P154" si="58">+O131-M131</f>
        <v>0</v>
      </c>
      <c r="Q131" s="269"/>
    </row>
    <row r="132" spans="2:17">
      <c r="B132" s="195" t="str">
        <f t="shared" ref="B132:B154" si="59">IF(D132=F131,"","IU")</f>
        <v/>
      </c>
      <c r="C132" s="507">
        <f>IF(D93="","-",+C131+1)</f>
        <v>2045</v>
      </c>
      <c r="D132" s="374">
        <f>IF(F131+SUM(E$99:E131)=D$92,F131,D$92-SUM(E$99:E131))</f>
        <v>425016.83144261729</v>
      </c>
      <c r="E132" s="522">
        <f>IF(+J96&lt;F131,J96,D132)</f>
        <v>45899.682926829271</v>
      </c>
      <c r="F132" s="523">
        <f t="shared" ref="F132:F154" si="60">+D132-E132</f>
        <v>379117.14851578802</v>
      </c>
      <c r="G132" s="523">
        <f t="shared" si="52"/>
        <v>402066.98997920263</v>
      </c>
      <c r="H132" s="526">
        <f t="shared" si="53"/>
        <v>91540.006243956333</v>
      </c>
      <c r="I132" s="577">
        <f t="shared" si="54"/>
        <v>91540.006243956333</v>
      </c>
      <c r="J132" s="514">
        <f t="shared" si="55"/>
        <v>0</v>
      </c>
      <c r="K132" s="514"/>
      <c r="L132" s="525"/>
      <c r="M132" s="514">
        <f t="shared" si="56"/>
        <v>0</v>
      </c>
      <c r="N132" s="525"/>
      <c r="O132" s="514">
        <f t="shared" si="57"/>
        <v>0</v>
      </c>
      <c r="P132" s="514">
        <f t="shared" si="58"/>
        <v>0</v>
      </c>
      <c r="Q132" s="269"/>
    </row>
    <row r="133" spans="2:17">
      <c r="B133" s="195" t="str">
        <f t="shared" si="59"/>
        <v/>
      </c>
      <c r="C133" s="507">
        <f>IF(D93="","-",+C132+1)</f>
        <v>2046</v>
      </c>
      <c r="D133" s="374">
        <f>IF(F132+SUM(E$99:E132)=D$92,F132,D$92-SUM(E$99:E132))</f>
        <v>379117.14851578802</v>
      </c>
      <c r="E133" s="522">
        <f>IF(+J96&lt;F132,J96,D133)</f>
        <v>45899.682926829271</v>
      </c>
      <c r="F133" s="523">
        <f t="shared" si="60"/>
        <v>333217.46558895876</v>
      </c>
      <c r="G133" s="523">
        <f t="shared" si="52"/>
        <v>356167.30705237342</v>
      </c>
      <c r="H133" s="526">
        <f t="shared" si="53"/>
        <v>86329.739245806442</v>
      </c>
      <c r="I133" s="577">
        <f t="shared" si="54"/>
        <v>86329.739245806442</v>
      </c>
      <c r="J133" s="514">
        <f t="shared" si="55"/>
        <v>0</v>
      </c>
      <c r="K133" s="514"/>
      <c r="L133" s="525"/>
      <c r="M133" s="514">
        <f t="shared" si="56"/>
        <v>0</v>
      </c>
      <c r="N133" s="525"/>
      <c r="O133" s="514">
        <f t="shared" si="57"/>
        <v>0</v>
      </c>
      <c r="P133" s="514">
        <f t="shared" si="58"/>
        <v>0</v>
      </c>
      <c r="Q133" s="269"/>
    </row>
    <row r="134" spans="2:17">
      <c r="B134" s="195" t="str">
        <f t="shared" si="59"/>
        <v/>
      </c>
      <c r="C134" s="507">
        <f>IF(D93="","-",+C133+1)</f>
        <v>2047</v>
      </c>
      <c r="D134" s="374">
        <f>IF(F133+SUM(E$99:E133)=D$92,F133,D$92-SUM(E$99:E133))</f>
        <v>333217.46558895876</v>
      </c>
      <c r="E134" s="522">
        <f>IF(+J96&lt;F133,J96,D134)</f>
        <v>45899.682926829271</v>
      </c>
      <c r="F134" s="523">
        <f t="shared" si="60"/>
        <v>287317.7826621295</v>
      </c>
      <c r="G134" s="523">
        <f t="shared" si="52"/>
        <v>310267.6241255441</v>
      </c>
      <c r="H134" s="526">
        <f t="shared" si="53"/>
        <v>81119.472247656551</v>
      </c>
      <c r="I134" s="577">
        <f t="shared" si="54"/>
        <v>81119.472247656551</v>
      </c>
      <c r="J134" s="514">
        <f t="shared" si="55"/>
        <v>0</v>
      </c>
      <c r="K134" s="514"/>
      <c r="L134" s="525"/>
      <c r="M134" s="514">
        <f t="shared" si="56"/>
        <v>0</v>
      </c>
      <c r="N134" s="525"/>
      <c r="O134" s="514">
        <f t="shared" si="57"/>
        <v>0</v>
      </c>
      <c r="P134" s="514">
        <f t="shared" si="58"/>
        <v>0</v>
      </c>
      <c r="Q134" s="269"/>
    </row>
    <row r="135" spans="2:17">
      <c r="B135" s="195" t="str">
        <f t="shared" si="59"/>
        <v/>
      </c>
      <c r="C135" s="507">
        <f>IF(D93="","-",+C134+1)</f>
        <v>2048</v>
      </c>
      <c r="D135" s="374">
        <f>IF(F134+SUM(E$99:E134)=D$92,F134,D$92-SUM(E$99:E134))</f>
        <v>287317.7826621295</v>
      </c>
      <c r="E135" s="522">
        <f>IF(+J96&lt;F134,J96,D135)</f>
        <v>45899.682926829271</v>
      </c>
      <c r="F135" s="523">
        <f t="shared" si="60"/>
        <v>241418.09973530023</v>
      </c>
      <c r="G135" s="523">
        <f t="shared" si="52"/>
        <v>264367.94119871489</v>
      </c>
      <c r="H135" s="526">
        <f t="shared" si="53"/>
        <v>75909.20524950666</v>
      </c>
      <c r="I135" s="577">
        <f t="shared" si="54"/>
        <v>75909.20524950666</v>
      </c>
      <c r="J135" s="514">
        <f t="shared" si="55"/>
        <v>0</v>
      </c>
      <c r="K135" s="514"/>
      <c r="L135" s="525"/>
      <c r="M135" s="514">
        <f t="shared" si="56"/>
        <v>0</v>
      </c>
      <c r="N135" s="525"/>
      <c r="O135" s="514">
        <f t="shared" si="57"/>
        <v>0</v>
      </c>
      <c r="P135" s="514">
        <f t="shared" si="58"/>
        <v>0</v>
      </c>
      <c r="Q135" s="269"/>
    </row>
    <row r="136" spans="2:17">
      <c r="B136" s="195" t="str">
        <f t="shared" si="59"/>
        <v/>
      </c>
      <c r="C136" s="507">
        <f>IF(D93="","-",+C135+1)</f>
        <v>2049</v>
      </c>
      <c r="D136" s="374">
        <f>IF(F135+SUM(E$99:E135)=D$92,F135,D$92-SUM(E$99:E135))</f>
        <v>241418.09973530023</v>
      </c>
      <c r="E136" s="522">
        <f>IF(+J96&lt;F135,J96,D136)</f>
        <v>45899.682926829271</v>
      </c>
      <c r="F136" s="523">
        <f t="shared" si="60"/>
        <v>195518.41680847097</v>
      </c>
      <c r="G136" s="523">
        <f t="shared" si="52"/>
        <v>218468.2582718856</v>
      </c>
      <c r="H136" s="526">
        <f t="shared" si="53"/>
        <v>70698.938251356754</v>
      </c>
      <c r="I136" s="577">
        <f t="shared" si="54"/>
        <v>70698.938251356754</v>
      </c>
      <c r="J136" s="514">
        <f t="shared" si="55"/>
        <v>0</v>
      </c>
      <c r="K136" s="514"/>
      <c r="L136" s="525"/>
      <c r="M136" s="514">
        <f t="shared" si="56"/>
        <v>0</v>
      </c>
      <c r="N136" s="525"/>
      <c r="O136" s="514">
        <f t="shared" si="57"/>
        <v>0</v>
      </c>
      <c r="P136" s="514">
        <f t="shared" si="58"/>
        <v>0</v>
      </c>
      <c r="Q136" s="269"/>
    </row>
    <row r="137" spans="2:17">
      <c r="B137" s="195" t="str">
        <f t="shared" si="59"/>
        <v/>
      </c>
      <c r="C137" s="507">
        <f>IF(D93="","-",+C136+1)</f>
        <v>2050</v>
      </c>
      <c r="D137" s="374">
        <f>IF(F136+SUM(E$99:E136)=D$92,F136,D$92-SUM(E$99:E136))</f>
        <v>195518.41680847097</v>
      </c>
      <c r="E137" s="522">
        <f>IF(+J96&lt;F136,J96,D137)</f>
        <v>45899.682926829271</v>
      </c>
      <c r="F137" s="523">
        <f t="shared" si="60"/>
        <v>149618.7338816417</v>
      </c>
      <c r="G137" s="523">
        <f t="shared" si="52"/>
        <v>172568.57534505634</v>
      </c>
      <c r="H137" s="526">
        <f t="shared" si="53"/>
        <v>65488.671253206863</v>
      </c>
      <c r="I137" s="577">
        <f t="shared" si="54"/>
        <v>65488.671253206863</v>
      </c>
      <c r="J137" s="514">
        <f t="shared" si="55"/>
        <v>0</v>
      </c>
      <c r="K137" s="514"/>
      <c r="L137" s="525"/>
      <c r="M137" s="514">
        <f t="shared" si="56"/>
        <v>0</v>
      </c>
      <c r="N137" s="525"/>
      <c r="O137" s="514">
        <f t="shared" si="57"/>
        <v>0</v>
      </c>
      <c r="P137" s="514">
        <f t="shared" si="58"/>
        <v>0</v>
      </c>
      <c r="Q137" s="269"/>
    </row>
    <row r="138" spans="2:17">
      <c r="B138" s="195" t="str">
        <f t="shared" si="59"/>
        <v/>
      </c>
      <c r="C138" s="507">
        <f>IF(D93="","-",+C137+1)</f>
        <v>2051</v>
      </c>
      <c r="D138" s="374">
        <f>IF(F137+SUM(E$99:E137)=D$92,F137,D$92-SUM(E$99:E137))</f>
        <v>149618.7338816417</v>
      </c>
      <c r="E138" s="522">
        <f>IF(+J96&lt;F137,J96,D138)</f>
        <v>45899.682926829271</v>
      </c>
      <c r="F138" s="523">
        <f t="shared" si="60"/>
        <v>103719.05095481244</v>
      </c>
      <c r="G138" s="523">
        <f t="shared" si="52"/>
        <v>126668.89241822707</v>
      </c>
      <c r="H138" s="526">
        <f t="shared" si="53"/>
        <v>60278.404255056957</v>
      </c>
      <c r="I138" s="577">
        <f t="shared" si="54"/>
        <v>60278.404255056957</v>
      </c>
      <c r="J138" s="514">
        <f t="shared" si="55"/>
        <v>0</v>
      </c>
      <c r="K138" s="514"/>
      <c r="L138" s="525"/>
      <c r="M138" s="514">
        <f t="shared" si="56"/>
        <v>0</v>
      </c>
      <c r="N138" s="525"/>
      <c r="O138" s="514">
        <f t="shared" si="57"/>
        <v>0</v>
      </c>
      <c r="P138" s="514">
        <f t="shared" si="58"/>
        <v>0</v>
      </c>
      <c r="Q138" s="269"/>
    </row>
    <row r="139" spans="2:17">
      <c r="B139" s="195" t="str">
        <f t="shared" si="59"/>
        <v/>
      </c>
      <c r="C139" s="507">
        <f>IF(D93="","-",+C138+1)</f>
        <v>2052</v>
      </c>
      <c r="D139" s="374">
        <f>IF(F138+SUM(E$99:E138)=D$92,F138,D$92-SUM(E$99:E138))</f>
        <v>103719.05095481244</v>
      </c>
      <c r="E139" s="522">
        <f>IF(+J96&lt;F138,J96,D139)</f>
        <v>45899.682926829271</v>
      </c>
      <c r="F139" s="523">
        <f t="shared" si="60"/>
        <v>57819.368027983168</v>
      </c>
      <c r="G139" s="523">
        <f t="shared" si="52"/>
        <v>80769.209491397807</v>
      </c>
      <c r="H139" s="526">
        <f t="shared" si="53"/>
        <v>55068.137256907066</v>
      </c>
      <c r="I139" s="577">
        <f t="shared" si="54"/>
        <v>55068.137256907066</v>
      </c>
      <c r="J139" s="514">
        <f t="shared" si="55"/>
        <v>0</v>
      </c>
      <c r="K139" s="514"/>
      <c r="L139" s="525"/>
      <c r="M139" s="514">
        <f t="shared" si="56"/>
        <v>0</v>
      </c>
      <c r="N139" s="525"/>
      <c r="O139" s="514">
        <f t="shared" si="57"/>
        <v>0</v>
      </c>
      <c r="P139" s="514">
        <f t="shared" si="58"/>
        <v>0</v>
      </c>
      <c r="Q139" s="269"/>
    </row>
    <row r="140" spans="2:17">
      <c r="B140" s="195" t="str">
        <f t="shared" si="59"/>
        <v/>
      </c>
      <c r="C140" s="507">
        <f>IF(D93="","-",+C139+1)</f>
        <v>2053</v>
      </c>
      <c r="D140" s="374">
        <f>IF(F139+SUM(E$99:E139)=D$92,F139,D$92-SUM(E$99:E139))</f>
        <v>57819.368027983168</v>
      </c>
      <c r="E140" s="522">
        <f>IF(+J96&lt;F139,J96,D140)</f>
        <v>45899.682926829271</v>
      </c>
      <c r="F140" s="523">
        <f t="shared" si="60"/>
        <v>11919.685101153897</v>
      </c>
      <c r="G140" s="523">
        <f t="shared" si="52"/>
        <v>34869.526564568529</v>
      </c>
      <c r="H140" s="526">
        <f t="shared" si="53"/>
        <v>49857.870258757161</v>
      </c>
      <c r="I140" s="577">
        <f t="shared" si="54"/>
        <v>49857.870258757161</v>
      </c>
      <c r="J140" s="514">
        <f t="shared" si="55"/>
        <v>0</v>
      </c>
      <c r="K140" s="514"/>
      <c r="L140" s="525"/>
      <c r="M140" s="514">
        <f t="shared" si="56"/>
        <v>0</v>
      </c>
      <c r="N140" s="525"/>
      <c r="O140" s="514">
        <f t="shared" si="57"/>
        <v>0</v>
      </c>
      <c r="P140" s="514">
        <f t="shared" si="58"/>
        <v>0</v>
      </c>
      <c r="Q140" s="269"/>
    </row>
    <row r="141" spans="2:17">
      <c r="B141" s="195" t="str">
        <f t="shared" si="59"/>
        <v/>
      </c>
      <c r="C141" s="507">
        <f>IF(D93="","-",+C140+1)</f>
        <v>2054</v>
      </c>
      <c r="D141" s="374">
        <f>IF(F140+SUM(E$99:E140)=D$92,F140,D$92-SUM(E$99:E140))</f>
        <v>11919.685101153897</v>
      </c>
      <c r="E141" s="522">
        <f>IF(+J96&lt;F140,J96,D141)</f>
        <v>11919.685101153897</v>
      </c>
      <c r="F141" s="523">
        <f t="shared" si="60"/>
        <v>0</v>
      </c>
      <c r="G141" s="523">
        <f t="shared" si="52"/>
        <v>5959.8425505769483</v>
      </c>
      <c r="H141" s="526">
        <f t="shared" si="53"/>
        <v>12596.212017580368</v>
      </c>
      <c r="I141" s="577">
        <f t="shared" si="54"/>
        <v>12596.212017580368</v>
      </c>
      <c r="J141" s="514">
        <f t="shared" si="55"/>
        <v>0</v>
      </c>
      <c r="K141" s="514"/>
      <c r="L141" s="525"/>
      <c r="M141" s="514">
        <f t="shared" si="56"/>
        <v>0</v>
      </c>
      <c r="N141" s="525"/>
      <c r="O141" s="514">
        <f t="shared" si="57"/>
        <v>0</v>
      </c>
      <c r="P141" s="514">
        <f t="shared" si="58"/>
        <v>0</v>
      </c>
      <c r="Q141" s="269"/>
    </row>
    <row r="142" spans="2:17">
      <c r="B142" s="195" t="str">
        <f t="shared" si="59"/>
        <v/>
      </c>
      <c r="C142" s="507">
        <f>IF(D93="","-",+C141+1)</f>
        <v>2055</v>
      </c>
      <c r="D142" s="374">
        <f>IF(F141+SUM(E$99:E141)=D$92,F141,D$92-SUM(E$99:E141))</f>
        <v>0</v>
      </c>
      <c r="E142" s="522">
        <f>IF(+J96&lt;F141,J96,D142)</f>
        <v>0</v>
      </c>
      <c r="F142" s="523">
        <f t="shared" si="60"/>
        <v>0</v>
      </c>
      <c r="G142" s="523">
        <f t="shared" si="52"/>
        <v>0</v>
      </c>
      <c r="H142" s="526">
        <f t="shared" si="53"/>
        <v>0</v>
      </c>
      <c r="I142" s="577">
        <f t="shared" si="54"/>
        <v>0</v>
      </c>
      <c r="J142" s="514">
        <f t="shared" si="55"/>
        <v>0</v>
      </c>
      <c r="K142" s="514"/>
      <c r="L142" s="525"/>
      <c r="M142" s="514">
        <f t="shared" si="56"/>
        <v>0</v>
      </c>
      <c r="N142" s="525"/>
      <c r="O142" s="514">
        <f t="shared" si="57"/>
        <v>0</v>
      </c>
      <c r="P142" s="514">
        <f t="shared" si="58"/>
        <v>0</v>
      </c>
      <c r="Q142" s="269"/>
    </row>
    <row r="143" spans="2:17">
      <c r="B143" s="195" t="str">
        <f t="shared" si="59"/>
        <v/>
      </c>
      <c r="C143" s="507">
        <f>IF(D93="","-",+C142+1)</f>
        <v>2056</v>
      </c>
      <c r="D143" s="374">
        <f>IF(F142+SUM(E$99:E142)=D$92,F142,D$92-SUM(E$99:E142))</f>
        <v>0</v>
      </c>
      <c r="E143" s="522">
        <f>IF(+J96&lt;F142,J96,D143)</f>
        <v>0</v>
      </c>
      <c r="F143" s="523">
        <f t="shared" si="60"/>
        <v>0</v>
      </c>
      <c r="G143" s="523">
        <f t="shared" si="52"/>
        <v>0</v>
      </c>
      <c r="H143" s="526">
        <f t="shared" si="53"/>
        <v>0</v>
      </c>
      <c r="I143" s="577">
        <f t="shared" si="54"/>
        <v>0</v>
      </c>
      <c r="J143" s="514">
        <f t="shared" si="55"/>
        <v>0</v>
      </c>
      <c r="K143" s="514"/>
      <c r="L143" s="525"/>
      <c r="M143" s="514">
        <f t="shared" si="56"/>
        <v>0</v>
      </c>
      <c r="N143" s="525"/>
      <c r="O143" s="514">
        <f t="shared" si="57"/>
        <v>0</v>
      </c>
      <c r="P143" s="514">
        <f t="shared" si="58"/>
        <v>0</v>
      </c>
      <c r="Q143" s="269"/>
    </row>
    <row r="144" spans="2:17">
      <c r="B144" s="195" t="str">
        <f t="shared" si="59"/>
        <v/>
      </c>
      <c r="C144" s="507">
        <f>IF(D93="","-",+C143+1)</f>
        <v>2057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60"/>
        <v>0</v>
      </c>
      <c r="G144" s="523">
        <f t="shared" si="52"/>
        <v>0</v>
      </c>
      <c r="H144" s="526">
        <f t="shared" si="53"/>
        <v>0</v>
      </c>
      <c r="I144" s="577">
        <f t="shared" si="54"/>
        <v>0</v>
      </c>
      <c r="J144" s="514">
        <f t="shared" si="55"/>
        <v>0</v>
      </c>
      <c r="K144" s="514"/>
      <c r="L144" s="525"/>
      <c r="M144" s="514">
        <f t="shared" si="56"/>
        <v>0</v>
      </c>
      <c r="N144" s="525"/>
      <c r="O144" s="514">
        <f t="shared" si="57"/>
        <v>0</v>
      </c>
      <c r="P144" s="514">
        <f t="shared" si="58"/>
        <v>0</v>
      </c>
      <c r="Q144" s="269"/>
    </row>
    <row r="145" spans="2:17">
      <c r="B145" s="195" t="str">
        <f t="shared" si="59"/>
        <v/>
      </c>
      <c r="C145" s="507">
        <f>IF(D93="","-",+C144+1)</f>
        <v>2058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60"/>
        <v>0</v>
      </c>
      <c r="G145" s="523">
        <f t="shared" si="52"/>
        <v>0</v>
      </c>
      <c r="H145" s="526">
        <f t="shared" si="53"/>
        <v>0</v>
      </c>
      <c r="I145" s="577">
        <f t="shared" si="54"/>
        <v>0</v>
      </c>
      <c r="J145" s="514">
        <f t="shared" si="55"/>
        <v>0</v>
      </c>
      <c r="K145" s="514"/>
      <c r="L145" s="525"/>
      <c r="M145" s="514">
        <f t="shared" si="56"/>
        <v>0</v>
      </c>
      <c r="N145" s="525"/>
      <c r="O145" s="514">
        <f t="shared" si="57"/>
        <v>0</v>
      </c>
      <c r="P145" s="514">
        <f t="shared" si="58"/>
        <v>0</v>
      </c>
      <c r="Q145" s="269"/>
    </row>
    <row r="146" spans="2:17">
      <c r="B146" s="195" t="str">
        <f t="shared" si="59"/>
        <v/>
      </c>
      <c r="C146" s="507">
        <f>IF(D93="","-",+C145+1)</f>
        <v>2059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60"/>
        <v>0</v>
      </c>
      <c r="G146" s="523">
        <f t="shared" si="52"/>
        <v>0</v>
      </c>
      <c r="H146" s="526">
        <f t="shared" si="53"/>
        <v>0</v>
      </c>
      <c r="I146" s="577">
        <f t="shared" si="54"/>
        <v>0</v>
      </c>
      <c r="J146" s="514">
        <f t="shared" si="55"/>
        <v>0</v>
      </c>
      <c r="K146" s="514"/>
      <c r="L146" s="525"/>
      <c r="M146" s="514">
        <f t="shared" si="56"/>
        <v>0</v>
      </c>
      <c r="N146" s="525"/>
      <c r="O146" s="514">
        <f t="shared" si="57"/>
        <v>0</v>
      </c>
      <c r="P146" s="514">
        <f t="shared" si="58"/>
        <v>0</v>
      </c>
      <c r="Q146" s="269"/>
    </row>
    <row r="147" spans="2:17">
      <c r="B147" s="195" t="str">
        <f t="shared" si="59"/>
        <v/>
      </c>
      <c r="C147" s="507">
        <f>IF(D93="","-",+C146+1)</f>
        <v>2060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60"/>
        <v>0</v>
      </c>
      <c r="G147" s="523">
        <f t="shared" si="52"/>
        <v>0</v>
      </c>
      <c r="H147" s="526">
        <f t="shared" si="53"/>
        <v>0</v>
      </c>
      <c r="I147" s="577">
        <f t="shared" si="54"/>
        <v>0</v>
      </c>
      <c r="J147" s="514">
        <f t="shared" si="55"/>
        <v>0</v>
      </c>
      <c r="K147" s="514"/>
      <c r="L147" s="525"/>
      <c r="M147" s="514">
        <f t="shared" si="56"/>
        <v>0</v>
      </c>
      <c r="N147" s="525"/>
      <c r="O147" s="514">
        <f t="shared" si="57"/>
        <v>0</v>
      </c>
      <c r="P147" s="514">
        <f t="shared" si="58"/>
        <v>0</v>
      </c>
      <c r="Q147" s="269"/>
    </row>
    <row r="148" spans="2:17">
      <c r="B148" s="195" t="str">
        <f t="shared" si="59"/>
        <v/>
      </c>
      <c r="C148" s="507">
        <f>IF(D93="","-",+C147+1)</f>
        <v>2061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60"/>
        <v>0</v>
      </c>
      <c r="G148" s="523">
        <f t="shared" si="52"/>
        <v>0</v>
      </c>
      <c r="H148" s="526">
        <f t="shared" si="53"/>
        <v>0</v>
      </c>
      <c r="I148" s="577">
        <f t="shared" si="54"/>
        <v>0</v>
      </c>
      <c r="J148" s="514">
        <f t="shared" si="55"/>
        <v>0</v>
      </c>
      <c r="K148" s="514"/>
      <c r="L148" s="525"/>
      <c r="M148" s="514">
        <f t="shared" si="56"/>
        <v>0</v>
      </c>
      <c r="N148" s="525"/>
      <c r="O148" s="514">
        <f t="shared" si="57"/>
        <v>0</v>
      </c>
      <c r="P148" s="514">
        <f t="shared" si="58"/>
        <v>0</v>
      </c>
      <c r="Q148" s="269"/>
    </row>
    <row r="149" spans="2:17">
      <c r="B149" s="195" t="str">
        <f t="shared" si="59"/>
        <v/>
      </c>
      <c r="C149" s="507">
        <f>IF(D93="","-",+C148+1)</f>
        <v>2062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60"/>
        <v>0</v>
      </c>
      <c r="G149" s="523">
        <f t="shared" si="52"/>
        <v>0</v>
      </c>
      <c r="H149" s="526">
        <f t="shared" si="53"/>
        <v>0</v>
      </c>
      <c r="I149" s="577">
        <f t="shared" si="54"/>
        <v>0</v>
      </c>
      <c r="J149" s="514">
        <f t="shared" si="55"/>
        <v>0</v>
      </c>
      <c r="K149" s="514"/>
      <c r="L149" s="525"/>
      <c r="M149" s="514">
        <f t="shared" si="56"/>
        <v>0</v>
      </c>
      <c r="N149" s="525"/>
      <c r="O149" s="514">
        <f t="shared" si="57"/>
        <v>0</v>
      </c>
      <c r="P149" s="514">
        <f t="shared" si="58"/>
        <v>0</v>
      </c>
      <c r="Q149" s="269"/>
    </row>
    <row r="150" spans="2:17">
      <c r="B150" s="195" t="str">
        <f t="shared" si="59"/>
        <v/>
      </c>
      <c r="C150" s="507">
        <f>IF(D93="","-",+C149+1)</f>
        <v>2063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60"/>
        <v>0</v>
      </c>
      <c r="G150" s="523">
        <f t="shared" si="52"/>
        <v>0</v>
      </c>
      <c r="H150" s="526">
        <f t="shared" si="53"/>
        <v>0</v>
      </c>
      <c r="I150" s="577">
        <f t="shared" si="54"/>
        <v>0</v>
      </c>
      <c r="J150" s="514">
        <f t="shared" si="55"/>
        <v>0</v>
      </c>
      <c r="K150" s="514"/>
      <c r="L150" s="525"/>
      <c r="M150" s="514">
        <f t="shared" si="56"/>
        <v>0</v>
      </c>
      <c r="N150" s="525"/>
      <c r="O150" s="514">
        <f t="shared" si="57"/>
        <v>0</v>
      </c>
      <c r="P150" s="514">
        <f t="shared" si="58"/>
        <v>0</v>
      </c>
      <c r="Q150" s="269"/>
    </row>
    <row r="151" spans="2:17">
      <c r="B151" s="195" t="str">
        <f t="shared" si="59"/>
        <v/>
      </c>
      <c r="C151" s="507">
        <f>IF(D93="","-",+C150+1)</f>
        <v>2064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60"/>
        <v>0</v>
      </c>
      <c r="G151" s="523">
        <f t="shared" si="52"/>
        <v>0</v>
      </c>
      <c r="H151" s="526">
        <f t="shared" si="53"/>
        <v>0</v>
      </c>
      <c r="I151" s="577">
        <f t="shared" si="54"/>
        <v>0</v>
      </c>
      <c r="J151" s="514">
        <f t="shared" si="55"/>
        <v>0</v>
      </c>
      <c r="K151" s="514"/>
      <c r="L151" s="525"/>
      <c r="M151" s="514">
        <f t="shared" si="56"/>
        <v>0</v>
      </c>
      <c r="N151" s="525"/>
      <c r="O151" s="514">
        <f t="shared" si="57"/>
        <v>0</v>
      </c>
      <c r="P151" s="514">
        <f t="shared" si="58"/>
        <v>0</v>
      </c>
      <c r="Q151" s="269"/>
    </row>
    <row r="152" spans="2:17">
      <c r="B152" s="195" t="str">
        <f t="shared" si="59"/>
        <v/>
      </c>
      <c r="C152" s="507">
        <f>IF(D93="","-",+C151+1)</f>
        <v>2065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60"/>
        <v>0</v>
      </c>
      <c r="G152" s="523">
        <f t="shared" si="52"/>
        <v>0</v>
      </c>
      <c r="H152" s="526">
        <f t="shared" si="53"/>
        <v>0</v>
      </c>
      <c r="I152" s="577">
        <f t="shared" si="54"/>
        <v>0</v>
      </c>
      <c r="J152" s="514">
        <f t="shared" si="55"/>
        <v>0</v>
      </c>
      <c r="K152" s="514"/>
      <c r="L152" s="525"/>
      <c r="M152" s="514">
        <f t="shared" si="56"/>
        <v>0</v>
      </c>
      <c r="N152" s="525"/>
      <c r="O152" s="514">
        <f t="shared" si="57"/>
        <v>0</v>
      </c>
      <c r="P152" s="514">
        <f t="shared" si="58"/>
        <v>0</v>
      </c>
      <c r="Q152" s="269"/>
    </row>
    <row r="153" spans="2:17">
      <c r="B153" s="195" t="str">
        <f t="shared" si="59"/>
        <v/>
      </c>
      <c r="C153" s="507">
        <f>IF(D93="","-",+C152+1)</f>
        <v>2066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60"/>
        <v>0</v>
      </c>
      <c r="G153" s="523">
        <f t="shared" si="52"/>
        <v>0</v>
      </c>
      <c r="H153" s="526">
        <f t="shared" si="53"/>
        <v>0</v>
      </c>
      <c r="I153" s="577">
        <f t="shared" si="54"/>
        <v>0</v>
      </c>
      <c r="J153" s="514">
        <f t="shared" si="55"/>
        <v>0</v>
      </c>
      <c r="K153" s="514"/>
      <c r="L153" s="525"/>
      <c r="M153" s="514">
        <f t="shared" si="56"/>
        <v>0</v>
      </c>
      <c r="N153" s="525"/>
      <c r="O153" s="514">
        <f t="shared" si="57"/>
        <v>0</v>
      </c>
      <c r="P153" s="514">
        <f t="shared" si="58"/>
        <v>0</v>
      </c>
      <c r="Q153" s="269"/>
    </row>
    <row r="154" spans="2:17" ht="13.5" thickBot="1">
      <c r="B154" s="195" t="str">
        <f t="shared" si="59"/>
        <v/>
      </c>
      <c r="C154" s="527">
        <f>IF(D93="","-",+C153+1)</f>
        <v>2067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60"/>
        <v>0</v>
      </c>
      <c r="G154" s="528">
        <f t="shared" si="52"/>
        <v>0</v>
      </c>
      <c r="H154" s="530">
        <f t="shared" si="53"/>
        <v>0</v>
      </c>
      <c r="I154" s="579">
        <f t="shared" si="54"/>
        <v>0</v>
      </c>
      <c r="J154" s="533">
        <f t="shared" si="55"/>
        <v>0</v>
      </c>
      <c r="K154" s="514"/>
      <c r="L154" s="532"/>
      <c r="M154" s="533">
        <f t="shared" si="56"/>
        <v>0</v>
      </c>
      <c r="N154" s="532"/>
      <c r="O154" s="533">
        <f t="shared" si="57"/>
        <v>0</v>
      </c>
      <c r="P154" s="533">
        <f t="shared" si="58"/>
        <v>0</v>
      </c>
      <c r="Q154" s="269"/>
    </row>
    <row r="155" spans="2:17">
      <c r="C155" s="374" t="s">
        <v>78</v>
      </c>
      <c r="D155" s="375"/>
      <c r="E155" s="375">
        <f>SUM(E99:E154)</f>
        <v>1881887</v>
      </c>
      <c r="F155" s="375"/>
      <c r="G155" s="375"/>
      <c r="H155" s="375">
        <f>SUM(H99:H154)</f>
        <v>6573090.3244697116</v>
      </c>
      <c r="I155" s="375">
        <f>SUM(I99:I154)</f>
        <v>6573090.3244697116</v>
      </c>
      <c r="J155" s="375">
        <f>SUM(J99:J154)</f>
        <v>0</v>
      </c>
      <c r="K155" s="375"/>
      <c r="L155" s="375"/>
      <c r="M155" s="375"/>
      <c r="N155" s="375"/>
      <c r="O155" s="375"/>
      <c r="P155" s="269"/>
      <c r="Q155" s="269"/>
    </row>
    <row r="156" spans="2:17"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  <c r="Q156" s="269"/>
    </row>
    <row r="157" spans="2:17">
      <c r="C157" s="580" t="s">
        <v>92</v>
      </c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  <c r="Q157" s="269"/>
    </row>
    <row r="158" spans="2:17"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  <c r="Q158" s="269"/>
    </row>
    <row r="159" spans="2:17">
      <c r="C159" s="534" t="s">
        <v>97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  <c r="Q159" s="269"/>
    </row>
    <row r="160" spans="2:17">
      <c r="C160" s="581" t="s">
        <v>79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  <c r="Q160" s="269"/>
    </row>
    <row r="161" spans="3:17">
      <c r="C161" s="581" t="s">
        <v>80</v>
      </c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  <c r="Q161" s="269"/>
    </row>
    <row r="162" spans="3:17" ht="18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454" t="s">
        <v>131</v>
      </c>
      <c r="Q162" s="269"/>
    </row>
  </sheetData>
  <phoneticPr fontId="0" type="noConversion"/>
  <conditionalFormatting sqref="C17:C72">
    <cfRule type="cellIs" dxfId="105" priority="1" stopIfTrue="1" operator="equal">
      <formula>$I$10</formula>
    </cfRule>
  </conditionalFormatting>
  <conditionalFormatting sqref="C99:C154">
    <cfRule type="cellIs" dxfId="104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81"/>
  <dimension ref="A1:Q162"/>
  <sheetViews>
    <sheetView topLeftCell="A92" zoomScaleNormal="100" zoomScaleSheetLayoutView="75" workbookViewId="0">
      <selection activeCell="D99" sqref="D99:I109"/>
    </sheetView>
  </sheetViews>
  <sheetFormatPr defaultColWidth="8.7109375" defaultRowHeight="12.75" customHeight="1"/>
  <cols>
    <col min="1" max="1" width="4.7109375" style="183" customWidth="1"/>
    <col min="2" max="2" width="6.7109375" style="183" customWidth="1"/>
    <col min="3" max="3" width="23.28515625" style="183" customWidth="1"/>
    <col min="4" max="8" width="17.7109375" style="183" customWidth="1"/>
    <col min="9" max="9" width="20.42578125" style="183" customWidth="1"/>
    <col min="10" max="10" width="16.42578125" style="183" customWidth="1"/>
    <col min="11" max="11" width="17.7109375" style="183" customWidth="1"/>
    <col min="12" max="12" width="16.140625" style="183" customWidth="1"/>
    <col min="13" max="13" width="17.7109375" style="183" customWidth="1"/>
    <col min="14" max="14" width="16.140625" style="183" customWidth="1"/>
    <col min="15" max="15" width="16.85546875" style="183" customWidth="1"/>
    <col min="16" max="16" width="24.42578125" style="183" customWidth="1"/>
    <col min="17" max="17" width="4.7109375" style="183" customWidth="1"/>
    <col min="18" max="22" width="8.7109375" style="183"/>
    <col min="23" max="23" width="9.140625" style="183" customWidth="1"/>
    <col min="24" max="16384" width="8.7109375" style="183"/>
  </cols>
  <sheetData>
    <row r="1" spans="1:17" ht="20.25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30 of 75</v>
      </c>
      <c r="Q1" s="453"/>
    </row>
    <row r="2" spans="1:17" ht="18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454" t="s">
        <v>129</v>
      </c>
    </row>
    <row r="3" spans="1:17" ht="18.75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 t="str">
        <f>RIGHT(N3,3)</f>
        <v/>
      </c>
      <c r="P3" s="455">
        <v>1</v>
      </c>
    </row>
    <row r="4" spans="1:17" ht="15.75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7" ht="1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5173447.5605440196</v>
      </c>
      <c r="P5" s="269"/>
    </row>
    <row r="6" spans="1:17" ht="15.7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5173447.5605440196</v>
      </c>
      <c r="O6" s="269"/>
      <c r="P6" s="269"/>
    </row>
    <row r="7" spans="1:17" ht="13.5" thickBot="1">
      <c r="C7" s="467" t="s">
        <v>48</v>
      </c>
      <c r="D7" s="620" t="s">
        <v>283</v>
      </c>
      <c r="E7" s="269"/>
      <c r="F7" s="269"/>
      <c r="G7" s="534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7" ht="13.5" thickBot="1">
      <c r="C8" s="472"/>
      <c r="D8" s="599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7" ht="13.5" thickBot="1">
      <c r="A9" s="191"/>
      <c r="C9" s="476" t="s">
        <v>50</v>
      </c>
      <c r="D9" s="621" t="s">
        <v>248</v>
      </c>
      <c r="E9" s="666" t="s">
        <v>491</v>
      </c>
      <c r="F9" s="478"/>
      <c r="G9" s="478"/>
      <c r="H9" s="478"/>
      <c r="I9" s="479"/>
      <c r="J9" s="480"/>
      <c r="O9" s="481"/>
      <c r="P9" s="272"/>
    </row>
    <row r="10" spans="1:17">
      <c r="C10" s="482" t="s">
        <v>51</v>
      </c>
      <c r="D10" s="483">
        <v>47660028.540000007</v>
      </c>
      <c r="E10" s="353" t="s">
        <v>52</v>
      </c>
      <c r="F10" s="481"/>
      <c r="G10" s="484"/>
      <c r="H10" s="484"/>
      <c r="I10" s="485">
        <f>+'SWE.WS.F.BPU.ATRR.Projected'!L19</f>
        <v>2024</v>
      </c>
      <c r="J10" s="480"/>
      <c r="K10" s="375" t="s">
        <v>53</v>
      </c>
      <c r="O10" s="272"/>
      <c r="P10" s="272"/>
    </row>
    <row r="11" spans="1:17">
      <c r="C11" s="486" t="s">
        <v>54</v>
      </c>
      <c r="D11" s="487">
        <v>2012</v>
      </c>
      <c r="E11" s="486" t="s">
        <v>55</v>
      </c>
      <c r="F11" s="484"/>
      <c r="G11" s="233"/>
      <c r="H11" s="233"/>
      <c r="I11" s="488"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7">
      <c r="C12" s="486" t="s">
        <v>56</v>
      </c>
      <c r="D12" s="483">
        <v>8</v>
      </c>
      <c r="E12" s="486" t="s">
        <v>57</v>
      </c>
      <c r="F12" s="484"/>
      <c r="G12" s="233"/>
      <c r="H12" s="233"/>
      <c r="I12" s="490">
        <f>'SWE.WS.F.BPU.ATRR.Projected'!$F$81</f>
        <v>0.11952713165403545</v>
      </c>
      <c r="J12" s="425"/>
      <c r="K12" s="183" t="s">
        <v>58</v>
      </c>
      <c r="O12" s="272"/>
      <c r="P12" s="272"/>
    </row>
    <row r="13" spans="1:17">
      <c r="C13" s="486" t="s">
        <v>59</v>
      </c>
      <c r="D13" s="488">
        <f>+'SWE.WS.F.BPU.ATRR.Projected'!F$93</f>
        <v>44</v>
      </c>
      <c r="E13" s="486" t="s">
        <v>60</v>
      </c>
      <c r="F13" s="484"/>
      <c r="G13" s="233"/>
      <c r="H13" s="233"/>
      <c r="I13" s="490">
        <f>IF(G5="",I12,'SWE.WS.F.BPU.ATRR.Projected'!$F$80)</f>
        <v>0.11952713165403545</v>
      </c>
      <c r="J13" s="425"/>
      <c r="K13" s="375" t="s">
        <v>61</v>
      </c>
      <c r="L13" s="324"/>
      <c r="M13" s="324"/>
      <c r="N13" s="324"/>
      <c r="O13" s="272"/>
      <c r="P13" s="272"/>
    </row>
    <row r="14" spans="1:17" ht="13.5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1083182.466818182</v>
      </c>
      <c r="J14" s="375"/>
      <c r="K14" s="375"/>
      <c r="L14" s="375"/>
      <c r="M14" s="375"/>
      <c r="N14" s="375"/>
      <c r="O14" s="272"/>
      <c r="P14" s="272"/>
    </row>
    <row r="15" spans="1:17" ht="38.25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388</v>
      </c>
      <c r="H15" s="495" t="s">
        <v>389</v>
      </c>
      <c r="I15" s="496" t="s">
        <v>260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7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>
      <c r="C17" s="507">
        <f>IF(D11= "","-",D11)</f>
        <v>2012</v>
      </c>
      <c r="D17" s="508">
        <v>47434000</v>
      </c>
      <c r="E17" s="509">
        <v>376460.31746031746</v>
      </c>
      <c r="F17" s="508">
        <v>47057539.682539679</v>
      </c>
      <c r="G17" s="509">
        <v>7374864.2102739988</v>
      </c>
      <c r="H17" s="510">
        <v>7374864.2102739988</v>
      </c>
      <c r="I17" s="617">
        <v>0</v>
      </c>
      <c r="J17" s="511"/>
      <c r="K17" s="512">
        <f t="shared" ref="K17:K22" si="0">G17</f>
        <v>7374864.2102739988</v>
      </c>
      <c r="L17" s="597">
        <f t="shared" ref="L17:L48" si="1">IF(K17&lt;&gt;0,+G17-K17,0)</f>
        <v>0</v>
      </c>
      <c r="M17" s="512">
        <f t="shared" ref="M17:M22" si="2">H17</f>
        <v>7374864.2102739988</v>
      </c>
      <c r="N17" s="513">
        <f t="shared" ref="N17:N48" si="3">IF(M17&lt;&gt;0,+H17-M17,0)</f>
        <v>0</v>
      </c>
      <c r="O17" s="514">
        <f t="shared" ref="O17:O48" si="4">+N17-L17</f>
        <v>0</v>
      </c>
      <c r="P17" s="272"/>
    </row>
    <row r="18" spans="2:16">
      <c r="B18" s="195" t="str">
        <f t="shared" ref="B18:B49" si="5">IF(D18=F17,"","IU")</f>
        <v>IU</v>
      </c>
      <c r="C18" s="507">
        <f>IF(D11="","-",+C17+1)</f>
        <v>2013</v>
      </c>
      <c r="D18" s="608">
        <v>46796111.682539679</v>
      </c>
      <c r="E18" s="609">
        <v>1123156.4761904762</v>
      </c>
      <c r="F18" s="608">
        <v>45672955.206349202</v>
      </c>
      <c r="G18" s="609">
        <v>7516780.2053061184</v>
      </c>
      <c r="H18" s="610">
        <v>7516780.2053061184</v>
      </c>
      <c r="I18" s="616">
        <v>0</v>
      </c>
      <c r="J18" s="511"/>
      <c r="K18" s="518">
        <f t="shared" si="0"/>
        <v>7516780.2053061184</v>
      </c>
      <c r="L18" s="519">
        <f t="shared" ref="L18:L23" si="6">IF(K18&lt;&gt;0,+G18-K18,0)</f>
        <v>0</v>
      </c>
      <c r="M18" s="518">
        <f t="shared" si="2"/>
        <v>7516780.2053061184</v>
      </c>
      <c r="N18" s="514">
        <f t="shared" ref="N18:N23" si="7">IF(M18&lt;&gt;0,+H18-M18,0)</f>
        <v>0</v>
      </c>
      <c r="O18" s="514">
        <f t="shared" ref="O18:O23" si="8">+N18-L18</f>
        <v>0</v>
      </c>
      <c r="P18" s="272"/>
    </row>
    <row r="19" spans="2:16">
      <c r="B19" s="195" t="str">
        <f t="shared" si="5"/>
        <v>IU</v>
      </c>
      <c r="C19" s="507">
        <f>IF(D11="","-",+C18+1)</f>
        <v>2014</v>
      </c>
      <c r="D19" s="608">
        <v>45915504.206349209</v>
      </c>
      <c r="E19" s="609">
        <v>1128931.4523809524</v>
      </c>
      <c r="F19" s="608">
        <v>44786572.753968254</v>
      </c>
      <c r="G19" s="609">
        <v>7171110.7453941712</v>
      </c>
      <c r="H19" s="610">
        <v>7171110.7453941712</v>
      </c>
      <c r="I19" s="616">
        <v>0</v>
      </c>
      <c r="J19" s="511"/>
      <c r="K19" s="518">
        <f t="shared" si="0"/>
        <v>7171110.7453941712</v>
      </c>
      <c r="L19" s="519">
        <f t="shared" si="6"/>
        <v>0</v>
      </c>
      <c r="M19" s="518">
        <f t="shared" si="2"/>
        <v>7171110.7453941712</v>
      </c>
      <c r="N19" s="514">
        <f t="shared" si="7"/>
        <v>0</v>
      </c>
      <c r="O19" s="514">
        <f t="shared" si="8"/>
        <v>0</v>
      </c>
      <c r="P19" s="272"/>
    </row>
    <row r="20" spans="2:16">
      <c r="B20" s="195" t="str">
        <f t="shared" si="5"/>
        <v>IU</v>
      </c>
      <c r="C20" s="507">
        <f>IF(D11="","-",+C19+1)</f>
        <v>2015</v>
      </c>
      <c r="D20" s="608">
        <v>45031351.753968254</v>
      </c>
      <c r="E20" s="609">
        <v>1134759.5238095238</v>
      </c>
      <c r="F20" s="608">
        <v>43896592.230158731</v>
      </c>
      <c r="G20" s="609">
        <v>6916151.4669681974</v>
      </c>
      <c r="H20" s="610">
        <v>6916151.4669681974</v>
      </c>
      <c r="I20" s="511">
        <v>0</v>
      </c>
      <c r="J20" s="511"/>
      <c r="K20" s="518">
        <f t="shared" si="0"/>
        <v>6916151.4669681974</v>
      </c>
      <c r="L20" s="519">
        <f t="shared" si="6"/>
        <v>0</v>
      </c>
      <c r="M20" s="518">
        <f t="shared" si="2"/>
        <v>6916151.4669681974</v>
      </c>
      <c r="N20" s="514">
        <f t="shared" si="7"/>
        <v>0</v>
      </c>
      <c r="O20" s="514">
        <f t="shared" si="8"/>
        <v>0</v>
      </c>
      <c r="P20" s="272"/>
    </row>
    <row r="21" spans="2:16">
      <c r="B21" s="195" t="str">
        <f t="shared" si="5"/>
        <v/>
      </c>
      <c r="C21" s="507">
        <f>IF(D12="","-",+C20+1)</f>
        <v>2016</v>
      </c>
      <c r="D21" s="608">
        <v>43896592.230158731</v>
      </c>
      <c r="E21" s="609">
        <v>1134759.5238095238</v>
      </c>
      <c r="F21" s="608">
        <v>42761832.706349209</v>
      </c>
      <c r="G21" s="609">
        <v>6697217.6540145967</v>
      </c>
      <c r="H21" s="610">
        <v>6697217.6540145967</v>
      </c>
      <c r="I21" s="511">
        <f t="shared" ref="I21:I48" si="9">H21-G21</f>
        <v>0</v>
      </c>
      <c r="J21" s="511"/>
      <c r="K21" s="518">
        <f t="shared" si="0"/>
        <v>6697217.6540145967</v>
      </c>
      <c r="L21" s="519">
        <f t="shared" si="6"/>
        <v>0</v>
      </c>
      <c r="M21" s="518">
        <f t="shared" si="2"/>
        <v>6697217.6540145967</v>
      </c>
      <c r="N21" s="514">
        <f t="shared" si="7"/>
        <v>0</v>
      </c>
      <c r="O21" s="514">
        <f t="shared" si="8"/>
        <v>0</v>
      </c>
      <c r="P21" s="272"/>
    </row>
    <row r="22" spans="2:16">
      <c r="B22" s="195" t="str">
        <f t="shared" si="5"/>
        <v>IU</v>
      </c>
      <c r="C22" s="507">
        <f>IF(D11="","-",+C21+1)</f>
        <v>2017</v>
      </c>
      <c r="D22" s="608">
        <v>42761961.706349209</v>
      </c>
      <c r="E22" s="609">
        <v>1108372.7674418604</v>
      </c>
      <c r="F22" s="608">
        <v>41653588.938907348</v>
      </c>
      <c r="G22" s="609">
        <v>6337600.9904746711</v>
      </c>
      <c r="H22" s="610">
        <v>6337600.9904746711</v>
      </c>
      <c r="I22" s="511">
        <f t="shared" si="9"/>
        <v>0</v>
      </c>
      <c r="J22" s="511"/>
      <c r="K22" s="518">
        <f t="shared" si="0"/>
        <v>6337600.9904746711</v>
      </c>
      <c r="L22" s="519">
        <f t="shared" si="6"/>
        <v>0</v>
      </c>
      <c r="M22" s="518">
        <f t="shared" si="2"/>
        <v>6337600.9904746711</v>
      </c>
      <c r="N22" s="514">
        <f t="shared" si="7"/>
        <v>0</v>
      </c>
      <c r="O22" s="514">
        <f t="shared" si="8"/>
        <v>0</v>
      </c>
      <c r="P22" s="272"/>
    </row>
    <row r="23" spans="2:16">
      <c r="B23" s="195" t="str">
        <f t="shared" si="5"/>
        <v/>
      </c>
      <c r="C23" s="507">
        <f>IF(D11="","-",+C22+1)</f>
        <v>2018</v>
      </c>
      <c r="D23" s="608">
        <v>41653588.938907348</v>
      </c>
      <c r="E23" s="609">
        <v>1162439.7317073171</v>
      </c>
      <c r="F23" s="608">
        <v>40491149.207200028</v>
      </c>
      <c r="G23" s="609">
        <v>6382495.4698959831</v>
      </c>
      <c r="H23" s="610">
        <v>6382495.4698959831</v>
      </c>
      <c r="I23" s="511">
        <f t="shared" si="9"/>
        <v>0</v>
      </c>
      <c r="J23" s="511"/>
      <c r="K23" s="518">
        <f t="shared" ref="K23:K28" si="10">G23</f>
        <v>6382495.4698959831</v>
      </c>
      <c r="L23" s="519">
        <f t="shared" si="6"/>
        <v>0</v>
      </c>
      <c r="M23" s="518">
        <f t="shared" ref="M23:M28" si="11">H23</f>
        <v>6382495.4698959831</v>
      </c>
      <c r="N23" s="514">
        <f t="shared" si="7"/>
        <v>0</v>
      </c>
      <c r="O23" s="514">
        <f t="shared" si="8"/>
        <v>0</v>
      </c>
      <c r="P23" s="272"/>
    </row>
    <row r="24" spans="2:16">
      <c r="B24" s="195" t="str">
        <f t="shared" si="5"/>
        <v/>
      </c>
      <c r="C24" s="507">
        <f>IF(D11="","-",+C23+1)</f>
        <v>2019</v>
      </c>
      <c r="D24" s="608">
        <v>40491149.207200028</v>
      </c>
      <c r="E24" s="609">
        <v>1162439.7317073171</v>
      </c>
      <c r="F24" s="608">
        <v>39328709.475492708</v>
      </c>
      <c r="G24" s="609">
        <v>6234756.239636234</v>
      </c>
      <c r="H24" s="610">
        <v>6234756.239636234</v>
      </c>
      <c r="I24" s="511">
        <f t="shared" si="9"/>
        <v>0</v>
      </c>
      <c r="J24" s="511"/>
      <c r="K24" s="518">
        <f t="shared" si="10"/>
        <v>6234756.239636234</v>
      </c>
      <c r="L24" s="519">
        <f t="shared" ref="L24" si="12">IF(K24&lt;&gt;0,+G24-K24,0)</f>
        <v>0</v>
      </c>
      <c r="M24" s="518">
        <f t="shared" si="11"/>
        <v>6234756.239636234</v>
      </c>
      <c r="N24" s="514">
        <f t="shared" si="3"/>
        <v>0</v>
      </c>
      <c r="O24" s="514">
        <f t="shared" si="4"/>
        <v>0</v>
      </c>
      <c r="P24" s="272"/>
    </row>
    <row r="25" spans="2:16">
      <c r="B25" s="195" t="str">
        <f t="shared" si="5"/>
        <v/>
      </c>
      <c r="C25" s="507">
        <f>IF(D11="","-",+C24+1)</f>
        <v>2020</v>
      </c>
      <c r="D25" s="608">
        <v>39328709.475492708</v>
      </c>
      <c r="E25" s="609">
        <v>1162439.7317073171</v>
      </c>
      <c r="F25" s="608">
        <v>38166269.743785389</v>
      </c>
      <c r="G25" s="609">
        <v>5127681.7221303442</v>
      </c>
      <c r="H25" s="610">
        <v>5127681.7221303442</v>
      </c>
      <c r="I25" s="511">
        <f t="shared" si="9"/>
        <v>0</v>
      </c>
      <c r="J25" s="511"/>
      <c r="K25" s="518">
        <f t="shared" si="10"/>
        <v>5127681.7221303442</v>
      </c>
      <c r="L25" s="519">
        <f t="shared" ref="L25" si="13">IF(K25&lt;&gt;0,+G25-K25,0)</f>
        <v>0</v>
      </c>
      <c r="M25" s="518">
        <f t="shared" si="11"/>
        <v>5127681.7221303442</v>
      </c>
      <c r="N25" s="514">
        <f t="shared" si="3"/>
        <v>0</v>
      </c>
      <c r="O25" s="514">
        <f t="shared" si="4"/>
        <v>0</v>
      </c>
      <c r="P25" s="272"/>
    </row>
    <row r="26" spans="2:16">
      <c r="B26" s="195" t="str">
        <f t="shared" si="5"/>
        <v>IU</v>
      </c>
      <c r="C26" s="507">
        <f>IF(D11="","-",+C25+1)</f>
        <v>2021</v>
      </c>
      <c r="D26" s="608">
        <v>38220336.708050847</v>
      </c>
      <c r="E26" s="609">
        <v>1134762.5952380951</v>
      </c>
      <c r="F26" s="608">
        <v>37085574.11281275</v>
      </c>
      <c r="G26" s="609">
        <v>5126147.0030310545</v>
      </c>
      <c r="H26" s="610">
        <v>5126147.0030310545</v>
      </c>
      <c r="I26" s="511">
        <f t="shared" si="9"/>
        <v>0</v>
      </c>
      <c r="J26" s="511"/>
      <c r="K26" s="518">
        <f t="shared" si="10"/>
        <v>5126147.0030310545</v>
      </c>
      <c r="L26" s="519">
        <f t="shared" ref="L26" si="14">IF(K26&lt;&gt;0,+G26-K26,0)</f>
        <v>0</v>
      </c>
      <c r="M26" s="518">
        <f t="shared" si="11"/>
        <v>5126147.0030310545</v>
      </c>
      <c r="N26" s="514">
        <f t="shared" si="3"/>
        <v>0</v>
      </c>
      <c r="O26" s="514">
        <f t="shared" si="4"/>
        <v>0</v>
      </c>
      <c r="P26" s="272"/>
    </row>
    <row r="27" spans="2:16">
      <c r="B27" s="195" t="str">
        <f t="shared" si="5"/>
        <v>IU</v>
      </c>
      <c r="C27" s="507">
        <f>IF(D11="","-",+C26+1)</f>
        <v>2022</v>
      </c>
      <c r="D27" s="608">
        <v>37031507.148547299</v>
      </c>
      <c r="E27" s="609">
        <v>1134762.5952380951</v>
      </c>
      <c r="F27" s="608">
        <v>35896744.553309202</v>
      </c>
      <c r="G27" s="609">
        <v>5234938.295176344</v>
      </c>
      <c r="H27" s="610">
        <v>5234938.295176344</v>
      </c>
      <c r="I27" s="511">
        <f t="shared" si="9"/>
        <v>0</v>
      </c>
      <c r="J27" s="511"/>
      <c r="K27" s="518">
        <f t="shared" si="10"/>
        <v>5234938.295176344</v>
      </c>
      <c r="L27" s="519">
        <f t="shared" ref="L27" si="15">IF(K27&lt;&gt;0,+G27-K27,0)</f>
        <v>0</v>
      </c>
      <c r="M27" s="518">
        <f t="shared" si="11"/>
        <v>5234938.295176344</v>
      </c>
      <c r="N27" s="514">
        <f t="shared" si="3"/>
        <v>0</v>
      </c>
      <c r="O27" s="514">
        <f t="shared" si="4"/>
        <v>0</v>
      </c>
      <c r="P27" s="272"/>
    </row>
    <row r="28" spans="2:16">
      <c r="B28" s="195" t="str">
        <f t="shared" si="5"/>
        <v>IU</v>
      </c>
      <c r="C28" s="507">
        <f>IF(D11="","-",+C27+1)</f>
        <v>2023</v>
      </c>
      <c r="D28" s="608">
        <v>35896744.093309209</v>
      </c>
      <c r="E28" s="609">
        <v>1134762.5842857144</v>
      </c>
      <c r="F28" s="608">
        <v>34761981.509023495</v>
      </c>
      <c r="G28" s="609">
        <v>5597807.5083239786</v>
      </c>
      <c r="H28" s="610">
        <v>5597807.5083239786</v>
      </c>
      <c r="I28" s="511">
        <f t="shared" si="9"/>
        <v>0</v>
      </c>
      <c r="J28" s="511"/>
      <c r="K28" s="518">
        <f t="shared" si="10"/>
        <v>5597807.5083239786</v>
      </c>
      <c r="L28" s="519">
        <f t="shared" ref="L28" si="16">IF(K28&lt;&gt;0,+G28-K28,0)</f>
        <v>0</v>
      </c>
      <c r="M28" s="518">
        <f t="shared" si="11"/>
        <v>5597807.5083239786</v>
      </c>
      <c r="N28" s="514">
        <f t="shared" ref="N28" si="17">IF(M28&lt;&gt;0,+H28-M28,0)</f>
        <v>0</v>
      </c>
      <c r="O28" s="514">
        <f t="shared" ref="O28" si="18">+N28-L28</f>
        <v>0</v>
      </c>
      <c r="P28" s="272"/>
    </row>
    <row r="29" spans="2:16">
      <c r="B29" s="195" t="str">
        <f t="shared" si="5"/>
        <v/>
      </c>
      <c r="C29" s="673">
        <f>IF(D11="","-",+C28+1)</f>
        <v>2024</v>
      </c>
      <c r="D29" s="523">
        <f>IF(F28+SUM(E$17:E28)=D$10,F28,D$10-SUM(E$17:E28))</f>
        <v>34761981.509023495</v>
      </c>
      <c r="E29" s="522">
        <f>IF(+I14&lt;F28,I14,D29)</f>
        <v>1083182.466818182</v>
      </c>
      <c r="F29" s="523">
        <f t="shared" ref="F29:F48" si="19">+D29-E29</f>
        <v>33678799.042205311</v>
      </c>
      <c r="G29" s="524">
        <f t="shared" ref="G29:G53" si="20">+I$12*((D29+F29)/2)+E29</f>
        <v>5173447.5605440196</v>
      </c>
      <c r="H29" s="491">
        <f t="shared" ref="H29:H53" si="21">+I$13*((D29+F29)/2)+E29</f>
        <v>5173447.5605440196</v>
      </c>
      <c r="I29" s="511">
        <f t="shared" si="9"/>
        <v>0</v>
      </c>
      <c r="J29" s="511"/>
      <c r="K29" s="525"/>
      <c r="L29" s="514">
        <f t="shared" si="1"/>
        <v>0</v>
      </c>
      <c r="M29" s="525"/>
      <c r="N29" s="514">
        <f t="shared" si="3"/>
        <v>0</v>
      </c>
      <c r="O29" s="514">
        <f t="shared" si="4"/>
        <v>0</v>
      </c>
      <c r="P29" s="272"/>
    </row>
    <row r="30" spans="2:16">
      <c r="B30" s="195" t="str">
        <f t="shared" si="5"/>
        <v/>
      </c>
      <c r="C30" s="507">
        <f>IF(D11="","-",+C29+1)</f>
        <v>2025</v>
      </c>
      <c r="D30" s="523">
        <f>IF(F29+SUM(E$17:E29)=D$10,F29,D$10-SUM(E$17:E29))</f>
        <v>33678799.042205311</v>
      </c>
      <c r="E30" s="522">
        <f>IF(+I14&lt;F29,I14,D30)</f>
        <v>1083182.466818182</v>
      </c>
      <c r="F30" s="523">
        <f t="shared" si="19"/>
        <v>32595616.575387128</v>
      </c>
      <c r="G30" s="524">
        <f t="shared" si="20"/>
        <v>5043977.8672272991</v>
      </c>
      <c r="H30" s="491">
        <f t="shared" si="21"/>
        <v>5043977.8672272991</v>
      </c>
      <c r="I30" s="511">
        <f t="shared" si="9"/>
        <v>0</v>
      </c>
      <c r="J30" s="511"/>
      <c r="K30" s="525"/>
      <c r="L30" s="514">
        <f t="shared" si="1"/>
        <v>0</v>
      </c>
      <c r="M30" s="525"/>
      <c r="N30" s="514">
        <f t="shared" si="3"/>
        <v>0</v>
      </c>
      <c r="O30" s="514">
        <f t="shared" si="4"/>
        <v>0</v>
      </c>
      <c r="P30" s="272"/>
    </row>
    <row r="31" spans="2:16">
      <c r="B31" s="195" t="str">
        <f t="shared" si="5"/>
        <v/>
      </c>
      <c r="C31" s="507">
        <f>IF(D11="","-",+C30+1)</f>
        <v>2026</v>
      </c>
      <c r="D31" s="523">
        <f>IF(F30+SUM(E$17:E30)=D$10,F30,D$10-SUM(E$17:E30))</f>
        <v>32595616.575387128</v>
      </c>
      <c r="E31" s="522">
        <f>IF(+I14&lt;F30,I14,D31)</f>
        <v>1083182.466818182</v>
      </c>
      <c r="F31" s="523">
        <f t="shared" si="19"/>
        <v>31512434.108568944</v>
      </c>
      <c r="G31" s="524">
        <f t="shared" si="20"/>
        <v>4914508.1739105796</v>
      </c>
      <c r="H31" s="491">
        <f t="shared" si="21"/>
        <v>4914508.1739105796</v>
      </c>
      <c r="I31" s="511">
        <f t="shared" si="9"/>
        <v>0</v>
      </c>
      <c r="J31" s="511"/>
      <c r="K31" s="525"/>
      <c r="L31" s="514">
        <f t="shared" si="1"/>
        <v>0</v>
      </c>
      <c r="M31" s="525"/>
      <c r="N31" s="514">
        <f t="shared" si="3"/>
        <v>0</v>
      </c>
      <c r="O31" s="514">
        <f t="shared" si="4"/>
        <v>0</v>
      </c>
      <c r="P31" s="272"/>
    </row>
    <row r="32" spans="2:16">
      <c r="B32" s="195" t="str">
        <f t="shared" si="5"/>
        <v/>
      </c>
      <c r="C32" s="507">
        <f>IF(D11="","-",+C31+1)</f>
        <v>2027</v>
      </c>
      <c r="D32" s="523">
        <f>IF(F31+SUM(E$17:E31)=D$10,F31,D$10-SUM(E$17:E31))</f>
        <v>31512434.108568944</v>
      </c>
      <c r="E32" s="522">
        <f>IF(+I14&lt;F31,I14,D32)</f>
        <v>1083182.466818182</v>
      </c>
      <c r="F32" s="523">
        <f t="shared" si="19"/>
        <v>30429251.64175076</v>
      </c>
      <c r="G32" s="524">
        <f t="shared" si="20"/>
        <v>4785038.4805938592</v>
      </c>
      <c r="H32" s="491">
        <f t="shared" si="21"/>
        <v>4785038.4805938592</v>
      </c>
      <c r="I32" s="511">
        <f t="shared" si="9"/>
        <v>0</v>
      </c>
      <c r="J32" s="511"/>
      <c r="K32" s="525"/>
      <c r="L32" s="514">
        <f t="shared" si="1"/>
        <v>0</v>
      </c>
      <c r="M32" s="525"/>
      <c r="N32" s="514">
        <f t="shared" si="3"/>
        <v>0</v>
      </c>
      <c r="O32" s="514">
        <f t="shared" si="4"/>
        <v>0</v>
      </c>
      <c r="P32" s="272"/>
    </row>
    <row r="33" spans="2:16">
      <c r="B33" s="195" t="str">
        <f t="shared" si="5"/>
        <v/>
      </c>
      <c r="C33" s="507">
        <f>IF(D11="","-",+C32+1)</f>
        <v>2028</v>
      </c>
      <c r="D33" s="523">
        <f>IF(F32+SUM(E$17:E32)=D$10,F32,D$10-SUM(E$17:E32))</f>
        <v>30429251.64175076</v>
      </c>
      <c r="E33" s="522">
        <f>IF(+I14&lt;F32,I14,D33)</f>
        <v>1083182.466818182</v>
      </c>
      <c r="F33" s="523">
        <f t="shared" si="19"/>
        <v>29346069.174932577</v>
      </c>
      <c r="G33" s="524">
        <f t="shared" si="20"/>
        <v>4655568.7872771397</v>
      </c>
      <c r="H33" s="491">
        <f t="shared" si="21"/>
        <v>4655568.7872771397</v>
      </c>
      <c r="I33" s="511">
        <f t="shared" si="9"/>
        <v>0</v>
      </c>
      <c r="J33" s="511"/>
      <c r="K33" s="525"/>
      <c r="L33" s="514">
        <f t="shared" si="1"/>
        <v>0</v>
      </c>
      <c r="M33" s="525"/>
      <c r="N33" s="514">
        <f t="shared" si="3"/>
        <v>0</v>
      </c>
      <c r="O33" s="514">
        <f t="shared" si="4"/>
        <v>0</v>
      </c>
      <c r="P33" s="272"/>
    </row>
    <row r="34" spans="2:16">
      <c r="B34" s="195" t="str">
        <f t="shared" si="5"/>
        <v/>
      </c>
      <c r="C34" s="507">
        <f>IF(D11="","-",+C33+1)</f>
        <v>2029</v>
      </c>
      <c r="D34" s="523">
        <f>IF(F33+SUM(E$17:E33)=D$10,F33,D$10-SUM(E$17:E33))</f>
        <v>29346069.174932577</v>
      </c>
      <c r="E34" s="522">
        <f>IF(+I14&lt;F33,I14,D34)</f>
        <v>1083182.466818182</v>
      </c>
      <c r="F34" s="523">
        <f t="shared" si="19"/>
        <v>28262886.708114393</v>
      </c>
      <c r="G34" s="524">
        <f t="shared" si="20"/>
        <v>4526099.0939604193</v>
      </c>
      <c r="H34" s="491">
        <f t="shared" si="21"/>
        <v>4526099.0939604193</v>
      </c>
      <c r="I34" s="511">
        <f t="shared" si="9"/>
        <v>0</v>
      </c>
      <c r="J34" s="511"/>
      <c r="K34" s="525"/>
      <c r="L34" s="514">
        <f t="shared" si="1"/>
        <v>0</v>
      </c>
      <c r="M34" s="525"/>
      <c r="N34" s="514">
        <f t="shared" si="3"/>
        <v>0</v>
      </c>
      <c r="O34" s="514">
        <f t="shared" si="4"/>
        <v>0</v>
      </c>
      <c r="P34" s="272"/>
    </row>
    <row r="35" spans="2:16">
      <c r="B35" s="195" t="str">
        <f t="shared" si="5"/>
        <v/>
      </c>
      <c r="C35" s="507">
        <f>IF(D11="","-",+C34+1)</f>
        <v>2030</v>
      </c>
      <c r="D35" s="523">
        <f>IF(F34+SUM(E$17:E34)=D$10,F34,D$10-SUM(E$17:E34))</f>
        <v>28262886.708114393</v>
      </c>
      <c r="E35" s="522">
        <f>IF(+I14&lt;F34,I14,D35)</f>
        <v>1083182.466818182</v>
      </c>
      <c r="F35" s="523">
        <f t="shared" si="19"/>
        <v>27179704.241296209</v>
      </c>
      <c r="G35" s="524">
        <f t="shared" si="20"/>
        <v>4396629.4006436998</v>
      </c>
      <c r="H35" s="491">
        <f t="shared" si="21"/>
        <v>4396629.4006436998</v>
      </c>
      <c r="I35" s="511">
        <f t="shared" si="9"/>
        <v>0</v>
      </c>
      <c r="J35" s="511"/>
      <c r="K35" s="525"/>
      <c r="L35" s="514">
        <f t="shared" si="1"/>
        <v>0</v>
      </c>
      <c r="M35" s="525"/>
      <c r="N35" s="514">
        <f t="shared" si="3"/>
        <v>0</v>
      </c>
      <c r="O35" s="514">
        <f t="shared" si="4"/>
        <v>0</v>
      </c>
      <c r="P35" s="272"/>
    </row>
    <row r="36" spans="2:16">
      <c r="B36" s="195" t="str">
        <f t="shared" si="5"/>
        <v/>
      </c>
      <c r="C36" s="507">
        <f>IF(D11="","-",+C35+1)</f>
        <v>2031</v>
      </c>
      <c r="D36" s="523">
        <f>IF(F35+SUM(E$17:E35)=D$10,F35,D$10-SUM(E$17:E35))</f>
        <v>27179704.241296209</v>
      </c>
      <c r="E36" s="522">
        <f>IF(+I14&lt;F35,I14,D36)</f>
        <v>1083182.466818182</v>
      </c>
      <c r="F36" s="523">
        <f t="shared" si="19"/>
        <v>26096521.774478026</v>
      </c>
      <c r="G36" s="524">
        <f t="shared" si="20"/>
        <v>4267159.7073269794</v>
      </c>
      <c r="H36" s="491">
        <f t="shared" si="21"/>
        <v>4267159.7073269794</v>
      </c>
      <c r="I36" s="511">
        <f t="shared" si="9"/>
        <v>0</v>
      </c>
      <c r="J36" s="511"/>
      <c r="K36" s="525"/>
      <c r="L36" s="514">
        <f t="shared" si="1"/>
        <v>0</v>
      </c>
      <c r="M36" s="525"/>
      <c r="N36" s="514">
        <f t="shared" si="3"/>
        <v>0</v>
      </c>
      <c r="O36" s="514">
        <f t="shared" si="4"/>
        <v>0</v>
      </c>
      <c r="P36" s="272"/>
    </row>
    <row r="37" spans="2:16">
      <c r="B37" s="195" t="str">
        <f t="shared" si="5"/>
        <v/>
      </c>
      <c r="C37" s="507">
        <f>IF(D11="","-",+C36+1)</f>
        <v>2032</v>
      </c>
      <c r="D37" s="523">
        <f>IF(F36+SUM(E$17:E36)=D$10,F36,D$10-SUM(E$17:E36))</f>
        <v>26096521.774478026</v>
      </c>
      <c r="E37" s="522">
        <f>IF(+I14&lt;F36,I14,D37)</f>
        <v>1083182.466818182</v>
      </c>
      <c r="F37" s="523">
        <f t="shared" si="19"/>
        <v>25013339.307659842</v>
      </c>
      <c r="G37" s="524">
        <f t="shared" si="20"/>
        <v>4137690.0140102599</v>
      </c>
      <c r="H37" s="491">
        <f t="shared" si="21"/>
        <v>4137690.0140102599</v>
      </c>
      <c r="I37" s="511">
        <f t="shared" si="9"/>
        <v>0</v>
      </c>
      <c r="J37" s="511"/>
      <c r="K37" s="525"/>
      <c r="L37" s="514">
        <f t="shared" si="1"/>
        <v>0</v>
      </c>
      <c r="M37" s="525"/>
      <c r="N37" s="514">
        <f t="shared" si="3"/>
        <v>0</v>
      </c>
      <c r="O37" s="514">
        <f t="shared" si="4"/>
        <v>0</v>
      </c>
      <c r="P37" s="272"/>
    </row>
    <row r="38" spans="2:16">
      <c r="B38" s="195" t="str">
        <f t="shared" si="5"/>
        <v/>
      </c>
      <c r="C38" s="507">
        <f>IF(D11="","-",+C37+1)</f>
        <v>2033</v>
      </c>
      <c r="D38" s="523">
        <f>IF(F37+SUM(E$17:E37)=D$10,F37,D$10-SUM(E$17:E37))</f>
        <v>25013339.307659842</v>
      </c>
      <c r="E38" s="522">
        <f>IF(+I14&lt;F37,I14,D38)</f>
        <v>1083182.466818182</v>
      </c>
      <c r="F38" s="523">
        <f t="shared" si="19"/>
        <v>23930156.840841658</v>
      </c>
      <c r="G38" s="524">
        <f t="shared" si="20"/>
        <v>4008220.3206935395</v>
      </c>
      <c r="H38" s="491">
        <f t="shared" si="21"/>
        <v>4008220.3206935395</v>
      </c>
      <c r="I38" s="511">
        <f t="shared" si="9"/>
        <v>0</v>
      </c>
      <c r="J38" s="511"/>
      <c r="K38" s="525"/>
      <c r="L38" s="514">
        <f t="shared" si="1"/>
        <v>0</v>
      </c>
      <c r="M38" s="525"/>
      <c r="N38" s="514">
        <f t="shared" si="3"/>
        <v>0</v>
      </c>
      <c r="O38" s="514">
        <f t="shared" si="4"/>
        <v>0</v>
      </c>
      <c r="P38" s="272"/>
    </row>
    <row r="39" spans="2:16">
      <c r="B39" s="195" t="str">
        <f t="shared" si="5"/>
        <v/>
      </c>
      <c r="C39" s="507">
        <f>IF(D11="","-",+C38+1)</f>
        <v>2034</v>
      </c>
      <c r="D39" s="523">
        <f>IF(F38+SUM(E$17:E38)=D$10,F38,D$10-SUM(E$17:E38))</f>
        <v>23930156.840841658</v>
      </c>
      <c r="E39" s="522">
        <f>IF(+I14&lt;F38,I14,D39)</f>
        <v>1083182.466818182</v>
      </c>
      <c r="F39" s="523">
        <f t="shared" si="19"/>
        <v>22846974.374023475</v>
      </c>
      <c r="G39" s="524">
        <f t="shared" si="20"/>
        <v>3878750.62737682</v>
      </c>
      <c r="H39" s="491">
        <f t="shared" si="21"/>
        <v>3878750.62737682</v>
      </c>
      <c r="I39" s="511">
        <f t="shared" si="9"/>
        <v>0</v>
      </c>
      <c r="J39" s="511"/>
      <c r="K39" s="525"/>
      <c r="L39" s="514">
        <f t="shared" si="1"/>
        <v>0</v>
      </c>
      <c r="M39" s="525"/>
      <c r="N39" s="514">
        <f t="shared" si="3"/>
        <v>0</v>
      </c>
      <c r="O39" s="514">
        <f t="shared" si="4"/>
        <v>0</v>
      </c>
      <c r="P39" s="272"/>
    </row>
    <row r="40" spans="2:16">
      <c r="B40" s="195" t="str">
        <f t="shared" si="5"/>
        <v/>
      </c>
      <c r="C40" s="507">
        <f>IF(D11="","-",+C39+1)</f>
        <v>2035</v>
      </c>
      <c r="D40" s="523">
        <f>IF(F39+SUM(E$17:E39)=D$10,F39,D$10-SUM(E$17:E39))</f>
        <v>22846974.374023475</v>
      </c>
      <c r="E40" s="522">
        <f>IF(+I14&lt;F39,I14,D40)</f>
        <v>1083182.466818182</v>
      </c>
      <c r="F40" s="523">
        <f t="shared" si="19"/>
        <v>21763791.907205291</v>
      </c>
      <c r="G40" s="524">
        <f t="shared" si="20"/>
        <v>3749280.9340600995</v>
      </c>
      <c r="H40" s="491">
        <f t="shared" si="21"/>
        <v>3749280.9340600995</v>
      </c>
      <c r="I40" s="511">
        <f t="shared" si="9"/>
        <v>0</v>
      </c>
      <c r="J40" s="511"/>
      <c r="K40" s="525"/>
      <c r="L40" s="514">
        <f t="shared" si="1"/>
        <v>0</v>
      </c>
      <c r="M40" s="525"/>
      <c r="N40" s="514">
        <f t="shared" si="3"/>
        <v>0</v>
      </c>
      <c r="O40" s="514">
        <f t="shared" si="4"/>
        <v>0</v>
      </c>
      <c r="P40" s="272"/>
    </row>
    <row r="41" spans="2:16">
      <c r="B41" s="195" t="str">
        <f t="shared" si="5"/>
        <v/>
      </c>
      <c r="C41" s="507">
        <f>IF(D11="","-",+C40+1)</f>
        <v>2036</v>
      </c>
      <c r="D41" s="523">
        <f>IF(F40+SUM(E$17:E40)=D$10,F40,D$10-SUM(E$17:E40))</f>
        <v>21763791.907205291</v>
      </c>
      <c r="E41" s="522">
        <f>IF(+I14&lt;F40,I14,D41)</f>
        <v>1083182.466818182</v>
      </c>
      <c r="F41" s="523">
        <f t="shared" si="19"/>
        <v>20680609.440387107</v>
      </c>
      <c r="G41" s="524">
        <f t="shared" si="20"/>
        <v>3619811.24074338</v>
      </c>
      <c r="H41" s="491">
        <f t="shared" si="21"/>
        <v>3619811.24074338</v>
      </c>
      <c r="I41" s="511">
        <f t="shared" si="9"/>
        <v>0</v>
      </c>
      <c r="J41" s="511"/>
      <c r="K41" s="525"/>
      <c r="L41" s="514">
        <f t="shared" si="1"/>
        <v>0</v>
      </c>
      <c r="M41" s="525"/>
      <c r="N41" s="514">
        <f t="shared" si="3"/>
        <v>0</v>
      </c>
      <c r="O41" s="514">
        <f t="shared" si="4"/>
        <v>0</v>
      </c>
      <c r="P41" s="272"/>
    </row>
    <row r="42" spans="2:16">
      <c r="B42" s="195" t="str">
        <f t="shared" si="5"/>
        <v/>
      </c>
      <c r="C42" s="507">
        <f>IF(D11="","-",+C41+1)</f>
        <v>2037</v>
      </c>
      <c r="D42" s="523">
        <f>IF(F41+SUM(E$17:E41)=D$10,F41,D$10-SUM(E$17:E41))</f>
        <v>20680609.440387107</v>
      </c>
      <c r="E42" s="522">
        <f>IF(+I14&lt;F41,I14,D42)</f>
        <v>1083182.466818182</v>
      </c>
      <c r="F42" s="523">
        <f t="shared" si="19"/>
        <v>19597426.973568924</v>
      </c>
      <c r="G42" s="524">
        <f t="shared" si="20"/>
        <v>3490341.5474266605</v>
      </c>
      <c r="H42" s="491">
        <f t="shared" si="21"/>
        <v>3490341.5474266605</v>
      </c>
      <c r="I42" s="511">
        <f t="shared" si="9"/>
        <v>0</v>
      </c>
      <c r="J42" s="511"/>
      <c r="K42" s="525"/>
      <c r="L42" s="514">
        <f t="shared" si="1"/>
        <v>0</v>
      </c>
      <c r="M42" s="525"/>
      <c r="N42" s="514">
        <f t="shared" si="3"/>
        <v>0</v>
      </c>
      <c r="O42" s="514">
        <f t="shared" si="4"/>
        <v>0</v>
      </c>
      <c r="P42" s="272"/>
    </row>
    <row r="43" spans="2:16">
      <c r="B43" s="195" t="str">
        <f t="shared" si="5"/>
        <v/>
      </c>
      <c r="C43" s="507">
        <f>IF(D11="","-",+C42+1)</f>
        <v>2038</v>
      </c>
      <c r="D43" s="523">
        <f>IF(F42+SUM(E$17:E42)=D$10,F42,D$10-SUM(E$17:E42))</f>
        <v>19597426.973568924</v>
      </c>
      <c r="E43" s="522">
        <f>IF(+I14&lt;F42,I14,D43)</f>
        <v>1083182.466818182</v>
      </c>
      <c r="F43" s="523">
        <f t="shared" si="19"/>
        <v>18514244.50675074</v>
      </c>
      <c r="G43" s="524">
        <f t="shared" si="20"/>
        <v>3360871.8541099401</v>
      </c>
      <c r="H43" s="491">
        <f t="shared" si="21"/>
        <v>3360871.8541099401</v>
      </c>
      <c r="I43" s="511">
        <f t="shared" si="9"/>
        <v>0</v>
      </c>
      <c r="J43" s="511"/>
      <c r="K43" s="525"/>
      <c r="L43" s="514">
        <f t="shared" si="1"/>
        <v>0</v>
      </c>
      <c r="M43" s="525"/>
      <c r="N43" s="514">
        <f t="shared" si="3"/>
        <v>0</v>
      </c>
      <c r="O43" s="514">
        <f t="shared" si="4"/>
        <v>0</v>
      </c>
      <c r="P43" s="272"/>
    </row>
    <row r="44" spans="2:16">
      <c r="B44" s="195" t="str">
        <f t="shared" si="5"/>
        <v/>
      </c>
      <c r="C44" s="507">
        <f>IF(D11="","-",+C43+1)</f>
        <v>2039</v>
      </c>
      <c r="D44" s="523">
        <f>IF(F43+SUM(E$17:E43)=D$10,F43,D$10-SUM(E$17:E43))</f>
        <v>18514244.50675074</v>
      </c>
      <c r="E44" s="522">
        <f>IF(+I14&lt;F43,I14,D44)</f>
        <v>1083182.466818182</v>
      </c>
      <c r="F44" s="523">
        <f t="shared" si="19"/>
        <v>17431062.039932556</v>
      </c>
      <c r="G44" s="524">
        <f t="shared" si="20"/>
        <v>3231402.1607932206</v>
      </c>
      <c r="H44" s="491">
        <f t="shared" si="21"/>
        <v>3231402.1607932206</v>
      </c>
      <c r="I44" s="511">
        <f t="shared" si="9"/>
        <v>0</v>
      </c>
      <c r="J44" s="511"/>
      <c r="K44" s="525"/>
      <c r="L44" s="514">
        <f t="shared" si="1"/>
        <v>0</v>
      </c>
      <c r="M44" s="525"/>
      <c r="N44" s="514">
        <f t="shared" si="3"/>
        <v>0</v>
      </c>
      <c r="O44" s="514">
        <f t="shared" si="4"/>
        <v>0</v>
      </c>
      <c r="P44" s="272"/>
    </row>
    <row r="45" spans="2:16">
      <c r="B45" s="195" t="str">
        <f t="shared" si="5"/>
        <v/>
      </c>
      <c r="C45" s="507">
        <f>IF(D11="","-",+C44+1)</f>
        <v>2040</v>
      </c>
      <c r="D45" s="523">
        <f>IF(F44+SUM(E$17:E44)=D$10,F44,D$10-SUM(E$17:E44))</f>
        <v>17431062.039932556</v>
      </c>
      <c r="E45" s="522">
        <f>IF(+I14&lt;F44,I14,D45)</f>
        <v>1083182.466818182</v>
      </c>
      <c r="F45" s="523">
        <f t="shared" si="19"/>
        <v>16347879.573114375</v>
      </c>
      <c r="G45" s="524">
        <f t="shared" si="20"/>
        <v>3101932.4674765002</v>
      </c>
      <c r="H45" s="491">
        <f t="shared" si="21"/>
        <v>3101932.4674765002</v>
      </c>
      <c r="I45" s="511">
        <f t="shared" si="9"/>
        <v>0</v>
      </c>
      <c r="J45" s="511"/>
      <c r="K45" s="525"/>
      <c r="L45" s="514">
        <f t="shared" si="1"/>
        <v>0</v>
      </c>
      <c r="M45" s="525"/>
      <c r="N45" s="514">
        <f t="shared" si="3"/>
        <v>0</v>
      </c>
      <c r="O45" s="514">
        <f t="shared" si="4"/>
        <v>0</v>
      </c>
      <c r="P45" s="272"/>
    </row>
    <row r="46" spans="2:16">
      <c r="B46" s="195" t="str">
        <f t="shared" si="5"/>
        <v/>
      </c>
      <c r="C46" s="507">
        <f>IF(D11="","-",+C45+1)</f>
        <v>2041</v>
      </c>
      <c r="D46" s="523">
        <f>IF(F45+SUM(E$17:E45)=D$10,F45,D$10-SUM(E$17:E45))</f>
        <v>16347879.573114375</v>
      </c>
      <c r="E46" s="522">
        <f>IF(+I14&lt;F45,I14,D46)</f>
        <v>1083182.466818182</v>
      </c>
      <c r="F46" s="523">
        <f t="shared" si="19"/>
        <v>15264697.106296193</v>
      </c>
      <c r="G46" s="524">
        <f t="shared" si="20"/>
        <v>2972462.7741597807</v>
      </c>
      <c r="H46" s="491">
        <f t="shared" si="21"/>
        <v>2972462.7741597807</v>
      </c>
      <c r="I46" s="511">
        <f t="shared" si="9"/>
        <v>0</v>
      </c>
      <c r="J46" s="511"/>
      <c r="K46" s="525"/>
      <c r="L46" s="514">
        <f t="shared" si="1"/>
        <v>0</v>
      </c>
      <c r="M46" s="525"/>
      <c r="N46" s="514">
        <f t="shared" si="3"/>
        <v>0</v>
      </c>
      <c r="O46" s="514">
        <f t="shared" si="4"/>
        <v>0</v>
      </c>
      <c r="P46" s="272"/>
    </row>
    <row r="47" spans="2:16">
      <c r="B47" s="195" t="str">
        <f t="shared" si="5"/>
        <v/>
      </c>
      <c r="C47" s="507">
        <f>IF(D11="","-",+C46+1)</f>
        <v>2042</v>
      </c>
      <c r="D47" s="523">
        <f>IF(F46+SUM(E$17:E46)=D$10,F46,D$10-SUM(E$17:E46))</f>
        <v>15264697.106296193</v>
      </c>
      <c r="E47" s="522">
        <f>IF(+I14&lt;F46,I14,D47)</f>
        <v>1083182.466818182</v>
      </c>
      <c r="F47" s="523">
        <f t="shared" si="19"/>
        <v>14181514.639478011</v>
      </c>
      <c r="G47" s="524">
        <f t="shared" si="20"/>
        <v>2842993.0808430612</v>
      </c>
      <c r="H47" s="491">
        <f t="shared" si="21"/>
        <v>2842993.0808430612</v>
      </c>
      <c r="I47" s="511">
        <f t="shared" si="9"/>
        <v>0</v>
      </c>
      <c r="J47" s="511"/>
      <c r="K47" s="525"/>
      <c r="L47" s="514">
        <f t="shared" si="1"/>
        <v>0</v>
      </c>
      <c r="M47" s="525"/>
      <c r="N47" s="514">
        <f t="shared" si="3"/>
        <v>0</v>
      </c>
      <c r="O47" s="514">
        <f t="shared" si="4"/>
        <v>0</v>
      </c>
      <c r="P47" s="272"/>
    </row>
    <row r="48" spans="2:16">
      <c r="B48" s="195" t="str">
        <f t="shared" si="5"/>
        <v/>
      </c>
      <c r="C48" s="507">
        <f>IF(D11="","-",+C47+1)</f>
        <v>2043</v>
      </c>
      <c r="D48" s="523">
        <f>IF(F47+SUM(E$17:E47)=D$10,F47,D$10-SUM(E$17:E47))</f>
        <v>14181514.639478011</v>
      </c>
      <c r="E48" s="522">
        <f>IF(+I14&lt;F47,I14,D48)</f>
        <v>1083182.466818182</v>
      </c>
      <c r="F48" s="523">
        <f t="shared" si="19"/>
        <v>13098332.172659829</v>
      </c>
      <c r="G48" s="524">
        <f t="shared" si="20"/>
        <v>2713523.3875263417</v>
      </c>
      <c r="H48" s="491">
        <f t="shared" si="21"/>
        <v>2713523.3875263417</v>
      </c>
      <c r="I48" s="511">
        <f t="shared" si="9"/>
        <v>0</v>
      </c>
      <c r="J48" s="511"/>
      <c r="K48" s="525"/>
      <c r="L48" s="514">
        <f t="shared" si="1"/>
        <v>0</v>
      </c>
      <c r="M48" s="525"/>
      <c r="N48" s="514">
        <f t="shared" si="3"/>
        <v>0</v>
      </c>
      <c r="O48" s="514">
        <f t="shared" si="4"/>
        <v>0</v>
      </c>
      <c r="P48" s="272"/>
    </row>
    <row r="49" spans="2:17">
      <c r="B49" s="195" t="str">
        <f t="shared" si="5"/>
        <v/>
      </c>
      <c r="C49" s="507">
        <f>IF(D11="","-",+C48+1)</f>
        <v>2044</v>
      </c>
      <c r="D49" s="523">
        <f>IF(F48+SUM(E$17:E48)=D$10,F48,D$10-SUM(E$17:E48))</f>
        <v>13098332.172659829</v>
      </c>
      <c r="E49" s="522">
        <f>IF(+I14&lt;F48,I14,D49)</f>
        <v>1083182.466818182</v>
      </c>
      <c r="F49" s="523">
        <f t="shared" ref="F49:F72" si="22">+D49-E49</f>
        <v>12015149.705841647</v>
      </c>
      <c r="G49" s="524">
        <f t="shared" si="20"/>
        <v>2584053.6942096213</v>
      </c>
      <c r="H49" s="491">
        <f t="shared" si="21"/>
        <v>2584053.6942096213</v>
      </c>
      <c r="I49" s="511">
        <f t="shared" ref="I49:I72" si="23">H49-G49</f>
        <v>0</v>
      </c>
      <c r="J49" s="511"/>
      <c r="K49" s="525"/>
      <c r="L49" s="514">
        <f t="shared" ref="L49:L72" si="24">IF(K49&lt;&gt;0,+G49-K49,0)</f>
        <v>0</v>
      </c>
      <c r="M49" s="525"/>
      <c r="N49" s="514">
        <f t="shared" ref="N49:N72" si="25">IF(M49&lt;&gt;0,+H49-M49,0)</f>
        <v>0</v>
      </c>
      <c r="O49" s="514">
        <f t="shared" ref="O49:O72" si="26">+N49-L49</f>
        <v>0</v>
      </c>
      <c r="P49" s="272"/>
    </row>
    <row r="50" spans="2:17">
      <c r="B50" s="195" t="str">
        <f t="shared" ref="B50:B72" si="27">IF(D50=F49,"","IU")</f>
        <v/>
      </c>
      <c r="C50" s="507">
        <f>IF(D11="","-",+C49+1)</f>
        <v>2045</v>
      </c>
      <c r="D50" s="523">
        <f>IF(F49+SUM(E$17:E49)=D$10,F49,D$10-SUM(E$17:E49))</f>
        <v>12015149.705841647</v>
      </c>
      <c r="E50" s="522">
        <f>IF(+I14&lt;F49,I14,D50)</f>
        <v>1083182.466818182</v>
      </c>
      <c r="F50" s="523">
        <f t="shared" si="22"/>
        <v>10931967.239023466</v>
      </c>
      <c r="G50" s="524">
        <f t="shared" si="20"/>
        <v>2454584.0008929023</v>
      </c>
      <c r="H50" s="491">
        <f t="shared" si="21"/>
        <v>2454584.0008929023</v>
      </c>
      <c r="I50" s="511">
        <f t="shared" si="23"/>
        <v>0</v>
      </c>
      <c r="J50" s="511"/>
      <c r="K50" s="525"/>
      <c r="L50" s="514">
        <f t="shared" si="24"/>
        <v>0</v>
      </c>
      <c r="M50" s="525"/>
      <c r="N50" s="514">
        <f t="shared" si="25"/>
        <v>0</v>
      </c>
      <c r="O50" s="514">
        <f t="shared" si="26"/>
        <v>0</v>
      </c>
      <c r="P50" s="272"/>
    </row>
    <row r="51" spans="2:17">
      <c r="B51" s="195" t="str">
        <f t="shared" si="27"/>
        <v/>
      </c>
      <c r="C51" s="507">
        <f>IF(D11="","-",+C50+1)</f>
        <v>2046</v>
      </c>
      <c r="D51" s="523">
        <f>IF(F50+SUM(E$17:E50)=D$10,F50,D$10-SUM(E$17:E50))</f>
        <v>10931967.239023466</v>
      </c>
      <c r="E51" s="522">
        <f>IF(+I14&lt;F50,I14,D51)</f>
        <v>1083182.466818182</v>
      </c>
      <c r="F51" s="523">
        <f t="shared" si="22"/>
        <v>9848784.7722052839</v>
      </c>
      <c r="G51" s="524">
        <f t="shared" si="20"/>
        <v>2325114.3075761823</v>
      </c>
      <c r="H51" s="491">
        <f t="shared" si="21"/>
        <v>2325114.3075761823</v>
      </c>
      <c r="I51" s="511">
        <f t="shared" si="23"/>
        <v>0</v>
      </c>
      <c r="J51" s="511"/>
      <c r="K51" s="525"/>
      <c r="L51" s="514">
        <f t="shared" si="24"/>
        <v>0</v>
      </c>
      <c r="M51" s="525"/>
      <c r="N51" s="514">
        <f t="shared" si="25"/>
        <v>0</v>
      </c>
      <c r="O51" s="514">
        <f t="shared" si="26"/>
        <v>0</v>
      </c>
      <c r="P51" s="272"/>
    </row>
    <row r="52" spans="2:17">
      <c r="B52" s="195" t="str">
        <f t="shared" si="27"/>
        <v/>
      </c>
      <c r="C52" s="507">
        <f>IF(D11="","-",+C51+1)</f>
        <v>2047</v>
      </c>
      <c r="D52" s="523">
        <f>IF(F51+SUM(E$17:E51)=D$10,F51,D$10-SUM(E$17:E51))</f>
        <v>9848784.7722052839</v>
      </c>
      <c r="E52" s="522">
        <f>IF(+I14&lt;F51,I14,D52)</f>
        <v>1083182.466818182</v>
      </c>
      <c r="F52" s="523">
        <f t="shared" si="22"/>
        <v>8765602.3053871021</v>
      </c>
      <c r="G52" s="524">
        <f t="shared" si="20"/>
        <v>2195644.6142594628</v>
      </c>
      <c r="H52" s="491">
        <f t="shared" si="21"/>
        <v>2195644.6142594628</v>
      </c>
      <c r="I52" s="511">
        <f t="shared" si="23"/>
        <v>0</v>
      </c>
      <c r="J52" s="511"/>
      <c r="K52" s="525"/>
      <c r="L52" s="514">
        <f t="shared" si="24"/>
        <v>0</v>
      </c>
      <c r="M52" s="525"/>
      <c r="N52" s="514">
        <f t="shared" si="25"/>
        <v>0</v>
      </c>
      <c r="O52" s="514">
        <f t="shared" si="26"/>
        <v>0</v>
      </c>
      <c r="P52" s="272"/>
    </row>
    <row r="53" spans="2:17">
      <c r="B53" s="195" t="str">
        <f t="shared" si="27"/>
        <v/>
      </c>
      <c r="C53" s="507">
        <f>IF(D11="","-",+C52+1)</f>
        <v>2048</v>
      </c>
      <c r="D53" s="523">
        <f>IF(F52+SUM(E$17:E52)=D$10,F52,D$10-SUM(E$17:E52))</f>
        <v>8765602.3053871021</v>
      </c>
      <c r="E53" s="522">
        <f>IF(+I14&lt;F52,I14,D53)</f>
        <v>1083182.466818182</v>
      </c>
      <c r="F53" s="523">
        <f t="shared" si="22"/>
        <v>7682419.8385689203</v>
      </c>
      <c r="G53" s="524">
        <f t="shared" si="20"/>
        <v>2066174.9209427428</v>
      </c>
      <c r="H53" s="491">
        <f t="shared" si="21"/>
        <v>2066174.9209427428</v>
      </c>
      <c r="I53" s="511">
        <f t="shared" si="23"/>
        <v>0</v>
      </c>
      <c r="J53" s="511"/>
      <c r="K53" s="525"/>
      <c r="L53" s="514">
        <f t="shared" si="24"/>
        <v>0</v>
      </c>
      <c r="M53" s="525"/>
      <c r="N53" s="514">
        <f t="shared" si="25"/>
        <v>0</v>
      </c>
      <c r="O53" s="514">
        <f t="shared" si="26"/>
        <v>0</v>
      </c>
      <c r="P53" s="272"/>
    </row>
    <row r="54" spans="2:17">
      <c r="B54" s="195" t="str">
        <f t="shared" si="27"/>
        <v/>
      </c>
      <c r="C54" s="507">
        <f>IF(D11="","-",+C53+1)</f>
        <v>2049</v>
      </c>
      <c r="D54" s="523">
        <f>IF(F53+SUM(E$17:E53)=D$10,F53,D$10-SUM(E$17:E53))</f>
        <v>7682419.8385689203</v>
      </c>
      <c r="E54" s="522">
        <f>IF(+I14&lt;F53,I14,D54)</f>
        <v>1083182.466818182</v>
      </c>
      <c r="F54" s="523">
        <f t="shared" si="22"/>
        <v>6599237.3717507385</v>
      </c>
      <c r="G54" s="524">
        <f t="shared" ref="G54:G72" si="28">+I$12*((D54+F54)/2)+E54</f>
        <v>1936705.2276260233</v>
      </c>
      <c r="H54" s="491">
        <f t="shared" ref="H54:H72" si="29">+I$13*((D54+F54)/2)+E54</f>
        <v>1936705.2276260233</v>
      </c>
      <c r="I54" s="511">
        <f t="shared" si="23"/>
        <v>0</v>
      </c>
      <c r="J54" s="511"/>
      <c r="K54" s="525"/>
      <c r="L54" s="514">
        <f t="shared" si="24"/>
        <v>0</v>
      </c>
      <c r="M54" s="525"/>
      <c r="N54" s="514">
        <f t="shared" si="25"/>
        <v>0</v>
      </c>
      <c r="O54" s="514">
        <f t="shared" si="26"/>
        <v>0</v>
      </c>
      <c r="P54" s="272"/>
    </row>
    <row r="55" spans="2:17">
      <c r="B55" s="195" t="str">
        <f t="shared" si="27"/>
        <v/>
      </c>
      <c r="C55" s="507">
        <f>IF(D11="","-",+C54+1)</f>
        <v>2050</v>
      </c>
      <c r="D55" s="523">
        <f>IF(F54+SUM(E$17:E54)=D$10,F54,D$10-SUM(E$17:E54))</f>
        <v>6599237.3717507385</v>
      </c>
      <c r="E55" s="522">
        <f>IF(+I14&lt;F54,I14,D55)</f>
        <v>1083182.466818182</v>
      </c>
      <c r="F55" s="523">
        <f t="shared" si="22"/>
        <v>5516054.9049325567</v>
      </c>
      <c r="G55" s="524">
        <f t="shared" si="28"/>
        <v>1807235.5343093034</v>
      </c>
      <c r="H55" s="491">
        <f t="shared" si="29"/>
        <v>1807235.5343093034</v>
      </c>
      <c r="I55" s="511">
        <f t="shared" si="23"/>
        <v>0</v>
      </c>
      <c r="J55" s="511"/>
      <c r="K55" s="525"/>
      <c r="L55" s="514">
        <f t="shared" si="24"/>
        <v>0</v>
      </c>
      <c r="M55" s="525"/>
      <c r="N55" s="514">
        <f t="shared" si="25"/>
        <v>0</v>
      </c>
      <c r="O55" s="514">
        <f t="shared" si="26"/>
        <v>0</v>
      </c>
      <c r="P55" s="272"/>
    </row>
    <row r="56" spans="2:17">
      <c r="B56" s="195" t="str">
        <f t="shared" si="27"/>
        <v/>
      </c>
      <c r="C56" s="507">
        <f>IF(D11="","-",+C55+1)</f>
        <v>2051</v>
      </c>
      <c r="D56" s="523">
        <f>IF(F55+SUM(E$17:E55)=D$10,F55,D$10-SUM(E$17:E55))</f>
        <v>5516054.9049325567</v>
      </c>
      <c r="E56" s="522">
        <f>IF(+I14&lt;F55,I14,D56)</f>
        <v>1083182.466818182</v>
      </c>
      <c r="F56" s="523">
        <f t="shared" si="22"/>
        <v>4432872.4381143749</v>
      </c>
      <c r="G56" s="524">
        <f t="shared" si="28"/>
        <v>1677765.8409925839</v>
      </c>
      <c r="H56" s="491">
        <f t="shared" si="29"/>
        <v>1677765.8409925839</v>
      </c>
      <c r="I56" s="511">
        <f t="shared" si="23"/>
        <v>0</v>
      </c>
      <c r="J56" s="511"/>
      <c r="K56" s="525"/>
      <c r="L56" s="514">
        <f t="shared" si="24"/>
        <v>0</v>
      </c>
      <c r="M56" s="525"/>
      <c r="N56" s="514">
        <f t="shared" si="25"/>
        <v>0</v>
      </c>
      <c r="O56" s="514">
        <f t="shared" si="26"/>
        <v>0</v>
      </c>
      <c r="P56" s="272"/>
    </row>
    <row r="57" spans="2:17">
      <c r="B57" s="195" t="str">
        <f t="shared" si="27"/>
        <v/>
      </c>
      <c r="C57" s="507">
        <f>IF(D11="","-",+C56+1)</f>
        <v>2052</v>
      </c>
      <c r="D57" s="523">
        <f>IF(F56+SUM(E$17:E56)=D$10,F56,D$10-SUM(E$17:E56))</f>
        <v>4432872.4381143749</v>
      </c>
      <c r="E57" s="522">
        <f>IF(+I14&lt;F56,I14,D57)</f>
        <v>1083182.466818182</v>
      </c>
      <c r="F57" s="523">
        <f t="shared" si="22"/>
        <v>3349689.9712961931</v>
      </c>
      <c r="G57" s="524">
        <f t="shared" si="28"/>
        <v>1548296.1476758642</v>
      </c>
      <c r="H57" s="491">
        <f t="shared" si="29"/>
        <v>1548296.1476758642</v>
      </c>
      <c r="I57" s="511">
        <f t="shared" si="23"/>
        <v>0</v>
      </c>
      <c r="J57" s="511"/>
      <c r="K57" s="525"/>
      <c r="L57" s="514">
        <f t="shared" si="24"/>
        <v>0</v>
      </c>
      <c r="M57" s="525"/>
      <c r="N57" s="514">
        <f t="shared" si="25"/>
        <v>0</v>
      </c>
      <c r="O57" s="514">
        <f t="shared" si="26"/>
        <v>0</v>
      </c>
      <c r="P57" s="272"/>
    </row>
    <row r="58" spans="2:17">
      <c r="B58" s="195" t="str">
        <f t="shared" si="27"/>
        <v/>
      </c>
      <c r="C58" s="507">
        <f>IF(D11="","-",+C57+1)</f>
        <v>2053</v>
      </c>
      <c r="D58" s="523">
        <f>IF(F57+SUM(E$17:E57)=D$10,F57,D$10-SUM(E$17:E57))</f>
        <v>3349689.9712961931</v>
      </c>
      <c r="E58" s="522">
        <f>IF(+I14&lt;F57,I14,D58)</f>
        <v>1083182.466818182</v>
      </c>
      <c r="F58" s="523">
        <f t="shared" si="22"/>
        <v>2266507.5044780113</v>
      </c>
      <c r="G58" s="524">
        <f t="shared" si="28"/>
        <v>1418826.4543591444</v>
      </c>
      <c r="H58" s="491">
        <f t="shared" si="29"/>
        <v>1418826.4543591444</v>
      </c>
      <c r="I58" s="511">
        <f t="shared" si="23"/>
        <v>0</v>
      </c>
      <c r="J58" s="511"/>
      <c r="K58" s="525"/>
      <c r="L58" s="514">
        <f t="shared" si="24"/>
        <v>0</v>
      </c>
      <c r="M58" s="525"/>
      <c r="N58" s="514">
        <f t="shared" si="25"/>
        <v>0</v>
      </c>
      <c r="O58" s="514">
        <f t="shared" si="26"/>
        <v>0</v>
      </c>
      <c r="P58" s="272"/>
      <c r="Q58" s="183" t="str">
        <f>IF(ROUND(Q57,0)=ROUND(SUM(Q18:Q56),0),"","Error -- check allocations above).")</f>
        <v/>
      </c>
    </row>
    <row r="59" spans="2:17">
      <c r="B59" s="195" t="str">
        <f t="shared" si="27"/>
        <v/>
      </c>
      <c r="C59" s="507">
        <f>IF(D11="","-",+C58+1)</f>
        <v>2054</v>
      </c>
      <c r="D59" s="523">
        <f>IF(F58+SUM(E$17:E58)=D$10,F58,D$10-SUM(E$17:E58))</f>
        <v>2266507.5044780113</v>
      </c>
      <c r="E59" s="522">
        <f>IF(+I14&lt;F58,I14,D59)</f>
        <v>1083182.466818182</v>
      </c>
      <c r="F59" s="523">
        <f t="shared" si="22"/>
        <v>1183325.0376598292</v>
      </c>
      <c r="G59" s="524">
        <f t="shared" si="28"/>
        <v>1289356.7610424247</v>
      </c>
      <c r="H59" s="491">
        <f t="shared" si="29"/>
        <v>1289356.7610424247</v>
      </c>
      <c r="I59" s="511">
        <f t="shared" si="23"/>
        <v>0</v>
      </c>
      <c r="J59" s="511"/>
      <c r="K59" s="525"/>
      <c r="L59" s="514">
        <f t="shared" si="24"/>
        <v>0</v>
      </c>
      <c r="M59" s="525"/>
      <c r="N59" s="514">
        <f t="shared" si="25"/>
        <v>0</v>
      </c>
      <c r="O59" s="514">
        <f t="shared" si="26"/>
        <v>0</v>
      </c>
      <c r="P59" s="272"/>
    </row>
    <row r="60" spans="2:17">
      <c r="B60" s="195" t="str">
        <f t="shared" si="27"/>
        <v/>
      </c>
      <c r="C60" s="507">
        <f>IF(D11="","-",+C59+1)</f>
        <v>2055</v>
      </c>
      <c r="D60" s="523">
        <f>IF(F59+SUM(E$17:E59)=D$10,F59,D$10-SUM(E$17:E59))</f>
        <v>1183325.0376598292</v>
      </c>
      <c r="E60" s="522">
        <f>IF(+I14&lt;F59,I14,D60)</f>
        <v>1083182.466818182</v>
      </c>
      <c r="F60" s="523">
        <f t="shared" si="22"/>
        <v>100142.57084164722</v>
      </c>
      <c r="G60" s="524">
        <f t="shared" si="28"/>
        <v>1159887.067725705</v>
      </c>
      <c r="H60" s="491">
        <f t="shared" si="29"/>
        <v>1159887.067725705</v>
      </c>
      <c r="I60" s="511">
        <f t="shared" si="23"/>
        <v>0</v>
      </c>
      <c r="J60" s="511"/>
      <c r="K60" s="525"/>
      <c r="L60" s="514">
        <f t="shared" si="24"/>
        <v>0</v>
      </c>
      <c r="M60" s="525"/>
      <c r="N60" s="514">
        <f t="shared" si="25"/>
        <v>0</v>
      </c>
      <c r="O60" s="514">
        <f t="shared" si="26"/>
        <v>0</v>
      </c>
      <c r="P60" s="272"/>
    </row>
    <row r="61" spans="2:17">
      <c r="B61" s="195" t="str">
        <f t="shared" si="27"/>
        <v/>
      </c>
      <c r="C61" s="507">
        <f>IF(D11="","-",+C60+1)</f>
        <v>2056</v>
      </c>
      <c r="D61" s="523">
        <f>IF(F60+SUM(E$17:E60)=D$10,F60,D$10-SUM(E$17:E60))</f>
        <v>100142.57084164722</v>
      </c>
      <c r="E61" s="522">
        <f>IF(+I14&lt;F60,I14,D61)</f>
        <v>100142.57084164722</v>
      </c>
      <c r="F61" s="523">
        <f t="shared" si="22"/>
        <v>0</v>
      </c>
      <c r="G61" s="526">
        <f t="shared" si="28"/>
        <v>106127.44796622879</v>
      </c>
      <c r="H61" s="491">
        <f t="shared" si="29"/>
        <v>106127.44796622879</v>
      </c>
      <c r="I61" s="511">
        <f t="shared" si="23"/>
        <v>0</v>
      </c>
      <c r="J61" s="511"/>
      <c r="K61" s="525"/>
      <c r="L61" s="514">
        <f t="shared" si="24"/>
        <v>0</v>
      </c>
      <c r="M61" s="525"/>
      <c r="N61" s="514">
        <f t="shared" si="25"/>
        <v>0</v>
      </c>
      <c r="O61" s="514">
        <f t="shared" si="26"/>
        <v>0</v>
      </c>
      <c r="P61" s="272"/>
    </row>
    <row r="62" spans="2:17">
      <c r="B62" s="195" t="str">
        <f t="shared" si="27"/>
        <v/>
      </c>
      <c r="C62" s="507">
        <f>IF(D11="","-",+C61+1)</f>
        <v>2057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22"/>
        <v>0</v>
      </c>
      <c r="G62" s="526">
        <f t="shared" si="28"/>
        <v>0</v>
      </c>
      <c r="H62" s="491">
        <f t="shared" si="29"/>
        <v>0</v>
      </c>
      <c r="I62" s="511">
        <f t="shared" si="23"/>
        <v>0</v>
      </c>
      <c r="J62" s="511"/>
      <c r="K62" s="525"/>
      <c r="L62" s="514">
        <f t="shared" si="24"/>
        <v>0</v>
      </c>
      <c r="M62" s="525"/>
      <c r="N62" s="514">
        <f t="shared" si="25"/>
        <v>0</v>
      </c>
      <c r="O62" s="514">
        <f t="shared" si="26"/>
        <v>0</v>
      </c>
      <c r="P62" s="272"/>
    </row>
    <row r="63" spans="2:17">
      <c r="B63" s="195" t="str">
        <f t="shared" si="27"/>
        <v/>
      </c>
      <c r="C63" s="507">
        <f>IF(D11="","-",+C62+1)</f>
        <v>2058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22"/>
        <v>0</v>
      </c>
      <c r="G63" s="526">
        <f t="shared" si="28"/>
        <v>0</v>
      </c>
      <c r="H63" s="491">
        <f t="shared" si="29"/>
        <v>0</v>
      </c>
      <c r="I63" s="511">
        <f t="shared" si="23"/>
        <v>0</v>
      </c>
      <c r="J63" s="511"/>
      <c r="K63" s="525"/>
      <c r="L63" s="514">
        <f t="shared" si="24"/>
        <v>0</v>
      </c>
      <c r="M63" s="525"/>
      <c r="N63" s="514">
        <f t="shared" si="25"/>
        <v>0</v>
      </c>
      <c r="O63" s="514">
        <f t="shared" si="26"/>
        <v>0</v>
      </c>
      <c r="P63" s="272"/>
    </row>
    <row r="64" spans="2:17">
      <c r="B64" s="195" t="str">
        <f t="shared" si="27"/>
        <v/>
      </c>
      <c r="C64" s="507">
        <f>IF(D11="","-",+C63+1)</f>
        <v>2059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22"/>
        <v>0</v>
      </c>
      <c r="G64" s="526">
        <f t="shared" si="28"/>
        <v>0</v>
      </c>
      <c r="H64" s="491">
        <f t="shared" si="29"/>
        <v>0</v>
      </c>
      <c r="I64" s="511">
        <f t="shared" si="23"/>
        <v>0</v>
      </c>
      <c r="J64" s="511"/>
      <c r="K64" s="525"/>
      <c r="L64" s="514">
        <f t="shared" si="24"/>
        <v>0</v>
      </c>
      <c r="M64" s="525"/>
      <c r="N64" s="514">
        <f t="shared" si="25"/>
        <v>0</v>
      </c>
      <c r="O64" s="514">
        <f t="shared" si="26"/>
        <v>0</v>
      </c>
      <c r="P64" s="272"/>
    </row>
    <row r="65" spans="1:16">
      <c r="B65" s="195" t="str">
        <f t="shared" si="27"/>
        <v/>
      </c>
      <c r="C65" s="507">
        <f>IF(D11="","-",+C64+1)</f>
        <v>2060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22"/>
        <v>0</v>
      </c>
      <c r="G65" s="526">
        <f t="shared" si="28"/>
        <v>0</v>
      </c>
      <c r="H65" s="491">
        <f t="shared" si="29"/>
        <v>0</v>
      </c>
      <c r="I65" s="511">
        <f t="shared" si="23"/>
        <v>0</v>
      </c>
      <c r="J65" s="511"/>
      <c r="K65" s="525"/>
      <c r="L65" s="514">
        <f t="shared" si="24"/>
        <v>0</v>
      </c>
      <c r="M65" s="525"/>
      <c r="N65" s="514">
        <f t="shared" si="25"/>
        <v>0</v>
      </c>
      <c r="O65" s="514">
        <f t="shared" si="26"/>
        <v>0</v>
      </c>
      <c r="P65" s="272"/>
    </row>
    <row r="66" spans="1:16">
      <c r="B66" s="195" t="str">
        <f t="shared" si="27"/>
        <v/>
      </c>
      <c r="C66" s="507">
        <f>IF(D11="","-",+C65+1)</f>
        <v>2061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22"/>
        <v>0</v>
      </c>
      <c r="G66" s="526">
        <f t="shared" si="28"/>
        <v>0</v>
      </c>
      <c r="H66" s="491">
        <f t="shared" si="29"/>
        <v>0</v>
      </c>
      <c r="I66" s="511">
        <f t="shared" si="23"/>
        <v>0</v>
      </c>
      <c r="J66" s="511"/>
      <c r="K66" s="525"/>
      <c r="L66" s="514">
        <f t="shared" si="24"/>
        <v>0</v>
      </c>
      <c r="M66" s="525"/>
      <c r="N66" s="514">
        <f t="shared" si="25"/>
        <v>0</v>
      </c>
      <c r="O66" s="514">
        <f t="shared" si="26"/>
        <v>0</v>
      </c>
      <c r="P66" s="272"/>
    </row>
    <row r="67" spans="1:16">
      <c r="B67" s="195" t="str">
        <f t="shared" si="27"/>
        <v/>
      </c>
      <c r="C67" s="507">
        <f>IF(D11="","-",+C66+1)</f>
        <v>2062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22"/>
        <v>0</v>
      </c>
      <c r="G67" s="526">
        <f t="shared" si="28"/>
        <v>0</v>
      </c>
      <c r="H67" s="491">
        <f t="shared" si="29"/>
        <v>0</v>
      </c>
      <c r="I67" s="511">
        <f t="shared" si="23"/>
        <v>0</v>
      </c>
      <c r="J67" s="511"/>
      <c r="K67" s="525"/>
      <c r="L67" s="514">
        <f t="shared" si="24"/>
        <v>0</v>
      </c>
      <c r="M67" s="525"/>
      <c r="N67" s="514">
        <f t="shared" si="25"/>
        <v>0</v>
      </c>
      <c r="O67" s="514">
        <f t="shared" si="26"/>
        <v>0</v>
      </c>
      <c r="P67" s="272"/>
    </row>
    <row r="68" spans="1:16">
      <c r="B68" s="195" t="str">
        <f t="shared" si="27"/>
        <v/>
      </c>
      <c r="C68" s="507">
        <f>IF(D11="","-",+C67+1)</f>
        <v>2063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22"/>
        <v>0</v>
      </c>
      <c r="G68" s="526">
        <f t="shared" si="28"/>
        <v>0</v>
      </c>
      <c r="H68" s="491">
        <f t="shared" si="29"/>
        <v>0</v>
      </c>
      <c r="I68" s="511">
        <f t="shared" si="23"/>
        <v>0</v>
      </c>
      <c r="J68" s="511"/>
      <c r="K68" s="525"/>
      <c r="L68" s="514">
        <f t="shared" si="24"/>
        <v>0</v>
      </c>
      <c r="M68" s="525"/>
      <c r="N68" s="514">
        <f t="shared" si="25"/>
        <v>0</v>
      </c>
      <c r="O68" s="514">
        <f t="shared" si="26"/>
        <v>0</v>
      </c>
      <c r="P68" s="272"/>
    </row>
    <row r="69" spans="1:16">
      <c r="B69" s="195" t="str">
        <f t="shared" si="27"/>
        <v/>
      </c>
      <c r="C69" s="507">
        <f>IF(D11="","-",+C68+1)</f>
        <v>2064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22"/>
        <v>0</v>
      </c>
      <c r="G69" s="526">
        <f t="shared" si="28"/>
        <v>0</v>
      </c>
      <c r="H69" s="491">
        <f t="shared" si="29"/>
        <v>0</v>
      </c>
      <c r="I69" s="511">
        <f t="shared" si="23"/>
        <v>0</v>
      </c>
      <c r="J69" s="511"/>
      <c r="K69" s="525"/>
      <c r="L69" s="514">
        <f t="shared" si="24"/>
        <v>0</v>
      </c>
      <c r="M69" s="525"/>
      <c r="N69" s="514">
        <f t="shared" si="25"/>
        <v>0</v>
      </c>
      <c r="O69" s="514">
        <f t="shared" si="26"/>
        <v>0</v>
      </c>
      <c r="P69" s="272"/>
    </row>
    <row r="70" spans="1:16">
      <c r="B70" s="195" t="str">
        <f t="shared" si="27"/>
        <v/>
      </c>
      <c r="C70" s="507">
        <f>IF(D11="","-",+C69+1)</f>
        <v>2065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22"/>
        <v>0</v>
      </c>
      <c r="G70" s="526">
        <f t="shared" si="28"/>
        <v>0</v>
      </c>
      <c r="H70" s="491">
        <f t="shared" si="29"/>
        <v>0</v>
      </c>
      <c r="I70" s="511">
        <f t="shared" si="23"/>
        <v>0</v>
      </c>
      <c r="J70" s="511"/>
      <c r="K70" s="525"/>
      <c r="L70" s="514">
        <f t="shared" si="24"/>
        <v>0</v>
      </c>
      <c r="M70" s="525"/>
      <c r="N70" s="514">
        <f t="shared" si="25"/>
        <v>0</v>
      </c>
      <c r="O70" s="514">
        <f t="shared" si="26"/>
        <v>0</v>
      </c>
      <c r="P70" s="272"/>
    </row>
    <row r="71" spans="1:16">
      <c r="B71" s="195" t="str">
        <f t="shared" si="27"/>
        <v/>
      </c>
      <c r="C71" s="507">
        <f>IF(D11="","-",+C70+1)</f>
        <v>2066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22"/>
        <v>0</v>
      </c>
      <c r="G71" s="526">
        <f t="shared" si="28"/>
        <v>0</v>
      </c>
      <c r="H71" s="491">
        <f t="shared" si="29"/>
        <v>0</v>
      </c>
      <c r="I71" s="511">
        <f t="shared" si="23"/>
        <v>0</v>
      </c>
      <c r="J71" s="511"/>
      <c r="K71" s="525"/>
      <c r="L71" s="514">
        <f t="shared" si="24"/>
        <v>0</v>
      </c>
      <c r="M71" s="525"/>
      <c r="N71" s="514">
        <f t="shared" si="25"/>
        <v>0</v>
      </c>
      <c r="O71" s="514">
        <f t="shared" si="26"/>
        <v>0</v>
      </c>
      <c r="P71" s="272"/>
    </row>
    <row r="72" spans="1:16" ht="13.5" thickBot="1">
      <c r="B72" s="195" t="str">
        <f t="shared" si="27"/>
        <v/>
      </c>
      <c r="C72" s="527">
        <f>IF(D11="","-",+C71+1)</f>
        <v>2067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22"/>
        <v>0</v>
      </c>
      <c r="G72" s="530">
        <f t="shared" si="28"/>
        <v>0</v>
      </c>
      <c r="H72" s="471">
        <f t="shared" si="29"/>
        <v>0</v>
      </c>
      <c r="I72" s="531">
        <f t="shared" si="23"/>
        <v>0</v>
      </c>
      <c r="J72" s="511"/>
      <c r="K72" s="532"/>
      <c r="L72" s="533">
        <f t="shared" si="24"/>
        <v>0</v>
      </c>
      <c r="M72" s="532"/>
      <c r="N72" s="533">
        <f t="shared" si="25"/>
        <v>0</v>
      </c>
      <c r="O72" s="533">
        <f t="shared" si="26"/>
        <v>0</v>
      </c>
      <c r="P72" s="272"/>
    </row>
    <row r="73" spans="1:16">
      <c r="C73" s="374" t="s">
        <v>78</v>
      </c>
      <c r="D73" s="375"/>
      <c r="E73" s="375">
        <f>SUM(E17:E72)</f>
        <v>47660028.540000029</v>
      </c>
      <c r="F73" s="375"/>
      <c r="G73" s="375">
        <f>SUM(G17:G72)</f>
        <v>177157033.01090747</v>
      </c>
      <c r="H73" s="375">
        <f>SUM(H17:H72)</f>
        <v>177157033.01090747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1:16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1:16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1:16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1:16" ht="18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535"/>
      <c r="P77" s="272"/>
    </row>
    <row r="78" spans="1:16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1:16" ht="15">
      <c r="A79" s="536"/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</row>
    <row r="80" spans="1:16" ht="18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7">
      <c r="B81" s="269"/>
      <c r="C81" s="537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7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  <c r="Q82" s="269"/>
    </row>
    <row r="83" spans="1:17" ht="20.25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535" t="str">
        <f ca="1">P1</f>
        <v>SWEPCO Project 30 of 75</v>
      </c>
      <c r="Q83" s="269"/>
    </row>
    <row r="84" spans="1:17" ht="18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454" t="s">
        <v>128</v>
      </c>
      <c r="Q84" s="269"/>
    </row>
    <row r="85" spans="1:17" ht="18.7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  <c r="Q85" s="269"/>
    </row>
    <row r="86" spans="1:17" ht="15.75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2022</v>
      </c>
      <c r="M86" s="541" t="s">
        <v>9</v>
      </c>
      <c r="N86" s="542" t="s">
        <v>159</v>
      </c>
      <c r="O86" s="543" t="s">
        <v>11</v>
      </c>
      <c r="P86" s="269"/>
      <c r="Q86" s="269"/>
    </row>
    <row r="87" spans="1:17" ht="1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391</v>
      </c>
      <c r="M87" s="546">
        <f>IF(J92&lt;D11,0,VLOOKUP(J92,C17:O72,9))</f>
        <v>5234938.295176344</v>
      </c>
      <c r="N87" s="546">
        <f>IF(J92&lt;D11,0,VLOOKUP(J92,C17:O72,11))</f>
        <v>5234938.295176344</v>
      </c>
      <c r="O87" s="547">
        <f>+N87-M87</f>
        <v>0</v>
      </c>
      <c r="P87" s="269"/>
      <c r="Q87" s="269"/>
    </row>
    <row r="88" spans="1:17" ht="15.7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392</v>
      </c>
      <c r="M88" s="550">
        <f>IF(J92&lt;D11,0,VLOOKUP(J92,C99:P154,6))</f>
        <v>5426242.9544733902</v>
      </c>
      <c r="N88" s="550">
        <f>IF(J92&lt;D11,0,VLOOKUP(J92,C99:P154,7))</f>
        <v>5426242.9544733902</v>
      </c>
      <c r="O88" s="551">
        <f>+N88-M88</f>
        <v>0</v>
      </c>
      <c r="P88" s="269"/>
      <c r="Q88" s="269"/>
    </row>
    <row r="89" spans="1:17" ht="13.5" thickBot="1">
      <c r="C89" s="467" t="s">
        <v>84</v>
      </c>
      <c r="D89" s="620" t="str">
        <f>D7</f>
        <v>NW Texarkana - Turk 345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191304.65929704625</v>
      </c>
      <c r="N89" s="555">
        <f>+N88-N87</f>
        <v>191304.65929704625</v>
      </c>
      <c r="O89" s="556">
        <f>+O88-O87</f>
        <v>0</v>
      </c>
      <c r="P89" s="269"/>
      <c r="Q89" s="269"/>
    </row>
    <row r="90" spans="1:17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  <c r="Q90" s="269"/>
    </row>
    <row r="91" spans="1:17" ht="13.5" thickBot="1">
      <c r="A91" s="191"/>
      <c r="C91" s="558" t="s">
        <v>85</v>
      </c>
      <c r="D91" s="559"/>
      <c r="E91" s="560"/>
      <c r="F91" s="560"/>
      <c r="G91" s="560"/>
      <c r="H91" s="560"/>
      <c r="I91" s="560"/>
      <c r="J91" s="561"/>
      <c r="K91" s="562"/>
      <c r="P91" s="481"/>
      <c r="Q91" s="269"/>
    </row>
    <row r="92" spans="1:17">
      <c r="C92" s="486" t="s">
        <v>51</v>
      </c>
      <c r="D92" s="483">
        <v>47660029</v>
      </c>
      <c r="E92" s="340" t="s">
        <v>86</v>
      </c>
      <c r="H92" s="484"/>
      <c r="I92" s="484"/>
      <c r="J92" s="485">
        <f>+'SWE.WS.G.BPU.ATRR.True-up'!M16</f>
        <v>2022</v>
      </c>
      <c r="K92" s="480"/>
      <c r="L92" s="375" t="s">
        <v>87</v>
      </c>
      <c r="P92" s="272"/>
      <c r="Q92" s="269"/>
    </row>
    <row r="93" spans="1:17">
      <c r="C93" s="486" t="s">
        <v>54</v>
      </c>
      <c r="D93" s="563">
        <f>IF(D11=I10,"",D11)</f>
        <v>2012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  <c r="Q93" s="269"/>
    </row>
    <row r="94" spans="1:17">
      <c r="C94" s="486" t="s">
        <v>56</v>
      </c>
      <c r="D94" s="564">
        <f>IF(D11=I10,"",D12)</f>
        <v>8</v>
      </c>
      <c r="E94" s="486" t="s">
        <v>57</v>
      </c>
      <c r="F94" s="484"/>
      <c r="G94" s="484"/>
      <c r="J94" s="490">
        <f>'SWE.WS.G.BPU.ATRR.True-up'!$F$81</f>
        <v>0.11351422637179906</v>
      </c>
      <c r="K94" s="425"/>
      <c r="L94" s="183" t="s">
        <v>88</v>
      </c>
      <c r="P94" s="272"/>
      <c r="Q94" s="269"/>
    </row>
    <row r="95" spans="1:17">
      <c r="C95" s="486" t="s">
        <v>59</v>
      </c>
      <c r="D95" s="488">
        <f>'SWE.WS.G.BPU.ATRR.True-up'!F$93</f>
        <v>41</v>
      </c>
      <c r="E95" s="486" t="s">
        <v>60</v>
      </c>
      <c r="F95" s="484"/>
      <c r="G95" s="484"/>
      <c r="J95" s="490">
        <f>IF(H87="",J94,'SWE.WS.G.BPU.ATRR.True-up'!$F$80)</f>
        <v>0.11351422637179906</v>
      </c>
      <c r="K95" s="324"/>
      <c r="L95" s="375" t="s">
        <v>61</v>
      </c>
      <c r="M95" s="324"/>
      <c r="N95" s="324"/>
      <c r="O95" s="324"/>
      <c r="P95" s="272"/>
      <c r="Q95" s="269"/>
    </row>
    <row r="96" spans="1:17" ht="13.5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1162439.7317073171</v>
      </c>
      <c r="K96" s="375"/>
      <c r="L96" s="375"/>
      <c r="M96" s="375"/>
      <c r="N96" s="375"/>
      <c r="O96" s="375"/>
      <c r="P96" s="272"/>
      <c r="Q96" s="269"/>
    </row>
    <row r="97" spans="1:17" ht="38.25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388</v>
      </c>
      <c r="I97" s="495" t="s">
        <v>389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  <c r="Q97" s="269"/>
    </row>
    <row r="98" spans="1:17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  <c r="Q98" s="269"/>
    </row>
    <row r="99" spans="1:17">
      <c r="C99" s="507">
        <f>IF(D93= "","-",D93)</f>
        <v>2012</v>
      </c>
      <c r="D99" s="508">
        <v>0</v>
      </c>
      <c r="E99" s="516">
        <v>374385.49206349207</v>
      </c>
      <c r="F99" s="515">
        <v>46798186.507936507</v>
      </c>
      <c r="G99" s="574">
        <v>23399093.253968254</v>
      </c>
      <c r="H99" s="575">
        <v>3817654.064849725</v>
      </c>
      <c r="I99" s="576">
        <v>3817654.064849725</v>
      </c>
      <c r="J99" s="613">
        <f t="shared" ref="J99:J130" si="30">+I99-H99</f>
        <v>0</v>
      </c>
      <c r="K99" s="514"/>
      <c r="L99" s="512">
        <f t="shared" ref="L99:L104" si="31">H99</f>
        <v>3817654.064849725</v>
      </c>
      <c r="M99" s="597">
        <f t="shared" ref="M99:M130" si="32">IF(L99&lt;&gt;0,+H99-L99,0)</f>
        <v>0</v>
      </c>
      <c r="N99" s="512">
        <f t="shared" ref="N99:N104" si="33">I99</f>
        <v>3817654.064849725</v>
      </c>
      <c r="O99" s="513">
        <f t="shared" ref="O99:O130" si="34">IF(N99&lt;&gt;0,+I99-N99,0)</f>
        <v>0</v>
      </c>
      <c r="P99" s="513">
        <f t="shared" ref="P99:P130" si="35">+O99-M99</f>
        <v>0</v>
      </c>
      <c r="Q99" s="269"/>
    </row>
    <row r="100" spans="1:17">
      <c r="B100" s="195" t="str">
        <f t="shared" ref="B100:B131" si="36">IF(D100=F99,"","IU")</f>
        <v>IU</v>
      </c>
      <c r="C100" s="507">
        <f>IF(D93="","-",+C99+1)</f>
        <v>2013</v>
      </c>
      <c r="D100" s="508">
        <v>47040735.507936507</v>
      </c>
      <c r="E100" s="516">
        <v>1128931.4523809524</v>
      </c>
      <c r="F100" s="515">
        <v>45911804.055555552</v>
      </c>
      <c r="G100" s="515">
        <v>46476269.78174603</v>
      </c>
      <c r="H100" s="575">
        <v>7416785.108146511</v>
      </c>
      <c r="I100" s="576">
        <v>7416785.108146511</v>
      </c>
      <c r="J100" s="613">
        <v>0</v>
      </c>
      <c r="K100" s="514"/>
      <c r="L100" s="518">
        <f t="shared" si="31"/>
        <v>7416785.108146511</v>
      </c>
      <c r="M100" s="519">
        <f t="shared" ref="M100:M105" si="37">IF(L100&lt;&gt;0,+H100-L100,0)</f>
        <v>0</v>
      </c>
      <c r="N100" s="518">
        <f t="shared" si="33"/>
        <v>7416785.108146511</v>
      </c>
      <c r="O100" s="514">
        <f>IF(N100&lt;&gt;0,+I100-N100,0)</f>
        <v>0</v>
      </c>
      <c r="P100" s="514">
        <f>+O100-M100</f>
        <v>0</v>
      </c>
      <c r="Q100" s="269"/>
    </row>
    <row r="101" spans="1:17">
      <c r="B101" s="195" t="str">
        <f t="shared" si="36"/>
        <v>IU</v>
      </c>
      <c r="C101" s="507">
        <f>IF(D93="","-",+C100+1)</f>
        <v>2014</v>
      </c>
      <c r="D101" s="508">
        <v>46156435.055555552</v>
      </c>
      <c r="E101" s="516">
        <v>1134756</v>
      </c>
      <c r="F101" s="515">
        <v>45021679.055555552</v>
      </c>
      <c r="G101" s="515">
        <v>45589057.055555552</v>
      </c>
      <c r="H101" s="575">
        <v>7331378.3623912428</v>
      </c>
      <c r="I101" s="576">
        <v>7331378.3623912428</v>
      </c>
      <c r="J101" s="514">
        <v>0</v>
      </c>
      <c r="K101" s="514"/>
      <c r="L101" s="518">
        <f t="shared" si="31"/>
        <v>7331378.3623912428</v>
      </c>
      <c r="M101" s="519">
        <f t="shared" si="37"/>
        <v>0</v>
      </c>
      <c r="N101" s="518">
        <f t="shared" si="33"/>
        <v>7331378.3623912428</v>
      </c>
      <c r="O101" s="514">
        <f>IF(N101&lt;&gt;0,+I101-N101,0)</f>
        <v>0</v>
      </c>
      <c r="P101" s="514">
        <f>+O101-M101</f>
        <v>0</v>
      </c>
      <c r="Q101" s="269"/>
    </row>
    <row r="102" spans="1:17">
      <c r="B102" s="195" t="str">
        <f t="shared" si="36"/>
        <v/>
      </c>
      <c r="C102" s="507">
        <f>IF(D93="","-",+C101+1)</f>
        <v>2015</v>
      </c>
      <c r="D102" s="508">
        <v>45021679.055555552</v>
      </c>
      <c r="E102" s="516">
        <v>1134756</v>
      </c>
      <c r="F102" s="515">
        <v>43886923.055555552</v>
      </c>
      <c r="G102" s="515">
        <v>44454301.055555552</v>
      </c>
      <c r="H102" s="575">
        <v>6992449.3668075977</v>
      </c>
      <c r="I102" s="576">
        <v>6992449.3668075977</v>
      </c>
      <c r="J102" s="514">
        <f t="shared" si="30"/>
        <v>0</v>
      </c>
      <c r="K102" s="514"/>
      <c r="L102" s="518">
        <f t="shared" si="31"/>
        <v>6992449.3668075977</v>
      </c>
      <c r="M102" s="519">
        <f t="shared" si="37"/>
        <v>0</v>
      </c>
      <c r="N102" s="518">
        <f t="shared" si="33"/>
        <v>6992449.3668075977</v>
      </c>
      <c r="O102" s="514">
        <f>IF(N102&lt;&gt;0,+I102-N102,0)</f>
        <v>0</v>
      </c>
      <c r="P102" s="514">
        <f>+O102-M102</f>
        <v>0</v>
      </c>
      <c r="Q102" s="269"/>
    </row>
    <row r="103" spans="1:17">
      <c r="B103" s="195" t="str">
        <f t="shared" si="36"/>
        <v>IU</v>
      </c>
      <c r="C103" s="507">
        <f>IF(D93="","-",+C102+1)</f>
        <v>2016</v>
      </c>
      <c r="D103" s="508">
        <v>43887200.055555552</v>
      </c>
      <c r="E103" s="516">
        <v>1108372.7674418604</v>
      </c>
      <c r="F103" s="515">
        <v>42778827.288113691</v>
      </c>
      <c r="G103" s="515">
        <v>43333013.671834618</v>
      </c>
      <c r="H103" s="575">
        <v>6609498.3455806924</v>
      </c>
      <c r="I103" s="576">
        <v>6609498.3455806924</v>
      </c>
      <c r="J103" s="514">
        <f t="shared" si="30"/>
        <v>0</v>
      </c>
      <c r="K103" s="514"/>
      <c r="L103" s="518">
        <f t="shared" si="31"/>
        <v>6609498.3455806924</v>
      </c>
      <c r="M103" s="519">
        <f t="shared" si="37"/>
        <v>0</v>
      </c>
      <c r="N103" s="518">
        <f t="shared" si="33"/>
        <v>6609498.3455806924</v>
      </c>
      <c r="O103" s="514">
        <f>IF(N103&lt;&gt;0,+I103-N103,0)</f>
        <v>0</v>
      </c>
      <c r="P103" s="514">
        <f>+O103-M103</f>
        <v>0</v>
      </c>
      <c r="Q103" s="269"/>
    </row>
    <row r="104" spans="1:17">
      <c r="B104" s="195" t="str">
        <f t="shared" si="36"/>
        <v/>
      </c>
      <c r="C104" s="507">
        <f>IF(D93="","-",+C103+1)</f>
        <v>2017</v>
      </c>
      <c r="D104" s="508">
        <v>42778827.288113691</v>
      </c>
      <c r="E104" s="516">
        <v>1134762.5952380951</v>
      </c>
      <c r="F104" s="515">
        <v>41644064.692875594</v>
      </c>
      <c r="G104" s="515">
        <v>42211445.990494639</v>
      </c>
      <c r="H104" s="575">
        <v>6262248.4706521584</v>
      </c>
      <c r="I104" s="576">
        <v>6262248.4706521584</v>
      </c>
      <c r="J104" s="514">
        <f t="shared" si="30"/>
        <v>0</v>
      </c>
      <c r="K104" s="514"/>
      <c r="L104" s="518">
        <f t="shared" si="31"/>
        <v>6262248.4706521584</v>
      </c>
      <c r="M104" s="519">
        <f t="shared" si="37"/>
        <v>0</v>
      </c>
      <c r="N104" s="518">
        <f t="shared" si="33"/>
        <v>6262248.4706521584</v>
      </c>
      <c r="O104" s="514">
        <f>IF(N104&lt;&gt;0,+I104-N104,0)</f>
        <v>0</v>
      </c>
      <c r="P104" s="514">
        <f>+O104-M104</f>
        <v>0</v>
      </c>
      <c r="Q104" s="269"/>
    </row>
    <row r="105" spans="1:17">
      <c r="B105" s="195" t="str">
        <f t="shared" si="36"/>
        <v/>
      </c>
      <c r="C105" s="507">
        <f>IF(D93="","-",+C104+1)</f>
        <v>2018</v>
      </c>
      <c r="D105" s="508">
        <v>41644064.692875594</v>
      </c>
      <c r="E105" s="516">
        <v>1134762.5952380951</v>
      </c>
      <c r="F105" s="515">
        <v>40509302.097637497</v>
      </c>
      <c r="G105" s="515">
        <v>41076683.395256549</v>
      </c>
      <c r="H105" s="575">
        <v>5472648.7320447806</v>
      </c>
      <c r="I105" s="576">
        <v>5472648.7320447806</v>
      </c>
      <c r="J105" s="514">
        <f t="shared" si="30"/>
        <v>0</v>
      </c>
      <c r="K105" s="514"/>
      <c r="L105" s="518">
        <f t="shared" ref="L105" si="38">H105</f>
        <v>5472648.7320447806</v>
      </c>
      <c r="M105" s="519">
        <f t="shared" si="37"/>
        <v>0</v>
      </c>
      <c r="N105" s="518">
        <f t="shared" ref="N105" si="39">I105</f>
        <v>5472648.7320447806</v>
      </c>
      <c r="O105" s="514">
        <f t="shared" si="34"/>
        <v>0</v>
      </c>
      <c r="P105" s="514">
        <f t="shared" si="35"/>
        <v>0</v>
      </c>
      <c r="Q105" s="269"/>
    </row>
    <row r="106" spans="1:17">
      <c r="B106" s="195" t="str">
        <f t="shared" si="36"/>
        <v/>
      </c>
      <c r="C106" s="507">
        <f>IF(D93="","-",+C105+1)</f>
        <v>2019</v>
      </c>
      <c r="D106" s="508">
        <v>40509302.097637497</v>
      </c>
      <c r="E106" s="516">
        <v>1108372.7674418604</v>
      </c>
      <c r="F106" s="515">
        <v>39400929.330195636</v>
      </c>
      <c r="G106" s="515">
        <v>39955115.71391657</v>
      </c>
      <c r="H106" s="575">
        <v>5385190.1906108065</v>
      </c>
      <c r="I106" s="576">
        <v>5385190.1906108065</v>
      </c>
      <c r="J106" s="514">
        <f t="shared" si="30"/>
        <v>0</v>
      </c>
      <c r="K106" s="514"/>
      <c r="L106" s="518">
        <f t="shared" ref="L106:L107" si="40">H106</f>
        <v>5385190.1906108065</v>
      </c>
      <c r="M106" s="519">
        <f t="shared" ref="M106:M107" si="41">IF(L106&lt;&gt;0,+H106-L106,0)</f>
        <v>0</v>
      </c>
      <c r="N106" s="518">
        <f t="shared" ref="N106:N107" si="42">I106</f>
        <v>5385190.1906108065</v>
      </c>
      <c r="O106" s="514">
        <f t="shared" si="34"/>
        <v>0</v>
      </c>
      <c r="P106" s="514">
        <f t="shared" si="35"/>
        <v>0</v>
      </c>
      <c r="Q106" s="269"/>
    </row>
    <row r="107" spans="1:17">
      <c r="B107" s="195" t="str">
        <f t="shared" si="36"/>
        <v/>
      </c>
      <c r="C107" s="507">
        <f>IF(D93="","-",+C106+1)</f>
        <v>2020</v>
      </c>
      <c r="D107" s="508">
        <v>39400929.330195636</v>
      </c>
      <c r="E107" s="516">
        <v>1134762.5952380951</v>
      </c>
      <c r="F107" s="515">
        <v>38266166.734957539</v>
      </c>
      <c r="G107" s="515">
        <v>38833548.032576591</v>
      </c>
      <c r="H107" s="575">
        <v>5312236.1867038347</v>
      </c>
      <c r="I107" s="576">
        <v>5312236.1867038347</v>
      </c>
      <c r="J107" s="514">
        <f t="shared" si="30"/>
        <v>0</v>
      </c>
      <c r="K107" s="514"/>
      <c r="L107" s="518">
        <f t="shared" si="40"/>
        <v>5312236.1867038347</v>
      </c>
      <c r="M107" s="519">
        <f t="shared" si="41"/>
        <v>0</v>
      </c>
      <c r="N107" s="518">
        <f t="shared" si="42"/>
        <v>5312236.1867038347</v>
      </c>
      <c r="O107" s="514">
        <f t="shared" si="34"/>
        <v>0</v>
      </c>
      <c r="P107" s="514">
        <f t="shared" si="35"/>
        <v>0</v>
      </c>
      <c r="Q107" s="269"/>
    </row>
    <row r="108" spans="1:17">
      <c r="B108" s="195" t="str">
        <f t="shared" si="36"/>
        <v/>
      </c>
      <c r="C108" s="507">
        <f>IF(D93="","-",+C107+1)</f>
        <v>2021</v>
      </c>
      <c r="D108" s="508">
        <v>38266166.734957539</v>
      </c>
      <c r="E108" s="516">
        <v>1162439.7317073171</v>
      </c>
      <c r="F108" s="515">
        <v>37103727.003250219</v>
      </c>
      <c r="G108" s="515">
        <v>37684946.869103879</v>
      </c>
      <c r="H108" s="575">
        <v>5440217.3214159943</v>
      </c>
      <c r="I108" s="576">
        <v>5440217.3214159943</v>
      </c>
      <c r="J108" s="514">
        <f t="shared" si="30"/>
        <v>0</v>
      </c>
      <c r="K108" s="514"/>
      <c r="L108" s="518">
        <f t="shared" ref="L108" si="43">H108</f>
        <v>5440217.3214159943</v>
      </c>
      <c r="M108" s="519">
        <f t="shared" ref="M108" si="44">IF(L108&lt;&gt;0,+H108-L108,0)</f>
        <v>0</v>
      </c>
      <c r="N108" s="518">
        <f t="shared" ref="N108" si="45">I108</f>
        <v>5440217.3214159943</v>
      </c>
      <c r="O108" s="514">
        <f t="shared" ref="O108" si="46">IF(N108&lt;&gt;0,+I108-N108,0)</f>
        <v>0</v>
      </c>
      <c r="P108" s="514">
        <f t="shared" ref="P108" si="47">+O108-M108</f>
        <v>0</v>
      </c>
      <c r="Q108" s="269"/>
    </row>
    <row r="109" spans="1:17">
      <c r="B109" s="195" t="str">
        <f t="shared" si="36"/>
        <v/>
      </c>
      <c r="C109" s="673">
        <f>IF(D93="","-",+C108+1)</f>
        <v>2022</v>
      </c>
      <c r="D109" s="374">
        <v>37103727.003250219</v>
      </c>
      <c r="E109" s="522">
        <v>1134762.5952380951</v>
      </c>
      <c r="F109" s="523">
        <v>35968964.408012122</v>
      </c>
      <c r="G109" s="523">
        <v>36536345.705631167</v>
      </c>
      <c r="H109" s="526">
        <v>5426242.9544733902</v>
      </c>
      <c r="I109" s="577">
        <v>5426242.9544733902</v>
      </c>
      <c r="J109" s="514">
        <f t="shared" si="30"/>
        <v>0</v>
      </c>
      <c r="K109" s="514"/>
      <c r="L109" s="525"/>
      <c r="M109" s="514">
        <f t="shared" si="32"/>
        <v>0</v>
      </c>
      <c r="N109" s="525"/>
      <c r="O109" s="514">
        <f t="shared" si="34"/>
        <v>0</v>
      </c>
      <c r="P109" s="514">
        <f t="shared" si="35"/>
        <v>0</v>
      </c>
      <c r="Q109" s="269"/>
    </row>
    <row r="110" spans="1:17">
      <c r="B110" s="195" t="str">
        <f t="shared" si="36"/>
        <v/>
      </c>
      <c r="C110" s="507">
        <f>IF(D93="","-",+C109+1)</f>
        <v>2023</v>
      </c>
      <c r="D110" s="374">
        <f>IF(F109+SUM(E$99:E109)=D$92,F109,D$92-SUM(E$99:E109))</f>
        <v>35968964.408012122</v>
      </c>
      <c r="E110" s="522">
        <f>IF(+J96&lt;F109,J96,D110)</f>
        <v>1162439.7317073171</v>
      </c>
      <c r="F110" s="523">
        <f t="shared" ref="F110:F131" si="48">+D110-E110</f>
        <v>34806524.676304802</v>
      </c>
      <c r="G110" s="523">
        <f t="shared" ref="G110:G130" si="49">+(F110+D110)/2</f>
        <v>35387744.542158462</v>
      </c>
      <c r="H110" s="526">
        <f t="shared" ref="H110:H130" si="50">+J$94*G110+E110</f>
        <v>5179452.1764532896</v>
      </c>
      <c r="I110" s="577">
        <f t="shared" ref="I110:I130" si="51">+J$95*G110+E110</f>
        <v>5179452.1764532896</v>
      </c>
      <c r="J110" s="514">
        <f t="shared" si="30"/>
        <v>0</v>
      </c>
      <c r="K110" s="514"/>
      <c r="L110" s="525"/>
      <c r="M110" s="514">
        <f t="shared" si="32"/>
        <v>0</v>
      </c>
      <c r="N110" s="525"/>
      <c r="O110" s="514">
        <f t="shared" si="34"/>
        <v>0</v>
      </c>
      <c r="P110" s="514">
        <f t="shared" si="35"/>
        <v>0</v>
      </c>
      <c r="Q110" s="269"/>
    </row>
    <row r="111" spans="1:17">
      <c r="B111" s="195" t="str">
        <f t="shared" si="36"/>
        <v/>
      </c>
      <c r="C111" s="507">
        <f>IF(D93="","-",+C110+1)</f>
        <v>2024</v>
      </c>
      <c r="D111" s="374">
        <f>IF(F110+SUM(E$99:E110)=D$92,F110,D$92-SUM(E$99:E110))</f>
        <v>34806524.676304802</v>
      </c>
      <c r="E111" s="522">
        <f>IF(+J96&lt;F110,J96,D111)</f>
        <v>1162439.7317073171</v>
      </c>
      <c r="F111" s="523">
        <f t="shared" si="48"/>
        <v>33644084.944597483</v>
      </c>
      <c r="G111" s="523">
        <f t="shared" si="49"/>
        <v>34225304.810451142</v>
      </c>
      <c r="H111" s="526">
        <f t="shared" si="50"/>
        <v>5047498.7296046913</v>
      </c>
      <c r="I111" s="577">
        <f t="shared" si="51"/>
        <v>5047498.7296046913</v>
      </c>
      <c r="J111" s="514">
        <f t="shared" si="30"/>
        <v>0</v>
      </c>
      <c r="K111" s="514"/>
      <c r="L111" s="525"/>
      <c r="M111" s="514">
        <f t="shared" si="32"/>
        <v>0</v>
      </c>
      <c r="N111" s="525"/>
      <c r="O111" s="514">
        <f t="shared" si="34"/>
        <v>0</v>
      </c>
      <c r="P111" s="514">
        <f t="shared" si="35"/>
        <v>0</v>
      </c>
      <c r="Q111" s="269"/>
    </row>
    <row r="112" spans="1:17">
      <c r="B112" s="195" t="str">
        <f t="shared" si="36"/>
        <v/>
      </c>
      <c r="C112" s="507">
        <f>IF(D93="","-",+C111+1)</f>
        <v>2025</v>
      </c>
      <c r="D112" s="374">
        <f>IF(F111+SUM(E$99:E111)=D$92,F111,D$92-SUM(E$99:E111))</f>
        <v>33644084.944597483</v>
      </c>
      <c r="E112" s="522">
        <f>IF(+J96&lt;F111,J96,D112)</f>
        <v>1162439.7317073171</v>
      </c>
      <c r="F112" s="523">
        <f t="shared" si="48"/>
        <v>32481645.212890167</v>
      </c>
      <c r="G112" s="523">
        <f t="shared" si="49"/>
        <v>33062865.078743823</v>
      </c>
      <c r="H112" s="526">
        <f t="shared" si="50"/>
        <v>4915545.282756093</v>
      </c>
      <c r="I112" s="577">
        <f t="shared" si="51"/>
        <v>4915545.282756093</v>
      </c>
      <c r="J112" s="514">
        <f t="shared" si="30"/>
        <v>0</v>
      </c>
      <c r="K112" s="514"/>
      <c r="L112" s="525"/>
      <c r="M112" s="514">
        <f t="shared" si="32"/>
        <v>0</v>
      </c>
      <c r="N112" s="525"/>
      <c r="O112" s="514">
        <f t="shared" si="34"/>
        <v>0</v>
      </c>
      <c r="P112" s="514">
        <f t="shared" si="35"/>
        <v>0</v>
      </c>
      <c r="Q112" s="269"/>
    </row>
    <row r="113" spans="2:17">
      <c r="B113" s="195" t="str">
        <f t="shared" si="36"/>
        <v/>
      </c>
      <c r="C113" s="507">
        <f>IF(D93="","-",+C112+1)</f>
        <v>2026</v>
      </c>
      <c r="D113" s="374">
        <f>IF(F112+SUM(E$99:E112)=D$92,F112,D$92-SUM(E$99:E112))</f>
        <v>32481645.212890167</v>
      </c>
      <c r="E113" s="522">
        <f>IF(+J96&lt;F112,J96,D113)</f>
        <v>1162439.7317073171</v>
      </c>
      <c r="F113" s="523">
        <f t="shared" si="48"/>
        <v>31319205.481182851</v>
      </c>
      <c r="G113" s="523">
        <f t="shared" si="49"/>
        <v>31900425.347036511</v>
      </c>
      <c r="H113" s="526">
        <f t="shared" si="50"/>
        <v>4783591.8359074965</v>
      </c>
      <c r="I113" s="577">
        <f t="shared" si="51"/>
        <v>4783591.8359074965</v>
      </c>
      <c r="J113" s="514">
        <f t="shared" si="30"/>
        <v>0</v>
      </c>
      <c r="K113" s="514"/>
      <c r="L113" s="525"/>
      <c r="M113" s="514">
        <f t="shared" si="32"/>
        <v>0</v>
      </c>
      <c r="N113" s="525"/>
      <c r="O113" s="514">
        <f t="shared" si="34"/>
        <v>0</v>
      </c>
      <c r="P113" s="514">
        <f t="shared" si="35"/>
        <v>0</v>
      </c>
      <c r="Q113" s="269"/>
    </row>
    <row r="114" spans="2:17">
      <c r="B114" s="195" t="str">
        <f t="shared" si="36"/>
        <v/>
      </c>
      <c r="C114" s="507">
        <f>IF(D93="","-",+C113+1)</f>
        <v>2027</v>
      </c>
      <c r="D114" s="374">
        <f>IF(F113+SUM(E$99:E113)=D$92,F113,D$92-SUM(E$99:E113))</f>
        <v>31319205.481182851</v>
      </c>
      <c r="E114" s="522">
        <f>IF(+J96&lt;F113,J96,D114)</f>
        <v>1162439.7317073171</v>
      </c>
      <c r="F114" s="523">
        <f t="shared" si="48"/>
        <v>30156765.749475535</v>
      </c>
      <c r="G114" s="523">
        <f t="shared" si="49"/>
        <v>30737985.615329191</v>
      </c>
      <c r="H114" s="526">
        <f t="shared" si="50"/>
        <v>4651638.3890588982</v>
      </c>
      <c r="I114" s="577">
        <f t="shared" si="51"/>
        <v>4651638.3890588982</v>
      </c>
      <c r="J114" s="514">
        <f t="shared" si="30"/>
        <v>0</v>
      </c>
      <c r="K114" s="514"/>
      <c r="L114" s="525"/>
      <c r="M114" s="514">
        <f t="shared" si="32"/>
        <v>0</v>
      </c>
      <c r="N114" s="525"/>
      <c r="O114" s="514">
        <f t="shared" si="34"/>
        <v>0</v>
      </c>
      <c r="P114" s="514">
        <f t="shared" si="35"/>
        <v>0</v>
      </c>
      <c r="Q114" s="269"/>
    </row>
    <row r="115" spans="2:17">
      <c r="B115" s="195" t="str">
        <f t="shared" si="36"/>
        <v/>
      </c>
      <c r="C115" s="507">
        <f>IF(D93="","-",+C114+1)</f>
        <v>2028</v>
      </c>
      <c r="D115" s="374">
        <f>IF(F114+SUM(E$99:E114)=D$92,F114,D$92-SUM(E$99:E114))</f>
        <v>30156765.749475535</v>
      </c>
      <c r="E115" s="522">
        <f>IF(+J96&lt;F114,J96,D115)</f>
        <v>1162439.7317073171</v>
      </c>
      <c r="F115" s="523">
        <f t="shared" si="48"/>
        <v>28994326.017768219</v>
      </c>
      <c r="G115" s="523">
        <f t="shared" si="49"/>
        <v>29575545.883621879</v>
      </c>
      <c r="H115" s="526">
        <f t="shared" si="50"/>
        <v>4519684.9422103008</v>
      </c>
      <c r="I115" s="577">
        <f t="shared" si="51"/>
        <v>4519684.9422103008</v>
      </c>
      <c r="J115" s="514">
        <f t="shared" si="30"/>
        <v>0</v>
      </c>
      <c r="K115" s="514"/>
      <c r="L115" s="525"/>
      <c r="M115" s="514">
        <f t="shared" si="32"/>
        <v>0</v>
      </c>
      <c r="N115" s="525"/>
      <c r="O115" s="514">
        <f t="shared" si="34"/>
        <v>0</v>
      </c>
      <c r="P115" s="514">
        <f t="shared" si="35"/>
        <v>0</v>
      </c>
      <c r="Q115" s="269"/>
    </row>
    <row r="116" spans="2:17">
      <c r="B116" s="195" t="str">
        <f t="shared" si="36"/>
        <v/>
      </c>
      <c r="C116" s="507">
        <f>IF(D93="","-",+C115+1)</f>
        <v>2029</v>
      </c>
      <c r="D116" s="374">
        <f>IF(F115+SUM(E$99:E115)=D$92,F115,D$92-SUM(E$99:E115))</f>
        <v>28994326.017768219</v>
      </c>
      <c r="E116" s="522">
        <f>IF(+J96&lt;F115,J96,D116)</f>
        <v>1162439.7317073171</v>
      </c>
      <c r="F116" s="523">
        <f t="shared" si="48"/>
        <v>27831886.286060903</v>
      </c>
      <c r="G116" s="523">
        <f t="shared" si="49"/>
        <v>28413106.151914559</v>
      </c>
      <c r="H116" s="526">
        <f t="shared" si="50"/>
        <v>4387731.4953617025</v>
      </c>
      <c r="I116" s="577">
        <f t="shared" si="51"/>
        <v>4387731.4953617025</v>
      </c>
      <c r="J116" s="514">
        <f t="shared" si="30"/>
        <v>0</v>
      </c>
      <c r="K116" s="514"/>
      <c r="L116" s="525"/>
      <c r="M116" s="514">
        <f t="shared" si="32"/>
        <v>0</v>
      </c>
      <c r="N116" s="525"/>
      <c r="O116" s="514">
        <f t="shared" si="34"/>
        <v>0</v>
      </c>
      <c r="P116" s="514">
        <f t="shared" si="35"/>
        <v>0</v>
      </c>
      <c r="Q116" s="269"/>
    </row>
    <row r="117" spans="2:17">
      <c r="B117" s="195" t="str">
        <f t="shared" si="36"/>
        <v/>
      </c>
      <c r="C117" s="507">
        <f>IF(D93="","-",+C116+1)</f>
        <v>2030</v>
      </c>
      <c r="D117" s="374">
        <f>IF(F116+SUM(E$99:E116)=D$92,F116,D$92-SUM(E$99:E116))</f>
        <v>27831886.286060903</v>
      </c>
      <c r="E117" s="522">
        <f>IF(+J96&lt;F116,J96,D117)</f>
        <v>1162439.7317073171</v>
      </c>
      <c r="F117" s="523">
        <f t="shared" si="48"/>
        <v>26669446.554353587</v>
      </c>
      <c r="G117" s="523">
        <f t="shared" si="49"/>
        <v>27250666.420207247</v>
      </c>
      <c r="H117" s="526">
        <f t="shared" si="50"/>
        <v>4255778.0485131061</v>
      </c>
      <c r="I117" s="577">
        <f t="shared" si="51"/>
        <v>4255778.0485131061</v>
      </c>
      <c r="J117" s="514">
        <f t="shared" si="30"/>
        <v>0</v>
      </c>
      <c r="K117" s="514"/>
      <c r="L117" s="525"/>
      <c r="M117" s="514">
        <f t="shared" si="32"/>
        <v>0</v>
      </c>
      <c r="N117" s="525"/>
      <c r="O117" s="514">
        <f t="shared" si="34"/>
        <v>0</v>
      </c>
      <c r="P117" s="514">
        <f t="shared" si="35"/>
        <v>0</v>
      </c>
      <c r="Q117" s="269"/>
    </row>
    <row r="118" spans="2:17">
      <c r="B118" s="195" t="str">
        <f t="shared" si="36"/>
        <v/>
      </c>
      <c r="C118" s="507">
        <f>IF(D93="","-",+C117+1)</f>
        <v>2031</v>
      </c>
      <c r="D118" s="374">
        <f>IF(F117+SUM(E$99:E117)=D$92,F117,D$92-SUM(E$99:E117))</f>
        <v>26669446.554353587</v>
      </c>
      <c r="E118" s="522">
        <f>IF(+J96&lt;F117,J96,D118)</f>
        <v>1162439.7317073171</v>
      </c>
      <c r="F118" s="523">
        <f t="shared" si="48"/>
        <v>25507006.822646271</v>
      </c>
      <c r="G118" s="523">
        <f t="shared" si="49"/>
        <v>26088226.688499928</v>
      </c>
      <c r="H118" s="526">
        <f t="shared" si="50"/>
        <v>4123824.6016645078</v>
      </c>
      <c r="I118" s="577">
        <f t="shared" si="51"/>
        <v>4123824.6016645078</v>
      </c>
      <c r="J118" s="514">
        <f t="shared" si="30"/>
        <v>0</v>
      </c>
      <c r="K118" s="514"/>
      <c r="L118" s="525"/>
      <c r="M118" s="514">
        <f t="shared" si="32"/>
        <v>0</v>
      </c>
      <c r="N118" s="525"/>
      <c r="O118" s="514">
        <f t="shared" si="34"/>
        <v>0</v>
      </c>
      <c r="P118" s="514">
        <f t="shared" si="35"/>
        <v>0</v>
      </c>
      <c r="Q118" s="269"/>
    </row>
    <row r="119" spans="2:17">
      <c r="B119" s="195" t="str">
        <f t="shared" si="36"/>
        <v/>
      </c>
      <c r="C119" s="507">
        <f>IF(D93="","-",+C118+1)</f>
        <v>2032</v>
      </c>
      <c r="D119" s="374">
        <f>IF(F118+SUM(E$99:E118)=D$92,F118,D$92-SUM(E$99:E118))</f>
        <v>25507006.822646271</v>
      </c>
      <c r="E119" s="522">
        <f>IF(+J96&lt;F118,J96,D119)</f>
        <v>1162439.7317073171</v>
      </c>
      <c r="F119" s="523">
        <f t="shared" si="48"/>
        <v>24344567.090938956</v>
      </c>
      <c r="G119" s="523">
        <f t="shared" si="49"/>
        <v>24925786.956792615</v>
      </c>
      <c r="H119" s="526">
        <f t="shared" si="50"/>
        <v>3991871.1548159104</v>
      </c>
      <c r="I119" s="577">
        <f t="shared" si="51"/>
        <v>3991871.1548159104</v>
      </c>
      <c r="J119" s="514">
        <f t="shared" si="30"/>
        <v>0</v>
      </c>
      <c r="K119" s="514"/>
      <c r="L119" s="525"/>
      <c r="M119" s="514">
        <f t="shared" si="32"/>
        <v>0</v>
      </c>
      <c r="N119" s="525"/>
      <c r="O119" s="514">
        <f t="shared" si="34"/>
        <v>0</v>
      </c>
      <c r="P119" s="514">
        <f t="shared" si="35"/>
        <v>0</v>
      </c>
      <c r="Q119" s="269"/>
    </row>
    <row r="120" spans="2:17">
      <c r="B120" s="195" t="str">
        <f t="shared" si="36"/>
        <v/>
      </c>
      <c r="C120" s="507">
        <f>IF(D93="","-",+C119+1)</f>
        <v>2033</v>
      </c>
      <c r="D120" s="374">
        <f>IF(F119+SUM(E$99:E119)=D$92,F119,D$92-SUM(E$99:E119))</f>
        <v>24344567.090938956</v>
      </c>
      <c r="E120" s="522">
        <f>IF(+J96&lt;F119,J96,D120)</f>
        <v>1162439.7317073171</v>
      </c>
      <c r="F120" s="523">
        <f t="shared" si="48"/>
        <v>23182127.35923164</v>
      </c>
      <c r="G120" s="523">
        <f t="shared" si="49"/>
        <v>23763347.225085296</v>
      </c>
      <c r="H120" s="526">
        <f t="shared" si="50"/>
        <v>3859917.7079673121</v>
      </c>
      <c r="I120" s="577">
        <f t="shared" si="51"/>
        <v>3859917.7079673121</v>
      </c>
      <c r="J120" s="514">
        <f t="shared" si="30"/>
        <v>0</v>
      </c>
      <c r="K120" s="514"/>
      <c r="L120" s="525"/>
      <c r="M120" s="514">
        <f t="shared" si="32"/>
        <v>0</v>
      </c>
      <c r="N120" s="525"/>
      <c r="O120" s="514">
        <f t="shared" si="34"/>
        <v>0</v>
      </c>
      <c r="P120" s="514">
        <f t="shared" si="35"/>
        <v>0</v>
      </c>
      <c r="Q120" s="269"/>
    </row>
    <row r="121" spans="2:17">
      <c r="B121" s="195" t="str">
        <f t="shared" si="36"/>
        <v/>
      </c>
      <c r="C121" s="507">
        <f>IF(D93="","-",+C120+1)</f>
        <v>2034</v>
      </c>
      <c r="D121" s="374">
        <f>IF(F120+SUM(E$99:E120)=D$92,F120,D$92-SUM(E$99:E120))</f>
        <v>23182127.35923164</v>
      </c>
      <c r="E121" s="522">
        <f>IF(+J96&lt;F120,J96,D121)</f>
        <v>1162439.7317073171</v>
      </c>
      <c r="F121" s="523">
        <f t="shared" si="48"/>
        <v>22019687.627524324</v>
      </c>
      <c r="G121" s="523">
        <f t="shared" si="49"/>
        <v>22600907.493377984</v>
      </c>
      <c r="H121" s="526">
        <f t="shared" si="50"/>
        <v>3727964.2611187147</v>
      </c>
      <c r="I121" s="577">
        <f t="shared" si="51"/>
        <v>3727964.2611187147</v>
      </c>
      <c r="J121" s="514">
        <f t="shared" si="30"/>
        <v>0</v>
      </c>
      <c r="K121" s="514"/>
      <c r="L121" s="525"/>
      <c r="M121" s="514">
        <f t="shared" si="32"/>
        <v>0</v>
      </c>
      <c r="N121" s="525"/>
      <c r="O121" s="514">
        <f t="shared" si="34"/>
        <v>0</v>
      </c>
      <c r="P121" s="514">
        <f t="shared" si="35"/>
        <v>0</v>
      </c>
      <c r="Q121" s="269"/>
    </row>
    <row r="122" spans="2:17">
      <c r="B122" s="195" t="str">
        <f t="shared" si="36"/>
        <v/>
      </c>
      <c r="C122" s="507">
        <f>IF(D93="","-",+C121+1)</f>
        <v>2035</v>
      </c>
      <c r="D122" s="374">
        <f>IF(F121+SUM(E$99:E121)=D$92,F121,D$92-SUM(E$99:E121))</f>
        <v>22019687.627524324</v>
      </c>
      <c r="E122" s="522">
        <f>IF(+J96&lt;F121,J96,D122)</f>
        <v>1162439.7317073171</v>
      </c>
      <c r="F122" s="523">
        <f t="shared" si="48"/>
        <v>20857247.895817008</v>
      </c>
      <c r="G122" s="523">
        <f t="shared" si="49"/>
        <v>21438467.761670664</v>
      </c>
      <c r="H122" s="526">
        <f t="shared" si="50"/>
        <v>3596010.8142701173</v>
      </c>
      <c r="I122" s="577">
        <f t="shared" si="51"/>
        <v>3596010.8142701173</v>
      </c>
      <c r="J122" s="514">
        <f t="shared" si="30"/>
        <v>0</v>
      </c>
      <c r="K122" s="514"/>
      <c r="L122" s="525"/>
      <c r="M122" s="514">
        <f t="shared" si="32"/>
        <v>0</v>
      </c>
      <c r="N122" s="525"/>
      <c r="O122" s="514">
        <f t="shared" si="34"/>
        <v>0</v>
      </c>
      <c r="P122" s="514">
        <f t="shared" si="35"/>
        <v>0</v>
      </c>
      <c r="Q122" s="269"/>
    </row>
    <row r="123" spans="2:17">
      <c r="B123" s="195" t="str">
        <f t="shared" si="36"/>
        <v/>
      </c>
      <c r="C123" s="507">
        <f>IF(D93="","-",+C122+1)</f>
        <v>2036</v>
      </c>
      <c r="D123" s="374">
        <f>IF(F122+SUM(E$99:E122)=D$92,F122,D$92-SUM(E$99:E122))</f>
        <v>20857247.895817008</v>
      </c>
      <c r="E123" s="522">
        <f>IF(+J96&lt;F122,J96,D123)</f>
        <v>1162439.7317073171</v>
      </c>
      <c r="F123" s="523">
        <f t="shared" si="48"/>
        <v>19694808.164109692</v>
      </c>
      <c r="G123" s="523">
        <f t="shared" si="49"/>
        <v>20276028.029963352</v>
      </c>
      <c r="H123" s="526">
        <f t="shared" si="50"/>
        <v>3464057.3674215199</v>
      </c>
      <c r="I123" s="577">
        <f t="shared" si="51"/>
        <v>3464057.3674215199</v>
      </c>
      <c r="J123" s="514">
        <f t="shared" si="30"/>
        <v>0</v>
      </c>
      <c r="K123" s="514"/>
      <c r="L123" s="525"/>
      <c r="M123" s="514">
        <f t="shared" si="32"/>
        <v>0</v>
      </c>
      <c r="N123" s="525"/>
      <c r="O123" s="514">
        <f t="shared" si="34"/>
        <v>0</v>
      </c>
      <c r="P123" s="514">
        <f t="shared" si="35"/>
        <v>0</v>
      </c>
      <c r="Q123" s="269"/>
    </row>
    <row r="124" spans="2:17">
      <c r="B124" s="195" t="str">
        <f t="shared" si="36"/>
        <v/>
      </c>
      <c r="C124" s="507">
        <f>IF(D93="","-",+C123+1)</f>
        <v>2037</v>
      </c>
      <c r="D124" s="374">
        <f>IF(F123+SUM(E$99:E123)=D$92,F123,D$92-SUM(E$99:E123))</f>
        <v>19694808.164109692</v>
      </c>
      <c r="E124" s="522">
        <f>IF(+J96&lt;F123,J96,D124)</f>
        <v>1162439.7317073171</v>
      </c>
      <c r="F124" s="523">
        <f t="shared" si="48"/>
        <v>18532368.432402376</v>
      </c>
      <c r="G124" s="523">
        <f t="shared" si="49"/>
        <v>19113588.298256032</v>
      </c>
      <c r="H124" s="526">
        <f t="shared" si="50"/>
        <v>3332103.9205729216</v>
      </c>
      <c r="I124" s="577">
        <f t="shared" si="51"/>
        <v>3332103.9205729216</v>
      </c>
      <c r="J124" s="514">
        <f t="shared" si="30"/>
        <v>0</v>
      </c>
      <c r="K124" s="514"/>
      <c r="L124" s="525"/>
      <c r="M124" s="514">
        <f t="shared" si="32"/>
        <v>0</v>
      </c>
      <c r="N124" s="525"/>
      <c r="O124" s="514">
        <f t="shared" si="34"/>
        <v>0</v>
      </c>
      <c r="P124" s="514">
        <f t="shared" si="35"/>
        <v>0</v>
      </c>
      <c r="Q124" s="269"/>
    </row>
    <row r="125" spans="2:17">
      <c r="B125" s="195" t="str">
        <f t="shared" si="36"/>
        <v/>
      </c>
      <c r="C125" s="507">
        <f>IF(D93="","-",+C124+1)</f>
        <v>2038</v>
      </c>
      <c r="D125" s="374">
        <f>IF(F124+SUM(E$99:E124)=D$92,F124,D$92-SUM(E$99:E124))</f>
        <v>18532368.432402376</v>
      </c>
      <c r="E125" s="522">
        <f>IF(+J96&lt;F124,J96,D125)</f>
        <v>1162439.7317073171</v>
      </c>
      <c r="F125" s="523">
        <f t="shared" si="48"/>
        <v>17369928.70069506</v>
      </c>
      <c r="G125" s="523">
        <f t="shared" si="49"/>
        <v>17951148.56654872</v>
      </c>
      <c r="H125" s="526">
        <f t="shared" si="50"/>
        <v>3200150.4737243247</v>
      </c>
      <c r="I125" s="577">
        <f t="shared" si="51"/>
        <v>3200150.4737243247</v>
      </c>
      <c r="J125" s="514">
        <f t="shared" si="30"/>
        <v>0</v>
      </c>
      <c r="K125" s="514"/>
      <c r="L125" s="525"/>
      <c r="M125" s="514">
        <f t="shared" si="32"/>
        <v>0</v>
      </c>
      <c r="N125" s="525"/>
      <c r="O125" s="514">
        <f t="shared" si="34"/>
        <v>0</v>
      </c>
      <c r="P125" s="514">
        <f t="shared" si="35"/>
        <v>0</v>
      </c>
      <c r="Q125" s="269"/>
    </row>
    <row r="126" spans="2:17">
      <c r="B126" s="195" t="str">
        <f t="shared" si="36"/>
        <v/>
      </c>
      <c r="C126" s="507">
        <f>IF(D93="","-",+C125+1)</f>
        <v>2039</v>
      </c>
      <c r="D126" s="374">
        <f>IF(F125+SUM(E$99:E125)=D$92,F125,D$92-SUM(E$99:E125))</f>
        <v>17369928.70069506</v>
      </c>
      <c r="E126" s="522">
        <f>IF(+J96&lt;F125,J96,D126)</f>
        <v>1162439.7317073171</v>
      </c>
      <c r="F126" s="523">
        <f t="shared" si="48"/>
        <v>16207488.968987742</v>
      </c>
      <c r="G126" s="523">
        <f t="shared" si="49"/>
        <v>16788708.8348414</v>
      </c>
      <c r="H126" s="526">
        <f t="shared" si="50"/>
        <v>3068197.0268757269</v>
      </c>
      <c r="I126" s="577">
        <f t="shared" si="51"/>
        <v>3068197.0268757269</v>
      </c>
      <c r="J126" s="514">
        <f t="shared" si="30"/>
        <v>0</v>
      </c>
      <c r="K126" s="514"/>
      <c r="L126" s="525"/>
      <c r="M126" s="514">
        <f t="shared" si="32"/>
        <v>0</v>
      </c>
      <c r="N126" s="525"/>
      <c r="O126" s="514">
        <f t="shared" si="34"/>
        <v>0</v>
      </c>
      <c r="P126" s="514">
        <f t="shared" si="35"/>
        <v>0</v>
      </c>
      <c r="Q126" s="269"/>
    </row>
    <row r="127" spans="2:17">
      <c r="B127" s="195" t="str">
        <f t="shared" si="36"/>
        <v/>
      </c>
      <c r="C127" s="507">
        <f>IF(D93="","-",+C126+1)</f>
        <v>2040</v>
      </c>
      <c r="D127" s="374">
        <f>IF(F126+SUM(E$99:E126)=D$92,F126,D$92-SUM(E$99:E126))</f>
        <v>16207488.968987742</v>
      </c>
      <c r="E127" s="522">
        <f>IF(+J96&lt;F126,J96,D127)</f>
        <v>1162439.7317073171</v>
      </c>
      <c r="F127" s="523">
        <f t="shared" si="48"/>
        <v>15045049.237280425</v>
      </c>
      <c r="G127" s="523">
        <f t="shared" si="49"/>
        <v>15626269.103134084</v>
      </c>
      <c r="H127" s="526">
        <f t="shared" si="50"/>
        <v>2936243.580027129</v>
      </c>
      <c r="I127" s="577">
        <f t="shared" si="51"/>
        <v>2936243.580027129</v>
      </c>
      <c r="J127" s="514">
        <f t="shared" si="30"/>
        <v>0</v>
      </c>
      <c r="K127" s="514"/>
      <c r="L127" s="525"/>
      <c r="M127" s="514">
        <f t="shared" si="32"/>
        <v>0</v>
      </c>
      <c r="N127" s="525"/>
      <c r="O127" s="514">
        <f t="shared" si="34"/>
        <v>0</v>
      </c>
      <c r="P127" s="514">
        <f t="shared" si="35"/>
        <v>0</v>
      </c>
      <c r="Q127" s="269"/>
    </row>
    <row r="128" spans="2:17">
      <c r="B128" s="195" t="str">
        <f t="shared" si="36"/>
        <v/>
      </c>
      <c r="C128" s="507">
        <f>IF(D93="","-",+C127+1)</f>
        <v>2041</v>
      </c>
      <c r="D128" s="374">
        <f>IF(F127+SUM(E$99:E127)=D$92,F127,D$92-SUM(E$99:E127))</f>
        <v>15045049.237280425</v>
      </c>
      <c r="E128" s="522">
        <f>IF(+J96&lt;F127,J96,D128)</f>
        <v>1162439.7317073171</v>
      </c>
      <c r="F128" s="523">
        <f t="shared" si="48"/>
        <v>13882609.505573107</v>
      </c>
      <c r="G128" s="523">
        <f t="shared" si="49"/>
        <v>14463829.371426765</v>
      </c>
      <c r="H128" s="526">
        <f t="shared" si="50"/>
        <v>2804290.1331785312</v>
      </c>
      <c r="I128" s="577">
        <f t="shared" si="51"/>
        <v>2804290.1331785312</v>
      </c>
      <c r="J128" s="514">
        <f t="shared" si="30"/>
        <v>0</v>
      </c>
      <c r="K128" s="514"/>
      <c r="L128" s="525"/>
      <c r="M128" s="514">
        <f t="shared" si="32"/>
        <v>0</v>
      </c>
      <c r="N128" s="525"/>
      <c r="O128" s="514">
        <f t="shared" si="34"/>
        <v>0</v>
      </c>
      <c r="P128" s="514">
        <f t="shared" si="35"/>
        <v>0</v>
      </c>
      <c r="Q128" s="269"/>
    </row>
    <row r="129" spans="2:17">
      <c r="B129" s="195" t="str">
        <f t="shared" si="36"/>
        <v/>
      </c>
      <c r="C129" s="507">
        <f>IF(D93="","-",+C128+1)</f>
        <v>2042</v>
      </c>
      <c r="D129" s="374">
        <f>IF(F128+SUM(E$99:E128)=D$92,F128,D$92-SUM(E$99:E128))</f>
        <v>13882609.505573107</v>
      </c>
      <c r="E129" s="522">
        <f>IF(+J96&lt;F128,J96,D129)</f>
        <v>1162439.7317073171</v>
      </c>
      <c r="F129" s="523">
        <f t="shared" si="48"/>
        <v>12720169.773865789</v>
      </c>
      <c r="G129" s="523">
        <f t="shared" si="49"/>
        <v>13301389.639719449</v>
      </c>
      <c r="H129" s="526">
        <f t="shared" si="50"/>
        <v>2672336.6863299333</v>
      </c>
      <c r="I129" s="577">
        <f t="shared" si="51"/>
        <v>2672336.6863299333</v>
      </c>
      <c r="J129" s="514">
        <f t="shared" si="30"/>
        <v>0</v>
      </c>
      <c r="K129" s="514"/>
      <c r="L129" s="525"/>
      <c r="M129" s="514">
        <f t="shared" si="32"/>
        <v>0</v>
      </c>
      <c r="N129" s="525"/>
      <c r="O129" s="514">
        <f t="shared" si="34"/>
        <v>0</v>
      </c>
      <c r="P129" s="514">
        <f t="shared" si="35"/>
        <v>0</v>
      </c>
      <c r="Q129" s="269"/>
    </row>
    <row r="130" spans="2:17">
      <c r="B130" s="195" t="str">
        <f t="shared" si="36"/>
        <v/>
      </c>
      <c r="C130" s="507">
        <f>IF(D93="","-",+C129+1)</f>
        <v>2043</v>
      </c>
      <c r="D130" s="374">
        <f>IF(F129+SUM(E$99:E129)=D$92,F129,D$92-SUM(E$99:E129))</f>
        <v>12720169.773865789</v>
      </c>
      <c r="E130" s="522">
        <f>IF(+J96&lt;F129,J96,D130)</f>
        <v>1162439.7317073171</v>
      </c>
      <c r="F130" s="523">
        <f t="shared" si="48"/>
        <v>11557730.042158471</v>
      </c>
      <c r="G130" s="523">
        <f t="shared" si="49"/>
        <v>12138949.908012129</v>
      </c>
      <c r="H130" s="526">
        <f t="shared" si="50"/>
        <v>2540383.2394813355</v>
      </c>
      <c r="I130" s="577">
        <f t="shared" si="51"/>
        <v>2540383.2394813355</v>
      </c>
      <c r="J130" s="514">
        <f t="shared" si="30"/>
        <v>0</v>
      </c>
      <c r="K130" s="514"/>
      <c r="L130" s="525"/>
      <c r="M130" s="514">
        <f t="shared" si="32"/>
        <v>0</v>
      </c>
      <c r="N130" s="525"/>
      <c r="O130" s="514">
        <f t="shared" si="34"/>
        <v>0</v>
      </c>
      <c r="P130" s="514">
        <f t="shared" si="35"/>
        <v>0</v>
      </c>
      <c r="Q130" s="269"/>
    </row>
    <row r="131" spans="2:17">
      <c r="B131" s="195" t="str">
        <f t="shared" si="36"/>
        <v/>
      </c>
      <c r="C131" s="507">
        <f>IF(D93="","-",+C130+1)</f>
        <v>2044</v>
      </c>
      <c r="D131" s="374">
        <f>IF(F130+SUM(E$99:E130)=D$92,F130,D$92-SUM(E$99:E130))</f>
        <v>11557730.042158471</v>
      </c>
      <c r="E131" s="522">
        <f>IF(+J96&lt;F130,J96,D131)</f>
        <v>1162439.7317073171</v>
      </c>
      <c r="F131" s="523">
        <f t="shared" si="48"/>
        <v>10395290.310451154</v>
      </c>
      <c r="G131" s="523">
        <f t="shared" ref="G131:G154" si="52">+(F131+D131)/2</f>
        <v>10976510.176304813</v>
      </c>
      <c r="H131" s="526">
        <f t="shared" ref="H131:H154" si="53">+J$94*G131+E131</f>
        <v>2408429.7926327377</v>
      </c>
      <c r="I131" s="577">
        <f t="shared" ref="I131:I154" si="54">+J$95*G131+E131</f>
        <v>2408429.7926327377</v>
      </c>
      <c r="J131" s="514">
        <f t="shared" ref="J131:J154" si="55">+I131-H131</f>
        <v>0</v>
      </c>
      <c r="K131" s="514"/>
      <c r="L131" s="525"/>
      <c r="M131" s="514">
        <f t="shared" ref="M131:M154" si="56">IF(L131&lt;&gt;0,+H131-L131,0)</f>
        <v>0</v>
      </c>
      <c r="N131" s="525"/>
      <c r="O131" s="514">
        <f t="shared" ref="O131:O154" si="57">IF(N131&lt;&gt;0,+I131-N131,0)</f>
        <v>0</v>
      </c>
      <c r="P131" s="514">
        <f t="shared" ref="P131:P154" si="58">+O131-M131</f>
        <v>0</v>
      </c>
      <c r="Q131" s="269"/>
    </row>
    <row r="132" spans="2:17">
      <c r="B132" s="195" t="str">
        <f t="shared" ref="B132:B154" si="59">IF(D132=F131,"","IU")</f>
        <v/>
      </c>
      <c r="C132" s="507">
        <f>IF(D93="","-",+C131+1)</f>
        <v>2045</v>
      </c>
      <c r="D132" s="374">
        <f>IF(F131+SUM(E$99:E131)=D$92,F131,D$92-SUM(E$99:E131))</f>
        <v>10395290.310451154</v>
      </c>
      <c r="E132" s="522">
        <f>IF(+J96&lt;F131,J96,D132)</f>
        <v>1162439.7317073171</v>
      </c>
      <c r="F132" s="523">
        <f t="shared" ref="F132:F154" si="60">+D132-E132</f>
        <v>9232850.5787438359</v>
      </c>
      <c r="G132" s="523">
        <f t="shared" si="52"/>
        <v>9814070.4445974939</v>
      </c>
      <c r="H132" s="526">
        <f t="shared" si="53"/>
        <v>2276476.3457841398</v>
      </c>
      <c r="I132" s="577">
        <f t="shared" si="54"/>
        <v>2276476.3457841398</v>
      </c>
      <c r="J132" s="514">
        <f t="shared" si="55"/>
        <v>0</v>
      </c>
      <c r="K132" s="514"/>
      <c r="L132" s="525"/>
      <c r="M132" s="514">
        <f t="shared" si="56"/>
        <v>0</v>
      </c>
      <c r="N132" s="525"/>
      <c r="O132" s="514">
        <f t="shared" si="57"/>
        <v>0</v>
      </c>
      <c r="P132" s="514">
        <f t="shared" si="58"/>
        <v>0</v>
      </c>
      <c r="Q132" s="269"/>
    </row>
    <row r="133" spans="2:17">
      <c r="B133" s="195" t="str">
        <f t="shared" si="59"/>
        <v/>
      </c>
      <c r="C133" s="507">
        <f>IF(D93="","-",+C132+1)</f>
        <v>2046</v>
      </c>
      <c r="D133" s="374">
        <f>IF(F132+SUM(E$99:E132)=D$92,F132,D$92-SUM(E$99:E132))</f>
        <v>9232850.5787438359</v>
      </c>
      <c r="E133" s="522">
        <f>IF(+J96&lt;F132,J96,D133)</f>
        <v>1162439.7317073171</v>
      </c>
      <c r="F133" s="523">
        <f t="shared" si="60"/>
        <v>8070410.8470365191</v>
      </c>
      <c r="G133" s="523">
        <f t="shared" si="52"/>
        <v>8651630.712890178</v>
      </c>
      <c r="H133" s="526">
        <f t="shared" si="53"/>
        <v>2144522.898935542</v>
      </c>
      <c r="I133" s="577">
        <f t="shared" si="54"/>
        <v>2144522.898935542</v>
      </c>
      <c r="J133" s="514">
        <f t="shared" si="55"/>
        <v>0</v>
      </c>
      <c r="K133" s="514"/>
      <c r="L133" s="525"/>
      <c r="M133" s="514">
        <f t="shared" si="56"/>
        <v>0</v>
      </c>
      <c r="N133" s="525"/>
      <c r="O133" s="514">
        <f t="shared" si="57"/>
        <v>0</v>
      </c>
      <c r="P133" s="514">
        <f t="shared" si="58"/>
        <v>0</v>
      </c>
      <c r="Q133" s="269"/>
    </row>
    <row r="134" spans="2:17">
      <c r="B134" s="195" t="str">
        <f t="shared" si="59"/>
        <v/>
      </c>
      <c r="C134" s="507">
        <f>IF(D93="","-",+C133+1)</f>
        <v>2047</v>
      </c>
      <c r="D134" s="374">
        <f>IF(F133+SUM(E$99:E133)=D$92,F133,D$92-SUM(E$99:E133))</f>
        <v>8070410.8470365191</v>
      </c>
      <c r="E134" s="522">
        <f>IF(+J96&lt;F133,J96,D134)</f>
        <v>1162439.7317073171</v>
      </c>
      <c r="F134" s="523">
        <f t="shared" si="60"/>
        <v>6907971.1153292023</v>
      </c>
      <c r="G134" s="523">
        <f t="shared" si="52"/>
        <v>7489190.9811828602</v>
      </c>
      <c r="H134" s="526">
        <f t="shared" si="53"/>
        <v>2012569.4520869441</v>
      </c>
      <c r="I134" s="577">
        <f t="shared" si="54"/>
        <v>2012569.4520869441</v>
      </c>
      <c r="J134" s="514">
        <f t="shared" si="55"/>
        <v>0</v>
      </c>
      <c r="K134" s="514"/>
      <c r="L134" s="525"/>
      <c r="M134" s="514">
        <f t="shared" si="56"/>
        <v>0</v>
      </c>
      <c r="N134" s="525"/>
      <c r="O134" s="514">
        <f t="shared" si="57"/>
        <v>0</v>
      </c>
      <c r="P134" s="514">
        <f t="shared" si="58"/>
        <v>0</v>
      </c>
      <c r="Q134" s="269"/>
    </row>
    <row r="135" spans="2:17">
      <c r="B135" s="195" t="str">
        <f t="shared" si="59"/>
        <v/>
      </c>
      <c r="C135" s="507">
        <f>IF(D93="","-",+C134+1)</f>
        <v>2048</v>
      </c>
      <c r="D135" s="374">
        <f>IF(F134+SUM(E$99:E134)=D$92,F134,D$92-SUM(E$99:E134))</f>
        <v>6907971.1153292023</v>
      </c>
      <c r="E135" s="522">
        <f>IF(+J96&lt;F134,J96,D135)</f>
        <v>1162439.7317073171</v>
      </c>
      <c r="F135" s="523">
        <f t="shared" si="60"/>
        <v>5745531.3836218854</v>
      </c>
      <c r="G135" s="523">
        <f t="shared" si="52"/>
        <v>6326751.2494755443</v>
      </c>
      <c r="H135" s="526">
        <f t="shared" si="53"/>
        <v>1880616.0052383465</v>
      </c>
      <c r="I135" s="577">
        <f t="shared" si="54"/>
        <v>1880616.0052383465</v>
      </c>
      <c r="J135" s="514">
        <f t="shared" si="55"/>
        <v>0</v>
      </c>
      <c r="K135" s="514"/>
      <c r="L135" s="525"/>
      <c r="M135" s="514">
        <f t="shared" si="56"/>
        <v>0</v>
      </c>
      <c r="N135" s="525"/>
      <c r="O135" s="514">
        <f t="shared" si="57"/>
        <v>0</v>
      </c>
      <c r="P135" s="514">
        <f t="shared" si="58"/>
        <v>0</v>
      </c>
      <c r="Q135" s="269"/>
    </row>
    <row r="136" spans="2:17">
      <c r="B136" s="195" t="str">
        <f t="shared" si="59"/>
        <v/>
      </c>
      <c r="C136" s="507">
        <f>IF(D93="","-",+C135+1)</f>
        <v>2049</v>
      </c>
      <c r="D136" s="374">
        <f>IF(F135+SUM(E$99:E135)=D$92,F135,D$92-SUM(E$99:E135))</f>
        <v>5745531.3836218854</v>
      </c>
      <c r="E136" s="522">
        <f>IF(+J96&lt;F135,J96,D136)</f>
        <v>1162439.7317073171</v>
      </c>
      <c r="F136" s="523">
        <f t="shared" si="60"/>
        <v>4583091.6519145686</v>
      </c>
      <c r="G136" s="523">
        <f t="shared" si="52"/>
        <v>5164311.5177682266</v>
      </c>
      <c r="H136" s="526">
        <f t="shared" si="53"/>
        <v>1748662.5583897487</v>
      </c>
      <c r="I136" s="577">
        <f t="shared" si="54"/>
        <v>1748662.5583897487</v>
      </c>
      <c r="J136" s="514">
        <f t="shared" si="55"/>
        <v>0</v>
      </c>
      <c r="K136" s="514"/>
      <c r="L136" s="525"/>
      <c r="M136" s="514">
        <f t="shared" si="56"/>
        <v>0</v>
      </c>
      <c r="N136" s="525"/>
      <c r="O136" s="514">
        <f t="shared" si="57"/>
        <v>0</v>
      </c>
      <c r="P136" s="514">
        <f t="shared" si="58"/>
        <v>0</v>
      </c>
      <c r="Q136" s="269"/>
    </row>
    <row r="137" spans="2:17">
      <c r="B137" s="195" t="str">
        <f t="shared" si="59"/>
        <v/>
      </c>
      <c r="C137" s="507">
        <f>IF(D93="","-",+C136+1)</f>
        <v>2050</v>
      </c>
      <c r="D137" s="374">
        <f>IF(F136+SUM(E$99:E136)=D$92,F136,D$92-SUM(E$99:E136))</f>
        <v>4583091.6519145686</v>
      </c>
      <c r="E137" s="522">
        <f>IF(+J96&lt;F136,J96,D137)</f>
        <v>1162439.7317073171</v>
      </c>
      <c r="F137" s="523">
        <f t="shared" si="60"/>
        <v>3420651.9202072518</v>
      </c>
      <c r="G137" s="523">
        <f t="shared" si="52"/>
        <v>4001871.7860609102</v>
      </c>
      <c r="H137" s="526">
        <f t="shared" si="53"/>
        <v>1616709.1115411511</v>
      </c>
      <c r="I137" s="577">
        <f t="shared" si="54"/>
        <v>1616709.1115411511</v>
      </c>
      <c r="J137" s="514">
        <f t="shared" si="55"/>
        <v>0</v>
      </c>
      <c r="K137" s="514"/>
      <c r="L137" s="525"/>
      <c r="M137" s="514">
        <f t="shared" si="56"/>
        <v>0</v>
      </c>
      <c r="N137" s="525"/>
      <c r="O137" s="514">
        <f t="shared" si="57"/>
        <v>0</v>
      </c>
      <c r="P137" s="514">
        <f t="shared" si="58"/>
        <v>0</v>
      </c>
      <c r="Q137" s="269"/>
    </row>
    <row r="138" spans="2:17">
      <c r="B138" s="195" t="str">
        <f t="shared" si="59"/>
        <v/>
      </c>
      <c r="C138" s="507">
        <f>IF(D93="","-",+C137+1)</f>
        <v>2051</v>
      </c>
      <c r="D138" s="374">
        <f>IF(F137+SUM(E$99:E137)=D$92,F137,D$92-SUM(E$99:E137))</f>
        <v>3420651.9202072518</v>
      </c>
      <c r="E138" s="522">
        <f>IF(+J96&lt;F137,J96,D138)</f>
        <v>1162439.7317073171</v>
      </c>
      <c r="F138" s="523">
        <f t="shared" si="60"/>
        <v>2258212.188499935</v>
      </c>
      <c r="G138" s="523">
        <f t="shared" si="52"/>
        <v>2839432.0543535934</v>
      </c>
      <c r="H138" s="526">
        <f t="shared" si="53"/>
        <v>1484755.6646925532</v>
      </c>
      <c r="I138" s="577">
        <f t="shared" si="54"/>
        <v>1484755.6646925532</v>
      </c>
      <c r="J138" s="514">
        <f t="shared" si="55"/>
        <v>0</v>
      </c>
      <c r="K138" s="514"/>
      <c r="L138" s="525"/>
      <c r="M138" s="514">
        <f t="shared" si="56"/>
        <v>0</v>
      </c>
      <c r="N138" s="525"/>
      <c r="O138" s="514">
        <f t="shared" si="57"/>
        <v>0</v>
      </c>
      <c r="P138" s="514">
        <f t="shared" si="58"/>
        <v>0</v>
      </c>
      <c r="Q138" s="269"/>
    </row>
    <row r="139" spans="2:17">
      <c r="B139" s="195" t="str">
        <f t="shared" si="59"/>
        <v/>
      </c>
      <c r="C139" s="507">
        <f>IF(D93="","-",+C138+1)</f>
        <v>2052</v>
      </c>
      <c r="D139" s="374">
        <f>IF(F138+SUM(E$99:E138)=D$92,F138,D$92-SUM(E$99:E138))</f>
        <v>2258212.188499935</v>
      </c>
      <c r="E139" s="522">
        <f>IF(+J96&lt;F138,J96,D139)</f>
        <v>1162439.7317073171</v>
      </c>
      <c r="F139" s="523">
        <f t="shared" si="60"/>
        <v>1095772.4567926179</v>
      </c>
      <c r="G139" s="523">
        <f t="shared" si="52"/>
        <v>1676992.3226462766</v>
      </c>
      <c r="H139" s="526">
        <f t="shared" si="53"/>
        <v>1352802.2178439556</v>
      </c>
      <c r="I139" s="577">
        <f t="shared" si="54"/>
        <v>1352802.2178439556</v>
      </c>
      <c r="J139" s="514">
        <f t="shared" si="55"/>
        <v>0</v>
      </c>
      <c r="K139" s="514"/>
      <c r="L139" s="525"/>
      <c r="M139" s="514">
        <f t="shared" si="56"/>
        <v>0</v>
      </c>
      <c r="N139" s="525"/>
      <c r="O139" s="514">
        <f t="shared" si="57"/>
        <v>0</v>
      </c>
      <c r="P139" s="514">
        <f t="shared" si="58"/>
        <v>0</v>
      </c>
      <c r="Q139" s="269"/>
    </row>
    <row r="140" spans="2:17">
      <c r="B140" s="195" t="str">
        <f t="shared" si="59"/>
        <v/>
      </c>
      <c r="C140" s="507">
        <f>IF(D93="","-",+C139+1)</f>
        <v>2053</v>
      </c>
      <c r="D140" s="374">
        <f>IF(F139+SUM(E$99:E139)=D$92,F139,D$92-SUM(E$99:E139))</f>
        <v>1095772.4567926179</v>
      </c>
      <c r="E140" s="522">
        <f>IF(+J96&lt;F139,J96,D140)</f>
        <v>1095772.4567926179</v>
      </c>
      <c r="F140" s="523">
        <f t="shared" si="60"/>
        <v>0</v>
      </c>
      <c r="G140" s="523">
        <f t="shared" si="52"/>
        <v>547886.22839630896</v>
      </c>
      <c r="H140" s="526">
        <f t="shared" si="53"/>
        <v>1157965.3381487876</v>
      </c>
      <c r="I140" s="577">
        <f t="shared" si="54"/>
        <v>1157965.3381487876</v>
      </c>
      <c r="J140" s="514">
        <f t="shared" si="55"/>
        <v>0</v>
      </c>
      <c r="K140" s="514"/>
      <c r="L140" s="525"/>
      <c r="M140" s="514">
        <f t="shared" si="56"/>
        <v>0</v>
      </c>
      <c r="N140" s="525"/>
      <c r="O140" s="514">
        <f t="shared" si="57"/>
        <v>0</v>
      </c>
      <c r="P140" s="514">
        <f t="shared" si="58"/>
        <v>0</v>
      </c>
      <c r="Q140" s="269"/>
    </row>
    <row r="141" spans="2:17">
      <c r="B141" s="195" t="str">
        <f t="shared" si="59"/>
        <v/>
      </c>
      <c r="C141" s="507">
        <f>IF(D93="","-",+C140+1)</f>
        <v>2054</v>
      </c>
      <c r="D141" s="374">
        <f>IF(F140+SUM(E$99:E140)=D$92,F140,D$92-SUM(E$99:E140))</f>
        <v>0</v>
      </c>
      <c r="E141" s="522">
        <f>IF(+J96&lt;F140,J96,D141)</f>
        <v>0</v>
      </c>
      <c r="F141" s="523">
        <f t="shared" si="60"/>
        <v>0</v>
      </c>
      <c r="G141" s="523">
        <f t="shared" si="52"/>
        <v>0</v>
      </c>
      <c r="H141" s="526">
        <f t="shared" si="53"/>
        <v>0</v>
      </c>
      <c r="I141" s="577">
        <f t="shared" si="54"/>
        <v>0</v>
      </c>
      <c r="J141" s="514">
        <f t="shared" si="55"/>
        <v>0</v>
      </c>
      <c r="K141" s="514"/>
      <c r="L141" s="525"/>
      <c r="M141" s="514">
        <f t="shared" si="56"/>
        <v>0</v>
      </c>
      <c r="N141" s="525"/>
      <c r="O141" s="514">
        <f t="shared" si="57"/>
        <v>0</v>
      </c>
      <c r="P141" s="514">
        <f t="shared" si="58"/>
        <v>0</v>
      </c>
      <c r="Q141" s="269"/>
    </row>
    <row r="142" spans="2:17">
      <c r="B142" s="195" t="str">
        <f t="shared" si="59"/>
        <v/>
      </c>
      <c r="C142" s="507">
        <f>IF(D93="","-",+C141+1)</f>
        <v>2055</v>
      </c>
      <c r="D142" s="374">
        <f>IF(F141+SUM(E$99:E141)=D$92,F141,D$92-SUM(E$99:E141))</f>
        <v>0</v>
      </c>
      <c r="E142" s="522">
        <f>IF(+J96&lt;F141,J96,D142)</f>
        <v>0</v>
      </c>
      <c r="F142" s="523">
        <f t="shared" si="60"/>
        <v>0</v>
      </c>
      <c r="G142" s="523">
        <f t="shared" si="52"/>
        <v>0</v>
      </c>
      <c r="H142" s="526">
        <f t="shared" si="53"/>
        <v>0</v>
      </c>
      <c r="I142" s="577">
        <f t="shared" si="54"/>
        <v>0</v>
      </c>
      <c r="J142" s="514">
        <f t="shared" si="55"/>
        <v>0</v>
      </c>
      <c r="K142" s="514"/>
      <c r="L142" s="525"/>
      <c r="M142" s="514">
        <f t="shared" si="56"/>
        <v>0</v>
      </c>
      <c r="N142" s="525"/>
      <c r="O142" s="514">
        <f t="shared" si="57"/>
        <v>0</v>
      </c>
      <c r="P142" s="514">
        <f t="shared" si="58"/>
        <v>0</v>
      </c>
      <c r="Q142" s="269"/>
    </row>
    <row r="143" spans="2:17">
      <c r="B143" s="195" t="str">
        <f t="shared" si="59"/>
        <v/>
      </c>
      <c r="C143" s="507">
        <f>IF(D93="","-",+C142+1)</f>
        <v>2056</v>
      </c>
      <c r="D143" s="374">
        <f>IF(F142+SUM(E$99:E142)=D$92,F142,D$92-SUM(E$99:E142))</f>
        <v>0</v>
      </c>
      <c r="E143" s="522">
        <f>IF(+J96&lt;F142,J96,D143)</f>
        <v>0</v>
      </c>
      <c r="F143" s="523">
        <f t="shared" si="60"/>
        <v>0</v>
      </c>
      <c r="G143" s="523">
        <f t="shared" si="52"/>
        <v>0</v>
      </c>
      <c r="H143" s="526">
        <f t="shared" si="53"/>
        <v>0</v>
      </c>
      <c r="I143" s="577">
        <f t="shared" si="54"/>
        <v>0</v>
      </c>
      <c r="J143" s="514">
        <f t="shared" si="55"/>
        <v>0</v>
      </c>
      <c r="K143" s="514"/>
      <c r="L143" s="525"/>
      <c r="M143" s="514">
        <f t="shared" si="56"/>
        <v>0</v>
      </c>
      <c r="N143" s="525"/>
      <c r="O143" s="514">
        <f t="shared" si="57"/>
        <v>0</v>
      </c>
      <c r="P143" s="514">
        <f t="shared" si="58"/>
        <v>0</v>
      </c>
      <c r="Q143" s="269"/>
    </row>
    <row r="144" spans="2:17">
      <c r="B144" s="195" t="str">
        <f t="shared" si="59"/>
        <v/>
      </c>
      <c r="C144" s="507">
        <f>IF(D93="","-",+C143+1)</f>
        <v>2057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60"/>
        <v>0</v>
      </c>
      <c r="G144" s="523">
        <f t="shared" si="52"/>
        <v>0</v>
      </c>
      <c r="H144" s="526">
        <f t="shared" si="53"/>
        <v>0</v>
      </c>
      <c r="I144" s="577">
        <f t="shared" si="54"/>
        <v>0</v>
      </c>
      <c r="J144" s="514">
        <f t="shared" si="55"/>
        <v>0</v>
      </c>
      <c r="K144" s="514"/>
      <c r="L144" s="525"/>
      <c r="M144" s="514">
        <f t="shared" si="56"/>
        <v>0</v>
      </c>
      <c r="N144" s="525"/>
      <c r="O144" s="514">
        <f t="shared" si="57"/>
        <v>0</v>
      </c>
      <c r="P144" s="514">
        <f t="shared" si="58"/>
        <v>0</v>
      </c>
      <c r="Q144" s="269"/>
    </row>
    <row r="145" spans="2:17">
      <c r="B145" s="195" t="str">
        <f t="shared" si="59"/>
        <v/>
      </c>
      <c r="C145" s="507">
        <f>IF(D93="","-",+C144+1)</f>
        <v>2058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60"/>
        <v>0</v>
      </c>
      <c r="G145" s="523">
        <f t="shared" si="52"/>
        <v>0</v>
      </c>
      <c r="H145" s="526">
        <f t="shared" si="53"/>
        <v>0</v>
      </c>
      <c r="I145" s="577">
        <f t="shared" si="54"/>
        <v>0</v>
      </c>
      <c r="J145" s="514">
        <f t="shared" si="55"/>
        <v>0</v>
      </c>
      <c r="K145" s="514"/>
      <c r="L145" s="525"/>
      <c r="M145" s="514">
        <f t="shared" si="56"/>
        <v>0</v>
      </c>
      <c r="N145" s="525"/>
      <c r="O145" s="514">
        <f t="shared" si="57"/>
        <v>0</v>
      </c>
      <c r="P145" s="514">
        <f t="shared" si="58"/>
        <v>0</v>
      </c>
      <c r="Q145" s="269"/>
    </row>
    <row r="146" spans="2:17">
      <c r="B146" s="195" t="str">
        <f t="shared" si="59"/>
        <v/>
      </c>
      <c r="C146" s="507">
        <f>IF(D93="","-",+C145+1)</f>
        <v>2059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60"/>
        <v>0</v>
      </c>
      <c r="G146" s="523">
        <f t="shared" si="52"/>
        <v>0</v>
      </c>
      <c r="H146" s="526">
        <f t="shared" si="53"/>
        <v>0</v>
      </c>
      <c r="I146" s="577">
        <f t="shared" si="54"/>
        <v>0</v>
      </c>
      <c r="J146" s="514">
        <f t="shared" si="55"/>
        <v>0</v>
      </c>
      <c r="K146" s="514"/>
      <c r="L146" s="525"/>
      <c r="M146" s="514">
        <f t="shared" si="56"/>
        <v>0</v>
      </c>
      <c r="N146" s="525"/>
      <c r="O146" s="514">
        <f t="shared" si="57"/>
        <v>0</v>
      </c>
      <c r="P146" s="514">
        <f t="shared" si="58"/>
        <v>0</v>
      </c>
      <c r="Q146" s="269"/>
    </row>
    <row r="147" spans="2:17">
      <c r="B147" s="195" t="str">
        <f t="shared" si="59"/>
        <v/>
      </c>
      <c r="C147" s="507">
        <f>IF(D93="","-",+C146+1)</f>
        <v>2060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60"/>
        <v>0</v>
      </c>
      <c r="G147" s="523">
        <f t="shared" si="52"/>
        <v>0</v>
      </c>
      <c r="H147" s="526">
        <f t="shared" si="53"/>
        <v>0</v>
      </c>
      <c r="I147" s="577">
        <f t="shared" si="54"/>
        <v>0</v>
      </c>
      <c r="J147" s="514">
        <f t="shared" si="55"/>
        <v>0</v>
      </c>
      <c r="K147" s="514"/>
      <c r="L147" s="525"/>
      <c r="M147" s="514">
        <f t="shared" si="56"/>
        <v>0</v>
      </c>
      <c r="N147" s="525"/>
      <c r="O147" s="514">
        <f t="shared" si="57"/>
        <v>0</v>
      </c>
      <c r="P147" s="514">
        <f t="shared" si="58"/>
        <v>0</v>
      </c>
      <c r="Q147" s="269"/>
    </row>
    <row r="148" spans="2:17">
      <c r="B148" s="195" t="str">
        <f t="shared" si="59"/>
        <v/>
      </c>
      <c r="C148" s="507">
        <f>IF(D93="","-",+C147+1)</f>
        <v>2061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60"/>
        <v>0</v>
      </c>
      <c r="G148" s="523">
        <f t="shared" si="52"/>
        <v>0</v>
      </c>
      <c r="H148" s="526">
        <f t="shared" si="53"/>
        <v>0</v>
      </c>
      <c r="I148" s="577">
        <f t="shared" si="54"/>
        <v>0</v>
      </c>
      <c r="J148" s="514">
        <f t="shared" si="55"/>
        <v>0</v>
      </c>
      <c r="K148" s="514"/>
      <c r="L148" s="525"/>
      <c r="M148" s="514">
        <f t="shared" si="56"/>
        <v>0</v>
      </c>
      <c r="N148" s="525"/>
      <c r="O148" s="514">
        <f t="shared" si="57"/>
        <v>0</v>
      </c>
      <c r="P148" s="514">
        <f t="shared" si="58"/>
        <v>0</v>
      </c>
      <c r="Q148" s="269"/>
    </row>
    <row r="149" spans="2:17">
      <c r="B149" s="195" t="str">
        <f t="shared" si="59"/>
        <v/>
      </c>
      <c r="C149" s="507">
        <f>IF(D93="","-",+C148+1)</f>
        <v>2062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60"/>
        <v>0</v>
      </c>
      <c r="G149" s="523">
        <f t="shared" si="52"/>
        <v>0</v>
      </c>
      <c r="H149" s="526">
        <f t="shared" si="53"/>
        <v>0</v>
      </c>
      <c r="I149" s="577">
        <f t="shared" si="54"/>
        <v>0</v>
      </c>
      <c r="J149" s="514">
        <f t="shared" si="55"/>
        <v>0</v>
      </c>
      <c r="K149" s="514"/>
      <c r="L149" s="525"/>
      <c r="M149" s="514">
        <f t="shared" si="56"/>
        <v>0</v>
      </c>
      <c r="N149" s="525"/>
      <c r="O149" s="514">
        <f t="shared" si="57"/>
        <v>0</v>
      </c>
      <c r="P149" s="514">
        <f t="shared" si="58"/>
        <v>0</v>
      </c>
      <c r="Q149" s="269"/>
    </row>
    <row r="150" spans="2:17">
      <c r="B150" s="195" t="str">
        <f t="shared" si="59"/>
        <v/>
      </c>
      <c r="C150" s="507">
        <f>IF(D93="","-",+C149+1)</f>
        <v>2063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60"/>
        <v>0</v>
      </c>
      <c r="G150" s="523">
        <f t="shared" si="52"/>
        <v>0</v>
      </c>
      <c r="H150" s="526">
        <f t="shared" si="53"/>
        <v>0</v>
      </c>
      <c r="I150" s="577">
        <f t="shared" si="54"/>
        <v>0</v>
      </c>
      <c r="J150" s="514">
        <f t="shared" si="55"/>
        <v>0</v>
      </c>
      <c r="K150" s="514"/>
      <c r="L150" s="525"/>
      <c r="M150" s="514">
        <f t="shared" si="56"/>
        <v>0</v>
      </c>
      <c r="N150" s="525"/>
      <c r="O150" s="514">
        <f t="shared" si="57"/>
        <v>0</v>
      </c>
      <c r="P150" s="514">
        <f t="shared" si="58"/>
        <v>0</v>
      </c>
      <c r="Q150" s="269"/>
    </row>
    <row r="151" spans="2:17">
      <c r="B151" s="195" t="str">
        <f t="shared" si="59"/>
        <v/>
      </c>
      <c r="C151" s="507">
        <f>IF(D93="","-",+C150+1)</f>
        <v>2064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60"/>
        <v>0</v>
      </c>
      <c r="G151" s="523">
        <f t="shared" si="52"/>
        <v>0</v>
      </c>
      <c r="H151" s="526">
        <f t="shared" si="53"/>
        <v>0</v>
      </c>
      <c r="I151" s="577">
        <f t="shared" si="54"/>
        <v>0</v>
      </c>
      <c r="J151" s="514">
        <f t="shared" si="55"/>
        <v>0</v>
      </c>
      <c r="K151" s="514"/>
      <c r="L151" s="525"/>
      <c r="M151" s="514">
        <f t="shared" si="56"/>
        <v>0</v>
      </c>
      <c r="N151" s="525"/>
      <c r="O151" s="514">
        <f t="shared" si="57"/>
        <v>0</v>
      </c>
      <c r="P151" s="514">
        <f t="shared" si="58"/>
        <v>0</v>
      </c>
      <c r="Q151" s="269"/>
    </row>
    <row r="152" spans="2:17">
      <c r="B152" s="195" t="str">
        <f t="shared" si="59"/>
        <v/>
      </c>
      <c r="C152" s="507">
        <f>IF(D93="","-",+C151+1)</f>
        <v>2065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60"/>
        <v>0</v>
      </c>
      <c r="G152" s="523">
        <f t="shared" si="52"/>
        <v>0</v>
      </c>
      <c r="H152" s="526">
        <f t="shared" si="53"/>
        <v>0</v>
      </c>
      <c r="I152" s="577">
        <f t="shared" si="54"/>
        <v>0</v>
      </c>
      <c r="J152" s="514">
        <f t="shared" si="55"/>
        <v>0</v>
      </c>
      <c r="K152" s="514"/>
      <c r="L152" s="525"/>
      <c r="M152" s="514">
        <f t="shared" si="56"/>
        <v>0</v>
      </c>
      <c r="N152" s="525"/>
      <c r="O152" s="514">
        <f t="shared" si="57"/>
        <v>0</v>
      </c>
      <c r="P152" s="514">
        <f t="shared" si="58"/>
        <v>0</v>
      </c>
      <c r="Q152" s="269"/>
    </row>
    <row r="153" spans="2:17">
      <c r="B153" s="195" t="str">
        <f t="shared" si="59"/>
        <v/>
      </c>
      <c r="C153" s="507">
        <f>IF(D93="","-",+C152+1)</f>
        <v>2066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60"/>
        <v>0</v>
      </c>
      <c r="G153" s="523">
        <f t="shared" si="52"/>
        <v>0</v>
      </c>
      <c r="H153" s="526">
        <f t="shared" si="53"/>
        <v>0</v>
      </c>
      <c r="I153" s="577">
        <f t="shared" si="54"/>
        <v>0</v>
      </c>
      <c r="J153" s="514">
        <f t="shared" si="55"/>
        <v>0</v>
      </c>
      <c r="K153" s="514"/>
      <c r="L153" s="525"/>
      <c r="M153" s="514">
        <f t="shared" si="56"/>
        <v>0</v>
      </c>
      <c r="N153" s="525"/>
      <c r="O153" s="514">
        <f t="shared" si="57"/>
        <v>0</v>
      </c>
      <c r="P153" s="514">
        <f t="shared" si="58"/>
        <v>0</v>
      </c>
      <c r="Q153" s="269"/>
    </row>
    <row r="154" spans="2:17" ht="13.5" thickBot="1">
      <c r="B154" s="195" t="str">
        <f t="shared" si="59"/>
        <v/>
      </c>
      <c r="C154" s="527">
        <f>IF(D93="","-",+C153+1)</f>
        <v>2067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60"/>
        <v>0</v>
      </c>
      <c r="G154" s="528">
        <f t="shared" si="52"/>
        <v>0</v>
      </c>
      <c r="H154" s="530">
        <f t="shared" si="53"/>
        <v>0</v>
      </c>
      <c r="I154" s="579">
        <f t="shared" si="54"/>
        <v>0</v>
      </c>
      <c r="J154" s="533">
        <f t="shared" si="55"/>
        <v>0</v>
      </c>
      <c r="K154" s="514"/>
      <c r="L154" s="532"/>
      <c r="M154" s="533">
        <f t="shared" si="56"/>
        <v>0</v>
      </c>
      <c r="N154" s="532"/>
      <c r="O154" s="533">
        <f t="shared" si="57"/>
        <v>0</v>
      </c>
      <c r="P154" s="533">
        <f t="shared" si="58"/>
        <v>0</v>
      </c>
      <c r="Q154" s="269"/>
    </row>
    <row r="155" spans="2:17">
      <c r="C155" s="374" t="s">
        <v>78</v>
      </c>
      <c r="D155" s="375"/>
      <c r="E155" s="375">
        <f>SUM(E99:E154)</f>
        <v>47660029.000000007</v>
      </c>
      <c r="F155" s="375"/>
      <c r="G155" s="375"/>
      <c r="H155" s="375">
        <f>SUM(H99:H154)</f>
        <v>164608330.3562842</v>
      </c>
      <c r="I155" s="375">
        <f>SUM(I99:I154)</f>
        <v>164608330.3562842</v>
      </c>
      <c r="J155" s="375">
        <f>SUM(J99:J154)</f>
        <v>0</v>
      </c>
      <c r="K155" s="375"/>
      <c r="L155" s="375"/>
      <c r="M155" s="375"/>
      <c r="N155" s="375"/>
      <c r="O155" s="375"/>
      <c r="P155" s="269"/>
      <c r="Q155" s="269"/>
    </row>
    <row r="156" spans="2:17"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  <c r="Q156" s="269"/>
    </row>
    <row r="157" spans="2:17">
      <c r="C157" s="580" t="s">
        <v>92</v>
      </c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  <c r="Q157" s="269"/>
    </row>
    <row r="158" spans="2:17"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  <c r="Q158" s="269"/>
    </row>
    <row r="159" spans="2:17">
      <c r="C159" s="534" t="s">
        <v>97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  <c r="Q159" s="269"/>
    </row>
    <row r="160" spans="2:17">
      <c r="C160" s="581" t="s">
        <v>79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  <c r="Q160" s="269"/>
    </row>
    <row r="161" spans="3:17">
      <c r="C161" s="581" t="s">
        <v>80</v>
      </c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  <c r="Q161" s="269"/>
    </row>
    <row r="162" spans="3:17" ht="18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454" t="s">
        <v>131</v>
      </c>
      <c r="Q162" s="269"/>
    </row>
  </sheetData>
  <phoneticPr fontId="0" type="noConversion"/>
  <conditionalFormatting sqref="C17:C72">
    <cfRule type="cellIs" dxfId="103" priority="1" stopIfTrue="1" operator="equal">
      <formula>$I$10</formula>
    </cfRule>
  </conditionalFormatting>
  <conditionalFormatting sqref="C99:C154">
    <cfRule type="cellIs" dxfId="102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82"/>
  <dimension ref="A1:Q162"/>
  <sheetViews>
    <sheetView topLeftCell="A89" zoomScaleNormal="100" zoomScaleSheetLayoutView="75" workbookViewId="0">
      <selection activeCell="D99" sqref="D99:I109"/>
    </sheetView>
  </sheetViews>
  <sheetFormatPr defaultColWidth="8.7109375" defaultRowHeight="12.75" customHeight="1"/>
  <cols>
    <col min="1" max="1" width="4.7109375" style="183" customWidth="1"/>
    <col min="2" max="2" width="6.7109375" style="183" customWidth="1"/>
    <col min="3" max="3" width="23.28515625" style="183" customWidth="1"/>
    <col min="4" max="8" width="17.7109375" style="183" customWidth="1"/>
    <col min="9" max="9" width="20.42578125" style="183" customWidth="1"/>
    <col min="10" max="10" width="16.42578125" style="183" customWidth="1"/>
    <col min="11" max="11" width="17.7109375" style="183" customWidth="1"/>
    <col min="12" max="12" width="16.140625" style="183" customWidth="1"/>
    <col min="13" max="13" width="17.7109375" style="183" customWidth="1"/>
    <col min="14" max="14" width="16.140625" style="183" customWidth="1"/>
    <col min="15" max="15" width="16.85546875" style="183" customWidth="1"/>
    <col min="16" max="16" width="24.42578125" style="183" customWidth="1"/>
    <col min="17" max="17" width="4.7109375" style="183" customWidth="1"/>
    <col min="18" max="22" width="8.7109375" style="183"/>
    <col min="23" max="23" width="9.140625" style="183" customWidth="1"/>
    <col min="24" max="16384" width="8.7109375" style="183"/>
  </cols>
  <sheetData>
    <row r="1" spans="1:17" ht="20.25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31 of 75</v>
      </c>
      <c r="Q1" s="453"/>
    </row>
    <row r="2" spans="1:17" ht="18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454" t="s">
        <v>129</v>
      </c>
    </row>
    <row r="3" spans="1:17" ht="18.75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 t="str">
        <f>RIGHT(N3,3)</f>
        <v/>
      </c>
      <c r="P3" s="455">
        <v>1</v>
      </c>
    </row>
    <row r="4" spans="1:17" ht="15.75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7" ht="1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24851.183022536876</v>
      </c>
      <c r="P5" s="269"/>
    </row>
    <row r="6" spans="1:17" ht="15.7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24851.183022536876</v>
      </c>
      <c r="O6" s="269"/>
      <c r="P6" s="269"/>
    </row>
    <row r="7" spans="1:17" ht="13.5" thickBot="1">
      <c r="C7" s="467" t="s">
        <v>48</v>
      </c>
      <c r="D7" s="620" t="s">
        <v>285</v>
      </c>
      <c r="E7" s="269"/>
      <c r="F7" s="269"/>
      <c r="G7" s="534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7" ht="13.5" thickBot="1">
      <c r="C8" s="472"/>
      <c r="D8" s="599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7" ht="13.5" thickBot="1">
      <c r="A9" s="191"/>
      <c r="C9" s="476" t="s">
        <v>50</v>
      </c>
      <c r="D9" s="621" t="s">
        <v>284</v>
      </c>
      <c r="E9" s="666" t="s">
        <v>492</v>
      </c>
      <c r="F9" s="478"/>
      <c r="G9" s="478"/>
      <c r="H9" s="478"/>
      <c r="I9" s="479"/>
      <c r="J9" s="480"/>
      <c r="O9" s="481"/>
      <c r="P9" s="272"/>
    </row>
    <row r="10" spans="1:17">
      <c r="C10" s="482" t="s">
        <v>51</v>
      </c>
      <c r="D10" s="483">
        <v>230750</v>
      </c>
      <c r="E10" s="353" t="s">
        <v>52</v>
      </c>
      <c r="F10" s="481"/>
      <c r="G10" s="484"/>
      <c r="H10" s="484"/>
      <c r="I10" s="485">
        <f>+'SWE.WS.F.BPU.ATRR.Projected'!L19</f>
        <v>2024</v>
      </c>
      <c r="J10" s="480"/>
      <c r="K10" s="375" t="s">
        <v>53</v>
      </c>
      <c r="O10" s="272"/>
      <c r="P10" s="272"/>
    </row>
    <row r="11" spans="1:17">
      <c r="C11" s="486" t="s">
        <v>54</v>
      </c>
      <c r="D11" s="487">
        <v>2012</v>
      </c>
      <c r="E11" s="486" t="s">
        <v>55</v>
      </c>
      <c r="F11" s="484"/>
      <c r="G11" s="233"/>
      <c r="H11" s="233"/>
      <c r="I11" s="488"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7">
      <c r="C12" s="486" t="s">
        <v>56</v>
      </c>
      <c r="D12" s="483">
        <v>6</v>
      </c>
      <c r="E12" s="486" t="s">
        <v>57</v>
      </c>
      <c r="F12" s="484"/>
      <c r="G12" s="233"/>
      <c r="H12" s="233"/>
      <c r="I12" s="490">
        <f>'SWE.WS.F.BPU.ATRR.Projected'!$F$81</f>
        <v>0.11952713165403545</v>
      </c>
      <c r="J12" s="425"/>
      <c r="K12" s="183" t="s">
        <v>58</v>
      </c>
      <c r="O12" s="272"/>
      <c r="P12" s="272"/>
    </row>
    <row r="13" spans="1:17">
      <c r="C13" s="486" t="s">
        <v>59</v>
      </c>
      <c r="D13" s="488">
        <f>+'SWE.WS.F.BPU.ATRR.Projected'!F$93</f>
        <v>44</v>
      </c>
      <c r="E13" s="486" t="s">
        <v>60</v>
      </c>
      <c r="F13" s="484"/>
      <c r="G13" s="233"/>
      <c r="H13" s="233"/>
      <c r="I13" s="490">
        <f>IF(G5="",I12,'SWE.WS.F.BPU.ATRR.Projected'!$F$80)</f>
        <v>0.11952713165403545</v>
      </c>
      <c r="J13" s="425"/>
      <c r="K13" s="375" t="s">
        <v>61</v>
      </c>
      <c r="L13" s="324"/>
      <c r="M13" s="324"/>
      <c r="N13" s="324"/>
      <c r="O13" s="272"/>
      <c r="P13" s="272"/>
    </row>
    <row r="14" spans="1:17" ht="13.5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5244.318181818182</v>
      </c>
      <c r="J14" s="375"/>
      <c r="K14" s="375"/>
      <c r="L14" s="375"/>
      <c r="M14" s="375"/>
      <c r="N14" s="375"/>
      <c r="O14" s="272"/>
      <c r="P14" s="272"/>
    </row>
    <row r="15" spans="1:17" ht="38.25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388</v>
      </c>
      <c r="H15" s="495" t="s">
        <v>389</v>
      </c>
      <c r="I15" s="496" t="s">
        <v>260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7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>
      <c r="C17" s="507">
        <f>IF(D11= "","-",D11)</f>
        <v>2012</v>
      </c>
      <c r="D17" s="508">
        <v>284100</v>
      </c>
      <c r="E17" s="509">
        <v>3382.1428571428578</v>
      </c>
      <c r="F17" s="508">
        <v>280717.85714285716</v>
      </c>
      <c r="G17" s="509">
        <v>45130.541890843866</v>
      </c>
      <c r="H17" s="510">
        <v>45130.541890843866</v>
      </c>
      <c r="I17" s="617">
        <v>0</v>
      </c>
      <c r="J17" s="511"/>
      <c r="K17" s="512">
        <f t="shared" ref="K17:K22" si="0">G17</f>
        <v>45130.541890843866</v>
      </c>
      <c r="L17" s="597">
        <f t="shared" ref="L17:L48" si="1">IF(K17&lt;&gt;0,+G17-K17,0)</f>
        <v>0</v>
      </c>
      <c r="M17" s="512">
        <f t="shared" ref="M17:M22" si="2">H17</f>
        <v>45130.541890843866</v>
      </c>
      <c r="N17" s="513">
        <f t="shared" ref="N17:N48" si="3">IF(M17&lt;&gt;0,+H17-M17,0)</f>
        <v>0</v>
      </c>
      <c r="O17" s="514">
        <f t="shared" ref="O17:O48" si="4">+N17-L17</f>
        <v>0</v>
      </c>
      <c r="P17" s="272"/>
    </row>
    <row r="18" spans="2:16">
      <c r="B18" s="195" t="str">
        <f t="shared" ref="B18:B49" si="5">IF(D18=F17,"","IU")</f>
        <v>IU</v>
      </c>
      <c r="C18" s="507">
        <f>IF(D11="","-",+C17+1)</f>
        <v>2013</v>
      </c>
      <c r="D18" s="508">
        <v>227367.85714285713</v>
      </c>
      <c r="E18" s="516">
        <v>5494.0476190476193</v>
      </c>
      <c r="F18" s="508">
        <v>221873.8095238095</v>
      </c>
      <c r="G18" s="516">
        <v>36553.514803328042</v>
      </c>
      <c r="H18" s="510">
        <v>36553.514803328042</v>
      </c>
      <c r="I18" s="616">
        <v>0</v>
      </c>
      <c r="J18" s="511"/>
      <c r="K18" s="518">
        <f t="shared" si="0"/>
        <v>36553.514803328042</v>
      </c>
      <c r="L18" s="519">
        <f t="shared" ref="L18:L23" si="6">IF(K18&lt;&gt;0,+G18-K18,0)</f>
        <v>0</v>
      </c>
      <c r="M18" s="518">
        <f t="shared" si="2"/>
        <v>36553.514803328042</v>
      </c>
      <c r="N18" s="514">
        <f t="shared" ref="N18:N23" si="7">IF(M18&lt;&gt;0,+H18-M18,0)</f>
        <v>0</v>
      </c>
      <c r="O18" s="514">
        <f t="shared" ref="O18:O23" si="8">+N18-L18</f>
        <v>0</v>
      </c>
      <c r="P18" s="272"/>
    </row>
    <row r="19" spans="2:16">
      <c r="B19" s="195" t="str">
        <f t="shared" si="5"/>
        <v/>
      </c>
      <c r="C19" s="507">
        <f>IF(D11="","-",+C18+1)</f>
        <v>2014</v>
      </c>
      <c r="D19" s="508">
        <v>221873.8095238095</v>
      </c>
      <c r="E19" s="516">
        <v>5494.0476190476193</v>
      </c>
      <c r="F19" s="508">
        <v>216379.76190476186</v>
      </c>
      <c r="G19" s="516">
        <v>34685.951272631864</v>
      </c>
      <c r="H19" s="510">
        <v>34685.951272631864</v>
      </c>
      <c r="I19" s="616">
        <v>0</v>
      </c>
      <c r="J19" s="511"/>
      <c r="K19" s="518">
        <f t="shared" si="0"/>
        <v>34685.951272631864</v>
      </c>
      <c r="L19" s="519">
        <f t="shared" si="6"/>
        <v>0</v>
      </c>
      <c r="M19" s="518">
        <f t="shared" si="2"/>
        <v>34685.951272631864</v>
      </c>
      <c r="N19" s="514">
        <f t="shared" si="7"/>
        <v>0</v>
      </c>
      <c r="O19" s="514">
        <f t="shared" si="8"/>
        <v>0</v>
      </c>
      <c r="P19" s="272"/>
    </row>
    <row r="20" spans="2:16">
      <c r="B20" s="195" t="str">
        <f t="shared" si="5"/>
        <v/>
      </c>
      <c r="C20" s="507">
        <f>IF(D11="","-",+C19+1)</f>
        <v>2015</v>
      </c>
      <c r="D20" s="508">
        <v>216379.76190476186</v>
      </c>
      <c r="E20" s="516">
        <v>5494.0476190476193</v>
      </c>
      <c r="F20" s="508">
        <v>210885.71428571423</v>
      </c>
      <c r="G20" s="516">
        <v>33268.708647541804</v>
      </c>
      <c r="H20" s="510">
        <v>33268.708647541804</v>
      </c>
      <c r="I20" s="511">
        <v>0</v>
      </c>
      <c r="J20" s="511"/>
      <c r="K20" s="518">
        <f t="shared" si="0"/>
        <v>33268.708647541804</v>
      </c>
      <c r="L20" s="519">
        <f t="shared" si="6"/>
        <v>0</v>
      </c>
      <c r="M20" s="518">
        <f t="shared" si="2"/>
        <v>33268.708647541804</v>
      </c>
      <c r="N20" s="514">
        <f t="shared" si="7"/>
        <v>0</v>
      </c>
      <c r="O20" s="514">
        <f t="shared" si="8"/>
        <v>0</v>
      </c>
      <c r="P20" s="272"/>
    </row>
    <row r="21" spans="2:16">
      <c r="B21" s="195" t="str">
        <f t="shared" si="5"/>
        <v/>
      </c>
      <c r="C21" s="507">
        <f>IF(D12="","-",+C20+1)</f>
        <v>2016</v>
      </c>
      <c r="D21" s="508">
        <v>210885.71428571423</v>
      </c>
      <c r="E21" s="516">
        <v>5494.0476190476193</v>
      </c>
      <c r="F21" s="508">
        <v>205391.6666666666</v>
      </c>
      <c r="G21" s="516">
        <v>32211.390488141627</v>
      </c>
      <c r="H21" s="510">
        <v>32211.390488141627</v>
      </c>
      <c r="I21" s="511">
        <f t="shared" ref="I21:I48" si="9">H21-G21</f>
        <v>0</v>
      </c>
      <c r="J21" s="511"/>
      <c r="K21" s="518">
        <f t="shared" si="0"/>
        <v>32211.390488141627</v>
      </c>
      <c r="L21" s="519">
        <f t="shared" si="6"/>
        <v>0</v>
      </c>
      <c r="M21" s="518">
        <f t="shared" si="2"/>
        <v>32211.390488141627</v>
      </c>
      <c r="N21" s="514">
        <f t="shared" si="7"/>
        <v>0</v>
      </c>
      <c r="O21" s="514">
        <f t="shared" si="8"/>
        <v>0</v>
      </c>
      <c r="P21" s="272"/>
    </row>
    <row r="22" spans="2:16">
      <c r="B22" s="195" t="str">
        <f t="shared" si="5"/>
        <v/>
      </c>
      <c r="C22" s="507">
        <f>IF(D11="","-",+C21+1)</f>
        <v>2017</v>
      </c>
      <c r="D22" s="508">
        <v>205391.6666666666</v>
      </c>
      <c r="E22" s="516">
        <v>5366.2790697674418</v>
      </c>
      <c r="F22" s="508">
        <v>200025.38759689915</v>
      </c>
      <c r="G22" s="516">
        <v>30480.352081775804</v>
      </c>
      <c r="H22" s="510">
        <v>30480.352081775804</v>
      </c>
      <c r="I22" s="511">
        <f t="shared" si="9"/>
        <v>0</v>
      </c>
      <c r="J22" s="511"/>
      <c r="K22" s="518">
        <f t="shared" si="0"/>
        <v>30480.352081775804</v>
      </c>
      <c r="L22" s="519">
        <f t="shared" si="6"/>
        <v>0</v>
      </c>
      <c r="M22" s="518">
        <f t="shared" si="2"/>
        <v>30480.352081775804</v>
      </c>
      <c r="N22" s="514">
        <f t="shared" si="7"/>
        <v>0</v>
      </c>
      <c r="O22" s="514">
        <f t="shared" si="8"/>
        <v>0</v>
      </c>
      <c r="P22" s="272"/>
    </row>
    <row r="23" spans="2:16">
      <c r="B23" s="195" t="str">
        <f t="shared" si="5"/>
        <v/>
      </c>
      <c r="C23" s="507">
        <f>IF(D11="","-",+C22+1)</f>
        <v>2018</v>
      </c>
      <c r="D23" s="508">
        <v>200025.38759689915</v>
      </c>
      <c r="E23" s="516">
        <v>5628.0487804878048</v>
      </c>
      <c r="F23" s="508">
        <v>194397.33881641136</v>
      </c>
      <c r="G23" s="516">
        <v>30692.449285651339</v>
      </c>
      <c r="H23" s="510">
        <v>30692.449285651339</v>
      </c>
      <c r="I23" s="511">
        <f t="shared" si="9"/>
        <v>0</v>
      </c>
      <c r="J23" s="511"/>
      <c r="K23" s="518">
        <f t="shared" ref="K23:K28" si="10">G23</f>
        <v>30692.449285651339</v>
      </c>
      <c r="L23" s="519">
        <f t="shared" si="6"/>
        <v>0</v>
      </c>
      <c r="M23" s="518">
        <f t="shared" ref="M23:M28" si="11">H23</f>
        <v>30692.449285651339</v>
      </c>
      <c r="N23" s="514">
        <f t="shared" si="7"/>
        <v>0</v>
      </c>
      <c r="O23" s="514">
        <f t="shared" si="8"/>
        <v>0</v>
      </c>
      <c r="P23" s="272"/>
    </row>
    <row r="24" spans="2:16">
      <c r="B24" s="195" t="str">
        <f t="shared" si="5"/>
        <v/>
      </c>
      <c r="C24" s="507">
        <f>IF(D11="","-",+C23+1)</f>
        <v>2019</v>
      </c>
      <c r="D24" s="508">
        <v>194397.33881641136</v>
      </c>
      <c r="E24" s="516">
        <v>5628.0487804878048</v>
      </c>
      <c r="F24" s="508">
        <v>188769.29003592356</v>
      </c>
      <c r="G24" s="516">
        <v>29977.157497170956</v>
      </c>
      <c r="H24" s="510">
        <v>29977.157497170956</v>
      </c>
      <c r="I24" s="511">
        <f t="shared" si="9"/>
        <v>0</v>
      </c>
      <c r="J24" s="511"/>
      <c r="K24" s="518">
        <f t="shared" si="10"/>
        <v>29977.157497170956</v>
      </c>
      <c r="L24" s="519">
        <f t="shared" ref="L24" si="12">IF(K24&lt;&gt;0,+G24-K24,0)</f>
        <v>0</v>
      </c>
      <c r="M24" s="518">
        <f t="shared" si="11"/>
        <v>29977.157497170956</v>
      </c>
      <c r="N24" s="514">
        <f t="shared" si="3"/>
        <v>0</v>
      </c>
      <c r="O24" s="514">
        <f t="shared" si="4"/>
        <v>0</v>
      </c>
      <c r="P24" s="272"/>
    </row>
    <row r="25" spans="2:16">
      <c r="B25" s="195" t="str">
        <f t="shared" si="5"/>
        <v/>
      </c>
      <c r="C25" s="507">
        <f>IF(D11="","-",+C24+1)</f>
        <v>2020</v>
      </c>
      <c r="D25" s="508">
        <v>188769.29003592356</v>
      </c>
      <c r="E25" s="516">
        <v>5628.0487804878048</v>
      </c>
      <c r="F25" s="508">
        <v>183141.24125543577</v>
      </c>
      <c r="G25" s="516">
        <v>24657.865553316573</v>
      </c>
      <c r="H25" s="510">
        <v>24657.865553316573</v>
      </c>
      <c r="I25" s="511">
        <f t="shared" si="9"/>
        <v>0</v>
      </c>
      <c r="J25" s="511"/>
      <c r="K25" s="518">
        <f t="shared" si="10"/>
        <v>24657.865553316573</v>
      </c>
      <c r="L25" s="519">
        <f t="shared" ref="L25" si="13">IF(K25&lt;&gt;0,+G25-K25,0)</f>
        <v>0</v>
      </c>
      <c r="M25" s="518">
        <f t="shared" si="11"/>
        <v>24657.865553316573</v>
      </c>
      <c r="N25" s="514">
        <f t="shared" si="3"/>
        <v>0</v>
      </c>
      <c r="O25" s="514">
        <f t="shared" si="4"/>
        <v>0</v>
      </c>
      <c r="P25" s="272"/>
    </row>
    <row r="26" spans="2:16">
      <c r="B26" s="195" t="str">
        <f t="shared" si="5"/>
        <v>IU</v>
      </c>
      <c r="C26" s="507">
        <f>IF(D11="","-",+C25+1)</f>
        <v>2021</v>
      </c>
      <c r="D26" s="508">
        <v>183403.01096615617</v>
      </c>
      <c r="E26" s="516">
        <v>5494.0476190476193</v>
      </c>
      <c r="F26" s="508">
        <v>177908.96334710854</v>
      </c>
      <c r="G26" s="516">
        <v>24644.403346812211</v>
      </c>
      <c r="H26" s="510">
        <v>24644.403346812211</v>
      </c>
      <c r="I26" s="511">
        <f t="shared" si="9"/>
        <v>0</v>
      </c>
      <c r="J26" s="511"/>
      <c r="K26" s="518">
        <f t="shared" si="10"/>
        <v>24644.403346812211</v>
      </c>
      <c r="L26" s="519">
        <f t="shared" ref="L26" si="14">IF(K26&lt;&gt;0,+G26-K26,0)</f>
        <v>0</v>
      </c>
      <c r="M26" s="518">
        <f t="shared" si="11"/>
        <v>24644.403346812211</v>
      </c>
      <c r="N26" s="514">
        <f t="shared" si="3"/>
        <v>0</v>
      </c>
      <c r="O26" s="514">
        <f t="shared" si="4"/>
        <v>0</v>
      </c>
      <c r="P26" s="272"/>
    </row>
    <row r="27" spans="2:16">
      <c r="B27" s="195" t="str">
        <f t="shared" si="5"/>
        <v>IU</v>
      </c>
      <c r="C27" s="507">
        <f>IF(D11="","-",+C26+1)</f>
        <v>2022</v>
      </c>
      <c r="D27" s="508">
        <v>177647.1936363882</v>
      </c>
      <c r="E27" s="516">
        <v>5494.0476190476193</v>
      </c>
      <c r="F27" s="508">
        <v>172153.14601734056</v>
      </c>
      <c r="G27" s="516">
        <v>25160.539259925026</v>
      </c>
      <c r="H27" s="510">
        <v>25160.539259925026</v>
      </c>
      <c r="I27" s="511">
        <f t="shared" si="9"/>
        <v>0</v>
      </c>
      <c r="J27" s="511"/>
      <c r="K27" s="518">
        <f t="shared" si="10"/>
        <v>25160.539259925026</v>
      </c>
      <c r="L27" s="519">
        <f t="shared" ref="L27" si="15">IF(K27&lt;&gt;0,+G27-K27,0)</f>
        <v>0</v>
      </c>
      <c r="M27" s="518">
        <f t="shared" si="11"/>
        <v>25160.539259925026</v>
      </c>
      <c r="N27" s="514">
        <f t="shared" si="3"/>
        <v>0</v>
      </c>
      <c r="O27" s="514">
        <f t="shared" si="4"/>
        <v>0</v>
      </c>
      <c r="P27" s="272"/>
    </row>
    <row r="28" spans="2:16">
      <c r="B28" s="195" t="str">
        <f t="shared" si="5"/>
        <v/>
      </c>
      <c r="C28" s="507">
        <f>IF(D11="","-",+C27+1)</f>
        <v>2023</v>
      </c>
      <c r="D28" s="508">
        <v>172153.14601734056</v>
      </c>
      <c r="E28" s="516">
        <v>5494.0476190476193</v>
      </c>
      <c r="F28" s="508">
        <v>166659.09839829293</v>
      </c>
      <c r="G28" s="516">
        <v>26894.578901645269</v>
      </c>
      <c r="H28" s="510">
        <v>26894.578901645269</v>
      </c>
      <c r="I28" s="511">
        <f t="shared" si="9"/>
        <v>0</v>
      </c>
      <c r="J28" s="511"/>
      <c r="K28" s="518">
        <f t="shared" si="10"/>
        <v>26894.578901645269</v>
      </c>
      <c r="L28" s="519">
        <f t="shared" ref="L28" si="16">IF(K28&lt;&gt;0,+G28-K28,0)</f>
        <v>0</v>
      </c>
      <c r="M28" s="518">
        <f t="shared" si="11"/>
        <v>26894.578901645269</v>
      </c>
      <c r="N28" s="514">
        <f t="shared" ref="N28" si="17">IF(M28&lt;&gt;0,+H28-M28,0)</f>
        <v>0</v>
      </c>
      <c r="O28" s="514">
        <f t="shared" ref="O28" si="18">+N28-L28</f>
        <v>0</v>
      </c>
      <c r="P28" s="272"/>
    </row>
    <row r="29" spans="2:16">
      <c r="B29" s="195" t="str">
        <f t="shared" si="5"/>
        <v/>
      </c>
      <c r="C29" s="673">
        <f>IF(D11="","-",+C28+1)</f>
        <v>2024</v>
      </c>
      <c r="D29" s="523">
        <f>IF(F28+SUM(E$17:E28)=D$10,F28,D$10-SUM(E$17:E28))</f>
        <v>166659.09839829293</v>
      </c>
      <c r="E29" s="522">
        <f>IF(+I14&lt;F28,I14,D29)</f>
        <v>5244.318181818182</v>
      </c>
      <c r="F29" s="523">
        <f t="shared" ref="F29:F48" si="19">+D29-E29</f>
        <v>161414.78021647476</v>
      </c>
      <c r="G29" s="524">
        <f t="shared" ref="G29:G53" si="20">+I$12*((D29+F29)/2)+E29</f>
        <v>24851.183022536876</v>
      </c>
      <c r="H29" s="491">
        <f t="shared" ref="H29:H53" si="21">+I$13*((D29+F29)/2)+E29</f>
        <v>24851.183022536876</v>
      </c>
      <c r="I29" s="511">
        <f t="shared" si="9"/>
        <v>0</v>
      </c>
      <c r="J29" s="511"/>
      <c r="K29" s="525"/>
      <c r="L29" s="514">
        <f t="shared" si="1"/>
        <v>0</v>
      </c>
      <c r="M29" s="525"/>
      <c r="N29" s="514">
        <f t="shared" si="3"/>
        <v>0</v>
      </c>
      <c r="O29" s="514">
        <f t="shared" si="4"/>
        <v>0</v>
      </c>
      <c r="P29" s="272"/>
    </row>
    <row r="30" spans="2:16">
      <c r="B30" s="195" t="str">
        <f t="shared" si="5"/>
        <v/>
      </c>
      <c r="C30" s="507">
        <f>IF(D11="","-",+C29+1)</f>
        <v>2025</v>
      </c>
      <c r="D30" s="523">
        <f>IF(F29+SUM(E$17:E29)=D$10,F29,D$10-SUM(E$17:E29))</f>
        <v>161414.78021647476</v>
      </c>
      <c r="E30" s="522">
        <f>IF(+I14&lt;F29,I14,D30)</f>
        <v>5244.318181818182</v>
      </c>
      <c r="F30" s="523">
        <f t="shared" si="19"/>
        <v>156170.46203465658</v>
      </c>
      <c r="G30" s="524">
        <f t="shared" si="20"/>
        <v>24224.344712783037</v>
      </c>
      <c r="H30" s="491">
        <f t="shared" si="21"/>
        <v>24224.344712783037</v>
      </c>
      <c r="I30" s="511">
        <f t="shared" si="9"/>
        <v>0</v>
      </c>
      <c r="J30" s="511"/>
      <c r="K30" s="525"/>
      <c r="L30" s="514">
        <f t="shared" si="1"/>
        <v>0</v>
      </c>
      <c r="M30" s="525"/>
      <c r="N30" s="514">
        <f t="shared" si="3"/>
        <v>0</v>
      </c>
      <c r="O30" s="514">
        <f t="shared" si="4"/>
        <v>0</v>
      </c>
      <c r="P30" s="272"/>
    </row>
    <row r="31" spans="2:16">
      <c r="B31" s="195" t="str">
        <f t="shared" si="5"/>
        <v/>
      </c>
      <c r="C31" s="507">
        <f>IF(D11="","-",+C30+1)</f>
        <v>2026</v>
      </c>
      <c r="D31" s="523">
        <f>IF(F30+SUM(E$17:E30)=D$10,F30,D$10-SUM(E$17:E30))</f>
        <v>156170.46203465658</v>
      </c>
      <c r="E31" s="522">
        <f>IF(+I14&lt;F30,I14,D31)</f>
        <v>5244.318181818182</v>
      </c>
      <c r="F31" s="523">
        <f t="shared" si="19"/>
        <v>150926.1438528384</v>
      </c>
      <c r="G31" s="524">
        <f t="shared" si="20"/>
        <v>23597.506403029205</v>
      </c>
      <c r="H31" s="491">
        <f t="shared" si="21"/>
        <v>23597.506403029205</v>
      </c>
      <c r="I31" s="511">
        <f t="shared" si="9"/>
        <v>0</v>
      </c>
      <c r="J31" s="511"/>
      <c r="K31" s="525"/>
      <c r="L31" s="514">
        <f t="shared" si="1"/>
        <v>0</v>
      </c>
      <c r="M31" s="525"/>
      <c r="N31" s="514">
        <f t="shared" si="3"/>
        <v>0</v>
      </c>
      <c r="O31" s="514">
        <f t="shared" si="4"/>
        <v>0</v>
      </c>
      <c r="P31" s="272"/>
    </row>
    <row r="32" spans="2:16">
      <c r="B32" s="195" t="str">
        <f t="shared" si="5"/>
        <v/>
      </c>
      <c r="C32" s="507">
        <f>IF(D11="","-",+C31+1)</f>
        <v>2027</v>
      </c>
      <c r="D32" s="523">
        <f>IF(F31+SUM(E$17:E31)=D$10,F31,D$10-SUM(E$17:E31))</f>
        <v>150926.1438528384</v>
      </c>
      <c r="E32" s="522">
        <f>IF(+I14&lt;F31,I14,D32)</f>
        <v>5244.318181818182</v>
      </c>
      <c r="F32" s="523">
        <f t="shared" si="19"/>
        <v>145681.82567102023</v>
      </c>
      <c r="G32" s="524">
        <f t="shared" si="20"/>
        <v>22970.668093275373</v>
      </c>
      <c r="H32" s="491">
        <f t="shared" si="21"/>
        <v>22970.668093275373</v>
      </c>
      <c r="I32" s="511">
        <f t="shared" si="9"/>
        <v>0</v>
      </c>
      <c r="J32" s="511"/>
      <c r="K32" s="525"/>
      <c r="L32" s="514">
        <f t="shared" si="1"/>
        <v>0</v>
      </c>
      <c r="M32" s="525"/>
      <c r="N32" s="514">
        <f t="shared" si="3"/>
        <v>0</v>
      </c>
      <c r="O32" s="514">
        <f t="shared" si="4"/>
        <v>0</v>
      </c>
      <c r="P32" s="272"/>
    </row>
    <row r="33" spans="2:16">
      <c r="B33" s="195" t="str">
        <f t="shared" si="5"/>
        <v/>
      </c>
      <c r="C33" s="507">
        <f>IF(D11="","-",+C32+1)</f>
        <v>2028</v>
      </c>
      <c r="D33" s="523">
        <f>IF(F32+SUM(E$17:E32)=D$10,F32,D$10-SUM(E$17:E32))</f>
        <v>145681.82567102023</v>
      </c>
      <c r="E33" s="522">
        <f>IF(+I14&lt;F32,I14,D33)</f>
        <v>5244.318181818182</v>
      </c>
      <c r="F33" s="523">
        <f t="shared" si="19"/>
        <v>140437.50748920205</v>
      </c>
      <c r="G33" s="524">
        <f t="shared" si="20"/>
        <v>22343.829783521542</v>
      </c>
      <c r="H33" s="491">
        <f t="shared" si="21"/>
        <v>22343.829783521542</v>
      </c>
      <c r="I33" s="511">
        <f t="shared" si="9"/>
        <v>0</v>
      </c>
      <c r="J33" s="511"/>
      <c r="K33" s="525"/>
      <c r="L33" s="514">
        <f t="shared" si="1"/>
        <v>0</v>
      </c>
      <c r="M33" s="525"/>
      <c r="N33" s="514">
        <f t="shared" si="3"/>
        <v>0</v>
      </c>
      <c r="O33" s="514">
        <f t="shared" si="4"/>
        <v>0</v>
      </c>
      <c r="P33" s="272"/>
    </row>
    <row r="34" spans="2:16">
      <c r="B34" s="195" t="str">
        <f t="shared" si="5"/>
        <v/>
      </c>
      <c r="C34" s="507">
        <f>IF(D11="","-",+C33+1)</f>
        <v>2029</v>
      </c>
      <c r="D34" s="523">
        <f>IF(F33+SUM(E$17:E33)=D$10,F33,D$10-SUM(E$17:E33))</f>
        <v>140437.50748920205</v>
      </c>
      <c r="E34" s="522">
        <f>IF(+I14&lt;F33,I14,D34)</f>
        <v>5244.318181818182</v>
      </c>
      <c r="F34" s="523">
        <f t="shared" si="19"/>
        <v>135193.18930738387</v>
      </c>
      <c r="G34" s="524">
        <f t="shared" si="20"/>
        <v>21716.99147376771</v>
      </c>
      <c r="H34" s="491">
        <f t="shared" si="21"/>
        <v>21716.99147376771</v>
      </c>
      <c r="I34" s="511">
        <f t="shared" si="9"/>
        <v>0</v>
      </c>
      <c r="J34" s="511"/>
      <c r="K34" s="525"/>
      <c r="L34" s="514">
        <f t="shared" si="1"/>
        <v>0</v>
      </c>
      <c r="M34" s="525"/>
      <c r="N34" s="514">
        <f t="shared" si="3"/>
        <v>0</v>
      </c>
      <c r="O34" s="514">
        <f t="shared" si="4"/>
        <v>0</v>
      </c>
      <c r="P34" s="272"/>
    </row>
    <row r="35" spans="2:16">
      <c r="B35" s="195" t="str">
        <f t="shared" si="5"/>
        <v/>
      </c>
      <c r="C35" s="507">
        <f>IF(D11="","-",+C34+1)</f>
        <v>2030</v>
      </c>
      <c r="D35" s="523">
        <f>IF(F34+SUM(E$17:E34)=D$10,F34,D$10-SUM(E$17:E34))</f>
        <v>135193.18930738387</v>
      </c>
      <c r="E35" s="522">
        <f>IF(+I14&lt;F34,I14,D35)</f>
        <v>5244.318181818182</v>
      </c>
      <c r="F35" s="523">
        <f t="shared" si="19"/>
        <v>129948.8711255657</v>
      </c>
      <c r="G35" s="524">
        <f t="shared" si="20"/>
        <v>21090.153164013875</v>
      </c>
      <c r="H35" s="491">
        <f t="shared" si="21"/>
        <v>21090.153164013875</v>
      </c>
      <c r="I35" s="511">
        <f t="shared" si="9"/>
        <v>0</v>
      </c>
      <c r="J35" s="511"/>
      <c r="K35" s="525"/>
      <c r="L35" s="514">
        <f t="shared" si="1"/>
        <v>0</v>
      </c>
      <c r="M35" s="525"/>
      <c r="N35" s="514">
        <f t="shared" si="3"/>
        <v>0</v>
      </c>
      <c r="O35" s="514">
        <f t="shared" si="4"/>
        <v>0</v>
      </c>
      <c r="P35" s="272"/>
    </row>
    <row r="36" spans="2:16">
      <c r="B36" s="195" t="str">
        <f t="shared" si="5"/>
        <v/>
      </c>
      <c r="C36" s="507">
        <f>IF(D11="","-",+C35+1)</f>
        <v>2031</v>
      </c>
      <c r="D36" s="523">
        <f>IF(F35+SUM(E$17:E35)=D$10,F35,D$10-SUM(E$17:E35))</f>
        <v>129948.8711255657</v>
      </c>
      <c r="E36" s="522">
        <f>IF(+I14&lt;F35,I14,D36)</f>
        <v>5244.318181818182</v>
      </c>
      <c r="F36" s="523">
        <f t="shared" si="19"/>
        <v>124704.55294374752</v>
      </c>
      <c r="G36" s="524">
        <f t="shared" si="20"/>
        <v>20463.314854260039</v>
      </c>
      <c r="H36" s="491">
        <f t="shared" si="21"/>
        <v>20463.314854260039</v>
      </c>
      <c r="I36" s="511">
        <f t="shared" si="9"/>
        <v>0</v>
      </c>
      <c r="J36" s="511"/>
      <c r="K36" s="525"/>
      <c r="L36" s="514">
        <f t="shared" si="1"/>
        <v>0</v>
      </c>
      <c r="M36" s="525"/>
      <c r="N36" s="514">
        <f t="shared" si="3"/>
        <v>0</v>
      </c>
      <c r="O36" s="514">
        <f t="shared" si="4"/>
        <v>0</v>
      </c>
      <c r="P36" s="272"/>
    </row>
    <row r="37" spans="2:16">
      <c r="B37" s="195" t="str">
        <f t="shared" si="5"/>
        <v/>
      </c>
      <c r="C37" s="507">
        <f>IF(D11="","-",+C36+1)</f>
        <v>2032</v>
      </c>
      <c r="D37" s="523">
        <f>IF(F36+SUM(E$17:E36)=D$10,F36,D$10-SUM(E$17:E36))</f>
        <v>124704.55294374752</v>
      </c>
      <c r="E37" s="522">
        <f>IF(+I14&lt;F36,I14,D37)</f>
        <v>5244.318181818182</v>
      </c>
      <c r="F37" s="523">
        <f t="shared" si="19"/>
        <v>119460.23476192934</v>
      </c>
      <c r="G37" s="524">
        <f t="shared" si="20"/>
        <v>19836.476544506208</v>
      </c>
      <c r="H37" s="491">
        <f t="shared" si="21"/>
        <v>19836.476544506208</v>
      </c>
      <c r="I37" s="511">
        <f t="shared" si="9"/>
        <v>0</v>
      </c>
      <c r="J37" s="511"/>
      <c r="K37" s="525"/>
      <c r="L37" s="514">
        <f t="shared" si="1"/>
        <v>0</v>
      </c>
      <c r="M37" s="525"/>
      <c r="N37" s="514">
        <f t="shared" si="3"/>
        <v>0</v>
      </c>
      <c r="O37" s="514">
        <f t="shared" si="4"/>
        <v>0</v>
      </c>
      <c r="P37" s="272"/>
    </row>
    <row r="38" spans="2:16">
      <c r="B38" s="195" t="str">
        <f t="shared" si="5"/>
        <v/>
      </c>
      <c r="C38" s="507">
        <f>IF(D11="","-",+C37+1)</f>
        <v>2033</v>
      </c>
      <c r="D38" s="523">
        <f>IF(F37+SUM(E$17:E37)=D$10,F37,D$10-SUM(E$17:E37))</f>
        <v>119460.23476192934</v>
      </c>
      <c r="E38" s="522">
        <f>IF(+I14&lt;F37,I14,D38)</f>
        <v>5244.318181818182</v>
      </c>
      <c r="F38" s="523">
        <f t="shared" si="19"/>
        <v>114215.91658011117</v>
      </c>
      <c r="G38" s="524">
        <f t="shared" si="20"/>
        <v>19209.638234752376</v>
      </c>
      <c r="H38" s="491">
        <f t="shared" si="21"/>
        <v>19209.638234752376</v>
      </c>
      <c r="I38" s="511">
        <f t="shared" si="9"/>
        <v>0</v>
      </c>
      <c r="J38" s="511"/>
      <c r="K38" s="525"/>
      <c r="L38" s="514">
        <f t="shared" si="1"/>
        <v>0</v>
      </c>
      <c r="M38" s="525"/>
      <c r="N38" s="514">
        <f t="shared" si="3"/>
        <v>0</v>
      </c>
      <c r="O38" s="514">
        <f t="shared" si="4"/>
        <v>0</v>
      </c>
      <c r="P38" s="272"/>
    </row>
    <row r="39" spans="2:16">
      <c r="B39" s="195" t="str">
        <f t="shared" si="5"/>
        <v/>
      </c>
      <c r="C39" s="507">
        <f>IF(D11="","-",+C38+1)</f>
        <v>2034</v>
      </c>
      <c r="D39" s="523">
        <f>IF(F38+SUM(E$17:E38)=D$10,F38,D$10-SUM(E$17:E38))</f>
        <v>114215.91658011117</v>
      </c>
      <c r="E39" s="522">
        <f>IF(+I14&lt;F38,I14,D39)</f>
        <v>5244.318181818182</v>
      </c>
      <c r="F39" s="523">
        <f t="shared" si="19"/>
        <v>108971.59839829299</v>
      </c>
      <c r="G39" s="524">
        <f t="shared" si="20"/>
        <v>18582.799924998544</v>
      </c>
      <c r="H39" s="491">
        <f t="shared" si="21"/>
        <v>18582.799924998544</v>
      </c>
      <c r="I39" s="511">
        <f t="shared" si="9"/>
        <v>0</v>
      </c>
      <c r="J39" s="511"/>
      <c r="K39" s="525"/>
      <c r="L39" s="514">
        <f t="shared" si="1"/>
        <v>0</v>
      </c>
      <c r="M39" s="525"/>
      <c r="N39" s="514">
        <f t="shared" si="3"/>
        <v>0</v>
      </c>
      <c r="O39" s="514">
        <f t="shared" si="4"/>
        <v>0</v>
      </c>
      <c r="P39" s="272"/>
    </row>
    <row r="40" spans="2:16">
      <c r="B40" s="195" t="str">
        <f t="shared" si="5"/>
        <v/>
      </c>
      <c r="C40" s="507">
        <f>IF(D11="","-",+C39+1)</f>
        <v>2035</v>
      </c>
      <c r="D40" s="523">
        <f>IF(F39+SUM(E$17:E39)=D$10,F39,D$10-SUM(E$17:E39))</f>
        <v>108971.59839829299</v>
      </c>
      <c r="E40" s="522">
        <f>IF(+I14&lt;F39,I14,D40)</f>
        <v>5244.318181818182</v>
      </c>
      <c r="F40" s="523">
        <f t="shared" si="19"/>
        <v>103727.28021647481</v>
      </c>
      <c r="G40" s="524">
        <f t="shared" si="20"/>
        <v>17955.961615244712</v>
      </c>
      <c r="H40" s="491">
        <f t="shared" si="21"/>
        <v>17955.961615244712</v>
      </c>
      <c r="I40" s="511">
        <f t="shared" si="9"/>
        <v>0</v>
      </c>
      <c r="J40" s="511"/>
      <c r="K40" s="525"/>
      <c r="L40" s="514">
        <f t="shared" si="1"/>
        <v>0</v>
      </c>
      <c r="M40" s="525"/>
      <c r="N40" s="514">
        <f t="shared" si="3"/>
        <v>0</v>
      </c>
      <c r="O40" s="514">
        <f t="shared" si="4"/>
        <v>0</v>
      </c>
      <c r="P40" s="272"/>
    </row>
    <row r="41" spans="2:16">
      <c r="B41" s="195" t="str">
        <f t="shared" si="5"/>
        <v/>
      </c>
      <c r="C41" s="507">
        <f>IF(D11="","-",+C40+1)</f>
        <v>2036</v>
      </c>
      <c r="D41" s="523">
        <f>IF(F40+SUM(E$17:E40)=D$10,F40,D$10-SUM(E$17:E40))</f>
        <v>103727.28021647481</v>
      </c>
      <c r="E41" s="522">
        <f>IF(+I14&lt;F40,I14,D41)</f>
        <v>5244.318181818182</v>
      </c>
      <c r="F41" s="523">
        <f t="shared" si="19"/>
        <v>98482.962034656637</v>
      </c>
      <c r="G41" s="524">
        <f t="shared" si="20"/>
        <v>17329.123305490877</v>
      </c>
      <c r="H41" s="491">
        <f t="shared" si="21"/>
        <v>17329.123305490877</v>
      </c>
      <c r="I41" s="511">
        <f t="shared" si="9"/>
        <v>0</v>
      </c>
      <c r="J41" s="511"/>
      <c r="K41" s="525"/>
      <c r="L41" s="514">
        <f t="shared" si="1"/>
        <v>0</v>
      </c>
      <c r="M41" s="525"/>
      <c r="N41" s="514">
        <f t="shared" si="3"/>
        <v>0</v>
      </c>
      <c r="O41" s="514">
        <f t="shared" si="4"/>
        <v>0</v>
      </c>
      <c r="P41" s="272"/>
    </row>
    <row r="42" spans="2:16">
      <c r="B42" s="195" t="str">
        <f t="shared" si="5"/>
        <v/>
      </c>
      <c r="C42" s="507">
        <f>IF(D11="","-",+C41+1)</f>
        <v>2037</v>
      </c>
      <c r="D42" s="523">
        <f>IF(F41+SUM(E$17:E41)=D$10,F41,D$10-SUM(E$17:E41))</f>
        <v>98482.962034656637</v>
      </c>
      <c r="E42" s="522">
        <f>IF(+I14&lt;F41,I14,D42)</f>
        <v>5244.318181818182</v>
      </c>
      <c r="F42" s="523">
        <f t="shared" si="19"/>
        <v>93238.643852838461</v>
      </c>
      <c r="G42" s="524">
        <f t="shared" si="20"/>
        <v>16702.284995737042</v>
      </c>
      <c r="H42" s="491">
        <f t="shared" si="21"/>
        <v>16702.284995737042</v>
      </c>
      <c r="I42" s="511">
        <f t="shared" si="9"/>
        <v>0</v>
      </c>
      <c r="J42" s="511"/>
      <c r="K42" s="525"/>
      <c r="L42" s="514">
        <f t="shared" si="1"/>
        <v>0</v>
      </c>
      <c r="M42" s="525"/>
      <c r="N42" s="514">
        <f t="shared" si="3"/>
        <v>0</v>
      </c>
      <c r="O42" s="514">
        <f t="shared" si="4"/>
        <v>0</v>
      </c>
      <c r="P42" s="272"/>
    </row>
    <row r="43" spans="2:16">
      <c r="B43" s="195" t="str">
        <f t="shared" si="5"/>
        <v/>
      </c>
      <c r="C43" s="507">
        <f>IF(D11="","-",+C42+1)</f>
        <v>2038</v>
      </c>
      <c r="D43" s="523">
        <f>IF(F42+SUM(E$17:E42)=D$10,F42,D$10-SUM(E$17:E42))</f>
        <v>93238.643852838461</v>
      </c>
      <c r="E43" s="522">
        <f>IF(+I14&lt;F42,I14,D43)</f>
        <v>5244.318181818182</v>
      </c>
      <c r="F43" s="523">
        <f t="shared" si="19"/>
        <v>87994.325671020284</v>
      </c>
      <c r="G43" s="524">
        <f t="shared" si="20"/>
        <v>16075.44668598321</v>
      </c>
      <c r="H43" s="491">
        <f t="shared" si="21"/>
        <v>16075.44668598321</v>
      </c>
      <c r="I43" s="511">
        <f t="shared" si="9"/>
        <v>0</v>
      </c>
      <c r="J43" s="511"/>
      <c r="K43" s="525"/>
      <c r="L43" s="514">
        <f t="shared" si="1"/>
        <v>0</v>
      </c>
      <c r="M43" s="525"/>
      <c r="N43" s="514">
        <f t="shared" si="3"/>
        <v>0</v>
      </c>
      <c r="O43" s="514">
        <f t="shared" si="4"/>
        <v>0</v>
      </c>
      <c r="P43" s="272"/>
    </row>
    <row r="44" spans="2:16">
      <c r="B44" s="195" t="str">
        <f t="shared" si="5"/>
        <v/>
      </c>
      <c r="C44" s="507">
        <f>IF(D11="","-",+C43+1)</f>
        <v>2039</v>
      </c>
      <c r="D44" s="523">
        <f>IF(F43+SUM(E$17:E43)=D$10,F43,D$10-SUM(E$17:E43))</f>
        <v>87994.325671020284</v>
      </c>
      <c r="E44" s="522">
        <f>IF(+I14&lt;F43,I14,D44)</f>
        <v>5244.318181818182</v>
      </c>
      <c r="F44" s="523">
        <f t="shared" si="19"/>
        <v>82750.007489202108</v>
      </c>
      <c r="G44" s="524">
        <f t="shared" si="20"/>
        <v>15448.608376229378</v>
      </c>
      <c r="H44" s="491">
        <f t="shared" si="21"/>
        <v>15448.608376229378</v>
      </c>
      <c r="I44" s="511">
        <f t="shared" si="9"/>
        <v>0</v>
      </c>
      <c r="J44" s="511"/>
      <c r="K44" s="525"/>
      <c r="L44" s="514">
        <f t="shared" si="1"/>
        <v>0</v>
      </c>
      <c r="M44" s="525"/>
      <c r="N44" s="514">
        <f t="shared" si="3"/>
        <v>0</v>
      </c>
      <c r="O44" s="514">
        <f t="shared" si="4"/>
        <v>0</v>
      </c>
      <c r="P44" s="272"/>
    </row>
    <row r="45" spans="2:16">
      <c r="B45" s="195" t="str">
        <f t="shared" si="5"/>
        <v/>
      </c>
      <c r="C45" s="507">
        <f>IF(D11="","-",+C44+1)</f>
        <v>2040</v>
      </c>
      <c r="D45" s="523">
        <f>IF(F44+SUM(E$17:E44)=D$10,F44,D$10-SUM(E$17:E44))</f>
        <v>82750.007489202108</v>
      </c>
      <c r="E45" s="522">
        <f>IF(+I14&lt;F44,I14,D45)</f>
        <v>5244.318181818182</v>
      </c>
      <c r="F45" s="523">
        <f t="shared" si="19"/>
        <v>77505.689307383931</v>
      </c>
      <c r="G45" s="524">
        <f t="shared" si="20"/>
        <v>14821.770066475545</v>
      </c>
      <c r="H45" s="491">
        <f t="shared" si="21"/>
        <v>14821.770066475545</v>
      </c>
      <c r="I45" s="511">
        <f t="shared" si="9"/>
        <v>0</v>
      </c>
      <c r="J45" s="511"/>
      <c r="K45" s="525"/>
      <c r="L45" s="514">
        <f t="shared" si="1"/>
        <v>0</v>
      </c>
      <c r="M45" s="525"/>
      <c r="N45" s="514">
        <f t="shared" si="3"/>
        <v>0</v>
      </c>
      <c r="O45" s="514">
        <f t="shared" si="4"/>
        <v>0</v>
      </c>
      <c r="P45" s="272"/>
    </row>
    <row r="46" spans="2:16">
      <c r="B46" s="195" t="str">
        <f t="shared" si="5"/>
        <v/>
      </c>
      <c r="C46" s="507">
        <f>IF(D11="","-",+C45+1)</f>
        <v>2041</v>
      </c>
      <c r="D46" s="523">
        <f>IF(F45+SUM(E$17:E45)=D$10,F45,D$10-SUM(E$17:E45))</f>
        <v>77505.689307383931</v>
      </c>
      <c r="E46" s="522">
        <f>IF(+I14&lt;F45,I14,D46)</f>
        <v>5244.318181818182</v>
      </c>
      <c r="F46" s="523">
        <f t="shared" si="19"/>
        <v>72261.371125565754</v>
      </c>
      <c r="G46" s="524">
        <f t="shared" si="20"/>
        <v>14194.931756721711</v>
      </c>
      <c r="H46" s="491">
        <f t="shared" si="21"/>
        <v>14194.931756721711</v>
      </c>
      <c r="I46" s="511">
        <f t="shared" si="9"/>
        <v>0</v>
      </c>
      <c r="J46" s="511"/>
      <c r="K46" s="525"/>
      <c r="L46" s="514">
        <f t="shared" si="1"/>
        <v>0</v>
      </c>
      <c r="M46" s="525"/>
      <c r="N46" s="514">
        <f t="shared" si="3"/>
        <v>0</v>
      </c>
      <c r="O46" s="514">
        <f t="shared" si="4"/>
        <v>0</v>
      </c>
      <c r="P46" s="272"/>
    </row>
    <row r="47" spans="2:16">
      <c r="B47" s="195" t="str">
        <f t="shared" si="5"/>
        <v/>
      </c>
      <c r="C47" s="507">
        <f>IF(D11="","-",+C46+1)</f>
        <v>2042</v>
      </c>
      <c r="D47" s="523">
        <f>IF(F46+SUM(E$17:E46)=D$10,F46,D$10-SUM(E$17:E46))</f>
        <v>72261.371125565754</v>
      </c>
      <c r="E47" s="522">
        <f>IF(+I14&lt;F46,I14,D47)</f>
        <v>5244.318181818182</v>
      </c>
      <c r="F47" s="523">
        <f t="shared" si="19"/>
        <v>67017.052943747578</v>
      </c>
      <c r="G47" s="524">
        <f t="shared" si="20"/>
        <v>13568.09344696788</v>
      </c>
      <c r="H47" s="491">
        <f t="shared" si="21"/>
        <v>13568.09344696788</v>
      </c>
      <c r="I47" s="511">
        <f t="shared" si="9"/>
        <v>0</v>
      </c>
      <c r="J47" s="511"/>
      <c r="K47" s="525"/>
      <c r="L47" s="514">
        <f t="shared" si="1"/>
        <v>0</v>
      </c>
      <c r="M47" s="525"/>
      <c r="N47" s="514">
        <f t="shared" si="3"/>
        <v>0</v>
      </c>
      <c r="O47" s="514">
        <f t="shared" si="4"/>
        <v>0</v>
      </c>
      <c r="P47" s="272"/>
    </row>
    <row r="48" spans="2:16">
      <c r="B48" s="195" t="str">
        <f t="shared" si="5"/>
        <v/>
      </c>
      <c r="C48" s="507">
        <f>IF(D11="","-",+C47+1)</f>
        <v>2043</v>
      </c>
      <c r="D48" s="523">
        <f>IF(F47+SUM(E$17:E47)=D$10,F47,D$10-SUM(E$17:E47))</f>
        <v>67017.052943747578</v>
      </c>
      <c r="E48" s="522">
        <f>IF(+I14&lt;F47,I14,D48)</f>
        <v>5244.318181818182</v>
      </c>
      <c r="F48" s="523">
        <f t="shared" si="19"/>
        <v>61772.734761929394</v>
      </c>
      <c r="G48" s="524">
        <f t="shared" si="20"/>
        <v>12941.255137214046</v>
      </c>
      <c r="H48" s="491">
        <f t="shared" si="21"/>
        <v>12941.255137214046</v>
      </c>
      <c r="I48" s="511">
        <f t="shared" si="9"/>
        <v>0</v>
      </c>
      <c r="J48" s="511"/>
      <c r="K48" s="525"/>
      <c r="L48" s="514">
        <f t="shared" si="1"/>
        <v>0</v>
      </c>
      <c r="M48" s="525"/>
      <c r="N48" s="514">
        <f t="shared" si="3"/>
        <v>0</v>
      </c>
      <c r="O48" s="514">
        <f t="shared" si="4"/>
        <v>0</v>
      </c>
      <c r="P48" s="272"/>
    </row>
    <row r="49" spans="2:17">
      <c r="B49" s="195" t="str">
        <f t="shared" si="5"/>
        <v/>
      </c>
      <c r="C49" s="507">
        <f>IF(D11="","-",+C48+1)</f>
        <v>2044</v>
      </c>
      <c r="D49" s="523">
        <f>IF(F48+SUM(E$17:E48)=D$10,F48,D$10-SUM(E$17:E48))</f>
        <v>61772.734761929394</v>
      </c>
      <c r="E49" s="522">
        <f>IF(+I14&lt;F48,I14,D49)</f>
        <v>5244.318181818182</v>
      </c>
      <c r="F49" s="523">
        <f t="shared" ref="F49:F72" si="22">+D49-E49</f>
        <v>56528.41658011121</v>
      </c>
      <c r="G49" s="524">
        <f t="shared" si="20"/>
        <v>12314.416827460213</v>
      </c>
      <c r="H49" s="491">
        <f t="shared" si="21"/>
        <v>12314.416827460213</v>
      </c>
      <c r="I49" s="511">
        <f t="shared" ref="I49:I72" si="23">H49-G49</f>
        <v>0</v>
      </c>
      <c r="J49" s="511"/>
      <c r="K49" s="525"/>
      <c r="L49" s="514">
        <f t="shared" ref="L49:L72" si="24">IF(K49&lt;&gt;0,+G49-K49,0)</f>
        <v>0</v>
      </c>
      <c r="M49" s="525"/>
      <c r="N49" s="514">
        <f t="shared" ref="N49:N72" si="25">IF(M49&lt;&gt;0,+H49-M49,0)</f>
        <v>0</v>
      </c>
      <c r="O49" s="514">
        <f t="shared" ref="O49:O72" si="26">+N49-L49</f>
        <v>0</v>
      </c>
      <c r="P49" s="272"/>
    </row>
    <row r="50" spans="2:17">
      <c r="B50" s="195" t="str">
        <f t="shared" ref="B50:B72" si="27">IF(D50=F49,"","IU")</f>
        <v/>
      </c>
      <c r="C50" s="507">
        <f>IF(D11="","-",+C49+1)</f>
        <v>2045</v>
      </c>
      <c r="D50" s="523">
        <f>IF(F49+SUM(E$17:E49)=D$10,F49,D$10-SUM(E$17:E49))</f>
        <v>56528.41658011121</v>
      </c>
      <c r="E50" s="522">
        <f>IF(+I14&lt;F49,I14,D50)</f>
        <v>5244.318181818182</v>
      </c>
      <c r="F50" s="523">
        <f t="shared" si="22"/>
        <v>51284.098398293027</v>
      </c>
      <c r="G50" s="524">
        <f t="shared" si="20"/>
        <v>11687.578517706377</v>
      </c>
      <c r="H50" s="491">
        <f t="shared" si="21"/>
        <v>11687.578517706377</v>
      </c>
      <c r="I50" s="511">
        <f t="shared" si="23"/>
        <v>0</v>
      </c>
      <c r="J50" s="511"/>
      <c r="K50" s="525"/>
      <c r="L50" s="514">
        <f t="shared" si="24"/>
        <v>0</v>
      </c>
      <c r="M50" s="525"/>
      <c r="N50" s="514">
        <f t="shared" si="25"/>
        <v>0</v>
      </c>
      <c r="O50" s="514">
        <f t="shared" si="26"/>
        <v>0</v>
      </c>
      <c r="P50" s="272"/>
    </row>
    <row r="51" spans="2:17">
      <c r="B51" s="195" t="str">
        <f t="shared" si="27"/>
        <v/>
      </c>
      <c r="C51" s="507">
        <f>IF(D11="","-",+C50+1)</f>
        <v>2046</v>
      </c>
      <c r="D51" s="523">
        <f>IF(F50+SUM(E$17:E50)=D$10,F50,D$10-SUM(E$17:E50))</f>
        <v>51284.098398293027</v>
      </c>
      <c r="E51" s="522">
        <f>IF(+I14&lt;F50,I14,D51)</f>
        <v>5244.318181818182</v>
      </c>
      <c r="F51" s="523">
        <f t="shared" si="22"/>
        <v>46039.780216474843</v>
      </c>
      <c r="G51" s="524">
        <f t="shared" si="20"/>
        <v>11060.740207952544</v>
      </c>
      <c r="H51" s="491">
        <f t="shared" si="21"/>
        <v>11060.740207952544</v>
      </c>
      <c r="I51" s="511">
        <f t="shared" si="23"/>
        <v>0</v>
      </c>
      <c r="J51" s="511"/>
      <c r="K51" s="525"/>
      <c r="L51" s="514">
        <f t="shared" si="24"/>
        <v>0</v>
      </c>
      <c r="M51" s="525"/>
      <c r="N51" s="514">
        <f t="shared" si="25"/>
        <v>0</v>
      </c>
      <c r="O51" s="514">
        <f t="shared" si="26"/>
        <v>0</v>
      </c>
      <c r="P51" s="272"/>
    </row>
    <row r="52" spans="2:17">
      <c r="B52" s="195" t="str">
        <f t="shared" si="27"/>
        <v/>
      </c>
      <c r="C52" s="507">
        <f>IF(D11="","-",+C51+1)</f>
        <v>2047</v>
      </c>
      <c r="D52" s="523">
        <f>IF(F51+SUM(E$17:E51)=D$10,F51,D$10-SUM(E$17:E51))</f>
        <v>46039.780216474843</v>
      </c>
      <c r="E52" s="522">
        <f>IF(+I14&lt;F51,I14,D52)</f>
        <v>5244.318181818182</v>
      </c>
      <c r="F52" s="523">
        <f t="shared" si="22"/>
        <v>40795.462034656659</v>
      </c>
      <c r="G52" s="524">
        <f t="shared" si="20"/>
        <v>10433.90189819871</v>
      </c>
      <c r="H52" s="491">
        <f t="shared" si="21"/>
        <v>10433.90189819871</v>
      </c>
      <c r="I52" s="511">
        <f t="shared" si="23"/>
        <v>0</v>
      </c>
      <c r="J52" s="511"/>
      <c r="K52" s="525"/>
      <c r="L52" s="514">
        <f t="shared" si="24"/>
        <v>0</v>
      </c>
      <c r="M52" s="525"/>
      <c r="N52" s="514">
        <f t="shared" si="25"/>
        <v>0</v>
      </c>
      <c r="O52" s="514">
        <f t="shared" si="26"/>
        <v>0</v>
      </c>
      <c r="P52" s="272"/>
    </row>
    <row r="53" spans="2:17">
      <c r="B53" s="195" t="str">
        <f t="shared" si="27"/>
        <v/>
      </c>
      <c r="C53" s="507">
        <f>IF(D11="","-",+C52+1)</f>
        <v>2048</v>
      </c>
      <c r="D53" s="523">
        <f>IF(F52+SUM(E$17:E52)=D$10,F52,D$10-SUM(E$17:E52))</f>
        <v>40795.462034656659</v>
      </c>
      <c r="E53" s="522">
        <f>IF(+I14&lt;F52,I14,D53)</f>
        <v>5244.318181818182</v>
      </c>
      <c r="F53" s="523">
        <f t="shared" si="22"/>
        <v>35551.143852838475</v>
      </c>
      <c r="G53" s="524">
        <f t="shared" si="20"/>
        <v>9807.0635884448748</v>
      </c>
      <c r="H53" s="491">
        <f t="shared" si="21"/>
        <v>9807.0635884448748</v>
      </c>
      <c r="I53" s="511">
        <f t="shared" si="23"/>
        <v>0</v>
      </c>
      <c r="J53" s="511"/>
      <c r="K53" s="525"/>
      <c r="L53" s="514">
        <f t="shared" si="24"/>
        <v>0</v>
      </c>
      <c r="M53" s="525"/>
      <c r="N53" s="514">
        <f t="shared" si="25"/>
        <v>0</v>
      </c>
      <c r="O53" s="514">
        <f t="shared" si="26"/>
        <v>0</v>
      </c>
      <c r="P53" s="272"/>
    </row>
    <row r="54" spans="2:17">
      <c r="B54" s="195" t="str">
        <f t="shared" si="27"/>
        <v/>
      </c>
      <c r="C54" s="507">
        <f>IF(D11="","-",+C53+1)</f>
        <v>2049</v>
      </c>
      <c r="D54" s="523">
        <f>IF(F53+SUM(E$17:E53)=D$10,F53,D$10-SUM(E$17:E53))</f>
        <v>35551.143852838475</v>
      </c>
      <c r="E54" s="522">
        <f>IF(+I14&lt;F53,I14,D54)</f>
        <v>5244.318181818182</v>
      </c>
      <c r="F54" s="523">
        <f t="shared" si="22"/>
        <v>30306.825671020291</v>
      </c>
      <c r="G54" s="524">
        <f t="shared" ref="G54:G72" si="28">+I$12*((D54+F54)/2)+E54</f>
        <v>9180.2252786910431</v>
      </c>
      <c r="H54" s="491">
        <f t="shared" ref="H54:H72" si="29">+I$13*((D54+F54)/2)+E54</f>
        <v>9180.2252786910431</v>
      </c>
      <c r="I54" s="511">
        <f t="shared" si="23"/>
        <v>0</v>
      </c>
      <c r="J54" s="511"/>
      <c r="K54" s="525"/>
      <c r="L54" s="514">
        <f t="shared" si="24"/>
        <v>0</v>
      </c>
      <c r="M54" s="525"/>
      <c r="N54" s="514">
        <f t="shared" si="25"/>
        <v>0</v>
      </c>
      <c r="O54" s="514">
        <f t="shared" si="26"/>
        <v>0</v>
      </c>
      <c r="P54" s="272"/>
    </row>
    <row r="55" spans="2:17">
      <c r="B55" s="195" t="str">
        <f t="shared" si="27"/>
        <v/>
      </c>
      <c r="C55" s="507">
        <f>IF(D11="","-",+C54+1)</f>
        <v>2050</v>
      </c>
      <c r="D55" s="523">
        <f>IF(F54+SUM(E$17:E54)=D$10,F54,D$10-SUM(E$17:E54))</f>
        <v>30306.825671020291</v>
      </c>
      <c r="E55" s="522">
        <f>IF(+I14&lt;F54,I14,D55)</f>
        <v>5244.318181818182</v>
      </c>
      <c r="F55" s="523">
        <f t="shared" si="22"/>
        <v>25062.507489202108</v>
      </c>
      <c r="G55" s="524">
        <f t="shared" si="28"/>
        <v>8553.3869689372077</v>
      </c>
      <c r="H55" s="491">
        <f t="shared" si="29"/>
        <v>8553.3869689372077</v>
      </c>
      <c r="I55" s="511">
        <f t="shared" si="23"/>
        <v>0</v>
      </c>
      <c r="J55" s="511"/>
      <c r="K55" s="525"/>
      <c r="L55" s="514">
        <f t="shared" si="24"/>
        <v>0</v>
      </c>
      <c r="M55" s="525"/>
      <c r="N55" s="514">
        <f t="shared" si="25"/>
        <v>0</v>
      </c>
      <c r="O55" s="514">
        <f t="shared" si="26"/>
        <v>0</v>
      </c>
      <c r="P55" s="272"/>
    </row>
    <row r="56" spans="2:17">
      <c r="B56" s="195" t="str">
        <f t="shared" si="27"/>
        <v/>
      </c>
      <c r="C56" s="507">
        <f>IF(D11="","-",+C55+1)</f>
        <v>2051</v>
      </c>
      <c r="D56" s="523">
        <f>IF(F55+SUM(E$17:E55)=D$10,F55,D$10-SUM(E$17:E55))</f>
        <v>25062.507489202108</v>
      </c>
      <c r="E56" s="522">
        <f>IF(+I14&lt;F55,I14,D56)</f>
        <v>5244.318181818182</v>
      </c>
      <c r="F56" s="523">
        <f t="shared" si="22"/>
        <v>19818.189307383924</v>
      </c>
      <c r="G56" s="524">
        <f t="shared" si="28"/>
        <v>7926.5486591833742</v>
      </c>
      <c r="H56" s="491">
        <f t="shared" si="29"/>
        <v>7926.5486591833742</v>
      </c>
      <c r="I56" s="511">
        <f t="shared" si="23"/>
        <v>0</v>
      </c>
      <c r="J56" s="511"/>
      <c r="K56" s="525"/>
      <c r="L56" s="514">
        <f t="shared" si="24"/>
        <v>0</v>
      </c>
      <c r="M56" s="525"/>
      <c r="N56" s="514">
        <f t="shared" si="25"/>
        <v>0</v>
      </c>
      <c r="O56" s="514">
        <f t="shared" si="26"/>
        <v>0</v>
      </c>
      <c r="P56" s="272"/>
    </row>
    <row r="57" spans="2:17">
      <c r="B57" s="195" t="str">
        <f t="shared" si="27"/>
        <v/>
      </c>
      <c r="C57" s="507">
        <f>IF(D11="","-",+C56+1)</f>
        <v>2052</v>
      </c>
      <c r="D57" s="523">
        <f>IF(F56+SUM(E$17:E56)=D$10,F56,D$10-SUM(E$17:E56))</f>
        <v>19818.189307383924</v>
      </c>
      <c r="E57" s="522">
        <f>IF(+I14&lt;F56,I14,D57)</f>
        <v>5244.318181818182</v>
      </c>
      <c r="F57" s="523">
        <f t="shared" si="22"/>
        <v>14573.871125565742</v>
      </c>
      <c r="G57" s="524">
        <f t="shared" si="28"/>
        <v>7299.7103494295407</v>
      </c>
      <c r="H57" s="491">
        <f t="shared" si="29"/>
        <v>7299.7103494295407</v>
      </c>
      <c r="I57" s="511">
        <f t="shared" si="23"/>
        <v>0</v>
      </c>
      <c r="J57" s="511"/>
      <c r="K57" s="525"/>
      <c r="L57" s="514">
        <f t="shared" si="24"/>
        <v>0</v>
      </c>
      <c r="M57" s="525"/>
      <c r="N57" s="514">
        <f t="shared" si="25"/>
        <v>0</v>
      </c>
      <c r="O57" s="514">
        <f t="shared" si="26"/>
        <v>0</v>
      </c>
      <c r="P57" s="272"/>
    </row>
    <row r="58" spans="2:17">
      <c r="B58" s="195" t="str">
        <f t="shared" si="27"/>
        <v/>
      </c>
      <c r="C58" s="507">
        <f>IF(D11="","-",+C57+1)</f>
        <v>2053</v>
      </c>
      <c r="D58" s="523">
        <f>IF(F57+SUM(E$17:E57)=D$10,F57,D$10-SUM(E$17:E57))</f>
        <v>14573.871125565742</v>
      </c>
      <c r="E58" s="522">
        <f>IF(+I14&lt;F57,I14,D58)</f>
        <v>5244.318181818182</v>
      </c>
      <c r="F58" s="523">
        <f t="shared" si="22"/>
        <v>9329.5529437475598</v>
      </c>
      <c r="G58" s="524">
        <f t="shared" si="28"/>
        <v>6672.8720396757071</v>
      </c>
      <c r="H58" s="491">
        <f t="shared" si="29"/>
        <v>6672.8720396757071</v>
      </c>
      <c r="I58" s="511">
        <f t="shared" si="23"/>
        <v>0</v>
      </c>
      <c r="J58" s="511"/>
      <c r="K58" s="525"/>
      <c r="L58" s="514">
        <f t="shared" si="24"/>
        <v>0</v>
      </c>
      <c r="M58" s="525"/>
      <c r="N58" s="514">
        <f t="shared" si="25"/>
        <v>0</v>
      </c>
      <c r="O58" s="514">
        <f t="shared" si="26"/>
        <v>0</v>
      </c>
      <c r="P58" s="272"/>
      <c r="Q58" s="183" t="str">
        <f>IF(ROUND(Q57,0)=ROUND(SUM(Q18:Q56),0),"","Error -- check allocations above).")</f>
        <v/>
      </c>
    </row>
    <row r="59" spans="2:17">
      <c r="B59" s="195" t="str">
        <f t="shared" si="27"/>
        <v/>
      </c>
      <c r="C59" s="507">
        <f>IF(D11="","-",+C58+1)</f>
        <v>2054</v>
      </c>
      <c r="D59" s="523">
        <f>IF(F58+SUM(E$17:E58)=D$10,F58,D$10-SUM(E$17:E58))</f>
        <v>9329.5529437475598</v>
      </c>
      <c r="E59" s="522">
        <f>IF(+I14&lt;F58,I14,D59)</f>
        <v>5244.318181818182</v>
      </c>
      <c r="F59" s="523">
        <f t="shared" si="22"/>
        <v>4085.2347619293778</v>
      </c>
      <c r="G59" s="524">
        <f t="shared" si="28"/>
        <v>6046.0337299218736</v>
      </c>
      <c r="H59" s="491">
        <f t="shared" si="29"/>
        <v>6046.0337299218736</v>
      </c>
      <c r="I59" s="511">
        <f t="shared" si="23"/>
        <v>0</v>
      </c>
      <c r="J59" s="511"/>
      <c r="K59" s="525"/>
      <c r="L59" s="514">
        <f t="shared" si="24"/>
        <v>0</v>
      </c>
      <c r="M59" s="525"/>
      <c r="N59" s="514">
        <f t="shared" si="25"/>
        <v>0</v>
      </c>
      <c r="O59" s="514">
        <f t="shared" si="26"/>
        <v>0</v>
      </c>
      <c r="P59" s="272"/>
    </row>
    <row r="60" spans="2:17">
      <c r="B60" s="195" t="str">
        <f t="shared" si="27"/>
        <v/>
      </c>
      <c r="C60" s="507">
        <f>IF(D11="","-",+C59+1)</f>
        <v>2055</v>
      </c>
      <c r="D60" s="523">
        <f>IF(F59+SUM(E$17:E59)=D$10,F59,D$10-SUM(E$17:E59))</f>
        <v>4085.2347619293778</v>
      </c>
      <c r="E60" s="522">
        <f>IF(+I14&lt;F59,I14,D60)</f>
        <v>4085.2347619293778</v>
      </c>
      <c r="F60" s="523">
        <f t="shared" si="22"/>
        <v>0</v>
      </c>
      <c r="G60" s="524">
        <f t="shared" si="28"/>
        <v>4329.3829585427657</v>
      </c>
      <c r="H60" s="491">
        <f t="shared" si="29"/>
        <v>4329.3829585427657</v>
      </c>
      <c r="I60" s="511">
        <f t="shared" si="23"/>
        <v>0</v>
      </c>
      <c r="J60" s="511"/>
      <c r="K60" s="525"/>
      <c r="L60" s="514">
        <f t="shared" si="24"/>
        <v>0</v>
      </c>
      <c r="M60" s="525"/>
      <c r="N60" s="514">
        <f t="shared" si="25"/>
        <v>0</v>
      </c>
      <c r="O60" s="514">
        <f t="shared" si="26"/>
        <v>0</v>
      </c>
      <c r="P60" s="272"/>
    </row>
    <row r="61" spans="2:17">
      <c r="B61" s="195" t="str">
        <f t="shared" si="27"/>
        <v/>
      </c>
      <c r="C61" s="507">
        <f>IF(D11="","-",+C60+1)</f>
        <v>2056</v>
      </c>
      <c r="D61" s="523">
        <f>IF(F60+SUM(E$17:E60)=D$10,F60,D$10-SUM(E$17:E60))</f>
        <v>0</v>
      </c>
      <c r="E61" s="522">
        <f>IF(+I14&lt;F60,I14,D61)</f>
        <v>0</v>
      </c>
      <c r="F61" s="523">
        <f t="shared" si="22"/>
        <v>0</v>
      </c>
      <c r="G61" s="526">
        <f t="shared" si="28"/>
        <v>0</v>
      </c>
      <c r="H61" s="491">
        <f t="shared" si="29"/>
        <v>0</v>
      </c>
      <c r="I61" s="511">
        <f t="shared" si="23"/>
        <v>0</v>
      </c>
      <c r="J61" s="511"/>
      <c r="K61" s="525"/>
      <c r="L61" s="514">
        <f t="shared" si="24"/>
        <v>0</v>
      </c>
      <c r="M61" s="525"/>
      <c r="N61" s="514">
        <f t="shared" si="25"/>
        <v>0</v>
      </c>
      <c r="O61" s="514">
        <f t="shared" si="26"/>
        <v>0</v>
      </c>
      <c r="P61" s="272"/>
    </row>
    <row r="62" spans="2:17">
      <c r="B62" s="195" t="str">
        <f t="shared" si="27"/>
        <v/>
      </c>
      <c r="C62" s="507">
        <f>IF(D11="","-",+C61+1)</f>
        <v>2057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22"/>
        <v>0</v>
      </c>
      <c r="G62" s="526">
        <f t="shared" si="28"/>
        <v>0</v>
      </c>
      <c r="H62" s="491">
        <f t="shared" si="29"/>
        <v>0</v>
      </c>
      <c r="I62" s="511">
        <f t="shared" si="23"/>
        <v>0</v>
      </c>
      <c r="J62" s="511"/>
      <c r="K62" s="525"/>
      <c r="L62" s="514">
        <f t="shared" si="24"/>
        <v>0</v>
      </c>
      <c r="M62" s="525"/>
      <c r="N62" s="514">
        <f t="shared" si="25"/>
        <v>0</v>
      </c>
      <c r="O62" s="514">
        <f t="shared" si="26"/>
        <v>0</v>
      </c>
      <c r="P62" s="272"/>
    </row>
    <row r="63" spans="2:17">
      <c r="B63" s="195" t="str">
        <f t="shared" si="27"/>
        <v/>
      </c>
      <c r="C63" s="507">
        <f>IF(D11="","-",+C62+1)</f>
        <v>2058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22"/>
        <v>0</v>
      </c>
      <c r="G63" s="526">
        <f t="shared" si="28"/>
        <v>0</v>
      </c>
      <c r="H63" s="491">
        <f t="shared" si="29"/>
        <v>0</v>
      </c>
      <c r="I63" s="511">
        <f t="shared" si="23"/>
        <v>0</v>
      </c>
      <c r="J63" s="511"/>
      <c r="K63" s="525"/>
      <c r="L63" s="514">
        <f t="shared" si="24"/>
        <v>0</v>
      </c>
      <c r="M63" s="525"/>
      <c r="N63" s="514">
        <f t="shared" si="25"/>
        <v>0</v>
      </c>
      <c r="O63" s="514">
        <f t="shared" si="26"/>
        <v>0</v>
      </c>
      <c r="P63" s="272"/>
    </row>
    <row r="64" spans="2:17">
      <c r="B64" s="195" t="str">
        <f t="shared" si="27"/>
        <v/>
      </c>
      <c r="C64" s="507">
        <f>IF(D11="","-",+C63+1)</f>
        <v>2059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22"/>
        <v>0</v>
      </c>
      <c r="G64" s="526">
        <f t="shared" si="28"/>
        <v>0</v>
      </c>
      <c r="H64" s="491">
        <f t="shared" si="29"/>
        <v>0</v>
      </c>
      <c r="I64" s="511">
        <f t="shared" si="23"/>
        <v>0</v>
      </c>
      <c r="J64" s="511"/>
      <c r="K64" s="525"/>
      <c r="L64" s="514">
        <f t="shared" si="24"/>
        <v>0</v>
      </c>
      <c r="M64" s="525"/>
      <c r="N64" s="514">
        <f t="shared" si="25"/>
        <v>0</v>
      </c>
      <c r="O64" s="514">
        <f t="shared" si="26"/>
        <v>0</v>
      </c>
      <c r="P64" s="272"/>
    </row>
    <row r="65" spans="1:16">
      <c r="B65" s="195" t="str">
        <f t="shared" si="27"/>
        <v/>
      </c>
      <c r="C65" s="507">
        <f>IF(D11="","-",+C64+1)</f>
        <v>2060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22"/>
        <v>0</v>
      </c>
      <c r="G65" s="526">
        <f t="shared" si="28"/>
        <v>0</v>
      </c>
      <c r="H65" s="491">
        <f t="shared" si="29"/>
        <v>0</v>
      </c>
      <c r="I65" s="511">
        <f t="shared" si="23"/>
        <v>0</v>
      </c>
      <c r="J65" s="511"/>
      <c r="K65" s="525"/>
      <c r="L65" s="514">
        <f t="shared" si="24"/>
        <v>0</v>
      </c>
      <c r="M65" s="525"/>
      <c r="N65" s="514">
        <f t="shared" si="25"/>
        <v>0</v>
      </c>
      <c r="O65" s="514">
        <f t="shared" si="26"/>
        <v>0</v>
      </c>
      <c r="P65" s="272"/>
    </row>
    <row r="66" spans="1:16">
      <c r="B66" s="195" t="str">
        <f t="shared" si="27"/>
        <v/>
      </c>
      <c r="C66" s="507">
        <f>IF(D11="","-",+C65+1)</f>
        <v>2061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22"/>
        <v>0</v>
      </c>
      <c r="G66" s="526">
        <f t="shared" si="28"/>
        <v>0</v>
      </c>
      <c r="H66" s="491">
        <f t="shared" si="29"/>
        <v>0</v>
      </c>
      <c r="I66" s="511">
        <f t="shared" si="23"/>
        <v>0</v>
      </c>
      <c r="J66" s="511"/>
      <c r="K66" s="525"/>
      <c r="L66" s="514">
        <f t="shared" si="24"/>
        <v>0</v>
      </c>
      <c r="M66" s="525"/>
      <c r="N66" s="514">
        <f t="shared" si="25"/>
        <v>0</v>
      </c>
      <c r="O66" s="514">
        <f t="shared" si="26"/>
        <v>0</v>
      </c>
      <c r="P66" s="272"/>
    </row>
    <row r="67" spans="1:16">
      <c r="B67" s="195" t="str">
        <f t="shared" si="27"/>
        <v/>
      </c>
      <c r="C67" s="507">
        <f>IF(D11="","-",+C66+1)</f>
        <v>2062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22"/>
        <v>0</v>
      </c>
      <c r="G67" s="526">
        <f t="shared" si="28"/>
        <v>0</v>
      </c>
      <c r="H67" s="491">
        <f t="shared" si="29"/>
        <v>0</v>
      </c>
      <c r="I67" s="511">
        <f t="shared" si="23"/>
        <v>0</v>
      </c>
      <c r="J67" s="511"/>
      <c r="K67" s="525"/>
      <c r="L67" s="514">
        <f t="shared" si="24"/>
        <v>0</v>
      </c>
      <c r="M67" s="525"/>
      <c r="N67" s="514">
        <f t="shared" si="25"/>
        <v>0</v>
      </c>
      <c r="O67" s="514">
        <f t="shared" si="26"/>
        <v>0</v>
      </c>
      <c r="P67" s="272"/>
    </row>
    <row r="68" spans="1:16">
      <c r="B68" s="195" t="str">
        <f t="shared" si="27"/>
        <v/>
      </c>
      <c r="C68" s="507">
        <f>IF(D11="","-",+C67+1)</f>
        <v>2063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22"/>
        <v>0</v>
      </c>
      <c r="G68" s="526">
        <f t="shared" si="28"/>
        <v>0</v>
      </c>
      <c r="H68" s="491">
        <f t="shared" si="29"/>
        <v>0</v>
      </c>
      <c r="I68" s="511">
        <f t="shared" si="23"/>
        <v>0</v>
      </c>
      <c r="J68" s="511"/>
      <c r="K68" s="525"/>
      <c r="L68" s="514">
        <f t="shared" si="24"/>
        <v>0</v>
      </c>
      <c r="M68" s="525"/>
      <c r="N68" s="514">
        <f t="shared" si="25"/>
        <v>0</v>
      </c>
      <c r="O68" s="514">
        <f t="shared" si="26"/>
        <v>0</v>
      </c>
      <c r="P68" s="272"/>
    </row>
    <row r="69" spans="1:16">
      <c r="B69" s="195" t="str">
        <f t="shared" si="27"/>
        <v/>
      </c>
      <c r="C69" s="507">
        <f>IF(D11="","-",+C68+1)</f>
        <v>2064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22"/>
        <v>0</v>
      </c>
      <c r="G69" s="526">
        <f t="shared" si="28"/>
        <v>0</v>
      </c>
      <c r="H69" s="491">
        <f t="shared" si="29"/>
        <v>0</v>
      </c>
      <c r="I69" s="511">
        <f t="shared" si="23"/>
        <v>0</v>
      </c>
      <c r="J69" s="511"/>
      <c r="K69" s="525"/>
      <c r="L69" s="514">
        <f t="shared" si="24"/>
        <v>0</v>
      </c>
      <c r="M69" s="525"/>
      <c r="N69" s="514">
        <f t="shared" si="25"/>
        <v>0</v>
      </c>
      <c r="O69" s="514">
        <f t="shared" si="26"/>
        <v>0</v>
      </c>
      <c r="P69" s="272"/>
    </row>
    <row r="70" spans="1:16">
      <c r="B70" s="195" t="str">
        <f t="shared" si="27"/>
        <v/>
      </c>
      <c r="C70" s="507">
        <f>IF(D11="","-",+C69+1)</f>
        <v>2065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22"/>
        <v>0</v>
      </c>
      <c r="G70" s="526">
        <f t="shared" si="28"/>
        <v>0</v>
      </c>
      <c r="H70" s="491">
        <f t="shared" si="29"/>
        <v>0</v>
      </c>
      <c r="I70" s="511">
        <f t="shared" si="23"/>
        <v>0</v>
      </c>
      <c r="J70" s="511"/>
      <c r="K70" s="525"/>
      <c r="L70" s="514">
        <f t="shared" si="24"/>
        <v>0</v>
      </c>
      <c r="M70" s="525"/>
      <c r="N70" s="514">
        <f t="shared" si="25"/>
        <v>0</v>
      </c>
      <c r="O70" s="514">
        <f t="shared" si="26"/>
        <v>0</v>
      </c>
      <c r="P70" s="272"/>
    </row>
    <row r="71" spans="1:16">
      <c r="B71" s="195" t="str">
        <f t="shared" si="27"/>
        <v/>
      </c>
      <c r="C71" s="507">
        <f>IF(D11="","-",+C70+1)</f>
        <v>2066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22"/>
        <v>0</v>
      </c>
      <c r="G71" s="526">
        <f t="shared" si="28"/>
        <v>0</v>
      </c>
      <c r="H71" s="491">
        <f t="shared" si="29"/>
        <v>0</v>
      </c>
      <c r="I71" s="511">
        <f t="shared" si="23"/>
        <v>0</v>
      </c>
      <c r="J71" s="511"/>
      <c r="K71" s="525"/>
      <c r="L71" s="514">
        <f t="shared" si="24"/>
        <v>0</v>
      </c>
      <c r="M71" s="525"/>
      <c r="N71" s="514">
        <f t="shared" si="25"/>
        <v>0</v>
      </c>
      <c r="O71" s="514">
        <f t="shared" si="26"/>
        <v>0</v>
      </c>
      <c r="P71" s="272"/>
    </row>
    <row r="72" spans="1:16" ht="13.5" thickBot="1">
      <c r="B72" s="195" t="str">
        <f t="shared" si="27"/>
        <v/>
      </c>
      <c r="C72" s="527">
        <f>IF(D11="","-",+C71+1)</f>
        <v>2067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22"/>
        <v>0</v>
      </c>
      <c r="G72" s="530">
        <f t="shared" si="28"/>
        <v>0</v>
      </c>
      <c r="H72" s="471">
        <f t="shared" si="29"/>
        <v>0</v>
      </c>
      <c r="I72" s="531">
        <f t="shared" si="23"/>
        <v>0</v>
      </c>
      <c r="J72" s="511"/>
      <c r="K72" s="532"/>
      <c r="L72" s="533">
        <f t="shared" si="24"/>
        <v>0</v>
      </c>
      <c r="M72" s="532"/>
      <c r="N72" s="533">
        <f t="shared" si="25"/>
        <v>0</v>
      </c>
      <c r="O72" s="533">
        <f t="shared" si="26"/>
        <v>0</v>
      </c>
      <c r="P72" s="272"/>
    </row>
    <row r="73" spans="1:16">
      <c r="C73" s="374" t="s">
        <v>78</v>
      </c>
      <c r="D73" s="375"/>
      <c r="E73" s="375">
        <f>SUM(E17:E72)</f>
        <v>230749.99999999991</v>
      </c>
      <c r="F73" s="375"/>
      <c r="G73" s="375">
        <f>SUM(G17:G72)</f>
        <v>857593.69565043773</v>
      </c>
      <c r="H73" s="375">
        <f>SUM(H17:H72)</f>
        <v>857593.69565043773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1:16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1:16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1:16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1:16" ht="18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535"/>
      <c r="P77" s="272"/>
    </row>
    <row r="78" spans="1:16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1:16" ht="15">
      <c r="A79" s="536"/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</row>
    <row r="80" spans="1:16" ht="18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7">
      <c r="B81" s="269"/>
      <c r="C81" s="537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7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  <c r="Q82" s="269"/>
    </row>
    <row r="83" spans="1:17" ht="20.25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535" t="str">
        <f ca="1">P1</f>
        <v>SWEPCO Project 31 of 75</v>
      </c>
      <c r="Q83" s="269"/>
    </row>
    <row r="84" spans="1:17" ht="18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454" t="s">
        <v>128</v>
      </c>
      <c r="Q84" s="269"/>
    </row>
    <row r="85" spans="1:17" ht="18.7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  <c r="Q85" s="269"/>
    </row>
    <row r="86" spans="1:17" ht="15.75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2022</v>
      </c>
      <c r="M86" s="541" t="s">
        <v>9</v>
      </c>
      <c r="N86" s="542" t="s">
        <v>159</v>
      </c>
      <c r="O86" s="543" t="s">
        <v>11</v>
      </c>
      <c r="P86" s="269"/>
      <c r="Q86" s="269"/>
    </row>
    <row r="87" spans="1:17" ht="1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391</v>
      </c>
      <c r="M87" s="546">
        <f>IF(J92&lt;D11,0,VLOOKUP(J92,C17:O72,9))</f>
        <v>25160.539259925026</v>
      </c>
      <c r="N87" s="546">
        <f>IF(J92&lt;D11,0,VLOOKUP(J92,C17:O72,11))</f>
        <v>25160.539259925026</v>
      </c>
      <c r="O87" s="547">
        <f>+N87-M87</f>
        <v>0</v>
      </c>
      <c r="P87" s="269"/>
      <c r="Q87" s="269"/>
    </row>
    <row r="88" spans="1:17" ht="15.7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392</v>
      </c>
      <c r="M88" s="550">
        <f>IF(J92&lt;D11,0,VLOOKUP(J92,C99:P154,6))</f>
        <v>26158.530421053958</v>
      </c>
      <c r="N88" s="550">
        <f>IF(J92&lt;D11,0,VLOOKUP(J92,C99:P154,7))</f>
        <v>26158.530421053958</v>
      </c>
      <c r="O88" s="551">
        <f>+N88-M88</f>
        <v>0</v>
      </c>
      <c r="P88" s="269"/>
      <c r="Q88" s="269"/>
    </row>
    <row r="89" spans="1:17" ht="13.5" thickBot="1">
      <c r="C89" s="467" t="s">
        <v>84</v>
      </c>
      <c r="D89" s="620" t="str">
        <f>D7</f>
        <v>Lone Star South - Pittsburg 138 kV - Replace Wavetraps, reset CT's and Relays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997.99116112893171</v>
      </c>
      <c r="N89" s="555">
        <f>+N88-N87</f>
        <v>997.99116112893171</v>
      </c>
      <c r="O89" s="556">
        <f>+O88-O87</f>
        <v>0</v>
      </c>
      <c r="P89" s="269"/>
      <c r="Q89" s="269"/>
    </row>
    <row r="90" spans="1:17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  <c r="Q90" s="269"/>
    </row>
    <row r="91" spans="1:17" ht="13.5" thickBot="1">
      <c r="A91" s="191"/>
      <c r="C91" s="558" t="s">
        <v>85</v>
      </c>
      <c r="D91" s="559" t="str">
        <f>+D9</f>
        <v>TP2009100</v>
      </c>
      <c r="E91" s="560"/>
      <c r="F91" s="560"/>
      <c r="G91" s="560"/>
      <c r="H91" s="560"/>
      <c r="I91" s="560"/>
      <c r="J91" s="561"/>
      <c r="K91" s="562"/>
      <c r="P91" s="481"/>
      <c r="Q91" s="269"/>
    </row>
    <row r="92" spans="1:17">
      <c r="C92" s="486" t="s">
        <v>51</v>
      </c>
      <c r="D92" s="483">
        <f>IF(D11=I10,0,D10)</f>
        <v>230750</v>
      </c>
      <c r="E92" s="340" t="s">
        <v>86</v>
      </c>
      <c r="H92" s="484"/>
      <c r="I92" s="484"/>
      <c r="J92" s="485">
        <f>+'SWE.WS.G.BPU.ATRR.True-up'!M16</f>
        <v>2022</v>
      </c>
      <c r="K92" s="480"/>
      <c r="L92" s="375" t="s">
        <v>87</v>
      </c>
      <c r="P92" s="272"/>
      <c r="Q92" s="269"/>
    </row>
    <row r="93" spans="1:17">
      <c r="C93" s="486" t="s">
        <v>54</v>
      </c>
      <c r="D93" s="563">
        <f>IF(D11=I10,"",D11)</f>
        <v>2012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  <c r="Q93" s="269"/>
    </row>
    <row r="94" spans="1:17">
      <c r="C94" s="486" t="s">
        <v>56</v>
      </c>
      <c r="D94" s="564">
        <f>IF(D11=I10,"",D12)</f>
        <v>6</v>
      </c>
      <c r="E94" s="486" t="s">
        <v>57</v>
      </c>
      <c r="F94" s="484"/>
      <c r="G94" s="484"/>
      <c r="J94" s="490">
        <f>'SWE.WS.G.BPU.ATRR.True-up'!$F$81</f>
        <v>0.11351422637179906</v>
      </c>
      <c r="K94" s="425"/>
      <c r="L94" s="183" t="s">
        <v>88</v>
      </c>
      <c r="P94" s="272"/>
      <c r="Q94" s="269"/>
    </row>
    <row r="95" spans="1:17">
      <c r="C95" s="486" t="s">
        <v>59</v>
      </c>
      <c r="D95" s="488">
        <f>'SWE.WS.G.BPU.ATRR.True-up'!F$93</f>
        <v>41</v>
      </c>
      <c r="E95" s="486" t="s">
        <v>60</v>
      </c>
      <c r="F95" s="484"/>
      <c r="G95" s="484"/>
      <c r="J95" s="490">
        <f>IF(H87="",J94,'SWE.WS.G.BPU.ATRR.True-up'!$F$80)</f>
        <v>0.11351422637179906</v>
      </c>
      <c r="K95" s="324"/>
      <c r="L95" s="375" t="s">
        <v>61</v>
      </c>
      <c r="M95" s="324"/>
      <c r="N95" s="324"/>
      <c r="O95" s="324"/>
      <c r="P95" s="272"/>
      <c r="Q95" s="269"/>
    </row>
    <row r="96" spans="1:17" ht="13.5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5628.0487804878048</v>
      </c>
      <c r="K96" s="375"/>
      <c r="L96" s="375"/>
      <c r="M96" s="375"/>
      <c r="N96" s="375"/>
      <c r="O96" s="375"/>
      <c r="P96" s="272"/>
      <c r="Q96" s="269"/>
    </row>
    <row r="97" spans="1:17" ht="38.25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388</v>
      </c>
      <c r="I97" s="495" t="s">
        <v>389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  <c r="Q97" s="269"/>
    </row>
    <row r="98" spans="1:17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  <c r="Q98" s="269"/>
    </row>
    <row r="99" spans="1:17">
      <c r="C99" s="507">
        <f>IF(D93= "","-",D93)</f>
        <v>2012</v>
      </c>
      <c r="D99" s="508">
        <v>0</v>
      </c>
      <c r="E99" s="516">
        <v>2747.0238095238096</v>
      </c>
      <c r="F99" s="515">
        <v>228002.97619047618</v>
      </c>
      <c r="G99" s="574">
        <v>114001.48809523809</v>
      </c>
      <c r="H99" s="575">
        <v>19522.791013350252</v>
      </c>
      <c r="I99" s="576">
        <v>19522.791013350252</v>
      </c>
      <c r="J99" s="514">
        <f t="shared" ref="J99:J130" si="30">+I99-H99</f>
        <v>0</v>
      </c>
      <c r="K99" s="514"/>
      <c r="L99" s="512">
        <f t="shared" ref="L99:L104" si="31">H99</f>
        <v>19522.791013350252</v>
      </c>
      <c r="M99" s="597">
        <f t="shared" ref="M99:M130" si="32">IF(L99&lt;&gt;0,+H99-L99,0)</f>
        <v>0</v>
      </c>
      <c r="N99" s="512">
        <f t="shared" ref="N99:N104" si="33">I99</f>
        <v>19522.791013350252</v>
      </c>
      <c r="O99" s="513">
        <f t="shared" ref="O99:O130" si="34">IF(N99&lt;&gt;0,+I99-N99,0)</f>
        <v>0</v>
      </c>
      <c r="P99" s="513">
        <f t="shared" ref="P99:P130" si="35">+O99-M99</f>
        <v>0</v>
      </c>
      <c r="Q99" s="269"/>
    </row>
    <row r="100" spans="1:17">
      <c r="B100" s="195" t="str">
        <f t="shared" ref="B100:B131" si="36">IF(D100=F99,"","IU")</f>
        <v/>
      </c>
      <c r="C100" s="507">
        <f>IF(D93="","-",+C99+1)</f>
        <v>2013</v>
      </c>
      <c r="D100" s="508">
        <v>228002.97619047618</v>
      </c>
      <c r="E100" s="516">
        <v>5494.0476190476193</v>
      </c>
      <c r="F100" s="515">
        <v>222508.92857142855</v>
      </c>
      <c r="G100" s="515">
        <v>225255.95238095237</v>
      </c>
      <c r="H100" s="575">
        <v>35969.308872002533</v>
      </c>
      <c r="I100" s="576">
        <v>35969.308872002533</v>
      </c>
      <c r="J100" s="514">
        <v>0</v>
      </c>
      <c r="K100" s="514"/>
      <c r="L100" s="518">
        <f t="shared" si="31"/>
        <v>35969.308872002533</v>
      </c>
      <c r="M100" s="519">
        <f t="shared" ref="M100:M105" si="37">IF(L100&lt;&gt;0,+H100-L100,0)</f>
        <v>0</v>
      </c>
      <c r="N100" s="518">
        <f t="shared" si="33"/>
        <v>35969.308872002533</v>
      </c>
      <c r="O100" s="514">
        <f>IF(N100&lt;&gt;0,+I100-N100,0)</f>
        <v>0</v>
      </c>
      <c r="P100" s="514">
        <f>+O100-M100</f>
        <v>0</v>
      </c>
      <c r="Q100" s="269"/>
    </row>
    <row r="101" spans="1:17">
      <c r="B101" s="195" t="str">
        <f t="shared" si="36"/>
        <v/>
      </c>
      <c r="C101" s="507">
        <f>IF(D93="","-",+C100+1)</f>
        <v>2014</v>
      </c>
      <c r="D101" s="508">
        <v>222508.92857142855</v>
      </c>
      <c r="E101" s="516">
        <v>5494.0476190476193</v>
      </c>
      <c r="F101" s="515">
        <v>217014.88095238092</v>
      </c>
      <c r="G101" s="515">
        <v>219761.90476190473</v>
      </c>
      <c r="H101" s="575">
        <v>35364.846038717165</v>
      </c>
      <c r="I101" s="576">
        <v>35364.846038717165</v>
      </c>
      <c r="J101" s="514">
        <v>0</v>
      </c>
      <c r="K101" s="514"/>
      <c r="L101" s="518">
        <f t="shared" si="31"/>
        <v>35364.846038717165</v>
      </c>
      <c r="M101" s="519">
        <f t="shared" si="37"/>
        <v>0</v>
      </c>
      <c r="N101" s="518">
        <f t="shared" si="33"/>
        <v>35364.846038717165</v>
      </c>
      <c r="O101" s="514">
        <f>IF(N101&lt;&gt;0,+I101-N101,0)</f>
        <v>0</v>
      </c>
      <c r="P101" s="514">
        <f>+O101-M101</f>
        <v>0</v>
      </c>
      <c r="Q101" s="269"/>
    </row>
    <row r="102" spans="1:17">
      <c r="B102" s="195" t="str">
        <f t="shared" si="36"/>
        <v/>
      </c>
      <c r="C102" s="507">
        <f>IF(D93="","-",+C101+1)</f>
        <v>2015</v>
      </c>
      <c r="D102" s="508">
        <v>217014.88095238092</v>
      </c>
      <c r="E102" s="516">
        <v>5494.0476190476193</v>
      </c>
      <c r="F102" s="515">
        <v>211520.83333333328</v>
      </c>
      <c r="G102" s="515">
        <v>214267.8571428571</v>
      </c>
      <c r="H102" s="575">
        <v>33727.882719440844</v>
      </c>
      <c r="I102" s="576">
        <v>33727.882719440844</v>
      </c>
      <c r="J102" s="514">
        <f t="shared" si="30"/>
        <v>0</v>
      </c>
      <c r="K102" s="514"/>
      <c r="L102" s="518">
        <f t="shared" si="31"/>
        <v>33727.882719440844</v>
      </c>
      <c r="M102" s="519">
        <f t="shared" si="37"/>
        <v>0</v>
      </c>
      <c r="N102" s="518">
        <f t="shared" si="33"/>
        <v>33727.882719440844</v>
      </c>
      <c r="O102" s="514">
        <f>IF(N102&lt;&gt;0,+I102-N102,0)</f>
        <v>0</v>
      </c>
      <c r="P102" s="514">
        <f>+O102-M102</f>
        <v>0</v>
      </c>
      <c r="Q102" s="269"/>
    </row>
    <row r="103" spans="1:17">
      <c r="B103" s="195" t="str">
        <f t="shared" si="36"/>
        <v/>
      </c>
      <c r="C103" s="507">
        <f>IF(D93="","-",+C102+1)</f>
        <v>2016</v>
      </c>
      <c r="D103" s="508">
        <v>211520.83333333328</v>
      </c>
      <c r="E103" s="516">
        <v>5366.2790697674418</v>
      </c>
      <c r="F103" s="515">
        <v>206154.55426356583</v>
      </c>
      <c r="G103" s="515">
        <v>208837.69379844956</v>
      </c>
      <c r="H103" s="575">
        <v>31878.22185164913</v>
      </c>
      <c r="I103" s="576">
        <v>31878.22185164913</v>
      </c>
      <c r="J103" s="514">
        <f t="shared" si="30"/>
        <v>0</v>
      </c>
      <c r="K103" s="514"/>
      <c r="L103" s="518">
        <f t="shared" si="31"/>
        <v>31878.22185164913</v>
      </c>
      <c r="M103" s="519">
        <f t="shared" si="37"/>
        <v>0</v>
      </c>
      <c r="N103" s="518">
        <f t="shared" si="33"/>
        <v>31878.22185164913</v>
      </c>
      <c r="O103" s="514">
        <f>IF(N103&lt;&gt;0,+I103-N103,0)</f>
        <v>0</v>
      </c>
      <c r="P103" s="514">
        <f>+O103-M103</f>
        <v>0</v>
      </c>
      <c r="Q103" s="269"/>
    </row>
    <row r="104" spans="1:17">
      <c r="B104" s="195" t="str">
        <f t="shared" si="36"/>
        <v/>
      </c>
      <c r="C104" s="507">
        <f>IF(D93="","-",+C103+1)</f>
        <v>2017</v>
      </c>
      <c r="D104" s="508">
        <v>206154.55426356583</v>
      </c>
      <c r="E104" s="516">
        <v>5494.0476190476193</v>
      </c>
      <c r="F104" s="515">
        <v>200660.5066445182</v>
      </c>
      <c r="G104" s="515">
        <v>203407.53045404202</v>
      </c>
      <c r="H104" s="575">
        <v>30202.256847199074</v>
      </c>
      <c r="I104" s="576">
        <v>30202.256847199074</v>
      </c>
      <c r="J104" s="514">
        <f t="shared" si="30"/>
        <v>0</v>
      </c>
      <c r="K104" s="514"/>
      <c r="L104" s="518">
        <f t="shared" si="31"/>
        <v>30202.256847199074</v>
      </c>
      <c r="M104" s="519">
        <f t="shared" si="37"/>
        <v>0</v>
      </c>
      <c r="N104" s="518">
        <f t="shared" si="33"/>
        <v>30202.256847199074</v>
      </c>
      <c r="O104" s="514">
        <f>IF(N104&lt;&gt;0,+I104-N104,0)</f>
        <v>0</v>
      </c>
      <c r="P104" s="514">
        <f>+O104-M104</f>
        <v>0</v>
      </c>
      <c r="Q104" s="269"/>
    </row>
    <row r="105" spans="1:17">
      <c r="B105" s="195" t="str">
        <f t="shared" si="36"/>
        <v/>
      </c>
      <c r="C105" s="507">
        <f>IF(D93="","-",+C104+1)</f>
        <v>2018</v>
      </c>
      <c r="D105" s="508">
        <v>200660.5066445182</v>
      </c>
      <c r="E105" s="516">
        <v>5494.0476190476193</v>
      </c>
      <c r="F105" s="515">
        <v>195166.45902547057</v>
      </c>
      <c r="G105" s="515">
        <v>197913.48283499439</v>
      </c>
      <c r="H105" s="575">
        <v>26394.619001989184</v>
      </c>
      <c r="I105" s="576">
        <v>26394.619001989184</v>
      </c>
      <c r="J105" s="514">
        <f t="shared" si="30"/>
        <v>0</v>
      </c>
      <c r="K105" s="514"/>
      <c r="L105" s="518">
        <f t="shared" ref="L105" si="38">H105</f>
        <v>26394.619001989184</v>
      </c>
      <c r="M105" s="519">
        <f t="shared" si="37"/>
        <v>0</v>
      </c>
      <c r="N105" s="518">
        <f t="shared" ref="N105" si="39">I105</f>
        <v>26394.619001989184</v>
      </c>
      <c r="O105" s="514">
        <f t="shared" si="34"/>
        <v>0</v>
      </c>
      <c r="P105" s="514">
        <f t="shared" si="35"/>
        <v>0</v>
      </c>
      <c r="Q105" s="269"/>
    </row>
    <row r="106" spans="1:17">
      <c r="B106" s="195" t="str">
        <f t="shared" si="36"/>
        <v/>
      </c>
      <c r="C106" s="507">
        <f>IF(D93="","-",+C105+1)</f>
        <v>2019</v>
      </c>
      <c r="D106" s="508">
        <v>195166.45902547057</v>
      </c>
      <c r="E106" s="516">
        <v>5366.2790697674418</v>
      </c>
      <c r="F106" s="515">
        <v>189800.17995570312</v>
      </c>
      <c r="G106" s="515">
        <v>192483.31949058684</v>
      </c>
      <c r="H106" s="575">
        <v>25969.798788270131</v>
      </c>
      <c r="I106" s="576">
        <v>25969.798788270131</v>
      </c>
      <c r="J106" s="514">
        <f t="shared" si="30"/>
        <v>0</v>
      </c>
      <c r="K106" s="514"/>
      <c r="L106" s="518">
        <f t="shared" ref="L106:L107" si="40">H106</f>
        <v>25969.798788270131</v>
      </c>
      <c r="M106" s="519">
        <f t="shared" ref="M106:M107" si="41">IF(L106&lt;&gt;0,+H106-L106,0)</f>
        <v>0</v>
      </c>
      <c r="N106" s="518">
        <f t="shared" ref="N106:N107" si="42">I106</f>
        <v>25969.798788270131</v>
      </c>
      <c r="O106" s="514">
        <f t="shared" si="34"/>
        <v>0</v>
      </c>
      <c r="P106" s="514">
        <f t="shared" si="35"/>
        <v>0</v>
      </c>
      <c r="Q106" s="269"/>
    </row>
    <row r="107" spans="1:17">
      <c r="B107" s="195" t="str">
        <f t="shared" si="36"/>
        <v/>
      </c>
      <c r="C107" s="507">
        <f>IF(D93="","-",+C106+1)</f>
        <v>2020</v>
      </c>
      <c r="D107" s="508">
        <v>189800.17995570312</v>
      </c>
      <c r="E107" s="516">
        <v>5494.0476190476193</v>
      </c>
      <c r="F107" s="515">
        <v>184306.13233665549</v>
      </c>
      <c r="G107" s="515">
        <v>187053.1561461793</v>
      </c>
      <c r="H107" s="575">
        <v>25616.072507051016</v>
      </c>
      <c r="I107" s="576">
        <v>25616.072507051016</v>
      </c>
      <c r="J107" s="514">
        <f t="shared" si="30"/>
        <v>0</v>
      </c>
      <c r="K107" s="514"/>
      <c r="L107" s="518">
        <f t="shared" si="40"/>
        <v>25616.072507051016</v>
      </c>
      <c r="M107" s="519">
        <f t="shared" si="41"/>
        <v>0</v>
      </c>
      <c r="N107" s="518">
        <f t="shared" si="42"/>
        <v>25616.072507051016</v>
      </c>
      <c r="O107" s="514">
        <f t="shared" si="34"/>
        <v>0</v>
      </c>
      <c r="P107" s="514">
        <f t="shared" si="35"/>
        <v>0</v>
      </c>
      <c r="Q107" s="269"/>
    </row>
    <row r="108" spans="1:17">
      <c r="B108" s="195" t="str">
        <f t="shared" si="36"/>
        <v/>
      </c>
      <c r="C108" s="507">
        <f>IF(D93="","-",+C107+1)</f>
        <v>2021</v>
      </c>
      <c r="D108" s="508">
        <v>184306.13233665549</v>
      </c>
      <c r="E108" s="516">
        <v>5628.0487804878048</v>
      </c>
      <c r="F108" s="515">
        <v>178678.08355616769</v>
      </c>
      <c r="G108" s="515">
        <v>181492.10794641159</v>
      </c>
      <c r="H108" s="575">
        <v>26229.985006611758</v>
      </c>
      <c r="I108" s="576">
        <v>26229.985006611758</v>
      </c>
      <c r="J108" s="514">
        <f t="shared" si="30"/>
        <v>0</v>
      </c>
      <c r="K108" s="514"/>
      <c r="L108" s="518">
        <f t="shared" ref="L108" si="43">H108</f>
        <v>26229.985006611758</v>
      </c>
      <c r="M108" s="519">
        <f t="shared" ref="M108" si="44">IF(L108&lt;&gt;0,+H108-L108,0)</f>
        <v>0</v>
      </c>
      <c r="N108" s="518">
        <f t="shared" ref="N108" si="45">I108</f>
        <v>26229.985006611758</v>
      </c>
      <c r="O108" s="514">
        <f t="shared" ref="O108" si="46">IF(N108&lt;&gt;0,+I108-N108,0)</f>
        <v>0</v>
      </c>
      <c r="P108" s="514">
        <f t="shared" ref="P108" si="47">+O108-M108</f>
        <v>0</v>
      </c>
      <c r="Q108" s="269"/>
    </row>
    <row r="109" spans="1:17">
      <c r="B109" s="195" t="str">
        <f t="shared" si="36"/>
        <v/>
      </c>
      <c r="C109" s="673">
        <f>IF(D93="","-",+C108+1)</f>
        <v>2022</v>
      </c>
      <c r="D109" s="374">
        <v>178678.08355616769</v>
      </c>
      <c r="E109" s="522">
        <v>5494.0476190476193</v>
      </c>
      <c r="F109" s="523">
        <v>173184.03593712006</v>
      </c>
      <c r="G109" s="523">
        <v>175931.05974664388</v>
      </c>
      <c r="H109" s="526">
        <v>26158.530421053958</v>
      </c>
      <c r="I109" s="577">
        <v>26158.530421053958</v>
      </c>
      <c r="J109" s="514">
        <f t="shared" si="30"/>
        <v>0</v>
      </c>
      <c r="K109" s="514"/>
      <c r="L109" s="525"/>
      <c r="M109" s="514">
        <f t="shared" si="32"/>
        <v>0</v>
      </c>
      <c r="N109" s="525"/>
      <c r="O109" s="514">
        <f t="shared" si="34"/>
        <v>0</v>
      </c>
      <c r="P109" s="514">
        <f t="shared" si="35"/>
        <v>0</v>
      </c>
      <c r="Q109" s="269"/>
    </row>
    <row r="110" spans="1:17">
      <c r="B110" s="195" t="str">
        <f t="shared" si="36"/>
        <v/>
      </c>
      <c r="C110" s="507">
        <f>IF(D93="","-",+C109+1)</f>
        <v>2023</v>
      </c>
      <c r="D110" s="374">
        <f>IF(F109+SUM(E$99:E109)=D$92,F109,D$92-SUM(E$99:E109))</f>
        <v>173184.03593712006</v>
      </c>
      <c r="E110" s="522">
        <f>IF(+J96&lt;F109,J96,D110)</f>
        <v>5628.0487804878048</v>
      </c>
      <c r="F110" s="523">
        <f t="shared" ref="F110:F131" si="48">+D110-E110</f>
        <v>167555.98715663227</v>
      </c>
      <c r="G110" s="523">
        <f t="shared" ref="G110:G130" si="49">+(F110+D110)/2</f>
        <v>170370.01154687617</v>
      </c>
      <c r="H110" s="526">
        <f t="shared" ref="H110:H130" si="50">+J$94*G110+E110</f>
        <v>24967.468838185923</v>
      </c>
      <c r="I110" s="577">
        <f t="shared" ref="I110:I130" si="51">+J$95*G110+E110</f>
        <v>24967.468838185923</v>
      </c>
      <c r="J110" s="514">
        <f t="shared" si="30"/>
        <v>0</v>
      </c>
      <c r="K110" s="514"/>
      <c r="L110" s="525"/>
      <c r="M110" s="514">
        <f t="shared" si="32"/>
        <v>0</v>
      </c>
      <c r="N110" s="525"/>
      <c r="O110" s="514">
        <f t="shared" si="34"/>
        <v>0</v>
      </c>
      <c r="P110" s="514">
        <f t="shared" si="35"/>
        <v>0</v>
      </c>
      <c r="Q110" s="269"/>
    </row>
    <row r="111" spans="1:17">
      <c r="B111" s="195" t="str">
        <f t="shared" si="36"/>
        <v/>
      </c>
      <c r="C111" s="507">
        <f>IF(D93="","-",+C110+1)</f>
        <v>2024</v>
      </c>
      <c r="D111" s="374">
        <f>IF(F110+SUM(E$99:E110)=D$92,F110,D$92-SUM(E$99:E110))</f>
        <v>167555.98715663227</v>
      </c>
      <c r="E111" s="522">
        <f>IF(+J96&lt;F110,J96,D111)</f>
        <v>5628.0487804878048</v>
      </c>
      <c r="F111" s="523">
        <f t="shared" si="48"/>
        <v>161927.93837614448</v>
      </c>
      <c r="G111" s="523">
        <f t="shared" si="49"/>
        <v>164741.96276638837</v>
      </c>
      <c r="H111" s="526">
        <f t="shared" si="50"/>
        <v>24328.605234886105</v>
      </c>
      <c r="I111" s="577">
        <f t="shared" si="51"/>
        <v>24328.605234886105</v>
      </c>
      <c r="J111" s="514">
        <f t="shared" si="30"/>
        <v>0</v>
      </c>
      <c r="K111" s="514"/>
      <c r="L111" s="525"/>
      <c r="M111" s="514">
        <f t="shared" si="32"/>
        <v>0</v>
      </c>
      <c r="N111" s="525"/>
      <c r="O111" s="514">
        <f t="shared" si="34"/>
        <v>0</v>
      </c>
      <c r="P111" s="514">
        <f t="shared" si="35"/>
        <v>0</v>
      </c>
      <c r="Q111" s="269"/>
    </row>
    <row r="112" spans="1:17">
      <c r="B112" s="195" t="str">
        <f t="shared" si="36"/>
        <v/>
      </c>
      <c r="C112" s="507">
        <f>IF(D93="","-",+C111+1)</f>
        <v>2025</v>
      </c>
      <c r="D112" s="374">
        <f>IF(F111+SUM(E$99:E111)=D$92,F111,D$92-SUM(E$99:E111))</f>
        <v>161927.93837614448</v>
      </c>
      <c r="E112" s="522">
        <f>IF(+J96&lt;F111,J96,D112)</f>
        <v>5628.0487804878048</v>
      </c>
      <c r="F112" s="523">
        <f t="shared" si="48"/>
        <v>156299.88959565668</v>
      </c>
      <c r="G112" s="523">
        <f t="shared" si="49"/>
        <v>159113.91398590058</v>
      </c>
      <c r="H112" s="526">
        <f t="shared" si="50"/>
        <v>23689.741631586287</v>
      </c>
      <c r="I112" s="577">
        <f t="shared" si="51"/>
        <v>23689.741631586287</v>
      </c>
      <c r="J112" s="514">
        <f t="shared" si="30"/>
        <v>0</v>
      </c>
      <c r="K112" s="514"/>
      <c r="L112" s="525"/>
      <c r="M112" s="514">
        <f t="shared" si="32"/>
        <v>0</v>
      </c>
      <c r="N112" s="525"/>
      <c r="O112" s="514">
        <f t="shared" si="34"/>
        <v>0</v>
      </c>
      <c r="P112" s="514">
        <f t="shared" si="35"/>
        <v>0</v>
      </c>
      <c r="Q112" s="269"/>
    </row>
    <row r="113" spans="2:17">
      <c r="B113" s="195" t="str">
        <f t="shared" si="36"/>
        <v/>
      </c>
      <c r="C113" s="507">
        <f>IF(D93="","-",+C112+1)</f>
        <v>2026</v>
      </c>
      <c r="D113" s="374">
        <f>IF(F112+SUM(E$99:E112)=D$92,F112,D$92-SUM(E$99:E112))</f>
        <v>156299.88959565668</v>
      </c>
      <c r="E113" s="522">
        <f>IF(+J96&lt;F112,J96,D113)</f>
        <v>5628.0487804878048</v>
      </c>
      <c r="F113" s="523">
        <f t="shared" si="48"/>
        <v>150671.84081516889</v>
      </c>
      <c r="G113" s="523">
        <f t="shared" si="49"/>
        <v>153485.86520541279</v>
      </c>
      <c r="H113" s="526">
        <f t="shared" si="50"/>
        <v>23050.878028286468</v>
      </c>
      <c r="I113" s="577">
        <f t="shared" si="51"/>
        <v>23050.878028286468</v>
      </c>
      <c r="J113" s="514">
        <f t="shared" si="30"/>
        <v>0</v>
      </c>
      <c r="K113" s="514"/>
      <c r="L113" s="525"/>
      <c r="M113" s="514">
        <f t="shared" si="32"/>
        <v>0</v>
      </c>
      <c r="N113" s="525"/>
      <c r="O113" s="514">
        <f t="shared" si="34"/>
        <v>0</v>
      </c>
      <c r="P113" s="514">
        <f t="shared" si="35"/>
        <v>0</v>
      </c>
      <c r="Q113" s="269"/>
    </row>
    <row r="114" spans="2:17">
      <c r="B114" s="195" t="str">
        <f t="shared" si="36"/>
        <v/>
      </c>
      <c r="C114" s="507">
        <f>IF(D93="","-",+C113+1)</f>
        <v>2027</v>
      </c>
      <c r="D114" s="374">
        <f>IF(F113+SUM(E$99:E113)=D$92,F113,D$92-SUM(E$99:E113))</f>
        <v>150671.84081516889</v>
      </c>
      <c r="E114" s="522">
        <f>IF(+J96&lt;F113,J96,D114)</f>
        <v>5628.0487804878048</v>
      </c>
      <c r="F114" s="523">
        <f t="shared" si="48"/>
        <v>145043.7920346811</v>
      </c>
      <c r="G114" s="523">
        <f t="shared" si="49"/>
        <v>147857.816424925</v>
      </c>
      <c r="H114" s="526">
        <f t="shared" si="50"/>
        <v>22412.01442498665</v>
      </c>
      <c r="I114" s="577">
        <f t="shared" si="51"/>
        <v>22412.01442498665</v>
      </c>
      <c r="J114" s="514">
        <f t="shared" si="30"/>
        <v>0</v>
      </c>
      <c r="K114" s="514"/>
      <c r="L114" s="525"/>
      <c r="M114" s="514">
        <f t="shared" si="32"/>
        <v>0</v>
      </c>
      <c r="N114" s="525"/>
      <c r="O114" s="514">
        <f t="shared" si="34"/>
        <v>0</v>
      </c>
      <c r="P114" s="514">
        <f t="shared" si="35"/>
        <v>0</v>
      </c>
      <c r="Q114" s="269"/>
    </row>
    <row r="115" spans="2:17">
      <c r="B115" s="195" t="str">
        <f t="shared" si="36"/>
        <v/>
      </c>
      <c r="C115" s="507">
        <f>IF(D93="","-",+C114+1)</f>
        <v>2028</v>
      </c>
      <c r="D115" s="374">
        <f>IF(F114+SUM(E$99:E114)=D$92,F114,D$92-SUM(E$99:E114))</f>
        <v>145043.7920346811</v>
      </c>
      <c r="E115" s="522">
        <f>IF(+J96&lt;F114,J96,D115)</f>
        <v>5628.0487804878048</v>
      </c>
      <c r="F115" s="523">
        <f t="shared" si="48"/>
        <v>139415.74325419331</v>
      </c>
      <c r="G115" s="523">
        <f t="shared" si="49"/>
        <v>142229.7676444372</v>
      </c>
      <c r="H115" s="526">
        <f t="shared" si="50"/>
        <v>21773.150821686831</v>
      </c>
      <c r="I115" s="577">
        <f t="shared" si="51"/>
        <v>21773.150821686831</v>
      </c>
      <c r="J115" s="514">
        <f t="shared" si="30"/>
        <v>0</v>
      </c>
      <c r="K115" s="514"/>
      <c r="L115" s="525"/>
      <c r="M115" s="514">
        <f t="shared" si="32"/>
        <v>0</v>
      </c>
      <c r="N115" s="525"/>
      <c r="O115" s="514">
        <f t="shared" si="34"/>
        <v>0</v>
      </c>
      <c r="P115" s="514">
        <f t="shared" si="35"/>
        <v>0</v>
      </c>
      <c r="Q115" s="269"/>
    </row>
    <row r="116" spans="2:17">
      <c r="B116" s="195" t="str">
        <f t="shared" si="36"/>
        <v/>
      </c>
      <c r="C116" s="507">
        <f>IF(D93="","-",+C115+1)</f>
        <v>2029</v>
      </c>
      <c r="D116" s="374">
        <f>IF(F115+SUM(E$99:E115)=D$92,F115,D$92-SUM(E$99:E115))</f>
        <v>139415.74325419331</v>
      </c>
      <c r="E116" s="522">
        <f>IF(+J96&lt;F115,J96,D116)</f>
        <v>5628.0487804878048</v>
      </c>
      <c r="F116" s="523">
        <f t="shared" si="48"/>
        <v>133787.69447370552</v>
      </c>
      <c r="G116" s="523">
        <f t="shared" si="49"/>
        <v>136601.71886394941</v>
      </c>
      <c r="H116" s="526">
        <f t="shared" si="50"/>
        <v>21134.287218387013</v>
      </c>
      <c r="I116" s="577">
        <f t="shared" si="51"/>
        <v>21134.287218387013</v>
      </c>
      <c r="J116" s="514">
        <f t="shared" si="30"/>
        <v>0</v>
      </c>
      <c r="K116" s="514"/>
      <c r="L116" s="525"/>
      <c r="M116" s="514">
        <f t="shared" si="32"/>
        <v>0</v>
      </c>
      <c r="N116" s="525"/>
      <c r="O116" s="514">
        <f t="shared" si="34"/>
        <v>0</v>
      </c>
      <c r="P116" s="514">
        <f t="shared" si="35"/>
        <v>0</v>
      </c>
      <c r="Q116" s="269"/>
    </row>
    <row r="117" spans="2:17">
      <c r="B117" s="195" t="str">
        <f t="shared" si="36"/>
        <v/>
      </c>
      <c r="C117" s="507">
        <f>IF(D93="","-",+C116+1)</f>
        <v>2030</v>
      </c>
      <c r="D117" s="374">
        <f>IF(F116+SUM(E$99:E116)=D$92,F116,D$92-SUM(E$99:E116))</f>
        <v>133787.69447370552</v>
      </c>
      <c r="E117" s="522">
        <f>IF(+J96&lt;F116,J96,D117)</f>
        <v>5628.0487804878048</v>
      </c>
      <c r="F117" s="523">
        <f t="shared" si="48"/>
        <v>128159.64569321771</v>
      </c>
      <c r="G117" s="523">
        <f t="shared" si="49"/>
        <v>130973.67008346162</v>
      </c>
      <c r="H117" s="526">
        <f t="shared" si="50"/>
        <v>20495.423615087195</v>
      </c>
      <c r="I117" s="577">
        <f t="shared" si="51"/>
        <v>20495.423615087195</v>
      </c>
      <c r="J117" s="514">
        <f t="shared" si="30"/>
        <v>0</v>
      </c>
      <c r="K117" s="514"/>
      <c r="L117" s="525"/>
      <c r="M117" s="514">
        <f t="shared" si="32"/>
        <v>0</v>
      </c>
      <c r="N117" s="525"/>
      <c r="O117" s="514">
        <f t="shared" si="34"/>
        <v>0</v>
      </c>
      <c r="P117" s="514">
        <f t="shared" si="35"/>
        <v>0</v>
      </c>
      <c r="Q117" s="269"/>
    </row>
    <row r="118" spans="2:17">
      <c r="B118" s="195" t="str">
        <f t="shared" si="36"/>
        <v/>
      </c>
      <c r="C118" s="507">
        <f>IF(D93="","-",+C117+1)</f>
        <v>2031</v>
      </c>
      <c r="D118" s="374">
        <f>IF(F117+SUM(E$99:E117)=D$92,F117,D$92-SUM(E$99:E117))</f>
        <v>128159.64569321771</v>
      </c>
      <c r="E118" s="522">
        <f>IF(+J96&lt;F117,J96,D118)</f>
        <v>5628.0487804878048</v>
      </c>
      <c r="F118" s="523">
        <f t="shared" si="48"/>
        <v>122531.5969127299</v>
      </c>
      <c r="G118" s="523">
        <f t="shared" si="49"/>
        <v>125345.6213029738</v>
      </c>
      <c r="H118" s="526">
        <f t="shared" si="50"/>
        <v>19856.560011787369</v>
      </c>
      <c r="I118" s="577">
        <f t="shared" si="51"/>
        <v>19856.560011787369</v>
      </c>
      <c r="J118" s="514">
        <f t="shared" si="30"/>
        <v>0</v>
      </c>
      <c r="K118" s="514"/>
      <c r="L118" s="525"/>
      <c r="M118" s="514">
        <f t="shared" si="32"/>
        <v>0</v>
      </c>
      <c r="N118" s="525"/>
      <c r="O118" s="514">
        <f t="shared" si="34"/>
        <v>0</v>
      </c>
      <c r="P118" s="514">
        <f t="shared" si="35"/>
        <v>0</v>
      </c>
      <c r="Q118" s="269"/>
    </row>
    <row r="119" spans="2:17">
      <c r="B119" s="195" t="str">
        <f t="shared" si="36"/>
        <v/>
      </c>
      <c r="C119" s="507">
        <f>IF(D93="","-",+C118+1)</f>
        <v>2032</v>
      </c>
      <c r="D119" s="374">
        <f>IF(F118+SUM(E$99:E118)=D$92,F118,D$92-SUM(E$99:E118))</f>
        <v>122531.5969127299</v>
      </c>
      <c r="E119" s="522">
        <f>IF(+J96&lt;F118,J96,D119)</f>
        <v>5628.0487804878048</v>
      </c>
      <c r="F119" s="523">
        <f t="shared" si="48"/>
        <v>116903.5481322421</v>
      </c>
      <c r="G119" s="523">
        <f t="shared" si="49"/>
        <v>119717.57252248601</v>
      </c>
      <c r="H119" s="526">
        <f t="shared" si="50"/>
        <v>19217.696408487551</v>
      </c>
      <c r="I119" s="577">
        <f t="shared" si="51"/>
        <v>19217.696408487551</v>
      </c>
      <c r="J119" s="514">
        <f t="shared" si="30"/>
        <v>0</v>
      </c>
      <c r="K119" s="514"/>
      <c r="L119" s="525"/>
      <c r="M119" s="514">
        <f t="shared" si="32"/>
        <v>0</v>
      </c>
      <c r="N119" s="525"/>
      <c r="O119" s="514">
        <f t="shared" si="34"/>
        <v>0</v>
      </c>
      <c r="P119" s="514">
        <f t="shared" si="35"/>
        <v>0</v>
      </c>
      <c r="Q119" s="269"/>
    </row>
    <row r="120" spans="2:17">
      <c r="B120" s="195" t="str">
        <f t="shared" si="36"/>
        <v/>
      </c>
      <c r="C120" s="507">
        <f>IF(D93="","-",+C119+1)</f>
        <v>2033</v>
      </c>
      <c r="D120" s="374">
        <f>IF(F119+SUM(E$99:E119)=D$92,F119,D$92-SUM(E$99:E119))</f>
        <v>116903.5481322421</v>
      </c>
      <c r="E120" s="522">
        <f>IF(+J96&lt;F119,J96,D120)</f>
        <v>5628.0487804878048</v>
      </c>
      <c r="F120" s="523">
        <f t="shared" si="48"/>
        <v>111275.49935175429</v>
      </c>
      <c r="G120" s="523">
        <f t="shared" si="49"/>
        <v>114089.52374199819</v>
      </c>
      <c r="H120" s="526">
        <f t="shared" si="50"/>
        <v>18578.832805187732</v>
      </c>
      <c r="I120" s="577">
        <f t="shared" si="51"/>
        <v>18578.832805187732</v>
      </c>
      <c r="J120" s="514">
        <f t="shared" si="30"/>
        <v>0</v>
      </c>
      <c r="K120" s="514"/>
      <c r="L120" s="525"/>
      <c r="M120" s="514">
        <f t="shared" si="32"/>
        <v>0</v>
      </c>
      <c r="N120" s="525"/>
      <c r="O120" s="514">
        <f t="shared" si="34"/>
        <v>0</v>
      </c>
      <c r="P120" s="514">
        <f t="shared" si="35"/>
        <v>0</v>
      </c>
      <c r="Q120" s="269"/>
    </row>
    <row r="121" spans="2:17">
      <c r="B121" s="195" t="str">
        <f t="shared" si="36"/>
        <v/>
      </c>
      <c r="C121" s="507">
        <f>IF(D93="","-",+C120+1)</f>
        <v>2034</v>
      </c>
      <c r="D121" s="374">
        <f>IF(F120+SUM(E$99:E120)=D$92,F120,D$92-SUM(E$99:E120))</f>
        <v>111275.49935175429</v>
      </c>
      <c r="E121" s="522">
        <f>IF(+J96&lt;F120,J96,D121)</f>
        <v>5628.0487804878048</v>
      </c>
      <c r="F121" s="523">
        <f t="shared" si="48"/>
        <v>105647.45057126648</v>
      </c>
      <c r="G121" s="523">
        <f t="shared" si="49"/>
        <v>108461.47496151039</v>
      </c>
      <c r="H121" s="526">
        <f t="shared" si="50"/>
        <v>17939.969201887914</v>
      </c>
      <c r="I121" s="577">
        <f t="shared" si="51"/>
        <v>17939.969201887914</v>
      </c>
      <c r="J121" s="514">
        <f t="shared" si="30"/>
        <v>0</v>
      </c>
      <c r="K121" s="514"/>
      <c r="L121" s="525"/>
      <c r="M121" s="514">
        <f t="shared" si="32"/>
        <v>0</v>
      </c>
      <c r="N121" s="525"/>
      <c r="O121" s="514">
        <f t="shared" si="34"/>
        <v>0</v>
      </c>
      <c r="P121" s="514">
        <f t="shared" si="35"/>
        <v>0</v>
      </c>
      <c r="Q121" s="269"/>
    </row>
    <row r="122" spans="2:17">
      <c r="B122" s="195" t="str">
        <f t="shared" si="36"/>
        <v/>
      </c>
      <c r="C122" s="507">
        <f>IF(D93="","-",+C121+1)</f>
        <v>2035</v>
      </c>
      <c r="D122" s="374">
        <f>IF(F121+SUM(E$99:E121)=D$92,F121,D$92-SUM(E$99:E121))</f>
        <v>105647.45057126648</v>
      </c>
      <c r="E122" s="522">
        <f>IF(+J96&lt;F121,J96,D122)</f>
        <v>5628.0487804878048</v>
      </c>
      <c r="F122" s="523">
        <f t="shared" si="48"/>
        <v>100019.40179077868</v>
      </c>
      <c r="G122" s="523">
        <f t="shared" si="49"/>
        <v>102833.42618102257</v>
      </c>
      <c r="H122" s="526">
        <f t="shared" si="50"/>
        <v>17301.105598588088</v>
      </c>
      <c r="I122" s="577">
        <f t="shared" si="51"/>
        <v>17301.105598588088</v>
      </c>
      <c r="J122" s="514">
        <f t="shared" si="30"/>
        <v>0</v>
      </c>
      <c r="K122" s="514"/>
      <c r="L122" s="525"/>
      <c r="M122" s="514">
        <f t="shared" si="32"/>
        <v>0</v>
      </c>
      <c r="N122" s="525"/>
      <c r="O122" s="514">
        <f t="shared" si="34"/>
        <v>0</v>
      </c>
      <c r="P122" s="514">
        <f t="shared" si="35"/>
        <v>0</v>
      </c>
      <c r="Q122" s="269"/>
    </row>
    <row r="123" spans="2:17">
      <c r="B123" s="195" t="str">
        <f t="shared" si="36"/>
        <v/>
      </c>
      <c r="C123" s="507">
        <f>IF(D93="","-",+C122+1)</f>
        <v>2036</v>
      </c>
      <c r="D123" s="374">
        <f>IF(F122+SUM(E$99:E122)=D$92,F122,D$92-SUM(E$99:E122))</f>
        <v>100019.40179077868</v>
      </c>
      <c r="E123" s="522">
        <f>IF(+J96&lt;F122,J96,D123)</f>
        <v>5628.0487804878048</v>
      </c>
      <c r="F123" s="523">
        <f t="shared" si="48"/>
        <v>94391.35301029087</v>
      </c>
      <c r="G123" s="523">
        <f t="shared" si="49"/>
        <v>97205.37740053478</v>
      </c>
      <c r="H123" s="526">
        <f t="shared" si="50"/>
        <v>16662.24199528827</v>
      </c>
      <c r="I123" s="577">
        <f t="shared" si="51"/>
        <v>16662.24199528827</v>
      </c>
      <c r="J123" s="514">
        <f t="shared" si="30"/>
        <v>0</v>
      </c>
      <c r="K123" s="514"/>
      <c r="L123" s="525"/>
      <c r="M123" s="514">
        <f t="shared" si="32"/>
        <v>0</v>
      </c>
      <c r="N123" s="525"/>
      <c r="O123" s="514">
        <f t="shared" si="34"/>
        <v>0</v>
      </c>
      <c r="P123" s="514">
        <f t="shared" si="35"/>
        <v>0</v>
      </c>
      <c r="Q123" s="269"/>
    </row>
    <row r="124" spans="2:17">
      <c r="B124" s="195" t="str">
        <f t="shared" si="36"/>
        <v/>
      </c>
      <c r="C124" s="507">
        <f>IF(D93="","-",+C123+1)</f>
        <v>2037</v>
      </c>
      <c r="D124" s="374">
        <f>IF(F123+SUM(E$99:E123)=D$92,F123,D$92-SUM(E$99:E123))</f>
        <v>94391.35301029087</v>
      </c>
      <c r="E124" s="522">
        <f>IF(+J96&lt;F123,J96,D124)</f>
        <v>5628.0487804878048</v>
      </c>
      <c r="F124" s="523">
        <f t="shared" si="48"/>
        <v>88763.304229803063</v>
      </c>
      <c r="G124" s="523">
        <f t="shared" si="49"/>
        <v>91577.328620046959</v>
      </c>
      <c r="H124" s="526">
        <f t="shared" si="50"/>
        <v>16023.378391988448</v>
      </c>
      <c r="I124" s="577">
        <f t="shared" si="51"/>
        <v>16023.378391988448</v>
      </c>
      <c r="J124" s="514">
        <f t="shared" si="30"/>
        <v>0</v>
      </c>
      <c r="K124" s="514"/>
      <c r="L124" s="525"/>
      <c r="M124" s="514">
        <f t="shared" si="32"/>
        <v>0</v>
      </c>
      <c r="N124" s="525"/>
      <c r="O124" s="514">
        <f t="shared" si="34"/>
        <v>0</v>
      </c>
      <c r="P124" s="514">
        <f t="shared" si="35"/>
        <v>0</v>
      </c>
      <c r="Q124" s="269"/>
    </row>
    <row r="125" spans="2:17">
      <c r="B125" s="195" t="str">
        <f t="shared" si="36"/>
        <v/>
      </c>
      <c r="C125" s="507">
        <f>IF(D93="","-",+C124+1)</f>
        <v>2038</v>
      </c>
      <c r="D125" s="374">
        <f>IF(F124+SUM(E$99:E124)=D$92,F124,D$92-SUM(E$99:E124))</f>
        <v>88763.304229803063</v>
      </c>
      <c r="E125" s="522">
        <f>IF(+J96&lt;F124,J96,D125)</f>
        <v>5628.0487804878048</v>
      </c>
      <c r="F125" s="523">
        <f t="shared" si="48"/>
        <v>83135.255449315257</v>
      </c>
      <c r="G125" s="523">
        <f t="shared" si="49"/>
        <v>85949.279839559167</v>
      </c>
      <c r="H125" s="526">
        <f t="shared" si="50"/>
        <v>15384.51478868863</v>
      </c>
      <c r="I125" s="577">
        <f t="shared" si="51"/>
        <v>15384.51478868863</v>
      </c>
      <c r="J125" s="514">
        <f t="shared" si="30"/>
        <v>0</v>
      </c>
      <c r="K125" s="514"/>
      <c r="L125" s="525"/>
      <c r="M125" s="514">
        <f t="shared" si="32"/>
        <v>0</v>
      </c>
      <c r="N125" s="525"/>
      <c r="O125" s="514">
        <f t="shared" si="34"/>
        <v>0</v>
      </c>
      <c r="P125" s="514">
        <f t="shared" si="35"/>
        <v>0</v>
      </c>
      <c r="Q125" s="269"/>
    </row>
    <row r="126" spans="2:17">
      <c r="B126" s="195" t="str">
        <f t="shared" si="36"/>
        <v/>
      </c>
      <c r="C126" s="507">
        <f>IF(D93="","-",+C125+1)</f>
        <v>2039</v>
      </c>
      <c r="D126" s="374">
        <f>IF(F125+SUM(E$99:E125)=D$92,F125,D$92-SUM(E$99:E125))</f>
        <v>83135.255449315257</v>
      </c>
      <c r="E126" s="522">
        <f>IF(+J96&lt;F125,J96,D126)</f>
        <v>5628.0487804878048</v>
      </c>
      <c r="F126" s="523">
        <f t="shared" si="48"/>
        <v>77507.20666882745</v>
      </c>
      <c r="G126" s="523">
        <f t="shared" si="49"/>
        <v>80321.231059071346</v>
      </c>
      <c r="H126" s="526">
        <f t="shared" si="50"/>
        <v>14745.651185388808</v>
      </c>
      <c r="I126" s="577">
        <f t="shared" si="51"/>
        <v>14745.651185388808</v>
      </c>
      <c r="J126" s="514">
        <f t="shared" si="30"/>
        <v>0</v>
      </c>
      <c r="K126" s="514"/>
      <c r="L126" s="525"/>
      <c r="M126" s="514">
        <f t="shared" si="32"/>
        <v>0</v>
      </c>
      <c r="N126" s="525"/>
      <c r="O126" s="514">
        <f t="shared" si="34"/>
        <v>0</v>
      </c>
      <c r="P126" s="514">
        <f t="shared" si="35"/>
        <v>0</v>
      </c>
      <c r="Q126" s="269"/>
    </row>
    <row r="127" spans="2:17">
      <c r="B127" s="195" t="str">
        <f t="shared" si="36"/>
        <v/>
      </c>
      <c r="C127" s="507">
        <f>IF(D93="","-",+C126+1)</f>
        <v>2040</v>
      </c>
      <c r="D127" s="374">
        <f>IF(F126+SUM(E$99:E126)=D$92,F126,D$92-SUM(E$99:E126))</f>
        <v>77507.20666882745</v>
      </c>
      <c r="E127" s="522">
        <f>IF(+J96&lt;F126,J96,D127)</f>
        <v>5628.0487804878048</v>
      </c>
      <c r="F127" s="523">
        <f t="shared" si="48"/>
        <v>71879.157888339643</v>
      </c>
      <c r="G127" s="523">
        <f t="shared" si="49"/>
        <v>74693.182278583554</v>
      </c>
      <c r="H127" s="526">
        <f t="shared" si="50"/>
        <v>14106.787582088988</v>
      </c>
      <c r="I127" s="577">
        <f t="shared" si="51"/>
        <v>14106.787582088988</v>
      </c>
      <c r="J127" s="514">
        <f t="shared" si="30"/>
        <v>0</v>
      </c>
      <c r="K127" s="514"/>
      <c r="L127" s="525"/>
      <c r="M127" s="514">
        <f t="shared" si="32"/>
        <v>0</v>
      </c>
      <c r="N127" s="525"/>
      <c r="O127" s="514">
        <f t="shared" si="34"/>
        <v>0</v>
      </c>
      <c r="P127" s="514">
        <f t="shared" si="35"/>
        <v>0</v>
      </c>
      <c r="Q127" s="269"/>
    </row>
    <row r="128" spans="2:17">
      <c r="B128" s="195" t="str">
        <f t="shared" si="36"/>
        <v/>
      </c>
      <c r="C128" s="507">
        <f>IF(D93="","-",+C127+1)</f>
        <v>2041</v>
      </c>
      <c r="D128" s="374">
        <f>IF(F127+SUM(E$99:E127)=D$92,F127,D$92-SUM(E$99:E127))</f>
        <v>71879.157888339643</v>
      </c>
      <c r="E128" s="522">
        <f>IF(+J96&lt;F127,J96,D128)</f>
        <v>5628.0487804878048</v>
      </c>
      <c r="F128" s="523">
        <f t="shared" si="48"/>
        <v>66251.109107851837</v>
      </c>
      <c r="G128" s="523">
        <f t="shared" si="49"/>
        <v>69065.133498095733</v>
      </c>
      <c r="H128" s="526">
        <f t="shared" si="50"/>
        <v>13467.923978789167</v>
      </c>
      <c r="I128" s="577">
        <f t="shared" si="51"/>
        <v>13467.923978789167</v>
      </c>
      <c r="J128" s="514">
        <f t="shared" si="30"/>
        <v>0</v>
      </c>
      <c r="K128" s="514"/>
      <c r="L128" s="525"/>
      <c r="M128" s="514">
        <f t="shared" si="32"/>
        <v>0</v>
      </c>
      <c r="N128" s="525"/>
      <c r="O128" s="514">
        <f t="shared" si="34"/>
        <v>0</v>
      </c>
      <c r="P128" s="514">
        <f t="shared" si="35"/>
        <v>0</v>
      </c>
      <c r="Q128" s="269"/>
    </row>
    <row r="129" spans="2:17">
      <c r="B129" s="195" t="str">
        <f t="shared" si="36"/>
        <v/>
      </c>
      <c r="C129" s="507">
        <f>IF(D93="","-",+C128+1)</f>
        <v>2042</v>
      </c>
      <c r="D129" s="374">
        <f>IF(F128+SUM(E$99:E128)=D$92,F128,D$92-SUM(E$99:E128))</f>
        <v>66251.109107851837</v>
      </c>
      <c r="E129" s="522">
        <f>IF(+J96&lt;F128,J96,D129)</f>
        <v>5628.0487804878048</v>
      </c>
      <c r="F129" s="523">
        <f t="shared" si="48"/>
        <v>60623.06032736403</v>
      </c>
      <c r="G129" s="523">
        <f t="shared" si="49"/>
        <v>63437.084717607933</v>
      </c>
      <c r="H129" s="526">
        <f t="shared" si="50"/>
        <v>12829.060375489345</v>
      </c>
      <c r="I129" s="577">
        <f t="shared" si="51"/>
        <v>12829.060375489345</v>
      </c>
      <c r="J129" s="514">
        <f t="shared" si="30"/>
        <v>0</v>
      </c>
      <c r="K129" s="514"/>
      <c r="L129" s="525"/>
      <c r="M129" s="514">
        <f t="shared" si="32"/>
        <v>0</v>
      </c>
      <c r="N129" s="525"/>
      <c r="O129" s="514">
        <f t="shared" si="34"/>
        <v>0</v>
      </c>
      <c r="P129" s="514">
        <f t="shared" si="35"/>
        <v>0</v>
      </c>
      <c r="Q129" s="269"/>
    </row>
    <row r="130" spans="2:17">
      <c r="B130" s="195" t="str">
        <f t="shared" si="36"/>
        <v/>
      </c>
      <c r="C130" s="507">
        <f>IF(D93="","-",+C129+1)</f>
        <v>2043</v>
      </c>
      <c r="D130" s="374">
        <f>IF(F129+SUM(E$99:E129)=D$92,F129,D$92-SUM(E$99:E129))</f>
        <v>60623.06032736403</v>
      </c>
      <c r="E130" s="522">
        <f>IF(+J96&lt;F129,J96,D130)</f>
        <v>5628.0487804878048</v>
      </c>
      <c r="F130" s="523">
        <f t="shared" si="48"/>
        <v>54995.011546876223</v>
      </c>
      <c r="G130" s="523">
        <f t="shared" si="49"/>
        <v>57809.035937120127</v>
      </c>
      <c r="H130" s="526">
        <f t="shared" si="50"/>
        <v>12190.196772189527</v>
      </c>
      <c r="I130" s="577">
        <f t="shared" si="51"/>
        <v>12190.196772189527</v>
      </c>
      <c r="J130" s="514">
        <f t="shared" si="30"/>
        <v>0</v>
      </c>
      <c r="K130" s="514"/>
      <c r="L130" s="525"/>
      <c r="M130" s="514">
        <f t="shared" si="32"/>
        <v>0</v>
      </c>
      <c r="N130" s="525"/>
      <c r="O130" s="514">
        <f t="shared" si="34"/>
        <v>0</v>
      </c>
      <c r="P130" s="514">
        <f t="shared" si="35"/>
        <v>0</v>
      </c>
      <c r="Q130" s="269"/>
    </row>
    <row r="131" spans="2:17">
      <c r="B131" s="195" t="str">
        <f t="shared" si="36"/>
        <v/>
      </c>
      <c r="C131" s="507">
        <f>IF(D93="","-",+C130+1)</f>
        <v>2044</v>
      </c>
      <c r="D131" s="374">
        <f>IF(F130+SUM(E$99:E130)=D$92,F130,D$92-SUM(E$99:E130))</f>
        <v>54995.011546876223</v>
      </c>
      <c r="E131" s="522">
        <f>IF(+J96&lt;F130,J96,D131)</f>
        <v>5628.0487804878048</v>
      </c>
      <c r="F131" s="523">
        <f t="shared" si="48"/>
        <v>49366.962766388417</v>
      </c>
      <c r="G131" s="523">
        <f t="shared" ref="G131:G154" si="52">+(F131+D131)/2</f>
        <v>52180.98715663232</v>
      </c>
      <c r="H131" s="526">
        <f t="shared" ref="H131:H154" si="53">+J$94*G131+E131</f>
        <v>11551.333168889705</v>
      </c>
      <c r="I131" s="577">
        <f t="shared" ref="I131:I154" si="54">+J$95*G131+E131</f>
        <v>11551.333168889705</v>
      </c>
      <c r="J131" s="514">
        <f t="shared" ref="J131:J154" si="55">+I131-H131</f>
        <v>0</v>
      </c>
      <c r="K131" s="514"/>
      <c r="L131" s="525"/>
      <c r="M131" s="514">
        <f t="shared" ref="M131:M154" si="56">IF(L131&lt;&gt;0,+H131-L131,0)</f>
        <v>0</v>
      </c>
      <c r="N131" s="525"/>
      <c r="O131" s="514">
        <f t="shared" ref="O131:O154" si="57">IF(N131&lt;&gt;0,+I131-N131,0)</f>
        <v>0</v>
      </c>
      <c r="P131" s="514">
        <f t="shared" ref="P131:P154" si="58">+O131-M131</f>
        <v>0</v>
      </c>
      <c r="Q131" s="269"/>
    </row>
    <row r="132" spans="2:17">
      <c r="B132" s="195" t="str">
        <f t="shared" ref="B132:B154" si="59">IF(D132=F131,"","IU")</f>
        <v/>
      </c>
      <c r="C132" s="507">
        <f>IF(D93="","-",+C131+1)</f>
        <v>2045</v>
      </c>
      <c r="D132" s="374">
        <f>IF(F131+SUM(E$99:E131)=D$92,F131,D$92-SUM(E$99:E131))</f>
        <v>49366.962766388417</v>
      </c>
      <c r="E132" s="522">
        <f>IF(+J96&lt;F131,J96,D132)</f>
        <v>5628.0487804878048</v>
      </c>
      <c r="F132" s="523">
        <f t="shared" ref="F132:F154" si="60">+D132-E132</f>
        <v>43738.91398590061</v>
      </c>
      <c r="G132" s="523">
        <f t="shared" si="52"/>
        <v>46552.938376144513</v>
      </c>
      <c r="H132" s="526">
        <f t="shared" si="53"/>
        <v>10912.469565589885</v>
      </c>
      <c r="I132" s="577">
        <f t="shared" si="54"/>
        <v>10912.469565589885</v>
      </c>
      <c r="J132" s="514">
        <f t="shared" si="55"/>
        <v>0</v>
      </c>
      <c r="K132" s="514"/>
      <c r="L132" s="525"/>
      <c r="M132" s="514">
        <f t="shared" si="56"/>
        <v>0</v>
      </c>
      <c r="N132" s="525"/>
      <c r="O132" s="514">
        <f t="shared" si="57"/>
        <v>0</v>
      </c>
      <c r="P132" s="514">
        <f t="shared" si="58"/>
        <v>0</v>
      </c>
      <c r="Q132" s="269"/>
    </row>
    <row r="133" spans="2:17">
      <c r="B133" s="195" t="str">
        <f t="shared" si="59"/>
        <v/>
      </c>
      <c r="C133" s="507">
        <f>IF(D93="","-",+C132+1)</f>
        <v>2046</v>
      </c>
      <c r="D133" s="374">
        <f>IF(F132+SUM(E$99:E132)=D$92,F132,D$92-SUM(E$99:E132))</f>
        <v>43738.91398590061</v>
      </c>
      <c r="E133" s="522">
        <f>IF(+J96&lt;F132,J96,D133)</f>
        <v>5628.0487804878048</v>
      </c>
      <c r="F133" s="523">
        <f t="shared" si="60"/>
        <v>38110.865205412803</v>
      </c>
      <c r="G133" s="523">
        <f t="shared" si="52"/>
        <v>40924.889595656707</v>
      </c>
      <c r="H133" s="526">
        <f t="shared" si="53"/>
        <v>10273.605962290065</v>
      </c>
      <c r="I133" s="577">
        <f t="shared" si="54"/>
        <v>10273.605962290065</v>
      </c>
      <c r="J133" s="514">
        <f t="shared" si="55"/>
        <v>0</v>
      </c>
      <c r="K133" s="514"/>
      <c r="L133" s="525"/>
      <c r="M133" s="514">
        <f t="shared" si="56"/>
        <v>0</v>
      </c>
      <c r="N133" s="525"/>
      <c r="O133" s="514">
        <f t="shared" si="57"/>
        <v>0</v>
      </c>
      <c r="P133" s="514">
        <f t="shared" si="58"/>
        <v>0</v>
      </c>
      <c r="Q133" s="269"/>
    </row>
    <row r="134" spans="2:17">
      <c r="B134" s="195" t="str">
        <f t="shared" si="59"/>
        <v/>
      </c>
      <c r="C134" s="507">
        <f>IF(D93="","-",+C133+1)</f>
        <v>2047</v>
      </c>
      <c r="D134" s="374">
        <f>IF(F133+SUM(E$99:E133)=D$92,F133,D$92-SUM(E$99:E133))</f>
        <v>38110.865205412803</v>
      </c>
      <c r="E134" s="522">
        <f>IF(+J96&lt;F133,J96,D134)</f>
        <v>5628.0487804878048</v>
      </c>
      <c r="F134" s="523">
        <f t="shared" si="60"/>
        <v>32482.816424924997</v>
      </c>
      <c r="G134" s="523">
        <f t="shared" si="52"/>
        <v>35296.8408151689</v>
      </c>
      <c r="H134" s="526">
        <f t="shared" si="53"/>
        <v>9634.7423589902428</v>
      </c>
      <c r="I134" s="577">
        <f t="shared" si="54"/>
        <v>9634.7423589902428</v>
      </c>
      <c r="J134" s="514">
        <f t="shared" si="55"/>
        <v>0</v>
      </c>
      <c r="K134" s="514"/>
      <c r="L134" s="525"/>
      <c r="M134" s="514">
        <f t="shared" si="56"/>
        <v>0</v>
      </c>
      <c r="N134" s="525"/>
      <c r="O134" s="514">
        <f t="shared" si="57"/>
        <v>0</v>
      </c>
      <c r="P134" s="514">
        <f t="shared" si="58"/>
        <v>0</v>
      </c>
      <c r="Q134" s="269"/>
    </row>
    <row r="135" spans="2:17">
      <c r="B135" s="195" t="str">
        <f t="shared" si="59"/>
        <v/>
      </c>
      <c r="C135" s="507">
        <f>IF(D93="","-",+C134+1)</f>
        <v>2048</v>
      </c>
      <c r="D135" s="374">
        <f>IF(F134+SUM(E$99:E134)=D$92,F134,D$92-SUM(E$99:E134))</f>
        <v>32482.816424924997</v>
      </c>
      <c r="E135" s="522">
        <f>IF(+J96&lt;F134,J96,D135)</f>
        <v>5628.0487804878048</v>
      </c>
      <c r="F135" s="523">
        <f t="shared" si="60"/>
        <v>26854.76764443719</v>
      </c>
      <c r="G135" s="523">
        <f t="shared" si="52"/>
        <v>29668.792034681093</v>
      </c>
      <c r="H135" s="526">
        <f t="shared" si="53"/>
        <v>8995.8787556904226</v>
      </c>
      <c r="I135" s="577">
        <f t="shared" si="54"/>
        <v>8995.8787556904226</v>
      </c>
      <c r="J135" s="514">
        <f t="shared" si="55"/>
        <v>0</v>
      </c>
      <c r="K135" s="514"/>
      <c r="L135" s="525"/>
      <c r="M135" s="514">
        <f t="shared" si="56"/>
        <v>0</v>
      </c>
      <c r="N135" s="525"/>
      <c r="O135" s="514">
        <f t="shared" si="57"/>
        <v>0</v>
      </c>
      <c r="P135" s="514">
        <f t="shared" si="58"/>
        <v>0</v>
      </c>
      <c r="Q135" s="269"/>
    </row>
    <row r="136" spans="2:17">
      <c r="B136" s="195" t="str">
        <f t="shared" si="59"/>
        <v/>
      </c>
      <c r="C136" s="507">
        <f>IF(D93="","-",+C135+1)</f>
        <v>2049</v>
      </c>
      <c r="D136" s="374">
        <f>IF(F135+SUM(E$99:E135)=D$92,F135,D$92-SUM(E$99:E135))</f>
        <v>26854.76764443719</v>
      </c>
      <c r="E136" s="522">
        <f>IF(+J96&lt;F135,J96,D136)</f>
        <v>5628.0487804878048</v>
      </c>
      <c r="F136" s="523">
        <f t="shared" si="60"/>
        <v>21226.718863949383</v>
      </c>
      <c r="G136" s="523">
        <f t="shared" si="52"/>
        <v>24040.743254193287</v>
      </c>
      <c r="H136" s="526">
        <f t="shared" si="53"/>
        <v>8357.0151523906025</v>
      </c>
      <c r="I136" s="577">
        <f t="shared" si="54"/>
        <v>8357.0151523906025</v>
      </c>
      <c r="J136" s="514">
        <f t="shared" si="55"/>
        <v>0</v>
      </c>
      <c r="K136" s="514"/>
      <c r="L136" s="525"/>
      <c r="M136" s="514">
        <f t="shared" si="56"/>
        <v>0</v>
      </c>
      <c r="N136" s="525"/>
      <c r="O136" s="514">
        <f t="shared" si="57"/>
        <v>0</v>
      </c>
      <c r="P136" s="514">
        <f t="shared" si="58"/>
        <v>0</v>
      </c>
      <c r="Q136" s="269"/>
    </row>
    <row r="137" spans="2:17">
      <c r="B137" s="195" t="str">
        <f t="shared" si="59"/>
        <v/>
      </c>
      <c r="C137" s="507">
        <f>IF(D93="","-",+C136+1)</f>
        <v>2050</v>
      </c>
      <c r="D137" s="374">
        <f>IF(F136+SUM(E$99:E136)=D$92,F136,D$92-SUM(E$99:E136))</f>
        <v>21226.718863949383</v>
      </c>
      <c r="E137" s="522">
        <f>IF(+J96&lt;F136,J96,D137)</f>
        <v>5628.0487804878048</v>
      </c>
      <c r="F137" s="523">
        <f t="shared" si="60"/>
        <v>15598.670083461579</v>
      </c>
      <c r="G137" s="523">
        <f t="shared" si="52"/>
        <v>18412.69447370548</v>
      </c>
      <c r="H137" s="526">
        <f t="shared" si="53"/>
        <v>7718.1515490907823</v>
      </c>
      <c r="I137" s="577">
        <f t="shared" si="54"/>
        <v>7718.1515490907823</v>
      </c>
      <c r="J137" s="514">
        <f t="shared" si="55"/>
        <v>0</v>
      </c>
      <c r="K137" s="514"/>
      <c r="L137" s="525"/>
      <c r="M137" s="514">
        <f t="shared" si="56"/>
        <v>0</v>
      </c>
      <c r="N137" s="525"/>
      <c r="O137" s="514">
        <f t="shared" si="57"/>
        <v>0</v>
      </c>
      <c r="P137" s="514">
        <f t="shared" si="58"/>
        <v>0</v>
      </c>
      <c r="Q137" s="269"/>
    </row>
    <row r="138" spans="2:17">
      <c r="B138" s="195" t="str">
        <f t="shared" si="59"/>
        <v/>
      </c>
      <c r="C138" s="507">
        <f>IF(D93="","-",+C137+1)</f>
        <v>2051</v>
      </c>
      <c r="D138" s="374">
        <f>IF(F137+SUM(E$99:E137)=D$92,F137,D$92-SUM(E$99:E137))</f>
        <v>15598.670083461579</v>
      </c>
      <c r="E138" s="522">
        <f>IF(+J96&lt;F137,J96,D138)</f>
        <v>5628.0487804878048</v>
      </c>
      <c r="F138" s="523">
        <f t="shared" si="60"/>
        <v>9970.6213029737737</v>
      </c>
      <c r="G138" s="523">
        <f t="shared" si="52"/>
        <v>12784.645693217677</v>
      </c>
      <c r="H138" s="526">
        <f t="shared" si="53"/>
        <v>7079.2879457909621</v>
      </c>
      <c r="I138" s="577">
        <f t="shared" si="54"/>
        <v>7079.2879457909621</v>
      </c>
      <c r="J138" s="514">
        <f t="shared" si="55"/>
        <v>0</v>
      </c>
      <c r="K138" s="514"/>
      <c r="L138" s="525"/>
      <c r="M138" s="514">
        <f t="shared" si="56"/>
        <v>0</v>
      </c>
      <c r="N138" s="525"/>
      <c r="O138" s="514">
        <f t="shared" si="57"/>
        <v>0</v>
      </c>
      <c r="P138" s="514">
        <f t="shared" si="58"/>
        <v>0</v>
      </c>
      <c r="Q138" s="269"/>
    </row>
    <row r="139" spans="2:17">
      <c r="B139" s="195" t="str">
        <f t="shared" si="59"/>
        <v/>
      </c>
      <c r="C139" s="507">
        <f>IF(D93="","-",+C138+1)</f>
        <v>2052</v>
      </c>
      <c r="D139" s="374">
        <f>IF(F138+SUM(E$99:E138)=D$92,F138,D$92-SUM(E$99:E138))</f>
        <v>9970.6213029737737</v>
      </c>
      <c r="E139" s="522">
        <f>IF(+J96&lt;F138,J96,D139)</f>
        <v>5628.0487804878048</v>
      </c>
      <c r="F139" s="523">
        <f t="shared" si="60"/>
        <v>4342.5725224859689</v>
      </c>
      <c r="G139" s="523">
        <f t="shared" si="52"/>
        <v>7156.5969127298713</v>
      </c>
      <c r="H139" s="526">
        <f t="shared" si="53"/>
        <v>6440.4243424911419</v>
      </c>
      <c r="I139" s="577">
        <f t="shared" si="54"/>
        <v>6440.4243424911419</v>
      </c>
      <c r="J139" s="514">
        <f t="shared" si="55"/>
        <v>0</v>
      </c>
      <c r="K139" s="514"/>
      <c r="L139" s="525"/>
      <c r="M139" s="514">
        <f t="shared" si="56"/>
        <v>0</v>
      </c>
      <c r="N139" s="525"/>
      <c r="O139" s="514">
        <f t="shared" si="57"/>
        <v>0</v>
      </c>
      <c r="P139" s="514">
        <f t="shared" si="58"/>
        <v>0</v>
      </c>
      <c r="Q139" s="269"/>
    </row>
    <row r="140" spans="2:17">
      <c r="B140" s="195" t="str">
        <f t="shared" si="59"/>
        <v/>
      </c>
      <c r="C140" s="507">
        <f>IF(D93="","-",+C139+1)</f>
        <v>2053</v>
      </c>
      <c r="D140" s="374">
        <f>IF(F139+SUM(E$99:E139)=D$92,F139,D$92-SUM(E$99:E139))</f>
        <v>4342.5725224859689</v>
      </c>
      <c r="E140" s="522">
        <f>IF(+J96&lt;F139,J96,D140)</f>
        <v>4342.5725224859689</v>
      </c>
      <c r="F140" s="523">
        <f t="shared" si="60"/>
        <v>0</v>
      </c>
      <c r="G140" s="523">
        <f t="shared" si="52"/>
        <v>2171.2862612429844</v>
      </c>
      <c r="H140" s="526">
        <f t="shared" si="53"/>
        <v>4589.0444026626819</v>
      </c>
      <c r="I140" s="577">
        <f t="shared" si="54"/>
        <v>4589.0444026626819</v>
      </c>
      <c r="J140" s="514">
        <f t="shared" si="55"/>
        <v>0</v>
      </c>
      <c r="K140" s="514"/>
      <c r="L140" s="525"/>
      <c r="M140" s="514">
        <f t="shared" si="56"/>
        <v>0</v>
      </c>
      <c r="N140" s="525"/>
      <c r="O140" s="514">
        <f t="shared" si="57"/>
        <v>0</v>
      </c>
      <c r="P140" s="514">
        <f t="shared" si="58"/>
        <v>0</v>
      </c>
      <c r="Q140" s="269"/>
    </row>
    <row r="141" spans="2:17">
      <c r="B141" s="195" t="str">
        <f t="shared" si="59"/>
        <v/>
      </c>
      <c r="C141" s="507">
        <f>IF(D93="","-",+C140+1)</f>
        <v>2054</v>
      </c>
      <c r="D141" s="374">
        <f>IF(F140+SUM(E$99:E140)=D$92,F140,D$92-SUM(E$99:E140))</f>
        <v>0</v>
      </c>
      <c r="E141" s="522">
        <f>IF(+J96&lt;F140,J96,D141)</f>
        <v>0</v>
      </c>
      <c r="F141" s="523">
        <f t="shared" si="60"/>
        <v>0</v>
      </c>
      <c r="G141" s="523">
        <f t="shared" si="52"/>
        <v>0</v>
      </c>
      <c r="H141" s="526">
        <f t="shared" si="53"/>
        <v>0</v>
      </c>
      <c r="I141" s="577">
        <f t="shared" si="54"/>
        <v>0</v>
      </c>
      <c r="J141" s="514">
        <f t="shared" si="55"/>
        <v>0</v>
      </c>
      <c r="K141" s="514"/>
      <c r="L141" s="525"/>
      <c r="M141" s="514">
        <f t="shared" si="56"/>
        <v>0</v>
      </c>
      <c r="N141" s="525"/>
      <c r="O141" s="514">
        <f t="shared" si="57"/>
        <v>0</v>
      </c>
      <c r="P141" s="514">
        <f t="shared" si="58"/>
        <v>0</v>
      </c>
      <c r="Q141" s="269"/>
    </row>
    <row r="142" spans="2:17">
      <c r="B142" s="195" t="str">
        <f t="shared" si="59"/>
        <v/>
      </c>
      <c r="C142" s="507">
        <f>IF(D93="","-",+C141+1)</f>
        <v>2055</v>
      </c>
      <c r="D142" s="374">
        <f>IF(F141+SUM(E$99:E141)=D$92,F141,D$92-SUM(E$99:E141))</f>
        <v>0</v>
      </c>
      <c r="E142" s="522">
        <f>IF(+J96&lt;F141,J96,D142)</f>
        <v>0</v>
      </c>
      <c r="F142" s="523">
        <f t="shared" si="60"/>
        <v>0</v>
      </c>
      <c r="G142" s="523">
        <f t="shared" si="52"/>
        <v>0</v>
      </c>
      <c r="H142" s="526">
        <f t="shared" si="53"/>
        <v>0</v>
      </c>
      <c r="I142" s="577">
        <f t="shared" si="54"/>
        <v>0</v>
      </c>
      <c r="J142" s="514">
        <f t="shared" si="55"/>
        <v>0</v>
      </c>
      <c r="K142" s="514"/>
      <c r="L142" s="525"/>
      <c r="M142" s="514">
        <f t="shared" si="56"/>
        <v>0</v>
      </c>
      <c r="N142" s="525"/>
      <c r="O142" s="514">
        <f t="shared" si="57"/>
        <v>0</v>
      </c>
      <c r="P142" s="514">
        <f t="shared" si="58"/>
        <v>0</v>
      </c>
      <c r="Q142" s="269"/>
    </row>
    <row r="143" spans="2:17">
      <c r="B143" s="195" t="str">
        <f t="shared" si="59"/>
        <v/>
      </c>
      <c r="C143" s="507">
        <f>IF(D93="","-",+C142+1)</f>
        <v>2056</v>
      </c>
      <c r="D143" s="374">
        <f>IF(F142+SUM(E$99:E142)=D$92,F142,D$92-SUM(E$99:E142))</f>
        <v>0</v>
      </c>
      <c r="E143" s="522">
        <f>IF(+J96&lt;F142,J96,D143)</f>
        <v>0</v>
      </c>
      <c r="F143" s="523">
        <f t="shared" si="60"/>
        <v>0</v>
      </c>
      <c r="G143" s="523">
        <f t="shared" si="52"/>
        <v>0</v>
      </c>
      <c r="H143" s="526">
        <f t="shared" si="53"/>
        <v>0</v>
      </c>
      <c r="I143" s="577">
        <f t="shared" si="54"/>
        <v>0</v>
      </c>
      <c r="J143" s="514">
        <f t="shared" si="55"/>
        <v>0</v>
      </c>
      <c r="K143" s="514"/>
      <c r="L143" s="525"/>
      <c r="M143" s="514">
        <f t="shared" si="56"/>
        <v>0</v>
      </c>
      <c r="N143" s="525"/>
      <c r="O143" s="514">
        <f t="shared" si="57"/>
        <v>0</v>
      </c>
      <c r="P143" s="514">
        <f t="shared" si="58"/>
        <v>0</v>
      </c>
      <c r="Q143" s="269"/>
    </row>
    <row r="144" spans="2:17">
      <c r="B144" s="195" t="str">
        <f t="shared" si="59"/>
        <v/>
      </c>
      <c r="C144" s="507">
        <f>IF(D93="","-",+C143+1)</f>
        <v>2057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60"/>
        <v>0</v>
      </c>
      <c r="G144" s="523">
        <f t="shared" si="52"/>
        <v>0</v>
      </c>
      <c r="H144" s="526">
        <f t="shared" si="53"/>
        <v>0</v>
      </c>
      <c r="I144" s="577">
        <f t="shared" si="54"/>
        <v>0</v>
      </c>
      <c r="J144" s="514">
        <f t="shared" si="55"/>
        <v>0</v>
      </c>
      <c r="K144" s="514"/>
      <c r="L144" s="525"/>
      <c r="M144" s="514">
        <f t="shared" si="56"/>
        <v>0</v>
      </c>
      <c r="N144" s="525"/>
      <c r="O144" s="514">
        <f t="shared" si="57"/>
        <v>0</v>
      </c>
      <c r="P144" s="514">
        <f t="shared" si="58"/>
        <v>0</v>
      </c>
      <c r="Q144" s="269"/>
    </row>
    <row r="145" spans="2:17">
      <c r="B145" s="195" t="str">
        <f t="shared" si="59"/>
        <v/>
      </c>
      <c r="C145" s="507">
        <f>IF(D93="","-",+C144+1)</f>
        <v>2058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60"/>
        <v>0</v>
      </c>
      <c r="G145" s="523">
        <f t="shared" si="52"/>
        <v>0</v>
      </c>
      <c r="H145" s="526">
        <f t="shared" si="53"/>
        <v>0</v>
      </c>
      <c r="I145" s="577">
        <f t="shared" si="54"/>
        <v>0</v>
      </c>
      <c r="J145" s="514">
        <f t="shared" si="55"/>
        <v>0</v>
      </c>
      <c r="K145" s="514"/>
      <c r="L145" s="525"/>
      <c r="M145" s="514">
        <f t="shared" si="56"/>
        <v>0</v>
      </c>
      <c r="N145" s="525"/>
      <c r="O145" s="514">
        <f t="shared" si="57"/>
        <v>0</v>
      </c>
      <c r="P145" s="514">
        <f t="shared" si="58"/>
        <v>0</v>
      </c>
      <c r="Q145" s="269"/>
    </row>
    <row r="146" spans="2:17">
      <c r="B146" s="195" t="str">
        <f t="shared" si="59"/>
        <v/>
      </c>
      <c r="C146" s="507">
        <f>IF(D93="","-",+C145+1)</f>
        <v>2059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60"/>
        <v>0</v>
      </c>
      <c r="G146" s="523">
        <f t="shared" si="52"/>
        <v>0</v>
      </c>
      <c r="H146" s="526">
        <f t="shared" si="53"/>
        <v>0</v>
      </c>
      <c r="I146" s="577">
        <f t="shared" si="54"/>
        <v>0</v>
      </c>
      <c r="J146" s="514">
        <f t="shared" si="55"/>
        <v>0</v>
      </c>
      <c r="K146" s="514"/>
      <c r="L146" s="525"/>
      <c r="M146" s="514">
        <f t="shared" si="56"/>
        <v>0</v>
      </c>
      <c r="N146" s="525"/>
      <c r="O146" s="514">
        <f t="shared" si="57"/>
        <v>0</v>
      </c>
      <c r="P146" s="514">
        <f t="shared" si="58"/>
        <v>0</v>
      </c>
      <c r="Q146" s="269"/>
    </row>
    <row r="147" spans="2:17">
      <c r="B147" s="195" t="str">
        <f t="shared" si="59"/>
        <v/>
      </c>
      <c r="C147" s="507">
        <f>IF(D93="","-",+C146+1)</f>
        <v>2060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60"/>
        <v>0</v>
      </c>
      <c r="G147" s="523">
        <f t="shared" si="52"/>
        <v>0</v>
      </c>
      <c r="H147" s="526">
        <f t="shared" si="53"/>
        <v>0</v>
      </c>
      <c r="I147" s="577">
        <f t="shared" si="54"/>
        <v>0</v>
      </c>
      <c r="J147" s="514">
        <f t="shared" si="55"/>
        <v>0</v>
      </c>
      <c r="K147" s="514"/>
      <c r="L147" s="525"/>
      <c r="M147" s="514">
        <f t="shared" si="56"/>
        <v>0</v>
      </c>
      <c r="N147" s="525"/>
      <c r="O147" s="514">
        <f t="shared" si="57"/>
        <v>0</v>
      </c>
      <c r="P147" s="514">
        <f t="shared" si="58"/>
        <v>0</v>
      </c>
      <c r="Q147" s="269"/>
    </row>
    <row r="148" spans="2:17">
      <c r="B148" s="195" t="str">
        <f t="shared" si="59"/>
        <v/>
      </c>
      <c r="C148" s="507">
        <f>IF(D93="","-",+C147+1)</f>
        <v>2061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60"/>
        <v>0</v>
      </c>
      <c r="G148" s="523">
        <f t="shared" si="52"/>
        <v>0</v>
      </c>
      <c r="H148" s="526">
        <f t="shared" si="53"/>
        <v>0</v>
      </c>
      <c r="I148" s="577">
        <f t="shared" si="54"/>
        <v>0</v>
      </c>
      <c r="J148" s="514">
        <f t="shared" si="55"/>
        <v>0</v>
      </c>
      <c r="K148" s="514"/>
      <c r="L148" s="525"/>
      <c r="M148" s="514">
        <f t="shared" si="56"/>
        <v>0</v>
      </c>
      <c r="N148" s="525"/>
      <c r="O148" s="514">
        <f t="shared" si="57"/>
        <v>0</v>
      </c>
      <c r="P148" s="514">
        <f t="shared" si="58"/>
        <v>0</v>
      </c>
      <c r="Q148" s="269"/>
    </row>
    <row r="149" spans="2:17">
      <c r="B149" s="195" t="str">
        <f t="shared" si="59"/>
        <v/>
      </c>
      <c r="C149" s="507">
        <f>IF(D93="","-",+C148+1)</f>
        <v>2062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60"/>
        <v>0</v>
      </c>
      <c r="G149" s="523">
        <f t="shared" si="52"/>
        <v>0</v>
      </c>
      <c r="H149" s="526">
        <f t="shared" si="53"/>
        <v>0</v>
      </c>
      <c r="I149" s="577">
        <f t="shared" si="54"/>
        <v>0</v>
      </c>
      <c r="J149" s="514">
        <f t="shared" si="55"/>
        <v>0</v>
      </c>
      <c r="K149" s="514"/>
      <c r="L149" s="525"/>
      <c r="M149" s="514">
        <f t="shared" si="56"/>
        <v>0</v>
      </c>
      <c r="N149" s="525"/>
      <c r="O149" s="514">
        <f t="shared" si="57"/>
        <v>0</v>
      </c>
      <c r="P149" s="514">
        <f t="shared" si="58"/>
        <v>0</v>
      </c>
      <c r="Q149" s="269"/>
    </row>
    <row r="150" spans="2:17">
      <c r="B150" s="195" t="str">
        <f t="shared" si="59"/>
        <v/>
      </c>
      <c r="C150" s="507">
        <f>IF(D93="","-",+C149+1)</f>
        <v>2063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60"/>
        <v>0</v>
      </c>
      <c r="G150" s="523">
        <f t="shared" si="52"/>
        <v>0</v>
      </c>
      <c r="H150" s="526">
        <f t="shared" si="53"/>
        <v>0</v>
      </c>
      <c r="I150" s="577">
        <f t="shared" si="54"/>
        <v>0</v>
      </c>
      <c r="J150" s="514">
        <f t="shared" si="55"/>
        <v>0</v>
      </c>
      <c r="K150" s="514"/>
      <c r="L150" s="525"/>
      <c r="M150" s="514">
        <f t="shared" si="56"/>
        <v>0</v>
      </c>
      <c r="N150" s="525"/>
      <c r="O150" s="514">
        <f t="shared" si="57"/>
        <v>0</v>
      </c>
      <c r="P150" s="514">
        <f t="shared" si="58"/>
        <v>0</v>
      </c>
      <c r="Q150" s="269"/>
    </row>
    <row r="151" spans="2:17">
      <c r="B151" s="195" t="str">
        <f t="shared" si="59"/>
        <v/>
      </c>
      <c r="C151" s="507">
        <f>IF(D93="","-",+C150+1)</f>
        <v>2064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60"/>
        <v>0</v>
      </c>
      <c r="G151" s="523">
        <f t="shared" si="52"/>
        <v>0</v>
      </c>
      <c r="H151" s="526">
        <f t="shared" si="53"/>
        <v>0</v>
      </c>
      <c r="I151" s="577">
        <f t="shared" si="54"/>
        <v>0</v>
      </c>
      <c r="J151" s="514">
        <f t="shared" si="55"/>
        <v>0</v>
      </c>
      <c r="K151" s="514"/>
      <c r="L151" s="525"/>
      <c r="M151" s="514">
        <f t="shared" si="56"/>
        <v>0</v>
      </c>
      <c r="N151" s="525"/>
      <c r="O151" s="514">
        <f t="shared" si="57"/>
        <v>0</v>
      </c>
      <c r="P151" s="514">
        <f t="shared" si="58"/>
        <v>0</v>
      </c>
      <c r="Q151" s="269"/>
    </row>
    <row r="152" spans="2:17">
      <c r="B152" s="195" t="str">
        <f t="shared" si="59"/>
        <v/>
      </c>
      <c r="C152" s="507">
        <f>IF(D93="","-",+C151+1)</f>
        <v>2065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60"/>
        <v>0</v>
      </c>
      <c r="G152" s="523">
        <f t="shared" si="52"/>
        <v>0</v>
      </c>
      <c r="H152" s="526">
        <f t="shared" si="53"/>
        <v>0</v>
      </c>
      <c r="I152" s="577">
        <f t="shared" si="54"/>
        <v>0</v>
      </c>
      <c r="J152" s="514">
        <f t="shared" si="55"/>
        <v>0</v>
      </c>
      <c r="K152" s="514"/>
      <c r="L152" s="525"/>
      <c r="M152" s="514">
        <f t="shared" si="56"/>
        <v>0</v>
      </c>
      <c r="N152" s="525"/>
      <c r="O152" s="514">
        <f t="shared" si="57"/>
        <v>0</v>
      </c>
      <c r="P152" s="514">
        <f t="shared" si="58"/>
        <v>0</v>
      </c>
      <c r="Q152" s="269"/>
    </row>
    <row r="153" spans="2:17">
      <c r="B153" s="195" t="str">
        <f t="shared" si="59"/>
        <v/>
      </c>
      <c r="C153" s="507">
        <f>IF(D93="","-",+C152+1)</f>
        <v>2066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60"/>
        <v>0</v>
      </c>
      <c r="G153" s="523">
        <f t="shared" si="52"/>
        <v>0</v>
      </c>
      <c r="H153" s="526">
        <f t="shared" si="53"/>
        <v>0</v>
      </c>
      <c r="I153" s="577">
        <f t="shared" si="54"/>
        <v>0</v>
      </c>
      <c r="J153" s="514">
        <f t="shared" si="55"/>
        <v>0</v>
      </c>
      <c r="K153" s="514"/>
      <c r="L153" s="525"/>
      <c r="M153" s="514">
        <f t="shared" si="56"/>
        <v>0</v>
      </c>
      <c r="N153" s="525"/>
      <c r="O153" s="514">
        <f t="shared" si="57"/>
        <v>0</v>
      </c>
      <c r="P153" s="514">
        <f t="shared" si="58"/>
        <v>0</v>
      </c>
      <c r="Q153" s="269"/>
    </row>
    <row r="154" spans="2:17" ht="13.5" thickBot="1">
      <c r="B154" s="195" t="str">
        <f t="shared" si="59"/>
        <v/>
      </c>
      <c r="C154" s="527">
        <f>IF(D93="","-",+C153+1)</f>
        <v>2067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60"/>
        <v>0</v>
      </c>
      <c r="G154" s="528">
        <f t="shared" si="52"/>
        <v>0</v>
      </c>
      <c r="H154" s="530">
        <f t="shared" si="53"/>
        <v>0</v>
      </c>
      <c r="I154" s="579">
        <f t="shared" si="54"/>
        <v>0</v>
      </c>
      <c r="J154" s="533">
        <f t="shared" si="55"/>
        <v>0</v>
      </c>
      <c r="K154" s="514"/>
      <c r="L154" s="532"/>
      <c r="M154" s="533">
        <f t="shared" si="56"/>
        <v>0</v>
      </c>
      <c r="N154" s="532"/>
      <c r="O154" s="533">
        <f t="shared" si="57"/>
        <v>0</v>
      </c>
      <c r="P154" s="533">
        <f t="shared" si="58"/>
        <v>0</v>
      </c>
      <c r="Q154" s="269"/>
    </row>
    <row r="155" spans="2:17">
      <c r="C155" s="374" t="s">
        <v>78</v>
      </c>
      <c r="D155" s="375"/>
      <c r="E155" s="375">
        <f>SUM(E99:E154)</f>
        <v>230749.99999999977</v>
      </c>
      <c r="F155" s="375"/>
      <c r="G155" s="375"/>
      <c r="H155" s="375">
        <f>SUM(H99:H154)</f>
        <v>792741.75518015376</v>
      </c>
      <c r="I155" s="375">
        <f>SUM(I99:I154)</f>
        <v>792741.75518015376</v>
      </c>
      <c r="J155" s="375">
        <f>SUM(J99:J154)</f>
        <v>0</v>
      </c>
      <c r="K155" s="375"/>
      <c r="L155" s="375"/>
      <c r="M155" s="375"/>
      <c r="N155" s="375"/>
      <c r="O155" s="375"/>
      <c r="P155" s="269"/>
      <c r="Q155" s="269"/>
    </row>
    <row r="156" spans="2:17"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  <c r="Q156" s="269"/>
    </row>
    <row r="157" spans="2:17">
      <c r="C157" s="580" t="s">
        <v>92</v>
      </c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  <c r="Q157" s="269"/>
    </row>
    <row r="158" spans="2:17"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  <c r="Q158" s="269"/>
    </row>
    <row r="159" spans="2:17">
      <c r="C159" s="534" t="s">
        <v>97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  <c r="Q159" s="269"/>
    </row>
    <row r="160" spans="2:17">
      <c r="C160" s="581" t="s">
        <v>79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  <c r="Q160" s="269"/>
    </row>
    <row r="161" spans="3:17">
      <c r="C161" s="581" t="s">
        <v>80</v>
      </c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  <c r="Q161" s="269"/>
    </row>
    <row r="162" spans="3:17" ht="18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454" t="s">
        <v>131</v>
      </c>
      <c r="Q162" s="269"/>
    </row>
  </sheetData>
  <phoneticPr fontId="0" type="noConversion"/>
  <conditionalFormatting sqref="C17:C72">
    <cfRule type="cellIs" dxfId="101" priority="1" stopIfTrue="1" operator="equal">
      <formula>$I$10</formula>
    </cfRule>
  </conditionalFormatting>
  <conditionalFormatting sqref="C99:C154">
    <cfRule type="cellIs" dxfId="100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83"/>
  <dimension ref="A1:Q162"/>
  <sheetViews>
    <sheetView topLeftCell="A95" zoomScaleNormal="100" zoomScaleSheetLayoutView="75" workbookViewId="0">
      <selection activeCell="D99" sqref="D99:I109"/>
    </sheetView>
  </sheetViews>
  <sheetFormatPr defaultColWidth="8.7109375" defaultRowHeight="12.75" customHeight="1"/>
  <cols>
    <col min="1" max="1" width="4.7109375" style="183" customWidth="1"/>
    <col min="2" max="2" width="6.7109375" style="183" customWidth="1"/>
    <col min="3" max="3" width="23.28515625" style="183" customWidth="1"/>
    <col min="4" max="8" width="17.7109375" style="183" customWidth="1"/>
    <col min="9" max="9" width="20.42578125" style="183" customWidth="1"/>
    <col min="10" max="10" width="16.42578125" style="183" customWidth="1"/>
    <col min="11" max="11" width="17.7109375" style="183" customWidth="1"/>
    <col min="12" max="12" width="16.140625" style="183" customWidth="1"/>
    <col min="13" max="13" width="17.7109375" style="183" customWidth="1"/>
    <col min="14" max="14" width="16.140625" style="183" customWidth="1"/>
    <col min="15" max="15" width="16.85546875" style="183" customWidth="1"/>
    <col min="16" max="16" width="24.42578125" style="183" customWidth="1"/>
    <col min="17" max="17" width="4.7109375" style="183" customWidth="1"/>
    <col min="18" max="22" width="8.7109375" style="183"/>
    <col min="23" max="23" width="9.140625" style="183" customWidth="1"/>
    <col min="24" max="16384" width="8.7109375" style="183"/>
  </cols>
  <sheetData>
    <row r="1" spans="1:17" ht="20.25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32 of 75</v>
      </c>
      <c r="Q1" s="453"/>
    </row>
    <row r="2" spans="1:17" ht="18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454" t="s">
        <v>129</v>
      </c>
    </row>
    <row r="3" spans="1:17" ht="18.75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 t="str">
        <f>RIGHT(N3,3)</f>
        <v/>
      </c>
      <c r="P3" s="455">
        <v>1</v>
      </c>
    </row>
    <row r="4" spans="1:17" ht="15.75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7" ht="1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451256.7914021461</v>
      </c>
      <c r="P5" s="269"/>
    </row>
    <row r="6" spans="1:17" ht="15.7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451256.7914021461</v>
      </c>
      <c r="O6" s="269"/>
      <c r="P6" s="269"/>
    </row>
    <row r="7" spans="1:17" ht="13.5" thickBot="1">
      <c r="C7" s="467" t="s">
        <v>48</v>
      </c>
      <c r="D7" s="620" t="s">
        <v>286</v>
      </c>
      <c r="E7" s="269"/>
      <c r="F7" s="269"/>
      <c r="G7" s="534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7" ht="13.5" thickBot="1">
      <c r="C8" s="472"/>
      <c r="D8" s="599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7" ht="13.5" thickBot="1">
      <c r="A9" s="191"/>
      <c r="C9" s="476" t="s">
        <v>50</v>
      </c>
      <c r="D9" s="621"/>
      <c r="E9" s="666" t="s">
        <v>493</v>
      </c>
      <c r="F9" s="478"/>
      <c r="G9" s="478"/>
      <c r="H9" s="478"/>
      <c r="I9" s="479"/>
      <c r="J9" s="480"/>
      <c r="O9" s="481"/>
      <c r="P9" s="272"/>
    </row>
    <row r="10" spans="1:17">
      <c r="C10" s="482" t="s">
        <v>51</v>
      </c>
      <c r="D10" s="483">
        <v>4175110</v>
      </c>
      <c r="E10" s="353" t="s">
        <v>52</v>
      </c>
      <c r="F10" s="481"/>
      <c r="G10" s="484"/>
      <c r="H10" s="484"/>
      <c r="I10" s="485">
        <f>+'SWE.WS.F.BPU.ATRR.Projected'!L19</f>
        <v>2024</v>
      </c>
      <c r="J10" s="480"/>
      <c r="K10" s="375" t="s">
        <v>53</v>
      </c>
      <c r="O10" s="272"/>
      <c r="P10" s="272"/>
    </row>
    <row r="11" spans="1:17">
      <c r="C11" s="486" t="s">
        <v>54</v>
      </c>
      <c r="D11" s="487">
        <v>2012</v>
      </c>
      <c r="E11" s="486" t="s">
        <v>55</v>
      </c>
      <c r="F11" s="484"/>
      <c r="G11" s="233"/>
      <c r="H11" s="233"/>
      <c r="I11" s="488"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7">
      <c r="C12" s="486" t="s">
        <v>56</v>
      </c>
      <c r="D12" s="483">
        <v>6</v>
      </c>
      <c r="E12" s="486" t="s">
        <v>57</v>
      </c>
      <c r="F12" s="484"/>
      <c r="G12" s="233"/>
      <c r="H12" s="233"/>
      <c r="I12" s="490">
        <f>'SWE.WS.F.BPU.ATRR.Projected'!$F$81</f>
        <v>0.11952713165403545</v>
      </c>
      <c r="J12" s="425"/>
      <c r="K12" s="183" t="s">
        <v>58</v>
      </c>
      <c r="O12" s="272"/>
      <c r="P12" s="272"/>
    </row>
    <row r="13" spans="1:17">
      <c r="C13" s="486" t="s">
        <v>59</v>
      </c>
      <c r="D13" s="488">
        <f>+'SWE.WS.F.BPU.ATRR.Projected'!F$93</f>
        <v>44</v>
      </c>
      <c r="E13" s="486" t="s">
        <v>60</v>
      </c>
      <c r="F13" s="484"/>
      <c r="G13" s="233"/>
      <c r="H13" s="233"/>
      <c r="I13" s="490">
        <f>IF(G5="",I12,'SWE.WS.F.BPU.ATRR.Projected'!$F$80)</f>
        <v>0.11952713165403545</v>
      </c>
      <c r="J13" s="425"/>
      <c r="K13" s="375" t="s">
        <v>61</v>
      </c>
      <c r="L13" s="324"/>
      <c r="M13" s="324"/>
      <c r="N13" s="324"/>
      <c r="O13" s="272"/>
      <c r="P13" s="272"/>
    </row>
    <row r="14" spans="1:17" ht="13.5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94888.863636363632</v>
      </c>
      <c r="J14" s="375"/>
      <c r="K14" s="375"/>
      <c r="L14" s="375"/>
      <c r="M14" s="375"/>
      <c r="N14" s="375"/>
      <c r="O14" s="272"/>
      <c r="P14" s="272"/>
    </row>
    <row r="15" spans="1:17" ht="38.25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388</v>
      </c>
      <c r="H15" s="495" t="s">
        <v>389</v>
      </c>
      <c r="I15" s="496" t="s">
        <v>260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7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>
      <c r="C17" s="507">
        <f>IF(D11= "","-",D11)</f>
        <v>2012</v>
      </c>
      <c r="D17" s="508">
        <v>3985900</v>
      </c>
      <c r="E17" s="509">
        <v>47451.190476190473</v>
      </c>
      <c r="F17" s="508">
        <v>3938448.8095238097</v>
      </c>
      <c r="G17" s="509">
        <v>633177.84907678491</v>
      </c>
      <c r="H17" s="510">
        <v>633177.84907678491</v>
      </c>
      <c r="I17" s="617">
        <v>0</v>
      </c>
      <c r="J17" s="511"/>
      <c r="K17" s="512">
        <f t="shared" ref="K17:K22" si="0">G17</f>
        <v>633177.84907678491</v>
      </c>
      <c r="L17" s="597">
        <f t="shared" ref="L17:L48" si="1">IF(K17&lt;&gt;0,+G17-K17,0)</f>
        <v>0</v>
      </c>
      <c r="M17" s="512">
        <f t="shared" ref="M17:M22" si="2">H17</f>
        <v>633177.84907678491</v>
      </c>
      <c r="N17" s="513">
        <f t="shared" ref="N17:N48" si="3">IF(M17&lt;&gt;0,+H17-M17,0)</f>
        <v>0</v>
      </c>
      <c r="O17" s="514">
        <f t="shared" ref="O17:O48" si="4">+N17-L17</f>
        <v>0</v>
      </c>
      <c r="P17" s="272"/>
    </row>
    <row r="18" spans="2:16">
      <c r="B18" s="195" t="str">
        <f t="shared" ref="B18:B49" si="5">IF(D18=F17,"","IU")</f>
        <v>IU</v>
      </c>
      <c r="C18" s="507">
        <f>IF(D11="","-",+C17+1)</f>
        <v>2013</v>
      </c>
      <c r="D18" s="508">
        <v>4157203.8095238097</v>
      </c>
      <c r="E18" s="516">
        <v>100110.83333333333</v>
      </c>
      <c r="F18" s="508">
        <v>4057092.9761904762</v>
      </c>
      <c r="G18" s="516">
        <v>668051.44078047015</v>
      </c>
      <c r="H18" s="510">
        <v>668051.44078047015</v>
      </c>
      <c r="I18" s="616">
        <v>0</v>
      </c>
      <c r="J18" s="511"/>
      <c r="K18" s="518">
        <f t="shared" si="0"/>
        <v>668051.44078047015</v>
      </c>
      <c r="L18" s="519">
        <f t="shared" ref="L18:L23" si="6">IF(K18&lt;&gt;0,+G18-K18,0)</f>
        <v>0</v>
      </c>
      <c r="M18" s="518">
        <f t="shared" si="2"/>
        <v>668051.44078047015</v>
      </c>
      <c r="N18" s="514">
        <f t="shared" ref="N18:N23" si="7">IF(M18&lt;&gt;0,+H18-M18,0)</f>
        <v>0</v>
      </c>
      <c r="O18" s="514">
        <f t="shared" ref="O18:O23" si="8">+N18-L18</f>
        <v>0</v>
      </c>
      <c r="P18" s="272"/>
    </row>
    <row r="19" spans="2:16">
      <c r="B19" s="195" t="str">
        <f t="shared" si="5"/>
        <v>IU</v>
      </c>
      <c r="C19" s="507">
        <f>IF(D11="","-",+C18+1)</f>
        <v>2014</v>
      </c>
      <c r="D19" s="508">
        <v>4010174.9761904762</v>
      </c>
      <c r="E19" s="516">
        <v>98993.738095238092</v>
      </c>
      <c r="F19" s="508">
        <v>3911181.2380952383</v>
      </c>
      <c r="G19" s="516">
        <v>626653.18678450992</v>
      </c>
      <c r="H19" s="510">
        <v>626653.18678450992</v>
      </c>
      <c r="I19" s="616">
        <v>0</v>
      </c>
      <c r="J19" s="511"/>
      <c r="K19" s="518">
        <f t="shared" si="0"/>
        <v>626653.18678450992</v>
      </c>
      <c r="L19" s="519">
        <f t="shared" si="6"/>
        <v>0</v>
      </c>
      <c r="M19" s="518">
        <f t="shared" si="2"/>
        <v>626653.18678450992</v>
      </c>
      <c r="N19" s="514">
        <f t="shared" si="7"/>
        <v>0</v>
      </c>
      <c r="O19" s="514">
        <f t="shared" si="8"/>
        <v>0</v>
      </c>
      <c r="P19" s="272"/>
    </row>
    <row r="20" spans="2:16">
      <c r="B20" s="195" t="str">
        <f t="shared" si="5"/>
        <v>IU</v>
      </c>
      <c r="C20" s="507">
        <f>IF(D11="","-",+C19+1)</f>
        <v>2015</v>
      </c>
      <c r="D20" s="508">
        <v>3928554.2380952379</v>
      </c>
      <c r="E20" s="516">
        <v>99407.380952380947</v>
      </c>
      <c r="F20" s="508">
        <v>3829146.8571428568</v>
      </c>
      <c r="G20" s="516">
        <v>603724.40567685384</v>
      </c>
      <c r="H20" s="510">
        <v>603724.40567685384</v>
      </c>
      <c r="I20" s="511">
        <v>0</v>
      </c>
      <c r="J20" s="511"/>
      <c r="K20" s="518">
        <f t="shared" si="0"/>
        <v>603724.40567685384</v>
      </c>
      <c r="L20" s="519">
        <f t="shared" si="6"/>
        <v>0</v>
      </c>
      <c r="M20" s="518">
        <f t="shared" si="2"/>
        <v>603724.40567685384</v>
      </c>
      <c r="N20" s="514">
        <f t="shared" si="7"/>
        <v>0</v>
      </c>
      <c r="O20" s="514">
        <f t="shared" si="8"/>
        <v>0</v>
      </c>
      <c r="P20" s="272"/>
    </row>
    <row r="21" spans="2:16">
      <c r="B21" s="195" t="str">
        <f t="shared" si="5"/>
        <v/>
      </c>
      <c r="C21" s="507">
        <f>IF(D12="","-",+C20+1)</f>
        <v>2016</v>
      </c>
      <c r="D21" s="508">
        <v>3829146.8571428568</v>
      </c>
      <c r="E21" s="516">
        <v>99407.380952380947</v>
      </c>
      <c r="F21" s="508">
        <v>3729739.4761904757</v>
      </c>
      <c r="G21" s="516">
        <v>584571.79884231184</v>
      </c>
      <c r="H21" s="510">
        <v>584571.79884231184</v>
      </c>
      <c r="I21" s="511">
        <f t="shared" ref="I21:I48" si="9">H21-G21</f>
        <v>0</v>
      </c>
      <c r="J21" s="511"/>
      <c r="K21" s="518">
        <f t="shared" si="0"/>
        <v>584571.79884231184</v>
      </c>
      <c r="L21" s="519">
        <f t="shared" si="6"/>
        <v>0</v>
      </c>
      <c r="M21" s="518">
        <f t="shared" si="2"/>
        <v>584571.79884231184</v>
      </c>
      <c r="N21" s="514">
        <f t="shared" si="7"/>
        <v>0</v>
      </c>
      <c r="O21" s="514">
        <f t="shared" si="8"/>
        <v>0</v>
      </c>
      <c r="P21" s="272"/>
    </row>
    <row r="22" spans="2:16">
      <c r="B22" s="195" t="str">
        <f t="shared" si="5"/>
        <v/>
      </c>
      <c r="C22" s="507">
        <f>IF(D11="","-",+C21+1)</f>
        <v>2017</v>
      </c>
      <c r="D22" s="508">
        <v>3729739.4761904757</v>
      </c>
      <c r="E22" s="516">
        <v>97095.58139534884</v>
      </c>
      <c r="F22" s="508">
        <v>3632643.8947951267</v>
      </c>
      <c r="G22" s="516">
        <v>553167.7460387327</v>
      </c>
      <c r="H22" s="510">
        <v>553167.7460387327</v>
      </c>
      <c r="I22" s="511">
        <f t="shared" si="9"/>
        <v>0</v>
      </c>
      <c r="J22" s="511"/>
      <c r="K22" s="518">
        <f t="shared" si="0"/>
        <v>553167.7460387327</v>
      </c>
      <c r="L22" s="519">
        <f t="shared" si="6"/>
        <v>0</v>
      </c>
      <c r="M22" s="518">
        <f t="shared" si="2"/>
        <v>553167.7460387327</v>
      </c>
      <c r="N22" s="514">
        <f t="shared" si="7"/>
        <v>0</v>
      </c>
      <c r="O22" s="514">
        <f t="shared" si="8"/>
        <v>0</v>
      </c>
      <c r="P22" s="272"/>
    </row>
    <row r="23" spans="2:16">
      <c r="B23" s="195" t="str">
        <f t="shared" si="5"/>
        <v/>
      </c>
      <c r="C23" s="507">
        <f>IF(D11="","-",+C22+1)</f>
        <v>2018</v>
      </c>
      <c r="D23" s="508">
        <v>3632643.8947951267</v>
      </c>
      <c r="E23" s="516">
        <v>101831.95121951219</v>
      </c>
      <c r="F23" s="508">
        <v>3530811.9435756146</v>
      </c>
      <c r="G23" s="516">
        <v>557048.43371456629</v>
      </c>
      <c r="H23" s="510">
        <v>557048.43371456629</v>
      </c>
      <c r="I23" s="511">
        <f t="shared" si="9"/>
        <v>0</v>
      </c>
      <c r="J23" s="511"/>
      <c r="K23" s="518">
        <f t="shared" ref="K23:K28" si="10">G23</f>
        <v>557048.43371456629</v>
      </c>
      <c r="L23" s="519">
        <f t="shared" si="6"/>
        <v>0</v>
      </c>
      <c r="M23" s="518">
        <f t="shared" ref="M23:M28" si="11">H23</f>
        <v>557048.43371456629</v>
      </c>
      <c r="N23" s="514">
        <f t="shared" si="7"/>
        <v>0</v>
      </c>
      <c r="O23" s="514">
        <f t="shared" si="8"/>
        <v>0</v>
      </c>
      <c r="P23" s="272"/>
    </row>
    <row r="24" spans="2:16">
      <c r="B24" s="195" t="str">
        <f t="shared" si="5"/>
        <v/>
      </c>
      <c r="C24" s="507">
        <f>IF(D11="","-",+C23+1)</f>
        <v>2019</v>
      </c>
      <c r="D24" s="508">
        <v>3530811.9435756146</v>
      </c>
      <c r="E24" s="516">
        <v>101831.95121951219</v>
      </c>
      <c r="F24" s="508">
        <v>3428979.9923561024</v>
      </c>
      <c r="G24" s="516">
        <v>544106.19363221596</v>
      </c>
      <c r="H24" s="510">
        <v>544106.19363221596</v>
      </c>
      <c r="I24" s="511">
        <f t="shared" si="9"/>
        <v>0</v>
      </c>
      <c r="J24" s="511"/>
      <c r="K24" s="518">
        <f t="shared" si="10"/>
        <v>544106.19363221596</v>
      </c>
      <c r="L24" s="519">
        <f t="shared" ref="L24" si="12">IF(K24&lt;&gt;0,+G24-K24,0)</f>
        <v>0</v>
      </c>
      <c r="M24" s="518">
        <f t="shared" si="11"/>
        <v>544106.19363221596</v>
      </c>
      <c r="N24" s="514">
        <f t="shared" si="3"/>
        <v>0</v>
      </c>
      <c r="O24" s="514">
        <f t="shared" si="4"/>
        <v>0</v>
      </c>
      <c r="P24" s="272"/>
    </row>
    <row r="25" spans="2:16">
      <c r="B25" s="195" t="str">
        <f t="shared" si="5"/>
        <v/>
      </c>
      <c r="C25" s="507">
        <f>IF(D11="","-",+C24+1)</f>
        <v>2020</v>
      </c>
      <c r="D25" s="508">
        <v>3428979.9923561024</v>
      </c>
      <c r="E25" s="516">
        <v>101831.95121951219</v>
      </c>
      <c r="F25" s="508">
        <v>3327148.0411365903</v>
      </c>
      <c r="G25" s="516">
        <v>447527.67036121147</v>
      </c>
      <c r="H25" s="510">
        <v>447527.67036121147</v>
      </c>
      <c r="I25" s="511">
        <f t="shared" si="9"/>
        <v>0</v>
      </c>
      <c r="J25" s="511"/>
      <c r="K25" s="518">
        <f t="shared" si="10"/>
        <v>447527.67036121147</v>
      </c>
      <c r="L25" s="519">
        <f t="shared" ref="L25" si="13">IF(K25&lt;&gt;0,+G25-K25,0)</f>
        <v>0</v>
      </c>
      <c r="M25" s="518">
        <f t="shared" si="11"/>
        <v>447527.67036121147</v>
      </c>
      <c r="N25" s="514">
        <f t="shared" si="3"/>
        <v>0</v>
      </c>
      <c r="O25" s="514">
        <f t="shared" si="4"/>
        <v>0</v>
      </c>
      <c r="P25" s="272"/>
    </row>
    <row r="26" spans="2:16">
      <c r="B26" s="195" t="str">
        <f t="shared" si="5"/>
        <v>IU</v>
      </c>
      <c r="C26" s="507">
        <f>IF(D11="","-",+C25+1)</f>
        <v>2021</v>
      </c>
      <c r="D26" s="508">
        <v>3331884.4109607544</v>
      </c>
      <c r="E26" s="516">
        <v>99407.380952380947</v>
      </c>
      <c r="F26" s="508">
        <v>3232477.0300083733</v>
      </c>
      <c r="G26" s="516">
        <v>447333.45497501275</v>
      </c>
      <c r="H26" s="510">
        <v>447333.45497501275</v>
      </c>
      <c r="I26" s="511">
        <f t="shared" si="9"/>
        <v>0</v>
      </c>
      <c r="J26" s="511"/>
      <c r="K26" s="518">
        <f t="shared" si="10"/>
        <v>447333.45497501275</v>
      </c>
      <c r="L26" s="519">
        <f t="shared" ref="L26" si="14">IF(K26&lt;&gt;0,+G26-K26,0)</f>
        <v>0</v>
      </c>
      <c r="M26" s="518">
        <f t="shared" si="11"/>
        <v>447333.45497501275</v>
      </c>
      <c r="N26" s="514">
        <f t="shared" si="3"/>
        <v>0</v>
      </c>
      <c r="O26" s="514">
        <f t="shared" si="4"/>
        <v>0</v>
      </c>
      <c r="P26" s="272"/>
    </row>
    <row r="27" spans="2:16">
      <c r="B27" s="195" t="str">
        <f t="shared" si="5"/>
        <v>IU</v>
      </c>
      <c r="C27" s="507">
        <f>IF(D11="","-",+C26+1)</f>
        <v>2022</v>
      </c>
      <c r="D27" s="508">
        <v>3227740.6601842102</v>
      </c>
      <c r="E27" s="516">
        <v>99407.380952380947</v>
      </c>
      <c r="F27" s="508">
        <v>3128333.2792318291</v>
      </c>
      <c r="G27" s="516">
        <v>456758.87787220906</v>
      </c>
      <c r="H27" s="510">
        <v>456758.87787220906</v>
      </c>
      <c r="I27" s="511">
        <f t="shared" si="9"/>
        <v>0</v>
      </c>
      <c r="J27" s="511"/>
      <c r="K27" s="518">
        <f t="shared" si="10"/>
        <v>456758.87787220906</v>
      </c>
      <c r="L27" s="519">
        <f t="shared" ref="L27" si="15">IF(K27&lt;&gt;0,+G27-K27,0)</f>
        <v>0</v>
      </c>
      <c r="M27" s="518">
        <f t="shared" si="11"/>
        <v>456758.87787220906</v>
      </c>
      <c r="N27" s="514">
        <f t="shared" si="3"/>
        <v>0</v>
      </c>
      <c r="O27" s="514">
        <f t="shared" si="4"/>
        <v>0</v>
      </c>
      <c r="P27" s="272"/>
    </row>
    <row r="28" spans="2:16">
      <c r="B28" s="195" t="str">
        <f t="shared" si="5"/>
        <v/>
      </c>
      <c r="C28" s="507">
        <f>IF(D11="","-",+C27+1)</f>
        <v>2023</v>
      </c>
      <c r="D28" s="508">
        <v>3128333.2792318291</v>
      </c>
      <c r="E28" s="516">
        <v>99407.380952380947</v>
      </c>
      <c r="F28" s="508">
        <v>3028925.898279448</v>
      </c>
      <c r="G28" s="516">
        <v>488320.76827892079</v>
      </c>
      <c r="H28" s="510">
        <v>488320.76827892079</v>
      </c>
      <c r="I28" s="511">
        <f t="shared" si="9"/>
        <v>0</v>
      </c>
      <c r="J28" s="511"/>
      <c r="K28" s="518">
        <f t="shared" si="10"/>
        <v>488320.76827892079</v>
      </c>
      <c r="L28" s="519">
        <f t="shared" ref="L28" si="16">IF(K28&lt;&gt;0,+G28-K28,0)</f>
        <v>0</v>
      </c>
      <c r="M28" s="518">
        <f t="shared" si="11"/>
        <v>488320.76827892079</v>
      </c>
      <c r="N28" s="514">
        <f t="shared" ref="N28" si="17">IF(M28&lt;&gt;0,+H28-M28,0)</f>
        <v>0</v>
      </c>
      <c r="O28" s="514">
        <f t="shared" ref="O28" si="18">+N28-L28</f>
        <v>0</v>
      </c>
      <c r="P28" s="272"/>
    </row>
    <row r="29" spans="2:16">
      <c r="B29" s="195" t="str">
        <f t="shared" si="5"/>
        <v/>
      </c>
      <c r="C29" s="673">
        <f>IF(D11="","-",+C28+1)</f>
        <v>2024</v>
      </c>
      <c r="D29" s="523">
        <f>IF(F28+SUM(E$17:E28)=D$10,F28,D$10-SUM(E$17:E28))</f>
        <v>3028925.898279448</v>
      </c>
      <c r="E29" s="522">
        <f>IF(+I14&lt;F28,I14,D29)</f>
        <v>94888.863636363632</v>
      </c>
      <c r="F29" s="523">
        <f t="shared" ref="F29:F48" si="19">+D29-E29</f>
        <v>2934037.0346430843</v>
      </c>
      <c r="G29" s="524">
        <f t="shared" ref="G29:G53" si="20">+I$12*((D29+F29)/2)+E29</f>
        <v>451256.7914021461</v>
      </c>
      <c r="H29" s="491">
        <f t="shared" ref="H29:H53" si="21">+I$13*((D29+F29)/2)+E29</f>
        <v>451256.7914021461</v>
      </c>
      <c r="I29" s="511">
        <f t="shared" si="9"/>
        <v>0</v>
      </c>
      <c r="J29" s="511"/>
      <c r="K29" s="525"/>
      <c r="L29" s="514">
        <f t="shared" si="1"/>
        <v>0</v>
      </c>
      <c r="M29" s="525"/>
      <c r="N29" s="514">
        <f t="shared" si="3"/>
        <v>0</v>
      </c>
      <c r="O29" s="514">
        <f t="shared" si="4"/>
        <v>0</v>
      </c>
      <c r="P29" s="272"/>
    </row>
    <row r="30" spans="2:16">
      <c r="B30" s="195" t="str">
        <f t="shared" si="5"/>
        <v/>
      </c>
      <c r="C30" s="507">
        <f>IF(D11="","-",+C29+1)</f>
        <v>2025</v>
      </c>
      <c r="D30" s="523">
        <f>IF(F29+SUM(E$17:E29)=D$10,F29,D$10-SUM(E$17:E29))</f>
        <v>2934037.0346430843</v>
      </c>
      <c r="E30" s="522">
        <f>IF(+I14&lt;F29,I14,D30)</f>
        <v>94888.863636363632</v>
      </c>
      <c r="F30" s="523">
        <f t="shared" si="19"/>
        <v>2839148.1710067205</v>
      </c>
      <c r="G30" s="524">
        <f t="shared" si="20"/>
        <v>439914.99770578055</v>
      </c>
      <c r="H30" s="491">
        <f t="shared" si="21"/>
        <v>439914.99770578055</v>
      </c>
      <c r="I30" s="511">
        <f t="shared" si="9"/>
        <v>0</v>
      </c>
      <c r="J30" s="511"/>
      <c r="K30" s="525"/>
      <c r="L30" s="514">
        <f t="shared" si="1"/>
        <v>0</v>
      </c>
      <c r="M30" s="525"/>
      <c r="N30" s="514">
        <f t="shared" si="3"/>
        <v>0</v>
      </c>
      <c r="O30" s="514">
        <f t="shared" si="4"/>
        <v>0</v>
      </c>
      <c r="P30" s="272"/>
    </row>
    <row r="31" spans="2:16">
      <c r="B31" s="195" t="str">
        <f t="shared" si="5"/>
        <v/>
      </c>
      <c r="C31" s="507">
        <f>IF(D11="","-",+C30+1)</f>
        <v>2026</v>
      </c>
      <c r="D31" s="523">
        <f>IF(F30+SUM(E$17:E30)=D$10,F30,D$10-SUM(E$17:E30))</f>
        <v>2839148.1710067205</v>
      </c>
      <c r="E31" s="522">
        <f>IF(+I14&lt;F30,I14,D31)</f>
        <v>94888.863636363632</v>
      </c>
      <c r="F31" s="523">
        <f t="shared" si="19"/>
        <v>2744259.3073703567</v>
      </c>
      <c r="G31" s="524">
        <f t="shared" si="20"/>
        <v>428573.20400941517</v>
      </c>
      <c r="H31" s="491">
        <f t="shared" si="21"/>
        <v>428573.20400941517</v>
      </c>
      <c r="I31" s="511">
        <f t="shared" si="9"/>
        <v>0</v>
      </c>
      <c r="J31" s="511"/>
      <c r="K31" s="525"/>
      <c r="L31" s="514">
        <f t="shared" si="1"/>
        <v>0</v>
      </c>
      <c r="M31" s="525"/>
      <c r="N31" s="514">
        <f t="shared" si="3"/>
        <v>0</v>
      </c>
      <c r="O31" s="514">
        <f t="shared" si="4"/>
        <v>0</v>
      </c>
      <c r="P31" s="272"/>
    </row>
    <row r="32" spans="2:16">
      <c r="B32" s="195" t="str">
        <f t="shared" si="5"/>
        <v/>
      </c>
      <c r="C32" s="507">
        <f>IF(D11="","-",+C31+1)</f>
        <v>2027</v>
      </c>
      <c r="D32" s="523">
        <f>IF(F31+SUM(E$17:E31)=D$10,F31,D$10-SUM(E$17:E31))</f>
        <v>2744259.3073703567</v>
      </c>
      <c r="E32" s="522">
        <f>IF(+I14&lt;F31,I14,D32)</f>
        <v>94888.863636363632</v>
      </c>
      <c r="F32" s="523">
        <f t="shared" si="19"/>
        <v>2649370.443733993</v>
      </c>
      <c r="G32" s="524">
        <f t="shared" si="20"/>
        <v>417231.41031304962</v>
      </c>
      <c r="H32" s="491">
        <f t="shared" si="21"/>
        <v>417231.41031304962</v>
      </c>
      <c r="I32" s="511">
        <f t="shared" si="9"/>
        <v>0</v>
      </c>
      <c r="J32" s="511"/>
      <c r="K32" s="525"/>
      <c r="L32" s="514">
        <f t="shared" si="1"/>
        <v>0</v>
      </c>
      <c r="M32" s="525"/>
      <c r="N32" s="514">
        <f t="shared" si="3"/>
        <v>0</v>
      </c>
      <c r="O32" s="514">
        <f t="shared" si="4"/>
        <v>0</v>
      </c>
      <c r="P32" s="272"/>
    </row>
    <row r="33" spans="2:16">
      <c r="B33" s="195" t="str">
        <f t="shared" si="5"/>
        <v/>
      </c>
      <c r="C33" s="507">
        <f>IF(D11="","-",+C32+1)</f>
        <v>2028</v>
      </c>
      <c r="D33" s="523">
        <f>IF(F32+SUM(E$17:E32)=D$10,F32,D$10-SUM(E$17:E32))</f>
        <v>2649370.443733993</v>
      </c>
      <c r="E33" s="522">
        <f>IF(+I14&lt;F32,I14,D33)</f>
        <v>94888.863636363632</v>
      </c>
      <c r="F33" s="523">
        <f t="shared" si="19"/>
        <v>2554481.5800976292</v>
      </c>
      <c r="G33" s="524">
        <f t="shared" si="20"/>
        <v>405889.61661668424</v>
      </c>
      <c r="H33" s="491">
        <f t="shared" si="21"/>
        <v>405889.61661668424</v>
      </c>
      <c r="I33" s="511">
        <f t="shared" si="9"/>
        <v>0</v>
      </c>
      <c r="J33" s="511"/>
      <c r="K33" s="525"/>
      <c r="L33" s="514">
        <f t="shared" si="1"/>
        <v>0</v>
      </c>
      <c r="M33" s="525"/>
      <c r="N33" s="514">
        <f t="shared" si="3"/>
        <v>0</v>
      </c>
      <c r="O33" s="514">
        <f t="shared" si="4"/>
        <v>0</v>
      </c>
      <c r="P33" s="272"/>
    </row>
    <row r="34" spans="2:16">
      <c r="B34" s="195" t="str">
        <f t="shared" si="5"/>
        <v/>
      </c>
      <c r="C34" s="507">
        <f>IF(D11="","-",+C33+1)</f>
        <v>2029</v>
      </c>
      <c r="D34" s="523">
        <f>IF(F33+SUM(E$17:E33)=D$10,F33,D$10-SUM(E$17:E33))</f>
        <v>2554481.5800976292</v>
      </c>
      <c r="E34" s="522">
        <f>IF(+I14&lt;F33,I14,D34)</f>
        <v>94888.863636363632</v>
      </c>
      <c r="F34" s="523">
        <f t="shared" si="19"/>
        <v>2459592.7164612655</v>
      </c>
      <c r="G34" s="524">
        <f t="shared" si="20"/>
        <v>394547.82292031869</v>
      </c>
      <c r="H34" s="491">
        <f t="shared" si="21"/>
        <v>394547.82292031869</v>
      </c>
      <c r="I34" s="511">
        <f t="shared" si="9"/>
        <v>0</v>
      </c>
      <c r="J34" s="511"/>
      <c r="K34" s="525"/>
      <c r="L34" s="514">
        <f t="shared" si="1"/>
        <v>0</v>
      </c>
      <c r="M34" s="525"/>
      <c r="N34" s="514">
        <f t="shared" si="3"/>
        <v>0</v>
      </c>
      <c r="O34" s="514">
        <f t="shared" si="4"/>
        <v>0</v>
      </c>
      <c r="P34" s="272"/>
    </row>
    <row r="35" spans="2:16">
      <c r="B35" s="195" t="str">
        <f t="shared" si="5"/>
        <v/>
      </c>
      <c r="C35" s="507">
        <f>IF(D11="","-",+C34+1)</f>
        <v>2030</v>
      </c>
      <c r="D35" s="523">
        <f>IF(F34+SUM(E$17:E34)=D$10,F34,D$10-SUM(E$17:E34))</f>
        <v>2459592.7164612655</v>
      </c>
      <c r="E35" s="522">
        <f>IF(+I14&lt;F34,I14,D35)</f>
        <v>94888.863636363632</v>
      </c>
      <c r="F35" s="523">
        <f t="shared" si="19"/>
        <v>2364703.8528249017</v>
      </c>
      <c r="G35" s="524">
        <f t="shared" si="20"/>
        <v>383206.02922395332</v>
      </c>
      <c r="H35" s="491">
        <f t="shared" si="21"/>
        <v>383206.02922395332</v>
      </c>
      <c r="I35" s="511">
        <f t="shared" si="9"/>
        <v>0</v>
      </c>
      <c r="J35" s="511"/>
      <c r="K35" s="525"/>
      <c r="L35" s="514">
        <f t="shared" si="1"/>
        <v>0</v>
      </c>
      <c r="M35" s="525"/>
      <c r="N35" s="514">
        <f t="shared" si="3"/>
        <v>0</v>
      </c>
      <c r="O35" s="514">
        <f t="shared" si="4"/>
        <v>0</v>
      </c>
      <c r="P35" s="272"/>
    </row>
    <row r="36" spans="2:16">
      <c r="B36" s="195" t="str">
        <f t="shared" si="5"/>
        <v/>
      </c>
      <c r="C36" s="507">
        <f>IF(D11="","-",+C35+1)</f>
        <v>2031</v>
      </c>
      <c r="D36" s="523">
        <f>IF(F35+SUM(E$17:E35)=D$10,F35,D$10-SUM(E$17:E35))</f>
        <v>2364703.8528249017</v>
      </c>
      <c r="E36" s="522">
        <f>IF(+I14&lt;F35,I14,D36)</f>
        <v>94888.863636363632</v>
      </c>
      <c r="F36" s="523">
        <f t="shared" si="19"/>
        <v>2269814.9891885379</v>
      </c>
      <c r="G36" s="524">
        <f t="shared" si="20"/>
        <v>371864.23552758776</v>
      </c>
      <c r="H36" s="491">
        <f t="shared" si="21"/>
        <v>371864.23552758776</v>
      </c>
      <c r="I36" s="511">
        <f t="shared" si="9"/>
        <v>0</v>
      </c>
      <c r="J36" s="511"/>
      <c r="K36" s="525"/>
      <c r="L36" s="514">
        <f t="shared" si="1"/>
        <v>0</v>
      </c>
      <c r="M36" s="525"/>
      <c r="N36" s="514">
        <f t="shared" si="3"/>
        <v>0</v>
      </c>
      <c r="O36" s="514">
        <f t="shared" si="4"/>
        <v>0</v>
      </c>
      <c r="P36" s="272"/>
    </row>
    <row r="37" spans="2:16">
      <c r="B37" s="195" t="str">
        <f t="shared" si="5"/>
        <v/>
      </c>
      <c r="C37" s="507">
        <f>IF(D11="","-",+C36+1)</f>
        <v>2032</v>
      </c>
      <c r="D37" s="523">
        <f>IF(F36+SUM(E$17:E36)=D$10,F36,D$10-SUM(E$17:E36))</f>
        <v>2269814.9891885379</v>
      </c>
      <c r="E37" s="522">
        <f>IF(+I14&lt;F36,I14,D37)</f>
        <v>94888.863636363632</v>
      </c>
      <c r="F37" s="523">
        <f t="shared" si="19"/>
        <v>2174926.1255521742</v>
      </c>
      <c r="G37" s="524">
        <f t="shared" si="20"/>
        <v>360522.44183122233</v>
      </c>
      <c r="H37" s="491">
        <f t="shared" si="21"/>
        <v>360522.44183122233</v>
      </c>
      <c r="I37" s="511">
        <f t="shared" si="9"/>
        <v>0</v>
      </c>
      <c r="J37" s="511"/>
      <c r="K37" s="525"/>
      <c r="L37" s="514">
        <f t="shared" si="1"/>
        <v>0</v>
      </c>
      <c r="M37" s="525"/>
      <c r="N37" s="514">
        <f t="shared" si="3"/>
        <v>0</v>
      </c>
      <c r="O37" s="514">
        <f t="shared" si="4"/>
        <v>0</v>
      </c>
      <c r="P37" s="272"/>
    </row>
    <row r="38" spans="2:16">
      <c r="B38" s="195" t="str">
        <f t="shared" si="5"/>
        <v/>
      </c>
      <c r="C38" s="507">
        <f>IF(D11="","-",+C37+1)</f>
        <v>2033</v>
      </c>
      <c r="D38" s="523">
        <f>IF(F37+SUM(E$17:E37)=D$10,F37,D$10-SUM(E$17:E37))</f>
        <v>2174926.1255521742</v>
      </c>
      <c r="E38" s="522">
        <f>IF(+I14&lt;F37,I14,D38)</f>
        <v>94888.863636363632</v>
      </c>
      <c r="F38" s="523">
        <f t="shared" si="19"/>
        <v>2080037.2619158106</v>
      </c>
      <c r="G38" s="524">
        <f t="shared" si="20"/>
        <v>349180.64813485689</v>
      </c>
      <c r="H38" s="491">
        <f t="shared" si="21"/>
        <v>349180.64813485689</v>
      </c>
      <c r="I38" s="511">
        <f t="shared" si="9"/>
        <v>0</v>
      </c>
      <c r="J38" s="511"/>
      <c r="K38" s="525"/>
      <c r="L38" s="514">
        <f t="shared" si="1"/>
        <v>0</v>
      </c>
      <c r="M38" s="525"/>
      <c r="N38" s="514">
        <f t="shared" si="3"/>
        <v>0</v>
      </c>
      <c r="O38" s="514">
        <f t="shared" si="4"/>
        <v>0</v>
      </c>
      <c r="P38" s="272"/>
    </row>
    <row r="39" spans="2:16">
      <c r="B39" s="195" t="str">
        <f t="shared" si="5"/>
        <v/>
      </c>
      <c r="C39" s="507">
        <f>IF(D11="","-",+C38+1)</f>
        <v>2034</v>
      </c>
      <c r="D39" s="523">
        <f>IF(F38+SUM(E$17:E38)=D$10,F38,D$10-SUM(E$17:E38))</f>
        <v>2080037.2619158106</v>
      </c>
      <c r="E39" s="522">
        <f>IF(+I14&lt;F38,I14,D39)</f>
        <v>94888.863636363632</v>
      </c>
      <c r="F39" s="523">
        <f t="shared" si="19"/>
        <v>1985148.3982794471</v>
      </c>
      <c r="G39" s="524">
        <f t="shared" si="20"/>
        <v>337838.8544384914</v>
      </c>
      <c r="H39" s="491">
        <f t="shared" si="21"/>
        <v>337838.8544384914</v>
      </c>
      <c r="I39" s="511">
        <f t="shared" si="9"/>
        <v>0</v>
      </c>
      <c r="J39" s="511"/>
      <c r="K39" s="525"/>
      <c r="L39" s="514">
        <f t="shared" si="1"/>
        <v>0</v>
      </c>
      <c r="M39" s="525"/>
      <c r="N39" s="514">
        <f t="shared" si="3"/>
        <v>0</v>
      </c>
      <c r="O39" s="514">
        <f t="shared" si="4"/>
        <v>0</v>
      </c>
      <c r="P39" s="272"/>
    </row>
    <row r="40" spans="2:16">
      <c r="B40" s="195" t="str">
        <f t="shared" si="5"/>
        <v/>
      </c>
      <c r="C40" s="507">
        <f>IF(D11="","-",+C39+1)</f>
        <v>2035</v>
      </c>
      <c r="D40" s="523">
        <f>IF(F39+SUM(E$17:E39)=D$10,F39,D$10-SUM(E$17:E39))</f>
        <v>1985148.3982794471</v>
      </c>
      <c r="E40" s="522">
        <f>IF(+I14&lt;F39,I14,D40)</f>
        <v>94888.863636363632</v>
      </c>
      <c r="F40" s="523">
        <f t="shared" si="19"/>
        <v>1890259.5346430836</v>
      </c>
      <c r="G40" s="524">
        <f t="shared" si="20"/>
        <v>326497.06074212602</v>
      </c>
      <c r="H40" s="491">
        <f t="shared" si="21"/>
        <v>326497.06074212602</v>
      </c>
      <c r="I40" s="511">
        <f t="shared" si="9"/>
        <v>0</v>
      </c>
      <c r="J40" s="511"/>
      <c r="K40" s="525"/>
      <c r="L40" s="514">
        <f t="shared" si="1"/>
        <v>0</v>
      </c>
      <c r="M40" s="525"/>
      <c r="N40" s="514">
        <f t="shared" si="3"/>
        <v>0</v>
      </c>
      <c r="O40" s="514">
        <f t="shared" si="4"/>
        <v>0</v>
      </c>
      <c r="P40" s="272"/>
    </row>
    <row r="41" spans="2:16">
      <c r="B41" s="195" t="str">
        <f t="shared" si="5"/>
        <v/>
      </c>
      <c r="C41" s="507">
        <f>IF(D11="","-",+C40+1)</f>
        <v>2036</v>
      </c>
      <c r="D41" s="523">
        <f>IF(F40+SUM(E$17:E40)=D$10,F40,D$10-SUM(E$17:E40))</f>
        <v>1890259.5346430836</v>
      </c>
      <c r="E41" s="522">
        <f>IF(+I14&lt;F40,I14,D41)</f>
        <v>94888.863636363632</v>
      </c>
      <c r="F41" s="523">
        <f t="shared" si="19"/>
        <v>1795370.67100672</v>
      </c>
      <c r="G41" s="524">
        <f t="shared" si="20"/>
        <v>315155.26704576053</v>
      </c>
      <c r="H41" s="491">
        <f t="shared" si="21"/>
        <v>315155.26704576053</v>
      </c>
      <c r="I41" s="511">
        <f t="shared" si="9"/>
        <v>0</v>
      </c>
      <c r="J41" s="511"/>
      <c r="K41" s="525"/>
      <c r="L41" s="514">
        <f t="shared" si="1"/>
        <v>0</v>
      </c>
      <c r="M41" s="525"/>
      <c r="N41" s="514">
        <f t="shared" si="3"/>
        <v>0</v>
      </c>
      <c r="O41" s="514">
        <f t="shared" si="4"/>
        <v>0</v>
      </c>
      <c r="P41" s="272"/>
    </row>
    <row r="42" spans="2:16">
      <c r="B42" s="195" t="str">
        <f t="shared" si="5"/>
        <v/>
      </c>
      <c r="C42" s="507">
        <f>IF(D11="","-",+C41+1)</f>
        <v>2037</v>
      </c>
      <c r="D42" s="523">
        <f>IF(F41+SUM(E$17:E41)=D$10,F41,D$10-SUM(E$17:E41))</f>
        <v>1795370.67100672</v>
      </c>
      <c r="E42" s="522">
        <f>IF(+I14&lt;F41,I14,D42)</f>
        <v>94888.863636363632</v>
      </c>
      <c r="F42" s="523">
        <f t="shared" si="19"/>
        <v>1700481.8073703565</v>
      </c>
      <c r="G42" s="524">
        <f t="shared" si="20"/>
        <v>303813.47334939509</v>
      </c>
      <c r="H42" s="491">
        <f t="shared" si="21"/>
        <v>303813.47334939509</v>
      </c>
      <c r="I42" s="511">
        <f t="shared" si="9"/>
        <v>0</v>
      </c>
      <c r="J42" s="511"/>
      <c r="K42" s="525"/>
      <c r="L42" s="514">
        <f t="shared" si="1"/>
        <v>0</v>
      </c>
      <c r="M42" s="525"/>
      <c r="N42" s="514">
        <f t="shared" si="3"/>
        <v>0</v>
      </c>
      <c r="O42" s="514">
        <f t="shared" si="4"/>
        <v>0</v>
      </c>
      <c r="P42" s="272"/>
    </row>
    <row r="43" spans="2:16">
      <c r="B43" s="195" t="str">
        <f t="shared" si="5"/>
        <v/>
      </c>
      <c r="C43" s="507">
        <f>IF(D11="","-",+C42+1)</f>
        <v>2038</v>
      </c>
      <c r="D43" s="523">
        <f>IF(F42+SUM(E$17:E42)=D$10,F42,D$10-SUM(E$17:E42))</f>
        <v>1700481.8073703565</v>
      </c>
      <c r="E43" s="522">
        <f>IF(+I14&lt;F42,I14,D43)</f>
        <v>94888.863636363632</v>
      </c>
      <c r="F43" s="523">
        <f t="shared" si="19"/>
        <v>1605592.943733993</v>
      </c>
      <c r="G43" s="524">
        <f t="shared" si="20"/>
        <v>292471.67965302966</v>
      </c>
      <c r="H43" s="491">
        <f t="shared" si="21"/>
        <v>292471.67965302966</v>
      </c>
      <c r="I43" s="511">
        <f t="shared" si="9"/>
        <v>0</v>
      </c>
      <c r="J43" s="511"/>
      <c r="K43" s="525"/>
      <c r="L43" s="514">
        <f t="shared" si="1"/>
        <v>0</v>
      </c>
      <c r="M43" s="525"/>
      <c r="N43" s="514">
        <f t="shared" si="3"/>
        <v>0</v>
      </c>
      <c r="O43" s="514">
        <f t="shared" si="4"/>
        <v>0</v>
      </c>
      <c r="P43" s="272"/>
    </row>
    <row r="44" spans="2:16">
      <c r="B44" s="195" t="str">
        <f t="shared" si="5"/>
        <v/>
      </c>
      <c r="C44" s="507">
        <f>IF(D11="","-",+C43+1)</f>
        <v>2039</v>
      </c>
      <c r="D44" s="523">
        <f>IF(F43+SUM(E$17:E43)=D$10,F43,D$10-SUM(E$17:E43))</f>
        <v>1605592.943733993</v>
      </c>
      <c r="E44" s="522">
        <f>IF(+I14&lt;F43,I14,D44)</f>
        <v>94888.863636363632</v>
      </c>
      <c r="F44" s="523">
        <f t="shared" si="19"/>
        <v>1510704.0800976295</v>
      </c>
      <c r="G44" s="524">
        <f t="shared" si="20"/>
        <v>281129.88595666422</v>
      </c>
      <c r="H44" s="491">
        <f t="shared" si="21"/>
        <v>281129.88595666422</v>
      </c>
      <c r="I44" s="511">
        <f t="shared" si="9"/>
        <v>0</v>
      </c>
      <c r="J44" s="511"/>
      <c r="K44" s="525"/>
      <c r="L44" s="514">
        <f t="shared" si="1"/>
        <v>0</v>
      </c>
      <c r="M44" s="525"/>
      <c r="N44" s="514">
        <f t="shared" si="3"/>
        <v>0</v>
      </c>
      <c r="O44" s="514">
        <f t="shared" si="4"/>
        <v>0</v>
      </c>
      <c r="P44" s="272"/>
    </row>
    <row r="45" spans="2:16">
      <c r="B45" s="195" t="str">
        <f t="shared" si="5"/>
        <v/>
      </c>
      <c r="C45" s="507">
        <f>IF(D11="","-",+C44+1)</f>
        <v>2040</v>
      </c>
      <c r="D45" s="523">
        <f>IF(F44+SUM(E$17:E44)=D$10,F44,D$10-SUM(E$17:E44))</f>
        <v>1510704.0800976295</v>
      </c>
      <c r="E45" s="522">
        <f>IF(+I14&lt;F44,I14,D45)</f>
        <v>94888.863636363632</v>
      </c>
      <c r="F45" s="523">
        <f t="shared" si="19"/>
        <v>1415815.2164612659</v>
      </c>
      <c r="G45" s="524">
        <f t="shared" si="20"/>
        <v>269788.09226029878</v>
      </c>
      <c r="H45" s="491">
        <f t="shared" si="21"/>
        <v>269788.09226029878</v>
      </c>
      <c r="I45" s="511">
        <f t="shared" si="9"/>
        <v>0</v>
      </c>
      <c r="J45" s="511"/>
      <c r="K45" s="525"/>
      <c r="L45" s="514">
        <f t="shared" si="1"/>
        <v>0</v>
      </c>
      <c r="M45" s="525"/>
      <c r="N45" s="514">
        <f t="shared" si="3"/>
        <v>0</v>
      </c>
      <c r="O45" s="514">
        <f t="shared" si="4"/>
        <v>0</v>
      </c>
      <c r="P45" s="272"/>
    </row>
    <row r="46" spans="2:16">
      <c r="B46" s="195" t="str">
        <f t="shared" si="5"/>
        <v/>
      </c>
      <c r="C46" s="507">
        <f>IF(D11="","-",+C45+1)</f>
        <v>2041</v>
      </c>
      <c r="D46" s="523">
        <f>IF(F45+SUM(E$17:E45)=D$10,F45,D$10-SUM(E$17:E45))</f>
        <v>1415815.2164612659</v>
      </c>
      <c r="E46" s="522">
        <f>IF(+I14&lt;F45,I14,D46)</f>
        <v>94888.863636363632</v>
      </c>
      <c r="F46" s="523">
        <f t="shared" si="19"/>
        <v>1320926.3528249024</v>
      </c>
      <c r="G46" s="524">
        <f t="shared" si="20"/>
        <v>258446.29856393335</v>
      </c>
      <c r="H46" s="491">
        <f t="shared" si="21"/>
        <v>258446.29856393335</v>
      </c>
      <c r="I46" s="511">
        <f t="shared" si="9"/>
        <v>0</v>
      </c>
      <c r="J46" s="511"/>
      <c r="K46" s="525"/>
      <c r="L46" s="514">
        <f t="shared" si="1"/>
        <v>0</v>
      </c>
      <c r="M46" s="525"/>
      <c r="N46" s="514">
        <f t="shared" si="3"/>
        <v>0</v>
      </c>
      <c r="O46" s="514">
        <f t="shared" si="4"/>
        <v>0</v>
      </c>
      <c r="P46" s="272"/>
    </row>
    <row r="47" spans="2:16">
      <c r="B47" s="195" t="str">
        <f t="shared" si="5"/>
        <v/>
      </c>
      <c r="C47" s="507">
        <f>IF(D11="","-",+C46+1)</f>
        <v>2042</v>
      </c>
      <c r="D47" s="523">
        <f>IF(F46+SUM(E$17:E46)=D$10,F46,D$10-SUM(E$17:E46))</f>
        <v>1320926.3528249024</v>
      </c>
      <c r="E47" s="522">
        <f>IF(+I14&lt;F46,I14,D47)</f>
        <v>94888.863636363632</v>
      </c>
      <c r="F47" s="523">
        <f t="shared" si="19"/>
        <v>1226037.4891885389</v>
      </c>
      <c r="G47" s="524">
        <f t="shared" si="20"/>
        <v>247104.50486756786</v>
      </c>
      <c r="H47" s="491">
        <f t="shared" si="21"/>
        <v>247104.50486756786</v>
      </c>
      <c r="I47" s="511">
        <f t="shared" si="9"/>
        <v>0</v>
      </c>
      <c r="J47" s="511"/>
      <c r="K47" s="525"/>
      <c r="L47" s="514">
        <f t="shared" si="1"/>
        <v>0</v>
      </c>
      <c r="M47" s="525"/>
      <c r="N47" s="514">
        <f t="shared" si="3"/>
        <v>0</v>
      </c>
      <c r="O47" s="514">
        <f t="shared" si="4"/>
        <v>0</v>
      </c>
      <c r="P47" s="272"/>
    </row>
    <row r="48" spans="2:16">
      <c r="B48" s="195" t="str">
        <f t="shared" si="5"/>
        <v/>
      </c>
      <c r="C48" s="507">
        <f>IF(D11="","-",+C47+1)</f>
        <v>2043</v>
      </c>
      <c r="D48" s="523">
        <f>IF(F47+SUM(E$17:E47)=D$10,F47,D$10-SUM(E$17:E47))</f>
        <v>1226037.4891885389</v>
      </c>
      <c r="E48" s="522">
        <f>IF(+I14&lt;F47,I14,D48)</f>
        <v>94888.863636363632</v>
      </c>
      <c r="F48" s="523">
        <f t="shared" si="19"/>
        <v>1131148.6255521753</v>
      </c>
      <c r="G48" s="524">
        <f t="shared" si="20"/>
        <v>235762.71117120248</v>
      </c>
      <c r="H48" s="491">
        <f t="shared" si="21"/>
        <v>235762.71117120248</v>
      </c>
      <c r="I48" s="511">
        <f t="shared" si="9"/>
        <v>0</v>
      </c>
      <c r="J48" s="511"/>
      <c r="K48" s="525"/>
      <c r="L48" s="514">
        <f t="shared" si="1"/>
        <v>0</v>
      </c>
      <c r="M48" s="525"/>
      <c r="N48" s="514">
        <f t="shared" si="3"/>
        <v>0</v>
      </c>
      <c r="O48" s="514">
        <f t="shared" si="4"/>
        <v>0</v>
      </c>
      <c r="P48" s="272"/>
    </row>
    <row r="49" spans="2:17">
      <c r="B49" s="195" t="str">
        <f t="shared" si="5"/>
        <v/>
      </c>
      <c r="C49" s="507">
        <f>IF(D11="","-",+C48+1)</f>
        <v>2044</v>
      </c>
      <c r="D49" s="523">
        <f>IF(F48+SUM(E$17:E48)=D$10,F48,D$10-SUM(E$17:E48))</f>
        <v>1131148.6255521753</v>
      </c>
      <c r="E49" s="522">
        <f>IF(+I14&lt;F48,I14,D49)</f>
        <v>94888.863636363632</v>
      </c>
      <c r="F49" s="523">
        <f t="shared" ref="F49:F72" si="22">+D49-E49</f>
        <v>1036259.7619158117</v>
      </c>
      <c r="G49" s="524">
        <f t="shared" si="20"/>
        <v>224420.91747483698</v>
      </c>
      <c r="H49" s="491">
        <f t="shared" si="21"/>
        <v>224420.91747483698</v>
      </c>
      <c r="I49" s="511">
        <f t="shared" ref="I49:I72" si="23">H49-G49</f>
        <v>0</v>
      </c>
      <c r="J49" s="511"/>
      <c r="K49" s="525"/>
      <c r="L49" s="514">
        <f t="shared" ref="L49:L72" si="24">IF(K49&lt;&gt;0,+G49-K49,0)</f>
        <v>0</v>
      </c>
      <c r="M49" s="525"/>
      <c r="N49" s="514">
        <f t="shared" ref="N49:N72" si="25">IF(M49&lt;&gt;0,+H49-M49,0)</f>
        <v>0</v>
      </c>
      <c r="O49" s="514">
        <f t="shared" ref="O49:O72" si="26">+N49-L49</f>
        <v>0</v>
      </c>
      <c r="P49" s="272"/>
    </row>
    <row r="50" spans="2:17">
      <c r="B50" s="195" t="str">
        <f t="shared" ref="B50:B72" si="27">IF(D50=F49,"","IU")</f>
        <v/>
      </c>
      <c r="C50" s="507">
        <f>IF(D11="","-",+C49+1)</f>
        <v>2045</v>
      </c>
      <c r="D50" s="523">
        <f>IF(F49+SUM(E$17:E49)=D$10,F49,D$10-SUM(E$17:E49))</f>
        <v>1036259.7619158117</v>
      </c>
      <c r="E50" s="522">
        <f>IF(+I14&lt;F49,I14,D50)</f>
        <v>94888.863636363632</v>
      </c>
      <c r="F50" s="523">
        <f t="shared" si="22"/>
        <v>941370.89827944804</v>
      </c>
      <c r="G50" s="524">
        <f t="shared" si="20"/>
        <v>213079.12377847155</v>
      </c>
      <c r="H50" s="491">
        <f t="shared" si="21"/>
        <v>213079.12377847155</v>
      </c>
      <c r="I50" s="511">
        <f t="shared" si="23"/>
        <v>0</v>
      </c>
      <c r="J50" s="511"/>
      <c r="K50" s="525"/>
      <c r="L50" s="514">
        <f t="shared" si="24"/>
        <v>0</v>
      </c>
      <c r="M50" s="525"/>
      <c r="N50" s="514">
        <f t="shared" si="25"/>
        <v>0</v>
      </c>
      <c r="O50" s="514">
        <f t="shared" si="26"/>
        <v>0</v>
      </c>
      <c r="P50" s="272"/>
    </row>
    <row r="51" spans="2:17">
      <c r="B51" s="195" t="str">
        <f t="shared" si="27"/>
        <v/>
      </c>
      <c r="C51" s="507">
        <f>IF(D11="","-",+C50+1)</f>
        <v>2046</v>
      </c>
      <c r="D51" s="523">
        <f>IF(F50+SUM(E$17:E50)=D$10,F50,D$10-SUM(E$17:E50))</f>
        <v>941370.89827944804</v>
      </c>
      <c r="E51" s="522">
        <f>IF(+I14&lt;F50,I14,D51)</f>
        <v>94888.863636363632</v>
      </c>
      <c r="F51" s="523">
        <f t="shared" si="22"/>
        <v>846482.03464308439</v>
      </c>
      <c r="G51" s="524">
        <f t="shared" si="20"/>
        <v>201737.33008210611</v>
      </c>
      <c r="H51" s="491">
        <f t="shared" si="21"/>
        <v>201737.33008210611</v>
      </c>
      <c r="I51" s="511">
        <f t="shared" si="23"/>
        <v>0</v>
      </c>
      <c r="J51" s="511"/>
      <c r="K51" s="525"/>
      <c r="L51" s="514">
        <f t="shared" si="24"/>
        <v>0</v>
      </c>
      <c r="M51" s="525"/>
      <c r="N51" s="514">
        <f t="shared" si="25"/>
        <v>0</v>
      </c>
      <c r="O51" s="514">
        <f t="shared" si="26"/>
        <v>0</v>
      </c>
      <c r="P51" s="272"/>
    </row>
    <row r="52" spans="2:17">
      <c r="B52" s="195" t="str">
        <f t="shared" si="27"/>
        <v/>
      </c>
      <c r="C52" s="507">
        <f>IF(D11="","-",+C51+1)</f>
        <v>2047</v>
      </c>
      <c r="D52" s="523">
        <f>IF(F51+SUM(E$17:E51)=D$10,F51,D$10-SUM(E$17:E51))</f>
        <v>846482.03464308439</v>
      </c>
      <c r="E52" s="522">
        <f>IF(+I14&lt;F51,I14,D52)</f>
        <v>94888.863636363632</v>
      </c>
      <c r="F52" s="523">
        <f t="shared" si="22"/>
        <v>751593.17100672075</v>
      </c>
      <c r="G52" s="524">
        <f t="shared" si="20"/>
        <v>190395.53638574065</v>
      </c>
      <c r="H52" s="491">
        <f t="shared" si="21"/>
        <v>190395.53638574065</v>
      </c>
      <c r="I52" s="511">
        <f t="shared" si="23"/>
        <v>0</v>
      </c>
      <c r="J52" s="511"/>
      <c r="K52" s="525"/>
      <c r="L52" s="514">
        <f t="shared" si="24"/>
        <v>0</v>
      </c>
      <c r="M52" s="525"/>
      <c r="N52" s="514">
        <f t="shared" si="25"/>
        <v>0</v>
      </c>
      <c r="O52" s="514">
        <f t="shared" si="26"/>
        <v>0</v>
      </c>
      <c r="P52" s="272"/>
    </row>
    <row r="53" spans="2:17">
      <c r="B53" s="195" t="str">
        <f t="shared" si="27"/>
        <v/>
      </c>
      <c r="C53" s="507">
        <f>IF(D11="","-",+C52+1)</f>
        <v>2048</v>
      </c>
      <c r="D53" s="523">
        <f>IF(F52+SUM(E$17:E52)=D$10,F52,D$10-SUM(E$17:E52))</f>
        <v>751593.17100672075</v>
      </c>
      <c r="E53" s="522">
        <f>IF(+I14&lt;F52,I14,D53)</f>
        <v>94888.863636363632</v>
      </c>
      <c r="F53" s="523">
        <f t="shared" si="22"/>
        <v>656704.3073703571</v>
      </c>
      <c r="G53" s="524">
        <f t="shared" si="20"/>
        <v>179053.74268937518</v>
      </c>
      <c r="H53" s="491">
        <f t="shared" si="21"/>
        <v>179053.74268937518</v>
      </c>
      <c r="I53" s="511">
        <f t="shared" si="23"/>
        <v>0</v>
      </c>
      <c r="J53" s="511"/>
      <c r="K53" s="525"/>
      <c r="L53" s="514">
        <f t="shared" si="24"/>
        <v>0</v>
      </c>
      <c r="M53" s="525"/>
      <c r="N53" s="514">
        <f t="shared" si="25"/>
        <v>0</v>
      </c>
      <c r="O53" s="514">
        <f t="shared" si="26"/>
        <v>0</v>
      </c>
      <c r="P53" s="272"/>
    </row>
    <row r="54" spans="2:17">
      <c r="B54" s="195" t="str">
        <f t="shared" si="27"/>
        <v/>
      </c>
      <c r="C54" s="507">
        <f>IF(D11="","-",+C53+1)</f>
        <v>2049</v>
      </c>
      <c r="D54" s="523">
        <f>IF(F53+SUM(E$17:E53)=D$10,F53,D$10-SUM(E$17:E53))</f>
        <v>656704.3073703571</v>
      </c>
      <c r="E54" s="522">
        <f>IF(+I14&lt;F53,I14,D54)</f>
        <v>94888.863636363632</v>
      </c>
      <c r="F54" s="523">
        <f t="shared" si="22"/>
        <v>561815.44373399345</v>
      </c>
      <c r="G54" s="524">
        <f t="shared" ref="G54:G72" si="28">+I$12*((D54+F54)/2)+E54</f>
        <v>167711.94899300975</v>
      </c>
      <c r="H54" s="491">
        <f t="shared" ref="H54:H72" si="29">+I$13*((D54+F54)/2)+E54</f>
        <v>167711.94899300975</v>
      </c>
      <c r="I54" s="511">
        <f t="shared" si="23"/>
        <v>0</v>
      </c>
      <c r="J54" s="511"/>
      <c r="K54" s="525"/>
      <c r="L54" s="514">
        <f t="shared" si="24"/>
        <v>0</v>
      </c>
      <c r="M54" s="525"/>
      <c r="N54" s="514">
        <f t="shared" si="25"/>
        <v>0</v>
      </c>
      <c r="O54" s="514">
        <f t="shared" si="26"/>
        <v>0</v>
      </c>
      <c r="P54" s="272"/>
    </row>
    <row r="55" spans="2:17">
      <c r="B55" s="195" t="str">
        <f t="shared" si="27"/>
        <v/>
      </c>
      <c r="C55" s="507">
        <f>IF(D11="","-",+C54+1)</f>
        <v>2050</v>
      </c>
      <c r="D55" s="523">
        <f>IF(F54+SUM(E$17:E54)=D$10,F54,D$10-SUM(E$17:E54))</f>
        <v>561815.44373399345</v>
      </c>
      <c r="E55" s="522">
        <f>IF(+I14&lt;F54,I14,D55)</f>
        <v>94888.863636363632</v>
      </c>
      <c r="F55" s="523">
        <f t="shared" si="22"/>
        <v>466926.58009762981</v>
      </c>
      <c r="G55" s="524">
        <f t="shared" si="28"/>
        <v>156370.15529664428</v>
      </c>
      <c r="H55" s="491">
        <f t="shared" si="29"/>
        <v>156370.15529664428</v>
      </c>
      <c r="I55" s="511">
        <f t="shared" si="23"/>
        <v>0</v>
      </c>
      <c r="J55" s="511"/>
      <c r="K55" s="525"/>
      <c r="L55" s="514">
        <f t="shared" si="24"/>
        <v>0</v>
      </c>
      <c r="M55" s="525"/>
      <c r="N55" s="514">
        <f t="shared" si="25"/>
        <v>0</v>
      </c>
      <c r="O55" s="514">
        <f t="shared" si="26"/>
        <v>0</v>
      </c>
      <c r="P55" s="272"/>
    </row>
    <row r="56" spans="2:17">
      <c r="B56" s="195" t="str">
        <f t="shared" si="27"/>
        <v/>
      </c>
      <c r="C56" s="507">
        <f>IF(D11="","-",+C55+1)</f>
        <v>2051</v>
      </c>
      <c r="D56" s="523">
        <f>IF(F55+SUM(E$17:E55)=D$10,F55,D$10-SUM(E$17:E55))</f>
        <v>466926.58009762981</v>
      </c>
      <c r="E56" s="522">
        <f>IF(+I14&lt;F55,I14,D56)</f>
        <v>94888.863636363632</v>
      </c>
      <c r="F56" s="523">
        <f t="shared" si="22"/>
        <v>372037.71646126616</v>
      </c>
      <c r="G56" s="524">
        <f t="shared" si="28"/>
        <v>145028.36160027882</v>
      </c>
      <c r="H56" s="491">
        <f t="shared" si="29"/>
        <v>145028.36160027882</v>
      </c>
      <c r="I56" s="511">
        <f t="shared" si="23"/>
        <v>0</v>
      </c>
      <c r="J56" s="511"/>
      <c r="K56" s="525"/>
      <c r="L56" s="514">
        <f t="shared" si="24"/>
        <v>0</v>
      </c>
      <c r="M56" s="525"/>
      <c r="N56" s="514">
        <f t="shared" si="25"/>
        <v>0</v>
      </c>
      <c r="O56" s="514">
        <f t="shared" si="26"/>
        <v>0</v>
      </c>
      <c r="P56" s="272"/>
    </row>
    <row r="57" spans="2:17">
      <c r="B57" s="195" t="str">
        <f t="shared" si="27"/>
        <v/>
      </c>
      <c r="C57" s="507">
        <f>IF(D11="","-",+C56+1)</f>
        <v>2052</v>
      </c>
      <c r="D57" s="523">
        <f>IF(F56+SUM(E$17:E56)=D$10,F56,D$10-SUM(E$17:E56))</f>
        <v>372037.71646126616</v>
      </c>
      <c r="E57" s="522">
        <f>IF(+I14&lt;F56,I14,D57)</f>
        <v>94888.863636363632</v>
      </c>
      <c r="F57" s="523">
        <f t="shared" si="22"/>
        <v>277148.85282490251</v>
      </c>
      <c r="G57" s="524">
        <f t="shared" si="28"/>
        <v>133686.56790391338</v>
      </c>
      <c r="H57" s="491">
        <f t="shared" si="29"/>
        <v>133686.56790391338</v>
      </c>
      <c r="I57" s="511">
        <f t="shared" si="23"/>
        <v>0</v>
      </c>
      <c r="J57" s="511"/>
      <c r="K57" s="525"/>
      <c r="L57" s="514">
        <f t="shared" si="24"/>
        <v>0</v>
      </c>
      <c r="M57" s="525"/>
      <c r="N57" s="514">
        <f t="shared" si="25"/>
        <v>0</v>
      </c>
      <c r="O57" s="514">
        <f t="shared" si="26"/>
        <v>0</v>
      </c>
      <c r="P57" s="272"/>
    </row>
    <row r="58" spans="2:17">
      <c r="B58" s="195" t="str">
        <f t="shared" si="27"/>
        <v/>
      </c>
      <c r="C58" s="507">
        <f>IF(D11="","-",+C57+1)</f>
        <v>2053</v>
      </c>
      <c r="D58" s="523">
        <f>IF(F57+SUM(E$17:E57)=D$10,F57,D$10-SUM(E$17:E57))</f>
        <v>277148.85282490251</v>
      </c>
      <c r="E58" s="522">
        <f>IF(+I14&lt;F57,I14,D58)</f>
        <v>94888.863636363632</v>
      </c>
      <c r="F58" s="523">
        <f t="shared" si="22"/>
        <v>182259.98918853886</v>
      </c>
      <c r="G58" s="524">
        <f t="shared" si="28"/>
        <v>122344.77420754792</v>
      </c>
      <c r="H58" s="491">
        <f t="shared" si="29"/>
        <v>122344.77420754792</v>
      </c>
      <c r="I58" s="511">
        <f t="shared" si="23"/>
        <v>0</v>
      </c>
      <c r="J58" s="511"/>
      <c r="K58" s="525"/>
      <c r="L58" s="514">
        <f t="shared" si="24"/>
        <v>0</v>
      </c>
      <c r="M58" s="525"/>
      <c r="N58" s="514">
        <f t="shared" si="25"/>
        <v>0</v>
      </c>
      <c r="O58" s="514">
        <f t="shared" si="26"/>
        <v>0</v>
      </c>
      <c r="P58" s="272"/>
      <c r="Q58" s="183" t="str">
        <f>IF(ROUND(Q57,0)=ROUND(SUM(Q18:Q56),0),"","Error -- check allocations above).")</f>
        <v/>
      </c>
    </row>
    <row r="59" spans="2:17">
      <c r="B59" s="195" t="str">
        <f t="shared" si="27"/>
        <v/>
      </c>
      <c r="C59" s="507">
        <f>IF(D11="","-",+C58+1)</f>
        <v>2054</v>
      </c>
      <c r="D59" s="523">
        <f>IF(F58+SUM(E$17:E58)=D$10,F58,D$10-SUM(E$17:E58))</f>
        <v>182259.98918853886</v>
      </c>
      <c r="E59" s="522">
        <f>IF(+I14&lt;F58,I14,D59)</f>
        <v>94888.863636363632</v>
      </c>
      <c r="F59" s="523">
        <f t="shared" si="22"/>
        <v>87371.125552175232</v>
      </c>
      <c r="G59" s="524">
        <f t="shared" si="28"/>
        <v>111002.98051118247</v>
      </c>
      <c r="H59" s="491">
        <f t="shared" si="29"/>
        <v>111002.98051118247</v>
      </c>
      <c r="I59" s="511">
        <f t="shared" si="23"/>
        <v>0</v>
      </c>
      <c r="J59" s="511"/>
      <c r="K59" s="525"/>
      <c r="L59" s="514">
        <f t="shared" si="24"/>
        <v>0</v>
      </c>
      <c r="M59" s="525"/>
      <c r="N59" s="514">
        <f t="shared" si="25"/>
        <v>0</v>
      </c>
      <c r="O59" s="514">
        <f t="shared" si="26"/>
        <v>0</v>
      </c>
      <c r="P59" s="272"/>
    </row>
    <row r="60" spans="2:17">
      <c r="B60" s="195" t="str">
        <f t="shared" si="27"/>
        <v/>
      </c>
      <c r="C60" s="507">
        <f>IF(D11="","-",+C59+1)</f>
        <v>2055</v>
      </c>
      <c r="D60" s="523">
        <f>IF(F59+SUM(E$17:E59)=D$10,F59,D$10-SUM(E$17:E59))</f>
        <v>87371.125552175232</v>
      </c>
      <c r="E60" s="522">
        <f>IF(+I14&lt;F59,I14,D60)</f>
        <v>87371.125552175232</v>
      </c>
      <c r="F60" s="523">
        <f t="shared" si="22"/>
        <v>0</v>
      </c>
      <c r="G60" s="524">
        <f t="shared" si="28"/>
        <v>92592.735565493291</v>
      </c>
      <c r="H60" s="491">
        <f t="shared" si="29"/>
        <v>92592.735565493291</v>
      </c>
      <c r="I60" s="511">
        <f t="shared" si="23"/>
        <v>0</v>
      </c>
      <c r="J60" s="511"/>
      <c r="K60" s="525"/>
      <c r="L60" s="514">
        <f t="shared" si="24"/>
        <v>0</v>
      </c>
      <c r="M60" s="525"/>
      <c r="N60" s="514">
        <f t="shared" si="25"/>
        <v>0</v>
      </c>
      <c r="O60" s="514">
        <f t="shared" si="26"/>
        <v>0</v>
      </c>
      <c r="P60" s="272"/>
    </row>
    <row r="61" spans="2:17">
      <c r="B61" s="195" t="str">
        <f t="shared" si="27"/>
        <v/>
      </c>
      <c r="C61" s="507">
        <f>IF(D11="","-",+C60+1)</f>
        <v>2056</v>
      </c>
      <c r="D61" s="523">
        <f>IF(F60+SUM(E$17:E60)=D$10,F60,D$10-SUM(E$17:E60))</f>
        <v>0</v>
      </c>
      <c r="E61" s="522">
        <f>IF(+I14&lt;F60,I14,D61)</f>
        <v>0</v>
      </c>
      <c r="F61" s="523">
        <f t="shared" si="22"/>
        <v>0</v>
      </c>
      <c r="G61" s="526">
        <f t="shared" si="28"/>
        <v>0</v>
      </c>
      <c r="H61" s="491">
        <f t="shared" si="29"/>
        <v>0</v>
      </c>
      <c r="I61" s="511">
        <f t="shared" si="23"/>
        <v>0</v>
      </c>
      <c r="J61" s="511"/>
      <c r="K61" s="525"/>
      <c r="L61" s="514">
        <f t="shared" si="24"/>
        <v>0</v>
      </c>
      <c r="M61" s="525"/>
      <c r="N61" s="514">
        <f t="shared" si="25"/>
        <v>0</v>
      </c>
      <c r="O61" s="514">
        <f t="shared" si="26"/>
        <v>0</v>
      </c>
      <c r="P61" s="272"/>
    </row>
    <row r="62" spans="2:17">
      <c r="B62" s="195" t="str">
        <f t="shared" si="27"/>
        <v/>
      </c>
      <c r="C62" s="507">
        <f>IF(D11="","-",+C61+1)</f>
        <v>2057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22"/>
        <v>0</v>
      </c>
      <c r="G62" s="526">
        <f t="shared" si="28"/>
        <v>0</v>
      </c>
      <c r="H62" s="491">
        <f t="shared" si="29"/>
        <v>0</v>
      </c>
      <c r="I62" s="511">
        <f t="shared" si="23"/>
        <v>0</v>
      </c>
      <c r="J62" s="511"/>
      <c r="K62" s="525"/>
      <c r="L62" s="514">
        <f t="shared" si="24"/>
        <v>0</v>
      </c>
      <c r="M62" s="525"/>
      <c r="N62" s="514">
        <f t="shared" si="25"/>
        <v>0</v>
      </c>
      <c r="O62" s="514">
        <f t="shared" si="26"/>
        <v>0</v>
      </c>
      <c r="P62" s="272"/>
    </row>
    <row r="63" spans="2:17">
      <c r="B63" s="195" t="str">
        <f t="shared" si="27"/>
        <v/>
      </c>
      <c r="C63" s="507">
        <f>IF(D11="","-",+C62+1)</f>
        <v>2058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22"/>
        <v>0</v>
      </c>
      <c r="G63" s="526">
        <f t="shared" si="28"/>
        <v>0</v>
      </c>
      <c r="H63" s="491">
        <f t="shared" si="29"/>
        <v>0</v>
      </c>
      <c r="I63" s="511">
        <f t="shared" si="23"/>
        <v>0</v>
      </c>
      <c r="J63" s="511"/>
      <c r="K63" s="525"/>
      <c r="L63" s="514">
        <f t="shared" si="24"/>
        <v>0</v>
      </c>
      <c r="M63" s="525"/>
      <c r="N63" s="514">
        <f t="shared" si="25"/>
        <v>0</v>
      </c>
      <c r="O63" s="514">
        <f t="shared" si="26"/>
        <v>0</v>
      </c>
      <c r="P63" s="272"/>
    </row>
    <row r="64" spans="2:17">
      <c r="B64" s="195" t="str">
        <f t="shared" si="27"/>
        <v/>
      </c>
      <c r="C64" s="507">
        <f>IF(D11="","-",+C63+1)</f>
        <v>2059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22"/>
        <v>0</v>
      </c>
      <c r="G64" s="526">
        <f t="shared" si="28"/>
        <v>0</v>
      </c>
      <c r="H64" s="491">
        <f t="shared" si="29"/>
        <v>0</v>
      </c>
      <c r="I64" s="511">
        <f t="shared" si="23"/>
        <v>0</v>
      </c>
      <c r="J64" s="511"/>
      <c r="K64" s="525"/>
      <c r="L64" s="514">
        <f t="shared" si="24"/>
        <v>0</v>
      </c>
      <c r="M64" s="525"/>
      <c r="N64" s="514">
        <f t="shared" si="25"/>
        <v>0</v>
      </c>
      <c r="O64" s="514">
        <f t="shared" si="26"/>
        <v>0</v>
      </c>
      <c r="P64" s="272"/>
    </row>
    <row r="65" spans="1:16">
      <c r="B65" s="195" t="str">
        <f t="shared" si="27"/>
        <v/>
      </c>
      <c r="C65" s="507">
        <f>IF(D11="","-",+C64+1)</f>
        <v>2060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22"/>
        <v>0</v>
      </c>
      <c r="G65" s="526">
        <f t="shared" si="28"/>
        <v>0</v>
      </c>
      <c r="H65" s="491">
        <f t="shared" si="29"/>
        <v>0</v>
      </c>
      <c r="I65" s="511">
        <f t="shared" si="23"/>
        <v>0</v>
      </c>
      <c r="J65" s="511"/>
      <c r="K65" s="525"/>
      <c r="L65" s="514">
        <f t="shared" si="24"/>
        <v>0</v>
      </c>
      <c r="M65" s="525"/>
      <c r="N65" s="514">
        <f t="shared" si="25"/>
        <v>0</v>
      </c>
      <c r="O65" s="514">
        <f t="shared" si="26"/>
        <v>0</v>
      </c>
      <c r="P65" s="272"/>
    </row>
    <row r="66" spans="1:16">
      <c r="B66" s="195" t="str">
        <f t="shared" si="27"/>
        <v/>
      </c>
      <c r="C66" s="507">
        <f>IF(D11="","-",+C65+1)</f>
        <v>2061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22"/>
        <v>0</v>
      </c>
      <c r="G66" s="526">
        <f t="shared" si="28"/>
        <v>0</v>
      </c>
      <c r="H66" s="491">
        <f t="shared" si="29"/>
        <v>0</v>
      </c>
      <c r="I66" s="511">
        <f t="shared" si="23"/>
        <v>0</v>
      </c>
      <c r="J66" s="511"/>
      <c r="K66" s="525"/>
      <c r="L66" s="514">
        <f t="shared" si="24"/>
        <v>0</v>
      </c>
      <c r="M66" s="525"/>
      <c r="N66" s="514">
        <f t="shared" si="25"/>
        <v>0</v>
      </c>
      <c r="O66" s="514">
        <f t="shared" si="26"/>
        <v>0</v>
      </c>
      <c r="P66" s="272"/>
    </row>
    <row r="67" spans="1:16">
      <c r="B67" s="195" t="str">
        <f t="shared" si="27"/>
        <v/>
      </c>
      <c r="C67" s="507">
        <f>IF(D11="","-",+C66+1)</f>
        <v>2062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22"/>
        <v>0</v>
      </c>
      <c r="G67" s="526">
        <f t="shared" si="28"/>
        <v>0</v>
      </c>
      <c r="H67" s="491">
        <f t="shared" si="29"/>
        <v>0</v>
      </c>
      <c r="I67" s="511">
        <f t="shared" si="23"/>
        <v>0</v>
      </c>
      <c r="J67" s="511"/>
      <c r="K67" s="525"/>
      <c r="L67" s="514">
        <f t="shared" si="24"/>
        <v>0</v>
      </c>
      <c r="M67" s="525"/>
      <c r="N67" s="514">
        <f t="shared" si="25"/>
        <v>0</v>
      </c>
      <c r="O67" s="514">
        <f t="shared" si="26"/>
        <v>0</v>
      </c>
      <c r="P67" s="272"/>
    </row>
    <row r="68" spans="1:16">
      <c r="B68" s="195" t="str">
        <f t="shared" si="27"/>
        <v/>
      </c>
      <c r="C68" s="507">
        <f>IF(D11="","-",+C67+1)</f>
        <v>2063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22"/>
        <v>0</v>
      </c>
      <c r="G68" s="526">
        <f t="shared" si="28"/>
        <v>0</v>
      </c>
      <c r="H68" s="491">
        <f t="shared" si="29"/>
        <v>0</v>
      </c>
      <c r="I68" s="511">
        <f t="shared" si="23"/>
        <v>0</v>
      </c>
      <c r="J68" s="511"/>
      <c r="K68" s="525"/>
      <c r="L68" s="514">
        <f t="shared" si="24"/>
        <v>0</v>
      </c>
      <c r="M68" s="525"/>
      <c r="N68" s="514">
        <f t="shared" si="25"/>
        <v>0</v>
      </c>
      <c r="O68" s="514">
        <f t="shared" si="26"/>
        <v>0</v>
      </c>
      <c r="P68" s="272"/>
    </row>
    <row r="69" spans="1:16">
      <c r="B69" s="195" t="str">
        <f t="shared" si="27"/>
        <v/>
      </c>
      <c r="C69" s="507">
        <f>IF(D11="","-",+C68+1)</f>
        <v>2064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22"/>
        <v>0</v>
      </c>
      <c r="G69" s="526">
        <f t="shared" si="28"/>
        <v>0</v>
      </c>
      <c r="H69" s="491">
        <f t="shared" si="29"/>
        <v>0</v>
      </c>
      <c r="I69" s="511">
        <f t="shared" si="23"/>
        <v>0</v>
      </c>
      <c r="J69" s="511"/>
      <c r="K69" s="525"/>
      <c r="L69" s="514">
        <f t="shared" si="24"/>
        <v>0</v>
      </c>
      <c r="M69" s="525"/>
      <c r="N69" s="514">
        <f t="shared" si="25"/>
        <v>0</v>
      </c>
      <c r="O69" s="514">
        <f t="shared" si="26"/>
        <v>0</v>
      </c>
      <c r="P69" s="272"/>
    </row>
    <row r="70" spans="1:16">
      <c r="B70" s="195" t="str">
        <f t="shared" si="27"/>
        <v/>
      </c>
      <c r="C70" s="507">
        <f>IF(D11="","-",+C69+1)</f>
        <v>2065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22"/>
        <v>0</v>
      </c>
      <c r="G70" s="526">
        <f t="shared" si="28"/>
        <v>0</v>
      </c>
      <c r="H70" s="491">
        <f t="shared" si="29"/>
        <v>0</v>
      </c>
      <c r="I70" s="511">
        <f t="shared" si="23"/>
        <v>0</v>
      </c>
      <c r="J70" s="511"/>
      <c r="K70" s="525"/>
      <c r="L70" s="514">
        <f t="shared" si="24"/>
        <v>0</v>
      </c>
      <c r="M70" s="525"/>
      <c r="N70" s="514">
        <f t="shared" si="25"/>
        <v>0</v>
      </c>
      <c r="O70" s="514">
        <f t="shared" si="26"/>
        <v>0</v>
      </c>
      <c r="P70" s="272"/>
    </row>
    <row r="71" spans="1:16">
      <c r="B71" s="195" t="str">
        <f t="shared" si="27"/>
        <v/>
      </c>
      <c r="C71" s="507">
        <f>IF(D11="","-",+C70+1)</f>
        <v>2066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22"/>
        <v>0</v>
      </c>
      <c r="G71" s="526">
        <f t="shared" si="28"/>
        <v>0</v>
      </c>
      <c r="H71" s="491">
        <f t="shared" si="29"/>
        <v>0</v>
      </c>
      <c r="I71" s="511">
        <f t="shared" si="23"/>
        <v>0</v>
      </c>
      <c r="J71" s="511"/>
      <c r="K71" s="525"/>
      <c r="L71" s="514">
        <f t="shared" si="24"/>
        <v>0</v>
      </c>
      <c r="M71" s="525"/>
      <c r="N71" s="514">
        <f t="shared" si="25"/>
        <v>0</v>
      </c>
      <c r="O71" s="514">
        <f t="shared" si="26"/>
        <v>0</v>
      </c>
      <c r="P71" s="272"/>
    </row>
    <row r="72" spans="1:16" ht="13.5" thickBot="1">
      <c r="B72" s="195" t="str">
        <f t="shared" si="27"/>
        <v/>
      </c>
      <c r="C72" s="527">
        <f>IF(D11="","-",+C71+1)</f>
        <v>2067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22"/>
        <v>0</v>
      </c>
      <c r="G72" s="530">
        <f t="shared" si="28"/>
        <v>0</v>
      </c>
      <c r="H72" s="471">
        <f t="shared" si="29"/>
        <v>0</v>
      </c>
      <c r="I72" s="531">
        <f t="shared" si="23"/>
        <v>0</v>
      </c>
      <c r="J72" s="511"/>
      <c r="K72" s="532"/>
      <c r="L72" s="533">
        <f t="shared" si="24"/>
        <v>0</v>
      </c>
      <c r="M72" s="532"/>
      <c r="N72" s="533">
        <f t="shared" si="25"/>
        <v>0</v>
      </c>
      <c r="O72" s="533">
        <f t="shared" si="26"/>
        <v>0</v>
      </c>
      <c r="P72" s="272"/>
    </row>
    <row r="73" spans="1:16">
      <c r="C73" s="374" t="s">
        <v>78</v>
      </c>
      <c r="D73" s="375"/>
      <c r="E73" s="375">
        <f>SUM(E17:E72)</f>
        <v>4175110.0000000014</v>
      </c>
      <c r="F73" s="375"/>
      <c r="G73" s="375">
        <f>SUM(G17:G72)</f>
        <v>15418061.026255883</v>
      </c>
      <c r="H73" s="375">
        <f>SUM(H17:H72)</f>
        <v>15418061.026255883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1:16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1:16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1:16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1:16" ht="18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535"/>
      <c r="P77" s="272"/>
    </row>
    <row r="78" spans="1:16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1:16" ht="15">
      <c r="A79" s="536"/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</row>
    <row r="80" spans="1:16" ht="18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7">
      <c r="B81" s="269"/>
      <c r="C81" s="537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7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  <c r="Q82" s="269"/>
    </row>
    <row r="83" spans="1:17" ht="20.25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535" t="str">
        <f ca="1">P1</f>
        <v>SWEPCO Project 32 of 75</v>
      </c>
      <c r="Q83" s="269"/>
    </row>
    <row r="84" spans="1:17" ht="18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454" t="s">
        <v>128</v>
      </c>
      <c r="Q84" s="269"/>
    </row>
    <row r="85" spans="1:17" ht="18.7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  <c r="Q85" s="269"/>
    </row>
    <row r="86" spans="1:17" ht="15.75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2022</v>
      </c>
      <c r="M86" s="541" t="s">
        <v>9</v>
      </c>
      <c r="N86" s="542" t="s">
        <v>159</v>
      </c>
      <c r="O86" s="543" t="s">
        <v>11</v>
      </c>
      <c r="P86" s="269"/>
      <c r="Q86" s="269"/>
    </row>
    <row r="87" spans="1:17" ht="1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391</v>
      </c>
      <c r="M87" s="546">
        <f>IF(J92&lt;D11,0,VLOOKUP(J92,C17:O72,9))</f>
        <v>456758.87787220906</v>
      </c>
      <c r="N87" s="546">
        <f>IF(J92&lt;D11,0,VLOOKUP(J92,C17:O72,11))</f>
        <v>456758.87787220906</v>
      </c>
      <c r="O87" s="547">
        <f>+N87-M87</f>
        <v>0</v>
      </c>
      <c r="P87" s="269"/>
      <c r="Q87" s="269"/>
    </row>
    <row r="88" spans="1:17" ht="15.7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392</v>
      </c>
      <c r="M88" s="550">
        <f>IF(J92&lt;D11,0,VLOOKUP(J92,C99:P154,6))</f>
        <v>473310.59630882624</v>
      </c>
      <c r="N88" s="550">
        <f>IF(J92&lt;D11,0,VLOOKUP(J92,C99:P154,7))</f>
        <v>473310.59630882624</v>
      </c>
      <c r="O88" s="551">
        <f>+N88-M88</f>
        <v>0</v>
      </c>
      <c r="P88" s="269"/>
      <c r="Q88" s="269"/>
    </row>
    <row r="89" spans="1:17" ht="13.5" thickBot="1">
      <c r="C89" s="467" t="s">
        <v>84</v>
      </c>
      <c r="D89" s="620" t="str">
        <f>D7</f>
        <v>Howell-Kilgore 69 kV rebuild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16551.718436617171</v>
      </c>
      <c r="N89" s="555">
        <f>+N88-N87</f>
        <v>16551.718436617171</v>
      </c>
      <c r="O89" s="556">
        <f>+O88-O87</f>
        <v>0</v>
      </c>
      <c r="P89" s="269"/>
      <c r="Q89" s="269"/>
    </row>
    <row r="90" spans="1:17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  <c r="Q90" s="269"/>
    </row>
    <row r="91" spans="1:17" ht="13.5" thickBot="1">
      <c r="A91" s="191"/>
      <c r="C91" s="558" t="s">
        <v>85</v>
      </c>
      <c r="D91" s="559">
        <f>+D9</f>
        <v>0</v>
      </c>
      <c r="E91" s="560"/>
      <c r="F91" s="560"/>
      <c r="G91" s="560"/>
      <c r="H91" s="560"/>
      <c r="I91" s="560"/>
      <c r="J91" s="561"/>
      <c r="K91" s="562"/>
      <c r="P91" s="481"/>
      <c r="Q91" s="269"/>
    </row>
    <row r="92" spans="1:17">
      <c r="C92" s="486" t="s">
        <v>51</v>
      </c>
      <c r="D92" s="483">
        <f>D10</f>
        <v>4175110</v>
      </c>
      <c r="E92" s="340" t="s">
        <v>86</v>
      </c>
      <c r="H92" s="484"/>
      <c r="I92" s="484"/>
      <c r="J92" s="485">
        <f>+'SWE.WS.G.BPU.ATRR.True-up'!M16</f>
        <v>2022</v>
      </c>
      <c r="K92" s="480"/>
      <c r="L92" s="375" t="s">
        <v>87</v>
      </c>
      <c r="P92" s="272"/>
      <c r="Q92" s="269"/>
    </row>
    <row r="93" spans="1:17">
      <c r="C93" s="486" t="s">
        <v>54</v>
      </c>
      <c r="D93" s="563">
        <f>IF(D11=I10,"",D11)</f>
        <v>2012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  <c r="Q93" s="269"/>
    </row>
    <row r="94" spans="1:17">
      <c r="C94" s="486" t="s">
        <v>56</v>
      </c>
      <c r="D94" s="564">
        <f>IF(D11=I10,"",D12)</f>
        <v>6</v>
      </c>
      <c r="E94" s="486" t="s">
        <v>57</v>
      </c>
      <c r="F94" s="484"/>
      <c r="G94" s="484"/>
      <c r="J94" s="490">
        <f>'SWE.WS.G.BPU.ATRR.True-up'!$F$81</f>
        <v>0.11351422637179906</v>
      </c>
      <c r="K94" s="425"/>
      <c r="L94" s="183" t="s">
        <v>88</v>
      </c>
      <c r="P94" s="272"/>
      <c r="Q94" s="269"/>
    </row>
    <row r="95" spans="1:17">
      <c r="C95" s="486" t="s">
        <v>59</v>
      </c>
      <c r="D95" s="488">
        <f>'SWE.WS.G.BPU.ATRR.True-up'!F$93</f>
        <v>41</v>
      </c>
      <c r="E95" s="486" t="s">
        <v>60</v>
      </c>
      <c r="F95" s="484"/>
      <c r="G95" s="484"/>
      <c r="J95" s="490">
        <f>IF(H87="",J94,'SWE.WS.G.BPU.ATRR.True-up'!$F$80)</f>
        <v>0.11351422637179906</v>
      </c>
      <c r="K95" s="324"/>
      <c r="L95" s="375" t="s">
        <v>61</v>
      </c>
      <c r="M95" s="324"/>
      <c r="N95" s="324"/>
      <c r="O95" s="324"/>
      <c r="P95" s="272"/>
      <c r="Q95" s="269"/>
    </row>
    <row r="96" spans="1:17" ht="13.5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101831.95121951219</v>
      </c>
      <c r="K96" s="375"/>
      <c r="L96" s="375"/>
      <c r="M96" s="375"/>
      <c r="N96" s="375"/>
      <c r="O96" s="375"/>
      <c r="P96" s="272"/>
      <c r="Q96" s="269"/>
    </row>
    <row r="97" spans="1:17" ht="38.25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388</v>
      </c>
      <c r="I97" s="495" t="s">
        <v>389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  <c r="Q97" s="269"/>
    </row>
    <row r="98" spans="1:17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  <c r="Q98" s="269"/>
    </row>
    <row r="99" spans="1:17">
      <c r="C99" s="507">
        <f>IF(D93= "","-",D93)</f>
        <v>2012</v>
      </c>
      <c r="D99" s="508">
        <v>0</v>
      </c>
      <c r="E99" s="516">
        <v>50055.416666666657</v>
      </c>
      <c r="F99" s="515">
        <v>4154599.5833333335</v>
      </c>
      <c r="G99" s="574">
        <v>2077299.7916666667</v>
      </c>
      <c r="H99" s="575">
        <v>355738.24852974305</v>
      </c>
      <c r="I99" s="576">
        <v>355738.24852974305</v>
      </c>
      <c r="J99" s="514">
        <f t="shared" ref="J99:J130" si="30">+I99-H99</f>
        <v>0</v>
      </c>
      <c r="K99" s="514"/>
      <c r="L99" s="512">
        <f t="shared" ref="L99:L104" si="31">H99</f>
        <v>355738.24852974305</v>
      </c>
      <c r="M99" s="597">
        <f t="shared" ref="M99:M130" si="32">IF(L99&lt;&gt;0,+H99-L99,0)</f>
        <v>0</v>
      </c>
      <c r="N99" s="512">
        <f t="shared" ref="N99:N104" si="33">I99</f>
        <v>355738.24852974305</v>
      </c>
      <c r="O99" s="513">
        <f t="shared" ref="O99:O130" si="34">IF(N99&lt;&gt;0,+I99-N99,0)</f>
        <v>0</v>
      </c>
      <c r="P99" s="513">
        <f t="shared" ref="P99:P130" si="35">+O99-M99</f>
        <v>0</v>
      </c>
      <c r="Q99" s="269"/>
    </row>
    <row r="100" spans="1:17">
      <c r="B100" s="195" t="str">
        <f t="shared" ref="B100:B131" si="36">IF(D100=F99,"","IU")</f>
        <v>IU</v>
      </c>
      <c r="C100" s="507">
        <f>IF(D93="","-",+C99+1)</f>
        <v>2013</v>
      </c>
      <c r="D100" s="508">
        <v>4107681.5833333335</v>
      </c>
      <c r="E100" s="516">
        <v>98993.738095238092</v>
      </c>
      <c r="F100" s="515">
        <v>4008687.8452380956</v>
      </c>
      <c r="G100" s="515">
        <v>4058184.7142857146</v>
      </c>
      <c r="H100" s="575">
        <v>648032.45637713163</v>
      </c>
      <c r="I100" s="576">
        <v>648032.45637713163</v>
      </c>
      <c r="J100" s="514">
        <v>0</v>
      </c>
      <c r="K100" s="514"/>
      <c r="L100" s="518">
        <f t="shared" si="31"/>
        <v>648032.45637713163</v>
      </c>
      <c r="M100" s="519">
        <f t="shared" ref="M100:M105" si="37">IF(L100&lt;&gt;0,+H100-L100,0)</f>
        <v>0</v>
      </c>
      <c r="N100" s="518">
        <f t="shared" si="33"/>
        <v>648032.45637713163</v>
      </c>
      <c r="O100" s="514">
        <f>IF(N100&lt;&gt;0,+I100-N100,0)</f>
        <v>0</v>
      </c>
      <c r="P100" s="514">
        <f>+O100-M100</f>
        <v>0</v>
      </c>
      <c r="Q100" s="269"/>
    </row>
    <row r="101" spans="1:17">
      <c r="B101" s="195" t="str">
        <f t="shared" si="36"/>
        <v>IU</v>
      </c>
      <c r="C101" s="507">
        <f>IF(D93="","-",+C100+1)</f>
        <v>2014</v>
      </c>
      <c r="D101" s="508">
        <v>4026060.8452380951</v>
      </c>
      <c r="E101" s="516">
        <v>99407.380952380947</v>
      </c>
      <c r="F101" s="515">
        <v>3926653.4642857141</v>
      </c>
      <c r="G101" s="515">
        <v>3976357.1547619049</v>
      </c>
      <c r="H101" s="575">
        <v>639887.60268685024</v>
      </c>
      <c r="I101" s="576">
        <v>639887.60268685024</v>
      </c>
      <c r="J101" s="514">
        <v>0</v>
      </c>
      <c r="K101" s="514"/>
      <c r="L101" s="518">
        <f t="shared" si="31"/>
        <v>639887.60268685024</v>
      </c>
      <c r="M101" s="519">
        <f t="shared" si="37"/>
        <v>0</v>
      </c>
      <c r="N101" s="518">
        <f t="shared" si="33"/>
        <v>639887.60268685024</v>
      </c>
      <c r="O101" s="514">
        <f>IF(N101&lt;&gt;0,+I101-N101,0)</f>
        <v>0</v>
      </c>
      <c r="P101" s="514">
        <f>+O101-M101</f>
        <v>0</v>
      </c>
      <c r="Q101" s="269"/>
    </row>
    <row r="102" spans="1:17">
      <c r="B102" s="195" t="str">
        <f t="shared" si="36"/>
        <v/>
      </c>
      <c r="C102" s="507">
        <f>IF(D93="","-",+C101+1)</f>
        <v>2015</v>
      </c>
      <c r="D102" s="508">
        <v>3926653.4642857141</v>
      </c>
      <c r="E102" s="516">
        <v>99407.380952380947</v>
      </c>
      <c r="F102" s="515">
        <v>3827246.083333333</v>
      </c>
      <c r="G102" s="515">
        <v>3876949.7738095233</v>
      </c>
      <c r="H102" s="575">
        <v>610268.70222496334</v>
      </c>
      <c r="I102" s="576">
        <v>610268.70222496334</v>
      </c>
      <c r="J102" s="514">
        <f t="shared" si="30"/>
        <v>0</v>
      </c>
      <c r="K102" s="514"/>
      <c r="L102" s="518">
        <f t="shared" si="31"/>
        <v>610268.70222496334</v>
      </c>
      <c r="M102" s="519">
        <f t="shared" si="37"/>
        <v>0</v>
      </c>
      <c r="N102" s="518">
        <f t="shared" si="33"/>
        <v>610268.70222496334</v>
      </c>
      <c r="O102" s="514">
        <f>IF(N102&lt;&gt;0,+I102-N102,0)</f>
        <v>0</v>
      </c>
      <c r="P102" s="514">
        <f>+O102-M102</f>
        <v>0</v>
      </c>
      <c r="Q102" s="269"/>
    </row>
    <row r="103" spans="1:17">
      <c r="B103" s="195" t="str">
        <f t="shared" si="36"/>
        <v/>
      </c>
      <c r="C103" s="507">
        <f>IF(D93="","-",+C102+1)</f>
        <v>2016</v>
      </c>
      <c r="D103" s="508">
        <v>3827246.083333333</v>
      </c>
      <c r="E103" s="516">
        <v>97095.58139534884</v>
      </c>
      <c r="F103" s="515">
        <v>3730150.501937984</v>
      </c>
      <c r="G103" s="515">
        <v>3778698.2926356588</v>
      </c>
      <c r="H103" s="575">
        <v>576801.28539069893</v>
      </c>
      <c r="I103" s="576">
        <v>576801.28539069893</v>
      </c>
      <c r="J103" s="514">
        <f t="shared" si="30"/>
        <v>0</v>
      </c>
      <c r="K103" s="514"/>
      <c r="L103" s="518">
        <f t="shared" si="31"/>
        <v>576801.28539069893</v>
      </c>
      <c r="M103" s="519">
        <f t="shared" si="37"/>
        <v>0</v>
      </c>
      <c r="N103" s="518">
        <f t="shared" si="33"/>
        <v>576801.28539069893</v>
      </c>
      <c r="O103" s="514">
        <f>IF(N103&lt;&gt;0,+I103-N103,0)</f>
        <v>0</v>
      </c>
      <c r="P103" s="514">
        <f>+O103-M103</f>
        <v>0</v>
      </c>
      <c r="Q103" s="269"/>
    </row>
    <row r="104" spans="1:17">
      <c r="B104" s="195" t="str">
        <f t="shared" si="36"/>
        <v/>
      </c>
      <c r="C104" s="507">
        <f>IF(D93="","-",+C103+1)</f>
        <v>2017</v>
      </c>
      <c r="D104" s="508">
        <v>3730150.501937984</v>
      </c>
      <c r="E104" s="516">
        <v>99407.380952380947</v>
      </c>
      <c r="F104" s="515">
        <v>3630743.120985603</v>
      </c>
      <c r="G104" s="515">
        <v>3680446.8114617933</v>
      </c>
      <c r="H104" s="575">
        <v>546476.62006900879</v>
      </c>
      <c r="I104" s="576">
        <v>546476.62006900879</v>
      </c>
      <c r="J104" s="514">
        <f t="shared" si="30"/>
        <v>0</v>
      </c>
      <c r="K104" s="514"/>
      <c r="L104" s="518">
        <f t="shared" si="31"/>
        <v>546476.62006900879</v>
      </c>
      <c r="M104" s="519">
        <f t="shared" si="37"/>
        <v>0</v>
      </c>
      <c r="N104" s="518">
        <f t="shared" si="33"/>
        <v>546476.62006900879</v>
      </c>
      <c r="O104" s="514">
        <f>IF(N104&lt;&gt;0,+I104-N104,0)</f>
        <v>0</v>
      </c>
      <c r="P104" s="514">
        <f>+O104-M104</f>
        <v>0</v>
      </c>
      <c r="Q104" s="269"/>
    </row>
    <row r="105" spans="1:17">
      <c r="B105" s="195" t="str">
        <f t="shared" si="36"/>
        <v/>
      </c>
      <c r="C105" s="507">
        <f>IF(D93="","-",+C104+1)</f>
        <v>2018</v>
      </c>
      <c r="D105" s="508">
        <v>3630743.120985603</v>
      </c>
      <c r="E105" s="516">
        <v>99407.380952380947</v>
      </c>
      <c r="F105" s="515">
        <v>3531335.7400332219</v>
      </c>
      <c r="G105" s="515">
        <v>3581039.4305094127</v>
      </c>
      <c r="H105" s="575">
        <v>477581.56681566167</v>
      </c>
      <c r="I105" s="576">
        <v>477581.56681566167</v>
      </c>
      <c r="J105" s="514">
        <f t="shared" si="30"/>
        <v>0</v>
      </c>
      <c r="K105" s="514"/>
      <c r="L105" s="518">
        <f t="shared" ref="L105" si="38">H105</f>
        <v>477581.56681566167</v>
      </c>
      <c r="M105" s="519">
        <f t="shared" si="37"/>
        <v>0</v>
      </c>
      <c r="N105" s="518">
        <f t="shared" ref="N105" si="39">I105</f>
        <v>477581.56681566167</v>
      </c>
      <c r="O105" s="514">
        <f t="shared" si="34"/>
        <v>0</v>
      </c>
      <c r="P105" s="514">
        <f t="shared" si="35"/>
        <v>0</v>
      </c>
      <c r="Q105" s="269"/>
    </row>
    <row r="106" spans="1:17">
      <c r="B106" s="195" t="str">
        <f t="shared" si="36"/>
        <v/>
      </c>
      <c r="C106" s="507">
        <f>IF(D93="","-",+C105+1)</f>
        <v>2019</v>
      </c>
      <c r="D106" s="508">
        <v>3531335.7400332219</v>
      </c>
      <c r="E106" s="516">
        <v>97095.58139534884</v>
      </c>
      <c r="F106" s="515">
        <v>3434240.1586378729</v>
      </c>
      <c r="G106" s="515">
        <v>3482787.9493355472</v>
      </c>
      <c r="H106" s="575">
        <v>469895.10698233201</v>
      </c>
      <c r="I106" s="576">
        <v>469895.10698233201</v>
      </c>
      <c r="J106" s="514">
        <f t="shared" si="30"/>
        <v>0</v>
      </c>
      <c r="K106" s="514"/>
      <c r="L106" s="518">
        <f t="shared" ref="L106:L107" si="40">H106</f>
        <v>469895.10698233201</v>
      </c>
      <c r="M106" s="519">
        <f t="shared" ref="M106:M107" si="41">IF(L106&lt;&gt;0,+H106-L106,0)</f>
        <v>0</v>
      </c>
      <c r="N106" s="518">
        <f t="shared" ref="N106:N107" si="42">I106</f>
        <v>469895.10698233201</v>
      </c>
      <c r="O106" s="514">
        <f t="shared" si="34"/>
        <v>0</v>
      </c>
      <c r="P106" s="514">
        <f t="shared" si="35"/>
        <v>0</v>
      </c>
      <c r="Q106" s="269"/>
    </row>
    <row r="107" spans="1:17">
      <c r="B107" s="195" t="str">
        <f t="shared" si="36"/>
        <v/>
      </c>
      <c r="C107" s="507">
        <f>IF(D93="","-",+C106+1)</f>
        <v>2020</v>
      </c>
      <c r="D107" s="508">
        <v>3434240.1586378729</v>
      </c>
      <c r="E107" s="516">
        <v>99407.380952380947</v>
      </c>
      <c r="F107" s="515">
        <v>3334832.7776854918</v>
      </c>
      <c r="G107" s="515">
        <v>3384536.4681616826</v>
      </c>
      <c r="H107" s="575">
        <v>463494.94007104362</v>
      </c>
      <c r="I107" s="576">
        <v>463494.94007104362</v>
      </c>
      <c r="J107" s="514">
        <f t="shared" si="30"/>
        <v>0</v>
      </c>
      <c r="K107" s="514"/>
      <c r="L107" s="518">
        <f t="shared" si="40"/>
        <v>463494.94007104362</v>
      </c>
      <c r="M107" s="519">
        <f t="shared" si="41"/>
        <v>0</v>
      </c>
      <c r="N107" s="518">
        <f t="shared" si="42"/>
        <v>463494.94007104362</v>
      </c>
      <c r="O107" s="514">
        <f t="shared" si="34"/>
        <v>0</v>
      </c>
      <c r="P107" s="514">
        <f t="shared" si="35"/>
        <v>0</v>
      </c>
      <c r="Q107" s="269"/>
    </row>
    <row r="108" spans="1:17">
      <c r="B108" s="195" t="str">
        <f t="shared" si="36"/>
        <v/>
      </c>
      <c r="C108" s="507">
        <f>IF(D93="","-",+C107+1)</f>
        <v>2021</v>
      </c>
      <c r="D108" s="508">
        <v>3334832.7776854918</v>
      </c>
      <c r="E108" s="516">
        <v>101831.95121951219</v>
      </c>
      <c r="F108" s="515">
        <v>3233000.8264659797</v>
      </c>
      <c r="G108" s="515">
        <v>3283916.8020757358</v>
      </c>
      <c r="H108" s="575">
        <v>474603.22647649172</v>
      </c>
      <c r="I108" s="576">
        <v>474603.22647649172</v>
      </c>
      <c r="J108" s="514">
        <f t="shared" si="30"/>
        <v>0</v>
      </c>
      <c r="K108" s="514"/>
      <c r="L108" s="518">
        <f t="shared" ref="L108" si="43">H108</f>
        <v>474603.22647649172</v>
      </c>
      <c r="M108" s="519">
        <f t="shared" ref="M108" si="44">IF(L108&lt;&gt;0,+H108-L108,0)</f>
        <v>0</v>
      </c>
      <c r="N108" s="518">
        <f t="shared" ref="N108" si="45">I108</f>
        <v>474603.22647649172</v>
      </c>
      <c r="O108" s="514">
        <f t="shared" ref="O108" si="46">IF(N108&lt;&gt;0,+I108-N108,0)</f>
        <v>0</v>
      </c>
      <c r="P108" s="514">
        <f t="shared" ref="P108" si="47">+O108-M108</f>
        <v>0</v>
      </c>
      <c r="Q108" s="269"/>
    </row>
    <row r="109" spans="1:17">
      <c r="B109" s="195" t="str">
        <f t="shared" si="36"/>
        <v/>
      </c>
      <c r="C109" s="673">
        <f>IF(D93="","-",+C108+1)</f>
        <v>2022</v>
      </c>
      <c r="D109" s="374">
        <v>3233000.8264659797</v>
      </c>
      <c r="E109" s="522">
        <v>99407.380952380947</v>
      </c>
      <c r="F109" s="523">
        <v>3133593.4455135986</v>
      </c>
      <c r="G109" s="523">
        <v>3183297.1359897889</v>
      </c>
      <c r="H109" s="526">
        <v>473310.59630882624</v>
      </c>
      <c r="I109" s="577">
        <v>473310.59630882624</v>
      </c>
      <c r="J109" s="514">
        <f t="shared" si="30"/>
        <v>0</v>
      </c>
      <c r="K109" s="514"/>
      <c r="L109" s="525"/>
      <c r="M109" s="514">
        <f t="shared" si="32"/>
        <v>0</v>
      </c>
      <c r="N109" s="525"/>
      <c r="O109" s="514">
        <f t="shared" si="34"/>
        <v>0</v>
      </c>
      <c r="P109" s="514">
        <f t="shared" si="35"/>
        <v>0</v>
      </c>
      <c r="Q109" s="269"/>
    </row>
    <row r="110" spans="1:17">
      <c r="B110" s="195" t="str">
        <f t="shared" si="36"/>
        <v/>
      </c>
      <c r="C110" s="507">
        <f>IF(D93="","-",+C109+1)</f>
        <v>2023</v>
      </c>
      <c r="D110" s="374">
        <f>IF(F109+SUM(E$99:E109)=D$92,F109,D$92-SUM(E$99:E109))</f>
        <v>3133593.4455135986</v>
      </c>
      <c r="E110" s="522">
        <f>IF(+J96&lt;F109,J96,D110)</f>
        <v>101831.95121951219</v>
      </c>
      <c r="F110" s="523">
        <f t="shared" ref="F110:F131" si="48">+D110-E110</f>
        <v>3031761.4942940865</v>
      </c>
      <c r="G110" s="523">
        <f t="shared" ref="G110:G130" si="49">+(F110+D110)/2</f>
        <v>3082677.4699038425</v>
      </c>
      <c r="H110" s="526">
        <f t="shared" ref="H110:H130" si="50">+J$94*G110+E110</f>
        <v>451759.69936942175</v>
      </c>
      <c r="I110" s="577">
        <f t="shared" ref="I110:I130" si="51">+J$95*G110+E110</f>
        <v>451759.69936942175</v>
      </c>
      <c r="J110" s="514">
        <f t="shared" si="30"/>
        <v>0</v>
      </c>
      <c r="K110" s="514"/>
      <c r="L110" s="525"/>
      <c r="M110" s="514">
        <f t="shared" si="32"/>
        <v>0</v>
      </c>
      <c r="N110" s="525"/>
      <c r="O110" s="514">
        <f t="shared" si="34"/>
        <v>0</v>
      </c>
      <c r="P110" s="514">
        <f t="shared" si="35"/>
        <v>0</v>
      </c>
      <c r="Q110" s="269"/>
    </row>
    <row r="111" spans="1:17">
      <c r="B111" s="195" t="str">
        <f t="shared" si="36"/>
        <v/>
      </c>
      <c r="C111" s="507">
        <f>IF(D93="","-",+C110+1)</f>
        <v>2024</v>
      </c>
      <c r="D111" s="374">
        <f>IF(F110+SUM(E$99:E110)=D$92,F110,D$92-SUM(E$99:E110))</f>
        <v>3031761.4942940865</v>
      </c>
      <c r="E111" s="522">
        <f>IF(+J96&lt;F110,J96,D111)</f>
        <v>101831.95121951219</v>
      </c>
      <c r="F111" s="523">
        <f t="shared" si="48"/>
        <v>2929929.5430745743</v>
      </c>
      <c r="G111" s="523">
        <f t="shared" si="49"/>
        <v>2980845.5186843304</v>
      </c>
      <c r="H111" s="526">
        <f t="shared" si="50"/>
        <v>440200.32420680806</v>
      </c>
      <c r="I111" s="577">
        <f t="shared" si="51"/>
        <v>440200.32420680806</v>
      </c>
      <c r="J111" s="514">
        <f t="shared" si="30"/>
        <v>0</v>
      </c>
      <c r="K111" s="514"/>
      <c r="L111" s="525"/>
      <c r="M111" s="514">
        <f t="shared" si="32"/>
        <v>0</v>
      </c>
      <c r="N111" s="525"/>
      <c r="O111" s="514">
        <f t="shared" si="34"/>
        <v>0</v>
      </c>
      <c r="P111" s="514">
        <f t="shared" si="35"/>
        <v>0</v>
      </c>
      <c r="Q111" s="269"/>
    </row>
    <row r="112" spans="1:17">
      <c r="B112" s="195" t="str">
        <f t="shared" si="36"/>
        <v/>
      </c>
      <c r="C112" s="507">
        <f>IF(D93="","-",+C111+1)</f>
        <v>2025</v>
      </c>
      <c r="D112" s="374">
        <f>IF(F111+SUM(E$99:E111)=D$92,F111,D$92-SUM(E$99:E111))</f>
        <v>2929929.5430745743</v>
      </c>
      <c r="E112" s="522">
        <f>IF(+J96&lt;F111,J96,D112)</f>
        <v>101831.95121951219</v>
      </c>
      <c r="F112" s="523">
        <f t="shared" si="48"/>
        <v>2828097.5918550622</v>
      </c>
      <c r="G112" s="523">
        <f t="shared" si="49"/>
        <v>2879013.5674648182</v>
      </c>
      <c r="H112" s="526">
        <f t="shared" si="50"/>
        <v>428640.94904419436</v>
      </c>
      <c r="I112" s="577">
        <f t="shared" si="51"/>
        <v>428640.94904419436</v>
      </c>
      <c r="J112" s="514">
        <f t="shared" si="30"/>
        <v>0</v>
      </c>
      <c r="K112" s="514"/>
      <c r="L112" s="525"/>
      <c r="M112" s="514">
        <f t="shared" si="32"/>
        <v>0</v>
      </c>
      <c r="N112" s="525"/>
      <c r="O112" s="514">
        <f t="shared" si="34"/>
        <v>0</v>
      </c>
      <c r="P112" s="514">
        <f t="shared" si="35"/>
        <v>0</v>
      </c>
      <c r="Q112" s="269"/>
    </row>
    <row r="113" spans="2:17">
      <c r="B113" s="195" t="str">
        <f t="shared" si="36"/>
        <v/>
      </c>
      <c r="C113" s="507">
        <f>IF(D93="","-",+C112+1)</f>
        <v>2026</v>
      </c>
      <c r="D113" s="374">
        <f>IF(F112+SUM(E$99:E112)=D$92,F112,D$92-SUM(E$99:E112))</f>
        <v>2828097.5918550622</v>
      </c>
      <c r="E113" s="522">
        <f>IF(+J96&lt;F112,J96,D113)</f>
        <v>101831.95121951219</v>
      </c>
      <c r="F113" s="523">
        <f t="shared" si="48"/>
        <v>2726265.64063555</v>
      </c>
      <c r="G113" s="523">
        <f t="shared" si="49"/>
        <v>2777181.6162453061</v>
      </c>
      <c r="H113" s="526">
        <f t="shared" si="50"/>
        <v>417081.57388158067</v>
      </c>
      <c r="I113" s="577">
        <f t="shared" si="51"/>
        <v>417081.57388158067</v>
      </c>
      <c r="J113" s="514">
        <f t="shared" si="30"/>
        <v>0</v>
      </c>
      <c r="K113" s="514"/>
      <c r="L113" s="525"/>
      <c r="M113" s="514">
        <f t="shared" si="32"/>
        <v>0</v>
      </c>
      <c r="N113" s="525"/>
      <c r="O113" s="514">
        <f t="shared" si="34"/>
        <v>0</v>
      </c>
      <c r="P113" s="514">
        <f t="shared" si="35"/>
        <v>0</v>
      </c>
      <c r="Q113" s="269"/>
    </row>
    <row r="114" spans="2:17">
      <c r="B114" s="195" t="str">
        <f t="shared" si="36"/>
        <v/>
      </c>
      <c r="C114" s="507">
        <f>IF(D93="","-",+C113+1)</f>
        <v>2027</v>
      </c>
      <c r="D114" s="374">
        <f>IF(F113+SUM(E$99:E113)=D$92,F113,D$92-SUM(E$99:E113))</f>
        <v>2726265.64063555</v>
      </c>
      <c r="E114" s="522">
        <f>IF(+J96&lt;F113,J96,D114)</f>
        <v>101831.95121951219</v>
      </c>
      <c r="F114" s="523">
        <f t="shared" si="48"/>
        <v>2624433.6894160379</v>
      </c>
      <c r="G114" s="523">
        <f t="shared" si="49"/>
        <v>2675349.6650257939</v>
      </c>
      <c r="H114" s="526">
        <f t="shared" si="50"/>
        <v>405522.19871896697</v>
      </c>
      <c r="I114" s="577">
        <f t="shared" si="51"/>
        <v>405522.19871896697</v>
      </c>
      <c r="J114" s="514">
        <f t="shared" si="30"/>
        <v>0</v>
      </c>
      <c r="K114" s="514"/>
      <c r="L114" s="525"/>
      <c r="M114" s="514">
        <f t="shared" si="32"/>
        <v>0</v>
      </c>
      <c r="N114" s="525"/>
      <c r="O114" s="514">
        <f t="shared" si="34"/>
        <v>0</v>
      </c>
      <c r="P114" s="514">
        <f t="shared" si="35"/>
        <v>0</v>
      </c>
      <c r="Q114" s="269"/>
    </row>
    <row r="115" spans="2:17">
      <c r="B115" s="195" t="str">
        <f t="shared" si="36"/>
        <v/>
      </c>
      <c r="C115" s="507">
        <f>IF(D93="","-",+C114+1)</f>
        <v>2028</v>
      </c>
      <c r="D115" s="374">
        <f>IF(F114+SUM(E$99:E114)=D$92,F114,D$92-SUM(E$99:E114))</f>
        <v>2624433.6894160379</v>
      </c>
      <c r="E115" s="522">
        <f>IF(+J96&lt;F114,J96,D115)</f>
        <v>101831.95121951219</v>
      </c>
      <c r="F115" s="523">
        <f t="shared" si="48"/>
        <v>2522601.7381965257</v>
      </c>
      <c r="G115" s="523">
        <f t="shared" si="49"/>
        <v>2573517.7138062818</v>
      </c>
      <c r="H115" s="526">
        <f t="shared" si="50"/>
        <v>393962.82355635328</v>
      </c>
      <c r="I115" s="577">
        <f t="shared" si="51"/>
        <v>393962.82355635328</v>
      </c>
      <c r="J115" s="514">
        <f t="shared" si="30"/>
        <v>0</v>
      </c>
      <c r="K115" s="514"/>
      <c r="L115" s="525"/>
      <c r="M115" s="514">
        <f t="shared" si="32"/>
        <v>0</v>
      </c>
      <c r="N115" s="525"/>
      <c r="O115" s="514">
        <f t="shared" si="34"/>
        <v>0</v>
      </c>
      <c r="P115" s="514">
        <f t="shared" si="35"/>
        <v>0</v>
      </c>
      <c r="Q115" s="269"/>
    </row>
    <row r="116" spans="2:17">
      <c r="B116" s="195" t="str">
        <f t="shared" si="36"/>
        <v/>
      </c>
      <c r="C116" s="507">
        <f>IF(D93="","-",+C115+1)</f>
        <v>2029</v>
      </c>
      <c r="D116" s="374">
        <f>IF(F115+SUM(E$99:E115)=D$92,F115,D$92-SUM(E$99:E115))</f>
        <v>2522601.7381965257</v>
      </c>
      <c r="E116" s="522">
        <f>IF(+J96&lt;F115,J96,D116)</f>
        <v>101831.95121951219</v>
      </c>
      <c r="F116" s="523">
        <f t="shared" si="48"/>
        <v>2420769.7869770136</v>
      </c>
      <c r="G116" s="523">
        <f t="shared" si="49"/>
        <v>2471685.7625867696</v>
      </c>
      <c r="H116" s="526">
        <f t="shared" si="50"/>
        <v>382403.44839373959</v>
      </c>
      <c r="I116" s="577">
        <f t="shared" si="51"/>
        <v>382403.44839373959</v>
      </c>
      <c r="J116" s="514">
        <f t="shared" si="30"/>
        <v>0</v>
      </c>
      <c r="K116" s="514"/>
      <c r="L116" s="525"/>
      <c r="M116" s="514">
        <f t="shared" si="32"/>
        <v>0</v>
      </c>
      <c r="N116" s="525"/>
      <c r="O116" s="514">
        <f t="shared" si="34"/>
        <v>0</v>
      </c>
      <c r="P116" s="514">
        <f t="shared" si="35"/>
        <v>0</v>
      </c>
      <c r="Q116" s="269"/>
    </row>
    <row r="117" spans="2:17">
      <c r="B117" s="195" t="str">
        <f t="shared" si="36"/>
        <v/>
      </c>
      <c r="C117" s="507">
        <f>IF(D93="","-",+C116+1)</f>
        <v>2030</v>
      </c>
      <c r="D117" s="374">
        <f>IF(F116+SUM(E$99:E116)=D$92,F116,D$92-SUM(E$99:E116))</f>
        <v>2420769.7869770136</v>
      </c>
      <c r="E117" s="522">
        <f>IF(+J96&lt;F116,J96,D117)</f>
        <v>101831.95121951219</v>
      </c>
      <c r="F117" s="523">
        <f t="shared" si="48"/>
        <v>2318937.8357575014</v>
      </c>
      <c r="G117" s="523">
        <f t="shared" si="49"/>
        <v>2369853.8113672575</v>
      </c>
      <c r="H117" s="526">
        <f t="shared" si="50"/>
        <v>370844.07323112589</v>
      </c>
      <c r="I117" s="577">
        <f t="shared" si="51"/>
        <v>370844.07323112589</v>
      </c>
      <c r="J117" s="514">
        <f t="shared" si="30"/>
        <v>0</v>
      </c>
      <c r="K117" s="514"/>
      <c r="L117" s="525"/>
      <c r="M117" s="514">
        <f t="shared" si="32"/>
        <v>0</v>
      </c>
      <c r="N117" s="525"/>
      <c r="O117" s="514">
        <f t="shared" si="34"/>
        <v>0</v>
      </c>
      <c r="P117" s="514">
        <f t="shared" si="35"/>
        <v>0</v>
      </c>
      <c r="Q117" s="269"/>
    </row>
    <row r="118" spans="2:17">
      <c r="B118" s="195" t="str">
        <f t="shared" si="36"/>
        <v/>
      </c>
      <c r="C118" s="507">
        <f>IF(D93="","-",+C117+1)</f>
        <v>2031</v>
      </c>
      <c r="D118" s="374">
        <f>IF(F117+SUM(E$99:E117)=D$92,F117,D$92-SUM(E$99:E117))</f>
        <v>2318937.8357575014</v>
      </c>
      <c r="E118" s="522">
        <f>IF(+J96&lt;F117,J96,D118)</f>
        <v>101831.95121951219</v>
      </c>
      <c r="F118" s="523">
        <f t="shared" si="48"/>
        <v>2217105.8845379893</v>
      </c>
      <c r="G118" s="523">
        <f t="shared" si="49"/>
        <v>2268021.8601477453</v>
      </c>
      <c r="H118" s="526">
        <f t="shared" si="50"/>
        <v>359284.69806851214</v>
      </c>
      <c r="I118" s="577">
        <f t="shared" si="51"/>
        <v>359284.69806851214</v>
      </c>
      <c r="J118" s="514">
        <f t="shared" si="30"/>
        <v>0</v>
      </c>
      <c r="K118" s="514"/>
      <c r="L118" s="525"/>
      <c r="M118" s="514">
        <f t="shared" si="32"/>
        <v>0</v>
      </c>
      <c r="N118" s="525"/>
      <c r="O118" s="514">
        <f t="shared" si="34"/>
        <v>0</v>
      </c>
      <c r="P118" s="514">
        <f t="shared" si="35"/>
        <v>0</v>
      </c>
      <c r="Q118" s="269"/>
    </row>
    <row r="119" spans="2:17">
      <c r="B119" s="195" t="str">
        <f t="shared" si="36"/>
        <v/>
      </c>
      <c r="C119" s="507">
        <f>IF(D93="","-",+C118+1)</f>
        <v>2032</v>
      </c>
      <c r="D119" s="374">
        <f>IF(F118+SUM(E$99:E118)=D$92,F118,D$92-SUM(E$99:E118))</f>
        <v>2217105.8845379893</v>
      </c>
      <c r="E119" s="522">
        <f>IF(+J96&lt;F118,J96,D119)</f>
        <v>101831.95121951219</v>
      </c>
      <c r="F119" s="523">
        <f t="shared" si="48"/>
        <v>2115273.9333184771</v>
      </c>
      <c r="G119" s="523">
        <f t="shared" si="49"/>
        <v>2166189.9089282332</v>
      </c>
      <c r="H119" s="526">
        <f t="shared" si="50"/>
        <v>347725.32290589844</v>
      </c>
      <c r="I119" s="577">
        <f t="shared" si="51"/>
        <v>347725.32290589844</v>
      </c>
      <c r="J119" s="514">
        <f t="shared" si="30"/>
        <v>0</v>
      </c>
      <c r="K119" s="514"/>
      <c r="L119" s="525"/>
      <c r="M119" s="514">
        <f t="shared" si="32"/>
        <v>0</v>
      </c>
      <c r="N119" s="525"/>
      <c r="O119" s="514">
        <f t="shared" si="34"/>
        <v>0</v>
      </c>
      <c r="P119" s="514">
        <f t="shared" si="35"/>
        <v>0</v>
      </c>
      <c r="Q119" s="269"/>
    </row>
    <row r="120" spans="2:17">
      <c r="B120" s="195" t="str">
        <f t="shared" si="36"/>
        <v/>
      </c>
      <c r="C120" s="507">
        <f>IF(D93="","-",+C119+1)</f>
        <v>2033</v>
      </c>
      <c r="D120" s="374">
        <f>IF(F119+SUM(E$99:E119)=D$92,F119,D$92-SUM(E$99:E119))</f>
        <v>2115273.9333184771</v>
      </c>
      <c r="E120" s="522">
        <f>IF(+J96&lt;F119,J96,D120)</f>
        <v>101831.95121951219</v>
      </c>
      <c r="F120" s="523">
        <f t="shared" si="48"/>
        <v>2013441.982098965</v>
      </c>
      <c r="G120" s="523">
        <f t="shared" si="49"/>
        <v>2064357.957708721</v>
      </c>
      <c r="H120" s="526">
        <f t="shared" si="50"/>
        <v>336165.94774328475</v>
      </c>
      <c r="I120" s="577">
        <f t="shared" si="51"/>
        <v>336165.94774328475</v>
      </c>
      <c r="J120" s="514">
        <f t="shared" si="30"/>
        <v>0</v>
      </c>
      <c r="K120" s="514"/>
      <c r="L120" s="525"/>
      <c r="M120" s="514">
        <f t="shared" si="32"/>
        <v>0</v>
      </c>
      <c r="N120" s="525"/>
      <c r="O120" s="514">
        <f t="shared" si="34"/>
        <v>0</v>
      </c>
      <c r="P120" s="514">
        <f t="shared" si="35"/>
        <v>0</v>
      </c>
      <c r="Q120" s="269"/>
    </row>
    <row r="121" spans="2:17">
      <c r="B121" s="195" t="str">
        <f t="shared" si="36"/>
        <v/>
      </c>
      <c r="C121" s="507">
        <f>IF(D93="","-",+C120+1)</f>
        <v>2034</v>
      </c>
      <c r="D121" s="374">
        <f>IF(F120+SUM(E$99:E120)=D$92,F120,D$92-SUM(E$99:E120))</f>
        <v>2013441.982098965</v>
      </c>
      <c r="E121" s="522">
        <f>IF(+J96&lt;F120,J96,D121)</f>
        <v>101831.95121951219</v>
      </c>
      <c r="F121" s="523">
        <f t="shared" si="48"/>
        <v>1911610.0308794528</v>
      </c>
      <c r="G121" s="523">
        <f t="shared" si="49"/>
        <v>1962526.0064892089</v>
      </c>
      <c r="H121" s="526">
        <f t="shared" si="50"/>
        <v>324606.57258067105</v>
      </c>
      <c r="I121" s="577">
        <f t="shared" si="51"/>
        <v>324606.57258067105</v>
      </c>
      <c r="J121" s="514">
        <f t="shared" si="30"/>
        <v>0</v>
      </c>
      <c r="K121" s="514"/>
      <c r="L121" s="525"/>
      <c r="M121" s="514">
        <f t="shared" si="32"/>
        <v>0</v>
      </c>
      <c r="N121" s="525"/>
      <c r="O121" s="514">
        <f t="shared" si="34"/>
        <v>0</v>
      </c>
      <c r="P121" s="514">
        <f t="shared" si="35"/>
        <v>0</v>
      </c>
      <c r="Q121" s="269"/>
    </row>
    <row r="122" spans="2:17">
      <c r="B122" s="195" t="str">
        <f t="shared" si="36"/>
        <v/>
      </c>
      <c r="C122" s="507">
        <f>IF(D93="","-",+C121+1)</f>
        <v>2035</v>
      </c>
      <c r="D122" s="374">
        <f>IF(F121+SUM(E$99:E121)=D$92,F121,D$92-SUM(E$99:E121))</f>
        <v>1911610.0308794528</v>
      </c>
      <c r="E122" s="522">
        <f>IF(+J96&lt;F121,J96,D122)</f>
        <v>101831.95121951219</v>
      </c>
      <c r="F122" s="523">
        <f t="shared" si="48"/>
        <v>1809778.0796599407</v>
      </c>
      <c r="G122" s="523">
        <f t="shared" si="49"/>
        <v>1860694.0552696967</v>
      </c>
      <c r="H122" s="526">
        <f t="shared" si="50"/>
        <v>313047.19741805736</v>
      </c>
      <c r="I122" s="577">
        <f t="shared" si="51"/>
        <v>313047.19741805736</v>
      </c>
      <c r="J122" s="514">
        <f t="shared" si="30"/>
        <v>0</v>
      </c>
      <c r="K122" s="514"/>
      <c r="L122" s="525"/>
      <c r="M122" s="514">
        <f t="shared" si="32"/>
        <v>0</v>
      </c>
      <c r="N122" s="525"/>
      <c r="O122" s="514">
        <f t="shared" si="34"/>
        <v>0</v>
      </c>
      <c r="P122" s="514">
        <f t="shared" si="35"/>
        <v>0</v>
      </c>
      <c r="Q122" s="269"/>
    </row>
    <row r="123" spans="2:17">
      <c r="B123" s="195" t="str">
        <f t="shared" si="36"/>
        <v/>
      </c>
      <c r="C123" s="507">
        <f>IF(D93="","-",+C122+1)</f>
        <v>2036</v>
      </c>
      <c r="D123" s="374">
        <f>IF(F122+SUM(E$99:E122)=D$92,F122,D$92-SUM(E$99:E122))</f>
        <v>1809778.0796599407</v>
      </c>
      <c r="E123" s="522">
        <f>IF(+J96&lt;F122,J96,D123)</f>
        <v>101831.95121951219</v>
      </c>
      <c r="F123" s="523">
        <f t="shared" si="48"/>
        <v>1707946.1284404285</v>
      </c>
      <c r="G123" s="523">
        <f t="shared" si="49"/>
        <v>1758862.1040501846</v>
      </c>
      <c r="H123" s="526">
        <f t="shared" si="50"/>
        <v>301487.82225544367</v>
      </c>
      <c r="I123" s="577">
        <f t="shared" si="51"/>
        <v>301487.82225544367</v>
      </c>
      <c r="J123" s="514">
        <f t="shared" si="30"/>
        <v>0</v>
      </c>
      <c r="K123" s="514"/>
      <c r="L123" s="525"/>
      <c r="M123" s="514">
        <f t="shared" si="32"/>
        <v>0</v>
      </c>
      <c r="N123" s="525"/>
      <c r="O123" s="514">
        <f t="shared" si="34"/>
        <v>0</v>
      </c>
      <c r="P123" s="514">
        <f t="shared" si="35"/>
        <v>0</v>
      </c>
      <c r="Q123" s="269"/>
    </row>
    <row r="124" spans="2:17">
      <c r="B124" s="195" t="str">
        <f t="shared" si="36"/>
        <v/>
      </c>
      <c r="C124" s="507">
        <f>IF(D93="","-",+C123+1)</f>
        <v>2037</v>
      </c>
      <c r="D124" s="374">
        <f>IF(F123+SUM(E$99:E123)=D$92,F123,D$92-SUM(E$99:E123))</f>
        <v>1707946.1284404285</v>
      </c>
      <c r="E124" s="522">
        <f>IF(+J96&lt;F123,J96,D124)</f>
        <v>101831.95121951219</v>
      </c>
      <c r="F124" s="523">
        <f t="shared" si="48"/>
        <v>1606114.1772209164</v>
      </c>
      <c r="G124" s="523">
        <f t="shared" si="49"/>
        <v>1657030.1528306725</v>
      </c>
      <c r="H124" s="526">
        <f t="shared" si="50"/>
        <v>289928.44709282991</v>
      </c>
      <c r="I124" s="577">
        <f t="shared" si="51"/>
        <v>289928.44709282991</v>
      </c>
      <c r="J124" s="514">
        <f t="shared" si="30"/>
        <v>0</v>
      </c>
      <c r="K124" s="514"/>
      <c r="L124" s="525"/>
      <c r="M124" s="514">
        <f t="shared" si="32"/>
        <v>0</v>
      </c>
      <c r="N124" s="525"/>
      <c r="O124" s="514">
        <f t="shared" si="34"/>
        <v>0</v>
      </c>
      <c r="P124" s="514">
        <f t="shared" si="35"/>
        <v>0</v>
      </c>
      <c r="Q124" s="269"/>
    </row>
    <row r="125" spans="2:17">
      <c r="B125" s="195" t="str">
        <f t="shared" si="36"/>
        <v/>
      </c>
      <c r="C125" s="507">
        <f>IF(D93="","-",+C124+1)</f>
        <v>2038</v>
      </c>
      <c r="D125" s="374">
        <f>IF(F124+SUM(E$99:E124)=D$92,F124,D$92-SUM(E$99:E124))</f>
        <v>1606114.1772209164</v>
      </c>
      <c r="E125" s="522">
        <f>IF(+J96&lt;F124,J96,D125)</f>
        <v>101831.95121951219</v>
      </c>
      <c r="F125" s="523">
        <f t="shared" si="48"/>
        <v>1504282.2260014042</v>
      </c>
      <c r="G125" s="523">
        <f t="shared" si="49"/>
        <v>1555198.2016111603</v>
      </c>
      <c r="H125" s="526">
        <f t="shared" si="50"/>
        <v>278369.07193021622</v>
      </c>
      <c r="I125" s="577">
        <f t="shared" si="51"/>
        <v>278369.07193021622</v>
      </c>
      <c r="J125" s="514">
        <f t="shared" si="30"/>
        <v>0</v>
      </c>
      <c r="K125" s="514"/>
      <c r="L125" s="525"/>
      <c r="M125" s="514">
        <f t="shared" si="32"/>
        <v>0</v>
      </c>
      <c r="N125" s="525"/>
      <c r="O125" s="514">
        <f t="shared" si="34"/>
        <v>0</v>
      </c>
      <c r="P125" s="514">
        <f t="shared" si="35"/>
        <v>0</v>
      </c>
      <c r="Q125" s="269"/>
    </row>
    <row r="126" spans="2:17">
      <c r="B126" s="195" t="str">
        <f t="shared" si="36"/>
        <v/>
      </c>
      <c r="C126" s="507">
        <f>IF(D93="","-",+C125+1)</f>
        <v>2039</v>
      </c>
      <c r="D126" s="374">
        <f>IF(F125+SUM(E$99:E125)=D$92,F125,D$92-SUM(E$99:E125))</f>
        <v>1504282.2260014042</v>
      </c>
      <c r="E126" s="522">
        <f>IF(+J96&lt;F125,J96,D126)</f>
        <v>101831.95121951219</v>
      </c>
      <c r="F126" s="523">
        <f t="shared" si="48"/>
        <v>1402450.2747818921</v>
      </c>
      <c r="G126" s="523">
        <f t="shared" si="49"/>
        <v>1453366.2503916482</v>
      </c>
      <c r="H126" s="526">
        <f t="shared" si="50"/>
        <v>266809.69676760252</v>
      </c>
      <c r="I126" s="577">
        <f t="shared" si="51"/>
        <v>266809.69676760252</v>
      </c>
      <c r="J126" s="514">
        <f t="shared" si="30"/>
        <v>0</v>
      </c>
      <c r="K126" s="514"/>
      <c r="L126" s="525"/>
      <c r="M126" s="514">
        <f t="shared" si="32"/>
        <v>0</v>
      </c>
      <c r="N126" s="525"/>
      <c r="O126" s="514">
        <f t="shared" si="34"/>
        <v>0</v>
      </c>
      <c r="P126" s="514">
        <f t="shared" si="35"/>
        <v>0</v>
      </c>
      <c r="Q126" s="269"/>
    </row>
    <row r="127" spans="2:17">
      <c r="B127" s="195" t="str">
        <f t="shared" si="36"/>
        <v/>
      </c>
      <c r="C127" s="507">
        <f>IF(D93="","-",+C126+1)</f>
        <v>2040</v>
      </c>
      <c r="D127" s="374">
        <f>IF(F126+SUM(E$99:E126)=D$92,F126,D$92-SUM(E$99:E126))</f>
        <v>1402450.2747818921</v>
      </c>
      <c r="E127" s="522">
        <f>IF(+J96&lt;F126,J96,D127)</f>
        <v>101831.95121951219</v>
      </c>
      <c r="F127" s="523">
        <f t="shared" si="48"/>
        <v>1300618.3235623799</v>
      </c>
      <c r="G127" s="523">
        <f t="shared" si="49"/>
        <v>1351534.299172136</v>
      </c>
      <c r="H127" s="526">
        <f t="shared" si="50"/>
        <v>255250.32160498883</v>
      </c>
      <c r="I127" s="577">
        <f t="shared" si="51"/>
        <v>255250.32160498883</v>
      </c>
      <c r="J127" s="514">
        <f t="shared" si="30"/>
        <v>0</v>
      </c>
      <c r="K127" s="514"/>
      <c r="L127" s="525"/>
      <c r="M127" s="514">
        <f t="shared" si="32"/>
        <v>0</v>
      </c>
      <c r="N127" s="525"/>
      <c r="O127" s="514">
        <f t="shared" si="34"/>
        <v>0</v>
      </c>
      <c r="P127" s="514">
        <f t="shared" si="35"/>
        <v>0</v>
      </c>
      <c r="Q127" s="269"/>
    </row>
    <row r="128" spans="2:17">
      <c r="B128" s="195" t="str">
        <f t="shared" si="36"/>
        <v/>
      </c>
      <c r="C128" s="507">
        <f>IF(D93="","-",+C127+1)</f>
        <v>2041</v>
      </c>
      <c r="D128" s="374">
        <f>IF(F127+SUM(E$99:E127)=D$92,F127,D$92-SUM(E$99:E127))</f>
        <v>1300618.3235623799</v>
      </c>
      <c r="E128" s="522">
        <f>IF(+J96&lt;F127,J96,D128)</f>
        <v>101831.95121951219</v>
      </c>
      <c r="F128" s="523">
        <f t="shared" si="48"/>
        <v>1198786.3723428678</v>
      </c>
      <c r="G128" s="523">
        <f t="shared" si="49"/>
        <v>1249702.3479526239</v>
      </c>
      <c r="H128" s="526">
        <f t="shared" si="50"/>
        <v>243690.94644237513</v>
      </c>
      <c r="I128" s="577">
        <f t="shared" si="51"/>
        <v>243690.94644237513</v>
      </c>
      <c r="J128" s="514">
        <f t="shared" si="30"/>
        <v>0</v>
      </c>
      <c r="K128" s="514"/>
      <c r="L128" s="525"/>
      <c r="M128" s="514">
        <f t="shared" si="32"/>
        <v>0</v>
      </c>
      <c r="N128" s="525"/>
      <c r="O128" s="514">
        <f t="shared" si="34"/>
        <v>0</v>
      </c>
      <c r="P128" s="514">
        <f t="shared" si="35"/>
        <v>0</v>
      </c>
      <c r="Q128" s="269"/>
    </row>
    <row r="129" spans="2:17">
      <c r="B129" s="195" t="str">
        <f t="shared" si="36"/>
        <v/>
      </c>
      <c r="C129" s="507">
        <f>IF(D93="","-",+C128+1)</f>
        <v>2042</v>
      </c>
      <c r="D129" s="374">
        <f>IF(F128+SUM(E$99:E128)=D$92,F128,D$92-SUM(E$99:E128))</f>
        <v>1198786.3723428678</v>
      </c>
      <c r="E129" s="522">
        <f>IF(+J96&lt;F128,J96,D129)</f>
        <v>101831.95121951219</v>
      </c>
      <c r="F129" s="523">
        <f t="shared" si="48"/>
        <v>1096954.4211233556</v>
      </c>
      <c r="G129" s="523">
        <f t="shared" si="49"/>
        <v>1147870.3967331117</v>
      </c>
      <c r="H129" s="526">
        <f t="shared" si="50"/>
        <v>232131.57127976144</v>
      </c>
      <c r="I129" s="577">
        <f t="shared" si="51"/>
        <v>232131.57127976144</v>
      </c>
      <c r="J129" s="514">
        <f t="shared" si="30"/>
        <v>0</v>
      </c>
      <c r="K129" s="514"/>
      <c r="L129" s="525"/>
      <c r="M129" s="514">
        <f t="shared" si="32"/>
        <v>0</v>
      </c>
      <c r="N129" s="525"/>
      <c r="O129" s="514">
        <f t="shared" si="34"/>
        <v>0</v>
      </c>
      <c r="P129" s="514">
        <f t="shared" si="35"/>
        <v>0</v>
      </c>
      <c r="Q129" s="269"/>
    </row>
    <row r="130" spans="2:17">
      <c r="B130" s="195" t="str">
        <f t="shared" si="36"/>
        <v/>
      </c>
      <c r="C130" s="507">
        <f>IF(D93="","-",+C129+1)</f>
        <v>2043</v>
      </c>
      <c r="D130" s="374">
        <f>IF(F129+SUM(E$99:E129)=D$92,F129,D$92-SUM(E$99:E129))</f>
        <v>1096954.4211233556</v>
      </c>
      <c r="E130" s="522">
        <f>IF(+J96&lt;F129,J96,D130)</f>
        <v>101831.95121951219</v>
      </c>
      <c r="F130" s="523">
        <f t="shared" si="48"/>
        <v>995122.46990384348</v>
      </c>
      <c r="G130" s="523">
        <f t="shared" si="49"/>
        <v>1046038.4455135996</v>
      </c>
      <c r="H130" s="526">
        <f t="shared" si="50"/>
        <v>220572.19611714775</v>
      </c>
      <c r="I130" s="577">
        <f t="shared" si="51"/>
        <v>220572.19611714775</v>
      </c>
      <c r="J130" s="514">
        <f t="shared" si="30"/>
        <v>0</v>
      </c>
      <c r="K130" s="514"/>
      <c r="L130" s="525"/>
      <c r="M130" s="514">
        <f t="shared" si="32"/>
        <v>0</v>
      </c>
      <c r="N130" s="525"/>
      <c r="O130" s="514">
        <f t="shared" si="34"/>
        <v>0</v>
      </c>
      <c r="P130" s="514">
        <f t="shared" si="35"/>
        <v>0</v>
      </c>
      <c r="Q130" s="269"/>
    </row>
    <row r="131" spans="2:17">
      <c r="B131" s="195" t="str">
        <f t="shared" si="36"/>
        <v/>
      </c>
      <c r="C131" s="507">
        <f>IF(D93="","-",+C130+1)</f>
        <v>2044</v>
      </c>
      <c r="D131" s="374">
        <f>IF(F130+SUM(E$99:E130)=D$92,F130,D$92-SUM(E$99:E130))</f>
        <v>995122.46990384348</v>
      </c>
      <c r="E131" s="522">
        <f>IF(+J96&lt;F130,J96,D131)</f>
        <v>101831.95121951219</v>
      </c>
      <c r="F131" s="523">
        <f t="shared" si="48"/>
        <v>893290.51868433133</v>
      </c>
      <c r="G131" s="523">
        <f t="shared" ref="G131:G154" si="52">+(F131+D131)/2</f>
        <v>944206.4942940874</v>
      </c>
      <c r="H131" s="526">
        <f t="shared" ref="H131:H154" si="53">+J$94*G131+E131</f>
        <v>209012.82095453402</v>
      </c>
      <c r="I131" s="577">
        <f t="shared" ref="I131:I154" si="54">+J$95*G131+E131</f>
        <v>209012.82095453402</v>
      </c>
      <c r="J131" s="514">
        <f t="shared" ref="J131:J154" si="55">+I131-H131</f>
        <v>0</v>
      </c>
      <c r="K131" s="514"/>
      <c r="L131" s="525"/>
      <c r="M131" s="514">
        <f t="shared" ref="M131:M154" si="56">IF(L131&lt;&gt;0,+H131-L131,0)</f>
        <v>0</v>
      </c>
      <c r="N131" s="525"/>
      <c r="O131" s="514">
        <f t="shared" ref="O131:O154" si="57">IF(N131&lt;&gt;0,+I131-N131,0)</f>
        <v>0</v>
      </c>
      <c r="P131" s="514">
        <f t="shared" ref="P131:P154" si="58">+O131-M131</f>
        <v>0</v>
      </c>
      <c r="Q131" s="269"/>
    </row>
    <row r="132" spans="2:17">
      <c r="B132" s="195" t="str">
        <f t="shared" ref="B132:B154" si="59">IF(D132=F131,"","IU")</f>
        <v/>
      </c>
      <c r="C132" s="507">
        <f>IF(D93="","-",+C131+1)</f>
        <v>2045</v>
      </c>
      <c r="D132" s="374">
        <f>IF(F131+SUM(E$99:E131)=D$92,F131,D$92-SUM(E$99:E131))</f>
        <v>893290.51868433133</v>
      </c>
      <c r="E132" s="522">
        <f>IF(+J96&lt;F131,J96,D132)</f>
        <v>101831.95121951219</v>
      </c>
      <c r="F132" s="523">
        <f t="shared" ref="F132:F154" si="60">+D132-E132</f>
        <v>791458.56746481918</v>
      </c>
      <c r="G132" s="523">
        <f t="shared" si="52"/>
        <v>842374.54307457525</v>
      </c>
      <c r="H132" s="526">
        <f t="shared" si="53"/>
        <v>197453.44579192033</v>
      </c>
      <c r="I132" s="577">
        <f t="shared" si="54"/>
        <v>197453.44579192033</v>
      </c>
      <c r="J132" s="514">
        <f t="shared" si="55"/>
        <v>0</v>
      </c>
      <c r="K132" s="514"/>
      <c r="L132" s="525"/>
      <c r="M132" s="514">
        <f t="shared" si="56"/>
        <v>0</v>
      </c>
      <c r="N132" s="525"/>
      <c r="O132" s="514">
        <f t="shared" si="57"/>
        <v>0</v>
      </c>
      <c r="P132" s="514">
        <f t="shared" si="58"/>
        <v>0</v>
      </c>
      <c r="Q132" s="269"/>
    </row>
    <row r="133" spans="2:17">
      <c r="B133" s="195" t="str">
        <f t="shared" si="59"/>
        <v/>
      </c>
      <c r="C133" s="507">
        <f>IF(D93="","-",+C132+1)</f>
        <v>2046</v>
      </c>
      <c r="D133" s="374">
        <f>IF(F132+SUM(E$99:E132)=D$92,F132,D$92-SUM(E$99:E132))</f>
        <v>791458.56746481918</v>
      </c>
      <c r="E133" s="522">
        <f>IF(+J96&lt;F132,J96,D133)</f>
        <v>101831.95121951219</v>
      </c>
      <c r="F133" s="523">
        <f t="shared" si="60"/>
        <v>689626.61624530703</v>
      </c>
      <c r="G133" s="523">
        <f t="shared" si="52"/>
        <v>740542.5918550631</v>
      </c>
      <c r="H133" s="526">
        <f t="shared" si="53"/>
        <v>185894.0706293066</v>
      </c>
      <c r="I133" s="577">
        <f t="shared" si="54"/>
        <v>185894.0706293066</v>
      </c>
      <c r="J133" s="514">
        <f t="shared" si="55"/>
        <v>0</v>
      </c>
      <c r="K133" s="514"/>
      <c r="L133" s="525"/>
      <c r="M133" s="514">
        <f t="shared" si="56"/>
        <v>0</v>
      </c>
      <c r="N133" s="525"/>
      <c r="O133" s="514">
        <f t="shared" si="57"/>
        <v>0</v>
      </c>
      <c r="P133" s="514">
        <f t="shared" si="58"/>
        <v>0</v>
      </c>
      <c r="Q133" s="269"/>
    </row>
    <row r="134" spans="2:17">
      <c r="B134" s="195" t="str">
        <f t="shared" si="59"/>
        <v/>
      </c>
      <c r="C134" s="507">
        <f>IF(D93="","-",+C133+1)</f>
        <v>2047</v>
      </c>
      <c r="D134" s="374">
        <f>IF(F133+SUM(E$99:E133)=D$92,F133,D$92-SUM(E$99:E133))</f>
        <v>689626.61624530703</v>
      </c>
      <c r="E134" s="522">
        <f>IF(+J96&lt;F133,J96,D134)</f>
        <v>101831.95121951219</v>
      </c>
      <c r="F134" s="523">
        <f t="shared" si="60"/>
        <v>587794.66502579488</v>
      </c>
      <c r="G134" s="523">
        <f t="shared" si="52"/>
        <v>638710.64063555095</v>
      </c>
      <c r="H134" s="526">
        <f t="shared" si="53"/>
        <v>174334.69546669291</v>
      </c>
      <c r="I134" s="577">
        <f t="shared" si="54"/>
        <v>174334.69546669291</v>
      </c>
      <c r="J134" s="514">
        <f t="shared" si="55"/>
        <v>0</v>
      </c>
      <c r="K134" s="514"/>
      <c r="L134" s="525"/>
      <c r="M134" s="514">
        <f t="shared" si="56"/>
        <v>0</v>
      </c>
      <c r="N134" s="525"/>
      <c r="O134" s="514">
        <f t="shared" si="57"/>
        <v>0</v>
      </c>
      <c r="P134" s="514">
        <f t="shared" si="58"/>
        <v>0</v>
      </c>
      <c r="Q134" s="269"/>
    </row>
    <row r="135" spans="2:17">
      <c r="B135" s="195" t="str">
        <f t="shared" si="59"/>
        <v/>
      </c>
      <c r="C135" s="507">
        <f>IF(D93="","-",+C134+1)</f>
        <v>2048</v>
      </c>
      <c r="D135" s="374">
        <f>IF(F134+SUM(E$99:E134)=D$92,F134,D$92-SUM(E$99:E134))</f>
        <v>587794.66502579488</v>
      </c>
      <c r="E135" s="522">
        <f>IF(+J96&lt;F134,J96,D135)</f>
        <v>101831.95121951219</v>
      </c>
      <c r="F135" s="523">
        <f t="shared" si="60"/>
        <v>485962.71380628267</v>
      </c>
      <c r="G135" s="523">
        <f t="shared" si="52"/>
        <v>536878.6894160388</v>
      </c>
      <c r="H135" s="526">
        <f t="shared" si="53"/>
        <v>162775.32030407921</v>
      </c>
      <c r="I135" s="577">
        <f t="shared" si="54"/>
        <v>162775.32030407921</v>
      </c>
      <c r="J135" s="514">
        <f t="shared" si="55"/>
        <v>0</v>
      </c>
      <c r="K135" s="514"/>
      <c r="L135" s="525"/>
      <c r="M135" s="514">
        <f t="shared" si="56"/>
        <v>0</v>
      </c>
      <c r="N135" s="525"/>
      <c r="O135" s="514">
        <f t="shared" si="57"/>
        <v>0</v>
      </c>
      <c r="P135" s="514">
        <f t="shared" si="58"/>
        <v>0</v>
      </c>
      <c r="Q135" s="269"/>
    </row>
    <row r="136" spans="2:17">
      <c r="B136" s="195" t="str">
        <f t="shared" si="59"/>
        <v/>
      </c>
      <c r="C136" s="507">
        <f>IF(D93="","-",+C135+1)</f>
        <v>2049</v>
      </c>
      <c r="D136" s="374">
        <f>IF(F135+SUM(E$99:E135)=D$92,F135,D$92-SUM(E$99:E135))</f>
        <v>485962.71380628267</v>
      </c>
      <c r="E136" s="522">
        <f>IF(+J96&lt;F135,J96,D136)</f>
        <v>101831.95121951219</v>
      </c>
      <c r="F136" s="523">
        <f t="shared" si="60"/>
        <v>384130.76258677046</v>
      </c>
      <c r="G136" s="523">
        <f t="shared" si="52"/>
        <v>435046.73819652654</v>
      </c>
      <c r="H136" s="526">
        <f t="shared" si="53"/>
        <v>151215.94514146552</v>
      </c>
      <c r="I136" s="577">
        <f t="shared" si="54"/>
        <v>151215.94514146552</v>
      </c>
      <c r="J136" s="514">
        <f t="shared" si="55"/>
        <v>0</v>
      </c>
      <c r="K136" s="514"/>
      <c r="L136" s="525"/>
      <c r="M136" s="514">
        <f t="shared" si="56"/>
        <v>0</v>
      </c>
      <c r="N136" s="525"/>
      <c r="O136" s="514">
        <f t="shared" si="57"/>
        <v>0</v>
      </c>
      <c r="P136" s="514">
        <f t="shared" si="58"/>
        <v>0</v>
      </c>
      <c r="Q136" s="269"/>
    </row>
    <row r="137" spans="2:17">
      <c r="B137" s="195" t="str">
        <f t="shared" si="59"/>
        <v/>
      </c>
      <c r="C137" s="507">
        <f>IF(D93="","-",+C136+1)</f>
        <v>2050</v>
      </c>
      <c r="D137" s="374">
        <f>IF(F136+SUM(E$99:E136)=D$92,F136,D$92-SUM(E$99:E136))</f>
        <v>384130.76258677046</v>
      </c>
      <c r="E137" s="522">
        <f>IF(+J96&lt;F136,J96,D137)</f>
        <v>101831.95121951219</v>
      </c>
      <c r="F137" s="523">
        <f t="shared" si="60"/>
        <v>282298.81136725825</v>
      </c>
      <c r="G137" s="523">
        <f t="shared" si="52"/>
        <v>333214.78697701439</v>
      </c>
      <c r="H137" s="526">
        <f t="shared" si="53"/>
        <v>139656.5699788518</v>
      </c>
      <c r="I137" s="577">
        <f t="shared" si="54"/>
        <v>139656.5699788518</v>
      </c>
      <c r="J137" s="514">
        <f t="shared" si="55"/>
        <v>0</v>
      </c>
      <c r="K137" s="514"/>
      <c r="L137" s="525"/>
      <c r="M137" s="514">
        <f t="shared" si="56"/>
        <v>0</v>
      </c>
      <c r="N137" s="525"/>
      <c r="O137" s="514">
        <f t="shared" si="57"/>
        <v>0</v>
      </c>
      <c r="P137" s="514">
        <f t="shared" si="58"/>
        <v>0</v>
      </c>
      <c r="Q137" s="269"/>
    </row>
    <row r="138" spans="2:17">
      <c r="B138" s="195" t="str">
        <f t="shared" si="59"/>
        <v/>
      </c>
      <c r="C138" s="507">
        <f>IF(D93="","-",+C137+1)</f>
        <v>2051</v>
      </c>
      <c r="D138" s="374">
        <f>IF(F137+SUM(E$99:E137)=D$92,F137,D$92-SUM(E$99:E137))</f>
        <v>282298.81136725825</v>
      </c>
      <c r="E138" s="522">
        <f>IF(+J96&lt;F137,J96,D138)</f>
        <v>101831.95121951219</v>
      </c>
      <c r="F138" s="523">
        <f t="shared" si="60"/>
        <v>180466.86014774605</v>
      </c>
      <c r="G138" s="523">
        <f t="shared" si="52"/>
        <v>231382.83575750215</v>
      </c>
      <c r="H138" s="526">
        <f t="shared" si="53"/>
        <v>128097.1948162381</v>
      </c>
      <c r="I138" s="577">
        <f t="shared" si="54"/>
        <v>128097.1948162381</v>
      </c>
      <c r="J138" s="514">
        <f t="shared" si="55"/>
        <v>0</v>
      </c>
      <c r="K138" s="514"/>
      <c r="L138" s="525"/>
      <c r="M138" s="514">
        <f t="shared" si="56"/>
        <v>0</v>
      </c>
      <c r="N138" s="525"/>
      <c r="O138" s="514">
        <f t="shared" si="57"/>
        <v>0</v>
      </c>
      <c r="P138" s="514">
        <f t="shared" si="58"/>
        <v>0</v>
      </c>
      <c r="Q138" s="269"/>
    </row>
    <row r="139" spans="2:17">
      <c r="B139" s="195" t="str">
        <f t="shared" si="59"/>
        <v/>
      </c>
      <c r="C139" s="507">
        <f>IF(D93="","-",+C138+1)</f>
        <v>2052</v>
      </c>
      <c r="D139" s="374">
        <f>IF(F138+SUM(E$99:E138)=D$92,F138,D$92-SUM(E$99:E138))</f>
        <v>180466.86014774605</v>
      </c>
      <c r="E139" s="522">
        <f>IF(+J96&lt;F138,J96,D139)</f>
        <v>101831.95121951219</v>
      </c>
      <c r="F139" s="523">
        <f t="shared" si="60"/>
        <v>78634.908928233854</v>
      </c>
      <c r="G139" s="523">
        <f t="shared" si="52"/>
        <v>129550.88453798994</v>
      </c>
      <c r="H139" s="526">
        <f t="shared" si="53"/>
        <v>116537.81965362439</v>
      </c>
      <c r="I139" s="577">
        <f t="shared" si="54"/>
        <v>116537.81965362439</v>
      </c>
      <c r="J139" s="514">
        <f t="shared" si="55"/>
        <v>0</v>
      </c>
      <c r="K139" s="514"/>
      <c r="L139" s="525"/>
      <c r="M139" s="514">
        <f t="shared" si="56"/>
        <v>0</v>
      </c>
      <c r="N139" s="525"/>
      <c r="O139" s="514">
        <f t="shared" si="57"/>
        <v>0</v>
      </c>
      <c r="P139" s="514">
        <f t="shared" si="58"/>
        <v>0</v>
      </c>
      <c r="Q139" s="269"/>
    </row>
    <row r="140" spans="2:17">
      <c r="B140" s="195" t="str">
        <f t="shared" si="59"/>
        <v/>
      </c>
      <c r="C140" s="507">
        <f>IF(D93="","-",+C139+1)</f>
        <v>2053</v>
      </c>
      <c r="D140" s="374">
        <f>IF(F139+SUM(E$99:E139)=D$92,F139,D$92-SUM(E$99:E139))</f>
        <v>78634.908928233854</v>
      </c>
      <c r="E140" s="522">
        <f>IF(+J96&lt;F139,J96,D140)</f>
        <v>78634.908928233854</v>
      </c>
      <c r="F140" s="523">
        <f t="shared" si="60"/>
        <v>0</v>
      </c>
      <c r="G140" s="523">
        <f t="shared" si="52"/>
        <v>39317.454464116927</v>
      </c>
      <c r="H140" s="526">
        <f t="shared" si="53"/>
        <v>83097.999354636529</v>
      </c>
      <c r="I140" s="577">
        <f t="shared" si="54"/>
        <v>83097.999354636529</v>
      </c>
      <c r="J140" s="514">
        <f t="shared" si="55"/>
        <v>0</v>
      </c>
      <c r="K140" s="514"/>
      <c r="L140" s="525"/>
      <c r="M140" s="514">
        <f t="shared" si="56"/>
        <v>0</v>
      </c>
      <c r="N140" s="525"/>
      <c r="O140" s="514">
        <f t="shared" si="57"/>
        <v>0</v>
      </c>
      <c r="P140" s="514">
        <f t="shared" si="58"/>
        <v>0</v>
      </c>
      <c r="Q140" s="269"/>
    </row>
    <row r="141" spans="2:17">
      <c r="B141" s="195" t="str">
        <f t="shared" si="59"/>
        <v/>
      </c>
      <c r="C141" s="507">
        <f>IF(D93="","-",+C140+1)</f>
        <v>2054</v>
      </c>
      <c r="D141" s="374">
        <f>IF(F140+SUM(E$99:E140)=D$92,F140,D$92-SUM(E$99:E140))</f>
        <v>0</v>
      </c>
      <c r="E141" s="522">
        <f>IF(+J96&lt;F140,J96,D141)</f>
        <v>0</v>
      </c>
      <c r="F141" s="523">
        <f t="shared" si="60"/>
        <v>0</v>
      </c>
      <c r="G141" s="523">
        <f t="shared" si="52"/>
        <v>0</v>
      </c>
      <c r="H141" s="526">
        <f t="shared" si="53"/>
        <v>0</v>
      </c>
      <c r="I141" s="577">
        <f t="shared" si="54"/>
        <v>0</v>
      </c>
      <c r="J141" s="514">
        <f t="shared" si="55"/>
        <v>0</v>
      </c>
      <c r="K141" s="514"/>
      <c r="L141" s="525"/>
      <c r="M141" s="514">
        <f t="shared" si="56"/>
        <v>0</v>
      </c>
      <c r="N141" s="525"/>
      <c r="O141" s="514">
        <f t="shared" si="57"/>
        <v>0</v>
      </c>
      <c r="P141" s="514">
        <f t="shared" si="58"/>
        <v>0</v>
      </c>
      <c r="Q141" s="269"/>
    </row>
    <row r="142" spans="2:17">
      <c r="B142" s="195" t="str">
        <f t="shared" si="59"/>
        <v/>
      </c>
      <c r="C142" s="507">
        <f>IF(D93="","-",+C141+1)</f>
        <v>2055</v>
      </c>
      <c r="D142" s="374">
        <f>IF(F141+SUM(E$99:E141)=D$92,F141,D$92-SUM(E$99:E141))</f>
        <v>0</v>
      </c>
      <c r="E142" s="522">
        <f>IF(+J96&lt;F141,J96,D142)</f>
        <v>0</v>
      </c>
      <c r="F142" s="523">
        <f t="shared" si="60"/>
        <v>0</v>
      </c>
      <c r="G142" s="523">
        <f t="shared" si="52"/>
        <v>0</v>
      </c>
      <c r="H142" s="526">
        <f t="shared" si="53"/>
        <v>0</v>
      </c>
      <c r="I142" s="577">
        <f t="shared" si="54"/>
        <v>0</v>
      </c>
      <c r="J142" s="514">
        <f t="shared" si="55"/>
        <v>0</v>
      </c>
      <c r="K142" s="514"/>
      <c r="L142" s="525"/>
      <c r="M142" s="514">
        <f t="shared" si="56"/>
        <v>0</v>
      </c>
      <c r="N142" s="525"/>
      <c r="O142" s="514">
        <f t="shared" si="57"/>
        <v>0</v>
      </c>
      <c r="P142" s="514">
        <f t="shared" si="58"/>
        <v>0</v>
      </c>
      <c r="Q142" s="269"/>
    </row>
    <row r="143" spans="2:17">
      <c r="B143" s="195" t="str">
        <f t="shared" si="59"/>
        <v/>
      </c>
      <c r="C143" s="507">
        <f>IF(D93="","-",+C142+1)</f>
        <v>2056</v>
      </c>
      <c r="D143" s="374">
        <f>IF(F142+SUM(E$99:E142)=D$92,F142,D$92-SUM(E$99:E142))</f>
        <v>0</v>
      </c>
      <c r="E143" s="522">
        <f>IF(+J96&lt;F142,J96,D143)</f>
        <v>0</v>
      </c>
      <c r="F143" s="523">
        <f t="shared" si="60"/>
        <v>0</v>
      </c>
      <c r="G143" s="523">
        <f t="shared" si="52"/>
        <v>0</v>
      </c>
      <c r="H143" s="526">
        <f t="shared" si="53"/>
        <v>0</v>
      </c>
      <c r="I143" s="577">
        <f t="shared" si="54"/>
        <v>0</v>
      </c>
      <c r="J143" s="514">
        <f t="shared" si="55"/>
        <v>0</v>
      </c>
      <c r="K143" s="514"/>
      <c r="L143" s="525"/>
      <c r="M143" s="514">
        <f t="shared" si="56"/>
        <v>0</v>
      </c>
      <c r="N143" s="525"/>
      <c r="O143" s="514">
        <f t="shared" si="57"/>
        <v>0</v>
      </c>
      <c r="P143" s="514">
        <f t="shared" si="58"/>
        <v>0</v>
      </c>
      <c r="Q143" s="269"/>
    </row>
    <row r="144" spans="2:17">
      <c r="B144" s="195" t="str">
        <f t="shared" si="59"/>
        <v/>
      </c>
      <c r="C144" s="507">
        <f>IF(D93="","-",+C143+1)</f>
        <v>2057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60"/>
        <v>0</v>
      </c>
      <c r="G144" s="523">
        <f t="shared" si="52"/>
        <v>0</v>
      </c>
      <c r="H144" s="526">
        <f t="shared" si="53"/>
        <v>0</v>
      </c>
      <c r="I144" s="577">
        <f t="shared" si="54"/>
        <v>0</v>
      </c>
      <c r="J144" s="514">
        <f t="shared" si="55"/>
        <v>0</v>
      </c>
      <c r="K144" s="514"/>
      <c r="L144" s="525"/>
      <c r="M144" s="514">
        <f t="shared" si="56"/>
        <v>0</v>
      </c>
      <c r="N144" s="525"/>
      <c r="O144" s="514">
        <f t="shared" si="57"/>
        <v>0</v>
      </c>
      <c r="P144" s="514">
        <f t="shared" si="58"/>
        <v>0</v>
      </c>
      <c r="Q144" s="269"/>
    </row>
    <row r="145" spans="2:17">
      <c r="B145" s="195" t="str">
        <f t="shared" si="59"/>
        <v/>
      </c>
      <c r="C145" s="507">
        <f>IF(D93="","-",+C144+1)</f>
        <v>2058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60"/>
        <v>0</v>
      </c>
      <c r="G145" s="523">
        <f t="shared" si="52"/>
        <v>0</v>
      </c>
      <c r="H145" s="526">
        <f t="shared" si="53"/>
        <v>0</v>
      </c>
      <c r="I145" s="577">
        <f t="shared" si="54"/>
        <v>0</v>
      </c>
      <c r="J145" s="514">
        <f t="shared" si="55"/>
        <v>0</v>
      </c>
      <c r="K145" s="514"/>
      <c r="L145" s="525"/>
      <c r="M145" s="514">
        <f t="shared" si="56"/>
        <v>0</v>
      </c>
      <c r="N145" s="525"/>
      <c r="O145" s="514">
        <f t="shared" si="57"/>
        <v>0</v>
      </c>
      <c r="P145" s="514">
        <f t="shared" si="58"/>
        <v>0</v>
      </c>
      <c r="Q145" s="269"/>
    </row>
    <row r="146" spans="2:17">
      <c r="B146" s="195" t="str">
        <f t="shared" si="59"/>
        <v/>
      </c>
      <c r="C146" s="507">
        <f>IF(D93="","-",+C145+1)</f>
        <v>2059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60"/>
        <v>0</v>
      </c>
      <c r="G146" s="523">
        <f t="shared" si="52"/>
        <v>0</v>
      </c>
      <c r="H146" s="526">
        <f t="shared" si="53"/>
        <v>0</v>
      </c>
      <c r="I146" s="577">
        <f t="shared" si="54"/>
        <v>0</v>
      </c>
      <c r="J146" s="514">
        <f t="shared" si="55"/>
        <v>0</v>
      </c>
      <c r="K146" s="514"/>
      <c r="L146" s="525"/>
      <c r="M146" s="514">
        <f t="shared" si="56"/>
        <v>0</v>
      </c>
      <c r="N146" s="525"/>
      <c r="O146" s="514">
        <f t="shared" si="57"/>
        <v>0</v>
      </c>
      <c r="P146" s="514">
        <f t="shared" si="58"/>
        <v>0</v>
      </c>
      <c r="Q146" s="269"/>
    </row>
    <row r="147" spans="2:17">
      <c r="B147" s="195" t="str">
        <f t="shared" si="59"/>
        <v/>
      </c>
      <c r="C147" s="507">
        <f>IF(D93="","-",+C146+1)</f>
        <v>2060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60"/>
        <v>0</v>
      </c>
      <c r="G147" s="523">
        <f t="shared" si="52"/>
        <v>0</v>
      </c>
      <c r="H147" s="526">
        <f t="shared" si="53"/>
        <v>0</v>
      </c>
      <c r="I147" s="577">
        <f t="shared" si="54"/>
        <v>0</v>
      </c>
      <c r="J147" s="514">
        <f t="shared" si="55"/>
        <v>0</v>
      </c>
      <c r="K147" s="514"/>
      <c r="L147" s="525"/>
      <c r="M147" s="514">
        <f t="shared" si="56"/>
        <v>0</v>
      </c>
      <c r="N147" s="525"/>
      <c r="O147" s="514">
        <f t="shared" si="57"/>
        <v>0</v>
      </c>
      <c r="P147" s="514">
        <f t="shared" si="58"/>
        <v>0</v>
      </c>
      <c r="Q147" s="269"/>
    </row>
    <row r="148" spans="2:17">
      <c r="B148" s="195" t="str">
        <f t="shared" si="59"/>
        <v/>
      </c>
      <c r="C148" s="507">
        <f>IF(D93="","-",+C147+1)</f>
        <v>2061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60"/>
        <v>0</v>
      </c>
      <c r="G148" s="523">
        <f t="shared" si="52"/>
        <v>0</v>
      </c>
      <c r="H148" s="526">
        <f t="shared" si="53"/>
        <v>0</v>
      </c>
      <c r="I148" s="577">
        <f t="shared" si="54"/>
        <v>0</v>
      </c>
      <c r="J148" s="514">
        <f t="shared" si="55"/>
        <v>0</v>
      </c>
      <c r="K148" s="514"/>
      <c r="L148" s="525"/>
      <c r="M148" s="514">
        <f t="shared" si="56"/>
        <v>0</v>
      </c>
      <c r="N148" s="525"/>
      <c r="O148" s="514">
        <f t="shared" si="57"/>
        <v>0</v>
      </c>
      <c r="P148" s="514">
        <f t="shared" si="58"/>
        <v>0</v>
      </c>
      <c r="Q148" s="269"/>
    </row>
    <row r="149" spans="2:17">
      <c r="B149" s="195" t="str">
        <f t="shared" si="59"/>
        <v/>
      </c>
      <c r="C149" s="507">
        <f>IF(D93="","-",+C148+1)</f>
        <v>2062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60"/>
        <v>0</v>
      </c>
      <c r="G149" s="523">
        <f t="shared" si="52"/>
        <v>0</v>
      </c>
      <c r="H149" s="526">
        <f t="shared" si="53"/>
        <v>0</v>
      </c>
      <c r="I149" s="577">
        <f t="shared" si="54"/>
        <v>0</v>
      </c>
      <c r="J149" s="514">
        <f t="shared" si="55"/>
        <v>0</v>
      </c>
      <c r="K149" s="514"/>
      <c r="L149" s="525"/>
      <c r="M149" s="514">
        <f t="shared" si="56"/>
        <v>0</v>
      </c>
      <c r="N149" s="525"/>
      <c r="O149" s="514">
        <f t="shared" si="57"/>
        <v>0</v>
      </c>
      <c r="P149" s="514">
        <f t="shared" si="58"/>
        <v>0</v>
      </c>
      <c r="Q149" s="269"/>
    </row>
    <row r="150" spans="2:17">
      <c r="B150" s="195" t="str">
        <f t="shared" si="59"/>
        <v/>
      </c>
      <c r="C150" s="507">
        <f>IF(D93="","-",+C149+1)</f>
        <v>2063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60"/>
        <v>0</v>
      </c>
      <c r="G150" s="523">
        <f t="shared" si="52"/>
        <v>0</v>
      </c>
      <c r="H150" s="526">
        <f t="shared" si="53"/>
        <v>0</v>
      </c>
      <c r="I150" s="577">
        <f t="shared" si="54"/>
        <v>0</v>
      </c>
      <c r="J150" s="514">
        <f t="shared" si="55"/>
        <v>0</v>
      </c>
      <c r="K150" s="514"/>
      <c r="L150" s="525"/>
      <c r="M150" s="514">
        <f t="shared" si="56"/>
        <v>0</v>
      </c>
      <c r="N150" s="525"/>
      <c r="O150" s="514">
        <f t="shared" si="57"/>
        <v>0</v>
      </c>
      <c r="P150" s="514">
        <f t="shared" si="58"/>
        <v>0</v>
      </c>
      <c r="Q150" s="269"/>
    </row>
    <row r="151" spans="2:17">
      <c r="B151" s="195" t="str">
        <f t="shared" si="59"/>
        <v/>
      </c>
      <c r="C151" s="507">
        <f>IF(D93="","-",+C150+1)</f>
        <v>2064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60"/>
        <v>0</v>
      </c>
      <c r="G151" s="523">
        <f t="shared" si="52"/>
        <v>0</v>
      </c>
      <c r="H151" s="526">
        <f t="shared" si="53"/>
        <v>0</v>
      </c>
      <c r="I151" s="577">
        <f t="shared" si="54"/>
        <v>0</v>
      </c>
      <c r="J151" s="514">
        <f t="shared" si="55"/>
        <v>0</v>
      </c>
      <c r="K151" s="514"/>
      <c r="L151" s="525"/>
      <c r="M151" s="514">
        <f t="shared" si="56"/>
        <v>0</v>
      </c>
      <c r="N151" s="525"/>
      <c r="O151" s="514">
        <f t="shared" si="57"/>
        <v>0</v>
      </c>
      <c r="P151" s="514">
        <f t="shared" si="58"/>
        <v>0</v>
      </c>
      <c r="Q151" s="269"/>
    </row>
    <row r="152" spans="2:17">
      <c r="B152" s="195" t="str">
        <f t="shared" si="59"/>
        <v/>
      </c>
      <c r="C152" s="507">
        <f>IF(D93="","-",+C151+1)</f>
        <v>2065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60"/>
        <v>0</v>
      </c>
      <c r="G152" s="523">
        <f t="shared" si="52"/>
        <v>0</v>
      </c>
      <c r="H152" s="526">
        <f t="shared" si="53"/>
        <v>0</v>
      </c>
      <c r="I152" s="577">
        <f t="shared" si="54"/>
        <v>0</v>
      </c>
      <c r="J152" s="514">
        <f t="shared" si="55"/>
        <v>0</v>
      </c>
      <c r="K152" s="514"/>
      <c r="L152" s="525"/>
      <c r="M152" s="514">
        <f t="shared" si="56"/>
        <v>0</v>
      </c>
      <c r="N152" s="525"/>
      <c r="O152" s="514">
        <f t="shared" si="57"/>
        <v>0</v>
      </c>
      <c r="P152" s="514">
        <f t="shared" si="58"/>
        <v>0</v>
      </c>
      <c r="Q152" s="269"/>
    </row>
    <row r="153" spans="2:17">
      <c r="B153" s="195" t="str">
        <f t="shared" si="59"/>
        <v/>
      </c>
      <c r="C153" s="507">
        <f>IF(D93="","-",+C152+1)</f>
        <v>2066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60"/>
        <v>0</v>
      </c>
      <c r="G153" s="523">
        <f t="shared" si="52"/>
        <v>0</v>
      </c>
      <c r="H153" s="526">
        <f t="shared" si="53"/>
        <v>0</v>
      </c>
      <c r="I153" s="577">
        <f t="shared" si="54"/>
        <v>0</v>
      </c>
      <c r="J153" s="514">
        <f t="shared" si="55"/>
        <v>0</v>
      </c>
      <c r="K153" s="514"/>
      <c r="L153" s="525"/>
      <c r="M153" s="514">
        <f t="shared" si="56"/>
        <v>0</v>
      </c>
      <c r="N153" s="525"/>
      <c r="O153" s="514">
        <f t="shared" si="57"/>
        <v>0</v>
      </c>
      <c r="P153" s="514">
        <f t="shared" si="58"/>
        <v>0</v>
      </c>
      <c r="Q153" s="269"/>
    </row>
    <row r="154" spans="2:17" ht="13.5" thickBot="1">
      <c r="B154" s="195" t="str">
        <f t="shared" si="59"/>
        <v/>
      </c>
      <c r="C154" s="527">
        <f>IF(D93="","-",+C153+1)</f>
        <v>2067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60"/>
        <v>0</v>
      </c>
      <c r="G154" s="528">
        <f t="shared" si="52"/>
        <v>0</v>
      </c>
      <c r="H154" s="530">
        <f t="shared" si="53"/>
        <v>0</v>
      </c>
      <c r="I154" s="579">
        <f t="shared" si="54"/>
        <v>0</v>
      </c>
      <c r="J154" s="533">
        <f t="shared" si="55"/>
        <v>0</v>
      </c>
      <c r="K154" s="514"/>
      <c r="L154" s="532"/>
      <c r="M154" s="533">
        <f t="shared" si="56"/>
        <v>0</v>
      </c>
      <c r="N154" s="532"/>
      <c r="O154" s="533">
        <f t="shared" si="57"/>
        <v>0</v>
      </c>
      <c r="P154" s="533">
        <f t="shared" si="58"/>
        <v>0</v>
      </c>
      <c r="Q154" s="269"/>
    </row>
    <row r="155" spans="2:17">
      <c r="C155" s="374" t="s">
        <v>78</v>
      </c>
      <c r="D155" s="375"/>
      <c r="E155" s="375">
        <f>SUM(E99:E154)</f>
        <v>4175109.9999999986</v>
      </c>
      <c r="F155" s="375"/>
      <c r="G155" s="375"/>
      <c r="H155" s="375">
        <f>SUM(H99:H154)</f>
        <v>14343651.136633081</v>
      </c>
      <c r="I155" s="375">
        <f>SUM(I99:I154)</f>
        <v>14343651.136633081</v>
      </c>
      <c r="J155" s="375">
        <f>SUM(J99:J154)</f>
        <v>0</v>
      </c>
      <c r="K155" s="375"/>
      <c r="L155" s="375"/>
      <c r="M155" s="375"/>
      <c r="N155" s="375"/>
      <c r="O155" s="375"/>
      <c r="P155" s="269"/>
      <c r="Q155" s="269"/>
    </row>
    <row r="156" spans="2:17"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  <c r="Q156" s="269"/>
    </row>
    <row r="157" spans="2:17">
      <c r="C157" s="580" t="s">
        <v>92</v>
      </c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  <c r="Q157" s="269"/>
    </row>
    <row r="158" spans="2:17"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  <c r="Q158" s="269"/>
    </row>
    <row r="159" spans="2:17">
      <c r="C159" s="534" t="s">
        <v>97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  <c r="Q159" s="269"/>
    </row>
    <row r="160" spans="2:17">
      <c r="C160" s="581" t="s">
        <v>79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  <c r="Q160" s="269"/>
    </row>
    <row r="161" spans="3:17">
      <c r="C161" s="581" t="s">
        <v>80</v>
      </c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  <c r="Q161" s="269"/>
    </row>
    <row r="162" spans="3:17" ht="18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454" t="s">
        <v>131</v>
      </c>
      <c r="Q162" s="269"/>
    </row>
  </sheetData>
  <phoneticPr fontId="0" type="noConversion"/>
  <conditionalFormatting sqref="C17:C72">
    <cfRule type="cellIs" dxfId="99" priority="1" stopIfTrue="1" operator="equal">
      <formula>$I$10</formula>
    </cfRule>
  </conditionalFormatting>
  <conditionalFormatting sqref="C99:C154">
    <cfRule type="cellIs" dxfId="98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84"/>
  <dimension ref="A1:Q162"/>
  <sheetViews>
    <sheetView topLeftCell="A89" zoomScaleNormal="100" zoomScaleSheetLayoutView="75" workbookViewId="0">
      <selection activeCell="D99" sqref="D99:I109"/>
    </sheetView>
  </sheetViews>
  <sheetFormatPr defaultColWidth="8.7109375" defaultRowHeight="12.75" customHeight="1"/>
  <cols>
    <col min="1" max="1" width="4.7109375" style="183" customWidth="1"/>
    <col min="2" max="2" width="6.7109375" style="183" customWidth="1"/>
    <col min="3" max="3" width="23.28515625" style="183" customWidth="1"/>
    <col min="4" max="8" width="17.7109375" style="183" customWidth="1"/>
    <col min="9" max="9" width="20.42578125" style="183" customWidth="1"/>
    <col min="10" max="10" width="16.42578125" style="183" customWidth="1"/>
    <col min="11" max="11" width="17.7109375" style="183" customWidth="1"/>
    <col min="12" max="12" width="16.140625" style="183" customWidth="1"/>
    <col min="13" max="13" width="17.7109375" style="183" customWidth="1"/>
    <col min="14" max="14" width="16.140625" style="183" customWidth="1"/>
    <col min="15" max="15" width="16.85546875" style="183" customWidth="1"/>
    <col min="16" max="16" width="24.42578125" style="183" customWidth="1"/>
    <col min="17" max="17" width="4.7109375" style="183" customWidth="1"/>
    <col min="18" max="22" width="8.7109375" style="183"/>
    <col min="23" max="23" width="9.140625" style="183" customWidth="1"/>
    <col min="24" max="16384" width="8.7109375" style="183"/>
  </cols>
  <sheetData>
    <row r="1" spans="1:17" ht="20.25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33 of 75</v>
      </c>
      <c r="Q1" s="453"/>
    </row>
    <row r="2" spans="1:17" ht="18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454" t="s">
        <v>129</v>
      </c>
    </row>
    <row r="3" spans="1:17" ht="18.75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 t="str">
        <f>RIGHT(N3,3)</f>
        <v/>
      </c>
      <c r="P3" s="455">
        <v>1</v>
      </c>
    </row>
    <row r="4" spans="1:17" ht="15.75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7" ht="1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6636700.468595529</v>
      </c>
      <c r="P5" s="269"/>
    </row>
    <row r="6" spans="1:17" ht="15.7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6636700.468595529</v>
      </c>
      <c r="O6" s="269"/>
      <c r="P6" s="269"/>
    </row>
    <row r="7" spans="1:17" ht="13.5" thickBot="1">
      <c r="C7" s="467" t="s">
        <v>48</v>
      </c>
      <c r="D7" s="620" t="s">
        <v>287</v>
      </c>
      <c r="E7" s="269"/>
      <c r="F7" s="269"/>
      <c r="G7" s="534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7" ht="13.5" thickBot="1">
      <c r="C8" s="472"/>
      <c r="D8" s="599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7" ht="13.5" thickBot="1">
      <c r="A9" s="191"/>
      <c r="C9" s="476" t="s">
        <v>50</v>
      </c>
      <c r="D9" s="621" t="s">
        <v>463</v>
      </c>
      <c r="E9" s="666" t="s">
        <v>494</v>
      </c>
      <c r="F9" s="478"/>
      <c r="G9" s="478"/>
      <c r="H9" s="478"/>
      <c r="I9" s="479"/>
      <c r="J9" s="480"/>
      <c r="O9" s="481"/>
      <c r="P9" s="272"/>
    </row>
    <row r="10" spans="1:17">
      <c r="C10" s="482" t="s">
        <v>51</v>
      </c>
      <c r="D10" s="483">
        <v>59305787.900000013</v>
      </c>
      <c r="E10" s="353" t="s">
        <v>52</v>
      </c>
      <c r="F10" s="481"/>
      <c r="G10" s="484"/>
      <c r="H10" s="484"/>
      <c r="I10" s="485">
        <f>+'SWE.WS.F.BPU.ATRR.Projected'!L19</f>
        <v>2024</v>
      </c>
      <c r="J10" s="480"/>
      <c r="K10" s="375" t="s">
        <v>53</v>
      </c>
      <c r="O10" s="272"/>
      <c r="P10" s="272"/>
    </row>
    <row r="11" spans="1:17">
      <c r="C11" s="486" t="s">
        <v>54</v>
      </c>
      <c r="D11" s="487">
        <v>2012</v>
      </c>
      <c r="E11" s="486" t="s">
        <v>55</v>
      </c>
      <c r="F11" s="484"/>
      <c r="G11" s="233"/>
      <c r="H11" s="233"/>
      <c r="I11" s="488"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7">
      <c r="C12" s="486" t="s">
        <v>56</v>
      </c>
      <c r="D12" s="483">
        <v>4</v>
      </c>
      <c r="E12" s="486" t="s">
        <v>57</v>
      </c>
      <c r="F12" s="484"/>
      <c r="G12" s="233"/>
      <c r="H12" s="233"/>
      <c r="I12" s="490">
        <f>'SWE.WS.F.BPU.ATRR.Projected'!$F$81</f>
        <v>0.11952713165403545</v>
      </c>
      <c r="J12" s="425"/>
      <c r="K12" s="183" t="s">
        <v>58</v>
      </c>
      <c r="O12" s="272"/>
      <c r="P12" s="272"/>
    </row>
    <row r="13" spans="1:17">
      <c r="C13" s="486" t="s">
        <v>59</v>
      </c>
      <c r="D13" s="488">
        <f>+'SWE.WS.F.BPU.ATRR.Projected'!F$93</f>
        <v>44</v>
      </c>
      <c r="E13" s="486" t="s">
        <v>60</v>
      </c>
      <c r="F13" s="484"/>
      <c r="G13" s="233"/>
      <c r="H13" s="233"/>
      <c r="I13" s="490">
        <f>IF(G5="",I12,'SWE.WS.F.BPU.ATRR.Projected'!$F$80)</f>
        <v>0.11952713165403545</v>
      </c>
      <c r="J13" s="425"/>
      <c r="K13" s="375" t="s">
        <v>61</v>
      </c>
      <c r="L13" s="324"/>
      <c r="M13" s="324"/>
      <c r="N13" s="324"/>
      <c r="O13" s="272"/>
      <c r="P13" s="272"/>
    </row>
    <row r="14" spans="1:17" ht="13.5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1347858.8159090912</v>
      </c>
      <c r="J14" s="375"/>
      <c r="K14" s="375"/>
      <c r="L14" s="375"/>
      <c r="M14" s="375"/>
      <c r="N14" s="375"/>
      <c r="O14" s="272"/>
      <c r="P14" s="272"/>
    </row>
    <row r="15" spans="1:17" ht="38.25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388</v>
      </c>
      <c r="H15" s="495" t="s">
        <v>389</v>
      </c>
      <c r="I15" s="496" t="s">
        <v>260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7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>
      <c r="C17" s="507">
        <f>IF(D11= "","-",D11)</f>
        <v>2012</v>
      </c>
      <c r="D17" s="508">
        <v>1609000</v>
      </c>
      <c r="E17" s="509">
        <v>19154.761904761905</v>
      </c>
      <c r="F17" s="508">
        <v>1589845.2380952381</v>
      </c>
      <c r="G17" s="509">
        <v>255596.76839974581</v>
      </c>
      <c r="H17" s="510">
        <v>255596.76839974581</v>
      </c>
      <c r="I17" s="617">
        <v>0</v>
      </c>
      <c r="J17" s="511"/>
      <c r="K17" s="512">
        <f t="shared" ref="K17:K22" si="0">G17</f>
        <v>255596.76839974581</v>
      </c>
      <c r="L17" s="597">
        <f t="shared" ref="L17:L48" si="1">IF(K17&lt;&gt;0,+G17-K17,0)</f>
        <v>0</v>
      </c>
      <c r="M17" s="512">
        <f t="shared" ref="M17:M22" si="2">H17</f>
        <v>255596.76839974581</v>
      </c>
      <c r="N17" s="513">
        <f t="shared" ref="N17:N48" si="3">IF(M17&lt;&gt;0,+H17-M17,0)</f>
        <v>0</v>
      </c>
      <c r="O17" s="514">
        <f t="shared" ref="O17:O48" si="4">+N17-L17</f>
        <v>0</v>
      </c>
      <c r="P17" s="272"/>
    </row>
    <row r="18" spans="2:16">
      <c r="B18" s="195" t="str">
        <f t="shared" ref="B18:B49" si="5">IF(D18=F17,"","IU")</f>
        <v>IU</v>
      </c>
      <c r="C18" s="507">
        <f>IF(D11="","-",+C17+1)</f>
        <v>2013</v>
      </c>
      <c r="D18" s="508">
        <v>12452702.238095239</v>
      </c>
      <c r="E18" s="516">
        <v>296948.97619047621</v>
      </c>
      <c r="F18" s="508">
        <v>12155753.261904763</v>
      </c>
      <c r="G18" s="516">
        <v>1998597.4057579383</v>
      </c>
      <c r="H18" s="510">
        <v>1998597.4057579383</v>
      </c>
      <c r="I18" s="616">
        <v>0</v>
      </c>
      <c r="J18" s="511"/>
      <c r="K18" s="518">
        <f t="shared" si="0"/>
        <v>1998597.4057579383</v>
      </c>
      <c r="L18" s="519">
        <f t="shared" ref="L18:L23" si="6">IF(K18&lt;&gt;0,+G18-K18,0)</f>
        <v>0</v>
      </c>
      <c r="M18" s="518">
        <f t="shared" si="2"/>
        <v>1998597.4057579383</v>
      </c>
      <c r="N18" s="514">
        <f t="shared" ref="N18:N23" si="7">IF(M18&lt;&gt;0,+H18-M18,0)</f>
        <v>0</v>
      </c>
      <c r="O18" s="514">
        <f t="shared" ref="O18:O23" si="8">+N18-L18</f>
        <v>0</v>
      </c>
      <c r="P18" s="272"/>
    </row>
    <row r="19" spans="2:16">
      <c r="B19" s="195" t="str">
        <f t="shared" si="5"/>
        <v>IU</v>
      </c>
      <c r="C19" s="507">
        <f>IF(D11="","-",+C18+1)</f>
        <v>2014</v>
      </c>
      <c r="D19" s="508">
        <v>55180030.261904761</v>
      </c>
      <c r="E19" s="516">
        <v>1321336.5238095238</v>
      </c>
      <c r="F19" s="508">
        <v>53858693.738095239</v>
      </c>
      <c r="G19" s="516">
        <v>8587440.2696967553</v>
      </c>
      <c r="H19" s="510">
        <v>8587440.2696967553</v>
      </c>
      <c r="I19" s="616">
        <v>0</v>
      </c>
      <c r="J19" s="511"/>
      <c r="K19" s="518">
        <f t="shared" si="0"/>
        <v>8587440.2696967553</v>
      </c>
      <c r="L19" s="519">
        <f t="shared" si="6"/>
        <v>0</v>
      </c>
      <c r="M19" s="518">
        <f t="shared" si="2"/>
        <v>8587440.2696967553</v>
      </c>
      <c r="N19" s="514">
        <f t="shared" si="7"/>
        <v>0</v>
      </c>
      <c r="O19" s="514">
        <f t="shared" si="8"/>
        <v>0</v>
      </c>
      <c r="P19" s="272"/>
    </row>
    <row r="20" spans="2:16">
      <c r="B20" s="195" t="str">
        <f t="shared" si="5"/>
        <v>IU</v>
      </c>
      <c r="C20" s="507">
        <f>IF(D11="","-",+C19+1)</f>
        <v>2015</v>
      </c>
      <c r="D20" s="508">
        <v>56313962.738095239</v>
      </c>
      <c r="E20" s="516">
        <v>1379795.3095238095</v>
      </c>
      <c r="F20" s="508">
        <v>54934167.428571433</v>
      </c>
      <c r="G20" s="516">
        <v>8614888.8974372521</v>
      </c>
      <c r="H20" s="510">
        <v>8614888.8974372521</v>
      </c>
      <c r="I20" s="511">
        <v>0</v>
      </c>
      <c r="J20" s="511"/>
      <c r="K20" s="518">
        <f t="shared" si="0"/>
        <v>8614888.8974372521</v>
      </c>
      <c r="L20" s="519">
        <f t="shared" si="6"/>
        <v>0</v>
      </c>
      <c r="M20" s="518">
        <f t="shared" si="2"/>
        <v>8614888.8974372521</v>
      </c>
      <c r="N20" s="514">
        <f t="shared" si="7"/>
        <v>0</v>
      </c>
      <c r="O20" s="514">
        <f t="shared" si="8"/>
        <v>0</v>
      </c>
      <c r="P20" s="272"/>
    </row>
    <row r="21" spans="2:16">
      <c r="B21" s="195" t="str">
        <f t="shared" si="5"/>
        <v>IU</v>
      </c>
      <c r="C21" s="507">
        <f>IF(D12="","-",+C20+1)</f>
        <v>2016</v>
      </c>
      <c r="D21" s="508">
        <v>56278364.618571423</v>
      </c>
      <c r="E21" s="516">
        <v>1411800.0045238095</v>
      </c>
      <c r="F21" s="508">
        <v>54866564.614047617</v>
      </c>
      <c r="G21" s="516">
        <v>8548841.3588929959</v>
      </c>
      <c r="H21" s="510">
        <v>8548841.3588929959</v>
      </c>
      <c r="I21" s="511">
        <f t="shared" ref="I21:I48" si="9">H21-G21</f>
        <v>0</v>
      </c>
      <c r="J21" s="511"/>
      <c r="K21" s="518">
        <f t="shared" si="0"/>
        <v>8548841.3588929959</v>
      </c>
      <c r="L21" s="519">
        <f t="shared" si="6"/>
        <v>0</v>
      </c>
      <c r="M21" s="518">
        <f t="shared" si="2"/>
        <v>8548841.3588929959</v>
      </c>
      <c r="N21" s="514">
        <f t="shared" si="7"/>
        <v>0</v>
      </c>
      <c r="O21" s="514">
        <f t="shared" si="8"/>
        <v>0</v>
      </c>
      <c r="P21" s="272"/>
    </row>
    <row r="22" spans="2:16">
      <c r="B22" s="195" t="str">
        <f t="shared" si="5"/>
        <v>IU</v>
      </c>
      <c r="C22" s="507">
        <f>IF(D11="","-",+C21+1)</f>
        <v>2017</v>
      </c>
      <c r="D22" s="508">
        <v>54876752.424047619</v>
      </c>
      <c r="E22" s="516">
        <v>1379204.3720930233</v>
      </c>
      <c r="F22" s="508">
        <v>53497548.051954597</v>
      </c>
      <c r="G22" s="516">
        <v>8092587.7045322992</v>
      </c>
      <c r="H22" s="510">
        <v>8092587.7045322992</v>
      </c>
      <c r="I22" s="511">
        <f t="shared" si="9"/>
        <v>0</v>
      </c>
      <c r="J22" s="511"/>
      <c r="K22" s="518">
        <f t="shared" si="0"/>
        <v>8092587.7045322992</v>
      </c>
      <c r="L22" s="519">
        <f t="shared" si="6"/>
        <v>0</v>
      </c>
      <c r="M22" s="518">
        <f t="shared" si="2"/>
        <v>8092587.7045322992</v>
      </c>
      <c r="N22" s="514">
        <f t="shared" si="7"/>
        <v>0</v>
      </c>
      <c r="O22" s="514">
        <f t="shared" si="8"/>
        <v>0</v>
      </c>
      <c r="P22" s="272"/>
    </row>
    <row r="23" spans="2:16">
      <c r="B23" s="195" t="str">
        <f t="shared" si="5"/>
        <v/>
      </c>
      <c r="C23" s="507">
        <f>IF(D11="","-",+C22+1)</f>
        <v>2018</v>
      </c>
      <c r="D23" s="508">
        <v>53497548.051954597</v>
      </c>
      <c r="E23" s="516">
        <v>1446482.6341463414</v>
      </c>
      <c r="F23" s="508">
        <v>52051065.417808257</v>
      </c>
      <c r="G23" s="516">
        <v>8153785.5951796668</v>
      </c>
      <c r="H23" s="510">
        <v>8153785.5951796668</v>
      </c>
      <c r="I23" s="511">
        <f t="shared" si="9"/>
        <v>0</v>
      </c>
      <c r="J23" s="511"/>
      <c r="K23" s="518">
        <f t="shared" ref="K23:K28" si="10">G23</f>
        <v>8153785.5951796668</v>
      </c>
      <c r="L23" s="519">
        <f t="shared" si="6"/>
        <v>0</v>
      </c>
      <c r="M23" s="518">
        <f t="shared" ref="M23:M28" si="11">H23</f>
        <v>8153785.5951796668</v>
      </c>
      <c r="N23" s="514">
        <f t="shared" si="7"/>
        <v>0</v>
      </c>
      <c r="O23" s="514">
        <f t="shared" si="8"/>
        <v>0</v>
      </c>
      <c r="P23" s="272"/>
    </row>
    <row r="24" spans="2:16">
      <c r="B24" s="195" t="str">
        <f t="shared" si="5"/>
        <v/>
      </c>
      <c r="C24" s="507">
        <f>IF(D11="","-",+C23+1)</f>
        <v>2019</v>
      </c>
      <c r="D24" s="508">
        <v>52051065.417808257</v>
      </c>
      <c r="E24" s="516">
        <v>1446482.6341463414</v>
      </c>
      <c r="F24" s="508">
        <v>50604582.783661917</v>
      </c>
      <c r="G24" s="516">
        <v>7969946.1881774617</v>
      </c>
      <c r="H24" s="510">
        <v>7969946.1881774617</v>
      </c>
      <c r="I24" s="511">
        <f t="shared" si="9"/>
        <v>0</v>
      </c>
      <c r="J24" s="511"/>
      <c r="K24" s="518">
        <f t="shared" si="10"/>
        <v>7969946.1881774617</v>
      </c>
      <c r="L24" s="519">
        <f t="shared" ref="L24" si="12">IF(K24&lt;&gt;0,+G24-K24,0)</f>
        <v>0</v>
      </c>
      <c r="M24" s="518">
        <f t="shared" si="11"/>
        <v>7969946.1881774617</v>
      </c>
      <c r="N24" s="514">
        <f t="shared" si="3"/>
        <v>0</v>
      </c>
      <c r="O24" s="514">
        <f t="shared" si="4"/>
        <v>0</v>
      </c>
      <c r="P24" s="272"/>
    </row>
    <row r="25" spans="2:16">
      <c r="B25" s="195" t="str">
        <f t="shared" si="5"/>
        <v/>
      </c>
      <c r="C25" s="507">
        <f>IF(D11="","-",+C24+1)</f>
        <v>2020</v>
      </c>
      <c r="D25" s="508">
        <v>50604582.783661917</v>
      </c>
      <c r="E25" s="516">
        <v>1446482.6341463414</v>
      </c>
      <c r="F25" s="508">
        <v>49158100.149515577</v>
      </c>
      <c r="G25" s="516">
        <v>6551112.4234461179</v>
      </c>
      <c r="H25" s="510">
        <v>6551112.4234461179</v>
      </c>
      <c r="I25" s="511">
        <f t="shared" si="9"/>
        <v>0</v>
      </c>
      <c r="J25" s="511"/>
      <c r="K25" s="518">
        <f t="shared" si="10"/>
        <v>6551112.4234461179</v>
      </c>
      <c r="L25" s="519">
        <f t="shared" ref="L25" si="13">IF(K25&lt;&gt;0,+G25-K25,0)</f>
        <v>0</v>
      </c>
      <c r="M25" s="518">
        <f t="shared" si="11"/>
        <v>6551112.4234461179</v>
      </c>
      <c r="N25" s="514">
        <f t="shared" si="3"/>
        <v>0</v>
      </c>
      <c r="O25" s="514">
        <f t="shared" si="4"/>
        <v>0</v>
      </c>
      <c r="P25" s="272"/>
    </row>
    <row r="26" spans="2:16">
      <c r="B26" s="195" t="str">
        <f t="shared" si="5"/>
        <v>IU</v>
      </c>
      <c r="C26" s="507">
        <f>IF(D11="","-",+C25+1)</f>
        <v>2021</v>
      </c>
      <c r="D26" s="508">
        <v>49225378.411568888</v>
      </c>
      <c r="E26" s="516">
        <v>1412042.5714285714</v>
      </c>
      <c r="F26" s="508">
        <v>47813335.840140313</v>
      </c>
      <c r="G26" s="516">
        <v>6555314.9493152928</v>
      </c>
      <c r="H26" s="510">
        <v>6555314.9493152928</v>
      </c>
      <c r="I26" s="511">
        <f t="shared" si="9"/>
        <v>0</v>
      </c>
      <c r="J26" s="511"/>
      <c r="K26" s="518">
        <f t="shared" si="10"/>
        <v>6555314.9493152928</v>
      </c>
      <c r="L26" s="519">
        <f t="shared" ref="L26" si="14">IF(K26&lt;&gt;0,+G26-K26,0)</f>
        <v>0</v>
      </c>
      <c r="M26" s="518">
        <f t="shared" si="11"/>
        <v>6555314.9493152928</v>
      </c>
      <c r="N26" s="514">
        <f t="shared" si="3"/>
        <v>0</v>
      </c>
      <c r="O26" s="514">
        <f t="shared" si="4"/>
        <v>0</v>
      </c>
      <c r="P26" s="272"/>
    </row>
    <row r="27" spans="2:16">
      <c r="B27" s="195" t="str">
        <f t="shared" si="5"/>
        <v>IU</v>
      </c>
      <c r="C27" s="507">
        <f>IF(D11="","-",+C26+1)</f>
        <v>2022</v>
      </c>
      <c r="D27" s="508">
        <v>47746057.578087002</v>
      </c>
      <c r="E27" s="516">
        <v>1412042.5714285714</v>
      </c>
      <c r="F27" s="508">
        <v>46334015.006658427</v>
      </c>
      <c r="G27" s="516">
        <v>6701416.9696712773</v>
      </c>
      <c r="H27" s="510">
        <v>6701416.9696712773</v>
      </c>
      <c r="I27" s="511">
        <f t="shared" si="9"/>
        <v>0</v>
      </c>
      <c r="J27" s="511"/>
      <c r="K27" s="518">
        <f t="shared" si="10"/>
        <v>6701416.9696712773</v>
      </c>
      <c r="L27" s="519">
        <f t="shared" ref="L27" si="15">IF(K27&lt;&gt;0,+G27-K27,0)</f>
        <v>0</v>
      </c>
      <c r="M27" s="518">
        <f t="shared" si="11"/>
        <v>6701416.9696712773</v>
      </c>
      <c r="N27" s="514">
        <f t="shared" si="3"/>
        <v>0</v>
      </c>
      <c r="O27" s="514">
        <f t="shared" si="4"/>
        <v>0</v>
      </c>
      <c r="P27" s="272"/>
    </row>
    <row r="28" spans="2:16">
      <c r="B28" s="195" t="str">
        <f t="shared" si="5"/>
        <v>IU</v>
      </c>
      <c r="C28" s="507">
        <f>IF(D11="","-",+C27+1)</f>
        <v>2023</v>
      </c>
      <c r="D28" s="508">
        <v>46334014.906658441</v>
      </c>
      <c r="E28" s="516">
        <v>1412042.5690476194</v>
      </c>
      <c r="F28" s="508">
        <v>44921972.337610818</v>
      </c>
      <c r="G28" s="516">
        <v>7176080.4452867946</v>
      </c>
      <c r="H28" s="510">
        <v>7176080.4452867946</v>
      </c>
      <c r="I28" s="511">
        <f t="shared" si="9"/>
        <v>0</v>
      </c>
      <c r="J28" s="511"/>
      <c r="K28" s="518">
        <f t="shared" si="10"/>
        <v>7176080.4452867946</v>
      </c>
      <c r="L28" s="519">
        <f t="shared" ref="L28" si="16">IF(K28&lt;&gt;0,+G28-K28,0)</f>
        <v>0</v>
      </c>
      <c r="M28" s="518">
        <f t="shared" si="11"/>
        <v>7176080.4452867946</v>
      </c>
      <c r="N28" s="514">
        <f t="shared" ref="N28" si="17">IF(M28&lt;&gt;0,+H28-M28,0)</f>
        <v>0</v>
      </c>
      <c r="O28" s="514">
        <f t="shared" ref="O28" si="18">+N28-L28</f>
        <v>0</v>
      </c>
      <c r="P28" s="272"/>
    </row>
    <row r="29" spans="2:16">
      <c r="B29" s="195" t="str">
        <f t="shared" si="5"/>
        <v/>
      </c>
      <c r="C29" s="673">
        <f>IF(D11="","-",+C28+1)</f>
        <v>2024</v>
      </c>
      <c r="D29" s="523">
        <f>IF(F28+SUM(E$17:E28)=D$10,F28,D$10-SUM(E$17:E28))</f>
        <v>44921972.337610818</v>
      </c>
      <c r="E29" s="522">
        <f>IF(+I14&lt;F28,I14,D29)</f>
        <v>1347858.8159090912</v>
      </c>
      <c r="F29" s="523">
        <f t="shared" ref="F29:F48" si="19">+D29-E29</f>
        <v>43574113.521701731</v>
      </c>
      <c r="G29" s="524">
        <f t="shared" ref="G29:G53" si="20">+I$12*((D29+F29)/2)+E29</f>
        <v>6636700.468595529</v>
      </c>
      <c r="H29" s="491">
        <f t="shared" ref="H29:H53" si="21">+I$13*((D29+F29)/2)+E29</f>
        <v>6636700.468595529</v>
      </c>
      <c r="I29" s="511">
        <f t="shared" si="9"/>
        <v>0</v>
      </c>
      <c r="J29" s="511"/>
      <c r="K29" s="525"/>
      <c r="L29" s="514">
        <f t="shared" si="1"/>
        <v>0</v>
      </c>
      <c r="M29" s="525"/>
      <c r="N29" s="514">
        <f t="shared" si="3"/>
        <v>0</v>
      </c>
      <c r="O29" s="514">
        <f t="shared" si="4"/>
        <v>0</v>
      </c>
      <c r="P29" s="272"/>
    </row>
    <row r="30" spans="2:16">
      <c r="B30" s="195" t="str">
        <f t="shared" si="5"/>
        <v/>
      </c>
      <c r="C30" s="507">
        <f>IF(D11="","-",+C29+1)</f>
        <v>2025</v>
      </c>
      <c r="D30" s="523">
        <f>IF(F29+SUM(E$17:E29)=D$10,F29,D$10-SUM(E$17:E29))</f>
        <v>43574113.521701731</v>
      </c>
      <c r="E30" s="522">
        <f>IF(+I14&lt;F29,I14,D30)</f>
        <v>1347858.8159090912</v>
      </c>
      <c r="F30" s="523">
        <f t="shared" si="19"/>
        <v>42226254.705792643</v>
      </c>
      <c r="G30" s="524">
        <f t="shared" si="20"/>
        <v>6475594.7704553111</v>
      </c>
      <c r="H30" s="491">
        <f t="shared" si="21"/>
        <v>6475594.7704553111</v>
      </c>
      <c r="I30" s="511">
        <f t="shared" si="9"/>
        <v>0</v>
      </c>
      <c r="J30" s="511"/>
      <c r="K30" s="525"/>
      <c r="L30" s="514">
        <f t="shared" si="1"/>
        <v>0</v>
      </c>
      <c r="M30" s="525"/>
      <c r="N30" s="514">
        <f t="shared" si="3"/>
        <v>0</v>
      </c>
      <c r="O30" s="514">
        <f t="shared" si="4"/>
        <v>0</v>
      </c>
      <c r="P30" s="272"/>
    </row>
    <row r="31" spans="2:16">
      <c r="B31" s="195" t="str">
        <f t="shared" si="5"/>
        <v/>
      </c>
      <c r="C31" s="507">
        <f>IF(D11="","-",+C30+1)</f>
        <v>2026</v>
      </c>
      <c r="D31" s="523">
        <f>IF(F30+SUM(E$17:E30)=D$10,F30,D$10-SUM(E$17:E30))</f>
        <v>42226254.705792643</v>
      </c>
      <c r="E31" s="522">
        <f>IF(+I14&lt;F30,I14,D31)</f>
        <v>1347858.8159090912</v>
      </c>
      <c r="F31" s="523">
        <f t="shared" si="19"/>
        <v>40878395.889883555</v>
      </c>
      <c r="G31" s="524">
        <f t="shared" si="20"/>
        <v>6314489.0723150931</v>
      </c>
      <c r="H31" s="491">
        <f t="shared" si="21"/>
        <v>6314489.0723150931</v>
      </c>
      <c r="I31" s="511">
        <f t="shared" si="9"/>
        <v>0</v>
      </c>
      <c r="J31" s="511"/>
      <c r="K31" s="525"/>
      <c r="L31" s="514">
        <f t="shared" si="1"/>
        <v>0</v>
      </c>
      <c r="M31" s="525"/>
      <c r="N31" s="514">
        <f t="shared" si="3"/>
        <v>0</v>
      </c>
      <c r="O31" s="514">
        <f t="shared" si="4"/>
        <v>0</v>
      </c>
      <c r="P31" s="272"/>
    </row>
    <row r="32" spans="2:16">
      <c r="B32" s="195" t="str">
        <f t="shared" si="5"/>
        <v/>
      </c>
      <c r="C32" s="507">
        <f>IF(D11="","-",+C31+1)</f>
        <v>2027</v>
      </c>
      <c r="D32" s="523">
        <f>IF(F31+SUM(E$17:E31)=D$10,F31,D$10-SUM(E$17:E31))</f>
        <v>40878395.889883555</v>
      </c>
      <c r="E32" s="522">
        <f>IF(+I14&lt;F31,I14,D32)</f>
        <v>1347858.8159090912</v>
      </c>
      <c r="F32" s="523">
        <f t="shared" si="19"/>
        <v>39530537.073974468</v>
      </c>
      <c r="G32" s="524">
        <f t="shared" si="20"/>
        <v>6153383.3741748752</v>
      </c>
      <c r="H32" s="491">
        <f t="shared" si="21"/>
        <v>6153383.3741748752</v>
      </c>
      <c r="I32" s="511">
        <f t="shared" si="9"/>
        <v>0</v>
      </c>
      <c r="J32" s="511"/>
      <c r="K32" s="525"/>
      <c r="L32" s="514">
        <f t="shared" si="1"/>
        <v>0</v>
      </c>
      <c r="M32" s="525"/>
      <c r="N32" s="514">
        <f t="shared" si="3"/>
        <v>0</v>
      </c>
      <c r="O32" s="514">
        <f t="shared" si="4"/>
        <v>0</v>
      </c>
      <c r="P32" s="272"/>
    </row>
    <row r="33" spans="2:16">
      <c r="B33" s="195" t="str">
        <f t="shared" si="5"/>
        <v/>
      </c>
      <c r="C33" s="507">
        <f>IF(D11="","-",+C32+1)</f>
        <v>2028</v>
      </c>
      <c r="D33" s="523">
        <f>IF(F32+SUM(E$17:E32)=D$10,F32,D$10-SUM(E$17:E32))</f>
        <v>39530537.073974468</v>
      </c>
      <c r="E33" s="522">
        <f>IF(+I14&lt;F32,I14,D33)</f>
        <v>1347858.8159090912</v>
      </c>
      <c r="F33" s="523">
        <f t="shared" si="19"/>
        <v>38182678.25806538</v>
      </c>
      <c r="G33" s="524">
        <f t="shared" si="20"/>
        <v>5992277.6760346582</v>
      </c>
      <c r="H33" s="491">
        <f t="shared" si="21"/>
        <v>5992277.6760346582</v>
      </c>
      <c r="I33" s="511">
        <f t="shared" si="9"/>
        <v>0</v>
      </c>
      <c r="J33" s="511"/>
      <c r="K33" s="525"/>
      <c r="L33" s="514">
        <f t="shared" si="1"/>
        <v>0</v>
      </c>
      <c r="M33" s="525"/>
      <c r="N33" s="514">
        <f t="shared" si="3"/>
        <v>0</v>
      </c>
      <c r="O33" s="514">
        <f t="shared" si="4"/>
        <v>0</v>
      </c>
      <c r="P33" s="272"/>
    </row>
    <row r="34" spans="2:16">
      <c r="B34" s="195" t="str">
        <f t="shared" si="5"/>
        <v/>
      </c>
      <c r="C34" s="507">
        <f>IF(D11="","-",+C33+1)</f>
        <v>2029</v>
      </c>
      <c r="D34" s="523">
        <f>IF(F33+SUM(E$17:E33)=D$10,F33,D$10-SUM(E$17:E33))</f>
        <v>38182678.25806538</v>
      </c>
      <c r="E34" s="522">
        <f>IF(+I14&lt;F33,I14,D34)</f>
        <v>1347858.8159090912</v>
      </c>
      <c r="F34" s="523">
        <f t="shared" si="19"/>
        <v>36834819.442156292</v>
      </c>
      <c r="G34" s="524">
        <f t="shared" si="20"/>
        <v>5831171.9778944403</v>
      </c>
      <c r="H34" s="491">
        <f t="shared" si="21"/>
        <v>5831171.9778944403</v>
      </c>
      <c r="I34" s="511">
        <f t="shared" si="9"/>
        <v>0</v>
      </c>
      <c r="J34" s="511"/>
      <c r="K34" s="525"/>
      <c r="L34" s="514">
        <f t="shared" si="1"/>
        <v>0</v>
      </c>
      <c r="M34" s="525"/>
      <c r="N34" s="514">
        <f t="shared" si="3"/>
        <v>0</v>
      </c>
      <c r="O34" s="514">
        <f t="shared" si="4"/>
        <v>0</v>
      </c>
      <c r="P34" s="272"/>
    </row>
    <row r="35" spans="2:16">
      <c r="B35" s="195" t="str">
        <f t="shared" si="5"/>
        <v/>
      </c>
      <c r="C35" s="507">
        <f>IF(D11="","-",+C34+1)</f>
        <v>2030</v>
      </c>
      <c r="D35" s="523">
        <f>IF(F34+SUM(E$17:E34)=D$10,F34,D$10-SUM(E$17:E34))</f>
        <v>36834819.442156292</v>
      </c>
      <c r="E35" s="522">
        <f>IF(+I14&lt;F34,I14,D35)</f>
        <v>1347858.8159090912</v>
      </c>
      <c r="F35" s="523">
        <f t="shared" si="19"/>
        <v>35486960.626247205</v>
      </c>
      <c r="G35" s="524">
        <f t="shared" si="20"/>
        <v>5670066.2797542224</v>
      </c>
      <c r="H35" s="491">
        <f t="shared" si="21"/>
        <v>5670066.2797542224</v>
      </c>
      <c r="I35" s="511">
        <f t="shared" si="9"/>
        <v>0</v>
      </c>
      <c r="J35" s="511"/>
      <c r="K35" s="525"/>
      <c r="L35" s="514">
        <f t="shared" si="1"/>
        <v>0</v>
      </c>
      <c r="M35" s="525"/>
      <c r="N35" s="514">
        <f t="shared" si="3"/>
        <v>0</v>
      </c>
      <c r="O35" s="514">
        <f t="shared" si="4"/>
        <v>0</v>
      </c>
      <c r="P35" s="272"/>
    </row>
    <row r="36" spans="2:16">
      <c r="B36" s="195" t="str">
        <f t="shared" si="5"/>
        <v/>
      </c>
      <c r="C36" s="507">
        <f>IF(D11="","-",+C35+1)</f>
        <v>2031</v>
      </c>
      <c r="D36" s="523">
        <f>IF(F35+SUM(E$17:E35)=D$10,F35,D$10-SUM(E$17:E35))</f>
        <v>35486960.626247205</v>
      </c>
      <c r="E36" s="522">
        <f>IF(+I14&lt;F35,I14,D36)</f>
        <v>1347858.8159090912</v>
      </c>
      <c r="F36" s="523">
        <f t="shared" si="19"/>
        <v>34139101.810338117</v>
      </c>
      <c r="G36" s="524">
        <f t="shared" si="20"/>
        <v>5508960.5816140044</v>
      </c>
      <c r="H36" s="491">
        <f t="shared" si="21"/>
        <v>5508960.5816140044</v>
      </c>
      <c r="I36" s="511">
        <f t="shared" si="9"/>
        <v>0</v>
      </c>
      <c r="J36" s="511"/>
      <c r="K36" s="525"/>
      <c r="L36" s="514">
        <f t="shared" si="1"/>
        <v>0</v>
      </c>
      <c r="M36" s="525"/>
      <c r="N36" s="514">
        <f t="shared" si="3"/>
        <v>0</v>
      </c>
      <c r="O36" s="514">
        <f t="shared" si="4"/>
        <v>0</v>
      </c>
      <c r="P36" s="272"/>
    </row>
    <row r="37" spans="2:16">
      <c r="B37" s="195" t="str">
        <f t="shared" si="5"/>
        <v/>
      </c>
      <c r="C37" s="507">
        <f>IF(D11="","-",+C36+1)</f>
        <v>2032</v>
      </c>
      <c r="D37" s="523">
        <f>IF(F36+SUM(E$17:E36)=D$10,F36,D$10-SUM(E$17:E36))</f>
        <v>34139101.810338117</v>
      </c>
      <c r="E37" s="522">
        <f>IF(+I14&lt;F36,I14,D37)</f>
        <v>1347858.8159090912</v>
      </c>
      <c r="F37" s="523">
        <f t="shared" si="19"/>
        <v>32791242.994429026</v>
      </c>
      <c r="G37" s="524">
        <f t="shared" si="20"/>
        <v>5347854.8834737865</v>
      </c>
      <c r="H37" s="491">
        <f t="shared" si="21"/>
        <v>5347854.8834737865</v>
      </c>
      <c r="I37" s="511">
        <f t="shared" si="9"/>
        <v>0</v>
      </c>
      <c r="J37" s="511"/>
      <c r="K37" s="525"/>
      <c r="L37" s="514">
        <f t="shared" si="1"/>
        <v>0</v>
      </c>
      <c r="M37" s="525"/>
      <c r="N37" s="514">
        <f t="shared" si="3"/>
        <v>0</v>
      </c>
      <c r="O37" s="514">
        <f t="shared" si="4"/>
        <v>0</v>
      </c>
      <c r="P37" s="272"/>
    </row>
    <row r="38" spans="2:16">
      <c r="B38" s="195" t="str">
        <f t="shared" si="5"/>
        <v/>
      </c>
      <c r="C38" s="507">
        <f>IF(D11="","-",+C37+1)</f>
        <v>2033</v>
      </c>
      <c r="D38" s="523">
        <f>IF(F37+SUM(E$17:E37)=D$10,F37,D$10-SUM(E$17:E37))</f>
        <v>32791242.994429026</v>
      </c>
      <c r="E38" s="522">
        <f>IF(+I14&lt;F37,I14,D38)</f>
        <v>1347858.8159090912</v>
      </c>
      <c r="F38" s="523">
        <f t="shared" si="19"/>
        <v>31443384.178519934</v>
      </c>
      <c r="G38" s="524">
        <f t="shared" si="20"/>
        <v>5186749.1853335677</v>
      </c>
      <c r="H38" s="491">
        <f t="shared" si="21"/>
        <v>5186749.1853335677</v>
      </c>
      <c r="I38" s="511">
        <f t="shared" si="9"/>
        <v>0</v>
      </c>
      <c r="J38" s="511"/>
      <c r="K38" s="525"/>
      <c r="L38" s="514">
        <f t="shared" si="1"/>
        <v>0</v>
      </c>
      <c r="M38" s="525"/>
      <c r="N38" s="514">
        <f t="shared" si="3"/>
        <v>0</v>
      </c>
      <c r="O38" s="514">
        <f t="shared" si="4"/>
        <v>0</v>
      </c>
      <c r="P38" s="272"/>
    </row>
    <row r="39" spans="2:16">
      <c r="B39" s="195" t="str">
        <f t="shared" si="5"/>
        <v/>
      </c>
      <c r="C39" s="507">
        <f>IF(D11="","-",+C38+1)</f>
        <v>2034</v>
      </c>
      <c r="D39" s="523">
        <f>IF(F38+SUM(E$17:E38)=D$10,F38,D$10-SUM(E$17:E38))</f>
        <v>31443384.178519934</v>
      </c>
      <c r="E39" s="522">
        <f>IF(+I14&lt;F38,I14,D39)</f>
        <v>1347858.8159090912</v>
      </c>
      <c r="F39" s="523">
        <f t="shared" si="19"/>
        <v>30095525.362610843</v>
      </c>
      <c r="G39" s="524">
        <f t="shared" si="20"/>
        <v>5025643.4871933497</v>
      </c>
      <c r="H39" s="491">
        <f t="shared" si="21"/>
        <v>5025643.4871933497</v>
      </c>
      <c r="I39" s="511">
        <f t="shared" si="9"/>
        <v>0</v>
      </c>
      <c r="J39" s="511"/>
      <c r="K39" s="525"/>
      <c r="L39" s="514">
        <f t="shared" si="1"/>
        <v>0</v>
      </c>
      <c r="M39" s="525"/>
      <c r="N39" s="514">
        <f t="shared" si="3"/>
        <v>0</v>
      </c>
      <c r="O39" s="514">
        <f t="shared" si="4"/>
        <v>0</v>
      </c>
      <c r="P39" s="272"/>
    </row>
    <row r="40" spans="2:16">
      <c r="B40" s="195" t="str">
        <f t="shared" si="5"/>
        <v/>
      </c>
      <c r="C40" s="507">
        <f>IF(D11="","-",+C39+1)</f>
        <v>2035</v>
      </c>
      <c r="D40" s="523">
        <f>IF(F39+SUM(E$17:E39)=D$10,F39,D$10-SUM(E$17:E39))</f>
        <v>30095525.362610843</v>
      </c>
      <c r="E40" s="522">
        <f>IF(+I14&lt;F39,I14,D40)</f>
        <v>1347858.8159090912</v>
      </c>
      <c r="F40" s="523">
        <f t="shared" si="19"/>
        <v>28747666.546701752</v>
      </c>
      <c r="G40" s="524">
        <f t="shared" si="20"/>
        <v>4864537.7890531309</v>
      </c>
      <c r="H40" s="491">
        <f t="shared" si="21"/>
        <v>4864537.7890531309</v>
      </c>
      <c r="I40" s="511">
        <f t="shared" si="9"/>
        <v>0</v>
      </c>
      <c r="J40" s="511"/>
      <c r="K40" s="525"/>
      <c r="L40" s="514">
        <f t="shared" si="1"/>
        <v>0</v>
      </c>
      <c r="M40" s="525"/>
      <c r="N40" s="514">
        <f t="shared" si="3"/>
        <v>0</v>
      </c>
      <c r="O40" s="514">
        <f t="shared" si="4"/>
        <v>0</v>
      </c>
      <c r="P40" s="272"/>
    </row>
    <row r="41" spans="2:16">
      <c r="B41" s="195" t="str">
        <f t="shared" si="5"/>
        <v/>
      </c>
      <c r="C41" s="507">
        <f>IF(D11="","-",+C40+1)</f>
        <v>2036</v>
      </c>
      <c r="D41" s="523">
        <f>IF(F40+SUM(E$17:E40)=D$10,F40,D$10-SUM(E$17:E40))</f>
        <v>28747666.546701752</v>
      </c>
      <c r="E41" s="522">
        <f>IF(+I14&lt;F40,I14,D41)</f>
        <v>1347858.8159090912</v>
      </c>
      <c r="F41" s="523">
        <f t="shared" si="19"/>
        <v>27399807.73079266</v>
      </c>
      <c r="G41" s="524">
        <f t="shared" si="20"/>
        <v>4703432.090912913</v>
      </c>
      <c r="H41" s="491">
        <f t="shared" si="21"/>
        <v>4703432.090912913</v>
      </c>
      <c r="I41" s="511">
        <f t="shared" si="9"/>
        <v>0</v>
      </c>
      <c r="J41" s="511"/>
      <c r="K41" s="525"/>
      <c r="L41" s="514">
        <f t="shared" si="1"/>
        <v>0</v>
      </c>
      <c r="M41" s="525"/>
      <c r="N41" s="514">
        <f t="shared" si="3"/>
        <v>0</v>
      </c>
      <c r="O41" s="514">
        <f t="shared" si="4"/>
        <v>0</v>
      </c>
      <c r="P41" s="272"/>
    </row>
    <row r="42" spans="2:16">
      <c r="B42" s="195" t="str">
        <f t="shared" si="5"/>
        <v/>
      </c>
      <c r="C42" s="507">
        <f>IF(D11="","-",+C41+1)</f>
        <v>2037</v>
      </c>
      <c r="D42" s="523">
        <f>IF(F41+SUM(E$17:E41)=D$10,F41,D$10-SUM(E$17:E41))</f>
        <v>27399807.73079266</v>
      </c>
      <c r="E42" s="522">
        <f>IF(+I14&lt;F41,I14,D42)</f>
        <v>1347858.8159090912</v>
      </c>
      <c r="F42" s="523">
        <f t="shared" si="19"/>
        <v>26051948.914883569</v>
      </c>
      <c r="G42" s="524">
        <f t="shared" si="20"/>
        <v>4542326.3927726941</v>
      </c>
      <c r="H42" s="491">
        <f t="shared" si="21"/>
        <v>4542326.3927726941</v>
      </c>
      <c r="I42" s="511">
        <f t="shared" si="9"/>
        <v>0</v>
      </c>
      <c r="J42" s="511"/>
      <c r="K42" s="525"/>
      <c r="L42" s="514">
        <f t="shared" si="1"/>
        <v>0</v>
      </c>
      <c r="M42" s="525"/>
      <c r="N42" s="514">
        <f t="shared" si="3"/>
        <v>0</v>
      </c>
      <c r="O42" s="514">
        <f t="shared" si="4"/>
        <v>0</v>
      </c>
      <c r="P42" s="272"/>
    </row>
    <row r="43" spans="2:16">
      <c r="B43" s="195" t="str">
        <f t="shared" si="5"/>
        <v/>
      </c>
      <c r="C43" s="507">
        <f>IF(D11="","-",+C42+1)</f>
        <v>2038</v>
      </c>
      <c r="D43" s="523">
        <f>IF(F42+SUM(E$17:E42)=D$10,F42,D$10-SUM(E$17:E42))</f>
        <v>26051948.914883569</v>
      </c>
      <c r="E43" s="522">
        <f>IF(+I14&lt;F42,I14,D43)</f>
        <v>1347858.8159090912</v>
      </c>
      <c r="F43" s="523">
        <f t="shared" si="19"/>
        <v>24704090.098974477</v>
      </c>
      <c r="G43" s="524">
        <f t="shared" si="20"/>
        <v>4381220.6946324762</v>
      </c>
      <c r="H43" s="491">
        <f t="shared" si="21"/>
        <v>4381220.6946324762</v>
      </c>
      <c r="I43" s="511">
        <f t="shared" si="9"/>
        <v>0</v>
      </c>
      <c r="J43" s="511"/>
      <c r="K43" s="525"/>
      <c r="L43" s="514">
        <f t="shared" si="1"/>
        <v>0</v>
      </c>
      <c r="M43" s="525"/>
      <c r="N43" s="514">
        <f t="shared" si="3"/>
        <v>0</v>
      </c>
      <c r="O43" s="514">
        <f t="shared" si="4"/>
        <v>0</v>
      </c>
      <c r="P43" s="272"/>
    </row>
    <row r="44" spans="2:16">
      <c r="B44" s="195" t="str">
        <f t="shared" si="5"/>
        <v/>
      </c>
      <c r="C44" s="507">
        <f>IF(D11="","-",+C43+1)</f>
        <v>2039</v>
      </c>
      <c r="D44" s="523">
        <f>IF(F43+SUM(E$17:E43)=D$10,F43,D$10-SUM(E$17:E43))</f>
        <v>24704090.098974477</v>
      </c>
      <c r="E44" s="522">
        <f>IF(+I14&lt;F43,I14,D44)</f>
        <v>1347858.8159090912</v>
      </c>
      <c r="F44" s="523">
        <f t="shared" si="19"/>
        <v>23356231.283065386</v>
      </c>
      <c r="G44" s="524">
        <f t="shared" si="20"/>
        <v>4220114.9964922573</v>
      </c>
      <c r="H44" s="491">
        <f t="shared" si="21"/>
        <v>4220114.9964922573</v>
      </c>
      <c r="I44" s="511">
        <f t="shared" si="9"/>
        <v>0</v>
      </c>
      <c r="J44" s="511"/>
      <c r="K44" s="525"/>
      <c r="L44" s="514">
        <f t="shared" si="1"/>
        <v>0</v>
      </c>
      <c r="M44" s="525"/>
      <c r="N44" s="514">
        <f t="shared" si="3"/>
        <v>0</v>
      </c>
      <c r="O44" s="514">
        <f t="shared" si="4"/>
        <v>0</v>
      </c>
      <c r="P44" s="272"/>
    </row>
    <row r="45" spans="2:16">
      <c r="B45" s="195" t="str">
        <f t="shared" si="5"/>
        <v/>
      </c>
      <c r="C45" s="507">
        <f>IF(D11="","-",+C44+1)</f>
        <v>2040</v>
      </c>
      <c r="D45" s="523">
        <f>IF(F44+SUM(E$17:E44)=D$10,F44,D$10-SUM(E$17:E44))</f>
        <v>23356231.283065386</v>
      </c>
      <c r="E45" s="522">
        <f>IF(+I14&lt;F44,I14,D45)</f>
        <v>1347858.8159090912</v>
      </c>
      <c r="F45" s="523">
        <f t="shared" si="19"/>
        <v>22008372.467156295</v>
      </c>
      <c r="G45" s="524">
        <f t="shared" si="20"/>
        <v>4059009.2983520394</v>
      </c>
      <c r="H45" s="491">
        <f t="shared" si="21"/>
        <v>4059009.2983520394</v>
      </c>
      <c r="I45" s="511">
        <f t="shared" si="9"/>
        <v>0</v>
      </c>
      <c r="J45" s="511"/>
      <c r="K45" s="525"/>
      <c r="L45" s="514">
        <f t="shared" si="1"/>
        <v>0</v>
      </c>
      <c r="M45" s="525"/>
      <c r="N45" s="514">
        <f t="shared" si="3"/>
        <v>0</v>
      </c>
      <c r="O45" s="514">
        <f t="shared" si="4"/>
        <v>0</v>
      </c>
      <c r="P45" s="272"/>
    </row>
    <row r="46" spans="2:16">
      <c r="B46" s="195" t="str">
        <f t="shared" si="5"/>
        <v/>
      </c>
      <c r="C46" s="507">
        <f>IF(D11="","-",+C45+1)</f>
        <v>2041</v>
      </c>
      <c r="D46" s="523">
        <f>IF(F45+SUM(E$17:E45)=D$10,F45,D$10-SUM(E$17:E45))</f>
        <v>22008372.467156295</v>
      </c>
      <c r="E46" s="522">
        <f>IF(+I14&lt;F45,I14,D46)</f>
        <v>1347858.8159090912</v>
      </c>
      <c r="F46" s="523">
        <f t="shared" si="19"/>
        <v>20660513.651247203</v>
      </c>
      <c r="G46" s="524">
        <f t="shared" si="20"/>
        <v>3897903.6002118215</v>
      </c>
      <c r="H46" s="491">
        <f t="shared" si="21"/>
        <v>3897903.6002118215</v>
      </c>
      <c r="I46" s="511">
        <f t="shared" si="9"/>
        <v>0</v>
      </c>
      <c r="J46" s="511"/>
      <c r="K46" s="525"/>
      <c r="L46" s="514">
        <f t="shared" si="1"/>
        <v>0</v>
      </c>
      <c r="M46" s="525"/>
      <c r="N46" s="514">
        <f t="shared" si="3"/>
        <v>0</v>
      </c>
      <c r="O46" s="514">
        <f t="shared" si="4"/>
        <v>0</v>
      </c>
      <c r="P46" s="272"/>
    </row>
    <row r="47" spans="2:16">
      <c r="B47" s="195" t="str">
        <f t="shared" si="5"/>
        <v/>
      </c>
      <c r="C47" s="507">
        <f>IF(D11="","-",+C46+1)</f>
        <v>2042</v>
      </c>
      <c r="D47" s="523">
        <f>IF(F46+SUM(E$17:E46)=D$10,F46,D$10-SUM(E$17:E46))</f>
        <v>20660513.651247203</v>
      </c>
      <c r="E47" s="522">
        <f>IF(+I14&lt;F46,I14,D47)</f>
        <v>1347858.8159090912</v>
      </c>
      <c r="F47" s="523">
        <f t="shared" si="19"/>
        <v>19312654.835338112</v>
      </c>
      <c r="G47" s="524">
        <f t="shared" si="20"/>
        <v>3736797.9020716036</v>
      </c>
      <c r="H47" s="491">
        <f t="shared" si="21"/>
        <v>3736797.9020716036</v>
      </c>
      <c r="I47" s="511">
        <f t="shared" si="9"/>
        <v>0</v>
      </c>
      <c r="J47" s="511"/>
      <c r="K47" s="525"/>
      <c r="L47" s="514">
        <f t="shared" si="1"/>
        <v>0</v>
      </c>
      <c r="M47" s="525"/>
      <c r="N47" s="514">
        <f t="shared" si="3"/>
        <v>0</v>
      </c>
      <c r="O47" s="514">
        <f t="shared" si="4"/>
        <v>0</v>
      </c>
      <c r="P47" s="272"/>
    </row>
    <row r="48" spans="2:16">
      <c r="B48" s="195" t="str">
        <f t="shared" si="5"/>
        <v/>
      </c>
      <c r="C48" s="507">
        <f>IF(D11="","-",+C47+1)</f>
        <v>2043</v>
      </c>
      <c r="D48" s="523">
        <f>IF(F47+SUM(E$17:E47)=D$10,F47,D$10-SUM(E$17:E47))</f>
        <v>19312654.835338112</v>
      </c>
      <c r="E48" s="522">
        <f>IF(+I14&lt;F47,I14,D48)</f>
        <v>1347858.8159090912</v>
      </c>
      <c r="F48" s="523">
        <f t="shared" si="19"/>
        <v>17964796.019429021</v>
      </c>
      <c r="G48" s="524">
        <f t="shared" si="20"/>
        <v>3575692.2039313847</v>
      </c>
      <c r="H48" s="491">
        <f t="shared" si="21"/>
        <v>3575692.2039313847</v>
      </c>
      <c r="I48" s="511">
        <f t="shared" si="9"/>
        <v>0</v>
      </c>
      <c r="J48" s="511"/>
      <c r="K48" s="525"/>
      <c r="L48" s="514">
        <f t="shared" si="1"/>
        <v>0</v>
      </c>
      <c r="M48" s="525"/>
      <c r="N48" s="514">
        <f t="shared" si="3"/>
        <v>0</v>
      </c>
      <c r="O48" s="514">
        <f t="shared" si="4"/>
        <v>0</v>
      </c>
      <c r="P48" s="272"/>
    </row>
    <row r="49" spans="2:17">
      <c r="B49" s="195" t="str">
        <f t="shared" si="5"/>
        <v/>
      </c>
      <c r="C49" s="507">
        <f>IF(D11="","-",+C48+1)</f>
        <v>2044</v>
      </c>
      <c r="D49" s="523">
        <f>IF(F48+SUM(E$17:E48)=D$10,F48,D$10-SUM(E$17:E48))</f>
        <v>17964796.019429021</v>
      </c>
      <c r="E49" s="522">
        <f>IF(+I14&lt;F48,I14,D49)</f>
        <v>1347858.8159090912</v>
      </c>
      <c r="F49" s="523">
        <f t="shared" ref="F49:F72" si="22">+D49-E49</f>
        <v>16616937.203519929</v>
      </c>
      <c r="G49" s="524">
        <f t="shared" si="20"/>
        <v>3414586.5057911668</v>
      </c>
      <c r="H49" s="491">
        <f t="shared" si="21"/>
        <v>3414586.5057911668</v>
      </c>
      <c r="I49" s="511">
        <f t="shared" ref="I49:I72" si="23">H49-G49</f>
        <v>0</v>
      </c>
      <c r="J49" s="511"/>
      <c r="K49" s="525"/>
      <c r="L49" s="514">
        <f t="shared" ref="L49:L72" si="24">IF(K49&lt;&gt;0,+G49-K49,0)</f>
        <v>0</v>
      </c>
      <c r="M49" s="525"/>
      <c r="N49" s="514">
        <f t="shared" ref="N49:N72" si="25">IF(M49&lt;&gt;0,+H49-M49,0)</f>
        <v>0</v>
      </c>
      <c r="O49" s="514">
        <f t="shared" ref="O49:O72" si="26">+N49-L49</f>
        <v>0</v>
      </c>
      <c r="P49" s="272"/>
    </row>
    <row r="50" spans="2:17">
      <c r="B50" s="195" t="str">
        <f t="shared" ref="B50:B72" si="27">IF(D50=F49,"","IU")</f>
        <v/>
      </c>
      <c r="C50" s="507">
        <f>IF(D11="","-",+C49+1)</f>
        <v>2045</v>
      </c>
      <c r="D50" s="523">
        <f>IF(F49+SUM(E$17:E49)=D$10,F49,D$10-SUM(E$17:E49))</f>
        <v>16616937.203519929</v>
      </c>
      <c r="E50" s="522">
        <f>IF(+I14&lt;F49,I14,D50)</f>
        <v>1347858.8159090912</v>
      </c>
      <c r="F50" s="523">
        <f t="shared" si="22"/>
        <v>15269078.387610838</v>
      </c>
      <c r="G50" s="524">
        <f t="shared" si="20"/>
        <v>3253480.8076509479</v>
      </c>
      <c r="H50" s="491">
        <f t="shared" si="21"/>
        <v>3253480.8076509479</v>
      </c>
      <c r="I50" s="511">
        <f t="shared" si="23"/>
        <v>0</v>
      </c>
      <c r="J50" s="511"/>
      <c r="K50" s="525"/>
      <c r="L50" s="514">
        <f t="shared" si="24"/>
        <v>0</v>
      </c>
      <c r="M50" s="525"/>
      <c r="N50" s="514">
        <f t="shared" si="25"/>
        <v>0</v>
      </c>
      <c r="O50" s="514">
        <f t="shared" si="26"/>
        <v>0</v>
      </c>
      <c r="P50" s="272"/>
    </row>
    <row r="51" spans="2:17">
      <c r="B51" s="195" t="str">
        <f t="shared" si="27"/>
        <v/>
      </c>
      <c r="C51" s="507">
        <f>IF(D11="","-",+C50+1)</f>
        <v>2046</v>
      </c>
      <c r="D51" s="523">
        <f>IF(F50+SUM(E$17:E50)=D$10,F50,D$10-SUM(E$17:E50))</f>
        <v>15269078.387610838</v>
      </c>
      <c r="E51" s="522">
        <f>IF(+I14&lt;F50,I14,D51)</f>
        <v>1347858.8159090912</v>
      </c>
      <c r="F51" s="523">
        <f t="shared" si="22"/>
        <v>13921219.571701746</v>
      </c>
      <c r="G51" s="524">
        <f t="shared" si="20"/>
        <v>3092375.10951073</v>
      </c>
      <c r="H51" s="491">
        <f t="shared" si="21"/>
        <v>3092375.10951073</v>
      </c>
      <c r="I51" s="511">
        <f t="shared" si="23"/>
        <v>0</v>
      </c>
      <c r="J51" s="511"/>
      <c r="K51" s="525"/>
      <c r="L51" s="514">
        <f t="shared" si="24"/>
        <v>0</v>
      </c>
      <c r="M51" s="525"/>
      <c r="N51" s="514">
        <f t="shared" si="25"/>
        <v>0</v>
      </c>
      <c r="O51" s="514">
        <f t="shared" si="26"/>
        <v>0</v>
      </c>
      <c r="P51" s="272"/>
    </row>
    <row r="52" spans="2:17">
      <c r="B52" s="195" t="str">
        <f t="shared" si="27"/>
        <v/>
      </c>
      <c r="C52" s="507">
        <f>IF(D11="","-",+C51+1)</f>
        <v>2047</v>
      </c>
      <c r="D52" s="523">
        <f>IF(F51+SUM(E$17:E51)=D$10,F51,D$10-SUM(E$17:E51))</f>
        <v>13921219.571701746</v>
      </c>
      <c r="E52" s="522">
        <f>IF(+I14&lt;F51,I14,D52)</f>
        <v>1347858.8159090912</v>
      </c>
      <c r="F52" s="523">
        <f t="shared" si="22"/>
        <v>12573360.755792655</v>
      </c>
      <c r="G52" s="524">
        <f t="shared" si="20"/>
        <v>2931269.4113705116</v>
      </c>
      <c r="H52" s="491">
        <f t="shared" si="21"/>
        <v>2931269.4113705116</v>
      </c>
      <c r="I52" s="511">
        <f t="shared" si="23"/>
        <v>0</v>
      </c>
      <c r="J52" s="511"/>
      <c r="K52" s="525"/>
      <c r="L52" s="514">
        <f t="shared" si="24"/>
        <v>0</v>
      </c>
      <c r="M52" s="525"/>
      <c r="N52" s="514">
        <f t="shared" si="25"/>
        <v>0</v>
      </c>
      <c r="O52" s="514">
        <f t="shared" si="26"/>
        <v>0</v>
      </c>
      <c r="P52" s="272"/>
    </row>
    <row r="53" spans="2:17">
      <c r="B53" s="195" t="str">
        <f t="shared" si="27"/>
        <v/>
      </c>
      <c r="C53" s="507">
        <f>IF(D11="","-",+C52+1)</f>
        <v>2048</v>
      </c>
      <c r="D53" s="523">
        <f>IF(F52+SUM(E$17:E52)=D$10,F52,D$10-SUM(E$17:E52))</f>
        <v>12573360.755792655</v>
      </c>
      <c r="E53" s="522">
        <f>IF(+I14&lt;F52,I14,D53)</f>
        <v>1347858.8159090912</v>
      </c>
      <c r="F53" s="523">
        <f t="shared" si="22"/>
        <v>11225501.939883564</v>
      </c>
      <c r="G53" s="524">
        <f t="shared" si="20"/>
        <v>2770163.7132302932</v>
      </c>
      <c r="H53" s="491">
        <f t="shared" si="21"/>
        <v>2770163.7132302932</v>
      </c>
      <c r="I53" s="511">
        <f t="shared" si="23"/>
        <v>0</v>
      </c>
      <c r="J53" s="511"/>
      <c r="K53" s="525"/>
      <c r="L53" s="514">
        <f t="shared" si="24"/>
        <v>0</v>
      </c>
      <c r="M53" s="525"/>
      <c r="N53" s="514">
        <f t="shared" si="25"/>
        <v>0</v>
      </c>
      <c r="O53" s="514">
        <f t="shared" si="26"/>
        <v>0</v>
      </c>
      <c r="P53" s="272"/>
    </row>
    <row r="54" spans="2:17">
      <c r="B54" s="195" t="str">
        <f t="shared" si="27"/>
        <v/>
      </c>
      <c r="C54" s="507">
        <f>IF(D11="","-",+C53+1)</f>
        <v>2049</v>
      </c>
      <c r="D54" s="523">
        <f>IF(F53+SUM(E$17:E53)=D$10,F53,D$10-SUM(E$17:E53))</f>
        <v>11225501.939883564</v>
      </c>
      <c r="E54" s="522">
        <f>IF(+I14&lt;F53,I14,D54)</f>
        <v>1347858.8159090912</v>
      </c>
      <c r="F54" s="523">
        <f t="shared" si="22"/>
        <v>9877643.1239744723</v>
      </c>
      <c r="G54" s="524">
        <f t="shared" ref="G54:G72" si="28">+I$12*((D54+F54)/2)+E54</f>
        <v>2609058.0150900753</v>
      </c>
      <c r="H54" s="491">
        <f t="shared" ref="H54:H72" si="29">+I$13*((D54+F54)/2)+E54</f>
        <v>2609058.0150900753</v>
      </c>
      <c r="I54" s="511">
        <f t="shared" si="23"/>
        <v>0</v>
      </c>
      <c r="J54" s="511"/>
      <c r="K54" s="525"/>
      <c r="L54" s="514">
        <f t="shared" si="24"/>
        <v>0</v>
      </c>
      <c r="M54" s="525"/>
      <c r="N54" s="514">
        <f t="shared" si="25"/>
        <v>0</v>
      </c>
      <c r="O54" s="514">
        <f t="shared" si="26"/>
        <v>0</v>
      </c>
      <c r="P54" s="272"/>
    </row>
    <row r="55" spans="2:17">
      <c r="B55" s="195" t="str">
        <f t="shared" si="27"/>
        <v/>
      </c>
      <c r="C55" s="507">
        <f>IF(D11="","-",+C54+1)</f>
        <v>2050</v>
      </c>
      <c r="D55" s="523">
        <f>IF(F54+SUM(E$17:E54)=D$10,F54,D$10-SUM(E$17:E54))</f>
        <v>9877643.1239744723</v>
      </c>
      <c r="E55" s="522">
        <f>IF(+I14&lt;F54,I14,D55)</f>
        <v>1347858.8159090912</v>
      </c>
      <c r="F55" s="523">
        <f t="shared" si="22"/>
        <v>8529784.3080653809</v>
      </c>
      <c r="G55" s="524">
        <f t="shared" si="28"/>
        <v>2447952.3169498565</v>
      </c>
      <c r="H55" s="491">
        <f t="shared" si="29"/>
        <v>2447952.3169498565</v>
      </c>
      <c r="I55" s="511">
        <f t="shared" si="23"/>
        <v>0</v>
      </c>
      <c r="J55" s="511"/>
      <c r="K55" s="525"/>
      <c r="L55" s="514">
        <f t="shared" si="24"/>
        <v>0</v>
      </c>
      <c r="M55" s="525"/>
      <c r="N55" s="514">
        <f t="shared" si="25"/>
        <v>0</v>
      </c>
      <c r="O55" s="514">
        <f t="shared" si="26"/>
        <v>0</v>
      </c>
      <c r="P55" s="272"/>
    </row>
    <row r="56" spans="2:17">
      <c r="B56" s="195" t="str">
        <f t="shared" si="27"/>
        <v/>
      </c>
      <c r="C56" s="507">
        <f>IF(D11="","-",+C55+1)</f>
        <v>2051</v>
      </c>
      <c r="D56" s="523">
        <f>IF(F55+SUM(E$17:E55)=D$10,F55,D$10-SUM(E$17:E55))</f>
        <v>8529784.3080653809</v>
      </c>
      <c r="E56" s="522">
        <f>IF(+I14&lt;F55,I14,D56)</f>
        <v>1347858.8159090912</v>
      </c>
      <c r="F56" s="523">
        <f t="shared" si="22"/>
        <v>7181925.4921562895</v>
      </c>
      <c r="G56" s="524">
        <f t="shared" si="28"/>
        <v>2286846.6188096385</v>
      </c>
      <c r="H56" s="491">
        <f t="shared" si="29"/>
        <v>2286846.6188096385</v>
      </c>
      <c r="I56" s="511">
        <f t="shared" si="23"/>
        <v>0</v>
      </c>
      <c r="J56" s="511"/>
      <c r="K56" s="525"/>
      <c r="L56" s="514">
        <f t="shared" si="24"/>
        <v>0</v>
      </c>
      <c r="M56" s="525"/>
      <c r="N56" s="514">
        <f t="shared" si="25"/>
        <v>0</v>
      </c>
      <c r="O56" s="514">
        <f t="shared" si="26"/>
        <v>0</v>
      </c>
      <c r="P56" s="272"/>
    </row>
    <row r="57" spans="2:17">
      <c r="B57" s="195" t="str">
        <f t="shared" si="27"/>
        <v/>
      </c>
      <c r="C57" s="507">
        <f>IF(D11="","-",+C56+1)</f>
        <v>2052</v>
      </c>
      <c r="D57" s="523">
        <f>IF(F56+SUM(E$17:E56)=D$10,F56,D$10-SUM(E$17:E56))</f>
        <v>7181925.4921562895</v>
      </c>
      <c r="E57" s="522">
        <f>IF(+I14&lt;F56,I14,D57)</f>
        <v>1347858.8159090912</v>
      </c>
      <c r="F57" s="523">
        <f t="shared" si="22"/>
        <v>5834066.6762471981</v>
      </c>
      <c r="G57" s="524">
        <f t="shared" si="28"/>
        <v>2125740.9206694202</v>
      </c>
      <c r="H57" s="491">
        <f t="shared" si="29"/>
        <v>2125740.9206694202</v>
      </c>
      <c r="I57" s="511">
        <f t="shared" si="23"/>
        <v>0</v>
      </c>
      <c r="J57" s="511"/>
      <c r="K57" s="525"/>
      <c r="L57" s="514">
        <f t="shared" si="24"/>
        <v>0</v>
      </c>
      <c r="M57" s="525"/>
      <c r="N57" s="514">
        <f t="shared" si="25"/>
        <v>0</v>
      </c>
      <c r="O57" s="514">
        <f t="shared" si="26"/>
        <v>0</v>
      </c>
      <c r="P57" s="272"/>
    </row>
    <row r="58" spans="2:17">
      <c r="B58" s="195" t="str">
        <f t="shared" si="27"/>
        <v/>
      </c>
      <c r="C58" s="507">
        <f>IF(D11="","-",+C57+1)</f>
        <v>2053</v>
      </c>
      <c r="D58" s="523">
        <f>IF(F57+SUM(E$17:E57)=D$10,F57,D$10-SUM(E$17:E57))</f>
        <v>5834066.6762471981</v>
      </c>
      <c r="E58" s="522">
        <f>IF(+I14&lt;F57,I14,D58)</f>
        <v>1347858.8159090912</v>
      </c>
      <c r="F58" s="523">
        <f t="shared" si="22"/>
        <v>4486207.8603381068</v>
      </c>
      <c r="G58" s="524">
        <f t="shared" si="28"/>
        <v>1964635.2225292018</v>
      </c>
      <c r="H58" s="491">
        <f t="shared" si="29"/>
        <v>1964635.2225292018</v>
      </c>
      <c r="I58" s="511">
        <f t="shared" si="23"/>
        <v>0</v>
      </c>
      <c r="J58" s="511"/>
      <c r="K58" s="525"/>
      <c r="L58" s="514">
        <f t="shared" si="24"/>
        <v>0</v>
      </c>
      <c r="M58" s="525"/>
      <c r="N58" s="514">
        <f t="shared" si="25"/>
        <v>0</v>
      </c>
      <c r="O58" s="514">
        <f t="shared" si="26"/>
        <v>0</v>
      </c>
      <c r="P58" s="272"/>
      <c r="Q58" s="183" t="str">
        <f>IF(ROUND(Q57,0)=ROUND(SUM(Q18:Q56),0),"","Error -- check allocations above).")</f>
        <v/>
      </c>
    </row>
    <row r="59" spans="2:17">
      <c r="B59" s="195" t="str">
        <f t="shared" si="27"/>
        <v/>
      </c>
      <c r="C59" s="507">
        <f>IF(D11="","-",+C58+1)</f>
        <v>2054</v>
      </c>
      <c r="D59" s="523">
        <f>IF(F58+SUM(E$17:E58)=D$10,F58,D$10-SUM(E$17:E58))</f>
        <v>4486207.8603381068</v>
      </c>
      <c r="E59" s="522">
        <f>IF(+I14&lt;F58,I14,D59)</f>
        <v>1347858.8159090912</v>
      </c>
      <c r="F59" s="523">
        <f t="shared" si="22"/>
        <v>3138349.0444290154</v>
      </c>
      <c r="G59" s="524">
        <f t="shared" si="28"/>
        <v>1803529.5243889836</v>
      </c>
      <c r="H59" s="491">
        <f t="shared" si="29"/>
        <v>1803529.5243889836</v>
      </c>
      <c r="I59" s="511">
        <f t="shared" si="23"/>
        <v>0</v>
      </c>
      <c r="J59" s="511"/>
      <c r="K59" s="525"/>
      <c r="L59" s="514">
        <f t="shared" si="24"/>
        <v>0</v>
      </c>
      <c r="M59" s="525"/>
      <c r="N59" s="514">
        <f t="shared" si="25"/>
        <v>0</v>
      </c>
      <c r="O59" s="514">
        <f t="shared" si="26"/>
        <v>0</v>
      </c>
      <c r="P59" s="272"/>
    </row>
    <row r="60" spans="2:17">
      <c r="B60" s="195" t="str">
        <f t="shared" si="27"/>
        <v/>
      </c>
      <c r="C60" s="507">
        <f>IF(D11="","-",+C59+1)</f>
        <v>2055</v>
      </c>
      <c r="D60" s="523">
        <f>IF(F59+SUM(E$17:E59)=D$10,F59,D$10-SUM(E$17:E59))</f>
        <v>3138349.0444290154</v>
      </c>
      <c r="E60" s="522">
        <f>IF(+I14&lt;F59,I14,D60)</f>
        <v>1347858.8159090912</v>
      </c>
      <c r="F60" s="523">
        <f t="shared" si="22"/>
        <v>1790490.2285199242</v>
      </c>
      <c r="G60" s="524">
        <f t="shared" si="28"/>
        <v>1642423.8262487652</v>
      </c>
      <c r="H60" s="491">
        <f t="shared" si="29"/>
        <v>1642423.8262487652</v>
      </c>
      <c r="I60" s="511">
        <f t="shared" si="23"/>
        <v>0</v>
      </c>
      <c r="J60" s="511"/>
      <c r="K60" s="525"/>
      <c r="L60" s="514">
        <f t="shared" si="24"/>
        <v>0</v>
      </c>
      <c r="M60" s="525"/>
      <c r="N60" s="514">
        <f t="shared" si="25"/>
        <v>0</v>
      </c>
      <c r="O60" s="514">
        <f t="shared" si="26"/>
        <v>0</v>
      </c>
      <c r="P60" s="272"/>
    </row>
    <row r="61" spans="2:17">
      <c r="B61" s="195" t="str">
        <f t="shared" si="27"/>
        <v/>
      </c>
      <c r="C61" s="507">
        <f>IF(D11="","-",+C60+1)</f>
        <v>2056</v>
      </c>
      <c r="D61" s="523">
        <f>IF(F60+SUM(E$17:E60)=D$10,F60,D$10-SUM(E$17:E60))</f>
        <v>1790490.2285199242</v>
      </c>
      <c r="E61" s="522">
        <f>IF(+I14&lt;F60,I14,D61)</f>
        <v>1347858.8159090912</v>
      </c>
      <c r="F61" s="523">
        <f t="shared" si="22"/>
        <v>442631.41261083307</v>
      </c>
      <c r="G61" s="526">
        <f t="shared" si="28"/>
        <v>1481318.1281085471</v>
      </c>
      <c r="H61" s="491">
        <f t="shared" si="29"/>
        <v>1481318.1281085471</v>
      </c>
      <c r="I61" s="511">
        <f t="shared" si="23"/>
        <v>0</v>
      </c>
      <c r="J61" s="511"/>
      <c r="K61" s="525"/>
      <c r="L61" s="514">
        <f t="shared" si="24"/>
        <v>0</v>
      </c>
      <c r="M61" s="525"/>
      <c r="N61" s="514">
        <f t="shared" si="25"/>
        <v>0</v>
      </c>
      <c r="O61" s="514">
        <f t="shared" si="26"/>
        <v>0</v>
      </c>
      <c r="P61" s="272"/>
    </row>
    <row r="62" spans="2:17">
      <c r="B62" s="195" t="str">
        <f t="shared" si="27"/>
        <v/>
      </c>
      <c r="C62" s="507">
        <f>IF(D11="","-",+C61+1)</f>
        <v>2057</v>
      </c>
      <c r="D62" s="523">
        <f>IF(F61+SUM(E$17:E61)=D$10,F61,D$10-SUM(E$17:E61))</f>
        <v>442631.41261083307</v>
      </c>
      <c r="E62" s="522">
        <f>IF(+I14&lt;F61,I14,D62)</f>
        <v>442631.41261083307</v>
      </c>
      <c r="F62" s="523">
        <f t="shared" si="22"/>
        <v>0</v>
      </c>
      <c r="G62" s="526">
        <f t="shared" si="28"/>
        <v>469084.64417550643</v>
      </c>
      <c r="H62" s="491">
        <f t="shared" si="29"/>
        <v>469084.64417550643</v>
      </c>
      <c r="I62" s="511">
        <f t="shared" si="23"/>
        <v>0</v>
      </c>
      <c r="J62" s="511"/>
      <c r="K62" s="525"/>
      <c r="L62" s="514">
        <f t="shared" si="24"/>
        <v>0</v>
      </c>
      <c r="M62" s="525"/>
      <c r="N62" s="514">
        <f t="shared" si="25"/>
        <v>0</v>
      </c>
      <c r="O62" s="514">
        <f t="shared" si="26"/>
        <v>0</v>
      </c>
      <c r="P62" s="272"/>
    </row>
    <row r="63" spans="2:17">
      <c r="B63" s="195" t="str">
        <f t="shared" si="27"/>
        <v/>
      </c>
      <c r="C63" s="507">
        <f>IF(D11="","-",+C62+1)</f>
        <v>2058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22"/>
        <v>0</v>
      </c>
      <c r="G63" s="526">
        <f t="shared" si="28"/>
        <v>0</v>
      </c>
      <c r="H63" s="491">
        <f t="shared" si="29"/>
        <v>0</v>
      </c>
      <c r="I63" s="511">
        <f t="shared" si="23"/>
        <v>0</v>
      </c>
      <c r="J63" s="511"/>
      <c r="K63" s="525"/>
      <c r="L63" s="514">
        <f t="shared" si="24"/>
        <v>0</v>
      </c>
      <c r="M63" s="525"/>
      <c r="N63" s="514">
        <f t="shared" si="25"/>
        <v>0</v>
      </c>
      <c r="O63" s="514">
        <f t="shared" si="26"/>
        <v>0</v>
      </c>
      <c r="P63" s="272"/>
    </row>
    <row r="64" spans="2:17">
      <c r="B64" s="195" t="str">
        <f t="shared" si="27"/>
        <v/>
      </c>
      <c r="C64" s="507">
        <f>IF(D11="","-",+C63+1)</f>
        <v>2059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22"/>
        <v>0</v>
      </c>
      <c r="G64" s="526">
        <f t="shared" si="28"/>
        <v>0</v>
      </c>
      <c r="H64" s="491">
        <f t="shared" si="29"/>
        <v>0</v>
      </c>
      <c r="I64" s="511">
        <f t="shared" si="23"/>
        <v>0</v>
      </c>
      <c r="J64" s="511"/>
      <c r="K64" s="525"/>
      <c r="L64" s="514">
        <f t="shared" si="24"/>
        <v>0</v>
      </c>
      <c r="M64" s="525"/>
      <c r="N64" s="514">
        <f t="shared" si="25"/>
        <v>0</v>
      </c>
      <c r="O64" s="514">
        <f t="shared" si="26"/>
        <v>0</v>
      </c>
      <c r="P64" s="272"/>
    </row>
    <row r="65" spans="1:16">
      <c r="B65" s="195" t="str">
        <f t="shared" si="27"/>
        <v/>
      </c>
      <c r="C65" s="507">
        <f>IF(D11="","-",+C64+1)</f>
        <v>2060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22"/>
        <v>0</v>
      </c>
      <c r="G65" s="526">
        <f t="shared" si="28"/>
        <v>0</v>
      </c>
      <c r="H65" s="491">
        <f t="shared" si="29"/>
        <v>0</v>
      </c>
      <c r="I65" s="511">
        <f t="shared" si="23"/>
        <v>0</v>
      </c>
      <c r="J65" s="511"/>
      <c r="K65" s="525"/>
      <c r="L65" s="514">
        <f t="shared" si="24"/>
        <v>0</v>
      </c>
      <c r="M65" s="525"/>
      <c r="N65" s="514">
        <f t="shared" si="25"/>
        <v>0</v>
      </c>
      <c r="O65" s="514">
        <f t="shared" si="26"/>
        <v>0</v>
      </c>
      <c r="P65" s="272"/>
    </row>
    <row r="66" spans="1:16">
      <c r="B66" s="195" t="str">
        <f t="shared" si="27"/>
        <v/>
      </c>
      <c r="C66" s="507">
        <f>IF(D11="","-",+C65+1)</f>
        <v>2061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22"/>
        <v>0</v>
      </c>
      <c r="G66" s="526">
        <f t="shared" si="28"/>
        <v>0</v>
      </c>
      <c r="H66" s="491">
        <f t="shared" si="29"/>
        <v>0</v>
      </c>
      <c r="I66" s="511">
        <f t="shared" si="23"/>
        <v>0</v>
      </c>
      <c r="J66" s="511"/>
      <c r="K66" s="525"/>
      <c r="L66" s="514">
        <f t="shared" si="24"/>
        <v>0</v>
      </c>
      <c r="M66" s="525"/>
      <c r="N66" s="514">
        <f t="shared" si="25"/>
        <v>0</v>
      </c>
      <c r="O66" s="514">
        <f t="shared" si="26"/>
        <v>0</v>
      </c>
      <c r="P66" s="272"/>
    </row>
    <row r="67" spans="1:16">
      <c r="B67" s="195" t="str">
        <f t="shared" si="27"/>
        <v/>
      </c>
      <c r="C67" s="507">
        <f>IF(D11="","-",+C66+1)</f>
        <v>2062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22"/>
        <v>0</v>
      </c>
      <c r="G67" s="526">
        <f t="shared" si="28"/>
        <v>0</v>
      </c>
      <c r="H67" s="491">
        <f t="shared" si="29"/>
        <v>0</v>
      </c>
      <c r="I67" s="511">
        <f t="shared" si="23"/>
        <v>0</v>
      </c>
      <c r="J67" s="511"/>
      <c r="K67" s="525"/>
      <c r="L67" s="514">
        <f t="shared" si="24"/>
        <v>0</v>
      </c>
      <c r="M67" s="525"/>
      <c r="N67" s="514">
        <f t="shared" si="25"/>
        <v>0</v>
      </c>
      <c r="O67" s="514">
        <f t="shared" si="26"/>
        <v>0</v>
      </c>
      <c r="P67" s="272"/>
    </row>
    <row r="68" spans="1:16">
      <c r="B68" s="195" t="str">
        <f t="shared" si="27"/>
        <v/>
      </c>
      <c r="C68" s="507">
        <f>IF(D11="","-",+C67+1)</f>
        <v>2063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22"/>
        <v>0</v>
      </c>
      <c r="G68" s="526">
        <f t="shared" si="28"/>
        <v>0</v>
      </c>
      <c r="H68" s="491">
        <f t="shared" si="29"/>
        <v>0</v>
      </c>
      <c r="I68" s="511">
        <f t="shared" si="23"/>
        <v>0</v>
      </c>
      <c r="J68" s="511"/>
      <c r="K68" s="525"/>
      <c r="L68" s="514">
        <f t="shared" si="24"/>
        <v>0</v>
      </c>
      <c r="M68" s="525"/>
      <c r="N68" s="514">
        <f t="shared" si="25"/>
        <v>0</v>
      </c>
      <c r="O68" s="514">
        <f t="shared" si="26"/>
        <v>0</v>
      </c>
      <c r="P68" s="272"/>
    </row>
    <row r="69" spans="1:16">
      <c r="B69" s="195" t="str">
        <f t="shared" si="27"/>
        <v/>
      </c>
      <c r="C69" s="507">
        <f>IF(D11="","-",+C68+1)</f>
        <v>2064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22"/>
        <v>0</v>
      </c>
      <c r="G69" s="526">
        <f t="shared" si="28"/>
        <v>0</v>
      </c>
      <c r="H69" s="491">
        <f t="shared" si="29"/>
        <v>0</v>
      </c>
      <c r="I69" s="511">
        <f t="shared" si="23"/>
        <v>0</v>
      </c>
      <c r="J69" s="511"/>
      <c r="K69" s="525"/>
      <c r="L69" s="514">
        <f t="shared" si="24"/>
        <v>0</v>
      </c>
      <c r="M69" s="525"/>
      <c r="N69" s="514">
        <f t="shared" si="25"/>
        <v>0</v>
      </c>
      <c r="O69" s="514">
        <f t="shared" si="26"/>
        <v>0</v>
      </c>
      <c r="P69" s="272"/>
    </row>
    <row r="70" spans="1:16">
      <c r="B70" s="195" t="str">
        <f t="shared" si="27"/>
        <v/>
      </c>
      <c r="C70" s="507">
        <f>IF(D11="","-",+C69+1)</f>
        <v>2065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22"/>
        <v>0</v>
      </c>
      <c r="G70" s="526">
        <f t="shared" si="28"/>
        <v>0</v>
      </c>
      <c r="H70" s="491">
        <f t="shared" si="29"/>
        <v>0</v>
      </c>
      <c r="I70" s="511">
        <f t="shared" si="23"/>
        <v>0</v>
      </c>
      <c r="J70" s="511"/>
      <c r="K70" s="525"/>
      <c r="L70" s="514">
        <f t="shared" si="24"/>
        <v>0</v>
      </c>
      <c r="M70" s="525"/>
      <c r="N70" s="514">
        <f t="shared" si="25"/>
        <v>0</v>
      </c>
      <c r="O70" s="514">
        <f t="shared" si="26"/>
        <v>0</v>
      </c>
      <c r="P70" s="272"/>
    </row>
    <row r="71" spans="1:16">
      <c r="B71" s="195" t="str">
        <f t="shared" si="27"/>
        <v/>
      </c>
      <c r="C71" s="507">
        <f>IF(D11="","-",+C70+1)</f>
        <v>2066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22"/>
        <v>0</v>
      </c>
      <c r="G71" s="526">
        <f t="shared" si="28"/>
        <v>0</v>
      </c>
      <c r="H71" s="491">
        <f t="shared" si="29"/>
        <v>0</v>
      </c>
      <c r="I71" s="511">
        <f t="shared" si="23"/>
        <v>0</v>
      </c>
      <c r="J71" s="511"/>
      <c r="K71" s="525"/>
      <c r="L71" s="514">
        <f t="shared" si="24"/>
        <v>0</v>
      </c>
      <c r="M71" s="525"/>
      <c r="N71" s="514">
        <f t="shared" si="25"/>
        <v>0</v>
      </c>
      <c r="O71" s="514">
        <f t="shared" si="26"/>
        <v>0</v>
      </c>
      <c r="P71" s="272"/>
    </row>
    <row r="72" spans="1:16" ht="13.5" thickBot="1">
      <c r="B72" s="195" t="str">
        <f t="shared" si="27"/>
        <v/>
      </c>
      <c r="C72" s="527">
        <f>IF(D11="","-",+C71+1)</f>
        <v>2067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22"/>
        <v>0</v>
      </c>
      <c r="G72" s="530">
        <f t="shared" si="28"/>
        <v>0</v>
      </c>
      <c r="H72" s="471">
        <f t="shared" si="29"/>
        <v>0</v>
      </c>
      <c r="I72" s="531">
        <f t="shared" si="23"/>
        <v>0</v>
      </c>
      <c r="J72" s="511"/>
      <c r="K72" s="532"/>
      <c r="L72" s="533">
        <f t="shared" si="24"/>
        <v>0</v>
      </c>
      <c r="M72" s="532"/>
      <c r="N72" s="533">
        <f t="shared" si="25"/>
        <v>0</v>
      </c>
      <c r="O72" s="533">
        <f t="shared" si="26"/>
        <v>0</v>
      </c>
      <c r="P72" s="272"/>
    </row>
    <row r="73" spans="1:16">
      <c r="C73" s="374" t="s">
        <v>78</v>
      </c>
      <c r="D73" s="375"/>
      <c r="E73" s="375">
        <f>SUM(E17:E72)</f>
        <v>59305787.899999969</v>
      </c>
      <c r="F73" s="375"/>
      <c r="G73" s="375">
        <f>SUM(G17:G72)</f>
        <v>213622000.46558639</v>
      </c>
      <c r="H73" s="375">
        <f>SUM(H17:H72)</f>
        <v>213622000.46558639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1:16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1:16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1:16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1:16" ht="18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535"/>
      <c r="P77" s="272"/>
    </row>
    <row r="78" spans="1:16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1:16" ht="15">
      <c r="A79" s="536"/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</row>
    <row r="80" spans="1:16" ht="18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7">
      <c r="B81" s="269"/>
      <c r="C81" s="537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7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  <c r="Q82" s="269"/>
    </row>
    <row r="83" spans="1:17" ht="20.25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535" t="str">
        <f ca="1">P1</f>
        <v>SWEPCO Project 33 of 75</v>
      </c>
      <c r="Q83" s="269"/>
    </row>
    <row r="84" spans="1:17" ht="18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454" t="s">
        <v>128</v>
      </c>
      <c r="Q84" s="269"/>
    </row>
    <row r="85" spans="1:17" ht="18.7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  <c r="Q85" s="269"/>
    </row>
    <row r="86" spans="1:17" ht="15.75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2022</v>
      </c>
      <c r="M86" s="541" t="s">
        <v>9</v>
      </c>
      <c r="N86" s="542" t="s">
        <v>159</v>
      </c>
      <c r="O86" s="543" t="s">
        <v>11</v>
      </c>
      <c r="P86" s="269"/>
      <c r="Q86" s="269"/>
    </row>
    <row r="87" spans="1:17" ht="1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391</v>
      </c>
      <c r="M87" s="546">
        <f>IF(J92&lt;D11,0,VLOOKUP(J92,C17:O72,9))</f>
        <v>6701416.9696712773</v>
      </c>
      <c r="N87" s="546">
        <f>IF(J92&lt;D11,0,VLOOKUP(J92,C17:O72,11))</f>
        <v>6701416.9696712773</v>
      </c>
      <c r="O87" s="547">
        <f>+N87-M87</f>
        <v>0</v>
      </c>
      <c r="P87" s="269"/>
      <c r="Q87" s="269"/>
    </row>
    <row r="88" spans="1:17" ht="15.7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392</v>
      </c>
      <c r="M88" s="550">
        <f>IF(J92&lt;D11,0,VLOOKUP(J92,C99:P154,6))</f>
        <v>6947788.241485199</v>
      </c>
      <c r="N88" s="550">
        <f>IF(J92&lt;D11,0,VLOOKUP(J92,C99:P154,7))</f>
        <v>6947788.241485199</v>
      </c>
      <c r="O88" s="551">
        <f>+N88-M88</f>
        <v>0</v>
      </c>
      <c r="P88" s="269"/>
      <c r="Q88" s="269"/>
    </row>
    <row r="89" spans="1:17" ht="13.5" thickBot="1">
      <c r="C89" s="467" t="s">
        <v>84</v>
      </c>
      <c r="D89" s="620" t="str">
        <f>D7</f>
        <v xml:space="preserve"> Flint Creek-Shipe Road 345 kV Line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246371.27181392163</v>
      </c>
      <c r="N89" s="555">
        <f>+N88-N87</f>
        <v>246371.27181392163</v>
      </c>
      <c r="O89" s="556">
        <f>+O88-O87</f>
        <v>0</v>
      </c>
      <c r="P89" s="269"/>
      <c r="Q89" s="269"/>
    </row>
    <row r="90" spans="1:17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  <c r="Q90" s="269"/>
    </row>
    <row r="91" spans="1:17" ht="13.5" thickBot="1">
      <c r="A91" s="191"/>
      <c r="C91" s="558" t="s">
        <v>85</v>
      </c>
      <c r="D91" s="559" t="str">
        <f>+D9</f>
        <v>TP2008126</v>
      </c>
      <c r="E91" s="560"/>
      <c r="F91" s="560"/>
      <c r="G91" s="560"/>
      <c r="H91" s="560"/>
      <c r="I91" s="560"/>
      <c r="J91" s="561"/>
      <c r="K91" s="562"/>
      <c r="P91" s="481"/>
      <c r="Q91" s="269"/>
    </row>
    <row r="92" spans="1:17">
      <c r="C92" s="486" t="s">
        <v>51</v>
      </c>
      <c r="D92" s="483">
        <v>59305788</v>
      </c>
      <c r="E92" s="340" t="s">
        <v>86</v>
      </c>
      <c r="H92" s="484"/>
      <c r="I92" s="484"/>
      <c r="J92" s="485">
        <f>+'SWE.WS.G.BPU.ATRR.True-up'!M16</f>
        <v>2022</v>
      </c>
      <c r="K92" s="480"/>
      <c r="L92" s="375" t="s">
        <v>87</v>
      </c>
      <c r="P92" s="272"/>
      <c r="Q92" s="269"/>
    </row>
    <row r="93" spans="1:17">
      <c r="C93" s="486" t="s">
        <v>54</v>
      </c>
      <c r="D93" s="563">
        <f>IF(D11=I10,"",D11)</f>
        <v>2012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  <c r="Q93" s="269"/>
    </row>
    <row r="94" spans="1:17">
      <c r="C94" s="486" t="s">
        <v>56</v>
      </c>
      <c r="D94" s="564">
        <f>IF(D11=I10,"",D12)</f>
        <v>4</v>
      </c>
      <c r="E94" s="486" t="s">
        <v>57</v>
      </c>
      <c r="F94" s="484"/>
      <c r="G94" s="484"/>
      <c r="J94" s="490">
        <f>'SWE.WS.G.BPU.ATRR.True-up'!$F$81</f>
        <v>0.11351422637179906</v>
      </c>
      <c r="K94" s="425"/>
      <c r="L94" s="183" t="s">
        <v>88</v>
      </c>
      <c r="P94" s="272"/>
      <c r="Q94" s="269"/>
    </row>
    <row r="95" spans="1:17">
      <c r="C95" s="486" t="s">
        <v>59</v>
      </c>
      <c r="D95" s="488">
        <f>'SWE.WS.G.BPU.ATRR.True-up'!F$93</f>
        <v>41</v>
      </c>
      <c r="E95" s="486" t="s">
        <v>60</v>
      </c>
      <c r="F95" s="484"/>
      <c r="G95" s="484"/>
      <c r="J95" s="490">
        <f>IF(H87="",J94,'SWE.WS.G.BPU.ATRR.True-up'!$F$80)</f>
        <v>0.11351422637179906</v>
      </c>
      <c r="K95" s="324"/>
      <c r="L95" s="375" t="s">
        <v>61</v>
      </c>
      <c r="M95" s="324"/>
      <c r="N95" s="324"/>
      <c r="O95" s="324"/>
      <c r="P95" s="272"/>
      <c r="Q95" s="269"/>
    </row>
    <row r="96" spans="1:17" ht="13.5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1446482.6341463414</v>
      </c>
      <c r="K96" s="375"/>
      <c r="L96" s="375"/>
      <c r="M96" s="375"/>
      <c r="N96" s="375"/>
      <c r="O96" s="375"/>
      <c r="P96" s="272"/>
      <c r="Q96" s="269"/>
    </row>
    <row r="97" spans="1:17" ht="38.25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388</v>
      </c>
      <c r="I97" s="495" t="s">
        <v>389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  <c r="Q97" s="269"/>
    </row>
    <row r="98" spans="1:17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  <c r="Q98" s="269"/>
    </row>
    <row r="99" spans="1:17">
      <c r="C99" s="507">
        <f>IF(D93= "","-",D93)</f>
        <v>2012</v>
      </c>
      <c r="D99" s="508">
        <v>0</v>
      </c>
      <c r="E99" s="516">
        <v>48831.630952380954</v>
      </c>
      <c r="F99" s="515">
        <v>4053025.3690476189</v>
      </c>
      <c r="G99" s="574">
        <v>2026512.6845238095</v>
      </c>
      <c r="H99" s="575">
        <v>347040.94031483348</v>
      </c>
      <c r="I99" s="576">
        <v>347040.94031483348</v>
      </c>
      <c r="J99" s="613">
        <f t="shared" ref="J99:J130" si="30">+I99-H99</f>
        <v>0</v>
      </c>
      <c r="K99" s="514"/>
      <c r="L99" s="512">
        <f t="shared" ref="L99:L104" si="31">H99</f>
        <v>347040.94031483348</v>
      </c>
      <c r="M99" s="597">
        <f t="shared" ref="M99:M130" si="32">IF(L99&lt;&gt;0,+H99-L99,0)</f>
        <v>0</v>
      </c>
      <c r="N99" s="512">
        <f t="shared" ref="N99:N104" si="33">I99</f>
        <v>347040.94031483348</v>
      </c>
      <c r="O99" s="513">
        <f t="shared" ref="O99:O130" si="34">IF(N99&lt;&gt;0,+I99-N99,0)</f>
        <v>0</v>
      </c>
      <c r="P99" s="513">
        <f t="shared" ref="P99:P130" si="35">+O99-M99</f>
        <v>0</v>
      </c>
      <c r="Q99" s="269"/>
    </row>
    <row r="100" spans="1:17">
      <c r="B100" s="195" t="str">
        <f t="shared" ref="B100:B131" si="36">IF(D100=F99,"","IU")</f>
        <v>IU</v>
      </c>
      <c r="C100" s="507">
        <f>IF(D93="","-",+C99+1)</f>
        <v>2013</v>
      </c>
      <c r="D100" s="508">
        <v>8932602.3690476194</v>
      </c>
      <c r="E100" s="516">
        <v>213843.66666666666</v>
      </c>
      <c r="F100" s="515">
        <v>8718758.7023809534</v>
      </c>
      <c r="G100" s="515">
        <v>8825680.5357142873</v>
      </c>
      <c r="H100" s="575">
        <v>1407885.0103828101</v>
      </c>
      <c r="I100" s="576">
        <v>1407885.0103828101</v>
      </c>
      <c r="J100" s="613">
        <v>0</v>
      </c>
      <c r="K100" s="514"/>
      <c r="L100" s="518">
        <f t="shared" si="31"/>
        <v>1407885.0103828101</v>
      </c>
      <c r="M100" s="519">
        <f t="shared" ref="M100:M105" si="37">IF(L100&lt;&gt;0,+H100-L100,0)</f>
        <v>0</v>
      </c>
      <c r="N100" s="518">
        <f t="shared" si="33"/>
        <v>1407885.0103828101</v>
      </c>
      <c r="O100" s="514">
        <f>IF(N100&lt;&gt;0,+I100-N100,0)</f>
        <v>0</v>
      </c>
      <c r="P100" s="514">
        <f>+O100-M100</f>
        <v>0</v>
      </c>
      <c r="Q100" s="269"/>
    </row>
    <row r="101" spans="1:17">
      <c r="B101" s="195" t="str">
        <f t="shared" si="36"/>
        <v>IU</v>
      </c>
      <c r="C101" s="507">
        <f>IF(D93="","-",+C100+1)</f>
        <v>2014</v>
      </c>
      <c r="D101" s="508">
        <v>57803227.702380955</v>
      </c>
      <c r="E101" s="516">
        <v>1382521.5</v>
      </c>
      <c r="F101" s="515">
        <v>56420706.202380955</v>
      </c>
      <c r="G101" s="515">
        <v>57111966.952380955</v>
      </c>
      <c r="H101" s="575">
        <v>9145377.6421220824</v>
      </c>
      <c r="I101" s="576">
        <v>9145377.6421220824</v>
      </c>
      <c r="J101" s="514">
        <v>0</v>
      </c>
      <c r="K101" s="514"/>
      <c r="L101" s="518">
        <f t="shared" si="31"/>
        <v>9145377.6421220824</v>
      </c>
      <c r="M101" s="519">
        <f t="shared" si="37"/>
        <v>0</v>
      </c>
      <c r="N101" s="518">
        <f t="shared" si="33"/>
        <v>9145377.6421220824</v>
      </c>
      <c r="O101" s="514">
        <f>IF(N101&lt;&gt;0,+I101-N101,0)</f>
        <v>0</v>
      </c>
      <c r="P101" s="514">
        <f>+O101-M101</f>
        <v>0</v>
      </c>
      <c r="Q101" s="269"/>
    </row>
    <row r="102" spans="1:17">
      <c r="B102" s="195" t="str">
        <f t="shared" si="36"/>
        <v>IU</v>
      </c>
      <c r="C102" s="507">
        <f>IF(D93="","-",+C101+1)</f>
        <v>2015</v>
      </c>
      <c r="D102" s="508">
        <v>56479124.932380959</v>
      </c>
      <c r="E102" s="516">
        <v>1383912.4221428572</v>
      </c>
      <c r="F102" s="515">
        <v>55095212.510238104</v>
      </c>
      <c r="G102" s="515">
        <v>55787168.721309528</v>
      </c>
      <c r="H102" s="575">
        <v>8734925.0443726294</v>
      </c>
      <c r="I102" s="576">
        <v>8734925.0443726294</v>
      </c>
      <c r="J102" s="514">
        <f t="shared" si="30"/>
        <v>0</v>
      </c>
      <c r="K102" s="514"/>
      <c r="L102" s="518">
        <f t="shared" si="31"/>
        <v>8734925.0443726294</v>
      </c>
      <c r="M102" s="519">
        <f t="shared" si="37"/>
        <v>0</v>
      </c>
      <c r="N102" s="518">
        <f t="shared" si="33"/>
        <v>8734925.0443726294</v>
      </c>
      <c r="O102" s="514">
        <f>IF(N102&lt;&gt;0,+I102-N102,0)</f>
        <v>0</v>
      </c>
      <c r="P102" s="514">
        <f>+O102-M102</f>
        <v>0</v>
      </c>
      <c r="Q102" s="269"/>
    </row>
    <row r="103" spans="1:17">
      <c r="B103" s="195" t="str">
        <f t="shared" si="36"/>
        <v>IU</v>
      </c>
      <c r="C103" s="507">
        <f>IF(D93="","-",+C102+1)</f>
        <v>2016</v>
      </c>
      <c r="D103" s="508">
        <v>56276678.780238092</v>
      </c>
      <c r="E103" s="516">
        <v>1379204.3720930233</v>
      </c>
      <c r="F103" s="515">
        <v>54897474.40814507</v>
      </c>
      <c r="G103" s="515">
        <v>55587076.594191581</v>
      </c>
      <c r="H103" s="575">
        <v>8435983.0947099216</v>
      </c>
      <c r="I103" s="576">
        <v>8435983.0947099216</v>
      </c>
      <c r="J103" s="514">
        <f t="shared" si="30"/>
        <v>0</v>
      </c>
      <c r="K103" s="514"/>
      <c r="L103" s="518">
        <f t="shared" si="31"/>
        <v>8435983.0947099216</v>
      </c>
      <c r="M103" s="519">
        <f t="shared" si="37"/>
        <v>0</v>
      </c>
      <c r="N103" s="518">
        <f t="shared" si="33"/>
        <v>8435983.0947099216</v>
      </c>
      <c r="O103" s="514">
        <f>IF(N103&lt;&gt;0,+I103-N103,0)</f>
        <v>0</v>
      </c>
      <c r="P103" s="514">
        <f>+O103-M103</f>
        <v>0</v>
      </c>
      <c r="Q103" s="269"/>
    </row>
    <row r="104" spans="1:17">
      <c r="B104" s="195" t="str">
        <f t="shared" si="36"/>
        <v/>
      </c>
      <c r="C104" s="507">
        <f>IF(D93="","-",+C103+1)</f>
        <v>2017</v>
      </c>
      <c r="D104" s="508">
        <v>54897474.40814507</v>
      </c>
      <c r="E104" s="516">
        <v>1412042.5714285714</v>
      </c>
      <c r="F104" s="515">
        <v>53485431.836716495</v>
      </c>
      <c r="G104" s="515">
        <v>54191453.122430786</v>
      </c>
      <c r="H104" s="575">
        <v>7994757.3762234207</v>
      </c>
      <c r="I104" s="576">
        <v>7994757.3762234207</v>
      </c>
      <c r="J104" s="514">
        <f t="shared" si="30"/>
        <v>0</v>
      </c>
      <c r="K104" s="514"/>
      <c r="L104" s="518">
        <f t="shared" si="31"/>
        <v>7994757.3762234207</v>
      </c>
      <c r="M104" s="519">
        <f t="shared" si="37"/>
        <v>0</v>
      </c>
      <c r="N104" s="518">
        <f t="shared" si="33"/>
        <v>7994757.3762234207</v>
      </c>
      <c r="O104" s="514">
        <f>IF(N104&lt;&gt;0,+I104-N104,0)</f>
        <v>0</v>
      </c>
      <c r="P104" s="514">
        <f>+O104-M104</f>
        <v>0</v>
      </c>
      <c r="Q104" s="269"/>
    </row>
    <row r="105" spans="1:17">
      <c r="B105" s="195" t="str">
        <f t="shared" si="36"/>
        <v/>
      </c>
      <c r="C105" s="507">
        <f>IF(D93="","-",+C104+1)</f>
        <v>2018</v>
      </c>
      <c r="D105" s="508">
        <v>53485431.836716495</v>
      </c>
      <c r="E105" s="516">
        <v>1412042.5714285714</v>
      </c>
      <c r="F105" s="515">
        <v>52073389.265287921</v>
      </c>
      <c r="G105" s="515">
        <v>52779410.551002204</v>
      </c>
      <c r="H105" s="575">
        <v>6985790.362479778</v>
      </c>
      <c r="I105" s="576">
        <v>6985790.362479778</v>
      </c>
      <c r="J105" s="514">
        <f t="shared" si="30"/>
        <v>0</v>
      </c>
      <c r="K105" s="514"/>
      <c r="L105" s="518">
        <f t="shared" ref="L105" si="38">H105</f>
        <v>6985790.362479778</v>
      </c>
      <c r="M105" s="519">
        <f t="shared" si="37"/>
        <v>0</v>
      </c>
      <c r="N105" s="518">
        <f t="shared" ref="N105" si="39">I105</f>
        <v>6985790.362479778</v>
      </c>
      <c r="O105" s="514">
        <f t="shared" si="34"/>
        <v>0</v>
      </c>
      <c r="P105" s="514">
        <f t="shared" si="35"/>
        <v>0</v>
      </c>
      <c r="Q105" s="269"/>
    </row>
    <row r="106" spans="1:17">
      <c r="B106" s="195" t="str">
        <f t="shared" si="36"/>
        <v/>
      </c>
      <c r="C106" s="507">
        <f>IF(D93="","-",+C105+1)</f>
        <v>2019</v>
      </c>
      <c r="D106" s="508">
        <v>52073389.265287921</v>
      </c>
      <c r="E106" s="516">
        <v>1379204.3720930233</v>
      </c>
      <c r="F106" s="515">
        <v>50694184.893194899</v>
      </c>
      <c r="G106" s="515">
        <v>51383787.07924141</v>
      </c>
      <c r="H106" s="575">
        <v>6879353.0244559515</v>
      </c>
      <c r="I106" s="576">
        <v>6879353.0244559515</v>
      </c>
      <c r="J106" s="514">
        <f t="shared" si="30"/>
        <v>0</v>
      </c>
      <c r="K106" s="514"/>
      <c r="L106" s="518">
        <f t="shared" ref="L106:L107" si="40">H106</f>
        <v>6879353.0244559515</v>
      </c>
      <c r="M106" s="519">
        <f t="shared" ref="M106:M107" si="41">IF(L106&lt;&gt;0,+H106-L106,0)</f>
        <v>0</v>
      </c>
      <c r="N106" s="518">
        <f t="shared" ref="N106:N107" si="42">I106</f>
        <v>6879353.0244559515</v>
      </c>
      <c r="O106" s="514">
        <f t="shared" si="34"/>
        <v>0</v>
      </c>
      <c r="P106" s="514">
        <f t="shared" si="35"/>
        <v>0</v>
      </c>
      <c r="Q106" s="269"/>
    </row>
    <row r="107" spans="1:17">
      <c r="B107" s="195" t="str">
        <f t="shared" si="36"/>
        <v/>
      </c>
      <c r="C107" s="507">
        <f>IF(D93="","-",+C106+1)</f>
        <v>2020</v>
      </c>
      <c r="D107" s="508">
        <v>50694184.893194899</v>
      </c>
      <c r="E107" s="516">
        <v>1412042.5714285714</v>
      </c>
      <c r="F107" s="515">
        <v>49282142.321766324</v>
      </c>
      <c r="G107" s="515">
        <v>49988163.607480615</v>
      </c>
      <c r="H107" s="575">
        <v>6789460.9103591554</v>
      </c>
      <c r="I107" s="576">
        <v>6789460.9103591554</v>
      </c>
      <c r="J107" s="514">
        <f t="shared" si="30"/>
        <v>0</v>
      </c>
      <c r="K107" s="514"/>
      <c r="L107" s="518">
        <f t="shared" si="40"/>
        <v>6789460.9103591554</v>
      </c>
      <c r="M107" s="519">
        <f t="shared" si="41"/>
        <v>0</v>
      </c>
      <c r="N107" s="518">
        <f t="shared" si="42"/>
        <v>6789460.9103591554</v>
      </c>
      <c r="O107" s="514">
        <f t="shared" si="34"/>
        <v>0</v>
      </c>
      <c r="P107" s="514">
        <f t="shared" si="35"/>
        <v>0</v>
      </c>
      <c r="Q107" s="269"/>
    </row>
    <row r="108" spans="1:17">
      <c r="B108" s="195" t="str">
        <f t="shared" si="36"/>
        <v/>
      </c>
      <c r="C108" s="507">
        <f>IF(D93="","-",+C107+1)</f>
        <v>2021</v>
      </c>
      <c r="D108" s="508">
        <v>49282142.321766324</v>
      </c>
      <c r="E108" s="516">
        <v>1446482.6341463414</v>
      </c>
      <c r="F108" s="515">
        <v>47835659.687619984</v>
      </c>
      <c r="G108" s="515">
        <v>48558901.004693151</v>
      </c>
      <c r="H108" s="575">
        <v>6958608.7151588602</v>
      </c>
      <c r="I108" s="576">
        <v>6958608.7151588602</v>
      </c>
      <c r="J108" s="514">
        <f t="shared" si="30"/>
        <v>0</v>
      </c>
      <c r="K108" s="514"/>
      <c r="L108" s="518">
        <f t="shared" ref="L108" si="43">H108</f>
        <v>6958608.7151588602</v>
      </c>
      <c r="M108" s="519">
        <f t="shared" ref="M108" si="44">IF(L108&lt;&gt;0,+H108-L108,0)</f>
        <v>0</v>
      </c>
      <c r="N108" s="518">
        <f t="shared" ref="N108" si="45">I108</f>
        <v>6958608.7151588602</v>
      </c>
      <c r="O108" s="514">
        <f t="shared" ref="O108" si="46">IF(N108&lt;&gt;0,+I108-N108,0)</f>
        <v>0</v>
      </c>
      <c r="P108" s="514">
        <f t="shared" ref="P108" si="47">+O108-M108</f>
        <v>0</v>
      </c>
      <c r="Q108" s="269"/>
    </row>
    <row r="109" spans="1:17">
      <c r="B109" s="195" t="str">
        <f t="shared" si="36"/>
        <v/>
      </c>
      <c r="C109" s="673">
        <f>IF(D93="","-",+C108+1)</f>
        <v>2022</v>
      </c>
      <c r="D109" s="374">
        <v>47835659.687619984</v>
      </c>
      <c r="E109" s="522">
        <v>1412042.5714285714</v>
      </c>
      <c r="F109" s="523">
        <v>46423617.11619141</v>
      </c>
      <c r="G109" s="523">
        <v>47129638.401905701</v>
      </c>
      <c r="H109" s="526">
        <v>6947788.241485199</v>
      </c>
      <c r="I109" s="577">
        <v>6947788.241485199</v>
      </c>
      <c r="J109" s="514">
        <f t="shared" si="30"/>
        <v>0</v>
      </c>
      <c r="K109" s="514"/>
      <c r="L109" s="525"/>
      <c r="M109" s="514">
        <f t="shared" si="32"/>
        <v>0</v>
      </c>
      <c r="N109" s="525"/>
      <c r="O109" s="514">
        <f t="shared" si="34"/>
        <v>0</v>
      </c>
      <c r="P109" s="514">
        <f t="shared" si="35"/>
        <v>0</v>
      </c>
      <c r="Q109" s="269"/>
    </row>
    <row r="110" spans="1:17">
      <c r="B110" s="195" t="str">
        <f t="shared" si="36"/>
        <v/>
      </c>
      <c r="C110" s="507">
        <f>IF(D93="","-",+C109+1)</f>
        <v>2023</v>
      </c>
      <c r="D110" s="374">
        <f>IF(F109+SUM(E$99:E109)=D$92,F109,D$92-SUM(E$99:E109))</f>
        <v>46423617.11619141</v>
      </c>
      <c r="E110" s="522">
        <f>IF(+J96&lt;F109,J96,D110)</f>
        <v>1446482.6341463414</v>
      </c>
      <c r="F110" s="523">
        <f t="shared" ref="F110:F131" si="48">+D110-E110</f>
        <v>44977134.482045069</v>
      </c>
      <c r="G110" s="523">
        <f t="shared" ref="G110:G130" si="49">+(F110+D110)/2</f>
        <v>45700375.799118236</v>
      </c>
      <c r="H110" s="526">
        <f t="shared" ref="H110:H130" si="50">+J$94*G110+E110</f>
        <v>6634125.4378837356</v>
      </c>
      <c r="I110" s="577">
        <f t="shared" ref="I110:I130" si="51">+J$95*G110+E110</f>
        <v>6634125.4378837356</v>
      </c>
      <c r="J110" s="514">
        <f t="shared" si="30"/>
        <v>0</v>
      </c>
      <c r="K110" s="514"/>
      <c r="L110" s="525"/>
      <c r="M110" s="514">
        <f t="shared" si="32"/>
        <v>0</v>
      </c>
      <c r="N110" s="525"/>
      <c r="O110" s="514">
        <f t="shared" si="34"/>
        <v>0</v>
      </c>
      <c r="P110" s="514">
        <f t="shared" si="35"/>
        <v>0</v>
      </c>
      <c r="Q110" s="269"/>
    </row>
    <row r="111" spans="1:17">
      <c r="B111" s="195" t="str">
        <f t="shared" si="36"/>
        <v/>
      </c>
      <c r="C111" s="507">
        <f>IF(D93="","-",+C110+1)</f>
        <v>2024</v>
      </c>
      <c r="D111" s="374">
        <f>IF(F110+SUM(E$99:E110)=D$92,F110,D$92-SUM(E$99:E110))</f>
        <v>44977134.482045069</v>
      </c>
      <c r="E111" s="522">
        <f>IF(+J96&lt;F110,J96,D111)</f>
        <v>1446482.6341463414</v>
      </c>
      <c r="F111" s="523">
        <f t="shared" si="48"/>
        <v>43530651.847898729</v>
      </c>
      <c r="G111" s="523">
        <f t="shared" si="49"/>
        <v>44253893.164971903</v>
      </c>
      <c r="H111" s="526">
        <f t="shared" si="50"/>
        <v>6469929.0807083724</v>
      </c>
      <c r="I111" s="577">
        <f t="shared" si="51"/>
        <v>6469929.0807083724</v>
      </c>
      <c r="J111" s="514">
        <f t="shared" si="30"/>
        <v>0</v>
      </c>
      <c r="K111" s="514"/>
      <c r="L111" s="525"/>
      <c r="M111" s="514">
        <f t="shared" si="32"/>
        <v>0</v>
      </c>
      <c r="N111" s="525"/>
      <c r="O111" s="514">
        <f t="shared" si="34"/>
        <v>0</v>
      </c>
      <c r="P111" s="514">
        <f t="shared" si="35"/>
        <v>0</v>
      </c>
      <c r="Q111" s="269"/>
    </row>
    <row r="112" spans="1:17">
      <c r="B112" s="195" t="str">
        <f t="shared" si="36"/>
        <v/>
      </c>
      <c r="C112" s="507">
        <f>IF(D93="","-",+C111+1)</f>
        <v>2025</v>
      </c>
      <c r="D112" s="374">
        <f>IF(F111+SUM(E$99:E111)=D$92,F111,D$92-SUM(E$99:E111))</f>
        <v>43530651.847898729</v>
      </c>
      <c r="E112" s="522">
        <f>IF(+J96&lt;F111,J96,D112)</f>
        <v>1446482.6341463414</v>
      </c>
      <c r="F112" s="523">
        <f t="shared" si="48"/>
        <v>42084169.213752389</v>
      </c>
      <c r="G112" s="523">
        <f t="shared" si="49"/>
        <v>42807410.530825555</v>
      </c>
      <c r="H112" s="526">
        <f t="shared" si="50"/>
        <v>6305732.7235330082</v>
      </c>
      <c r="I112" s="577">
        <f t="shared" si="51"/>
        <v>6305732.7235330082</v>
      </c>
      <c r="J112" s="514">
        <f t="shared" si="30"/>
        <v>0</v>
      </c>
      <c r="K112" s="514"/>
      <c r="L112" s="525"/>
      <c r="M112" s="514">
        <f t="shared" si="32"/>
        <v>0</v>
      </c>
      <c r="N112" s="525"/>
      <c r="O112" s="514">
        <f t="shared" si="34"/>
        <v>0</v>
      </c>
      <c r="P112" s="514">
        <f t="shared" si="35"/>
        <v>0</v>
      </c>
      <c r="Q112" s="269"/>
    </row>
    <row r="113" spans="2:17">
      <c r="B113" s="195" t="str">
        <f t="shared" si="36"/>
        <v/>
      </c>
      <c r="C113" s="507">
        <f>IF(D93="","-",+C112+1)</f>
        <v>2026</v>
      </c>
      <c r="D113" s="374">
        <f>IF(F112+SUM(E$99:E112)=D$92,F112,D$92-SUM(E$99:E112))</f>
        <v>42084169.213752389</v>
      </c>
      <c r="E113" s="522">
        <f>IF(+J96&lt;F112,J96,D113)</f>
        <v>1446482.6341463414</v>
      </c>
      <c r="F113" s="523">
        <f t="shared" si="48"/>
        <v>40637686.579606049</v>
      </c>
      <c r="G113" s="523">
        <f t="shared" si="49"/>
        <v>41360927.896679223</v>
      </c>
      <c r="H113" s="526">
        <f t="shared" si="50"/>
        <v>6141536.366357645</v>
      </c>
      <c r="I113" s="577">
        <f t="shared" si="51"/>
        <v>6141536.366357645</v>
      </c>
      <c r="J113" s="514">
        <f t="shared" si="30"/>
        <v>0</v>
      </c>
      <c r="K113" s="514"/>
      <c r="L113" s="525"/>
      <c r="M113" s="514">
        <f t="shared" si="32"/>
        <v>0</v>
      </c>
      <c r="N113" s="525"/>
      <c r="O113" s="514">
        <f t="shared" si="34"/>
        <v>0</v>
      </c>
      <c r="P113" s="514">
        <f t="shared" si="35"/>
        <v>0</v>
      </c>
      <c r="Q113" s="269"/>
    </row>
    <row r="114" spans="2:17">
      <c r="B114" s="195" t="str">
        <f t="shared" si="36"/>
        <v/>
      </c>
      <c r="C114" s="507">
        <f>IF(D93="","-",+C113+1)</f>
        <v>2027</v>
      </c>
      <c r="D114" s="374">
        <f>IF(F113+SUM(E$99:E113)=D$92,F113,D$92-SUM(E$99:E113))</f>
        <v>40637686.579606049</v>
      </c>
      <c r="E114" s="522">
        <f>IF(+J96&lt;F113,J96,D114)</f>
        <v>1446482.6341463414</v>
      </c>
      <c r="F114" s="523">
        <f t="shared" si="48"/>
        <v>39191203.945459709</v>
      </c>
      <c r="G114" s="523">
        <f t="shared" si="49"/>
        <v>39914445.262532875</v>
      </c>
      <c r="H114" s="526">
        <f t="shared" si="50"/>
        <v>5977340.0091822809</v>
      </c>
      <c r="I114" s="577">
        <f t="shared" si="51"/>
        <v>5977340.0091822809</v>
      </c>
      <c r="J114" s="514">
        <f t="shared" si="30"/>
        <v>0</v>
      </c>
      <c r="K114" s="514"/>
      <c r="L114" s="525"/>
      <c r="M114" s="514">
        <f t="shared" si="32"/>
        <v>0</v>
      </c>
      <c r="N114" s="525"/>
      <c r="O114" s="514">
        <f t="shared" si="34"/>
        <v>0</v>
      </c>
      <c r="P114" s="514">
        <f t="shared" si="35"/>
        <v>0</v>
      </c>
      <c r="Q114" s="269"/>
    </row>
    <row r="115" spans="2:17">
      <c r="B115" s="195" t="str">
        <f t="shared" si="36"/>
        <v/>
      </c>
      <c r="C115" s="507">
        <f>IF(D93="","-",+C114+1)</f>
        <v>2028</v>
      </c>
      <c r="D115" s="374">
        <f>IF(F114+SUM(E$99:E114)=D$92,F114,D$92-SUM(E$99:E114))</f>
        <v>39191203.945459709</v>
      </c>
      <c r="E115" s="522">
        <f>IF(+J96&lt;F114,J96,D115)</f>
        <v>1446482.6341463414</v>
      </c>
      <c r="F115" s="523">
        <f t="shared" si="48"/>
        <v>37744721.311313368</v>
      </c>
      <c r="G115" s="523">
        <f t="shared" si="49"/>
        <v>38467962.628386542</v>
      </c>
      <c r="H115" s="526">
        <f t="shared" si="50"/>
        <v>5813143.6520069176</v>
      </c>
      <c r="I115" s="577">
        <f t="shared" si="51"/>
        <v>5813143.6520069176</v>
      </c>
      <c r="J115" s="514">
        <f t="shared" si="30"/>
        <v>0</v>
      </c>
      <c r="K115" s="514"/>
      <c r="L115" s="525"/>
      <c r="M115" s="514">
        <f t="shared" si="32"/>
        <v>0</v>
      </c>
      <c r="N115" s="525"/>
      <c r="O115" s="514">
        <f t="shared" si="34"/>
        <v>0</v>
      </c>
      <c r="P115" s="514">
        <f t="shared" si="35"/>
        <v>0</v>
      </c>
      <c r="Q115" s="269"/>
    </row>
    <row r="116" spans="2:17">
      <c r="B116" s="195" t="str">
        <f t="shared" si="36"/>
        <v/>
      </c>
      <c r="C116" s="507">
        <f>IF(D93="","-",+C115+1)</f>
        <v>2029</v>
      </c>
      <c r="D116" s="374">
        <f>IF(F115+SUM(E$99:E115)=D$92,F115,D$92-SUM(E$99:E115))</f>
        <v>37744721.311313368</v>
      </c>
      <c r="E116" s="522">
        <f>IF(+J96&lt;F115,J96,D116)</f>
        <v>1446482.6341463414</v>
      </c>
      <c r="F116" s="523">
        <f t="shared" si="48"/>
        <v>36298238.677167028</v>
      </c>
      <c r="G116" s="523">
        <f t="shared" si="49"/>
        <v>37021479.994240195</v>
      </c>
      <c r="H116" s="526">
        <f t="shared" si="50"/>
        <v>5648947.2948315525</v>
      </c>
      <c r="I116" s="577">
        <f t="shared" si="51"/>
        <v>5648947.2948315525</v>
      </c>
      <c r="J116" s="514">
        <f t="shared" si="30"/>
        <v>0</v>
      </c>
      <c r="K116" s="514"/>
      <c r="L116" s="525"/>
      <c r="M116" s="514">
        <f t="shared" si="32"/>
        <v>0</v>
      </c>
      <c r="N116" s="525"/>
      <c r="O116" s="514">
        <f t="shared" si="34"/>
        <v>0</v>
      </c>
      <c r="P116" s="514">
        <f t="shared" si="35"/>
        <v>0</v>
      </c>
      <c r="Q116" s="269"/>
    </row>
    <row r="117" spans="2:17">
      <c r="B117" s="195" t="str">
        <f t="shared" si="36"/>
        <v/>
      </c>
      <c r="C117" s="507">
        <f>IF(D93="","-",+C116+1)</f>
        <v>2030</v>
      </c>
      <c r="D117" s="374">
        <f>IF(F116+SUM(E$99:E116)=D$92,F116,D$92-SUM(E$99:E116))</f>
        <v>36298238.677167028</v>
      </c>
      <c r="E117" s="522">
        <f>IF(+J96&lt;F116,J96,D117)</f>
        <v>1446482.6341463414</v>
      </c>
      <c r="F117" s="523">
        <f t="shared" si="48"/>
        <v>34851756.043020688</v>
      </c>
      <c r="G117" s="523">
        <f t="shared" si="49"/>
        <v>35574997.360093862</v>
      </c>
      <c r="H117" s="526">
        <f t="shared" si="50"/>
        <v>5484750.9376561902</v>
      </c>
      <c r="I117" s="577">
        <f t="shared" si="51"/>
        <v>5484750.9376561902</v>
      </c>
      <c r="J117" s="514">
        <f t="shared" si="30"/>
        <v>0</v>
      </c>
      <c r="K117" s="514"/>
      <c r="L117" s="525"/>
      <c r="M117" s="514">
        <f t="shared" si="32"/>
        <v>0</v>
      </c>
      <c r="N117" s="525"/>
      <c r="O117" s="514">
        <f t="shared" si="34"/>
        <v>0</v>
      </c>
      <c r="P117" s="514">
        <f t="shared" si="35"/>
        <v>0</v>
      </c>
      <c r="Q117" s="269"/>
    </row>
    <row r="118" spans="2:17">
      <c r="B118" s="195" t="str">
        <f t="shared" si="36"/>
        <v/>
      </c>
      <c r="C118" s="507">
        <f>IF(D93="","-",+C117+1)</f>
        <v>2031</v>
      </c>
      <c r="D118" s="374">
        <f>IF(F117+SUM(E$99:E117)=D$92,F117,D$92-SUM(E$99:E117))</f>
        <v>34851756.043020688</v>
      </c>
      <c r="E118" s="522">
        <f>IF(+J96&lt;F117,J96,D118)</f>
        <v>1446482.6341463414</v>
      </c>
      <c r="F118" s="523">
        <f t="shared" si="48"/>
        <v>33405273.408874348</v>
      </c>
      <c r="G118" s="523">
        <f t="shared" si="49"/>
        <v>34128514.725947514</v>
      </c>
      <c r="H118" s="526">
        <f t="shared" si="50"/>
        <v>5320554.5804808252</v>
      </c>
      <c r="I118" s="577">
        <f t="shared" si="51"/>
        <v>5320554.5804808252</v>
      </c>
      <c r="J118" s="514">
        <f t="shared" si="30"/>
        <v>0</v>
      </c>
      <c r="K118" s="514"/>
      <c r="L118" s="525"/>
      <c r="M118" s="514">
        <f t="shared" si="32"/>
        <v>0</v>
      </c>
      <c r="N118" s="525"/>
      <c r="O118" s="514">
        <f t="shared" si="34"/>
        <v>0</v>
      </c>
      <c r="P118" s="514">
        <f t="shared" si="35"/>
        <v>0</v>
      </c>
      <c r="Q118" s="269"/>
    </row>
    <row r="119" spans="2:17">
      <c r="B119" s="195" t="str">
        <f t="shared" si="36"/>
        <v/>
      </c>
      <c r="C119" s="507">
        <f>IF(D93="","-",+C118+1)</f>
        <v>2032</v>
      </c>
      <c r="D119" s="374">
        <f>IF(F118+SUM(E$99:E118)=D$92,F118,D$92-SUM(E$99:E118))</f>
        <v>33405273.408874348</v>
      </c>
      <c r="E119" s="522">
        <f>IF(+J96&lt;F118,J96,D119)</f>
        <v>1446482.6341463414</v>
      </c>
      <c r="F119" s="523">
        <f t="shared" si="48"/>
        <v>31958790.774728008</v>
      </c>
      <c r="G119" s="523">
        <f t="shared" si="49"/>
        <v>32682032.091801178</v>
      </c>
      <c r="H119" s="526">
        <f t="shared" si="50"/>
        <v>5156358.2233054619</v>
      </c>
      <c r="I119" s="577">
        <f t="shared" si="51"/>
        <v>5156358.2233054619</v>
      </c>
      <c r="J119" s="514">
        <f t="shared" si="30"/>
        <v>0</v>
      </c>
      <c r="K119" s="514"/>
      <c r="L119" s="525"/>
      <c r="M119" s="514">
        <f t="shared" si="32"/>
        <v>0</v>
      </c>
      <c r="N119" s="525"/>
      <c r="O119" s="514">
        <f t="shared" si="34"/>
        <v>0</v>
      </c>
      <c r="P119" s="514">
        <f t="shared" si="35"/>
        <v>0</v>
      </c>
      <c r="Q119" s="269"/>
    </row>
    <row r="120" spans="2:17">
      <c r="B120" s="195" t="str">
        <f t="shared" si="36"/>
        <v/>
      </c>
      <c r="C120" s="507">
        <f>IF(D93="","-",+C119+1)</f>
        <v>2033</v>
      </c>
      <c r="D120" s="374">
        <f>IF(F119+SUM(E$99:E119)=D$92,F119,D$92-SUM(E$99:E119))</f>
        <v>31958790.774728008</v>
      </c>
      <c r="E120" s="522">
        <f>IF(+J96&lt;F119,J96,D120)</f>
        <v>1446482.6341463414</v>
      </c>
      <c r="F120" s="523">
        <f t="shared" si="48"/>
        <v>30512308.140581667</v>
      </c>
      <c r="G120" s="523">
        <f t="shared" si="49"/>
        <v>31235549.457654838</v>
      </c>
      <c r="H120" s="526">
        <f t="shared" si="50"/>
        <v>4992161.8661300978</v>
      </c>
      <c r="I120" s="577">
        <f t="shared" si="51"/>
        <v>4992161.8661300978</v>
      </c>
      <c r="J120" s="514">
        <f t="shared" si="30"/>
        <v>0</v>
      </c>
      <c r="K120" s="514"/>
      <c r="L120" s="525"/>
      <c r="M120" s="514">
        <f t="shared" si="32"/>
        <v>0</v>
      </c>
      <c r="N120" s="525"/>
      <c r="O120" s="514">
        <f t="shared" si="34"/>
        <v>0</v>
      </c>
      <c r="P120" s="514">
        <f t="shared" si="35"/>
        <v>0</v>
      </c>
      <c r="Q120" s="269"/>
    </row>
    <row r="121" spans="2:17">
      <c r="B121" s="195" t="str">
        <f t="shared" si="36"/>
        <v/>
      </c>
      <c r="C121" s="507">
        <f>IF(D93="","-",+C120+1)</f>
        <v>2034</v>
      </c>
      <c r="D121" s="374">
        <f>IF(F120+SUM(E$99:E120)=D$92,F120,D$92-SUM(E$99:E120))</f>
        <v>30512308.140581667</v>
      </c>
      <c r="E121" s="522">
        <f>IF(+J96&lt;F120,J96,D121)</f>
        <v>1446482.6341463414</v>
      </c>
      <c r="F121" s="523">
        <f t="shared" si="48"/>
        <v>29065825.506435327</v>
      </c>
      <c r="G121" s="523">
        <f t="shared" si="49"/>
        <v>29789066.823508497</v>
      </c>
      <c r="H121" s="526">
        <f t="shared" si="50"/>
        <v>4827965.5089547336</v>
      </c>
      <c r="I121" s="577">
        <f t="shared" si="51"/>
        <v>4827965.5089547336</v>
      </c>
      <c r="J121" s="514">
        <f t="shared" si="30"/>
        <v>0</v>
      </c>
      <c r="K121" s="514"/>
      <c r="L121" s="525"/>
      <c r="M121" s="514">
        <f t="shared" si="32"/>
        <v>0</v>
      </c>
      <c r="N121" s="525"/>
      <c r="O121" s="514">
        <f t="shared" si="34"/>
        <v>0</v>
      </c>
      <c r="P121" s="514">
        <f t="shared" si="35"/>
        <v>0</v>
      </c>
      <c r="Q121" s="269"/>
    </row>
    <row r="122" spans="2:17">
      <c r="B122" s="195" t="str">
        <f t="shared" si="36"/>
        <v/>
      </c>
      <c r="C122" s="507">
        <f>IF(D93="","-",+C121+1)</f>
        <v>2035</v>
      </c>
      <c r="D122" s="374">
        <f>IF(F121+SUM(E$99:E121)=D$92,F121,D$92-SUM(E$99:E121))</f>
        <v>29065825.506435327</v>
      </c>
      <c r="E122" s="522">
        <f>IF(+J96&lt;F121,J96,D122)</f>
        <v>1446482.6341463414</v>
      </c>
      <c r="F122" s="523">
        <f t="shared" si="48"/>
        <v>27619342.872288987</v>
      </c>
      <c r="G122" s="523">
        <f t="shared" si="49"/>
        <v>28342584.189362157</v>
      </c>
      <c r="H122" s="526">
        <f t="shared" si="50"/>
        <v>4663769.1517793704</v>
      </c>
      <c r="I122" s="577">
        <f t="shared" si="51"/>
        <v>4663769.1517793704</v>
      </c>
      <c r="J122" s="514">
        <f t="shared" si="30"/>
        <v>0</v>
      </c>
      <c r="K122" s="514"/>
      <c r="L122" s="525"/>
      <c r="M122" s="514">
        <f t="shared" si="32"/>
        <v>0</v>
      </c>
      <c r="N122" s="525"/>
      <c r="O122" s="514">
        <f t="shared" si="34"/>
        <v>0</v>
      </c>
      <c r="P122" s="514">
        <f t="shared" si="35"/>
        <v>0</v>
      </c>
      <c r="Q122" s="269"/>
    </row>
    <row r="123" spans="2:17">
      <c r="B123" s="195" t="str">
        <f t="shared" si="36"/>
        <v/>
      </c>
      <c r="C123" s="507">
        <f>IF(D93="","-",+C122+1)</f>
        <v>2036</v>
      </c>
      <c r="D123" s="374">
        <f>IF(F122+SUM(E$99:E122)=D$92,F122,D$92-SUM(E$99:E122))</f>
        <v>27619342.872288987</v>
      </c>
      <c r="E123" s="522">
        <f>IF(+J96&lt;F122,J96,D123)</f>
        <v>1446482.6341463414</v>
      </c>
      <c r="F123" s="523">
        <f t="shared" si="48"/>
        <v>26172860.238142647</v>
      </c>
      <c r="G123" s="523">
        <f t="shared" si="49"/>
        <v>26896101.555215817</v>
      </c>
      <c r="H123" s="526">
        <f t="shared" si="50"/>
        <v>4499572.7946040062</v>
      </c>
      <c r="I123" s="577">
        <f t="shared" si="51"/>
        <v>4499572.7946040062</v>
      </c>
      <c r="J123" s="514">
        <f t="shared" si="30"/>
        <v>0</v>
      </c>
      <c r="K123" s="514"/>
      <c r="L123" s="525"/>
      <c r="M123" s="514">
        <f t="shared" si="32"/>
        <v>0</v>
      </c>
      <c r="N123" s="525"/>
      <c r="O123" s="514">
        <f t="shared" si="34"/>
        <v>0</v>
      </c>
      <c r="P123" s="514">
        <f t="shared" si="35"/>
        <v>0</v>
      </c>
      <c r="Q123" s="269"/>
    </row>
    <row r="124" spans="2:17">
      <c r="B124" s="195" t="str">
        <f t="shared" si="36"/>
        <v/>
      </c>
      <c r="C124" s="507">
        <f>IF(D93="","-",+C123+1)</f>
        <v>2037</v>
      </c>
      <c r="D124" s="374">
        <f>IF(F123+SUM(E$99:E123)=D$92,F123,D$92-SUM(E$99:E123))</f>
        <v>26172860.238142647</v>
      </c>
      <c r="E124" s="522">
        <f>IF(+J96&lt;F123,J96,D124)</f>
        <v>1446482.6341463414</v>
      </c>
      <c r="F124" s="523">
        <f t="shared" si="48"/>
        <v>24726377.603996307</v>
      </c>
      <c r="G124" s="523">
        <f t="shared" si="49"/>
        <v>25449618.921069477</v>
      </c>
      <c r="H124" s="526">
        <f t="shared" si="50"/>
        <v>4335376.4374286421</v>
      </c>
      <c r="I124" s="577">
        <f t="shared" si="51"/>
        <v>4335376.4374286421</v>
      </c>
      <c r="J124" s="514">
        <f t="shared" si="30"/>
        <v>0</v>
      </c>
      <c r="K124" s="514"/>
      <c r="L124" s="525"/>
      <c r="M124" s="514">
        <f t="shared" si="32"/>
        <v>0</v>
      </c>
      <c r="N124" s="525"/>
      <c r="O124" s="514">
        <f t="shared" si="34"/>
        <v>0</v>
      </c>
      <c r="P124" s="514">
        <f t="shared" si="35"/>
        <v>0</v>
      </c>
      <c r="Q124" s="269"/>
    </row>
    <row r="125" spans="2:17">
      <c r="B125" s="195" t="str">
        <f t="shared" si="36"/>
        <v/>
      </c>
      <c r="C125" s="507">
        <f>IF(D93="","-",+C124+1)</f>
        <v>2038</v>
      </c>
      <c r="D125" s="374">
        <f>IF(F124+SUM(E$99:E124)=D$92,F124,D$92-SUM(E$99:E124))</f>
        <v>24726377.603996307</v>
      </c>
      <c r="E125" s="522">
        <f>IF(+J96&lt;F124,J96,D125)</f>
        <v>1446482.6341463414</v>
      </c>
      <c r="F125" s="523">
        <f t="shared" si="48"/>
        <v>23279894.969849966</v>
      </c>
      <c r="G125" s="523">
        <f t="shared" si="49"/>
        <v>24003136.286923137</v>
      </c>
      <c r="H125" s="526">
        <f t="shared" si="50"/>
        <v>4171180.0802532788</v>
      </c>
      <c r="I125" s="577">
        <f t="shared" si="51"/>
        <v>4171180.0802532788</v>
      </c>
      <c r="J125" s="514">
        <f t="shared" si="30"/>
        <v>0</v>
      </c>
      <c r="K125" s="514"/>
      <c r="L125" s="525"/>
      <c r="M125" s="514">
        <f t="shared" si="32"/>
        <v>0</v>
      </c>
      <c r="N125" s="525"/>
      <c r="O125" s="514">
        <f t="shared" si="34"/>
        <v>0</v>
      </c>
      <c r="P125" s="514">
        <f t="shared" si="35"/>
        <v>0</v>
      </c>
      <c r="Q125" s="269"/>
    </row>
    <row r="126" spans="2:17">
      <c r="B126" s="195" t="str">
        <f t="shared" si="36"/>
        <v/>
      </c>
      <c r="C126" s="507">
        <f>IF(D93="","-",+C125+1)</f>
        <v>2039</v>
      </c>
      <c r="D126" s="374">
        <f>IF(F125+SUM(E$99:E125)=D$92,F125,D$92-SUM(E$99:E125))</f>
        <v>23279894.969849966</v>
      </c>
      <c r="E126" s="522">
        <f>IF(+J96&lt;F125,J96,D126)</f>
        <v>1446482.6341463414</v>
      </c>
      <c r="F126" s="523">
        <f t="shared" si="48"/>
        <v>21833412.335703626</v>
      </c>
      <c r="G126" s="523">
        <f t="shared" si="49"/>
        <v>22556653.652776796</v>
      </c>
      <c r="H126" s="526">
        <f t="shared" si="50"/>
        <v>4006983.7230779147</v>
      </c>
      <c r="I126" s="577">
        <f t="shared" si="51"/>
        <v>4006983.7230779147</v>
      </c>
      <c r="J126" s="514">
        <f t="shared" si="30"/>
        <v>0</v>
      </c>
      <c r="K126" s="514"/>
      <c r="L126" s="525"/>
      <c r="M126" s="514">
        <f t="shared" si="32"/>
        <v>0</v>
      </c>
      <c r="N126" s="525"/>
      <c r="O126" s="514">
        <f t="shared" si="34"/>
        <v>0</v>
      </c>
      <c r="P126" s="514">
        <f t="shared" si="35"/>
        <v>0</v>
      </c>
      <c r="Q126" s="269"/>
    </row>
    <row r="127" spans="2:17">
      <c r="B127" s="195" t="str">
        <f t="shared" si="36"/>
        <v/>
      </c>
      <c r="C127" s="507">
        <f>IF(D93="","-",+C126+1)</f>
        <v>2040</v>
      </c>
      <c r="D127" s="374">
        <f>IF(F126+SUM(E$99:E126)=D$92,F126,D$92-SUM(E$99:E126))</f>
        <v>21833412.335703626</v>
      </c>
      <c r="E127" s="522">
        <f>IF(+J96&lt;F126,J96,D127)</f>
        <v>1446482.6341463414</v>
      </c>
      <c r="F127" s="523">
        <f t="shared" si="48"/>
        <v>20386929.701557286</v>
      </c>
      <c r="G127" s="523">
        <f t="shared" si="49"/>
        <v>21110171.018630456</v>
      </c>
      <c r="H127" s="526">
        <f t="shared" si="50"/>
        <v>3842787.3659025505</v>
      </c>
      <c r="I127" s="577">
        <f t="shared" si="51"/>
        <v>3842787.3659025505</v>
      </c>
      <c r="J127" s="514">
        <f t="shared" si="30"/>
        <v>0</v>
      </c>
      <c r="K127" s="514"/>
      <c r="L127" s="525"/>
      <c r="M127" s="514">
        <f t="shared" si="32"/>
        <v>0</v>
      </c>
      <c r="N127" s="525"/>
      <c r="O127" s="514">
        <f t="shared" si="34"/>
        <v>0</v>
      </c>
      <c r="P127" s="514">
        <f t="shared" si="35"/>
        <v>0</v>
      </c>
      <c r="Q127" s="269"/>
    </row>
    <row r="128" spans="2:17">
      <c r="B128" s="195" t="str">
        <f t="shared" si="36"/>
        <v/>
      </c>
      <c r="C128" s="507">
        <f>IF(D93="","-",+C127+1)</f>
        <v>2041</v>
      </c>
      <c r="D128" s="374">
        <f>IF(F127+SUM(E$99:E127)=D$92,F127,D$92-SUM(E$99:E127))</f>
        <v>20386929.701557286</v>
      </c>
      <c r="E128" s="522">
        <f>IF(+J96&lt;F127,J96,D128)</f>
        <v>1446482.6341463414</v>
      </c>
      <c r="F128" s="523">
        <f t="shared" si="48"/>
        <v>18940447.067410946</v>
      </c>
      <c r="G128" s="523">
        <f t="shared" si="49"/>
        <v>19663688.384484116</v>
      </c>
      <c r="H128" s="526">
        <f t="shared" si="50"/>
        <v>3678591.0087271873</v>
      </c>
      <c r="I128" s="577">
        <f t="shared" si="51"/>
        <v>3678591.0087271873</v>
      </c>
      <c r="J128" s="514">
        <f t="shared" si="30"/>
        <v>0</v>
      </c>
      <c r="K128" s="514"/>
      <c r="L128" s="525"/>
      <c r="M128" s="514">
        <f t="shared" si="32"/>
        <v>0</v>
      </c>
      <c r="N128" s="525"/>
      <c r="O128" s="514">
        <f t="shared" si="34"/>
        <v>0</v>
      </c>
      <c r="P128" s="514">
        <f t="shared" si="35"/>
        <v>0</v>
      </c>
      <c r="Q128" s="269"/>
    </row>
    <row r="129" spans="2:17">
      <c r="B129" s="195" t="str">
        <f t="shared" si="36"/>
        <v/>
      </c>
      <c r="C129" s="507">
        <f>IF(D93="","-",+C128+1)</f>
        <v>2042</v>
      </c>
      <c r="D129" s="374">
        <f>IF(F128+SUM(E$99:E128)=D$92,F128,D$92-SUM(E$99:E128))</f>
        <v>18940447.067410946</v>
      </c>
      <c r="E129" s="522">
        <f>IF(+J96&lt;F128,J96,D129)</f>
        <v>1446482.6341463414</v>
      </c>
      <c r="F129" s="523">
        <f t="shared" si="48"/>
        <v>17493964.433264606</v>
      </c>
      <c r="G129" s="523">
        <f t="shared" si="49"/>
        <v>18217205.750337776</v>
      </c>
      <c r="H129" s="526">
        <f t="shared" si="50"/>
        <v>3514394.6515518231</v>
      </c>
      <c r="I129" s="577">
        <f t="shared" si="51"/>
        <v>3514394.6515518231</v>
      </c>
      <c r="J129" s="514">
        <f t="shared" si="30"/>
        <v>0</v>
      </c>
      <c r="K129" s="514"/>
      <c r="L129" s="525"/>
      <c r="M129" s="514">
        <f t="shared" si="32"/>
        <v>0</v>
      </c>
      <c r="N129" s="525"/>
      <c r="O129" s="514">
        <f t="shared" si="34"/>
        <v>0</v>
      </c>
      <c r="P129" s="514">
        <f t="shared" si="35"/>
        <v>0</v>
      </c>
      <c r="Q129" s="269"/>
    </row>
    <row r="130" spans="2:17">
      <c r="B130" s="195" t="str">
        <f t="shared" si="36"/>
        <v/>
      </c>
      <c r="C130" s="507">
        <f>IF(D93="","-",+C129+1)</f>
        <v>2043</v>
      </c>
      <c r="D130" s="374">
        <f>IF(F129+SUM(E$99:E129)=D$92,F129,D$92-SUM(E$99:E129))</f>
        <v>17493964.433264606</v>
      </c>
      <c r="E130" s="522">
        <f>IF(+J96&lt;F129,J96,D130)</f>
        <v>1446482.6341463414</v>
      </c>
      <c r="F130" s="523">
        <f t="shared" si="48"/>
        <v>16047481.799118264</v>
      </c>
      <c r="G130" s="523">
        <f t="shared" si="49"/>
        <v>16770723.116191436</v>
      </c>
      <c r="H130" s="526">
        <f t="shared" si="50"/>
        <v>3350198.294376459</v>
      </c>
      <c r="I130" s="577">
        <f t="shared" si="51"/>
        <v>3350198.294376459</v>
      </c>
      <c r="J130" s="514">
        <f t="shared" si="30"/>
        <v>0</v>
      </c>
      <c r="K130" s="514"/>
      <c r="L130" s="525"/>
      <c r="M130" s="514">
        <f t="shared" si="32"/>
        <v>0</v>
      </c>
      <c r="N130" s="525"/>
      <c r="O130" s="514">
        <f t="shared" si="34"/>
        <v>0</v>
      </c>
      <c r="P130" s="514">
        <f t="shared" si="35"/>
        <v>0</v>
      </c>
      <c r="Q130" s="269"/>
    </row>
    <row r="131" spans="2:17">
      <c r="B131" s="195" t="str">
        <f t="shared" si="36"/>
        <v/>
      </c>
      <c r="C131" s="507">
        <f>IF(D93="","-",+C130+1)</f>
        <v>2044</v>
      </c>
      <c r="D131" s="374">
        <f>IF(F130+SUM(E$99:E130)=D$92,F130,D$92-SUM(E$99:E130))</f>
        <v>16047481.799118264</v>
      </c>
      <c r="E131" s="522">
        <f>IF(+J96&lt;F130,J96,D131)</f>
        <v>1446482.6341463414</v>
      </c>
      <c r="F131" s="523">
        <f t="shared" si="48"/>
        <v>14600999.164971922</v>
      </c>
      <c r="G131" s="523">
        <f t="shared" ref="G131:G154" si="52">+(F131+D131)/2</f>
        <v>15324240.482045092</v>
      </c>
      <c r="H131" s="526">
        <f t="shared" ref="H131:H154" si="53">+J$94*G131+E131</f>
        <v>3186001.9372010948</v>
      </c>
      <c r="I131" s="577">
        <f t="shared" ref="I131:I154" si="54">+J$95*G131+E131</f>
        <v>3186001.9372010948</v>
      </c>
      <c r="J131" s="514">
        <f t="shared" ref="J131:J154" si="55">+I131-H131</f>
        <v>0</v>
      </c>
      <c r="K131" s="514"/>
      <c r="L131" s="525"/>
      <c r="M131" s="514">
        <f t="shared" ref="M131:M154" si="56">IF(L131&lt;&gt;0,+H131-L131,0)</f>
        <v>0</v>
      </c>
      <c r="N131" s="525"/>
      <c r="O131" s="514">
        <f t="shared" ref="O131:O154" si="57">IF(N131&lt;&gt;0,+I131-N131,0)</f>
        <v>0</v>
      </c>
      <c r="P131" s="514">
        <f t="shared" ref="P131:P154" si="58">+O131-M131</f>
        <v>0</v>
      </c>
      <c r="Q131" s="269"/>
    </row>
    <row r="132" spans="2:17">
      <c r="B132" s="195" t="str">
        <f t="shared" ref="B132:B154" si="59">IF(D132=F131,"","IU")</f>
        <v/>
      </c>
      <c r="C132" s="507">
        <f>IF(D93="","-",+C131+1)</f>
        <v>2045</v>
      </c>
      <c r="D132" s="374">
        <f>IF(F131+SUM(E$99:E131)=D$92,F131,D$92-SUM(E$99:E131))</f>
        <v>14600999.164971922</v>
      </c>
      <c r="E132" s="522">
        <f>IF(+J96&lt;F131,J96,D132)</f>
        <v>1446482.6341463414</v>
      </c>
      <c r="F132" s="523">
        <f t="shared" ref="F132:F154" si="60">+D132-E132</f>
        <v>13154516.53082558</v>
      </c>
      <c r="G132" s="523">
        <f t="shared" si="52"/>
        <v>13877757.847898751</v>
      </c>
      <c r="H132" s="526">
        <f t="shared" si="53"/>
        <v>3021805.5800257311</v>
      </c>
      <c r="I132" s="577">
        <f t="shared" si="54"/>
        <v>3021805.5800257311</v>
      </c>
      <c r="J132" s="514">
        <f t="shared" si="55"/>
        <v>0</v>
      </c>
      <c r="K132" s="514"/>
      <c r="L132" s="525"/>
      <c r="M132" s="514">
        <f t="shared" si="56"/>
        <v>0</v>
      </c>
      <c r="N132" s="525"/>
      <c r="O132" s="514">
        <f t="shared" si="57"/>
        <v>0</v>
      </c>
      <c r="P132" s="514">
        <f t="shared" si="58"/>
        <v>0</v>
      </c>
      <c r="Q132" s="269"/>
    </row>
    <row r="133" spans="2:17">
      <c r="B133" s="195" t="str">
        <f t="shared" si="59"/>
        <v/>
      </c>
      <c r="C133" s="507">
        <f>IF(D93="","-",+C132+1)</f>
        <v>2046</v>
      </c>
      <c r="D133" s="374">
        <f>IF(F132+SUM(E$99:E132)=D$92,F132,D$92-SUM(E$99:E132))</f>
        <v>13154516.53082558</v>
      </c>
      <c r="E133" s="522">
        <f>IF(+J96&lt;F132,J96,D133)</f>
        <v>1446482.6341463414</v>
      </c>
      <c r="F133" s="523">
        <f t="shared" si="60"/>
        <v>11708033.896679237</v>
      </c>
      <c r="G133" s="523">
        <f t="shared" si="52"/>
        <v>12431275.213752408</v>
      </c>
      <c r="H133" s="526">
        <f t="shared" si="53"/>
        <v>2857609.222850367</v>
      </c>
      <c r="I133" s="577">
        <f t="shared" si="54"/>
        <v>2857609.222850367</v>
      </c>
      <c r="J133" s="514">
        <f t="shared" si="55"/>
        <v>0</v>
      </c>
      <c r="K133" s="514"/>
      <c r="L133" s="525"/>
      <c r="M133" s="514">
        <f t="shared" si="56"/>
        <v>0</v>
      </c>
      <c r="N133" s="525"/>
      <c r="O133" s="514">
        <f t="shared" si="57"/>
        <v>0</v>
      </c>
      <c r="P133" s="514">
        <f t="shared" si="58"/>
        <v>0</v>
      </c>
      <c r="Q133" s="269"/>
    </row>
    <row r="134" spans="2:17">
      <c r="B134" s="195" t="str">
        <f t="shared" si="59"/>
        <v/>
      </c>
      <c r="C134" s="507">
        <f>IF(D93="","-",+C133+1)</f>
        <v>2047</v>
      </c>
      <c r="D134" s="374">
        <f>IF(F133+SUM(E$99:E133)=D$92,F133,D$92-SUM(E$99:E133))</f>
        <v>11708033.896679237</v>
      </c>
      <c r="E134" s="522">
        <f>IF(+J96&lt;F133,J96,D134)</f>
        <v>1446482.6341463414</v>
      </c>
      <c r="F134" s="523">
        <f t="shared" si="60"/>
        <v>10261551.262532895</v>
      </c>
      <c r="G134" s="523">
        <f t="shared" si="52"/>
        <v>10984792.579606067</v>
      </c>
      <c r="H134" s="526">
        <f t="shared" si="53"/>
        <v>2693412.8656750033</v>
      </c>
      <c r="I134" s="577">
        <f t="shared" si="54"/>
        <v>2693412.8656750033</v>
      </c>
      <c r="J134" s="514">
        <f t="shared" si="55"/>
        <v>0</v>
      </c>
      <c r="K134" s="514"/>
      <c r="L134" s="525"/>
      <c r="M134" s="514">
        <f t="shared" si="56"/>
        <v>0</v>
      </c>
      <c r="N134" s="525"/>
      <c r="O134" s="514">
        <f t="shared" si="57"/>
        <v>0</v>
      </c>
      <c r="P134" s="514">
        <f t="shared" si="58"/>
        <v>0</v>
      </c>
      <c r="Q134" s="269"/>
    </row>
    <row r="135" spans="2:17">
      <c r="B135" s="195" t="str">
        <f t="shared" si="59"/>
        <v/>
      </c>
      <c r="C135" s="507">
        <f>IF(D93="","-",+C134+1)</f>
        <v>2048</v>
      </c>
      <c r="D135" s="374">
        <f>IF(F134+SUM(E$99:E134)=D$92,F134,D$92-SUM(E$99:E134))</f>
        <v>10261551.262532895</v>
      </c>
      <c r="E135" s="522">
        <f>IF(+J96&lt;F134,J96,D135)</f>
        <v>1446482.6341463414</v>
      </c>
      <c r="F135" s="523">
        <f t="shared" si="60"/>
        <v>8815068.6283865534</v>
      </c>
      <c r="G135" s="523">
        <f t="shared" si="52"/>
        <v>9538309.9454597235</v>
      </c>
      <c r="H135" s="526">
        <f t="shared" si="53"/>
        <v>2529216.5084996386</v>
      </c>
      <c r="I135" s="577">
        <f t="shared" si="54"/>
        <v>2529216.5084996386</v>
      </c>
      <c r="J135" s="514">
        <f t="shared" si="55"/>
        <v>0</v>
      </c>
      <c r="K135" s="514"/>
      <c r="L135" s="525"/>
      <c r="M135" s="514">
        <f t="shared" si="56"/>
        <v>0</v>
      </c>
      <c r="N135" s="525"/>
      <c r="O135" s="514">
        <f t="shared" si="57"/>
        <v>0</v>
      </c>
      <c r="P135" s="514">
        <f t="shared" si="58"/>
        <v>0</v>
      </c>
      <c r="Q135" s="269"/>
    </row>
    <row r="136" spans="2:17">
      <c r="B136" s="195" t="str">
        <f t="shared" si="59"/>
        <v/>
      </c>
      <c r="C136" s="507">
        <f>IF(D93="","-",+C135+1)</f>
        <v>2049</v>
      </c>
      <c r="D136" s="374">
        <f>IF(F135+SUM(E$99:E135)=D$92,F135,D$92-SUM(E$99:E135))</f>
        <v>8815068.6283865534</v>
      </c>
      <c r="E136" s="522">
        <f>IF(+J96&lt;F135,J96,D136)</f>
        <v>1446482.6341463414</v>
      </c>
      <c r="F136" s="523">
        <f t="shared" si="60"/>
        <v>7368585.9942402123</v>
      </c>
      <c r="G136" s="523">
        <f t="shared" si="52"/>
        <v>8091827.3113133833</v>
      </c>
      <c r="H136" s="526">
        <f t="shared" si="53"/>
        <v>2365020.1513242749</v>
      </c>
      <c r="I136" s="577">
        <f t="shared" si="54"/>
        <v>2365020.1513242749</v>
      </c>
      <c r="J136" s="514">
        <f t="shared" si="55"/>
        <v>0</v>
      </c>
      <c r="K136" s="514"/>
      <c r="L136" s="525"/>
      <c r="M136" s="514">
        <f t="shared" si="56"/>
        <v>0</v>
      </c>
      <c r="N136" s="525"/>
      <c r="O136" s="514">
        <f t="shared" si="57"/>
        <v>0</v>
      </c>
      <c r="P136" s="514">
        <f t="shared" si="58"/>
        <v>0</v>
      </c>
      <c r="Q136" s="269"/>
    </row>
    <row r="137" spans="2:17">
      <c r="B137" s="195" t="str">
        <f t="shared" si="59"/>
        <v/>
      </c>
      <c r="C137" s="507">
        <f>IF(D93="","-",+C136+1)</f>
        <v>2050</v>
      </c>
      <c r="D137" s="374">
        <f>IF(F136+SUM(E$99:E136)=D$92,F136,D$92-SUM(E$99:E136))</f>
        <v>7368585.9942402123</v>
      </c>
      <c r="E137" s="522">
        <f>IF(+J96&lt;F136,J96,D137)</f>
        <v>1446482.6341463414</v>
      </c>
      <c r="F137" s="523">
        <f t="shared" si="60"/>
        <v>5922103.3600938711</v>
      </c>
      <c r="G137" s="523">
        <f t="shared" si="52"/>
        <v>6645344.6771670412</v>
      </c>
      <c r="H137" s="526">
        <f t="shared" si="53"/>
        <v>2200823.7941489108</v>
      </c>
      <c r="I137" s="577">
        <f t="shared" si="54"/>
        <v>2200823.7941489108</v>
      </c>
      <c r="J137" s="514">
        <f t="shared" si="55"/>
        <v>0</v>
      </c>
      <c r="K137" s="514"/>
      <c r="L137" s="525"/>
      <c r="M137" s="514">
        <f t="shared" si="56"/>
        <v>0</v>
      </c>
      <c r="N137" s="525"/>
      <c r="O137" s="514">
        <f t="shared" si="57"/>
        <v>0</v>
      </c>
      <c r="P137" s="514">
        <f t="shared" si="58"/>
        <v>0</v>
      </c>
      <c r="Q137" s="269"/>
    </row>
    <row r="138" spans="2:17">
      <c r="B138" s="195" t="str">
        <f t="shared" si="59"/>
        <v/>
      </c>
      <c r="C138" s="507">
        <f>IF(D93="","-",+C137+1)</f>
        <v>2051</v>
      </c>
      <c r="D138" s="374">
        <f>IF(F137+SUM(E$99:E137)=D$92,F137,D$92-SUM(E$99:E137))</f>
        <v>5922103.3600938711</v>
      </c>
      <c r="E138" s="522">
        <f>IF(+J96&lt;F137,J96,D138)</f>
        <v>1446482.6341463414</v>
      </c>
      <c r="F138" s="523">
        <f t="shared" si="60"/>
        <v>4475620.72594753</v>
      </c>
      <c r="G138" s="523">
        <f t="shared" si="52"/>
        <v>5198862.043020701</v>
      </c>
      <c r="H138" s="526">
        <f t="shared" si="53"/>
        <v>2036627.4369735471</v>
      </c>
      <c r="I138" s="577">
        <f t="shared" si="54"/>
        <v>2036627.4369735471</v>
      </c>
      <c r="J138" s="514">
        <f t="shared" si="55"/>
        <v>0</v>
      </c>
      <c r="K138" s="514"/>
      <c r="L138" s="525"/>
      <c r="M138" s="514">
        <f t="shared" si="56"/>
        <v>0</v>
      </c>
      <c r="N138" s="525"/>
      <c r="O138" s="514">
        <f t="shared" si="57"/>
        <v>0</v>
      </c>
      <c r="P138" s="514">
        <f t="shared" si="58"/>
        <v>0</v>
      </c>
      <c r="Q138" s="269"/>
    </row>
    <row r="139" spans="2:17">
      <c r="B139" s="195" t="str">
        <f t="shared" si="59"/>
        <v/>
      </c>
      <c r="C139" s="507">
        <f>IF(D93="","-",+C138+1)</f>
        <v>2052</v>
      </c>
      <c r="D139" s="374">
        <f>IF(F138+SUM(E$99:E138)=D$92,F138,D$92-SUM(E$99:E138))</f>
        <v>4475620.72594753</v>
      </c>
      <c r="E139" s="522">
        <f>IF(+J96&lt;F138,J96,D139)</f>
        <v>1446482.6341463414</v>
      </c>
      <c r="F139" s="523">
        <f t="shared" si="60"/>
        <v>3029138.0918011889</v>
      </c>
      <c r="G139" s="523">
        <f t="shared" si="52"/>
        <v>3752379.4088743594</v>
      </c>
      <c r="H139" s="526">
        <f t="shared" si="53"/>
        <v>1872431.0797981829</v>
      </c>
      <c r="I139" s="577">
        <f t="shared" si="54"/>
        <v>1872431.0797981829</v>
      </c>
      <c r="J139" s="514">
        <f t="shared" si="55"/>
        <v>0</v>
      </c>
      <c r="K139" s="514"/>
      <c r="L139" s="525"/>
      <c r="M139" s="514">
        <f t="shared" si="56"/>
        <v>0</v>
      </c>
      <c r="N139" s="525"/>
      <c r="O139" s="514">
        <f t="shared" si="57"/>
        <v>0</v>
      </c>
      <c r="P139" s="514">
        <f t="shared" si="58"/>
        <v>0</v>
      </c>
      <c r="Q139" s="269"/>
    </row>
    <row r="140" spans="2:17">
      <c r="B140" s="195" t="str">
        <f t="shared" si="59"/>
        <v/>
      </c>
      <c r="C140" s="507">
        <f>IF(D93="","-",+C139+1)</f>
        <v>2053</v>
      </c>
      <c r="D140" s="374">
        <f>IF(F139+SUM(E$99:E139)=D$92,F139,D$92-SUM(E$99:E139))</f>
        <v>3029138.0918011889</v>
      </c>
      <c r="E140" s="522">
        <f>IF(+J96&lt;F139,J96,D140)</f>
        <v>1446482.6341463414</v>
      </c>
      <c r="F140" s="523">
        <f t="shared" si="60"/>
        <v>1582655.4576548475</v>
      </c>
      <c r="G140" s="523">
        <f t="shared" si="52"/>
        <v>2305896.7747280183</v>
      </c>
      <c r="H140" s="526">
        <f t="shared" si="53"/>
        <v>1708234.722622819</v>
      </c>
      <c r="I140" s="577">
        <f t="shared" si="54"/>
        <v>1708234.722622819</v>
      </c>
      <c r="J140" s="514">
        <f t="shared" si="55"/>
        <v>0</v>
      </c>
      <c r="K140" s="514"/>
      <c r="L140" s="525"/>
      <c r="M140" s="514">
        <f t="shared" si="56"/>
        <v>0</v>
      </c>
      <c r="N140" s="525"/>
      <c r="O140" s="514">
        <f t="shared" si="57"/>
        <v>0</v>
      </c>
      <c r="P140" s="514">
        <f t="shared" si="58"/>
        <v>0</v>
      </c>
      <c r="Q140" s="269"/>
    </row>
    <row r="141" spans="2:17">
      <c r="B141" s="195" t="str">
        <f t="shared" si="59"/>
        <v/>
      </c>
      <c r="C141" s="507">
        <f>IF(D93="","-",+C140+1)</f>
        <v>2054</v>
      </c>
      <c r="D141" s="374">
        <f>IF(F140+SUM(E$99:E140)=D$92,F140,D$92-SUM(E$99:E140))</f>
        <v>1582655.4576548475</v>
      </c>
      <c r="E141" s="522">
        <f>IF(+J96&lt;F140,J96,D141)</f>
        <v>1446482.6341463414</v>
      </c>
      <c r="F141" s="523">
        <f t="shared" si="60"/>
        <v>136172.82350850618</v>
      </c>
      <c r="G141" s="523">
        <f t="shared" si="52"/>
        <v>859414.14058167685</v>
      </c>
      <c r="H141" s="526">
        <f t="shared" si="53"/>
        <v>1544038.3654474551</v>
      </c>
      <c r="I141" s="577">
        <f t="shared" si="54"/>
        <v>1544038.3654474551</v>
      </c>
      <c r="J141" s="514">
        <f t="shared" si="55"/>
        <v>0</v>
      </c>
      <c r="K141" s="514"/>
      <c r="L141" s="525"/>
      <c r="M141" s="514">
        <f t="shared" si="56"/>
        <v>0</v>
      </c>
      <c r="N141" s="525"/>
      <c r="O141" s="514">
        <f t="shared" si="57"/>
        <v>0</v>
      </c>
      <c r="P141" s="514">
        <f t="shared" si="58"/>
        <v>0</v>
      </c>
      <c r="Q141" s="269"/>
    </row>
    <row r="142" spans="2:17">
      <c r="B142" s="195" t="str">
        <f t="shared" si="59"/>
        <v/>
      </c>
      <c r="C142" s="507">
        <f>IF(D93="","-",+C141+1)</f>
        <v>2055</v>
      </c>
      <c r="D142" s="374">
        <f>IF(F141+SUM(E$99:E141)=D$92,F141,D$92-SUM(E$99:E141))</f>
        <v>136172.82350850618</v>
      </c>
      <c r="E142" s="522">
        <f>IF(+J96&lt;F141,J96,D142)</f>
        <v>136172.82350850618</v>
      </c>
      <c r="F142" s="523">
        <f t="shared" si="60"/>
        <v>0</v>
      </c>
      <c r="G142" s="523">
        <f t="shared" si="52"/>
        <v>68086.411754253088</v>
      </c>
      <c r="H142" s="526">
        <f t="shared" si="53"/>
        <v>143901.59986522197</v>
      </c>
      <c r="I142" s="577">
        <f t="shared" si="54"/>
        <v>143901.59986522197</v>
      </c>
      <c r="J142" s="514">
        <f t="shared" si="55"/>
        <v>0</v>
      </c>
      <c r="K142" s="514"/>
      <c r="L142" s="525"/>
      <c r="M142" s="514">
        <f t="shared" si="56"/>
        <v>0</v>
      </c>
      <c r="N142" s="525"/>
      <c r="O142" s="514">
        <f t="shared" si="57"/>
        <v>0</v>
      </c>
      <c r="P142" s="514">
        <f t="shared" si="58"/>
        <v>0</v>
      </c>
      <c r="Q142" s="269"/>
    </row>
    <row r="143" spans="2:17">
      <c r="B143" s="195" t="str">
        <f t="shared" si="59"/>
        <v/>
      </c>
      <c r="C143" s="507">
        <f>IF(D93="","-",+C142+1)</f>
        <v>2056</v>
      </c>
      <c r="D143" s="374">
        <f>IF(F142+SUM(E$99:E142)=D$92,F142,D$92-SUM(E$99:E142))</f>
        <v>0</v>
      </c>
      <c r="E143" s="522">
        <f>IF(+J96&lt;F142,J96,D143)</f>
        <v>0</v>
      </c>
      <c r="F143" s="523">
        <f t="shared" si="60"/>
        <v>0</v>
      </c>
      <c r="G143" s="523">
        <f t="shared" si="52"/>
        <v>0</v>
      </c>
      <c r="H143" s="526">
        <f t="shared" si="53"/>
        <v>0</v>
      </c>
      <c r="I143" s="577">
        <f t="shared" si="54"/>
        <v>0</v>
      </c>
      <c r="J143" s="514">
        <f t="shared" si="55"/>
        <v>0</v>
      </c>
      <c r="K143" s="514"/>
      <c r="L143" s="525"/>
      <c r="M143" s="514">
        <f t="shared" si="56"/>
        <v>0</v>
      </c>
      <c r="N143" s="525"/>
      <c r="O143" s="514">
        <f t="shared" si="57"/>
        <v>0</v>
      </c>
      <c r="P143" s="514">
        <f t="shared" si="58"/>
        <v>0</v>
      </c>
      <c r="Q143" s="269"/>
    </row>
    <row r="144" spans="2:17">
      <c r="B144" s="195" t="str">
        <f t="shared" si="59"/>
        <v/>
      </c>
      <c r="C144" s="507">
        <f>IF(D93="","-",+C143+1)</f>
        <v>2057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60"/>
        <v>0</v>
      </c>
      <c r="G144" s="523">
        <f t="shared" si="52"/>
        <v>0</v>
      </c>
      <c r="H144" s="526">
        <f t="shared" si="53"/>
        <v>0</v>
      </c>
      <c r="I144" s="577">
        <f t="shared" si="54"/>
        <v>0</v>
      </c>
      <c r="J144" s="514">
        <f t="shared" si="55"/>
        <v>0</v>
      </c>
      <c r="K144" s="514"/>
      <c r="L144" s="525"/>
      <c r="M144" s="514">
        <f t="shared" si="56"/>
        <v>0</v>
      </c>
      <c r="N144" s="525"/>
      <c r="O144" s="514">
        <f t="shared" si="57"/>
        <v>0</v>
      </c>
      <c r="P144" s="514">
        <f t="shared" si="58"/>
        <v>0</v>
      </c>
      <c r="Q144" s="269"/>
    </row>
    <row r="145" spans="2:17">
      <c r="B145" s="195" t="str">
        <f t="shared" si="59"/>
        <v/>
      </c>
      <c r="C145" s="507">
        <f>IF(D93="","-",+C144+1)</f>
        <v>2058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60"/>
        <v>0</v>
      </c>
      <c r="G145" s="523">
        <f t="shared" si="52"/>
        <v>0</v>
      </c>
      <c r="H145" s="526">
        <f t="shared" si="53"/>
        <v>0</v>
      </c>
      <c r="I145" s="577">
        <f t="shared" si="54"/>
        <v>0</v>
      </c>
      <c r="J145" s="514">
        <f t="shared" si="55"/>
        <v>0</v>
      </c>
      <c r="K145" s="514"/>
      <c r="L145" s="525"/>
      <c r="M145" s="514">
        <f t="shared" si="56"/>
        <v>0</v>
      </c>
      <c r="N145" s="525"/>
      <c r="O145" s="514">
        <f t="shared" si="57"/>
        <v>0</v>
      </c>
      <c r="P145" s="514">
        <f t="shared" si="58"/>
        <v>0</v>
      </c>
      <c r="Q145" s="269"/>
    </row>
    <row r="146" spans="2:17">
      <c r="B146" s="195" t="str">
        <f t="shared" si="59"/>
        <v/>
      </c>
      <c r="C146" s="507">
        <f>IF(D93="","-",+C145+1)</f>
        <v>2059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60"/>
        <v>0</v>
      </c>
      <c r="G146" s="523">
        <f t="shared" si="52"/>
        <v>0</v>
      </c>
      <c r="H146" s="526">
        <f t="shared" si="53"/>
        <v>0</v>
      </c>
      <c r="I146" s="577">
        <f t="shared" si="54"/>
        <v>0</v>
      </c>
      <c r="J146" s="514">
        <f t="shared" si="55"/>
        <v>0</v>
      </c>
      <c r="K146" s="514"/>
      <c r="L146" s="525"/>
      <c r="M146" s="514">
        <f t="shared" si="56"/>
        <v>0</v>
      </c>
      <c r="N146" s="525"/>
      <c r="O146" s="514">
        <f t="shared" si="57"/>
        <v>0</v>
      </c>
      <c r="P146" s="514">
        <f t="shared" si="58"/>
        <v>0</v>
      </c>
      <c r="Q146" s="269"/>
    </row>
    <row r="147" spans="2:17">
      <c r="B147" s="195" t="str">
        <f t="shared" si="59"/>
        <v/>
      </c>
      <c r="C147" s="507">
        <f>IF(D93="","-",+C146+1)</f>
        <v>2060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60"/>
        <v>0</v>
      </c>
      <c r="G147" s="523">
        <f t="shared" si="52"/>
        <v>0</v>
      </c>
      <c r="H147" s="526">
        <f t="shared" si="53"/>
        <v>0</v>
      </c>
      <c r="I147" s="577">
        <f t="shared" si="54"/>
        <v>0</v>
      </c>
      <c r="J147" s="514">
        <f t="shared" si="55"/>
        <v>0</v>
      </c>
      <c r="K147" s="514"/>
      <c r="L147" s="525"/>
      <c r="M147" s="514">
        <f t="shared" si="56"/>
        <v>0</v>
      </c>
      <c r="N147" s="525"/>
      <c r="O147" s="514">
        <f t="shared" si="57"/>
        <v>0</v>
      </c>
      <c r="P147" s="514">
        <f t="shared" si="58"/>
        <v>0</v>
      </c>
      <c r="Q147" s="269"/>
    </row>
    <row r="148" spans="2:17">
      <c r="B148" s="195" t="str">
        <f t="shared" si="59"/>
        <v/>
      </c>
      <c r="C148" s="507">
        <f>IF(D93="","-",+C147+1)</f>
        <v>2061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60"/>
        <v>0</v>
      </c>
      <c r="G148" s="523">
        <f t="shared" si="52"/>
        <v>0</v>
      </c>
      <c r="H148" s="526">
        <f t="shared" si="53"/>
        <v>0</v>
      </c>
      <c r="I148" s="577">
        <f t="shared" si="54"/>
        <v>0</v>
      </c>
      <c r="J148" s="514">
        <f t="shared" si="55"/>
        <v>0</v>
      </c>
      <c r="K148" s="514"/>
      <c r="L148" s="525"/>
      <c r="M148" s="514">
        <f t="shared" si="56"/>
        <v>0</v>
      </c>
      <c r="N148" s="525"/>
      <c r="O148" s="514">
        <f t="shared" si="57"/>
        <v>0</v>
      </c>
      <c r="P148" s="514">
        <f t="shared" si="58"/>
        <v>0</v>
      </c>
      <c r="Q148" s="269"/>
    </row>
    <row r="149" spans="2:17">
      <c r="B149" s="195" t="str">
        <f t="shared" si="59"/>
        <v/>
      </c>
      <c r="C149" s="507">
        <f>IF(D93="","-",+C148+1)</f>
        <v>2062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60"/>
        <v>0</v>
      </c>
      <c r="G149" s="523">
        <f t="shared" si="52"/>
        <v>0</v>
      </c>
      <c r="H149" s="526">
        <f t="shared" si="53"/>
        <v>0</v>
      </c>
      <c r="I149" s="577">
        <f t="shared" si="54"/>
        <v>0</v>
      </c>
      <c r="J149" s="514">
        <f t="shared" si="55"/>
        <v>0</v>
      </c>
      <c r="K149" s="514"/>
      <c r="L149" s="525"/>
      <c r="M149" s="514">
        <f t="shared" si="56"/>
        <v>0</v>
      </c>
      <c r="N149" s="525"/>
      <c r="O149" s="514">
        <f t="shared" si="57"/>
        <v>0</v>
      </c>
      <c r="P149" s="514">
        <f t="shared" si="58"/>
        <v>0</v>
      </c>
      <c r="Q149" s="269"/>
    </row>
    <row r="150" spans="2:17">
      <c r="B150" s="195" t="str">
        <f t="shared" si="59"/>
        <v/>
      </c>
      <c r="C150" s="507">
        <f>IF(D93="","-",+C149+1)</f>
        <v>2063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60"/>
        <v>0</v>
      </c>
      <c r="G150" s="523">
        <f t="shared" si="52"/>
        <v>0</v>
      </c>
      <c r="H150" s="526">
        <f t="shared" si="53"/>
        <v>0</v>
      </c>
      <c r="I150" s="577">
        <f t="shared" si="54"/>
        <v>0</v>
      </c>
      <c r="J150" s="514">
        <f t="shared" si="55"/>
        <v>0</v>
      </c>
      <c r="K150" s="514"/>
      <c r="L150" s="525"/>
      <c r="M150" s="514">
        <f t="shared" si="56"/>
        <v>0</v>
      </c>
      <c r="N150" s="525"/>
      <c r="O150" s="514">
        <f t="shared" si="57"/>
        <v>0</v>
      </c>
      <c r="P150" s="514">
        <f t="shared" si="58"/>
        <v>0</v>
      </c>
      <c r="Q150" s="269"/>
    </row>
    <row r="151" spans="2:17">
      <c r="B151" s="195" t="str">
        <f t="shared" si="59"/>
        <v/>
      </c>
      <c r="C151" s="507">
        <f>IF(D93="","-",+C150+1)</f>
        <v>2064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60"/>
        <v>0</v>
      </c>
      <c r="G151" s="523">
        <f t="shared" si="52"/>
        <v>0</v>
      </c>
      <c r="H151" s="526">
        <f t="shared" si="53"/>
        <v>0</v>
      </c>
      <c r="I151" s="577">
        <f t="shared" si="54"/>
        <v>0</v>
      </c>
      <c r="J151" s="514">
        <f t="shared" si="55"/>
        <v>0</v>
      </c>
      <c r="K151" s="514"/>
      <c r="L151" s="525"/>
      <c r="M151" s="514">
        <f t="shared" si="56"/>
        <v>0</v>
      </c>
      <c r="N151" s="525"/>
      <c r="O151" s="514">
        <f t="shared" si="57"/>
        <v>0</v>
      </c>
      <c r="P151" s="514">
        <f t="shared" si="58"/>
        <v>0</v>
      </c>
      <c r="Q151" s="269"/>
    </row>
    <row r="152" spans="2:17">
      <c r="B152" s="195" t="str">
        <f t="shared" si="59"/>
        <v/>
      </c>
      <c r="C152" s="507">
        <f>IF(D93="","-",+C151+1)</f>
        <v>2065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60"/>
        <v>0</v>
      </c>
      <c r="G152" s="523">
        <f t="shared" si="52"/>
        <v>0</v>
      </c>
      <c r="H152" s="526">
        <f t="shared" si="53"/>
        <v>0</v>
      </c>
      <c r="I152" s="577">
        <f t="shared" si="54"/>
        <v>0</v>
      </c>
      <c r="J152" s="514">
        <f t="shared" si="55"/>
        <v>0</v>
      </c>
      <c r="K152" s="514"/>
      <c r="L152" s="525"/>
      <c r="M152" s="514">
        <f t="shared" si="56"/>
        <v>0</v>
      </c>
      <c r="N152" s="525"/>
      <c r="O152" s="514">
        <f t="shared" si="57"/>
        <v>0</v>
      </c>
      <c r="P152" s="514">
        <f t="shared" si="58"/>
        <v>0</v>
      </c>
      <c r="Q152" s="269"/>
    </row>
    <row r="153" spans="2:17">
      <c r="B153" s="195" t="str">
        <f t="shared" si="59"/>
        <v/>
      </c>
      <c r="C153" s="507">
        <f>IF(D93="","-",+C152+1)</f>
        <v>2066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60"/>
        <v>0</v>
      </c>
      <c r="G153" s="523">
        <f t="shared" si="52"/>
        <v>0</v>
      </c>
      <c r="H153" s="526">
        <f t="shared" si="53"/>
        <v>0</v>
      </c>
      <c r="I153" s="577">
        <f t="shared" si="54"/>
        <v>0</v>
      </c>
      <c r="J153" s="514">
        <f t="shared" si="55"/>
        <v>0</v>
      </c>
      <c r="K153" s="514"/>
      <c r="L153" s="525"/>
      <c r="M153" s="514">
        <f t="shared" si="56"/>
        <v>0</v>
      </c>
      <c r="N153" s="525"/>
      <c r="O153" s="514">
        <f t="shared" si="57"/>
        <v>0</v>
      </c>
      <c r="P153" s="514">
        <f t="shared" si="58"/>
        <v>0</v>
      </c>
      <c r="Q153" s="269"/>
    </row>
    <row r="154" spans="2:17" ht="13.5" thickBot="1">
      <c r="B154" s="195" t="str">
        <f t="shared" si="59"/>
        <v/>
      </c>
      <c r="C154" s="527">
        <f>IF(D93="","-",+C153+1)</f>
        <v>2067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60"/>
        <v>0</v>
      </c>
      <c r="G154" s="528">
        <f t="shared" si="52"/>
        <v>0</v>
      </c>
      <c r="H154" s="530">
        <f t="shared" si="53"/>
        <v>0</v>
      </c>
      <c r="I154" s="579">
        <f t="shared" si="54"/>
        <v>0</v>
      </c>
      <c r="J154" s="533">
        <f t="shared" si="55"/>
        <v>0</v>
      </c>
      <c r="K154" s="514"/>
      <c r="L154" s="532"/>
      <c r="M154" s="533">
        <f t="shared" si="56"/>
        <v>0</v>
      </c>
      <c r="N154" s="532"/>
      <c r="O154" s="533">
        <f t="shared" si="57"/>
        <v>0</v>
      </c>
      <c r="P154" s="533">
        <f t="shared" si="58"/>
        <v>0</v>
      </c>
      <c r="Q154" s="269"/>
    </row>
    <row r="155" spans="2:17">
      <c r="C155" s="374" t="s">
        <v>78</v>
      </c>
      <c r="D155" s="375"/>
      <c r="E155" s="375">
        <f>SUM(E99:E154)</f>
        <v>59305787.999999978</v>
      </c>
      <c r="F155" s="375"/>
      <c r="G155" s="375"/>
      <c r="H155" s="375">
        <f>SUM(H99:H154)</f>
        <v>201621492.81522894</v>
      </c>
      <c r="I155" s="375">
        <f>SUM(I99:I154)</f>
        <v>201621492.81522894</v>
      </c>
      <c r="J155" s="375">
        <f>SUM(J99:J154)</f>
        <v>0</v>
      </c>
      <c r="K155" s="375"/>
      <c r="L155" s="375"/>
      <c r="M155" s="375"/>
      <c r="N155" s="375"/>
      <c r="O155" s="375"/>
      <c r="P155" s="269"/>
      <c r="Q155" s="269"/>
    </row>
    <row r="156" spans="2:17"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  <c r="Q156" s="269"/>
    </row>
    <row r="157" spans="2:17">
      <c r="C157" s="580" t="s">
        <v>92</v>
      </c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  <c r="Q157" s="269"/>
    </row>
    <row r="158" spans="2:17"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  <c r="Q158" s="269"/>
    </row>
    <row r="159" spans="2:17">
      <c r="C159" s="534" t="s">
        <v>97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  <c r="Q159" s="269"/>
    </row>
    <row r="160" spans="2:17">
      <c r="C160" s="581" t="s">
        <v>79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  <c r="Q160" s="269"/>
    </row>
    <row r="161" spans="3:17">
      <c r="C161" s="581" t="s">
        <v>80</v>
      </c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  <c r="Q161" s="269"/>
    </row>
    <row r="162" spans="3:17" ht="18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454" t="s">
        <v>131</v>
      </c>
      <c r="Q162" s="269"/>
    </row>
  </sheetData>
  <phoneticPr fontId="0" type="noConversion"/>
  <conditionalFormatting sqref="C17:C72">
    <cfRule type="cellIs" dxfId="97" priority="1" stopIfTrue="1" operator="equal">
      <formula>$I$10</formula>
    </cfRule>
  </conditionalFormatting>
  <conditionalFormatting sqref="C99:C154">
    <cfRule type="cellIs" dxfId="96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70"/>
  <dimension ref="A1:Q162"/>
  <sheetViews>
    <sheetView topLeftCell="A97" zoomScaleNormal="100" zoomScaleSheetLayoutView="75" workbookViewId="0">
      <selection activeCell="D99" sqref="D99:I108"/>
    </sheetView>
  </sheetViews>
  <sheetFormatPr defaultColWidth="8.7109375" defaultRowHeight="12.75" customHeight="1"/>
  <cols>
    <col min="1" max="1" width="4.7109375" style="183" customWidth="1"/>
    <col min="2" max="2" width="6.7109375" style="183" customWidth="1"/>
    <col min="3" max="3" width="23.28515625" style="183" customWidth="1"/>
    <col min="4" max="8" width="17.7109375" style="183" customWidth="1"/>
    <col min="9" max="9" width="20.42578125" style="183" customWidth="1"/>
    <col min="10" max="10" width="16.42578125" style="183" customWidth="1"/>
    <col min="11" max="11" width="17.7109375" style="183" customWidth="1"/>
    <col min="12" max="12" width="18.42578125" style="183" customWidth="1"/>
    <col min="13" max="13" width="17.7109375" style="183" customWidth="1"/>
    <col min="14" max="14" width="19.140625" style="183" customWidth="1"/>
    <col min="15" max="15" width="20.140625" style="183" customWidth="1"/>
    <col min="16" max="16" width="24.42578125" style="183" customWidth="1"/>
    <col min="17" max="17" width="4.7109375" style="183" customWidth="1"/>
    <col min="18" max="22" width="8.7109375" style="183"/>
    <col min="23" max="23" width="9.140625" style="183" customWidth="1"/>
    <col min="24" max="16384" width="8.7109375" style="183"/>
  </cols>
  <sheetData>
    <row r="1" spans="1:17" ht="20.25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34 of 75</v>
      </c>
      <c r="Q1" s="453"/>
    </row>
    <row r="2" spans="1:17" ht="18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538" t="s">
        <v>129</v>
      </c>
    </row>
    <row r="3" spans="1:17" ht="18.75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/>
      <c r="P3" s="623">
        <v>1</v>
      </c>
    </row>
    <row r="4" spans="1:17" ht="15.75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7" ht="1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953985.28720160865</v>
      </c>
      <c r="P5" s="269"/>
    </row>
    <row r="6" spans="1:17" ht="15.7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953985.28720160865</v>
      </c>
      <c r="O6" s="269"/>
      <c r="P6" s="269"/>
    </row>
    <row r="7" spans="1:17" ht="13.5" thickBot="1">
      <c r="C7" s="467" t="s">
        <v>48</v>
      </c>
      <c r="D7" s="624" t="s">
        <v>297</v>
      </c>
      <c r="E7" s="587"/>
      <c r="F7" s="587"/>
      <c r="G7" s="587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7" ht="13.5" thickBot="1">
      <c r="C8" s="472"/>
      <c r="D8" s="625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7" ht="13.5" thickBot="1">
      <c r="C9" s="476" t="s">
        <v>50</v>
      </c>
      <c r="D9" s="477" t="s">
        <v>295</v>
      </c>
      <c r="E9" s="666" t="s">
        <v>495</v>
      </c>
      <c r="F9" s="478"/>
      <c r="G9" s="478"/>
      <c r="H9" s="478"/>
      <c r="I9" s="479"/>
      <c r="J9" s="480"/>
      <c r="O9" s="481"/>
      <c r="P9" s="272"/>
    </row>
    <row r="10" spans="1:17">
      <c r="C10" s="482" t="s">
        <v>51</v>
      </c>
      <c r="D10" s="483">
        <v>8598828</v>
      </c>
      <c r="E10" s="353" t="s">
        <v>52</v>
      </c>
      <c r="F10" s="481"/>
      <c r="G10" s="484"/>
      <c r="H10" s="484"/>
      <c r="I10" s="485">
        <f>+'SWE.WS.F.BPU.ATRR.Projected'!L19</f>
        <v>2024</v>
      </c>
      <c r="J10" s="480"/>
      <c r="K10" s="375" t="s">
        <v>53</v>
      </c>
      <c r="O10" s="272"/>
      <c r="P10" s="272"/>
    </row>
    <row r="11" spans="1:17">
      <c r="C11" s="486" t="s">
        <v>54</v>
      </c>
      <c r="D11" s="487">
        <v>2013</v>
      </c>
      <c r="E11" s="486" t="s">
        <v>55</v>
      </c>
      <c r="F11" s="484"/>
      <c r="G11" s="233"/>
      <c r="H11" s="233"/>
      <c r="I11" s="488">
        <f>IF(G5="",0,'SWE.WS.F.BPU.ATRR.Projected'!F$13)</f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7">
      <c r="C12" s="486" t="s">
        <v>56</v>
      </c>
      <c r="D12" s="483">
        <v>11</v>
      </c>
      <c r="E12" s="486" t="s">
        <v>57</v>
      </c>
      <c r="F12" s="484"/>
      <c r="G12" s="233"/>
      <c r="H12" s="233"/>
      <c r="I12" s="490">
        <f>'SWE.WS.F.BPU.ATRR.Projected'!$F$81</f>
        <v>0.11952713165403545</v>
      </c>
      <c r="J12" s="425"/>
      <c r="K12" s="183" t="s">
        <v>58</v>
      </c>
      <c r="O12" s="272"/>
      <c r="P12" s="272"/>
    </row>
    <row r="13" spans="1:17">
      <c r="C13" s="486" t="s">
        <v>59</v>
      </c>
      <c r="D13" s="488">
        <f>+'SWE.WS.F.BPU.ATRR.Projected'!F$93</f>
        <v>44</v>
      </c>
      <c r="E13" s="486" t="s">
        <v>60</v>
      </c>
      <c r="F13" s="484"/>
      <c r="G13" s="233"/>
      <c r="H13" s="233"/>
      <c r="I13" s="490">
        <f>IF(G5="",I12,'SWE.WS.F.BPU.ATRR.Projected'!$F$80)</f>
        <v>0.11952713165403545</v>
      </c>
      <c r="J13" s="425"/>
      <c r="K13" s="375" t="s">
        <v>61</v>
      </c>
      <c r="L13" s="324"/>
      <c r="M13" s="324"/>
      <c r="N13" s="324"/>
      <c r="O13" s="272"/>
      <c r="P13" s="272"/>
    </row>
    <row r="14" spans="1:17" ht="13.5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195427.90909090909</v>
      </c>
      <c r="J14" s="375"/>
      <c r="K14" s="375"/>
      <c r="L14" s="375"/>
      <c r="M14" s="375"/>
      <c r="N14" s="375"/>
      <c r="O14" s="272"/>
      <c r="P14" s="272"/>
    </row>
    <row r="15" spans="1:17" ht="38.25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388</v>
      </c>
      <c r="H15" s="495" t="s">
        <v>389</v>
      </c>
      <c r="I15" s="492" t="s">
        <v>68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7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>
      <c r="C17" s="507">
        <f>IF(D11= "","-",D11)</f>
        <v>2013</v>
      </c>
      <c r="D17" s="626">
        <v>8177700</v>
      </c>
      <c r="E17" s="627">
        <v>97353.571428571435</v>
      </c>
      <c r="F17" s="626">
        <v>8080346.4285714282</v>
      </c>
      <c r="G17" s="627">
        <v>1228497.690125915</v>
      </c>
      <c r="H17" s="610">
        <v>1228497.690125915</v>
      </c>
      <c r="I17" s="616">
        <v>0</v>
      </c>
      <c r="J17" s="511"/>
      <c r="K17" s="512">
        <f t="shared" ref="K17:K22" si="0">G17</f>
        <v>1228497.690125915</v>
      </c>
      <c r="L17" s="597">
        <f t="shared" ref="L17:L22" si="1">IF(K17&lt;&gt;0,+G17-K17,0)</f>
        <v>0</v>
      </c>
      <c r="M17" s="512">
        <f t="shared" ref="M17:M22" si="2">H17</f>
        <v>1228497.690125915</v>
      </c>
      <c r="N17" s="513">
        <f t="shared" ref="N17:N22" si="3">IF(M17&lt;&gt;0,+H17-M17,0)</f>
        <v>0</v>
      </c>
      <c r="O17" s="514">
        <f t="shared" ref="O17:O22" si="4">+N17-L17</f>
        <v>0</v>
      </c>
      <c r="P17" s="272"/>
    </row>
    <row r="18" spans="2:16">
      <c r="B18" s="195" t="str">
        <f>IF(D18=F17,"","IU")</f>
        <v/>
      </c>
      <c r="C18" s="507">
        <f>IF(D11="","-",+C17+1)</f>
        <v>2014</v>
      </c>
      <c r="D18" s="626">
        <v>8080346.4285714282</v>
      </c>
      <c r="E18" s="609">
        <v>204615.59523809524</v>
      </c>
      <c r="F18" s="626">
        <v>7875730.833333333</v>
      </c>
      <c r="G18" s="609">
        <v>1267134.4448032489</v>
      </c>
      <c r="H18" s="610">
        <v>1267134.4448032489</v>
      </c>
      <c r="I18" s="616">
        <v>0</v>
      </c>
      <c r="J18" s="511"/>
      <c r="K18" s="518">
        <f t="shared" si="0"/>
        <v>1267134.4448032489</v>
      </c>
      <c r="L18" s="519">
        <f t="shared" si="1"/>
        <v>0</v>
      </c>
      <c r="M18" s="518">
        <f t="shared" si="2"/>
        <v>1267134.4448032489</v>
      </c>
      <c r="N18" s="514">
        <f t="shared" si="3"/>
        <v>0</v>
      </c>
      <c r="O18" s="514">
        <f t="shared" si="4"/>
        <v>0</v>
      </c>
      <c r="P18" s="272"/>
    </row>
    <row r="19" spans="2:16">
      <c r="B19" s="195" t="str">
        <f>IF(D19=F18,"","IU")</f>
        <v/>
      </c>
      <c r="C19" s="507">
        <f>IF(D11="","-",+C18+1)</f>
        <v>2015</v>
      </c>
      <c r="D19" s="626">
        <v>7875730.833333333</v>
      </c>
      <c r="E19" s="609">
        <v>204734</v>
      </c>
      <c r="F19" s="626">
        <v>7670996.833333333</v>
      </c>
      <c r="G19" s="609">
        <v>1215041.1112148757</v>
      </c>
      <c r="H19" s="610">
        <v>1215041.1112148757</v>
      </c>
      <c r="I19" s="511">
        <v>0</v>
      </c>
      <c r="J19" s="511"/>
      <c r="K19" s="518">
        <f t="shared" si="0"/>
        <v>1215041.1112148757</v>
      </c>
      <c r="L19" s="519">
        <f t="shared" si="1"/>
        <v>0</v>
      </c>
      <c r="M19" s="518">
        <f t="shared" si="2"/>
        <v>1215041.1112148757</v>
      </c>
      <c r="N19" s="514">
        <f t="shared" si="3"/>
        <v>0</v>
      </c>
      <c r="O19" s="514">
        <f t="shared" si="4"/>
        <v>0</v>
      </c>
      <c r="P19" s="272"/>
    </row>
    <row r="20" spans="2:16">
      <c r="B20" s="195" t="str">
        <f t="shared" ref="B20:B72" si="5">IF(D20=F19,"","IU")</f>
        <v>IU</v>
      </c>
      <c r="C20" s="507">
        <f>IF(D11="","-",+C19+1)</f>
        <v>2016</v>
      </c>
      <c r="D20" s="626">
        <v>8092124.833333333</v>
      </c>
      <c r="E20" s="609">
        <v>204734</v>
      </c>
      <c r="F20" s="626">
        <v>7887390.833333333</v>
      </c>
      <c r="G20" s="609">
        <v>1230725.6025644462</v>
      </c>
      <c r="H20" s="610">
        <v>1230725.6025644462</v>
      </c>
      <c r="I20" s="511">
        <f>H20-G20</f>
        <v>0</v>
      </c>
      <c r="J20" s="511"/>
      <c r="K20" s="518">
        <f t="shared" si="0"/>
        <v>1230725.6025644462</v>
      </c>
      <c r="L20" s="519">
        <f t="shared" si="1"/>
        <v>0</v>
      </c>
      <c r="M20" s="518">
        <f t="shared" si="2"/>
        <v>1230725.6025644462</v>
      </c>
      <c r="N20" s="514">
        <f t="shared" si="3"/>
        <v>0</v>
      </c>
      <c r="O20" s="514">
        <f t="shared" si="4"/>
        <v>0</v>
      </c>
      <c r="P20" s="272"/>
    </row>
    <row r="21" spans="2:16">
      <c r="B21" s="195" t="str">
        <f t="shared" si="5"/>
        <v/>
      </c>
      <c r="C21" s="507">
        <f>IF(D11="","-",+C20+1)</f>
        <v>2017</v>
      </c>
      <c r="D21" s="626">
        <v>7887390.833333333</v>
      </c>
      <c r="E21" s="609">
        <v>199972.7441860465</v>
      </c>
      <c r="F21" s="626">
        <v>7687418.0891472865</v>
      </c>
      <c r="G21" s="609">
        <v>1164774.0131848808</v>
      </c>
      <c r="H21" s="610">
        <v>1164774.0131848808</v>
      </c>
      <c r="I21" s="511">
        <f t="shared" ref="I21:I72" si="6">H21-G21</f>
        <v>0</v>
      </c>
      <c r="J21" s="511"/>
      <c r="K21" s="518">
        <f t="shared" si="0"/>
        <v>1164774.0131848808</v>
      </c>
      <c r="L21" s="519">
        <f t="shared" si="1"/>
        <v>0</v>
      </c>
      <c r="M21" s="518">
        <f t="shared" si="2"/>
        <v>1164774.0131848808</v>
      </c>
      <c r="N21" s="514">
        <f t="shared" si="3"/>
        <v>0</v>
      </c>
      <c r="O21" s="514">
        <f t="shared" si="4"/>
        <v>0</v>
      </c>
      <c r="P21" s="272"/>
    </row>
    <row r="22" spans="2:16">
      <c r="B22" s="195" t="str">
        <f t="shared" si="5"/>
        <v/>
      </c>
      <c r="C22" s="507">
        <f>IF(D11="","-",+C21+1)</f>
        <v>2018</v>
      </c>
      <c r="D22" s="626">
        <v>7687418.0891472865</v>
      </c>
      <c r="E22" s="609">
        <v>209727.51219512196</v>
      </c>
      <c r="F22" s="626">
        <v>7477690.576952165</v>
      </c>
      <c r="G22" s="609">
        <v>1173425.4227286456</v>
      </c>
      <c r="H22" s="610">
        <v>1173425.4227286456</v>
      </c>
      <c r="I22" s="511">
        <f t="shared" si="6"/>
        <v>0</v>
      </c>
      <c r="J22" s="511"/>
      <c r="K22" s="518">
        <f t="shared" si="0"/>
        <v>1173425.4227286456</v>
      </c>
      <c r="L22" s="519">
        <f t="shared" si="1"/>
        <v>0</v>
      </c>
      <c r="M22" s="518">
        <f t="shared" si="2"/>
        <v>1173425.4227286456</v>
      </c>
      <c r="N22" s="514">
        <f t="shared" si="3"/>
        <v>0</v>
      </c>
      <c r="O22" s="514">
        <f t="shared" si="4"/>
        <v>0</v>
      </c>
      <c r="P22" s="272"/>
    </row>
    <row r="23" spans="2:16">
      <c r="B23" s="195" t="str">
        <f t="shared" si="5"/>
        <v/>
      </c>
      <c r="C23" s="507">
        <f>IF(D11="","-",+C22+1)</f>
        <v>2019</v>
      </c>
      <c r="D23" s="626">
        <v>7477690.576952165</v>
      </c>
      <c r="E23" s="609">
        <v>209727.51219512196</v>
      </c>
      <c r="F23" s="626">
        <v>7267963.0647570435</v>
      </c>
      <c r="G23" s="609">
        <v>1146770.2935457411</v>
      </c>
      <c r="H23" s="610">
        <v>1146770.2935457411</v>
      </c>
      <c r="I23" s="511">
        <f t="shared" si="6"/>
        <v>0</v>
      </c>
      <c r="J23" s="511"/>
      <c r="K23" s="518">
        <f t="shared" ref="K23" si="7">G23</f>
        <v>1146770.2935457411</v>
      </c>
      <c r="L23" s="519">
        <f t="shared" ref="L23" si="8">IF(K23&lt;&gt;0,+G23-K23,0)</f>
        <v>0</v>
      </c>
      <c r="M23" s="518">
        <f t="shared" ref="M23" si="9">H23</f>
        <v>1146770.2935457411</v>
      </c>
      <c r="N23" s="514">
        <f t="shared" ref="N23:N72" si="10">IF(M23&lt;&gt;0,+H23-M23,0)</f>
        <v>0</v>
      </c>
      <c r="O23" s="514">
        <f t="shared" ref="O23:O72" si="11">+N23-L23</f>
        <v>0</v>
      </c>
      <c r="P23" s="272"/>
    </row>
    <row r="24" spans="2:16">
      <c r="B24" s="195" t="str">
        <f t="shared" si="5"/>
        <v/>
      </c>
      <c r="C24" s="507">
        <f>IF(D11="","-",+C23+1)</f>
        <v>2020</v>
      </c>
      <c r="D24" s="626">
        <v>7267963.0647570435</v>
      </c>
      <c r="E24" s="609">
        <v>209727.51219512196</v>
      </c>
      <c r="F24" s="626">
        <v>7058235.552561922</v>
      </c>
      <c r="G24" s="609">
        <v>942766.54121136409</v>
      </c>
      <c r="H24" s="610">
        <v>942766.54121136409</v>
      </c>
      <c r="I24" s="511">
        <f t="shared" si="6"/>
        <v>0</v>
      </c>
      <c r="J24" s="511"/>
      <c r="K24" s="518">
        <f t="shared" ref="K24" si="12">G24</f>
        <v>942766.54121136409</v>
      </c>
      <c r="L24" s="519">
        <f t="shared" ref="L24" si="13">IF(K24&lt;&gt;0,+G24-K24,0)</f>
        <v>0</v>
      </c>
      <c r="M24" s="518">
        <f t="shared" ref="M24" si="14">H24</f>
        <v>942766.54121136409</v>
      </c>
      <c r="N24" s="514">
        <f t="shared" si="10"/>
        <v>0</v>
      </c>
      <c r="O24" s="514">
        <f t="shared" si="11"/>
        <v>0</v>
      </c>
      <c r="P24" s="272"/>
    </row>
    <row r="25" spans="2:16">
      <c r="B25" s="195" t="str">
        <f t="shared" si="5"/>
        <v>IU</v>
      </c>
      <c r="C25" s="507">
        <f>IF(D11="","-",+C24+1)</f>
        <v>2021</v>
      </c>
      <c r="D25" s="626">
        <v>7067990.320570996</v>
      </c>
      <c r="E25" s="609">
        <v>204734</v>
      </c>
      <c r="F25" s="626">
        <v>6863256.320570996</v>
      </c>
      <c r="G25" s="609">
        <v>943121.73103540705</v>
      </c>
      <c r="H25" s="610">
        <v>943121.73103540705</v>
      </c>
      <c r="I25" s="511">
        <f t="shared" si="6"/>
        <v>0</v>
      </c>
      <c r="J25" s="511"/>
      <c r="K25" s="518">
        <f t="shared" ref="K25" si="15">G25</f>
        <v>943121.73103540705</v>
      </c>
      <c r="L25" s="519">
        <f t="shared" ref="L25" si="16">IF(K25&lt;&gt;0,+G25-K25,0)</f>
        <v>0</v>
      </c>
      <c r="M25" s="518">
        <f t="shared" ref="M25" si="17">H25</f>
        <v>943121.73103540705</v>
      </c>
      <c r="N25" s="514">
        <f t="shared" si="10"/>
        <v>0</v>
      </c>
      <c r="O25" s="514">
        <f t="shared" si="11"/>
        <v>0</v>
      </c>
      <c r="P25" s="272"/>
    </row>
    <row r="26" spans="2:16">
      <c r="B26" s="195" t="str">
        <f t="shared" si="5"/>
        <v>IU</v>
      </c>
      <c r="C26" s="507">
        <f>IF(D11="","-",+C25+1)</f>
        <v>2022</v>
      </c>
      <c r="D26" s="626">
        <v>6853501.5525619211</v>
      </c>
      <c r="E26" s="609">
        <v>204734</v>
      </c>
      <c r="F26" s="626">
        <v>6648767.5525619211</v>
      </c>
      <c r="G26" s="609">
        <v>963859.22769891692</v>
      </c>
      <c r="H26" s="610">
        <v>963859.22769891692</v>
      </c>
      <c r="I26" s="511">
        <f t="shared" si="6"/>
        <v>0</v>
      </c>
      <c r="J26" s="511"/>
      <c r="K26" s="518">
        <f t="shared" ref="K26" si="18">G26</f>
        <v>963859.22769891692</v>
      </c>
      <c r="L26" s="519">
        <f t="shared" ref="L26" si="19">IF(K26&lt;&gt;0,+G26-K26,0)</f>
        <v>0</v>
      </c>
      <c r="M26" s="518">
        <f t="shared" ref="M26" si="20">H26</f>
        <v>963859.22769891692</v>
      </c>
      <c r="N26" s="514">
        <f t="shared" si="10"/>
        <v>0</v>
      </c>
      <c r="O26" s="514">
        <f t="shared" si="11"/>
        <v>0</v>
      </c>
      <c r="P26" s="272"/>
    </row>
    <row r="27" spans="2:16">
      <c r="B27" s="195" t="str">
        <f t="shared" si="5"/>
        <v/>
      </c>
      <c r="C27" s="507">
        <f>IF(D11="","-",+C26+1)</f>
        <v>2023</v>
      </c>
      <c r="D27" s="626">
        <v>6648767.5525619211</v>
      </c>
      <c r="E27" s="609">
        <v>204734</v>
      </c>
      <c r="F27" s="626">
        <v>6444033.5525619211</v>
      </c>
      <c r="G27" s="609">
        <v>1031719.7546332029</v>
      </c>
      <c r="H27" s="610">
        <v>1031719.7546332029</v>
      </c>
      <c r="I27" s="511">
        <f t="shared" si="6"/>
        <v>0</v>
      </c>
      <c r="J27" s="511"/>
      <c r="K27" s="518">
        <f t="shared" ref="K27" si="21">G27</f>
        <v>1031719.7546332029</v>
      </c>
      <c r="L27" s="519">
        <f t="shared" ref="L27" si="22">IF(K27&lt;&gt;0,+G27-K27,0)</f>
        <v>0</v>
      </c>
      <c r="M27" s="518">
        <f t="shared" ref="M27" si="23">H27</f>
        <v>1031719.7546332029</v>
      </c>
      <c r="N27" s="514">
        <f t="shared" ref="N27" si="24">IF(M27&lt;&gt;0,+H27-M27,0)</f>
        <v>0</v>
      </c>
      <c r="O27" s="514">
        <f t="shared" ref="O27" si="25">+N27-L27</f>
        <v>0</v>
      </c>
      <c r="P27" s="272"/>
    </row>
    <row r="28" spans="2:16">
      <c r="B28" s="195" t="str">
        <f t="shared" si="5"/>
        <v/>
      </c>
      <c r="C28" s="673">
        <f>IF(D11="","-",+C27+1)</f>
        <v>2024</v>
      </c>
      <c r="D28" s="523">
        <f>IF(F27+SUM(E$17:E27)=D$10,F27,D$10-SUM(E$17:E27))</f>
        <v>6444033.5525619211</v>
      </c>
      <c r="E28" s="522">
        <f t="shared" ref="E28:E72" si="26">IF(+$I$14&lt;F27,$I$14,D28)</f>
        <v>195427.90909090909</v>
      </c>
      <c r="F28" s="523">
        <f t="shared" ref="F28:F72" si="27">+D28-E28</f>
        <v>6248605.6434710119</v>
      </c>
      <c r="G28" s="524">
        <f t="shared" ref="G28:G52" si="28">+I$12*((D28+F28)/2)+E28</f>
        <v>953985.28720160865</v>
      </c>
      <c r="H28" s="491">
        <f t="shared" ref="H28:H52" si="29">+I$13*((D28+F28)/2)+E28</f>
        <v>953985.28720160865</v>
      </c>
      <c r="I28" s="511">
        <f t="shared" si="6"/>
        <v>0</v>
      </c>
      <c r="J28" s="511"/>
      <c r="K28" s="525"/>
      <c r="L28" s="514">
        <f t="shared" ref="L28:L72" si="30">IF(K28&lt;&gt;0,+G28-K28,0)</f>
        <v>0</v>
      </c>
      <c r="M28" s="525"/>
      <c r="N28" s="514">
        <f t="shared" si="10"/>
        <v>0</v>
      </c>
      <c r="O28" s="514">
        <f t="shared" si="11"/>
        <v>0</v>
      </c>
      <c r="P28" s="272"/>
    </row>
    <row r="29" spans="2:16">
      <c r="B29" s="195" t="str">
        <f t="shared" si="5"/>
        <v/>
      </c>
      <c r="C29" s="507">
        <f>IF(D11="","-",+C28+1)</f>
        <v>2025</v>
      </c>
      <c r="D29" s="523">
        <f>IF(F28+SUM(E$17:E28)=D$10,F28,D$10-SUM(E$17:E28))</f>
        <v>6248605.6434710119</v>
      </c>
      <c r="E29" s="522">
        <f t="shared" si="26"/>
        <v>195427.90909090909</v>
      </c>
      <c r="F29" s="523">
        <f t="shared" si="27"/>
        <v>6053177.7343801027</v>
      </c>
      <c r="G29" s="524">
        <f t="shared" si="28"/>
        <v>930626.3497828265</v>
      </c>
      <c r="H29" s="491">
        <f t="shared" si="29"/>
        <v>930626.3497828265</v>
      </c>
      <c r="I29" s="511">
        <f t="shared" si="6"/>
        <v>0</v>
      </c>
      <c r="J29" s="511"/>
      <c r="K29" s="525"/>
      <c r="L29" s="514">
        <f t="shared" si="30"/>
        <v>0</v>
      </c>
      <c r="M29" s="525"/>
      <c r="N29" s="514">
        <f t="shared" si="10"/>
        <v>0</v>
      </c>
      <c r="O29" s="514">
        <f t="shared" si="11"/>
        <v>0</v>
      </c>
      <c r="P29" s="272"/>
    </row>
    <row r="30" spans="2:16">
      <c r="B30" s="195" t="str">
        <f t="shared" si="5"/>
        <v/>
      </c>
      <c r="C30" s="507">
        <f>IF(D11="","-",+C29+1)</f>
        <v>2026</v>
      </c>
      <c r="D30" s="523">
        <f>IF(F29+SUM(E$17:E29)=D$10,F29,D$10-SUM(E$17:E29))</f>
        <v>6053177.7343801027</v>
      </c>
      <c r="E30" s="522">
        <f t="shared" si="26"/>
        <v>195427.90909090909</v>
      </c>
      <c r="F30" s="523">
        <f t="shared" si="27"/>
        <v>5857749.8252891935</v>
      </c>
      <c r="G30" s="524">
        <f t="shared" si="28"/>
        <v>907267.41236404469</v>
      </c>
      <c r="H30" s="491">
        <f t="shared" si="29"/>
        <v>907267.41236404469</v>
      </c>
      <c r="I30" s="511">
        <f t="shared" si="6"/>
        <v>0</v>
      </c>
      <c r="J30" s="511"/>
      <c r="K30" s="525"/>
      <c r="L30" s="514">
        <f t="shared" si="30"/>
        <v>0</v>
      </c>
      <c r="M30" s="525"/>
      <c r="N30" s="514">
        <f t="shared" si="10"/>
        <v>0</v>
      </c>
      <c r="O30" s="514">
        <f t="shared" si="11"/>
        <v>0</v>
      </c>
      <c r="P30" s="272"/>
    </row>
    <row r="31" spans="2:16">
      <c r="B31" s="195" t="str">
        <f t="shared" si="5"/>
        <v/>
      </c>
      <c r="C31" s="507">
        <f>IF(D11="","-",+C30+1)</f>
        <v>2027</v>
      </c>
      <c r="D31" s="523">
        <f>IF(F30+SUM(E$17:E30)=D$10,F30,D$10-SUM(E$17:E30))</f>
        <v>5857749.8252891935</v>
      </c>
      <c r="E31" s="522">
        <f t="shared" si="26"/>
        <v>195427.90909090909</v>
      </c>
      <c r="F31" s="523">
        <f t="shared" si="27"/>
        <v>5662321.9161982844</v>
      </c>
      <c r="G31" s="524">
        <f t="shared" si="28"/>
        <v>883908.47494526254</v>
      </c>
      <c r="H31" s="491">
        <f t="shared" si="29"/>
        <v>883908.47494526254</v>
      </c>
      <c r="I31" s="511">
        <f t="shared" si="6"/>
        <v>0</v>
      </c>
      <c r="J31" s="511"/>
      <c r="K31" s="525"/>
      <c r="L31" s="514">
        <f t="shared" si="30"/>
        <v>0</v>
      </c>
      <c r="M31" s="525"/>
      <c r="N31" s="514">
        <f t="shared" si="10"/>
        <v>0</v>
      </c>
      <c r="O31" s="514">
        <f t="shared" si="11"/>
        <v>0</v>
      </c>
      <c r="P31" s="272"/>
    </row>
    <row r="32" spans="2:16">
      <c r="B32" s="195" t="str">
        <f t="shared" si="5"/>
        <v/>
      </c>
      <c r="C32" s="507">
        <f>IF(D11="","-",+C31+1)</f>
        <v>2028</v>
      </c>
      <c r="D32" s="523">
        <f>IF(F31+SUM(E$17:E31)=D$10,F31,D$10-SUM(E$17:E31))</f>
        <v>5662321.9161982844</v>
      </c>
      <c r="E32" s="522">
        <f t="shared" si="26"/>
        <v>195427.90909090909</v>
      </c>
      <c r="F32" s="523">
        <f t="shared" si="27"/>
        <v>5466894.0071073752</v>
      </c>
      <c r="G32" s="524">
        <f t="shared" si="28"/>
        <v>860549.53752648074</v>
      </c>
      <c r="H32" s="491">
        <f t="shared" si="29"/>
        <v>860549.53752648074</v>
      </c>
      <c r="I32" s="511">
        <f t="shared" si="6"/>
        <v>0</v>
      </c>
      <c r="J32" s="511"/>
      <c r="K32" s="525"/>
      <c r="L32" s="514">
        <f t="shared" si="30"/>
        <v>0</v>
      </c>
      <c r="M32" s="525"/>
      <c r="N32" s="514">
        <f t="shared" si="10"/>
        <v>0</v>
      </c>
      <c r="O32" s="514">
        <f t="shared" si="11"/>
        <v>0</v>
      </c>
      <c r="P32" s="272"/>
    </row>
    <row r="33" spans="2:16">
      <c r="B33" s="195" t="str">
        <f t="shared" si="5"/>
        <v/>
      </c>
      <c r="C33" s="507">
        <f>IF(D11="","-",+C32+1)</f>
        <v>2029</v>
      </c>
      <c r="D33" s="523">
        <f>IF(F32+SUM(E$17:E32)=D$10,F32,D$10-SUM(E$17:E32))</f>
        <v>5466894.0071073752</v>
      </c>
      <c r="E33" s="522">
        <f t="shared" si="26"/>
        <v>195427.90909090909</v>
      </c>
      <c r="F33" s="523">
        <f t="shared" si="27"/>
        <v>5271466.098016466</v>
      </c>
      <c r="G33" s="524">
        <f t="shared" si="28"/>
        <v>837190.60010769858</v>
      </c>
      <c r="H33" s="491">
        <f t="shared" si="29"/>
        <v>837190.60010769858</v>
      </c>
      <c r="I33" s="511">
        <f t="shared" si="6"/>
        <v>0</v>
      </c>
      <c r="J33" s="511"/>
      <c r="K33" s="525"/>
      <c r="L33" s="514">
        <f t="shared" si="30"/>
        <v>0</v>
      </c>
      <c r="M33" s="525"/>
      <c r="N33" s="514">
        <f t="shared" si="10"/>
        <v>0</v>
      </c>
      <c r="O33" s="514">
        <f t="shared" si="11"/>
        <v>0</v>
      </c>
      <c r="P33" s="272"/>
    </row>
    <row r="34" spans="2:16">
      <c r="B34" s="195" t="str">
        <f t="shared" si="5"/>
        <v/>
      </c>
      <c r="C34" s="507">
        <f>IF(D11="","-",+C33+1)</f>
        <v>2030</v>
      </c>
      <c r="D34" s="523">
        <f>IF(F33+SUM(E$17:E33)=D$10,F33,D$10-SUM(E$17:E33))</f>
        <v>5271466.098016466</v>
      </c>
      <c r="E34" s="522">
        <f t="shared" si="26"/>
        <v>195427.90909090909</v>
      </c>
      <c r="F34" s="523">
        <f t="shared" si="27"/>
        <v>5076038.1889255568</v>
      </c>
      <c r="G34" s="524">
        <f t="shared" si="28"/>
        <v>813831.66268891678</v>
      </c>
      <c r="H34" s="491">
        <f t="shared" si="29"/>
        <v>813831.66268891678</v>
      </c>
      <c r="I34" s="511">
        <f t="shared" si="6"/>
        <v>0</v>
      </c>
      <c r="J34" s="511"/>
      <c r="K34" s="525"/>
      <c r="L34" s="514">
        <f t="shared" si="30"/>
        <v>0</v>
      </c>
      <c r="M34" s="525"/>
      <c r="N34" s="514">
        <f t="shared" si="10"/>
        <v>0</v>
      </c>
      <c r="O34" s="514">
        <f t="shared" si="11"/>
        <v>0</v>
      </c>
      <c r="P34" s="272"/>
    </row>
    <row r="35" spans="2:16">
      <c r="B35" s="195" t="str">
        <f t="shared" si="5"/>
        <v/>
      </c>
      <c r="C35" s="507">
        <f>IF(D11="","-",+C34+1)</f>
        <v>2031</v>
      </c>
      <c r="D35" s="523">
        <f>IF(F34+SUM(E$17:E34)=D$10,F34,D$10-SUM(E$17:E34))</f>
        <v>5076038.1889255568</v>
      </c>
      <c r="E35" s="522">
        <f t="shared" si="26"/>
        <v>195427.90909090909</v>
      </c>
      <c r="F35" s="523">
        <f t="shared" si="27"/>
        <v>4880610.2798346477</v>
      </c>
      <c r="G35" s="524">
        <f t="shared" si="28"/>
        <v>790472.72527013475</v>
      </c>
      <c r="H35" s="491">
        <f t="shared" si="29"/>
        <v>790472.72527013475</v>
      </c>
      <c r="I35" s="511">
        <f t="shared" si="6"/>
        <v>0</v>
      </c>
      <c r="J35" s="511"/>
      <c r="K35" s="525"/>
      <c r="L35" s="514">
        <f t="shared" si="30"/>
        <v>0</v>
      </c>
      <c r="M35" s="525"/>
      <c r="N35" s="514">
        <f t="shared" si="10"/>
        <v>0</v>
      </c>
      <c r="O35" s="514">
        <f t="shared" si="11"/>
        <v>0</v>
      </c>
      <c r="P35" s="272"/>
    </row>
    <row r="36" spans="2:16">
      <c r="B36" s="195" t="str">
        <f t="shared" si="5"/>
        <v/>
      </c>
      <c r="C36" s="507">
        <f>IF(D11="","-",+C35+1)</f>
        <v>2032</v>
      </c>
      <c r="D36" s="523">
        <f>IF(F35+SUM(E$17:E35)=D$10,F35,D$10-SUM(E$17:E35))</f>
        <v>4880610.2798346477</v>
      </c>
      <c r="E36" s="522">
        <f t="shared" si="26"/>
        <v>195427.90909090909</v>
      </c>
      <c r="F36" s="523">
        <f t="shared" si="27"/>
        <v>4685182.3707437385</v>
      </c>
      <c r="G36" s="524">
        <f t="shared" si="28"/>
        <v>767113.78785135283</v>
      </c>
      <c r="H36" s="491">
        <f t="shared" si="29"/>
        <v>767113.78785135283</v>
      </c>
      <c r="I36" s="511">
        <f t="shared" si="6"/>
        <v>0</v>
      </c>
      <c r="J36" s="511"/>
      <c r="K36" s="525"/>
      <c r="L36" s="514">
        <f t="shared" si="30"/>
        <v>0</v>
      </c>
      <c r="M36" s="525"/>
      <c r="N36" s="514">
        <f t="shared" si="10"/>
        <v>0</v>
      </c>
      <c r="O36" s="514">
        <f t="shared" si="11"/>
        <v>0</v>
      </c>
      <c r="P36" s="272"/>
    </row>
    <row r="37" spans="2:16">
      <c r="B37" s="195" t="str">
        <f t="shared" si="5"/>
        <v/>
      </c>
      <c r="C37" s="507">
        <f>IF(D11="","-",+C36+1)</f>
        <v>2033</v>
      </c>
      <c r="D37" s="523">
        <f>IF(F36+SUM(E$17:E36)=D$10,F36,D$10-SUM(E$17:E36))</f>
        <v>4685182.3707437385</v>
      </c>
      <c r="E37" s="522">
        <f t="shared" si="26"/>
        <v>195427.90909090909</v>
      </c>
      <c r="F37" s="523">
        <f t="shared" si="27"/>
        <v>4489754.4616528293</v>
      </c>
      <c r="G37" s="524">
        <f t="shared" si="28"/>
        <v>743754.85043257079</v>
      </c>
      <c r="H37" s="491">
        <f t="shared" si="29"/>
        <v>743754.85043257079</v>
      </c>
      <c r="I37" s="511">
        <f t="shared" si="6"/>
        <v>0</v>
      </c>
      <c r="J37" s="511"/>
      <c r="K37" s="525"/>
      <c r="L37" s="514">
        <f t="shared" si="30"/>
        <v>0</v>
      </c>
      <c r="M37" s="525"/>
      <c r="N37" s="514">
        <f t="shared" si="10"/>
        <v>0</v>
      </c>
      <c r="O37" s="514">
        <f t="shared" si="11"/>
        <v>0</v>
      </c>
      <c r="P37" s="272"/>
    </row>
    <row r="38" spans="2:16">
      <c r="B38" s="195" t="str">
        <f t="shared" si="5"/>
        <v/>
      </c>
      <c r="C38" s="507">
        <f>IF(D11="","-",+C37+1)</f>
        <v>2034</v>
      </c>
      <c r="D38" s="523">
        <f>IF(F37+SUM(E$17:E37)=D$10,F37,D$10-SUM(E$17:E37))</f>
        <v>4489754.4616528293</v>
      </c>
      <c r="E38" s="522">
        <f t="shared" si="26"/>
        <v>195427.90909090909</v>
      </c>
      <c r="F38" s="523">
        <f t="shared" si="27"/>
        <v>4294326.5525619201</v>
      </c>
      <c r="G38" s="524">
        <f t="shared" si="28"/>
        <v>720395.91301378887</v>
      </c>
      <c r="H38" s="491">
        <f t="shared" si="29"/>
        <v>720395.91301378887</v>
      </c>
      <c r="I38" s="511">
        <f t="shared" si="6"/>
        <v>0</v>
      </c>
      <c r="J38" s="511"/>
      <c r="K38" s="525"/>
      <c r="L38" s="514">
        <f t="shared" si="30"/>
        <v>0</v>
      </c>
      <c r="M38" s="525"/>
      <c r="N38" s="514">
        <f t="shared" si="10"/>
        <v>0</v>
      </c>
      <c r="O38" s="514">
        <f t="shared" si="11"/>
        <v>0</v>
      </c>
      <c r="P38" s="272"/>
    </row>
    <row r="39" spans="2:16">
      <c r="B39" s="195" t="str">
        <f t="shared" si="5"/>
        <v/>
      </c>
      <c r="C39" s="507">
        <f>IF(D11="","-",+C38+1)</f>
        <v>2035</v>
      </c>
      <c r="D39" s="523">
        <f>IF(F38+SUM(E$17:E38)=D$10,F38,D$10-SUM(E$17:E38))</f>
        <v>4294326.5525619201</v>
      </c>
      <c r="E39" s="522">
        <f t="shared" si="26"/>
        <v>195427.90909090909</v>
      </c>
      <c r="F39" s="523">
        <f t="shared" si="27"/>
        <v>4098898.643471011</v>
      </c>
      <c r="G39" s="524">
        <f t="shared" si="28"/>
        <v>697036.97559500684</v>
      </c>
      <c r="H39" s="491">
        <f t="shared" si="29"/>
        <v>697036.97559500684</v>
      </c>
      <c r="I39" s="511">
        <f t="shared" si="6"/>
        <v>0</v>
      </c>
      <c r="J39" s="511"/>
      <c r="K39" s="525"/>
      <c r="L39" s="514">
        <f t="shared" si="30"/>
        <v>0</v>
      </c>
      <c r="M39" s="525"/>
      <c r="N39" s="514">
        <f t="shared" si="10"/>
        <v>0</v>
      </c>
      <c r="O39" s="514">
        <f t="shared" si="11"/>
        <v>0</v>
      </c>
      <c r="P39" s="272"/>
    </row>
    <row r="40" spans="2:16">
      <c r="B40" s="195" t="str">
        <f t="shared" si="5"/>
        <v/>
      </c>
      <c r="C40" s="507">
        <f>IF(D11="","-",+C39+1)</f>
        <v>2036</v>
      </c>
      <c r="D40" s="523">
        <f>IF(F39+SUM(E$17:E39)=D$10,F39,D$10-SUM(E$17:E39))</f>
        <v>4098898.643471011</v>
      </c>
      <c r="E40" s="522">
        <f t="shared" si="26"/>
        <v>195427.90909090909</v>
      </c>
      <c r="F40" s="523">
        <f t="shared" si="27"/>
        <v>3903470.7343801018</v>
      </c>
      <c r="G40" s="524">
        <f t="shared" si="28"/>
        <v>673678.03817622492</v>
      </c>
      <c r="H40" s="491">
        <f t="shared" si="29"/>
        <v>673678.03817622492</v>
      </c>
      <c r="I40" s="511">
        <f t="shared" si="6"/>
        <v>0</v>
      </c>
      <c r="J40" s="511"/>
      <c r="K40" s="525"/>
      <c r="L40" s="514">
        <f t="shared" si="30"/>
        <v>0</v>
      </c>
      <c r="M40" s="525"/>
      <c r="N40" s="514">
        <f t="shared" si="10"/>
        <v>0</v>
      </c>
      <c r="O40" s="514">
        <f t="shared" si="11"/>
        <v>0</v>
      </c>
      <c r="P40" s="272"/>
    </row>
    <row r="41" spans="2:16">
      <c r="B41" s="195" t="str">
        <f t="shared" si="5"/>
        <v/>
      </c>
      <c r="C41" s="507">
        <f>IF(D11="","-",+C40+1)</f>
        <v>2037</v>
      </c>
      <c r="D41" s="523">
        <f>IF(F40+SUM(E$17:E40)=D$10,F40,D$10-SUM(E$17:E40))</f>
        <v>3903470.7343801018</v>
      </c>
      <c r="E41" s="522">
        <f t="shared" si="26"/>
        <v>195427.90909090909</v>
      </c>
      <c r="F41" s="523">
        <f t="shared" si="27"/>
        <v>3708042.8252891926</v>
      </c>
      <c r="G41" s="524">
        <f t="shared" si="28"/>
        <v>650319.100757443</v>
      </c>
      <c r="H41" s="491">
        <f t="shared" si="29"/>
        <v>650319.100757443</v>
      </c>
      <c r="I41" s="511">
        <f t="shared" si="6"/>
        <v>0</v>
      </c>
      <c r="J41" s="511"/>
      <c r="K41" s="525"/>
      <c r="L41" s="514">
        <f t="shared" si="30"/>
        <v>0</v>
      </c>
      <c r="M41" s="525"/>
      <c r="N41" s="514">
        <f t="shared" si="10"/>
        <v>0</v>
      </c>
      <c r="O41" s="514">
        <f t="shared" si="11"/>
        <v>0</v>
      </c>
      <c r="P41" s="272"/>
    </row>
    <row r="42" spans="2:16">
      <c r="B42" s="195" t="str">
        <f t="shared" si="5"/>
        <v/>
      </c>
      <c r="C42" s="507">
        <f>IF(D11="","-",+C41+1)</f>
        <v>2038</v>
      </c>
      <c r="D42" s="523">
        <f>IF(F41+SUM(E$17:E41)=D$10,F41,D$10-SUM(E$17:E41))</f>
        <v>3708042.8252891926</v>
      </c>
      <c r="E42" s="522">
        <f t="shared" si="26"/>
        <v>195427.90909090909</v>
      </c>
      <c r="F42" s="523">
        <f t="shared" si="27"/>
        <v>3512614.9161982834</v>
      </c>
      <c r="G42" s="524">
        <f t="shared" si="28"/>
        <v>626960.16333866096</v>
      </c>
      <c r="H42" s="491">
        <f t="shared" si="29"/>
        <v>626960.16333866096</v>
      </c>
      <c r="I42" s="511">
        <f t="shared" si="6"/>
        <v>0</v>
      </c>
      <c r="J42" s="511"/>
      <c r="K42" s="525"/>
      <c r="L42" s="514">
        <f t="shared" si="30"/>
        <v>0</v>
      </c>
      <c r="M42" s="525"/>
      <c r="N42" s="514">
        <f t="shared" si="10"/>
        <v>0</v>
      </c>
      <c r="O42" s="514">
        <f t="shared" si="11"/>
        <v>0</v>
      </c>
      <c r="P42" s="272"/>
    </row>
    <row r="43" spans="2:16">
      <c r="B43" s="195" t="str">
        <f t="shared" si="5"/>
        <v/>
      </c>
      <c r="C43" s="507">
        <f>IF(D11="","-",+C42+1)</f>
        <v>2039</v>
      </c>
      <c r="D43" s="523">
        <f>IF(F42+SUM(E$17:E42)=D$10,F42,D$10-SUM(E$17:E42))</f>
        <v>3512614.9161982834</v>
      </c>
      <c r="E43" s="522">
        <f t="shared" si="26"/>
        <v>195427.90909090909</v>
      </c>
      <c r="F43" s="523">
        <f t="shared" si="27"/>
        <v>3317187.0071073743</v>
      </c>
      <c r="G43" s="524">
        <f t="shared" si="28"/>
        <v>603601.22591987904</v>
      </c>
      <c r="H43" s="491">
        <f t="shared" si="29"/>
        <v>603601.22591987904</v>
      </c>
      <c r="I43" s="511">
        <f t="shared" si="6"/>
        <v>0</v>
      </c>
      <c r="J43" s="511"/>
      <c r="K43" s="525"/>
      <c r="L43" s="514">
        <f t="shared" si="30"/>
        <v>0</v>
      </c>
      <c r="M43" s="525"/>
      <c r="N43" s="514">
        <f t="shared" si="10"/>
        <v>0</v>
      </c>
      <c r="O43" s="514">
        <f t="shared" si="11"/>
        <v>0</v>
      </c>
      <c r="P43" s="272"/>
    </row>
    <row r="44" spans="2:16">
      <c r="B44" s="195" t="str">
        <f t="shared" si="5"/>
        <v/>
      </c>
      <c r="C44" s="507">
        <f>IF(D11="","-",+C43+1)</f>
        <v>2040</v>
      </c>
      <c r="D44" s="523">
        <f>IF(F43+SUM(E$17:E43)=D$10,F43,D$10-SUM(E$17:E43))</f>
        <v>3317187.0071073743</v>
      </c>
      <c r="E44" s="522">
        <f t="shared" si="26"/>
        <v>195427.90909090909</v>
      </c>
      <c r="F44" s="523">
        <f t="shared" si="27"/>
        <v>3121759.0980164651</v>
      </c>
      <c r="G44" s="524">
        <f t="shared" si="28"/>
        <v>580242.28850109701</v>
      </c>
      <c r="H44" s="491">
        <f t="shared" si="29"/>
        <v>580242.28850109701</v>
      </c>
      <c r="I44" s="511">
        <f t="shared" si="6"/>
        <v>0</v>
      </c>
      <c r="J44" s="511"/>
      <c r="K44" s="525"/>
      <c r="L44" s="514">
        <f t="shared" si="30"/>
        <v>0</v>
      </c>
      <c r="M44" s="525"/>
      <c r="N44" s="514">
        <f t="shared" si="10"/>
        <v>0</v>
      </c>
      <c r="O44" s="514">
        <f t="shared" si="11"/>
        <v>0</v>
      </c>
      <c r="P44" s="272"/>
    </row>
    <row r="45" spans="2:16">
      <c r="B45" s="195" t="str">
        <f t="shared" si="5"/>
        <v/>
      </c>
      <c r="C45" s="507">
        <f>IF(D11="","-",+C44+1)</f>
        <v>2041</v>
      </c>
      <c r="D45" s="523">
        <f>IF(F44+SUM(E$17:E44)=D$10,F44,D$10-SUM(E$17:E44))</f>
        <v>3121759.0980164651</v>
      </c>
      <c r="E45" s="522">
        <f t="shared" si="26"/>
        <v>195427.90909090909</v>
      </c>
      <c r="F45" s="523">
        <f t="shared" si="27"/>
        <v>2926331.1889255559</v>
      </c>
      <c r="G45" s="524">
        <f t="shared" si="28"/>
        <v>556883.35108231509</v>
      </c>
      <c r="H45" s="491">
        <f t="shared" si="29"/>
        <v>556883.35108231509</v>
      </c>
      <c r="I45" s="511">
        <f t="shared" si="6"/>
        <v>0</v>
      </c>
      <c r="J45" s="511"/>
      <c r="K45" s="525"/>
      <c r="L45" s="514">
        <f t="shared" si="30"/>
        <v>0</v>
      </c>
      <c r="M45" s="525"/>
      <c r="N45" s="514">
        <f t="shared" si="10"/>
        <v>0</v>
      </c>
      <c r="O45" s="514">
        <f t="shared" si="11"/>
        <v>0</v>
      </c>
      <c r="P45" s="272"/>
    </row>
    <row r="46" spans="2:16">
      <c r="B46" s="195" t="str">
        <f t="shared" si="5"/>
        <v/>
      </c>
      <c r="C46" s="507">
        <f>IF(D11="","-",+C45+1)</f>
        <v>2042</v>
      </c>
      <c r="D46" s="523">
        <f>IF(F45+SUM(E$17:E45)=D$10,F45,D$10-SUM(E$17:E45))</f>
        <v>2926331.1889255559</v>
      </c>
      <c r="E46" s="522">
        <f t="shared" si="26"/>
        <v>195427.90909090909</v>
      </c>
      <c r="F46" s="523">
        <f t="shared" si="27"/>
        <v>2730903.2798346467</v>
      </c>
      <c r="G46" s="524">
        <f t="shared" si="28"/>
        <v>533524.41366353305</v>
      </c>
      <c r="H46" s="491">
        <f t="shared" si="29"/>
        <v>533524.41366353305</v>
      </c>
      <c r="I46" s="511">
        <f t="shared" si="6"/>
        <v>0</v>
      </c>
      <c r="J46" s="511"/>
      <c r="K46" s="525"/>
      <c r="L46" s="514">
        <f t="shared" si="30"/>
        <v>0</v>
      </c>
      <c r="M46" s="525"/>
      <c r="N46" s="514">
        <f t="shared" si="10"/>
        <v>0</v>
      </c>
      <c r="O46" s="514">
        <f t="shared" si="11"/>
        <v>0</v>
      </c>
      <c r="P46" s="272"/>
    </row>
    <row r="47" spans="2:16">
      <c r="B47" s="195" t="str">
        <f t="shared" si="5"/>
        <v/>
      </c>
      <c r="C47" s="507">
        <f>IF(D11="","-",+C46+1)</f>
        <v>2043</v>
      </c>
      <c r="D47" s="523">
        <f>IF(F46+SUM(E$17:E46)=D$10,F46,D$10-SUM(E$17:E46))</f>
        <v>2730903.2798346467</v>
      </c>
      <c r="E47" s="522">
        <f t="shared" si="26"/>
        <v>195427.90909090909</v>
      </c>
      <c r="F47" s="523">
        <f t="shared" si="27"/>
        <v>2535475.3707437376</v>
      </c>
      <c r="G47" s="524">
        <f t="shared" si="28"/>
        <v>510165.47624475113</v>
      </c>
      <c r="H47" s="491">
        <f t="shared" si="29"/>
        <v>510165.47624475113</v>
      </c>
      <c r="I47" s="511">
        <f t="shared" si="6"/>
        <v>0</v>
      </c>
      <c r="J47" s="511"/>
      <c r="K47" s="525"/>
      <c r="L47" s="514">
        <f t="shared" si="30"/>
        <v>0</v>
      </c>
      <c r="M47" s="525"/>
      <c r="N47" s="514">
        <f t="shared" si="10"/>
        <v>0</v>
      </c>
      <c r="O47" s="514">
        <f t="shared" si="11"/>
        <v>0</v>
      </c>
      <c r="P47" s="272"/>
    </row>
    <row r="48" spans="2:16">
      <c r="B48" s="195" t="str">
        <f t="shared" si="5"/>
        <v/>
      </c>
      <c r="C48" s="507">
        <f>IF(D11="","-",+C47+1)</f>
        <v>2044</v>
      </c>
      <c r="D48" s="523">
        <f>IF(F47+SUM(E$17:E47)=D$10,F47,D$10-SUM(E$17:E47))</f>
        <v>2535475.3707437376</v>
      </c>
      <c r="E48" s="522">
        <f t="shared" si="26"/>
        <v>195427.90909090909</v>
      </c>
      <c r="F48" s="523">
        <f t="shared" si="27"/>
        <v>2340047.4616528284</v>
      </c>
      <c r="G48" s="524">
        <f t="shared" si="28"/>
        <v>486806.5388259691</v>
      </c>
      <c r="H48" s="491">
        <f t="shared" si="29"/>
        <v>486806.5388259691</v>
      </c>
      <c r="I48" s="511">
        <f t="shared" si="6"/>
        <v>0</v>
      </c>
      <c r="J48" s="511"/>
      <c r="K48" s="525"/>
      <c r="L48" s="514">
        <f t="shared" si="30"/>
        <v>0</v>
      </c>
      <c r="M48" s="525"/>
      <c r="N48" s="514">
        <f t="shared" si="10"/>
        <v>0</v>
      </c>
      <c r="O48" s="514">
        <f t="shared" si="11"/>
        <v>0</v>
      </c>
      <c r="P48" s="272"/>
    </row>
    <row r="49" spans="2:17">
      <c r="B49" s="195" t="str">
        <f t="shared" si="5"/>
        <v/>
      </c>
      <c r="C49" s="507">
        <f>IF(D11="","-",+C48+1)</f>
        <v>2045</v>
      </c>
      <c r="D49" s="523">
        <f>IF(F48+SUM(E$17:E48)=D$10,F48,D$10-SUM(E$17:E48))</f>
        <v>2340047.4616528284</v>
      </c>
      <c r="E49" s="522">
        <f t="shared" si="26"/>
        <v>195427.90909090909</v>
      </c>
      <c r="F49" s="523">
        <f t="shared" si="27"/>
        <v>2144619.5525619192</v>
      </c>
      <c r="G49" s="524">
        <f t="shared" si="28"/>
        <v>463447.60140718718</v>
      </c>
      <c r="H49" s="491">
        <f t="shared" si="29"/>
        <v>463447.60140718718</v>
      </c>
      <c r="I49" s="511">
        <f t="shared" si="6"/>
        <v>0</v>
      </c>
      <c r="J49" s="511"/>
      <c r="K49" s="525"/>
      <c r="L49" s="514">
        <f t="shared" si="30"/>
        <v>0</v>
      </c>
      <c r="M49" s="525"/>
      <c r="N49" s="514">
        <f t="shared" si="10"/>
        <v>0</v>
      </c>
      <c r="O49" s="514">
        <f t="shared" si="11"/>
        <v>0</v>
      </c>
      <c r="P49" s="272"/>
    </row>
    <row r="50" spans="2:17">
      <c r="B50" s="195" t="str">
        <f t="shared" si="5"/>
        <v/>
      </c>
      <c r="C50" s="507">
        <f>IF(D11="","-",+C49+1)</f>
        <v>2046</v>
      </c>
      <c r="D50" s="523">
        <f>IF(F49+SUM(E$17:E49)=D$10,F49,D$10-SUM(E$17:E49))</f>
        <v>2144619.5525619192</v>
      </c>
      <c r="E50" s="522">
        <f t="shared" si="26"/>
        <v>195427.90909090909</v>
      </c>
      <c r="F50" s="523">
        <f t="shared" si="27"/>
        <v>1949191.64347101</v>
      </c>
      <c r="G50" s="524">
        <f t="shared" si="28"/>
        <v>440088.6639884052</v>
      </c>
      <c r="H50" s="491">
        <f t="shared" si="29"/>
        <v>440088.6639884052</v>
      </c>
      <c r="I50" s="511">
        <f t="shared" si="6"/>
        <v>0</v>
      </c>
      <c r="J50" s="511"/>
      <c r="K50" s="525"/>
      <c r="L50" s="514">
        <f t="shared" si="30"/>
        <v>0</v>
      </c>
      <c r="M50" s="525"/>
      <c r="N50" s="514">
        <f t="shared" si="10"/>
        <v>0</v>
      </c>
      <c r="O50" s="514">
        <f t="shared" si="11"/>
        <v>0</v>
      </c>
      <c r="P50" s="272"/>
    </row>
    <row r="51" spans="2:17">
      <c r="B51" s="195" t="str">
        <f t="shared" si="5"/>
        <v/>
      </c>
      <c r="C51" s="507">
        <f>IF(D11="","-",+C50+1)</f>
        <v>2047</v>
      </c>
      <c r="D51" s="523">
        <f>IF(F50+SUM(E$17:E50)=D$10,F50,D$10-SUM(E$17:E50))</f>
        <v>1949191.64347101</v>
      </c>
      <c r="E51" s="522">
        <f t="shared" si="26"/>
        <v>195427.90909090909</v>
      </c>
      <c r="F51" s="523">
        <f t="shared" si="27"/>
        <v>1753763.7343801009</v>
      </c>
      <c r="G51" s="524">
        <f t="shared" si="28"/>
        <v>416729.72656962322</v>
      </c>
      <c r="H51" s="491">
        <f t="shared" si="29"/>
        <v>416729.72656962322</v>
      </c>
      <c r="I51" s="511">
        <f t="shared" si="6"/>
        <v>0</v>
      </c>
      <c r="J51" s="511"/>
      <c r="K51" s="525"/>
      <c r="L51" s="514">
        <f t="shared" si="30"/>
        <v>0</v>
      </c>
      <c r="M51" s="525"/>
      <c r="N51" s="514">
        <f t="shared" si="10"/>
        <v>0</v>
      </c>
      <c r="O51" s="514">
        <f t="shared" si="11"/>
        <v>0</v>
      </c>
      <c r="P51" s="272"/>
    </row>
    <row r="52" spans="2:17">
      <c r="B52" s="195" t="str">
        <f t="shared" si="5"/>
        <v/>
      </c>
      <c r="C52" s="507">
        <f>IF(D11="","-",+C51+1)</f>
        <v>2048</v>
      </c>
      <c r="D52" s="523">
        <f>IF(F51+SUM(E$17:E51)=D$10,F51,D$10-SUM(E$17:E51))</f>
        <v>1753763.7343801009</v>
      </c>
      <c r="E52" s="522">
        <f t="shared" si="26"/>
        <v>195427.90909090909</v>
      </c>
      <c r="F52" s="523">
        <f t="shared" si="27"/>
        <v>1558335.8252891917</v>
      </c>
      <c r="G52" s="524">
        <f t="shared" si="28"/>
        <v>393370.7891508413</v>
      </c>
      <c r="H52" s="491">
        <f t="shared" si="29"/>
        <v>393370.7891508413</v>
      </c>
      <c r="I52" s="511">
        <f t="shared" si="6"/>
        <v>0</v>
      </c>
      <c r="J52" s="511"/>
      <c r="K52" s="525"/>
      <c r="L52" s="514">
        <f t="shared" si="30"/>
        <v>0</v>
      </c>
      <c r="M52" s="525"/>
      <c r="N52" s="514">
        <f t="shared" si="10"/>
        <v>0</v>
      </c>
      <c r="O52" s="514">
        <f t="shared" si="11"/>
        <v>0</v>
      </c>
      <c r="P52" s="272"/>
    </row>
    <row r="53" spans="2:17">
      <c r="B53" s="195" t="str">
        <f t="shared" si="5"/>
        <v/>
      </c>
      <c r="C53" s="507">
        <f>IF(D11="","-",+C52+1)</f>
        <v>2049</v>
      </c>
      <c r="D53" s="523">
        <f>IF(F52+SUM(E$17:E52)=D$10,F52,D$10-SUM(E$17:E52))</f>
        <v>1558335.8252891917</v>
      </c>
      <c r="E53" s="522">
        <f t="shared" si="26"/>
        <v>195427.90909090909</v>
      </c>
      <c r="F53" s="523">
        <f t="shared" si="27"/>
        <v>1362907.9161982825</v>
      </c>
      <c r="G53" s="524">
        <f t="shared" ref="G53:G72" si="31">+I$12*((D53+F53)/2)+E53</f>
        <v>370011.85173205927</v>
      </c>
      <c r="H53" s="491">
        <f t="shared" ref="H53:H72" si="32">+I$13*((D53+F53)/2)+E53</f>
        <v>370011.85173205927</v>
      </c>
      <c r="I53" s="511">
        <f t="shared" si="6"/>
        <v>0</v>
      </c>
      <c r="J53" s="511"/>
      <c r="K53" s="525"/>
      <c r="L53" s="514">
        <f t="shared" si="30"/>
        <v>0</v>
      </c>
      <c r="M53" s="525"/>
      <c r="N53" s="514">
        <f t="shared" si="10"/>
        <v>0</v>
      </c>
      <c r="O53" s="514">
        <f t="shared" si="11"/>
        <v>0</v>
      </c>
      <c r="P53" s="272"/>
    </row>
    <row r="54" spans="2:17">
      <c r="B54" s="195" t="str">
        <f t="shared" si="5"/>
        <v/>
      </c>
      <c r="C54" s="507">
        <f>IF(D11="","-",+C53+1)</f>
        <v>2050</v>
      </c>
      <c r="D54" s="523">
        <f>IF(F53+SUM(E$17:E53)=D$10,F53,D$10-SUM(E$17:E53))</f>
        <v>1362907.9161982825</v>
      </c>
      <c r="E54" s="522">
        <f t="shared" si="26"/>
        <v>195427.90909090909</v>
      </c>
      <c r="F54" s="523">
        <f t="shared" si="27"/>
        <v>1167480.0071073733</v>
      </c>
      <c r="G54" s="524">
        <f t="shared" si="31"/>
        <v>346652.91431327735</v>
      </c>
      <c r="H54" s="491">
        <f t="shared" si="32"/>
        <v>346652.91431327735</v>
      </c>
      <c r="I54" s="511">
        <f t="shared" si="6"/>
        <v>0</v>
      </c>
      <c r="J54" s="511"/>
      <c r="K54" s="525"/>
      <c r="L54" s="514">
        <f t="shared" si="30"/>
        <v>0</v>
      </c>
      <c r="M54" s="525"/>
      <c r="N54" s="514">
        <f t="shared" si="10"/>
        <v>0</v>
      </c>
      <c r="O54" s="514">
        <f t="shared" si="11"/>
        <v>0</v>
      </c>
      <c r="P54" s="272"/>
    </row>
    <row r="55" spans="2:17">
      <c r="B55" s="195" t="str">
        <f t="shared" si="5"/>
        <v/>
      </c>
      <c r="C55" s="507">
        <f>IF(D11="","-",+C54+1)</f>
        <v>2051</v>
      </c>
      <c r="D55" s="523">
        <f>IF(F54+SUM(E$17:E54)=D$10,F54,D$10-SUM(E$17:E54))</f>
        <v>1167480.0071073733</v>
      </c>
      <c r="E55" s="522">
        <f t="shared" si="26"/>
        <v>195427.90909090909</v>
      </c>
      <c r="F55" s="523">
        <f t="shared" si="27"/>
        <v>972052.09801646427</v>
      </c>
      <c r="G55" s="524">
        <f t="shared" si="31"/>
        <v>323293.97689449537</v>
      </c>
      <c r="H55" s="491">
        <f t="shared" si="32"/>
        <v>323293.97689449537</v>
      </c>
      <c r="I55" s="511">
        <f t="shared" si="6"/>
        <v>0</v>
      </c>
      <c r="J55" s="511"/>
      <c r="K55" s="525"/>
      <c r="L55" s="514">
        <f t="shared" si="30"/>
        <v>0</v>
      </c>
      <c r="M55" s="525"/>
      <c r="N55" s="514">
        <f t="shared" si="10"/>
        <v>0</v>
      </c>
      <c r="O55" s="514">
        <f t="shared" si="11"/>
        <v>0</v>
      </c>
      <c r="P55" s="272"/>
    </row>
    <row r="56" spans="2:17">
      <c r="B56" s="195" t="str">
        <f t="shared" si="5"/>
        <v/>
      </c>
      <c r="C56" s="507">
        <f>IF(D11="","-",+C55+1)</f>
        <v>2052</v>
      </c>
      <c r="D56" s="523">
        <f>IF(F55+SUM(E$17:E55)=D$10,F55,D$10-SUM(E$17:E55))</f>
        <v>972052.09801646427</v>
      </c>
      <c r="E56" s="522">
        <f t="shared" si="26"/>
        <v>195427.90909090909</v>
      </c>
      <c r="F56" s="523">
        <f t="shared" si="27"/>
        <v>776624.18892555521</v>
      </c>
      <c r="G56" s="524">
        <f t="shared" si="31"/>
        <v>299935.03947571339</v>
      </c>
      <c r="H56" s="491">
        <f t="shared" si="32"/>
        <v>299935.03947571339</v>
      </c>
      <c r="I56" s="511">
        <f t="shared" si="6"/>
        <v>0</v>
      </c>
      <c r="J56" s="511"/>
      <c r="K56" s="525"/>
      <c r="L56" s="514">
        <f t="shared" si="30"/>
        <v>0</v>
      </c>
      <c r="M56" s="525"/>
      <c r="N56" s="514">
        <f t="shared" si="10"/>
        <v>0</v>
      </c>
      <c r="O56" s="514">
        <f t="shared" si="11"/>
        <v>0</v>
      </c>
      <c r="P56" s="272"/>
    </row>
    <row r="57" spans="2:17">
      <c r="B57" s="195" t="str">
        <f t="shared" si="5"/>
        <v/>
      </c>
      <c r="C57" s="507">
        <f>IF(D11="","-",+C56+1)</f>
        <v>2053</v>
      </c>
      <c r="D57" s="523">
        <f>IF(F56+SUM(E$17:E56)=D$10,F56,D$10-SUM(E$17:E56))</f>
        <v>776624.18892555521</v>
      </c>
      <c r="E57" s="522">
        <f t="shared" si="26"/>
        <v>195427.90909090909</v>
      </c>
      <c r="F57" s="523">
        <f t="shared" si="27"/>
        <v>581196.27983464615</v>
      </c>
      <c r="G57" s="524">
        <f t="shared" si="31"/>
        <v>276576.10205693147</v>
      </c>
      <c r="H57" s="491">
        <f t="shared" si="32"/>
        <v>276576.10205693147</v>
      </c>
      <c r="I57" s="511">
        <f t="shared" si="6"/>
        <v>0</v>
      </c>
      <c r="J57" s="511"/>
      <c r="K57" s="525"/>
      <c r="L57" s="514">
        <f t="shared" si="30"/>
        <v>0</v>
      </c>
      <c r="M57" s="525"/>
      <c r="N57" s="514">
        <f t="shared" si="10"/>
        <v>0</v>
      </c>
      <c r="O57" s="514">
        <f t="shared" si="11"/>
        <v>0</v>
      </c>
      <c r="P57" s="272"/>
    </row>
    <row r="58" spans="2:17">
      <c r="B58" s="195" t="str">
        <f t="shared" si="5"/>
        <v/>
      </c>
      <c r="C58" s="507">
        <f>IF(D11="","-",+C57+1)</f>
        <v>2054</v>
      </c>
      <c r="D58" s="523">
        <f>IF(F57+SUM(E$17:E57)=D$10,F57,D$10-SUM(E$17:E57))</f>
        <v>581196.27983464615</v>
      </c>
      <c r="E58" s="522">
        <f t="shared" si="26"/>
        <v>195427.90909090909</v>
      </c>
      <c r="F58" s="523">
        <f t="shared" si="27"/>
        <v>385768.37074373709</v>
      </c>
      <c r="G58" s="524">
        <f t="shared" si="31"/>
        <v>253217.16463814949</v>
      </c>
      <c r="H58" s="491">
        <f t="shared" si="32"/>
        <v>253217.16463814949</v>
      </c>
      <c r="I58" s="511">
        <f t="shared" si="6"/>
        <v>0</v>
      </c>
      <c r="J58" s="511"/>
      <c r="K58" s="525"/>
      <c r="L58" s="514">
        <f t="shared" si="30"/>
        <v>0</v>
      </c>
      <c r="M58" s="525"/>
      <c r="N58" s="514">
        <f t="shared" si="10"/>
        <v>0</v>
      </c>
      <c r="O58" s="514">
        <f t="shared" si="11"/>
        <v>0</v>
      </c>
      <c r="P58" s="272"/>
      <c r="Q58" s="183" t="str">
        <f>IF(ROUND(Q57,0)=ROUND(SUM(Q18:Q56),0),"","Error -- check allocations above).")</f>
        <v/>
      </c>
    </row>
    <row r="59" spans="2:17">
      <c r="B59" s="195" t="str">
        <f t="shared" si="5"/>
        <v/>
      </c>
      <c r="C59" s="507">
        <f>IF(D11="","-",+C58+1)</f>
        <v>2055</v>
      </c>
      <c r="D59" s="523">
        <f>IF(F58+SUM(E$17:E58)=D$10,F58,D$10-SUM(E$17:E58))</f>
        <v>385768.37074373709</v>
      </c>
      <c r="E59" s="522">
        <f t="shared" si="26"/>
        <v>195427.90909090909</v>
      </c>
      <c r="F59" s="523">
        <f t="shared" si="27"/>
        <v>190340.461652828</v>
      </c>
      <c r="G59" s="524">
        <f t="shared" si="31"/>
        <v>229858.22721936752</v>
      </c>
      <c r="H59" s="491">
        <f t="shared" si="32"/>
        <v>229858.22721936752</v>
      </c>
      <c r="I59" s="511">
        <f t="shared" si="6"/>
        <v>0</v>
      </c>
      <c r="J59" s="511"/>
      <c r="K59" s="525"/>
      <c r="L59" s="514">
        <f t="shared" si="30"/>
        <v>0</v>
      </c>
      <c r="M59" s="525"/>
      <c r="N59" s="514">
        <f t="shared" si="10"/>
        <v>0</v>
      </c>
      <c r="O59" s="514">
        <f t="shared" si="11"/>
        <v>0</v>
      </c>
      <c r="P59" s="272"/>
    </row>
    <row r="60" spans="2:17">
      <c r="B60" s="195" t="str">
        <f t="shared" si="5"/>
        <v/>
      </c>
      <c r="C60" s="507">
        <f>IF(D11="","-",+C59+1)</f>
        <v>2056</v>
      </c>
      <c r="D60" s="523">
        <f>IF(F59+SUM(E$17:E59)=D$10,F59,D$10-SUM(E$17:E59))</f>
        <v>190340.461652828</v>
      </c>
      <c r="E60" s="522">
        <f t="shared" si="26"/>
        <v>190340.461652828</v>
      </c>
      <c r="F60" s="523">
        <f t="shared" si="27"/>
        <v>0</v>
      </c>
      <c r="G60" s="524">
        <f t="shared" si="31"/>
        <v>201715.88636236172</v>
      </c>
      <c r="H60" s="491">
        <f t="shared" si="32"/>
        <v>201715.88636236172</v>
      </c>
      <c r="I60" s="511">
        <f t="shared" si="6"/>
        <v>0</v>
      </c>
      <c r="J60" s="511"/>
      <c r="K60" s="525"/>
      <c r="L60" s="514">
        <f t="shared" si="30"/>
        <v>0</v>
      </c>
      <c r="M60" s="525"/>
      <c r="N60" s="514">
        <f t="shared" si="10"/>
        <v>0</v>
      </c>
      <c r="O60" s="514">
        <f t="shared" si="11"/>
        <v>0</v>
      </c>
      <c r="P60" s="272"/>
    </row>
    <row r="61" spans="2:17">
      <c r="B61" s="195" t="str">
        <f t="shared" si="5"/>
        <v/>
      </c>
      <c r="C61" s="507">
        <f>IF(D11="","-",+C60+1)</f>
        <v>2057</v>
      </c>
      <c r="D61" s="523">
        <f>IF(F60+SUM(E$17:E60)=D$10,F60,D$10-SUM(E$17:E60))</f>
        <v>0</v>
      </c>
      <c r="E61" s="522">
        <f t="shared" si="26"/>
        <v>0</v>
      </c>
      <c r="F61" s="523">
        <f t="shared" si="27"/>
        <v>0</v>
      </c>
      <c r="G61" s="524">
        <f t="shared" si="31"/>
        <v>0</v>
      </c>
      <c r="H61" s="491">
        <f t="shared" si="32"/>
        <v>0</v>
      </c>
      <c r="I61" s="511">
        <f t="shared" si="6"/>
        <v>0</v>
      </c>
      <c r="J61" s="511"/>
      <c r="K61" s="525"/>
      <c r="L61" s="514">
        <f t="shared" si="30"/>
        <v>0</v>
      </c>
      <c r="M61" s="525"/>
      <c r="N61" s="514">
        <f t="shared" si="10"/>
        <v>0</v>
      </c>
      <c r="O61" s="514">
        <f t="shared" si="11"/>
        <v>0</v>
      </c>
      <c r="P61" s="272"/>
    </row>
    <row r="62" spans="2:17">
      <c r="B62" s="195" t="str">
        <f t="shared" si="5"/>
        <v/>
      </c>
      <c r="C62" s="507">
        <f>IF(D11="","-",+C61+1)</f>
        <v>2058</v>
      </c>
      <c r="D62" s="523">
        <f>IF(F61+SUM(E$17:E61)=D$10,F61,D$10-SUM(E$17:E61))</f>
        <v>0</v>
      </c>
      <c r="E62" s="522">
        <f t="shared" si="26"/>
        <v>0</v>
      </c>
      <c r="F62" s="523">
        <f t="shared" si="27"/>
        <v>0</v>
      </c>
      <c r="G62" s="524">
        <f t="shared" si="31"/>
        <v>0</v>
      </c>
      <c r="H62" s="491">
        <f t="shared" si="32"/>
        <v>0</v>
      </c>
      <c r="I62" s="511">
        <f t="shared" si="6"/>
        <v>0</v>
      </c>
      <c r="J62" s="511"/>
      <c r="K62" s="525"/>
      <c r="L62" s="514">
        <f t="shared" si="30"/>
        <v>0</v>
      </c>
      <c r="M62" s="525"/>
      <c r="N62" s="514">
        <f t="shared" si="10"/>
        <v>0</v>
      </c>
      <c r="O62" s="514">
        <f t="shared" si="11"/>
        <v>0</v>
      </c>
      <c r="P62" s="272"/>
    </row>
    <row r="63" spans="2:17">
      <c r="B63" s="195" t="str">
        <f t="shared" si="5"/>
        <v/>
      </c>
      <c r="C63" s="507">
        <f>IF(D11="","-",+C62+1)</f>
        <v>2059</v>
      </c>
      <c r="D63" s="523">
        <f>IF(F62+SUM(E$17:E62)=D$10,F62,D$10-SUM(E$17:E62))</f>
        <v>0</v>
      </c>
      <c r="E63" s="522">
        <f t="shared" si="26"/>
        <v>0</v>
      </c>
      <c r="F63" s="523">
        <f t="shared" si="27"/>
        <v>0</v>
      </c>
      <c r="G63" s="524">
        <f t="shared" si="31"/>
        <v>0</v>
      </c>
      <c r="H63" s="491">
        <f t="shared" si="32"/>
        <v>0</v>
      </c>
      <c r="I63" s="511">
        <f t="shared" si="6"/>
        <v>0</v>
      </c>
      <c r="J63" s="511"/>
      <c r="K63" s="525"/>
      <c r="L63" s="514">
        <f t="shared" si="30"/>
        <v>0</v>
      </c>
      <c r="M63" s="525"/>
      <c r="N63" s="514">
        <f t="shared" si="10"/>
        <v>0</v>
      </c>
      <c r="O63" s="514">
        <f t="shared" si="11"/>
        <v>0</v>
      </c>
      <c r="P63" s="272"/>
    </row>
    <row r="64" spans="2:17">
      <c r="B64" s="195" t="str">
        <f t="shared" si="5"/>
        <v/>
      </c>
      <c r="C64" s="507">
        <f>IF(D11="","-",+C63+1)</f>
        <v>2060</v>
      </c>
      <c r="D64" s="523">
        <f>IF(F63+SUM(E$17:E63)=D$10,F63,D$10-SUM(E$17:E63))</f>
        <v>0</v>
      </c>
      <c r="E64" s="522">
        <f t="shared" si="26"/>
        <v>0</v>
      </c>
      <c r="F64" s="523">
        <f t="shared" si="27"/>
        <v>0</v>
      </c>
      <c r="G64" s="524">
        <f t="shared" si="31"/>
        <v>0</v>
      </c>
      <c r="H64" s="491">
        <f t="shared" si="32"/>
        <v>0</v>
      </c>
      <c r="I64" s="511">
        <f t="shared" si="6"/>
        <v>0</v>
      </c>
      <c r="J64" s="511"/>
      <c r="K64" s="525"/>
      <c r="L64" s="514">
        <f t="shared" si="30"/>
        <v>0</v>
      </c>
      <c r="M64" s="525"/>
      <c r="N64" s="514">
        <f t="shared" si="10"/>
        <v>0</v>
      </c>
      <c r="O64" s="514">
        <f t="shared" si="11"/>
        <v>0</v>
      </c>
      <c r="P64" s="272"/>
    </row>
    <row r="65" spans="2:16">
      <c r="B65" s="195" t="str">
        <f t="shared" si="5"/>
        <v/>
      </c>
      <c r="C65" s="507">
        <f>IF(D11="","-",+C64+1)</f>
        <v>2061</v>
      </c>
      <c r="D65" s="523">
        <f>IF(F64+SUM(E$17:E64)=D$10,F64,D$10-SUM(E$17:E64))</f>
        <v>0</v>
      </c>
      <c r="E65" s="522">
        <f t="shared" si="26"/>
        <v>0</v>
      </c>
      <c r="F65" s="523">
        <f t="shared" si="27"/>
        <v>0</v>
      </c>
      <c r="G65" s="524">
        <f t="shared" si="31"/>
        <v>0</v>
      </c>
      <c r="H65" s="491">
        <f t="shared" si="32"/>
        <v>0</v>
      </c>
      <c r="I65" s="511">
        <f t="shared" si="6"/>
        <v>0</v>
      </c>
      <c r="J65" s="511"/>
      <c r="K65" s="525"/>
      <c r="L65" s="514">
        <f t="shared" si="30"/>
        <v>0</v>
      </c>
      <c r="M65" s="525"/>
      <c r="N65" s="514">
        <f t="shared" si="10"/>
        <v>0</v>
      </c>
      <c r="O65" s="514">
        <f t="shared" si="11"/>
        <v>0</v>
      </c>
      <c r="P65" s="272"/>
    </row>
    <row r="66" spans="2:16">
      <c r="B66" s="195" t="str">
        <f t="shared" si="5"/>
        <v/>
      </c>
      <c r="C66" s="507">
        <f>IF(D11="","-",+C65+1)</f>
        <v>2062</v>
      </c>
      <c r="D66" s="523">
        <f>IF(F65+SUM(E$17:E65)=D$10,F65,D$10-SUM(E$17:E65))</f>
        <v>0</v>
      </c>
      <c r="E66" s="522">
        <f t="shared" si="26"/>
        <v>0</v>
      </c>
      <c r="F66" s="523">
        <f t="shared" si="27"/>
        <v>0</v>
      </c>
      <c r="G66" s="524">
        <f t="shared" si="31"/>
        <v>0</v>
      </c>
      <c r="H66" s="491">
        <f t="shared" si="32"/>
        <v>0</v>
      </c>
      <c r="I66" s="511">
        <f t="shared" si="6"/>
        <v>0</v>
      </c>
      <c r="J66" s="511"/>
      <c r="K66" s="525"/>
      <c r="L66" s="514">
        <f t="shared" si="30"/>
        <v>0</v>
      </c>
      <c r="M66" s="525"/>
      <c r="N66" s="514">
        <f t="shared" si="10"/>
        <v>0</v>
      </c>
      <c r="O66" s="514">
        <f t="shared" si="11"/>
        <v>0</v>
      </c>
      <c r="P66" s="272"/>
    </row>
    <row r="67" spans="2:16">
      <c r="B67" s="195" t="str">
        <f t="shared" si="5"/>
        <v/>
      </c>
      <c r="C67" s="507">
        <f>IF(D11="","-",+C66+1)</f>
        <v>2063</v>
      </c>
      <c r="D67" s="523">
        <f>IF(F66+SUM(E$17:E66)=D$10,F66,D$10-SUM(E$17:E66))</f>
        <v>0</v>
      </c>
      <c r="E67" s="522">
        <f t="shared" si="26"/>
        <v>0</v>
      </c>
      <c r="F67" s="523">
        <f t="shared" si="27"/>
        <v>0</v>
      </c>
      <c r="G67" s="524">
        <f t="shared" si="31"/>
        <v>0</v>
      </c>
      <c r="H67" s="491">
        <f t="shared" si="32"/>
        <v>0</v>
      </c>
      <c r="I67" s="511">
        <f t="shared" si="6"/>
        <v>0</v>
      </c>
      <c r="J67" s="511"/>
      <c r="K67" s="525"/>
      <c r="L67" s="514">
        <f t="shared" si="30"/>
        <v>0</v>
      </c>
      <c r="M67" s="525"/>
      <c r="N67" s="514">
        <f t="shared" si="10"/>
        <v>0</v>
      </c>
      <c r="O67" s="514">
        <f t="shared" si="11"/>
        <v>0</v>
      </c>
      <c r="P67" s="272"/>
    </row>
    <row r="68" spans="2:16">
      <c r="B68" s="195" t="str">
        <f t="shared" si="5"/>
        <v/>
      </c>
      <c r="C68" s="507">
        <f>IF(D11="","-",+C67+1)</f>
        <v>2064</v>
      </c>
      <c r="D68" s="523">
        <f>IF(F67+SUM(E$17:E67)=D$10,F67,D$10-SUM(E$17:E67))</f>
        <v>0</v>
      </c>
      <c r="E68" s="522">
        <f t="shared" si="26"/>
        <v>0</v>
      </c>
      <c r="F68" s="523">
        <f t="shared" si="27"/>
        <v>0</v>
      </c>
      <c r="G68" s="524">
        <f t="shared" si="31"/>
        <v>0</v>
      </c>
      <c r="H68" s="491">
        <f t="shared" si="32"/>
        <v>0</v>
      </c>
      <c r="I68" s="511">
        <f t="shared" si="6"/>
        <v>0</v>
      </c>
      <c r="J68" s="511"/>
      <c r="K68" s="525"/>
      <c r="L68" s="514">
        <f t="shared" si="30"/>
        <v>0</v>
      </c>
      <c r="M68" s="525"/>
      <c r="N68" s="514">
        <f t="shared" si="10"/>
        <v>0</v>
      </c>
      <c r="O68" s="514">
        <f t="shared" si="11"/>
        <v>0</v>
      </c>
      <c r="P68" s="272"/>
    </row>
    <row r="69" spans="2:16">
      <c r="B69" s="195" t="str">
        <f t="shared" si="5"/>
        <v/>
      </c>
      <c r="C69" s="507">
        <f>IF(D11="","-",+C68+1)</f>
        <v>2065</v>
      </c>
      <c r="D69" s="523">
        <f>IF(F68+SUM(E$17:E68)=D$10,F68,D$10-SUM(E$17:E68))</f>
        <v>0</v>
      </c>
      <c r="E69" s="522">
        <f t="shared" si="26"/>
        <v>0</v>
      </c>
      <c r="F69" s="523">
        <f t="shared" si="27"/>
        <v>0</v>
      </c>
      <c r="G69" s="524">
        <f t="shared" si="31"/>
        <v>0</v>
      </c>
      <c r="H69" s="491">
        <f t="shared" si="32"/>
        <v>0</v>
      </c>
      <c r="I69" s="511">
        <f t="shared" si="6"/>
        <v>0</v>
      </c>
      <c r="J69" s="511"/>
      <c r="K69" s="525"/>
      <c r="L69" s="514">
        <f t="shared" si="30"/>
        <v>0</v>
      </c>
      <c r="M69" s="525"/>
      <c r="N69" s="514">
        <f t="shared" si="10"/>
        <v>0</v>
      </c>
      <c r="O69" s="514">
        <f t="shared" si="11"/>
        <v>0</v>
      </c>
      <c r="P69" s="272"/>
    </row>
    <row r="70" spans="2:16">
      <c r="B70" s="195" t="str">
        <f t="shared" si="5"/>
        <v/>
      </c>
      <c r="C70" s="507">
        <f>IF(D11="","-",+C69+1)</f>
        <v>2066</v>
      </c>
      <c r="D70" s="523">
        <f>IF(F69+SUM(E$17:E69)=D$10,F69,D$10-SUM(E$17:E69))</f>
        <v>0</v>
      </c>
      <c r="E70" s="522">
        <f t="shared" si="26"/>
        <v>0</v>
      </c>
      <c r="F70" s="523">
        <f t="shared" si="27"/>
        <v>0</v>
      </c>
      <c r="G70" s="524">
        <f t="shared" si="31"/>
        <v>0</v>
      </c>
      <c r="H70" s="491">
        <f t="shared" si="32"/>
        <v>0</v>
      </c>
      <c r="I70" s="511">
        <f t="shared" si="6"/>
        <v>0</v>
      </c>
      <c r="J70" s="511"/>
      <c r="K70" s="525"/>
      <c r="L70" s="514">
        <f t="shared" si="30"/>
        <v>0</v>
      </c>
      <c r="M70" s="525"/>
      <c r="N70" s="514">
        <f t="shared" si="10"/>
        <v>0</v>
      </c>
      <c r="O70" s="514">
        <f t="shared" si="11"/>
        <v>0</v>
      </c>
      <c r="P70" s="272"/>
    </row>
    <row r="71" spans="2:16">
      <c r="B71" s="195" t="str">
        <f t="shared" si="5"/>
        <v/>
      </c>
      <c r="C71" s="507">
        <f>IF(D11="","-",+C70+1)</f>
        <v>2067</v>
      </c>
      <c r="D71" s="523">
        <f>IF(F70+SUM(E$17:E70)=D$10,F70,D$10-SUM(E$17:E70))</f>
        <v>0</v>
      </c>
      <c r="E71" s="522">
        <f t="shared" si="26"/>
        <v>0</v>
      </c>
      <c r="F71" s="523">
        <f t="shared" si="27"/>
        <v>0</v>
      </c>
      <c r="G71" s="524">
        <f t="shared" si="31"/>
        <v>0</v>
      </c>
      <c r="H71" s="491">
        <f t="shared" si="32"/>
        <v>0</v>
      </c>
      <c r="I71" s="511">
        <f t="shared" si="6"/>
        <v>0</v>
      </c>
      <c r="J71" s="511"/>
      <c r="K71" s="525"/>
      <c r="L71" s="514">
        <f t="shared" si="30"/>
        <v>0</v>
      </c>
      <c r="M71" s="525"/>
      <c r="N71" s="514">
        <f t="shared" si="10"/>
        <v>0</v>
      </c>
      <c r="O71" s="514">
        <f t="shared" si="11"/>
        <v>0</v>
      </c>
      <c r="P71" s="272"/>
    </row>
    <row r="72" spans="2:16" ht="13.5" thickBot="1">
      <c r="B72" s="195" t="str">
        <f t="shared" si="5"/>
        <v/>
      </c>
      <c r="C72" s="527">
        <f>IF(D11="","-",+C71+1)</f>
        <v>2068</v>
      </c>
      <c r="D72" s="528">
        <f>IF(F71+SUM(E$17:E71)=D$10,F71,D$10-SUM(E$17:E71))</f>
        <v>0</v>
      </c>
      <c r="E72" s="529">
        <f t="shared" si="26"/>
        <v>0</v>
      </c>
      <c r="F72" s="528">
        <f t="shared" si="27"/>
        <v>0</v>
      </c>
      <c r="G72" s="530">
        <f t="shared" si="31"/>
        <v>0</v>
      </c>
      <c r="H72" s="471">
        <f t="shared" si="32"/>
        <v>0</v>
      </c>
      <c r="I72" s="531">
        <f t="shared" si="6"/>
        <v>0</v>
      </c>
      <c r="J72" s="511"/>
      <c r="K72" s="532"/>
      <c r="L72" s="533">
        <f t="shared" si="30"/>
        <v>0</v>
      </c>
      <c r="M72" s="532"/>
      <c r="N72" s="533">
        <f t="shared" si="10"/>
        <v>0</v>
      </c>
      <c r="O72" s="533">
        <f t="shared" si="11"/>
        <v>0</v>
      </c>
      <c r="P72" s="272"/>
    </row>
    <row r="73" spans="2:16">
      <c r="C73" s="374" t="s">
        <v>78</v>
      </c>
      <c r="D73" s="375"/>
      <c r="E73" s="375">
        <f>SUM(E17:E72)</f>
        <v>8598828</v>
      </c>
      <c r="F73" s="375"/>
      <c r="G73" s="375">
        <f>SUM(G17:G72)</f>
        <v>31451047.949844632</v>
      </c>
      <c r="H73" s="375">
        <f>SUM(H17:H72)</f>
        <v>31451047.949844632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2:16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2:16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2:16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2:16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272"/>
      <c r="P77" s="272"/>
    </row>
    <row r="78" spans="2:16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2:16"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  <c r="O79" s="269"/>
      <c r="P79" s="269"/>
    </row>
    <row r="80" spans="2:16" ht="18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7">
      <c r="B81" s="269"/>
      <c r="C81" s="340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7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  <c r="Q82" s="269"/>
    </row>
    <row r="83" spans="1:17" ht="20.25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451" t="str">
        <f ca="1">P1</f>
        <v>SWEPCO Project 34 of 75</v>
      </c>
      <c r="Q83" s="269"/>
    </row>
    <row r="84" spans="1:17" ht="18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538" t="s">
        <v>128</v>
      </c>
      <c r="Q84" s="269"/>
    </row>
    <row r="85" spans="1:17" ht="18.7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  <c r="Q85" s="269"/>
    </row>
    <row r="86" spans="1:17" ht="15.75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2022</v>
      </c>
      <c r="M86" s="541" t="s">
        <v>9</v>
      </c>
      <c r="N86" s="542" t="s">
        <v>159</v>
      </c>
      <c r="O86" s="543" t="s">
        <v>11</v>
      </c>
      <c r="P86" s="269"/>
      <c r="Q86" s="269"/>
    </row>
    <row r="87" spans="1:17" ht="1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391</v>
      </c>
      <c r="M87" s="546">
        <f>IF(J92&lt;D11,0,VLOOKUP(J92,C17:O72,9))</f>
        <v>963859.22769891692</v>
      </c>
      <c r="N87" s="546">
        <f>IF(J92&lt;D11,0,VLOOKUP(J92,C17:O72,11))</f>
        <v>963859.22769891692</v>
      </c>
      <c r="O87" s="547">
        <f>+N87-M87</f>
        <v>0</v>
      </c>
      <c r="P87" s="269"/>
      <c r="Q87" s="269"/>
    </row>
    <row r="88" spans="1:17" ht="15.7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392</v>
      </c>
      <c r="M88" s="550">
        <f>IF(J92&lt;D11,0,VLOOKUP(J92,C99:P154,6))</f>
        <v>998844.18352416926</v>
      </c>
      <c r="N88" s="550">
        <f>IF(J92&lt;D11,0,VLOOKUP(J92,C99:P154,7))</f>
        <v>998844.18352416926</v>
      </c>
      <c r="O88" s="551">
        <f>+N88-M88</f>
        <v>0</v>
      </c>
      <c r="P88" s="269"/>
      <c r="Q88" s="269"/>
    </row>
    <row r="89" spans="1:17" ht="13.5" thickBot="1">
      <c r="C89" s="467" t="s">
        <v>84</v>
      </c>
      <c r="D89" s="552" t="str">
        <f>+D7</f>
        <v>Bann - LS Ordnance - Hooks 69 kV - Rebuild 7.1 mi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34984.955825252342</v>
      </c>
      <c r="N89" s="555">
        <f>+N88-N87</f>
        <v>34984.955825252342</v>
      </c>
      <c r="O89" s="556">
        <f>+O88-O87</f>
        <v>0</v>
      </c>
      <c r="P89" s="269"/>
      <c r="Q89" s="269"/>
    </row>
    <row r="90" spans="1:17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  <c r="Q90" s="269"/>
    </row>
    <row r="91" spans="1:17" ht="13.5" thickBot="1">
      <c r="A91" s="191"/>
      <c r="C91" s="558" t="s">
        <v>85</v>
      </c>
      <c r="D91" s="559" t="str">
        <f>+D9</f>
        <v>TP2011024</v>
      </c>
      <c r="E91" s="560"/>
      <c r="F91" s="560"/>
      <c r="G91" s="560"/>
      <c r="H91" s="560"/>
      <c r="I91" s="560"/>
      <c r="J91" s="560"/>
      <c r="K91" s="562"/>
      <c r="P91" s="481"/>
      <c r="Q91" s="269"/>
    </row>
    <row r="92" spans="1:17">
      <c r="C92" s="486" t="s">
        <v>51</v>
      </c>
      <c r="D92" s="628">
        <f>D10</f>
        <v>8598828</v>
      </c>
      <c r="E92" s="340" t="s">
        <v>86</v>
      </c>
      <c r="H92" s="484"/>
      <c r="I92" s="484"/>
      <c r="J92" s="485">
        <f>+'SWE.WS.G.BPU.ATRR.True-up'!M16</f>
        <v>2022</v>
      </c>
      <c r="K92" s="480"/>
      <c r="L92" s="375" t="s">
        <v>87</v>
      </c>
      <c r="P92" s="272"/>
      <c r="Q92" s="269"/>
    </row>
    <row r="93" spans="1:17">
      <c r="C93" s="486" t="s">
        <v>54</v>
      </c>
      <c r="D93" s="664">
        <f>D11</f>
        <v>2013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  <c r="Q93" s="269"/>
    </row>
    <row r="94" spans="1:17">
      <c r="C94" s="486" t="s">
        <v>56</v>
      </c>
      <c r="D94" s="564">
        <f>D12</f>
        <v>11</v>
      </c>
      <c r="E94" s="486" t="s">
        <v>57</v>
      </c>
      <c r="F94" s="484"/>
      <c r="G94" s="484"/>
      <c r="J94" s="490">
        <f>'SWE.WS.G.BPU.ATRR.True-up'!$F$81</f>
        <v>0.11351422637179906</v>
      </c>
      <c r="K94" s="425"/>
      <c r="L94" s="183" t="s">
        <v>88</v>
      </c>
      <c r="P94" s="272"/>
      <c r="Q94" s="269"/>
    </row>
    <row r="95" spans="1:17">
      <c r="C95" s="486" t="s">
        <v>59</v>
      </c>
      <c r="D95" s="488">
        <f>'SWE.WS.G.BPU.ATRR.True-up'!F$93</f>
        <v>41</v>
      </c>
      <c r="E95" s="486" t="s">
        <v>60</v>
      </c>
      <c r="F95" s="484"/>
      <c r="G95" s="484"/>
      <c r="J95" s="490">
        <f>IF(H87="",J94,'SWE.WS.G.BPU.ATRR.True-up'!$F$80)</f>
        <v>0.11351422637179906</v>
      </c>
      <c r="K95" s="324"/>
      <c r="L95" s="375" t="s">
        <v>61</v>
      </c>
      <c r="M95" s="324"/>
      <c r="N95" s="324"/>
      <c r="O95" s="324"/>
      <c r="P95" s="272"/>
      <c r="Q95" s="269"/>
    </row>
    <row r="96" spans="1:17" ht="13.5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209727.51219512196</v>
      </c>
      <c r="K96" s="375"/>
      <c r="L96" s="375"/>
      <c r="M96" s="375"/>
      <c r="N96" s="375"/>
      <c r="O96" s="375"/>
      <c r="P96" s="272"/>
      <c r="Q96" s="269"/>
    </row>
    <row r="97" spans="1:17" ht="38.25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388</v>
      </c>
      <c r="I97" s="495" t="s">
        <v>389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  <c r="Q97" s="269"/>
    </row>
    <row r="98" spans="1:17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  <c r="Q98" s="269"/>
    </row>
    <row r="99" spans="1:17">
      <c r="C99" s="507">
        <f>IF(D93= "","-",D93)</f>
        <v>2013</v>
      </c>
      <c r="D99" s="629">
        <v>0</v>
      </c>
      <c r="E99" s="630">
        <v>102307.79761904763</v>
      </c>
      <c r="F99" s="631">
        <v>8491547.2023809515</v>
      </c>
      <c r="G99" s="632">
        <v>4245773.6011904757</v>
      </c>
      <c r="H99" s="633">
        <v>676725.73574462067</v>
      </c>
      <c r="I99" s="634">
        <v>676725.73574462067</v>
      </c>
      <c r="J99" s="613">
        <v>0</v>
      </c>
      <c r="K99" s="514"/>
      <c r="L99" s="518">
        <f t="shared" ref="L99:L104" si="33">H99</f>
        <v>676725.73574462067</v>
      </c>
      <c r="M99" s="519">
        <f t="shared" ref="M99:M104" si="34">IF(L99&lt;&gt;0,+H99-L99,0)</f>
        <v>0</v>
      </c>
      <c r="N99" s="518">
        <f t="shared" ref="N99:N104" si="35">I99</f>
        <v>676725.73574462067</v>
      </c>
      <c r="O99" s="514">
        <f>IF(N99&lt;&gt;0,+I99-N99,0)</f>
        <v>0</v>
      </c>
      <c r="P99" s="514">
        <f>+O99-M99</f>
        <v>0</v>
      </c>
      <c r="Q99" s="269"/>
    </row>
    <row r="100" spans="1:17">
      <c r="B100" s="195" t="str">
        <f>IF(D100=F99,"","IU")</f>
        <v/>
      </c>
      <c r="C100" s="507">
        <f>IF(D93="","-",+C99+1)</f>
        <v>2014</v>
      </c>
      <c r="D100" s="629">
        <v>8491547.2023809515</v>
      </c>
      <c r="E100" s="630">
        <v>204734</v>
      </c>
      <c r="F100" s="631">
        <v>8286813.2023809515</v>
      </c>
      <c r="G100" s="631">
        <v>8389180.2023809515</v>
      </c>
      <c r="H100" s="633">
        <v>1345020.3976952727</v>
      </c>
      <c r="I100" s="634">
        <v>1345020.3976952727</v>
      </c>
      <c r="J100" s="514">
        <v>0</v>
      </c>
      <c r="K100" s="514"/>
      <c r="L100" s="518">
        <f t="shared" si="33"/>
        <v>1345020.3976952727</v>
      </c>
      <c r="M100" s="519">
        <f t="shared" si="34"/>
        <v>0</v>
      </c>
      <c r="N100" s="518">
        <f t="shared" si="35"/>
        <v>1345020.3976952727</v>
      </c>
      <c r="O100" s="514">
        <f>IF(N100&lt;&gt;0,+I100-N100,0)</f>
        <v>0</v>
      </c>
      <c r="P100" s="514">
        <f>+O100-M100</f>
        <v>0</v>
      </c>
      <c r="Q100" s="269"/>
    </row>
    <row r="101" spans="1:17">
      <c r="B101" s="195" t="str">
        <f t="shared" ref="B101:B154" si="36">IF(D101=F100,"","IU")</f>
        <v>IU</v>
      </c>
      <c r="C101" s="507">
        <f>IF(D93="","-",+C100+1)</f>
        <v>2015</v>
      </c>
      <c r="D101" s="629">
        <v>8291786.2023809524</v>
      </c>
      <c r="E101" s="630">
        <v>204734</v>
      </c>
      <c r="F101" s="631">
        <v>8087052.2023809524</v>
      </c>
      <c r="G101" s="631">
        <v>8189419.2023809524</v>
      </c>
      <c r="H101" s="633">
        <v>1283844.5787456448</v>
      </c>
      <c r="I101" s="634">
        <v>1283844.5787456448</v>
      </c>
      <c r="J101" s="514">
        <f>+I101-H101</f>
        <v>0</v>
      </c>
      <c r="K101" s="514"/>
      <c r="L101" s="518">
        <f t="shared" si="33"/>
        <v>1283844.5787456448</v>
      </c>
      <c r="M101" s="519">
        <f t="shared" si="34"/>
        <v>0</v>
      </c>
      <c r="N101" s="518">
        <f t="shared" si="35"/>
        <v>1283844.5787456448</v>
      </c>
      <c r="O101" s="514">
        <f>IF(N101&lt;&gt;0,+I101-N101,0)</f>
        <v>0</v>
      </c>
      <c r="P101" s="514">
        <f>+O101-M101</f>
        <v>0</v>
      </c>
      <c r="Q101" s="269"/>
    </row>
    <row r="102" spans="1:17">
      <c r="B102" s="195" t="str">
        <f t="shared" si="36"/>
        <v/>
      </c>
      <c r="C102" s="507">
        <f>IF(D93="","-",+C101+1)</f>
        <v>2016</v>
      </c>
      <c r="D102" s="629">
        <v>8087052.2023809524</v>
      </c>
      <c r="E102" s="630">
        <v>199972.7441860465</v>
      </c>
      <c r="F102" s="631">
        <v>7887079.4581949059</v>
      </c>
      <c r="G102" s="631">
        <v>7987065.8302879296</v>
      </c>
      <c r="H102" s="633">
        <v>1213930.6577994749</v>
      </c>
      <c r="I102" s="634">
        <v>1213930.6577994749</v>
      </c>
      <c r="J102" s="514">
        <f t="shared" ref="J102:J154" si="37">+I102-H102</f>
        <v>0</v>
      </c>
      <c r="K102" s="514"/>
      <c r="L102" s="518">
        <f t="shared" si="33"/>
        <v>1213930.6577994749</v>
      </c>
      <c r="M102" s="519">
        <f t="shared" si="34"/>
        <v>0</v>
      </c>
      <c r="N102" s="518">
        <f t="shared" si="35"/>
        <v>1213930.6577994749</v>
      </c>
      <c r="O102" s="514">
        <f>IF(N102&lt;&gt;0,+I102-N102,0)</f>
        <v>0</v>
      </c>
      <c r="P102" s="514">
        <f>+O102-M102</f>
        <v>0</v>
      </c>
      <c r="Q102" s="269"/>
    </row>
    <row r="103" spans="1:17">
      <c r="B103" s="195" t="str">
        <f t="shared" si="36"/>
        <v/>
      </c>
      <c r="C103" s="507">
        <f>IF(D93="","-",+C102+1)</f>
        <v>2017</v>
      </c>
      <c r="D103" s="629">
        <v>7887079.4581949059</v>
      </c>
      <c r="E103" s="630">
        <v>204734</v>
      </c>
      <c r="F103" s="631">
        <v>7682345.4581949059</v>
      </c>
      <c r="G103" s="631">
        <v>7784712.4581949059</v>
      </c>
      <c r="H103" s="633">
        <v>1150354.3699475904</v>
      </c>
      <c r="I103" s="634">
        <v>1150354.3699475904</v>
      </c>
      <c r="J103" s="514">
        <f t="shared" si="37"/>
        <v>0</v>
      </c>
      <c r="K103" s="514"/>
      <c r="L103" s="518">
        <f t="shared" si="33"/>
        <v>1150354.3699475904</v>
      </c>
      <c r="M103" s="519">
        <f t="shared" si="34"/>
        <v>0</v>
      </c>
      <c r="N103" s="518">
        <f t="shared" si="35"/>
        <v>1150354.3699475904</v>
      </c>
      <c r="O103" s="514">
        <f>IF(N103&lt;&gt;0,+I103-N103,0)</f>
        <v>0</v>
      </c>
      <c r="P103" s="514">
        <f>+O103-M103</f>
        <v>0</v>
      </c>
      <c r="Q103" s="269"/>
    </row>
    <row r="104" spans="1:17">
      <c r="B104" s="195" t="str">
        <f t="shared" si="36"/>
        <v/>
      </c>
      <c r="C104" s="507">
        <f>IF(D93="","-",+C103+1)</f>
        <v>2018</v>
      </c>
      <c r="D104" s="629">
        <v>7682345.4581949059</v>
      </c>
      <c r="E104" s="630">
        <v>204734</v>
      </c>
      <c r="F104" s="631">
        <v>7477611.4581949059</v>
      </c>
      <c r="G104" s="631">
        <v>7579978.4581949059</v>
      </c>
      <c r="H104" s="633">
        <v>1005214.4856005983</v>
      </c>
      <c r="I104" s="634">
        <v>1005214.4856005983</v>
      </c>
      <c r="J104" s="514">
        <f t="shared" si="37"/>
        <v>0</v>
      </c>
      <c r="K104" s="514"/>
      <c r="L104" s="518">
        <f t="shared" si="33"/>
        <v>1005214.4856005983</v>
      </c>
      <c r="M104" s="519">
        <f t="shared" si="34"/>
        <v>0</v>
      </c>
      <c r="N104" s="518">
        <f t="shared" si="35"/>
        <v>1005214.4856005983</v>
      </c>
      <c r="O104" s="514">
        <f t="shared" ref="O104:O130" si="38">IF(N104&lt;&gt;0,+I104-N104,0)</f>
        <v>0</v>
      </c>
      <c r="P104" s="514">
        <f t="shared" ref="P104:P130" si="39">+O104-M104</f>
        <v>0</v>
      </c>
      <c r="Q104" s="269"/>
    </row>
    <row r="105" spans="1:17">
      <c r="B105" s="195" t="str">
        <f t="shared" si="36"/>
        <v/>
      </c>
      <c r="C105" s="507">
        <f>IF(D93="","-",+C104+1)</f>
        <v>2019</v>
      </c>
      <c r="D105" s="629">
        <v>7477611.4581949059</v>
      </c>
      <c r="E105" s="630">
        <v>199972.7441860465</v>
      </c>
      <c r="F105" s="631">
        <v>7277638.7140088594</v>
      </c>
      <c r="G105" s="631">
        <v>7377625.0861018822</v>
      </c>
      <c r="H105" s="633">
        <v>989677.76558481681</v>
      </c>
      <c r="I105" s="634">
        <v>989677.76558481681</v>
      </c>
      <c r="J105" s="514">
        <f t="shared" si="37"/>
        <v>0</v>
      </c>
      <c r="K105" s="514"/>
      <c r="L105" s="518">
        <f t="shared" ref="L105:L106" si="40">H105</f>
        <v>989677.76558481681</v>
      </c>
      <c r="M105" s="519">
        <f t="shared" ref="M105:M106" si="41">IF(L105&lt;&gt;0,+H105-L105,0)</f>
        <v>0</v>
      </c>
      <c r="N105" s="518">
        <f t="shared" ref="N105:N106" si="42">I105</f>
        <v>989677.76558481681</v>
      </c>
      <c r="O105" s="514">
        <f t="shared" si="38"/>
        <v>0</v>
      </c>
      <c r="P105" s="514">
        <f t="shared" si="39"/>
        <v>0</v>
      </c>
      <c r="Q105" s="269"/>
    </row>
    <row r="106" spans="1:17">
      <c r="B106" s="195" t="str">
        <f t="shared" si="36"/>
        <v/>
      </c>
      <c r="C106" s="507">
        <f>IF(D93="","-",+C105+1)</f>
        <v>2020</v>
      </c>
      <c r="D106" s="629">
        <v>7277638.7140088594</v>
      </c>
      <c r="E106" s="630">
        <v>204734</v>
      </c>
      <c r="F106" s="631">
        <v>7072904.7140088594</v>
      </c>
      <c r="G106" s="631">
        <v>7175271.7140088594</v>
      </c>
      <c r="H106" s="633">
        <v>976605.47751006903</v>
      </c>
      <c r="I106" s="634">
        <v>976605.47751006903</v>
      </c>
      <c r="J106" s="514">
        <f t="shared" si="37"/>
        <v>0</v>
      </c>
      <c r="K106" s="514"/>
      <c r="L106" s="518">
        <f t="shared" si="40"/>
        <v>976605.47751006903</v>
      </c>
      <c r="M106" s="519">
        <f t="shared" si="41"/>
        <v>0</v>
      </c>
      <c r="N106" s="518">
        <f t="shared" si="42"/>
        <v>976605.47751006903</v>
      </c>
      <c r="O106" s="514">
        <f t="shared" si="38"/>
        <v>0</v>
      </c>
      <c r="P106" s="514">
        <f t="shared" si="39"/>
        <v>0</v>
      </c>
      <c r="Q106" s="269"/>
    </row>
    <row r="107" spans="1:17">
      <c r="B107" s="195" t="str">
        <f t="shared" si="36"/>
        <v/>
      </c>
      <c r="C107" s="507">
        <f>IF(D93="","-",+C106+1)</f>
        <v>2021</v>
      </c>
      <c r="D107" s="629">
        <v>7072904.7140088594</v>
      </c>
      <c r="E107" s="630">
        <v>209727.51219512196</v>
      </c>
      <c r="F107" s="631">
        <v>6863177.2018137369</v>
      </c>
      <c r="G107" s="631">
        <v>6968040.9579112977</v>
      </c>
      <c r="H107" s="633">
        <v>1000699.2908594325</v>
      </c>
      <c r="I107" s="634">
        <v>1000699.2908594325</v>
      </c>
      <c r="J107" s="514">
        <f t="shared" si="37"/>
        <v>0</v>
      </c>
      <c r="K107" s="514"/>
      <c r="L107" s="518">
        <f t="shared" ref="L107" si="43">H107</f>
        <v>1000699.2908594325</v>
      </c>
      <c r="M107" s="519">
        <f t="shared" ref="M107" si="44">IF(L107&lt;&gt;0,+H107-L107,0)</f>
        <v>0</v>
      </c>
      <c r="N107" s="518">
        <f t="shared" ref="N107" si="45">I107</f>
        <v>1000699.2908594325</v>
      </c>
      <c r="O107" s="514">
        <f t="shared" ref="O107" si="46">IF(N107&lt;&gt;0,+I107-N107,0)</f>
        <v>0</v>
      </c>
      <c r="P107" s="514">
        <f t="shared" ref="P107" si="47">+O107-M107</f>
        <v>0</v>
      </c>
      <c r="Q107" s="269"/>
    </row>
    <row r="108" spans="1:17">
      <c r="B108" s="195" t="str">
        <f t="shared" si="36"/>
        <v/>
      </c>
      <c r="C108" s="673">
        <f>IF(D93="","-",+C107+1)</f>
        <v>2022</v>
      </c>
      <c r="D108" s="374">
        <v>6863177.2018137369</v>
      </c>
      <c r="E108" s="522">
        <v>204734</v>
      </c>
      <c r="F108" s="523">
        <v>6658443.2018137369</v>
      </c>
      <c r="G108" s="523">
        <v>6760810.2018137369</v>
      </c>
      <c r="H108" s="526">
        <v>998844.18352416926</v>
      </c>
      <c r="I108" s="577">
        <v>998844.18352416926</v>
      </c>
      <c r="J108" s="514">
        <f t="shared" si="37"/>
        <v>0</v>
      </c>
      <c r="K108" s="514"/>
      <c r="L108" s="525"/>
      <c r="M108" s="514">
        <f t="shared" ref="M108:M130" si="48">IF(L108&lt;&gt;0,+H108-L108,0)</f>
        <v>0</v>
      </c>
      <c r="N108" s="525"/>
      <c r="O108" s="514">
        <f t="shared" si="38"/>
        <v>0</v>
      </c>
      <c r="P108" s="514">
        <f t="shared" si="39"/>
        <v>0</v>
      </c>
      <c r="Q108" s="269"/>
    </row>
    <row r="109" spans="1:17">
      <c r="B109" s="195" t="str">
        <f t="shared" si="36"/>
        <v/>
      </c>
      <c r="C109" s="507">
        <f>IF(D93="","-",+C108+1)</f>
        <v>2023</v>
      </c>
      <c r="D109" s="374">
        <f>IF(F108+SUM(E$99:E108)=D$92,F108,D$92-SUM(E$99:E108))</f>
        <v>6658443.2018137369</v>
      </c>
      <c r="E109" s="522">
        <f t="shared" ref="E109:E154" si="49">IF(+$J$96&lt;F108,$J$96,D109)</f>
        <v>209727.51219512196</v>
      </c>
      <c r="F109" s="523">
        <f t="shared" ref="F109:F154" si="50">+D109-E109</f>
        <v>6448715.6896186154</v>
      </c>
      <c r="G109" s="523">
        <f t="shared" ref="G109:G154" si="51">+(F109+D109)/2</f>
        <v>6553579.4457161762</v>
      </c>
      <c r="H109" s="526">
        <f t="shared" ref="H109:H154" si="52">+J$94*G109+E109</f>
        <v>953652.0129417174</v>
      </c>
      <c r="I109" s="577">
        <f t="shared" ref="I109:I154" si="53">+J$95*G109+E109</f>
        <v>953652.0129417174</v>
      </c>
      <c r="J109" s="514">
        <f t="shared" si="37"/>
        <v>0</v>
      </c>
      <c r="K109" s="514"/>
      <c r="L109" s="525"/>
      <c r="M109" s="514">
        <f t="shared" si="48"/>
        <v>0</v>
      </c>
      <c r="N109" s="525"/>
      <c r="O109" s="514">
        <f t="shared" si="38"/>
        <v>0</v>
      </c>
      <c r="P109" s="514">
        <f t="shared" si="39"/>
        <v>0</v>
      </c>
      <c r="Q109" s="269"/>
    </row>
    <row r="110" spans="1:17">
      <c r="B110" s="195" t="str">
        <f t="shared" si="36"/>
        <v/>
      </c>
      <c r="C110" s="507">
        <f>IF(D93="","-",+C109+1)</f>
        <v>2024</v>
      </c>
      <c r="D110" s="374">
        <f>IF(F109+SUM(E$99:E109)=D$92,F109,D$92-SUM(E$99:E109))</f>
        <v>6448715.6896186154</v>
      </c>
      <c r="E110" s="522">
        <f t="shared" si="49"/>
        <v>209727.51219512196</v>
      </c>
      <c r="F110" s="523">
        <f t="shared" si="50"/>
        <v>6238988.1774234939</v>
      </c>
      <c r="G110" s="523">
        <f t="shared" si="51"/>
        <v>6343851.9335210547</v>
      </c>
      <c r="H110" s="526">
        <f t="shared" si="52"/>
        <v>929844.95664600609</v>
      </c>
      <c r="I110" s="577">
        <f t="shared" si="53"/>
        <v>929844.95664600609</v>
      </c>
      <c r="J110" s="514">
        <f t="shared" si="37"/>
        <v>0</v>
      </c>
      <c r="K110" s="514"/>
      <c r="L110" s="525"/>
      <c r="M110" s="514">
        <f t="shared" si="48"/>
        <v>0</v>
      </c>
      <c r="N110" s="525"/>
      <c r="O110" s="514">
        <f t="shared" si="38"/>
        <v>0</v>
      </c>
      <c r="P110" s="514">
        <f t="shared" si="39"/>
        <v>0</v>
      </c>
      <c r="Q110" s="269"/>
    </row>
    <row r="111" spans="1:17">
      <c r="B111" s="195" t="str">
        <f t="shared" si="36"/>
        <v/>
      </c>
      <c r="C111" s="507">
        <f>IF(D93="","-",+C110+1)</f>
        <v>2025</v>
      </c>
      <c r="D111" s="374">
        <f>IF(F110+SUM(E$99:E110)=D$92,F110,D$92-SUM(E$99:E110))</f>
        <v>6238988.1774234939</v>
      </c>
      <c r="E111" s="522">
        <f t="shared" si="49"/>
        <v>209727.51219512196</v>
      </c>
      <c r="F111" s="523">
        <f t="shared" si="50"/>
        <v>6029260.6652283724</v>
      </c>
      <c r="G111" s="523">
        <f t="shared" si="51"/>
        <v>6134124.4213259332</v>
      </c>
      <c r="H111" s="526">
        <f t="shared" si="52"/>
        <v>906037.90035029489</v>
      </c>
      <c r="I111" s="577">
        <f t="shared" si="53"/>
        <v>906037.90035029489</v>
      </c>
      <c r="J111" s="514">
        <f t="shared" si="37"/>
        <v>0</v>
      </c>
      <c r="K111" s="514"/>
      <c r="L111" s="525"/>
      <c r="M111" s="514">
        <f t="shared" si="48"/>
        <v>0</v>
      </c>
      <c r="N111" s="525"/>
      <c r="O111" s="514">
        <f t="shared" si="38"/>
        <v>0</v>
      </c>
      <c r="P111" s="514">
        <f t="shared" si="39"/>
        <v>0</v>
      </c>
      <c r="Q111" s="269"/>
    </row>
    <row r="112" spans="1:17">
      <c r="B112" s="195" t="str">
        <f t="shared" si="36"/>
        <v/>
      </c>
      <c r="C112" s="507">
        <f>IF(D93="","-",+C111+1)</f>
        <v>2026</v>
      </c>
      <c r="D112" s="374">
        <f>IF(F111+SUM(E$99:E111)=D$92,F111,D$92-SUM(E$99:E111))</f>
        <v>6029260.6652283724</v>
      </c>
      <c r="E112" s="522">
        <f t="shared" si="49"/>
        <v>209727.51219512196</v>
      </c>
      <c r="F112" s="523">
        <f t="shared" si="50"/>
        <v>5819533.1530332509</v>
      </c>
      <c r="G112" s="523">
        <f t="shared" si="51"/>
        <v>5924396.9091308117</v>
      </c>
      <c r="H112" s="526">
        <f t="shared" si="52"/>
        <v>882230.84405458358</v>
      </c>
      <c r="I112" s="577">
        <f t="shared" si="53"/>
        <v>882230.84405458358</v>
      </c>
      <c r="J112" s="514">
        <f t="shared" si="37"/>
        <v>0</v>
      </c>
      <c r="K112" s="514"/>
      <c r="L112" s="525"/>
      <c r="M112" s="514">
        <f t="shared" si="48"/>
        <v>0</v>
      </c>
      <c r="N112" s="525"/>
      <c r="O112" s="514">
        <f t="shared" si="38"/>
        <v>0</v>
      </c>
      <c r="P112" s="514">
        <f t="shared" si="39"/>
        <v>0</v>
      </c>
      <c r="Q112" s="269"/>
    </row>
    <row r="113" spans="2:17">
      <c r="B113" s="195" t="str">
        <f t="shared" si="36"/>
        <v/>
      </c>
      <c r="C113" s="507">
        <f>IF(D93="","-",+C112+1)</f>
        <v>2027</v>
      </c>
      <c r="D113" s="374">
        <f>IF(F112+SUM(E$99:E112)=D$92,F112,D$92-SUM(E$99:E112))</f>
        <v>5819533.1530332509</v>
      </c>
      <c r="E113" s="522">
        <f t="shared" si="49"/>
        <v>209727.51219512196</v>
      </c>
      <c r="F113" s="523">
        <f t="shared" si="50"/>
        <v>5609805.6408381294</v>
      </c>
      <c r="G113" s="523">
        <f t="shared" si="51"/>
        <v>5714669.3969356902</v>
      </c>
      <c r="H113" s="526">
        <f t="shared" si="52"/>
        <v>858423.78775887226</v>
      </c>
      <c r="I113" s="577">
        <f t="shared" si="53"/>
        <v>858423.78775887226</v>
      </c>
      <c r="J113" s="514">
        <f t="shared" si="37"/>
        <v>0</v>
      </c>
      <c r="K113" s="514"/>
      <c r="L113" s="525"/>
      <c r="M113" s="514">
        <f t="shared" si="48"/>
        <v>0</v>
      </c>
      <c r="N113" s="525"/>
      <c r="O113" s="514">
        <f t="shared" si="38"/>
        <v>0</v>
      </c>
      <c r="P113" s="514">
        <f t="shared" si="39"/>
        <v>0</v>
      </c>
      <c r="Q113" s="269"/>
    </row>
    <row r="114" spans="2:17">
      <c r="B114" s="195" t="str">
        <f t="shared" si="36"/>
        <v/>
      </c>
      <c r="C114" s="507">
        <f>IF(D93="","-",+C113+1)</f>
        <v>2028</v>
      </c>
      <c r="D114" s="374">
        <f>IF(F113+SUM(E$99:E113)=D$92,F113,D$92-SUM(E$99:E113))</f>
        <v>5609805.6408381294</v>
      </c>
      <c r="E114" s="522">
        <f t="shared" si="49"/>
        <v>209727.51219512196</v>
      </c>
      <c r="F114" s="523">
        <f t="shared" si="50"/>
        <v>5400078.1286430079</v>
      </c>
      <c r="G114" s="523">
        <f t="shared" si="51"/>
        <v>5504941.8847405687</v>
      </c>
      <c r="H114" s="526">
        <f t="shared" si="52"/>
        <v>834616.73146316106</v>
      </c>
      <c r="I114" s="577">
        <f t="shared" si="53"/>
        <v>834616.73146316106</v>
      </c>
      <c r="J114" s="514">
        <f t="shared" si="37"/>
        <v>0</v>
      </c>
      <c r="K114" s="514"/>
      <c r="L114" s="525"/>
      <c r="M114" s="514">
        <f t="shared" si="48"/>
        <v>0</v>
      </c>
      <c r="N114" s="525"/>
      <c r="O114" s="514">
        <f t="shared" si="38"/>
        <v>0</v>
      </c>
      <c r="P114" s="514">
        <f t="shared" si="39"/>
        <v>0</v>
      </c>
      <c r="Q114" s="269"/>
    </row>
    <row r="115" spans="2:17">
      <c r="B115" s="195" t="str">
        <f t="shared" si="36"/>
        <v/>
      </c>
      <c r="C115" s="507">
        <f>IF(D93="","-",+C114+1)</f>
        <v>2029</v>
      </c>
      <c r="D115" s="374">
        <f>IF(F114+SUM(E$99:E114)=D$92,F114,D$92-SUM(E$99:E114))</f>
        <v>5400078.1286430079</v>
      </c>
      <c r="E115" s="522">
        <f t="shared" si="49"/>
        <v>209727.51219512196</v>
      </c>
      <c r="F115" s="523">
        <f t="shared" si="50"/>
        <v>5190350.6164478865</v>
      </c>
      <c r="G115" s="523">
        <f t="shared" si="51"/>
        <v>5295214.3725454472</v>
      </c>
      <c r="H115" s="526">
        <f t="shared" si="52"/>
        <v>810809.67516744975</v>
      </c>
      <c r="I115" s="577">
        <f t="shared" si="53"/>
        <v>810809.67516744975</v>
      </c>
      <c r="J115" s="514">
        <f t="shared" si="37"/>
        <v>0</v>
      </c>
      <c r="K115" s="514"/>
      <c r="L115" s="525"/>
      <c r="M115" s="514">
        <f t="shared" si="48"/>
        <v>0</v>
      </c>
      <c r="N115" s="525"/>
      <c r="O115" s="514">
        <f t="shared" si="38"/>
        <v>0</v>
      </c>
      <c r="P115" s="514">
        <f t="shared" si="39"/>
        <v>0</v>
      </c>
      <c r="Q115" s="269"/>
    </row>
    <row r="116" spans="2:17">
      <c r="B116" s="195" t="str">
        <f t="shared" si="36"/>
        <v/>
      </c>
      <c r="C116" s="507">
        <f>IF(D93="","-",+C115+1)</f>
        <v>2030</v>
      </c>
      <c r="D116" s="374">
        <f>IF(F115+SUM(E$99:E115)=D$92,F115,D$92-SUM(E$99:E115))</f>
        <v>5190350.6164478865</v>
      </c>
      <c r="E116" s="522">
        <f t="shared" si="49"/>
        <v>209727.51219512196</v>
      </c>
      <c r="F116" s="523">
        <f t="shared" si="50"/>
        <v>4980623.104252765</v>
      </c>
      <c r="G116" s="523">
        <f t="shared" si="51"/>
        <v>5085486.8603503257</v>
      </c>
      <c r="H116" s="526">
        <f t="shared" si="52"/>
        <v>787002.61887173855</v>
      </c>
      <c r="I116" s="577">
        <f t="shared" si="53"/>
        <v>787002.61887173855</v>
      </c>
      <c r="J116" s="514">
        <f t="shared" si="37"/>
        <v>0</v>
      </c>
      <c r="K116" s="514"/>
      <c r="L116" s="525"/>
      <c r="M116" s="514">
        <f t="shared" si="48"/>
        <v>0</v>
      </c>
      <c r="N116" s="525"/>
      <c r="O116" s="514">
        <f t="shared" si="38"/>
        <v>0</v>
      </c>
      <c r="P116" s="514">
        <f t="shared" si="39"/>
        <v>0</v>
      </c>
      <c r="Q116" s="269"/>
    </row>
    <row r="117" spans="2:17">
      <c r="B117" s="195" t="str">
        <f t="shared" si="36"/>
        <v/>
      </c>
      <c r="C117" s="507">
        <f>IF(D93="","-",+C116+1)</f>
        <v>2031</v>
      </c>
      <c r="D117" s="374">
        <f>IF(F116+SUM(E$99:E116)=D$92,F116,D$92-SUM(E$99:E116))</f>
        <v>4980623.104252765</v>
      </c>
      <c r="E117" s="522">
        <f t="shared" si="49"/>
        <v>209727.51219512196</v>
      </c>
      <c r="F117" s="523">
        <f t="shared" si="50"/>
        <v>4770895.5920576435</v>
      </c>
      <c r="G117" s="523">
        <f t="shared" si="51"/>
        <v>4875759.3481552042</v>
      </c>
      <c r="H117" s="526">
        <f t="shared" si="52"/>
        <v>763195.56257602724</v>
      </c>
      <c r="I117" s="577">
        <f t="shared" si="53"/>
        <v>763195.56257602724</v>
      </c>
      <c r="J117" s="514">
        <f t="shared" si="37"/>
        <v>0</v>
      </c>
      <c r="K117" s="514"/>
      <c r="L117" s="525"/>
      <c r="M117" s="514">
        <f t="shared" si="48"/>
        <v>0</v>
      </c>
      <c r="N117" s="525"/>
      <c r="O117" s="514">
        <f t="shared" si="38"/>
        <v>0</v>
      </c>
      <c r="P117" s="514">
        <f t="shared" si="39"/>
        <v>0</v>
      </c>
      <c r="Q117" s="269"/>
    </row>
    <row r="118" spans="2:17">
      <c r="B118" s="195" t="str">
        <f t="shared" si="36"/>
        <v/>
      </c>
      <c r="C118" s="507">
        <f>IF(D93="","-",+C117+1)</f>
        <v>2032</v>
      </c>
      <c r="D118" s="374">
        <f>IF(F117+SUM(E$99:E117)=D$92,F117,D$92-SUM(E$99:E117))</f>
        <v>4770895.5920576435</v>
      </c>
      <c r="E118" s="522">
        <f t="shared" si="49"/>
        <v>209727.51219512196</v>
      </c>
      <c r="F118" s="523">
        <f t="shared" si="50"/>
        <v>4561168.079862522</v>
      </c>
      <c r="G118" s="523">
        <f t="shared" si="51"/>
        <v>4666031.8359600827</v>
      </c>
      <c r="H118" s="526">
        <f t="shared" si="52"/>
        <v>739388.50628031592</v>
      </c>
      <c r="I118" s="577">
        <f t="shared" si="53"/>
        <v>739388.50628031592</v>
      </c>
      <c r="J118" s="514">
        <f t="shared" si="37"/>
        <v>0</v>
      </c>
      <c r="K118" s="514"/>
      <c r="L118" s="525"/>
      <c r="M118" s="514">
        <f t="shared" si="48"/>
        <v>0</v>
      </c>
      <c r="N118" s="525"/>
      <c r="O118" s="514">
        <f t="shared" si="38"/>
        <v>0</v>
      </c>
      <c r="P118" s="514">
        <f t="shared" si="39"/>
        <v>0</v>
      </c>
      <c r="Q118" s="269"/>
    </row>
    <row r="119" spans="2:17">
      <c r="B119" s="195" t="str">
        <f t="shared" si="36"/>
        <v/>
      </c>
      <c r="C119" s="507">
        <f>IF(D93="","-",+C118+1)</f>
        <v>2033</v>
      </c>
      <c r="D119" s="374">
        <f>IF(F118+SUM(E$99:E118)=D$92,F118,D$92-SUM(E$99:E118))</f>
        <v>4561168.079862522</v>
      </c>
      <c r="E119" s="522">
        <f t="shared" si="49"/>
        <v>209727.51219512196</v>
      </c>
      <c r="F119" s="523">
        <f t="shared" si="50"/>
        <v>4351440.5676674005</v>
      </c>
      <c r="G119" s="523">
        <f t="shared" si="51"/>
        <v>4456304.3237649612</v>
      </c>
      <c r="H119" s="526">
        <f t="shared" si="52"/>
        <v>715581.44998460473</v>
      </c>
      <c r="I119" s="577">
        <f t="shared" si="53"/>
        <v>715581.44998460473</v>
      </c>
      <c r="J119" s="514">
        <f t="shared" si="37"/>
        <v>0</v>
      </c>
      <c r="K119" s="514"/>
      <c r="L119" s="525"/>
      <c r="M119" s="514">
        <f t="shared" si="48"/>
        <v>0</v>
      </c>
      <c r="N119" s="525"/>
      <c r="O119" s="514">
        <f t="shared" si="38"/>
        <v>0</v>
      </c>
      <c r="P119" s="514">
        <f t="shared" si="39"/>
        <v>0</v>
      </c>
      <c r="Q119" s="269"/>
    </row>
    <row r="120" spans="2:17">
      <c r="B120" s="195" t="str">
        <f t="shared" si="36"/>
        <v/>
      </c>
      <c r="C120" s="507">
        <f>IF(D93="","-",+C119+1)</f>
        <v>2034</v>
      </c>
      <c r="D120" s="374">
        <f>IF(F119+SUM(E$99:E119)=D$92,F119,D$92-SUM(E$99:E119))</f>
        <v>4351440.5676674005</v>
      </c>
      <c r="E120" s="522">
        <f t="shared" si="49"/>
        <v>209727.51219512196</v>
      </c>
      <c r="F120" s="523">
        <f t="shared" si="50"/>
        <v>4141713.0554722785</v>
      </c>
      <c r="G120" s="523">
        <f t="shared" si="51"/>
        <v>4246576.8115698397</v>
      </c>
      <c r="H120" s="526">
        <f t="shared" si="52"/>
        <v>691774.39368889341</v>
      </c>
      <c r="I120" s="577">
        <f t="shared" si="53"/>
        <v>691774.39368889341</v>
      </c>
      <c r="J120" s="514">
        <f t="shared" si="37"/>
        <v>0</v>
      </c>
      <c r="K120" s="514"/>
      <c r="L120" s="525"/>
      <c r="M120" s="514">
        <f t="shared" si="48"/>
        <v>0</v>
      </c>
      <c r="N120" s="525"/>
      <c r="O120" s="514">
        <f t="shared" si="38"/>
        <v>0</v>
      </c>
      <c r="P120" s="514">
        <f t="shared" si="39"/>
        <v>0</v>
      </c>
      <c r="Q120" s="269"/>
    </row>
    <row r="121" spans="2:17">
      <c r="B121" s="195" t="str">
        <f t="shared" si="36"/>
        <v>IU</v>
      </c>
      <c r="C121" s="507">
        <f>IF(D93="","-",+C120+1)</f>
        <v>2035</v>
      </c>
      <c r="D121" s="374">
        <f>IF(F120+SUM(E$99:E120)=D$92,F120,D$92-SUM(E$99:E120))</f>
        <v>4141713.0554722734</v>
      </c>
      <c r="E121" s="522">
        <f t="shared" si="49"/>
        <v>209727.51219512196</v>
      </c>
      <c r="F121" s="523">
        <f t="shared" si="50"/>
        <v>3931985.5432771514</v>
      </c>
      <c r="G121" s="523">
        <f t="shared" si="51"/>
        <v>4036849.2993747126</v>
      </c>
      <c r="H121" s="526">
        <f t="shared" si="52"/>
        <v>667967.33739318151</v>
      </c>
      <c r="I121" s="577">
        <f t="shared" si="53"/>
        <v>667967.33739318151</v>
      </c>
      <c r="J121" s="514">
        <f t="shared" si="37"/>
        <v>0</v>
      </c>
      <c r="K121" s="514"/>
      <c r="L121" s="525"/>
      <c r="M121" s="514">
        <f t="shared" si="48"/>
        <v>0</v>
      </c>
      <c r="N121" s="525"/>
      <c r="O121" s="514">
        <f t="shared" si="38"/>
        <v>0</v>
      </c>
      <c r="P121" s="514">
        <f t="shared" si="39"/>
        <v>0</v>
      </c>
      <c r="Q121" s="269"/>
    </row>
    <row r="122" spans="2:17">
      <c r="B122" s="195" t="str">
        <f t="shared" si="36"/>
        <v/>
      </c>
      <c r="C122" s="507">
        <f>IF(D93="","-",+C121+1)</f>
        <v>2036</v>
      </c>
      <c r="D122" s="374">
        <f>IF(F121+SUM(E$99:E121)=D$92,F121,D$92-SUM(E$99:E121))</f>
        <v>3931985.5432771514</v>
      </c>
      <c r="E122" s="522">
        <f t="shared" si="49"/>
        <v>209727.51219512196</v>
      </c>
      <c r="F122" s="523">
        <f t="shared" si="50"/>
        <v>3722258.0310820295</v>
      </c>
      <c r="G122" s="523">
        <f t="shared" si="51"/>
        <v>3827121.7871795902</v>
      </c>
      <c r="H122" s="526">
        <f t="shared" si="52"/>
        <v>644160.28109747008</v>
      </c>
      <c r="I122" s="577">
        <f t="shared" si="53"/>
        <v>644160.28109747008</v>
      </c>
      <c r="J122" s="514">
        <f t="shared" si="37"/>
        <v>0</v>
      </c>
      <c r="K122" s="514"/>
      <c r="L122" s="525"/>
      <c r="M122" s="514">
        <f t="shared" si="48"/>
        <v>0</v>
      </c>
      <c r="N122" s="525"/>
      <c r="O122" s="514">
        <f t="shared" si="38"/>
        <v>0</v>
      </c>
      <c r="P122" s="514">
        <f t="shared" si="39"/>
        <v>0</v>
      </c>
      <c r="Q122" s="269"/>
    </row>
    <row r="123" spans="2:17">
      <c r="B123" s="195" t="str">
        <f t="shared" si="36"/>
        <v/>
      </c>
      <c r="C123" s="507">
        <f>IF(D93="","-",+C122+1)</f>
        <v>2037</v>
      </c>
      <c r="D123" s="374">
        <f>IF(F122+SUM(E$99:E122)=D$92,F122,D$92-SUM(E$99:E122))</f>
        <v>3722258.0310820295</v>
      </c>
      <c r="E123" s="522">
        <f t="shared" si="49"/>
        <v>209727.51219512196</v>
      </c>
      <c r="F123" s="523">
        <f t="shared" si="50"/>
        <v>3512530.5188869075</v>
      </c>
      <c r="G123" s="523">
        <f t="shared" si="51"/>
        <v>3617394.2749844687</v>
      </c>
      <c r="H123" s="526">
        <f t="shared" si="52"/>
        <v>620353.22480175889</v>
      </c>
      <c r="I123" s="577">
        <f t="shared" si="53"/>
        <v>620353.22480175889</v>
      </c>
      <c r="J123" s="514">
        <f t="shared" si="37"/>
        <v>0</v>
      </c>
      <c r="K123" s="514"/>
      <c r="L123" s="525"/>
      <c r="M123" s="514">
        <f t="shared" si="48"/>
        <v>0</v>
      </c>
      <c r="N123" s="525"/>
      <c r="O123" s="514">
        <f t="shared" si="38"/>
        <v>0</v>
      </c>
      <c r="P123" s="514">
        <f t="shared" si="39"/>
        <v>0</v>
      </c>
      <c r="Q123" s="269"/>
    </row>
    <row r="124" spans="2:17">
      <c r="B124" s="195" t="str">
        <f t="shared" si="36"/>
        <v/>
      </c>
      <c r="C124" s="507">
        <f>IF(D93="","-",+C123+1)</f>
        <v>2038</v>
      </c>
      <c r="D124" s="374">
        <f>IF(F123+SUM(E$99:E123)=D$92,F123,D$92-SUM(E$99:E123))</f>
        <v>3512530.5188869075</v>
      </c>
      <c r="E124" s="522">
        <f t="shared" si="49"/>
        <v>209727.51219512196</v>
      </c>
      <c r="F124" s="523">
        <f t="shared" si="50"/>
        <v>3302803.0066917855</v>
      </c>
      <c r="G124" s="523">
        <f t="shared" si="51"/>
        <v>3407666.7627893463</v>
      </c>
      <c r="H124" s="526">
        <f t="shared" si="52"/>
        <v>596546.16850604746</v>
      </c>
      <c r="I124" s="577">
        <f t="shared" si="53"/>
        <v>596546.16850604746</v>
      </c>
      <c r="J124" s="514">
        <f t="shared" si="37"/>
        <v>0</v>
      </c>
      <c r="K124" s="514"/>
      <c r="L124" s="525"/>
      <c r="M124" s="514">
        <f t="shared" si="48"/>
        <v>0</v>
      </c>
      <c r="N124" s="525"/>
      <c r="O124" s="514">
        <f t="shared" si="38"/>
        <v>0</v>
      </c>
      <c r="P124" s="514">
        <f t="shared" si="39"/>
        <v>0</v>
      </c>
      <c r="Q124" s="269"/>
    </row>
    <row r="125" spans="2:17">
      <c r="B125" s="195" t="str">
        <f t="shared" si="36"/>
        <v/>
      </c>
      <c r="C125" s="507">
        <f>IF(D93="","-",+C124+1)</f>
        <v>2039</v>
      </c>
      <c r="D125" s="374">
        <f>IF(F124+SUM(E$99:E124)=D$92,F124,D$92-SUM(E$99:E124))</f>
        <v>3302803.0066917855</v>
      </c>
      <c r="E125" s="522">
        <f t="shared" si="49"/>
        <v>209727.51219512196</v>
      </c>
      <c r="F125" s="523">
        <f t="shared" si="50"/>
        <v>3093075.4944966636</v>
      </c>
      <c r="G125" s="523">
        <f t="shared" si="51"/>
        <v>3197939.2505942248</v>
      </c>
      <c r="H125" s="526">
        <f t="shared" si="52"/>
        <v>572739.11221033626</v>
      </c>
      <c r="I125" s="577">
        <f t="shared" si="53"/>
        <v>572739.11221033626</v>
      </c>
      <c r="J125" s="514">
        <f t="shared" si="37"/>
        <v>0</v>
      </c>
      <c r="K125" s="514"/>
      <c r="L125" s="525"/>
      <c r="M125" s="514">
        <f t="shared" si="48"/>
        <v>0</v>
      </c>
      <c r="N125" s="525"/>
      <c r="O125" s="514">
        <f t="shared" si="38"/>
        <v>0</v>
      </c>
      <c r="P125" s="514">
        <f t="shared" si="39"/>
        <v>0</v>
      </c>
      <c r="Q125" s="269"/>
    </row>
    <row r="126" spans="2:17">
      <c r="B126" s="195" t="str">
        <f t="shared" si="36"/>
        <v/>
      </c>
      <c r="C126" s="507">
        <f>IF(D93="","-",+C125+1)</f>
        <v>2040</v>
      </c>
      <c r="D126" s="374">
        <f>IF(F125+SUM(E$99:E125)=D$92,F125,D$92-SUM(E$99:E125))</f>
        <v>3093075.4944966636</v>
      </c>
      <c r="E126" s="522">
        <f t="shared" si="49"/>
        <v>209727.51219512196</v>
      </c>
      <c r="F126" s="523">
        <f t="shared" si="50"/>
        <v>2883347.9823015416</v>
      </c>
      <c r="G126" s="523">
        <f t="shared" si="51"/>
        <v>2988211.7383991024</v>
      </c>
      <c r="H126" s="526">
        <f t="shared" si="52"/>
        <v>548932.05591462483</v>
      </c>
      <c r="I126" s="577">
        <f t="shared" si="53"/>
        <v>548932.05591462483</v>
      </c>
      <c r="J126" s="514">
        <f t="shared" si="37"/>
        <v>0</v>
      </c>
      <c r="K126" s="514"/>
      <c r="L126" s="525"/>
      <c r="M126" s="514">
        <f t="shared" si="48"/>
        <v>0</v>
      </c>
      <c r="N126" s="525"/>
      <c r="O126" s="514">
        <f t="shared" si="38"/>
        <v>0</v>
      </c>
      <c r="P126" s="514">
        <f t="shared" si="39"/>
        <v>0</v>
      </c>
      <c r="Q126" s="269"/>
    </row>
    <row r="127" spans="2:17">
      <c r="B127" s="195" t="str">
        <f t="shared" si="36"/>
        <v/>
      </c>
      <c r="C127" s="507">
        <f>IF(D93="","-",+C126+1)</f>
        <v>2041</v>
      </c>
      <c r="D127" s="374">
        <f>IF(F126+SUM(E$99:E126)=D$92,F126,D$92-SUM(E$99:E126))</f>
        <v>2883347.9823015416</v>
      </c>
      <c r="E127" s="522">
        <f t="shared" si="49"/>
        <v>209727.51219512196</v>
      </c>
      <c r="F127" s="523">
        <f t="shared" si="50"/>
        <v>2673620.4701064196</v>
      </c>
      <c r="G127" s="523">
        <f t="shared" si="51"/>
        <v>2778484.2262039809</v>
      </c>
      <c r="H127" s="526">
        <f t="shared" si="52"/>
        <v>525124.99961891351</v>
      </c>
      <c r="I127" s="577">
        <f t="shared" si="53"/>
        <v>525124.99961891351</v>
      </c>
      <c r="J127" s="514">
        <f t="shared" si="37"/>
        <v>0</v>
      </c>
      <c r="K127" s="514"/>
      <c r="L127" s="525"/>
      <c r="M127" s="514">
        <f t="shared" si="48"/>
        <v>0</v>
      </c>
      <c r="N127" s="525"/>
      <c r="O127" s="514">
        <f t="shared" si="38"/>
        <v>0</v>
      </c>
      <c r="P127" s="514">
        <f t="shared" si="39"/>
        <v>0</v>
      </c>
      <c r="Q127" s="269"/>
    </row>
    <row r="128" spans="2:17">
      <c r="B128" s="195" t="str">
        <f t="shared" si="36"/>
        <v/>
      </c>
      <c r="C128" s="507">
        <f>IF(D93="","-",+C127+1)</f>
        <v>2042</v>
      </c>
      <c r="D128" s="374">
        <f>IF(F127+SUM(E$99:E127)=D$92,F127,D$92-SUM(E$99:E127))</f>
        <v>2673620.4701064196</v>
      </c>
      <c r="E128" s="522">
        <f t="shared" si="49"/>
        <v>209727.51219512196</v>
      </c>
      <c r="F128" s="523">
        <f t="shared" si="50"/>
        <v>2463892.9579112977</v>
      </c>
      <c r="G128" s="523">
        <f t="shared" si="51"/>
        <v>2568756.7140088584</v>
      </c>
      <c r="H128" s="526">
        <f t="shared" si="52"/>
        <v>501317.9433232022</v>
      </c>
      <c r="I128" s="577">
        <f t="shared" si="53"/>
        <v>501317.9433232022</v>
      </c>
      <c r="J128" s="514">
        <f t="shared" si="37"/>
        <v>0</v>
      </c>
      <c r="K128" s="514"/>
      <c r="L128" s="525"/>
      <c r="M128" s="514">
        <f t="shared" si="48"/>
        <v>0</v>
      </c>
      <c r="N128" s="525"/>
      <c r="O128" s="514">
        <f t="shared" si="38"/>
        <v>0</v>
      </c>
      <c r="P128" s="514">
        <f t="shared" si="39"/>
        <v>0</v>
      </c>
      <c r="Q128" s="269"/>
    </row>
    <row r="129" spans="2:17">
      <c r="B129" s="195" t="str">
        <f t="shared" si="36"/>
        <v/>
      </c>
      <c r="C129" s="507">
        <f>IF(D93="","-",+C128+1)</f>
        <v>2043</v>
      </c>
      <c r="D129" s="374">
        <f>IF(F128+SUM(E$99:E128)=D$92,F128,D$92-SUM(E$99:E128))</f>
        <v>2463892.9579112977</v>
      </c>
      <c r="E129" s="522">
        <f t="shared" si="49"/>
        <v>209727.51219512196</v>
      </c>
      <c r="F129" s="523">
        <f t="shared" si="50"/>
        <v>2254165.4457161757</v>
      </c>
      <c r="G129" s="523">
        <f t="shared" si="51"/>
        <v>2359029.2018137369</v>
      </c>
      <c r="H129" s="526">
        <f t="shared" si="52"/>
        <v>477510.88702749094</v>
      </c>
      <c r="I129" s="577">
        <f t="shared" si="53"/>
        <v>477510.88702749094</v>
      </c>
      <c r="J129" s="514">
        <f t="shared" si="37"/>
        <v>0</v>
      </c>
      <c r="K129" s="514"/>
      <c r="L129" s="525"/>
      <c r="M129" s="514">
        <f t="shared" si="48"/>
        <v>0</v>
      </c>
      <c r="N129" s="525"/>
      <c r="O129" s="514">
        <f t="shared" si="38"/>
        <v>0</v>
      </c>
      <c r="P129" s="514">
        <f t="shared" si="39"/>
        <v>0</v>
      </c>
      <c r="Q129" s="269"/>
    </row>
    <row r="130" spans="2:17">
      <c r="B130" s="195" t="str">
        <f t="shared" si="36"/>
        <v/>
      </c>
      <c r="C130" s="507">
        <f>IF(D93="","-",+C129+1)</f>
        <v>2044</v>
      </c>
      <c r="D130" s="374">
        <f>IF(F129+SUM(E$99:E129)=D$92,F129,D$92-SUM(E$99:E129))</f>
        <v>2254165.4457161757</v>
      </c>
      <c r="E130" s="522">
        <f t="shared" si="49"/>
        <v>209727.51219512196</v>
      </c>
      <c r="F130" s="523">
        <f t="shared" si="50"/>
        <v>2044437.9335210538</v>
      </c>
      <c r="G130" s="523">
        <f t="shared" si="51"/>
        <v>2149301.6896186145</v>
      </c>
      <c r="H130" s="526">
        <f t="shared" si="52"/>
        <v>453703.83073177957</v>
      </c>
      <c r="I130" s="577">
        <f t="shared" si="53"/>
        <v>453703.83073177957</v>
      </c>
      <c r="J130" s="514">
        <f t="shared" si="37"/>
        <v>0</v>
      </c>
      <c r="K130" s="514"/>
      <c r="L130" s="525"/>
      <c r="M130" s="514">
        <f t="shared" si="48"/>
        <v>0</v>
      </c>
      <c r="N130" s="525"/>
      <c r="O130" s="514">
        <f t="shared" si="38"/>
        <v>0</v>
      </c>
      <c r="P130" s="514">
        <f t="shared" si="39"/>
        <v>0</v>
      </c>
      <c r="Q130" s="269"/>
    </row>
    <row r="131" spans="2:17">
      <c r="B131" s="195" t="str">
        <f t="shared" si="36"/>
        <v/>
      </c>
      <c r="C131" s="507">
        <f>IF(D93="","-",+C130+1)</f>
        <v>2045</v>
      </c>
      <c r="D131" s="374">
        <f>IF(F130+SUM(E$99:E130)=D$92,F130,D$92-SUM(E$99:E130))</f>
        <v>2044437.9335210538</v>
      </c>
      <c r="E131" s="522">
        <f t="shared" si="49"/>
        <v>209727.51219512196</v>
      </c>
      <c r="F131" s="523">
        <f t="shared" si="50"/>
        <v>1834710.4213259318</v>
      </c>
      <c r="G131" s="523">
        <f t="shared" si="51"/>
        <v>1939574.1774234928</v>
      </c>
      <c r="H131" s="526">
        <f t="shared" si="52"/>
        <v>429896.77443606826</v>
      </c>
      <c r="I131" s="577">
        <f t="shared" si="53"/>
        <v>429896.77443606826</v>
      </c>
      <c r="J131" s="514">
        <f t="shared" si="37"/>
        <v>0</v>
      </c>
      <c r="K131" s="514"/>
      <c r="L131" s="525"/>
      <c r="M131" s="514">
        <f t="shared" ref="M131:M154" si="54">IF(L541&lt;&gt;0,+H541-L541,0)</f>
        <v>0</v>
      </c>
      <c r="N131" s="525"/>
      <c r="O131" s="514">
        <f t="shared" ref="O131:O154" si="55">IF(N541&lt;&gt;0,+I541-N541,0)</f>
        <v>0</v>
      </c>
      <c r="P131" s="514">
        <f t="shared" ref="P131:P154" si="56">+O541-M541</f>
        <v>0</v>
      </c>
      <c r="Q131" s="269"/>
    </row>
    <row r="132" spans="2:17">
      <c r="B132" s="195" t="str">
        <f t="shared" si="36"/>
        <v>IU</v>
      </c>
      <c r="C132" s="507">
        <f>IF(D93="","-",+C131+1)</f>
        <v>2046</v>
      </c>
      <c r="D132" s="374">
        <f>IF(F131+SUM(E$99:E131)=D$92,F131,D$92-SUM(E$99:E131))</f>
        <v>1834710.4213259369</v>
      </c>
      <c r="E132" s="522">
        <f t="shared" si="49"/>
        <v>209727.51219512196</v>
      </c>
      <c r="F132" s="523">
        <f t="shared" si="50"/>
        <v>1624982.909130815</v>
      </c>
      <c r="G132" s="523">
        <f t="shared" si="51"/>
        <v>1729846.6652283759</v>
      </c>
      <c r="H132" s="526">
        <f t="shared" si="52"/>
        <v>406089.71814035752</v>
      </c>
      <c r="I132" s="577">
        <f t="shared" si="53"/>
        <v>406089.71814035752</v>
      </c>
      <c r="J132" s="514">
        <f t="shared" si="37"/>
        <v>0</v>
      </c>
      <c r="K132" s="514"/>
      <c r="L132" s="525"/>
      <c r="M132" s="514">
        <f t="shared" si="54"/>
        <v>0</v>
      </c>
      <c r="N132" s="525"/>
      <c r="O132" s="514">
        <f t="shared" si="55"/>
        <v>0</v>
      </c>
      <c r="P132" s="514">
        <f t="shared" si="56"/>
        <v>0</v>
      </c>
      <c r="Q132" s="269"/>
    </row>
    <row r="133" spans="2:17">
      <c r="B133" s="195" t="str">
        <f t="shared" si="36"/>
        <v/>
      </c>
      <c r="C133" s="507">
        <f>IF(D93="","-",+C132+1)</f>
        <v>2047</v>
      </c>
      <c r="D133" s="374">
        <f>IF(F132+SUM(E$99:E132)=D$92,F132,D$92-SUM(E$99:E132))</f>
        <v>1624982.909130815</v>
      </c>
      <c r="E133" s="522">
        <f t="shared" si="49"/>
        <v>209727.51219512196</v>
      </c>
      <c r="F133" s="523">
        <f t="shared" si="50"/>
        <v>1415255.396935693</v>
      </c>
      <c r="G133" s="523">
        <f t="shared" si="51"/>
        <v>1520119.153033254</v>
      </c>
      <c r="H133" s="526">
        <f t="shared" si="52"/>
        <v>382282.66184464621</v>
      </c>
      <c r="I133" s="577">
        <f t="shared" si="53"/>
        <v>382282.66184464621</v>
      </c>
      <c r="J133" s="514">
        <f t="shared" si="37"/>
        <v>0</v>
      </c>
      <c r="K133" s="514"/>
      <c r="L133" s="525"/>
      <c r="M133" s="514">
        <f t="shared" si="54"/>
        <v>0</v>
      </c>
      <c r="N133" s="525"/>
      <c r="O133" s="514">
        <f t="shared" si="55"/>
        <v>0</v>
      </c>
      <c r="P133" s="514">
        <f t="shared" si="56"/>
        <v>0</v>
      </c>
      <c r="Q133" s="269"/>
    </row>
    <row r="134" spans="2:17">
      <c r="B134" s="195" t="str">
        <f t="shared" si="36"/>
        <v/>
      </c>
      <c r="C134" s="507">
        <f>IF(D93="","-",+C133+1)</f>
        <v>2048</v>
      </c>
      <c r="D134" s="374">
        <f>IF(F133+SUM(E$99:E133)=D$92,F133,D$92-SUM(E$99:E133))</f>
        <v>1415255.396935693</v>
      </c>
      <c r="E134" s="522">
        <f t="shared" si="49"/>
        <v>209727.51219512196</v>
      </c>
      <c r="F134" s="523">
        <f t="shared" si="50"/>
        <v>1205527.884740571</v>
      </c>
      <c r="G134" s="523">
        <f t="shared" si="51"/>
        <v>1310391.640838132</v>
      </c>
      <c r="H134" s="526">
        <f t="shared" si="52"/>
        <v>358475.60554893489</v>
      </c>
      <c r="I134" s="577">
        <f t="shared" si="53"/>
        <v>358475.60554893489</v>
      </c>
      <c r="J134" s="514">
        <f t="shared" si="37"/>
        <v>0</v>
      </c>
      <c r="K134" s="514"/>
      <c r="L134" s="525"/>
      <c r="M134" s="514">
        <f t="shared" si="54"/>
        <v>0</v>
      </c>
      <c r="N134" s="525"/>
      <c r="O134" s="514">
        <f t="shared" si="55"/>
        <v>0</v>
      </c>
      <c r="P134" s="514">
        <f t="shared" si="56"/>
        <v>0</v>
      </c>
      <c r="Q134" s="269"/>
    </row>
    <row r="135" spans="2:17">
      <c r="B135" s="195" t="str">
        <f t="shared" si="36"/>
        <v/>
      </c>
      <c r="C135" s="507">
        <f>IF(D93="","-",+C134+1)</f>
        <v>2049</v>
      </c>
      <c r="D135" s="374">
        <f>IF(F134+SUM(E$99:E134)=D$92,F134,D$92-SUM(E$99:E134))</f>
        <v>1205527.884740571</v>
      </c>
      <c r="E135" s="522">
        <f t="shared" si="49"/>
        <v>209727.51219512196</v>
      </c>
      <c r="F135" s="523">
        <f t="shared" si="50"/>
        <v>995800.37254544906</v>
      </c>
      <c r="G135" s="523">
        <f t="shared" si="51"/>
        <v>1100664.12864301</v>
      </c>
      <c r="H135" s="526">
        <f t="shared" si="52"/>
        <v>334668.54925322358</v>
      </c>
      <c r="I135" s="577">
        <f t="shared" si="53"/>
        <v>334668.54925322358</v>
      </c>
      <c r="J135" s="514">
        <f t="shared" si="37"/>
        <v>0</v>
      </c>
      <c r="K135" s="514"/>
      <c r="L135" s="525"/>
      <c r="M135" s="514">
        <f t="shared" si="54"/>
        <v>0</v>
      </c>
      <c r="N135" s="525"/>
      <c r="O135" s="514">
        <f t="shared" si="55"/>
        <v>0</v>
      </c>
      <c r="P135" s="514">
        <f t="shared" si="56"/>
        <v>0</v>
      </c>
      <c r="Q135" s="269"/>
    </row>
    <row r="136" spans="2:17">
      <c r="B136" s="195" t="str">
        <f t="shared" si="36"/>
        <v/>
      </c>
      <c r="C136" s="507">
        <f>IF(D93="","-",+C135+1)</f>
        <v>2050</v>
      </c>
      <c r="D136" s="374">
        <f>IF(F135+SUM(E$99:E135)=D$92,F135,D$92-SUM(E$99:E135))</f>
        <v>995800.37254544906</v>
      </c>
      <c r="E136" s="522">
        <f t="shared" si="49"/>
        <v>209727.51219512196</v>
      </c>
      <c r="F136" s="523">
        <f t="shared" si="50"/>
        <v>786072.8603503271</v>
      </c>
      <c r="G136" s="523">
        <f t="shared" si="51"/>
        <v>890936.61644788808</v>
      </c>
      <c r="H136" s="526">
        <f t="shared" si="52"/>
        <v>310861.49295751227</v>
      </c>
      <c r="I136" s="577">
        <f t="shared" si="53"/>
        <v>310861.49295751227</v>
      </c>
      <c r="J136" s="514">
        <f t="shared" si="37"/>
        <v>0</v>
      </c>
      <c r="K136" s="514"/>
      <c r="L136" s="525"/>
      <c r="M136" s="514">
        <f t="shared" si="54"/>
        <v>0</v>
      </c>
      <c r="N136" s="525"/>
      <c r="O136" s="514">
        <f t="shared" si="55"/>
        <v>0</v>
      </c>
      <c r="P136" s="514">
        <f t="shared" si="56"/>
        <v>0</v>
      </c>
      <c r="Q136" s="269"/>
    </row>
    <row r="137" spans="2:17">
      <c r="B137" s="195" t="str">
        <f t="shared" si="36"/>
        <v/>
      </c>
      <c r="C137" s="507">
        <f>IF(D93="","-",+C136+1)</f>
        <v>2051</v>
      </c>
      <c r="D137" s="374">
        <f>IF(F136+SUM(E$99:E136)=D$92,F136,D$92-SUM(E$99:E136))</f>
        <v>786072.8603503271</v>
      </c>
      <c r="E137" s="522">
        <f t="shared" si="49"/>
        <v>209727.51219512196</v>
      </c>
      <c r="F137" s="523">
        <f t="shared" si="50"/>
        <v>576345.34815520514</v>
      </c>
      <c r="G137" s="523">
        <f t="shared" si="51"/>
        <v>681209.10425276612</v>
      </c>
      <c r="H137" s="526">
        <f t="shared" si="52"/>
        <v>287054.43666180095</v>
      </c>
      <c r="I137" s="577">
        <f t="shared" si="53"/>
        <v>287054.43666180095</v>
      </c>
      <c r="J137" s="514">
        <f t="shared" si="37"/>
        <v>0</v>
      </c>
      <c r="K137" s="514"/>
      <c r="L137" s="525"/>
      <c r="M137" s="514">
        <f t="shared" si="54"/>
        <v>0</v>
      </c>
      <c r="N137" s="525"/>
      <c r="O137" s="514">
        <f t="shared" si="55"/>
        <v>0</v>
      </c>
      <c r="P137" s="514">
        <f t="shared" si="56"/>
        <v>0</v>
      </c>
      <c r="Q137" s="269"/>
    </row>
    <row r="138" spans="2:17">
      <c r="B138" s="195" t="str">
        <f t="shared" si="36"/>
        <v/>
      </c>
      <c r="C138" s="507">
        <f>IF(D93="","-",+C137+1)</f>
        <v>2052</v>
      </c>
      <c r="D138" s="374">
        <f>IF(F137+SUM(E$99:E137)=D$92,F137,D$92-SUM(E$99:E137))</f>
        <v>576345.34815520514</v>
      </c>
      <c r="E138" s="522">
        <f t="shared" si="49"/>
        <v>209727.51219512196</v>
      </c>
      <c r="F138" s="523">
        <f t="shared" si="50"/>
        <v>366617.83596008318</v>
      </c>
      <c r="G138" s="523">
        <f t="shared" si="51"/>
        <v>471481.59205764416</v>
      </c>
      <c r="H138" s="526">
        <f t="shared" si="52"/>
        <v>263247.38036608958</v>
      </c>
      <c r="I138" s="577">
        <f t="shared" si="53"/>
        <v>263247.38036608958</v>
      </c>
      <c r="J138" s="514">
        <f t="shared" si="37"/>
        <v>0</v>
      </c>
      <c r="K138" s="514"/>
      <c r="L138" s="525"/>
      <c r="M138" s="514">
        <f t="shared" si="54"/>
        <v>0</v>
      </c>
      <c r="N138" s="525"/>
      <c r="O138" s="514">
        <f t="shared" si="55"/>
        <v>0</v>
      </c>
      <c r="P138" s="514">
        <f t="shared" si="56"/>
        <v>0</v>
      </c>
      <c r="Q138" s="269"/>
    </row>
    <row r="139" spans="2:17">
      <c r="B139" s="195" t="str">
        <f t="shared" si="36"/>
        <v/>
      </c>
      <c r="C139" s="507">
        <f>IF(D93="","-",+C138+1)</f>
        <v>2053</v>
      </c>
      <c r="D139" s="374">
        <f>IF(F138+SUM(E$99:E138)=D$92,F138,D$92-SUM(E$99:E138))</f>
        <v>366617.83596008318</v>
      </c>
      <c r="E139" s="522">
        <f t="shared" si="49"/>
        <v>209727.51219512196</v>
      </c>
      <c r="F139" s="523">
        <f t="shared" si="50"/>
        <v>156890.32376496121</v>
      </c>
      <c r="G139" s="523">
        <f t="shared" si="51"/>
        <v>261754.07986252219</v>
      </c>
      <c r="H139" s="526">
        <f t="shared" si="52"/>
        <v>239440.32407037826</v>
      </c>
      <c r="I139" s="577">
        <f t="shared" si="53"/>
        <v>239440.32407037826</v>
      </c>
      <c r="J139" s="514">
        <f t="shared" si="37"/>
        <v>0</v>
      </c>
      <c r="K139" s="514"/>
      <c r="L139" s="525"/>
      <c r="M139" s="514">
        <f t="shared" si="54"/>
        <v>0</v>
      </c>
      <c r="N139" s="525"/>
      <c r="O139" s="514">
        <f t="shared" si="55"/>
        <v>0</v>
      </c>
      <c r="P139" s="514">
        <f t="shared" si="56"/>
        <v>0</v>
      </c>
      <c r="Q139" s="269"/>
    </row>
    <row r="140" spans="2:17">
      <c r="B140" s="195" t="str">
        <f t="shared" si="36"/>
        <v/>
      </c>
      <c r="C140" s="507">
        <f>IF(D93="","-",+C139+1)</f>
        <v>2054</v>
      </c>
      <c r="D140" s="374">
        <f>IF(F139+SUM(E$99:E139)=D$92,F139,D$92-SUM(E$99:E139))</f>
        <v>156890.32376496121</v>
      </c>
      <c r="E140" s="522">
        <f t="shared" si="49"/>
        <v>156890.32376496121</v>
      </c>
      <c r="F140" s="523">
        <f t="shared" si="50"/>
        <v>0</v>
      </c>
      <c r="G140" s="523">
        <f t="shared" si="51"/>
        <v>78445.161882480606</v>
      </c>
      <c r="H140" s="526">
        <f t="shared" si="52"/>
        <v>165794.96562866154</v>
      </c>
      <c r="I140" s="577">
        <f t="shared" si="53"/>
        <v>165794.96562866154</v>
      </c>
      <c r="J140" s="514">
        <f t="shared" si="37"/>
        <v>0</v>
      </c>
      <c r="K140" s="514"/>
      <c r="L140" s="525"/>
      <c r="M140" s="514">
        <f t="shared" si="54"/>
        <v>0</v>
      </c>
      <c r="N140" s="525"/>
      <c r="O140" s="514">
        <f t="shared" si="55"/>
        <v>0</v>
      </c>
      <c r="P140" s="514">
        <f t="shared" si="56"/>
        <v>0</v>
      </c>
      <c r="Q140" s="269"/>
    </row>
    <row r="141" spans="2:17">
      <c r="B141" s="195" t="str">
        <f t="shared" si="36"/>
        <v/>
      </c>
      <c r="C141" s="507">
        <f>IF(D93="","-",+C140+1)</f>
        <v>2055</v>
      </c>
      <c r="D141" s="374">
        <f>IF(F140+SUM(E$99:E140)=D$92,F140,D$92-SUM(E$99:E140))</f>
        <v>0</v>
      </c>
      <c r="E141" s="522">
        <f t="shared" si="49"/>
        <v>0</v>
      </c>
      <c r="F141" s="523">
        <f t="shared" si="50"/>
        <v>0</v>
      </c>
      <c r="G141" s="523">
        <f t="shared" si="51"/>
        <v>0</v>
      </c>
      <c r="H141" s="526">
        <f t="shared" si="52"/>
        <v>0</v>
      </c>
      <c r="I141" s="577">
        <f t="shared" si="53"/>
        <v>0</v>
      </c>
      <c r="J141" s="514">
        <f t="shared" si="37"/>
        <v>0</v>
      </c>
      <c r="K141" s="514"/>
      <c r="L141" s="525"/>
      <c r="M141" s="514">
        <f t="shared" si="54"/>
        <v>0</v>
      </c>
      <c r="N141" s="525"/>
      <c r="O141" s="514">
        <f t="shared" si="55"/>
        <v>0</v>
      </c>
      <c r="P141" s="514">
        <f t="shared" si="56"/>
        <v>0</v>
      </c>
      <c r="Q141" s="269"/>
    </row>
    <row r="142" spans="2:17">
      <c r="B142" s="195" t="str">
        <f t="shared" si="36"/>
        <v/>
      </c>
      <c r="C142" s="507">
        <f>IF(D93="","-",+C141+1)</f>
        <v>2056</v>
      </c>
      <c r="D142" s="374">
        <f>IF(F141+SUM(E$99:E141)=D$92,F141,D$92-SUM(E$99:E141))</f>
        <v>0</v>
      </c>
      <c r="E142" s="522">
        <f t="shared" si="49"/>
        <v>0</v>
      </c>
      <c r="F142" s="523">
        <f t="shared" si="50"/>
        <v>0</v>
      </c>
      <c r="G142" s="523">
        <f t="shared" si="51"/>
        <v>0</v>
      </c>
      <c r="H142" s="526">
        <f t="shared" si="52"/>
        <v>0</v>
      </c>
      <c r="I142" s="577">
        <f t="shared" si="53"/>
        <v>0</v>
      </c>
      <c r="J142" s="514">
        <f t="shared" si="37"/>
        <v>0</v>
      </c>
      <c r="K142" s="514"/>
      <c r="L142" s="525"/>
      <c r="M142" s="514">
        <f t="shared" si="54"/>
        <v>0</v>
      </c>
      <c r="N142" s="525"/>
      <c r="O142" s="514">
        <f t="shared" si="55"/>
        <v>0</v>
      </c>
      <c r="P142" s="514">
        <f t="shared" si="56"/>
        <v>0</v>
      </c>
      <c r="Q142" s="269"/>
    </row>
    <row r="143" spans="2:17">
      <c r="B143" s="195" t="str">
        <f t="shared" si="36"/>
        <v/>
      </c>
      <c r="C143" s="507">
        <f>IF(D93="","-",+C142+1)</f>
        <v>2057</v>
      </c>
      <c r="D143" s="374">
        <f>IF(F142+SUM(E$99:E142)=D$92,F142,D$92-SUM(E$99:E142))</f>
        <v>0</v>
      </c>
      <c r="E143" s="522">
        <f t="shared" si="49"/>
        <v>0</v>
      </c>
      <c r="F143" s="523">
        <f t="shared" si="50"/>
        <v>0</v>
      </c>
      <c r="G143" s="523">
        <f t="shared" si="51"/>
        <v>0</v>
      </c>
      <c r="H143" s="526">
        <f t="shared" si="52"/>
        <v>0</v>
      </c>
      <c r="I143" s="577">
        <f t="shared" si="53"/>
        <v>0</v>
      </c>
      <c r="J143" s="514">
        <f t="shared" si="37"/>
        <v>0</v>
      </c>
      <c r="K143" s="514"/>
      <c r="L143" s="525"/>
      <c r="M143" s="514">
        <f t="shared" si="54"/>
        <v>0</v>
      </c>
      <c r="N143" s="525"/>
      <c r="O143" s="514">
        <f t="shared" si="55"/>
        <v>0</v>
      </c>
      <c r="P143" s="514">
        <f t="shared" si="56"/>
        <v>0</v>
      </c>
      <c r="Q143" s="269"/>
    </row>
    <row r="144" spans="2:17">
      <c r="B144" s="195" t="str">
        <f t="shared" si="36"/>
        <v/>
      </c>
      <c r="C144" s="507">
        <f>IF(D93="","-",+C143+1)</f>
        <v>2058</v>
      </c>
      <c r="D144" s="374">
        <f>IF(F143+SUM(E$99:E143)=D$92,F143,D$92-SUM(E$99:E143))</f>
        <v>0</v>
      </c>
      <c r="E144" s="522">
        <f t="shared" si="49"/>
        <v>0</v>
      </c>
      <c r="F144" s="523">
        <f t="shared" si="50"/>
        <v>0</v>
      </c>
      <c r="G144" s="523">
        <f t="shared" si="51"/>
        <v>0</v>
      </c>
      <c r="H144" s="526">
        <f t="shared" si="52"/>
        <v>0</v>
      </c>
      <c r="I144" s="577">
        <f t="shared" si="53"/>
        <v>0</v>
      </c>
      <c r="J144" s="514">
        <f t="shared" si="37"/>
        <v>0</v>
      </c>
      <c r="K144" s="514"/>
      <c r="L144" s="525"/>
      <c r="M144" s="514">
        <f t="shared" si="54"/>
        <v>0</v>
      </c>
      <c r="N144" s="525"/>
      <c r="O144" s="514">
        <f t="shared" si="55"/>
        <v>0</v>
      </c>
      <c r="P144" s="514">
        <f t="shared" si="56"/>
        <v>0</v>
      </c>
      <c r="Q144" s="269"/>
    </row>
    <row r="145" spans="2:17">
      <c r="B145" s="195" t="str">
        <f t="shared" si="36"/>
        <v/>
      </c>
      <c r="C145" s="507">
        <f>IF(D93="","-",+C144+1)</f>
        <v>2059</v>
      </c>
      <c r="D145" s="374">
        <f>IF(F144+SUM(E$99:E144)=D$92,F144,D$92-SUM(E$99:E144))</f>
        <v>0</v>
      </c>
      <c r="E145" s="522">
        <f t="shared" si="49"/>
        <v>0</v>
      </c>
      <c r="F145" s="523">
        <f t="shared" si="50"/>
        <v>0</v>
      </c>
      <c r="G145" s="523">
        <f t="shared" si="51"/>
        <v>0</v>
      </c>
      <c r="H145" s="526">
        <f t="shared" si="52"/>
        <v>0</v>
      </c>
      <c r="I145" s="577">
        <f t="shared" si="53"/>
        <v>0</v>
      </c>
      <c r="J145" s="514">
        <f t="shared" si="37"/>
        <v>0</v>
      </c>
      <c r="K145" s="514"/>
      <c r="L145" s="525"/>
      <c r="M145" s="514">
        <f t="shared" si="54"/>
        <v>0</v>
      </c>
      <c r="N145" s="525"/>
      <c r="O145" s="514">
        <f t="shared" si="55"/>
        <v>0</v>
      </c>
      <c r="P145" s="514">
        <f t="shared" si="56"/>
        <v>0</v>
      </c>
      <c r="Q145" s="269"/>
    </row>
    <row r="146" spans="2:17">
      <c r="B146" s="195" t="str">
        <f t="shared" si="36"/>
        <v/>
      </c>
      <c r="C146" s="507">
        <f>IF(D93="","-",+C145+1)</f>
        <v>2060</v>
      </c>
      <c r="D146" s="374">
        <f>IF(F145+SUM(E$99:E145)=D$92,F145,D$92-SUM(E$99:E145))</f>
        <v>0</v>
      </c>
      <c r="E146" s="522">
        <f t="shared" si="49"/>
        <v>0</v>
      </c>
      <c r="F146" s="523">
        <f t="shared" si="50"/>
        <v>0</v>
      </c>
      <c r="G146" s="523">
        <f t="shared" si="51"/>
        <v>0</v>
      </c>
      <c r="H146" s="526">
        <f t="shared" si="52"/>
        <v>0</v>
      </c>
      <c r="I146" s="577">
        <f t="shared" si="53"/>
        <v>0</v>
      </c>
      <c r="J146" s="514">
        <f t="shared" si="37"/>
        <v>0</v>
      </c>
      <c r="K146" s="514"/>
      <c r="L146" s="525"/>
      <c r="M146" s="514">
        <f t="shared" si="54"/>
        <v>0</v>
      </c>
      <c r="N146" s="525"/>
      <c r="O146" s="514">
        <f t="shared" si="55"/>
        <v>0</v>
      </c>
      <c r="P146" s="514">
        <f t="shared" si="56"/>
        <v>0</v>
      </c>
      <c r="Q146" s="269"/>
    </row>
    <row r="147" spans="2:17">
      <c r="B147" s="195" t="str">
        <f t="shared" si="36"/>
        <v/>
      </c>
      <c r="C147" s="507">
        <f>IF(D93="","-",+C146+1)</f>
        <v>2061</v>
      </c>
      <c r="D147" s="374">
        <f>IF(F146+SUM(E$99:E146)=D$92,F146,D$92-SUM(E$99:E146))</f>
        <v>0</v>
      </c>
      <c r="E147" s="522">
        <f t="shared" si="49"/>
        <v>0</v>
      </c>
      <c r="F147" s="523">
        <f t="shared" si="50"/>
        <v>0</v>
      </c>
      <c r="G147" s="523">
        <f t="shared" si="51"/>
        <v>0</v>
      </c>
      <c r="H147" s="526">
        <f t="shared" si="52"/>
        <v>0</v>
      </c>
      <c r="I147" s="577">
        <f t="shared" si="53"/>
        <v>0</v>
      </c>
      <c r="J147" s="514">
        <f t="shared" si="37"/>
        <v>0</v>
      </c>
      <c r="K147" s="514"/>
      <c r="L147" s="525"/>
      <c r="M147" s="514">
        <f t="shared" si="54"/>
        <v>0</v>
      </c>
      <c r="N147" s="525"/>
      <c r="O147" s="514">
        <f t="shared" si="55"/>
        <v>0</v>
      </c>
      <c r="P147" s="514">
        <f t="shared" si="56"/>
        <v>0</v>
      </c>
      <c r="Q147" s="269"/>
    </row>
    <row r="148" spans="2:17">
      <c r="B148" s="195" t="str">
        <f t="shared" si="36"/>
        <v/>
      </c>
      <c r="C148" s="507">
        <f>IF(D93="","-",+C147+1)</f>
        <v>2062</v>
      </c>
      <c r="D148" s="374">
        <f>IF(F147+SUM(E$99:E147)=D$92,F147,D$92-SUM(E$99:E147))</f>
        <v>0</v>
      </c>
      <c r="E148" s="522">
        <f t="shared" si="49"/>
        <v>0</v>
      </c>
      <c r="F148" s="523">
        <f t="shared" si="50"/>
        <v>0</v>
      </c>
      <c r="G148" s="523">
        <f t="shared" si="51"/>
        <v>0</v>
      </c>
      <c r="H148" s="526">
        <f t="shared" si="52"/>
        <v>0</v>
      </c>
      <c r="I148" s="577">
        <f t="shared" si="53"/>
        <v>0</v>
      </c>
      <c r="J148" s="514">
        <f t="shared" si="37"/>
        <v>0</v>
      </c>
      <c r="K148" s="514"/>
      <c r="L148" s="525"/>
      <c r="M148" s="514">
        <f t="shared" si="54"/>
        <v>0</v>
      </c>
      <c r="N148" s="525"/>
      <c r="O148" s="514">
        <f t="shared" si="55"/>
        <v>0</v>
      </c>
      <c r="P148" s="514">
        <f t="shared" si="56"/>
        <v>0</v>
      </c>
      <c r="Q148" s="269"/>
    </row>
    <row r="149" spans="2:17">
      <c r="B149" s="195" t="str">
        <f t="shared" si="36"/>
        <v/>
      </c>
      <c r="C149" s="507">
        <f>IF(D93="","-",+C148+1)</f>
        <v>2063</v>
      </c>
      <c r="D149" s="374">
        <f>IF(F148+SUM(E$99:E148)=D$92,F148,D$92-SUM(E$99:E148))</f>
        <v>0</v>
      </c>
      <c r="E149" s="522">
        <f t="shared" si="49"/>
        <v>0</v>
      </c>
      <c r="F149" s="523">
        <f t="shared" si="50"/>
        <v>0</v>
      </c>
      <c r="G149" s="523">
        <f t="shared" si="51"/>
        <v>0</v>
      </c>
      <c r="H149" s="526">
        <f t="shared" si="52"/>
        <v>0</v>
      </c>
      <c r="I149" s="577">
        <f t="shared" si="53"/>
        <v>0</v>
      </c>
      <c r="J149" s="514">
        <f t="shared" si="37"/>
        <v>0</v>
      </c>
      <c r="K149" s="514"/>
      <c r="L149" s="525"/>
      <c r="M149" s="514">
        <f t="shared" si="54"/>
        <v>0</v>
      </c>
      <c r="N149" s="525"/>
      <c r="O149" s="514">
        <f t="shared" si="55"/>
        <v>0</v>
      </c>
      <c r="P149" s="514">
        <f t="shared" si="56"/>
        <v>0</v>
      </c>
      <c r="Q149" s="269"/>
    </row>
    <row r="150" spans="2:17">
      <c r="B150" s="195" t="str">
        <f t="shared" si="36"/>
        <v/>
      </c>
      <c r="C150" s="507">
        <f>IF(D93="","-",+C149+1)</f>
        <v>2064</v>
      </c>
      <c r="D150" s="374">
        <f>IF(F149+SUM(E$99:E149)=D$92,F149,D$92-SUM(E$99:E149))</f>
        <v>0</v>
      </c>
      <c r="E150" s="522">
        <f t="shared" si="49"/>
        <v>0</v>
      </c>
      <c r="F150" s="523">
        <f t="shared" si="50"/>
        <v>0</v>
      </c>
      <c r="G150" s="523">
        <f t="shared" si="51"/>
        <v>0</v>
      </c>
      <c r="H150" s="526">
        <f t="shared" si="52"/>
        <v>0</v>
      </c>
      <c r="I150" s="577">
        <f t="shared" si="53"/>
        <v>0</v>
      </c>
      <c r="J150" s="514">
        <f t="shared" si="37"/>
        <v>0</v>
      </c>
      <c r="K150" s="514"/>
      <c r="L150" s="525"/>
      <c r="M150" s="514">
        <f t="shared" si="54"/>
        <v>0</v>
      </c>
      <c r="N150" s="525"/>
      <c r="O150" s="514">
        <f t="shared" si="55"/>
        <v>0</v>
      </c>
      <c r="P150" s="514">
        <f t="shared" si="56"/>
        <v>0</v>
      </c>
      <c r="Q150" s="269"/>
    </row>
    <row r="151" spans="2:17">
      <c r="B151" s="195" t="str">
        <f t="shared" si="36"/>
        <v/>
      </c>
      <c r="C151" s="507">
        <f>IF(D93="","-",+C150+1)</f>
        <v>2065</v>
      </c>
      <c r="D151" s="374">
        <f>IF(F150+SUM(E$99:E150)=D$92,F150,D$92-SUM(E$99:E150))</f>
        <v>0</v>
      </c>
      <c r="E151" s="522">
        <f t="shared" si="49"/>
        <v>0</v>
      </c>
      <c r="F151" s="523">
        <f t="shared" si="50"/>
        <v>0</v>
      </c>
      <c r="G151" s="523">
        <f t="shared" si="51"/>
        <v>0</v>
      </c>
      <c r="H151" s="526">
        <f t="shared" si="52"/>
        <v>0</v>
      </c>
      <c r="I151" s="577">
        <f t="shared" si="53"/>
        <v>0</v>
      </c>
      <c r="J151" s="514">
        <f t="shared" si="37"/>
        <v>0</v>
      </c>
      <c r="K151" s="514"/>
      <c r="L151" s="525"/>
      <c r="M151" s="514">
        <f t="shared" si="54"/>
        <v>0</v>
      </c>
      <c r="N151" s="525"/>
      <c r="O151" s="514">
        <f t="shared" si="55"/>
        <v>0</v>
      </c>
      <c r="P151" s="514">
        <f t="shared" si="56"/>
        <v>0</v>
      </c>
      <c r="Q151" s="269"/>
    </row>
    <row r="152" spans="2:17">
      <c r="B152" s="195" t="str">
        <f t="shared" si="36"/>
        <v/>
      </c>
      <c r="C152" s="507">
        <f>IF(D93="","-",+C151+1)</f>
        <v>2066</v>
      </c>
      <c r="D152" s="374">
        <f>IF(F151+SUM(E$99:E151)=D$92,F151,D$92-SUM(E$99:E151))</f>
        <v>0</v>
      </c>
      <c r="E152" s="522">
        <f t="shared" si="49"/>
        <v>0</v>
      </c>
      <c r="F152" s="523">
        <f t="shared" si="50"/>
        <v>0</v>
      </c>
      <c r="G152" s="523">
        <f t="shared" si="51"/>
        <v>0</v>
      </c>
      <c r="H152" s="526">
        <f t="shared" si="52"/>
        <v>0</v>
      </c>
      <c r="I152" s="577">
        <f t="shared" si="53"/>
        <v>0</v>
      </c>
      <c r="J152" s="514">
        <f t="shared" si="37"/>
        <v>0</v>
      </c>
      <c r="K152" s="514"/>
      <c r="L152" s="525"/>
      <c r="M152" s="514">
        <f t="shared" si="54"/>
        <v>0</v>
      </c>
      <c r="N152" s="525"/>
      <c r="O152" s="514">
        <f t="shared" si="55"/>
        <v>0</v>
      </c>
      <c r="P152" s="514">
        <f t="shared" si="56"/>
        <v>0</v>
      </c>
      <c r="Q152" s="269"/>
    </row>
    <row r="153" spans="2:17">
      <c r="B153" s="195" t="str">
        <f t="shared" si="36"/>
        <v/>
      </c>
      <c r="C153" s="507">
        <f>IF(D93="","-",+C152+1)</f>
        <v>2067</v>
      </c>
      <c r="D153" s="374">
        <f>IF(F152+SUM(E$99:E152)=D$92,F152,D$92-SUM(E$99:E152))</f>
        <v>0</v>
      </c>
      <c r="E153" s="522">
        <f t="shared" si="49"/>
        <v>0</v>
      </c>
      <c r="F153" s="523">
        <f t="shared" si="50"/>
        <v>0</v>
      </c>
      <c r="G153" s="523">
        <f t="shared" si="51"/>
        <v>0</v>
      </c>
      <c r="H153" s="526">
        <f t="shared" si="52"/>
        <v>0</v>
      </c>
      <c r="I153" s="577">
        <f t="shared" si="53"/>
        <v>0</v>
      </c>
      <c r="J153" s="514">
        <f t="shared" si="37"/>
        <v>0</v>
      </c>
      <c r="K153" s="514"/>
      <c r="L153" s="525"/>
      <c r="M153" s="514">
        <f t="shared" si="54"/>
        <v>0</v>
      </c>
      <c r="N153" s="525"/>
      <c r="O153" s="514">
        <f t="shared" si="55"/>
        <v>0</v>
      </c>
      <c r="P153" s="514">
        <f t="shared" si="56"/>
        <v>0</v>
      </c>
      <c r="Q153" s="269"/>
    </row>
    <row r="154" spans="2:17" ht="13.5" thickBot="1">
      <c r="B154" s="195" t="str">
        <f t="shared" si="36"/>
        <v/>
      </c>
      <c r="C154" s="527">
        <f>IF(D93="","-",+C153+1)</f>
        <v>2068</v>
      </c>
      <c r="D154" s="374">
        <f>IF(F153+SUM(E$99:E153)=D$92,F153,D$92-SUM(E$99:E153))</f>
        <v>0</v>
      </c>
      <c r="E154" s="522">
        <f t="shared" si="49"/>
        <v>0</v>
      </c>
      <c r="F154" s="523">
        <f t="shared" si="50"/>
        <v>0</v>
      </c>
      <c r="G154" s="523">
        <f t="shared" si="51"/>
        <v>0</v>
      </c>
      <c r="H154" s="526">
        <f t="shared" si="52"/>
        <v>0</v>
      </c>
      <c r="I154" s="577">
        <f t="shared" si="53"/>
        <v>0</v>
      </c>
      <c r="J154" s="514">
        <f t="shared" si="37"/>
        <v>0</v>
      </c>
      <c r="K154" s="514"/>
      <c r="L154" s="532"/>
      <c r="M154" s="533">
        <f t="shared" si="54"/>
        <v>0</v>
      </c>
      <c r="N154" s="532"/>
      <c r="O154" s="533">
        <f t="shared" si="55"/>
        <v>0</v>
      </c>
      <c r="P154" s="533">
        <f t="shared" si="56"/>
        <v>0</v>
      </c>
      <c r="Q154" s="269"/>
    </row>
    <row r="155" spans="2:17">
      <c r="C155" s="374" t="s">
        <v>78</v>
      </c>
      <c r="D155" s="375"/>
      <c r="E155" s="375">
        <f>SUM(E99:E154)</f>
        <v>8598827.9999999963</v>
      </c>
      <c r="F155" s="375"/>
      <c r="G155" s="375"/>
      <c r="H155" s="375">
        <f>SUM(H99:H154)</f>
        <v>29299643.13232784</v>
      </c>
      <c r="I155" s="375">
        <f>SUM(I99:I154)</f>
        <v>29299643.13232784</v>
      </c>
      <c r="J155" s="375">
        <f>SUM(J99:J154)</f>
        <v>0</v>
      </c>
      <c r="K155" s="375"/>
      <c r="L155" s="375"/>
      <c r="M155" s="375"/>
      <c r="N155" s="375"/>
      <c r="O155" s="375"/>
      <c r="P155" s="269"/>
      <c r="Q155" s="269"/>
    </row>
    <row r="156" spans="2:17">
      <c r="C156" s="183" t="s">
        <v>92</v>
      </c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  <c r="Q156" s="269"/>
    </row>
    <row r="157" spans="2:17">
      <c r="C157" s="580"/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  <c r="Q157" s="269"/>
    </row>
    <row r="158" spans="2:17">
      <c r="C158" s="614" t="s">
        <v>132</v>
      </c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  <c r="Q158" s="269"/>
    </row>
    <row r="159" spans="2:17">
      <c r="C159" s="467" t="s">
        <v>79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  <c r="Q159" s="269"/>
    </row>
    <row r="160" spans="2:17">
      <c r="C160" s="581" t="s">
        <v>80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  <c r="Q160" s="269"/>
    </row>
    <row r="161" spans="3:17">
      <c r="C161" s="581"/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  <c r="Q161" s="269"/>
    </row>
    <row r="162" spans="3:17" ht="18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635" t="s">
        <v>131</v>
      </c>
      <c r="Q162" s="269"/>
    </row>
  </sheetData>
  <conditionalFormatting sqref="C17:C71">
    <cfRule type="cellIs" dxfId="95" priority="2" stopIfTrue="1" operator="equal">
      <formula>$I$10</formula>
    </cfRule>
  </conditionalFormatting>
  <conditionalFormatting sqref="C99:C154">
    <cfRule type="cellIs" dxfId="94" priority="3" stopIfTrue="1" operator="equal">
      <formula>$J$92</formula>
    </cfRule>
  </conditionalFormatting>
  <conditionalFormatting sqref="C72">
    <cfRule type="cellIs" dxfId="93" priority="1" stopIfTrue="1" operator="equal">
      <formula>$I$10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85"/>
  <dimension ref="A1:Q162"/>
  <sheetViews>
    <sheetView topLeftCell="A85" zoomScaleNormal="100" zoomScaleSheetLayoutView="75" workbookViewId="0">
      <selection activeCell="D99" sqref="D99:I108"/>
    </sheetView>
  </sheetViews>
  <sheetFormatPr defaultColWidth="8.7109375" defaultRowHeight="12.75" customHeight="1"/>
  <cols>
    <col min="1" max="1" width="4.7109375" style="183" customWidth="1"/>
    <col min="2" max="2" width="6.7109375" style="183" customWidth="1"/>
    <col min="3" max="3" width="23.28515625" style="183" customWidth="1"/>
    <col min="4" max="8" width="17.7109375" style="183" customWidth="1"/>
    <col min="9" max="9" width="20.42578125" style="183" customWidth="1"/>
    <col min="10" max="10" width="16.42578125" style="183" customWidth="1"/>
    <col min="11" max="11" width="17.7109375" style="183" customWidth="1"/>
    <col min="12" max="12" width="18" style="183" customWidth="1"/>
    <col min="13" max="13" width="17.7109375" style="183" customWidth="1"/>
    <col min="14" max="14" width="16.7109375" style="183" customWidth="1"/>
    <col min="15" max="15" width="16.85546875" style="183" customWidth="1"/>
    <col min="16" max="16" width="24.42578125" style="183" customWidth="1"/>
    <col min="17" max="17" width="4.7109375" style="183" customWidth="1"/>
    <col min="18" max="22" width="8.7109375" style="183"/>
    <col min="23" max="23" width="9.140625" style="183" customWidth="1"/>
    <col min="24" max="16384" width="8.7109375" style="183"/>
  </cols>
  <sheetData>
    <row r="1" spans="1:17" ht="20.25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35 of 75</v>
      </c>
      <c r="Q1" s="453"/>
    </row>
    <row r="2" spans="1:17" ht="18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538" t="s">
        <v>129</v>
      </c>
    </row>
    <row r="3" spans="1:17" ht="18.75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/>
      <c r="P3" s="623">
        <v>1</v>
      </c>
    </row>
    <row r="4" spans="1:17" ht="15.75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7" ht="1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482505.9542817038</v>
      </c>
      <c r="P5" s="269"/>
    </row>
    <row r="6" spans="1:17" ht="15.7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482505.9542817038</v>
      </c>
      <c r="O6" s="269"/>
      <c r="P6" s="269"/>
    </row>
    <row r="7" spans="1:17" ht="13.5" thickBot="1">
      <c r="C7" s="467" t="s">
        <v>48</v>
      </c>
      <c r="D7" s="624" t="s">
        <v>296</v>
      </c>
      <c r="E7" s="587"/>
      <c r="F7" s="587"/>
      <c r="G7" s="269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7" ht="13.5" thickBot="1">
      <c r="C8" s="472"/>
      <c r="D8" s="625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7" ht="13.5" thickBot="1">
      <c r="C9" s="476" t="s">
        <v>50</v>
      </c>
      <c r="D9" s="477" t="s">
        <v>298</v>
      </c>
      <c r="E9" s="666" t="s">
        <v>496</v>
      </c>
      <c r="F9" s="478"/>
      <c r="G9" s="478"/>
      <c r="H9" s="478"/>
      <c r="I9" s="479"/>
      <c r="J9" s="480"/>
      <c r="O9" s="481"/>
      <c r="P9" s="272"/>
    </row>
    <row r="10" spans="1:17">
      <c r="C10" s="482" t="s">
        <v>51</v>
      </c>
      <c r="D10" s="483">
        <v>4344850</v>
      </c>
      <c r="E10" s="353" t="s">
        <v>52</v>
      </c>
      <c r="F10" s="481"/>
      <c r="G10" s="484"/>
      <c r="H10" s="484"/>
      <c r="I10" s="485">
        <f>+'SWE.WS.F.BPU.ATRR.Projected'!L19</f>
        <v>2024</v>
      </c>
      <c r="J10" s="480"/>
      <c r="K10" s="375" t="s">
        <v>53</v>
      </c>
      <c r="O10" s="272"/>
      <c r="P10" s="272"/>
    </row>
    <row r="11" spans="1:17">
      <c r="C11" s="486" t="s">
        <v>54</v>
      </c>
      <c r="D11" s="487">
        <v>2013</v>
      </c>
      <c r="E11" s="486" t="s">
        <v>55</v>
      </c>
      <c r="F11" s="484"/>
      <c r="G11" s="233"/>
      <c r="H11" s="233"/>
      <c r="I11" s="488">
        <f>IF(G5="",0,'SWE.WS.F.BPU.ATRR.Projected'!F$13)</f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7">
      <c r="C12" s="486" t="s">
        <v>56</v>
      </c>
      <c r="D12" s="483">
        <v>6</v>
      </c>
      <c r="E12" s="486" t="s">
        <v>57</v>
      </c>
      <c r="F12" s="484"/>
      <c r="G12" s="233"/>
      <c r="H12" s="233"/>
      <c r="I12" s="490">
        <f>'SWE.WS.F.BPU.ATRR.Projected'!$F$81</f>
        <v>0.11952713165403545</v>
      </c>
      <c r="J12" s="425"/>
      <c r="K12" s="183" t="s">
        <v>58</v>
      </c>
      <c r="O12" s="272"/>
      <c r="P12" s="272"/>
    </row>
    <row r="13" spans="1:17">
      <c r="C13" s="486" t="s">
        <v>59</v>
      </c>
      <c r="D13" s="488">
        <f>+'SWE.WS.F.BPU.ATRR.Projected'!F$93</f>
        <v>44</v>
      </c>
      <c r="E13" s="486" t="s">
        <v>60</v>
      </c>
      <c r="F13" s="484"/>
      <c r="G13" s="233"/>
      <c r="H13" s="233"/>
      <c r="I13" s="490">
        <f>IF(G5="",I12,'SWE.WS.F.BPU.ATRR.Projected'!$F$80)</f>
        <v>0.11952713165403545</v>
      </c>
      <c r="J13" s="425"/>
      <c r="K13" s="375" t="s">
        <v>61</v>
      </c>
      <c r="L13" s="324"/>
      <c r="M13" s="324"/>
      <c r="N13" s="324"/>
      <c r="O13" s="272"/>
      <c r="P13" s="272"/>
    </row>
    <row r="14" spans="1:17" ht="13.5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98746.590909090912</v>
      </c>
      <c r="J14" s="375"/>
      <c r="K14" s="375"/>
      <c r="L14" s="375"/>
      <c r="M14" s="375"/>
      <c r="N14" s="375"/>
      <c r="O14" s="272"/>
      <c r="P14" s="272"/>
    </row>
    <row r="15" spans="1:17" ht="38.25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388</v>
      </c>
      <c r="H15" s="495" t="s">
        <v>389</v>
      </c>
      <c r="I15" s="492" t="s">
        <v>68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7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>
      <c r="C17" s="507">
        <f>IF(D11= "","-",D11)</f>
        <v>2013</v>
      </c>
      <c r="D17" s="626">
        <v>3795000</v>
      </c>
      <c r="E17" s="627">
        <v>45178.571428571428</v>
      </c>
      <c r="F17" s="626">
        <v>3749821.4285714286</v>
      </c>
      <c r="G17" s="627">
        <v>570105.1315196018</v>
      </c>
      <c r="H17" s="610">
        <v>570105.1315196018</v>
      </c>
      <c r="I17" s="616">
        <v>0</v>
      </c>
      <c r="J17" s="511"/>
      <c r="K17" s="512">
        <f t="shared" ref="K17:K22" si="0">G17</f>
        <v>570105.1315196018</v>
      </c>
      <c r="L17" s="597">
        <f t="shared" ref="L17:L22" si="1">IF(K17&lt;&gt;0,+G17-K17,0)</f>
        <v>0</v>
      </c>
      <c r="M17" s="512">
        <f t="shared" ref="M17:M22" si="2">H17</f>
        <v>570105.1315196018</v>
      </c>
      <c r="N17" s="513">
        <f t="shared" ref="N17:N22" si="3">IF(M17&lt;&gt;0,+H17-M17,0)</f>
        <v>0</v>
      </c>
      <c r="O17" s="514">
        <f t="shared" ref="O17:O22" si="4">+N17-L17</f>
        <v>0</v>
      </c>
      <c r="P17" s="272"/>
    </row>
    <row r="18" spans="2:16">
      <c r="B18" s="195" t="str">
        <f>IF(D18=F17,"","IU")</f>
        <v/>
      </c>
      <c r="C18" s="507">
        <f>IF(D11="","-",+C17+1)</f>
        <v>2014</v>
      </c>
      <c r="D18" s="626">
        <v>3749821.4285714286</v>
      </c>
      <c r="E18" s="609">
        <v>103448.73809523809</v>
      </c>
      <c r="F18" s="626">
        <v>3646372.6904761908</v>
      </c>
      <c r="G18" s="609">
        <v>595382.73103628133</v>
      </c>
      <c r="H18" s="610">
        <v>595382.73103628133</v>
      </c>
      <c r="I18" s="616">
        <v>0</v>
      </c>
      <c r="J18" s="511"/>
      <c r="K18" s="518">
        <f t="shared" si="0"/>
        <v>595382.73103628133</v>
      </c>
      <c r="L18" s="519">
        <f t="shared" si="1"/>
        <v>0</v>
      </c>
      <c r="M18" s="518">
        <f t="shared" si="2"/>
        <v>595382.73103628133</v>
      </c>
      <c r="N18" s="514">
        <f t="shared" si="3"/>
        <v>0</v>
      </c>
      <c r="O18" s="514">
        <f t="shared" si="4"/>
        <v>0</v>
      </c>
      <c r="P18" s="272"/>
    </row>
    <row r="19" spans="2:16">
      <c r="B19" s="195" t="str">
        <f>IF(D19=F18,"","IU")</f>
        <v/>
      </c>
      <c r="C19" s="507">
        <f>IF(D11="","-",+C18+1)</f>
        <v>2015</v>
      </c>
      <c r="D19" s="626">
        <v>3646372.6904761908</v>
      </c>
      <c r="E19" s="609">
        <v>103448.80952380953</v>
      </c>
      <c r="F19" s="626">
        <v>3542923.8809523811</v>
      </c>
      <c r="G19" s="609">
        <v>570068.89413461182</v>
      </c>
      <c r="H19" s="610">
        <v>570068.89413461182</v>
      </c>
      <c r="I19" s="511">
        <v>0</v>
      </c>
      <c r="J19" s="511"/>
      <c r="K19" s="518">
        <f t="shared" si="0"/>
        <v>570068.89413461182</v>
      </c>
      <c r="L19" s="519">
        <f t="shared" si="1"/>
        <v>0</v>
      </c>
      <c r="M19" s="518">
        <f t="shared" si="2"/>
        <v>570068.89413461182</v>
      </c>
      <c r="N19" s="514">
        <f t="shared" si="3"/>
        <v>0</v>
      </c>
      <c r="O19" s="514">
        <f t="shared" si="4"/>
        <v>0</v>
      </c>
      <c r="P19" s="272"/>
    </row>
    <row r="20" spans="2:16">
      <c r="B20" s="195" t="str">
        <f t="shared" ref="B20:B72" si="5">IF(D20=F19,"","IU")</f>
        <v>IU</v>
      </c>
      <c r="C20" s="507">
        <f>IF(D11="","-",+C19+1)</f>
        <v>2016</v>
      </c>
      <c r="D20" s="626">
        <v>4092773.8809523811</v>
      </c>
      <c r="E20" s="609">
        <v>103448.80952380953</v>
      </c>
      <c r="F20" s="626">
        <v>3989325.0714285714</v>
      </c>
      <c r="G20" s="609">
        <v>628862.07408133126</v>
      </c>
      <c r="H20" s="610">
        <v>628862.07408133126</v>
      </c>
      <c r="I20" s="511">
        <v>0</v>
      </c>
      <c r="J20" s="511"/>
      <c r="K20" s="518">
        <f t="shared" si="0"/>
        <v>628862.07408133126</v>
      </c>
      <c r="L20" s="519">
        <f t="shared" si="1"/>
        <v>0</v>
      </c>
      <c r="M20" s="518">
        <f t="shared" si="2"/>
        <v>628862.07408133126</v>
      </c>
      <c r="N20" s="514">
        <f t="shared" si="3"/>
        <v>0</v>
      </c>
      <c r="O20" s="514">
        <f t="shared" si="4"/>
        <v>0</v>
      </c>
      <c r="P20" s="272"/>
    </row>
    <row r="21" spans="2:16">
      <c r="B21" s="195" t="str">
        <f t="shared" si="5"/>
        <v/>
      </c>
      <c r="C21" s="507">
        <f>IF(D11="","-",+C20+1)</f>
        <v>2017</v>
      </c>
      <c r="D21" s="626">
        <v>3989325.0714285714</v>
      </c>
      <c r="E21" s="609">
        <v>101043.02325581395</v>
      </c>
      <c r="F21" s="626">
        <v>3888282.0481727575</v>
      </c>
      <c r="G21" s="609">
        <v>589031.37569687236</v>
      </c>
      <c r="H21" s="610">
        <v>589031.37569687236</v>
      </c>
      <c r="I21" s="511">
        <f t="shared" ref="I21:I72" si="6">H21-G21</f>
        <v>0</v>
      </c>
      <c r="J21" s="511"/>
      <c r="K21" s="518">
        <f t="shared" si="0"/>
        <v>589031.37569687236</v>
      </c>
      <c r="L21" s="519">
        <f t="shared" si="1"/>
        <v>0</v>
      </c>
      <c r="M21" s="518">
        <f t="shared" si="2"/>
        <v>589031.37569687236</v>
      </c>
      <c r="N21" s="514">
        <f t="shared" si="3"/>
        <v>0</v>
      </c>
      <c r="O21" s="514">
        <f t="shared" si="4"/>
        <v>0</v>
      </c>
      <c r="P21" s="272"/>
    </row>
    <row r="22" spans="2:16">
      <c r="B22" s="195" t="str">
        <f t="shared" si="5"/>
        <v/>
      </c>
      <c r="C22" s="507">
        <f>IF(D11="","-",+C21+1)</f>
        <v>2018</v>
      </c>
      <c r="D22" s="626">
        <v>3888282.0481727575</v>
      </c>
      <c r="E22" s="609">
        <v>105971.95121951219</v>
      </c>
      <c r="F22" s="626">
        <v>3782310.0969532453</v>
      </c>
      <c r="G22" s="609">
        <v>593415.44968499895</v>
      </c>
      <c r="H22" s="610">
        <v>593415.44968499895</v>
      </c>
      <c r="I22" s="511">
        <f t="shared" si="6"/>
        <v>0</v>
      </c>
      <c r="J22" s="511"/>
      <c r="K22" s="518">
        <f t="shared" si="0"/>
        <v>593415.44968499895</v>
      </c>
      <c r="L22" s="519">
        <f t="shared" si="1"/>
        <v>0</v>
      </c>
      <c r="M22" s="518">
        <f t="shared" si="2"/>
        <v>593415.44968499895</v>
      </c>
      <c r="N22" s="514">
        <f t="shared" si="3"/>
        <v>0</v>
      </c>
      <c r="O22" s="514">
        <f t="shared" si="4"/>
        <v>0</v>
      </c>
      <c r="P22" s="272"/>
    </row>
    <row r="23" spans="2:16">
      <c r="B23" s="195" t="str">
        <f t="shared" si="5"/>
        <v/>
      </c>
      <c r="C23" s="507">
        <f>IF(D11="","-",+C22+1)</f>
        <v>2019</v>
      </c>
      <c r="D23" s="626">
        <v>3782310.0969532453</v>
      </c>
      <c r="E23" s="609">
        <v>105971.95121951219</v>
      </c>
      <c r="F23" s="626">
        <v>3676338.1457337332</v>
      </c>
      <c r="G23" s="609">
        <v>579947.04003308562</v>
      </c>
      <c r="H23" s="610">
        <v>579947.04003308562</v>
      </c>
      <c r="I23" s="511">
        <f t="shared" si="6"/>
        <v>0</v>
      </c>
      <c r="J23" s="511"/>
      <c r="K23" s="518">
        <f t="shared" ref="K23" si="7">G23</f>
        <v>579947.04003308562</v>
      </c>
      <c r="L23" s="519">
        <f t="shared" ref="L23" si="8">IF(K23&lt;&gt;0,+G23-K23,0)</f>
        <v>0</v>
      </c>
      <c r="M23" s="518">
        <f t="shared" ref="M23" si="9">H23</f>
        <v>579947.04003308562</v>
      </c>
      <c r="N23" s="514">
        <f t="shared" ref="N23:N72" si="10">IF(M23&lt;&gt;0,+H23-M23,0)</f>
        <v>0</v>
      </c>
      <c r="O23" s="514">
        <f t="shared" ref="O23:O72" si="11">+N23-L23</f>
        <v>0</v>
      </c>
      <c r="P23" s="272"/>
    </row>
    <row r="24" spans="2:16">
      <c r="B24" s="195" t="str">
        <f t="shared" si="5"/>
        <v/>
      </c>
      <c r="C24" s="507">
        <f>IF(D11="","-",+C23+1)</f>
        <v>2020</v>
      </c>
      <c r="D24" s="626">
        <v>3676338.1457337332</v>
      </c>
      <c r="E24" s="609">
        <v>105971.95121951219</v>
      </c>
      <c r="F24" s="626">
        <v>3570366.194514221</v>
      </c>
      <c r="G24" s="609">
        <v>476769.34521357011</v>
      </c>
      <c r="H24" s="610">
        <v>476769.34521357011</v>
      </c>
      <c r="I24" s="511">
        <f t="shared" si="6"/>
        <v>0</v>
      </c>
      <c r="J24" s="511"/>
      <c r="K24" s="518">
        <f t="shared" ref="K24" si="12">G24</f>
        <v>476769.34521357011</v>
      </c>
      <c r="L24" s="519">
        <f t="shared" ref="L24" si="13">IF(K24&lt;&gt;0,+G24-K24,0)</f>
        <v>0</v>
      </c>
      <c r="M24" s="518">
        <f t="shared" ref="M24" si="14">H24</f>
        <v>476769.34521357011</v>
      </c>
      <c r="N24" s="514">
        <f t="shared" si="10"/>
        <v>0</v>
      </c>
      <c r="O24" s="514">
        <f t="shared" si="11"/>
        <v>0</v>
      </c>
      <c r="P24" s="272"/>
    </row>
    <row r="25" spans="2:16">
      <c r="B25" s="195" t="str">
        <f t="shared" si="5"/>
        <v>IU</v>
      </c>
      <c r="C25" s="507">
        <f>IF(D11="","-",+C24+1)</f>
        <v>2021</v>
      </c>
      <c r="D25" s="626">
        <v>3575295.1224779193</v>
      </c>
      <c r="E25" s="609">
        <v>103448.80952380953</v>
      </c>
      <c r="F25" s="626">
        <v>3471846.3129541096</v>
      </c>
      <c r="G25" s="609">
        <v>476963.32038080104</v>
      </c>
      <c r="H25" s="610">
        <v>476963.32038080104</v>
      </c>
      <c r="I25" s="511">
        <f t="shared" si="6"/>
        <v>0</v>
      </c>
      <c r="J25" s="511"/>
      <c r="K25" s="518">
        <f t="shared" ref="K25" si="15">G25</f>
        <v>476963.32038080104</v>
      </c>
      <c r="L25" s="519">
        <f t="shared" ref="L25" si="16">IF(K25&lt;&gt;0,+G25-K25,0)</f>
        <v>0</v>
      </c>
      <c r="M25" s="518">
        <f t="shared" ref="M25" si="17">H25</f>
        <v>476963.32038080104</v>
      </c>
      <c r="N25" s="514">
        <f t="shared" si="10"/>
        <v>0</v>
      </c>
      <c r="O25" s="514">
        <f t="shared" si="11"/>
        <v>0</v>
      </c>
      <c r="P25" s="272"/>
    </row>
    <row r="26" spans="2:16">
      <c r="B26" s="195" t="str">
        <f t="shared" si="5"/>
        <v>IU</v>
      </c>
      <c r="C26" s="507">
        <f>IF(D11="","-",+C25+1)</f>
        <v>2022</v>
      </c>
      <c r="D26" s="626">
        <v>3466917.3849904118</v>
      </c>
      <c r="E26" s="609">
        <v>103448.80952380953</v>
      </c>
      <c r="F26" s="626">
        <v>3363468.5754666021</v>
      </c>
      <c r="G26" s="609">
        <v>487467.09986700577</v>
      </c>
      <c r="H26" s="610">
        <v>487467.09986700577</v>
      </c>
      <c r="I26" s="511">
        <f t="shared" si="6"/>
        <v>0</v>
      </c>
      <c r="J26" s="511"/>
      <c r="K26" s="518">
        <f t="shared" ref="K26" si="18">G26</f>
        <v>487467.09986700577</v>
      </c>
      <c r="L26" s="519">
        <f t="shared" ref="L26" si="19">IF(K26&lt;&gt;0,+G26-K26,0)</f>
        <v>0</v>
      </c>
      <c r="M26" s="518">
        <f t="shared" ref="M26" si="20">H26</f>
        <v>487467.09986700577</v>
      </c>
      <c r="N26" s="514">
        <f t="shared" si="10"/>
        <v>0</v>
      </c>
      <c r="O26" s="514">
        <f t="shared" si="11"/>
        <v>0</v>
      </c>
      <c r="P26" s="272"/>
    </row>
    <row r="27" spans="2:16">
      <c r="B27" s="195" t="str">
        <f t="shared" si="5"/>
        <v/>
      </c>
      <c r="C27" s="507">
        <f>IF(D11="","-",+C26+1)</f>
        <v>2023</v>
      </c>
      <c r="D27" s="626">
        <v>3363468.5754666021</v>
      </c>
      <c r="E27" s="609">
        <v>103448.80952380953</v>
      </c>
      <c r="F27" s="626">
        <v>3260019.7659427924</v>
      </c>
      <c r="G27" s="609">
        <v>521810.81321918749</v>
      </c>
      <c r="H27" s="610">
        <v>521810.81321918749</v>
      </c>
      <c r="I27" s="511">
        <f t="shared" si="6"/>
        <v>0</v>
      </c>
      <c r="J27" s="511"/>
      <c r="K27" s="518">
        <f t="shared" ref="K27" si="21">G27</f>
        <v>521810.81321918749</v>
      </c>
      <c r="L27" s="519">
        <f t="shared" ref="L27" si="22">IF(K27&lt;&gt;0,+G27-K27,0)</f>
        <v>0</v>
      </c>
      <c r="M27" s="518">
        <f t="shared" ref="M27" si="23">H27</f>
        <v>521810.81321918749</v>
      </c>
      <c r="N27" s="514">
        <f t="shared" ref="N27" si="24">IF(M27&lt;&gt;0,+H27-M27,0)</f>
        <v>0</v>
      </c>
      <c r="O27" s="514">
        <f t="shared" ref="O27" si="25">+N27-L27</f>
        <v>0</v>
      </c>
      <c r="P27" s="272"/>
    </row>
    <row r="28" spans="2:16">
      <c r="B28" s="195" t="str">
        <f t="shared" si="5"/>
        <v/>
      </c>
      <c r="C28" s="673">
        <f>IF(D11="","-",+C27+1)</f>
        <v>2024</v>
      </c>
      <c r="D28" s="523">
        <f>IF(F27+SUM(E$17:E27)=D$10,F27,D$10-SUM(E$17:E27))</f>
        <v>3260019.7659427924</v>
      </c>
      <c r="E28" s="522">
        <f t="shared" ref="E28:E72" si="26">IF(+$I$14&lt;F27,$I$14,D28)</f>
        <v>98746.590909090912</v>
      </c>
      <c r="F28" s="523">
        <f t="shared" ref="F28:F72" si="27">+D28-E28</f>
        <v>3161273.1750337016</v>
      </c>
      <c r="G28" s="524">
        <f t="shared" ref="G28:G52" si="28">+I$12*((D28+F28)/2)+E28</f>
        <v>482505.9542817038</v>
      </c>
      <c r="H28" s="491">
        <f t="shared" ref="H28:H52" si="29">+I$13*((D28+F28)/2)+E28</f>
        <v>482505.9542817038</v>
      </c>
      <c r="I28" s="511">
        <f t="shared" si="6"/>
        <v>0</v>
      </c>
      <c r="J28" s="511"/>
      <c r="K28" s="525"/>
      <c r="L28" s="514">
        <f t="shared" ref="L28:L72" si="30">IF(K28&lt;&gt;0,+G28-K28,0)</f>
        <v>0</v>
      </c>
      <c r="M28" s="525"/>
      <c r="N28" s="514">
        <f t="shared" si="10"/>
        <v>0</v>
      </c>
      <c r="O28" s="514">
        <f t="shared" si="11"/>
        <v>0</v>
      </c>
      <c r="P28" s="272"/>
    </row>
    <row r="29" spans="2:16">
      <c r="B29" s="195" t="str">
        <f t="shared" si="5"/>
        <v/>
      </c>
      <c r="C29" s="507">
        <f>IF(D11="","-",+C28+1)</f>
        <v>2025</v>
      </c>
      <c r="D29" s="523">
        <f>IF(F28+SUM(E$17:E28)=D$10,F28,D$10-SUM(E$17:E28))</f>
        <v>3161273.1750337016</v>
      </c>
      <c r="E29" s="522">
        <f t="shared" si="26"/>
        <v>98746.590909090912</v>
      </c>
      <c r="F29" s="523">
        <f t="shared" si="27"/>
        <v>3062526.5841246108</v>
      </c>
      <c r="G29" s="524">
        <f t="shared" si="28"/>
        <v>470703.0575097258</v>
      </c>
      <c r="H29" s="491">
        <f t="shared" si="29"/>
        <v>470703.0575097258</v>
      </c>
      <c r="I29" s="511">
        <f t="shared" si="6"/>
        <v>0</v>
      </c>
      <c r="J29" s="511"/>
      <c r="K29" s="525"/>
      <c r="L29" s="514">
        <f t="shared" si="30"/>
        <v>0</v>
      </c>
      <c r="M29" s="525"/>
      <c r="N29" s="514">
        <f t="shared" si="10"/>
        <v>0</v>
      </c>
      <c r="O29" s="514">
        <f t="shared" si="11"/>
        <v>0</v>
      </c>
      <c r="P29" s="272"/>
    </row>
    <row r="30" spans="2:16">
      <c r="B30" s="195" t="str">
        <f t="shared" si="5"/>
        <v/>
      </c>
      <c r="C30" s="507">
        <f>IF(D11="","-",+C29+1)</f>
        <v>2026</v>
      </c>
      <c r="D30" s="523">
        <f>IF(F29+SUM(E$17:E29)=D$10,F29,D$10-SUM(E$17:E29))</f>
        <v>3062526.5841246108</v>
      </c>
      <c r="E30" s="522">
        <f t="shared" si="26"/>
        <v>98746.590909090912</v>
      </c>
      <c r="F30" s="523">
        <f t="shared" si="27"/>
        <v>2963779.9932155199</v>
      </c>
      <c r="G30" s="524">
        <f t="shared" si="28"/>
        <v>458900.16073774768</v>
      </c>
      <c r="H30" s="491">
        <f t="shared" si="29"/>
        <v>458900.16073774768</v>
      </c>
      <c r="I30" s="511">
        <f t="shared" si="6"/>
        <v>0</v>
      </c>
      <c r="J30" s="511"/>
      <c r="K30" s="525"/>
      <c r="L30" s="514">
        <f t="shared" si="30"/>
        <v>0</v>
      </c>
      <c r="M30" s="525"/>
      <c r="N30" s="514">
        <f t="shared" si="10"/>
        <v>0</v>
      </c>
      <c r="O30" s="514">
        <f t="shared" si="11"/>
        <v>0</v>
      </c>
      <c r="P30" s="272"/>
    </row>
    <row r="31" spans="2:16">
      <c r="B31" s="195" t="str">
        <f t="shared" si="5"/>
        <v/>
      </c>
      <c r="C31" s="507">
        <f>IF(D11="","-",+C30+1)</f>
        <v>2027</v>
      </c>
      <c r="D31" s="523">
        <f>IF(F30+SUM(E$17:E30)=D$10,F30,D$10-SUM(E$17:E30))</f>
        <v>2963779.9932155199</v>
      </c>
      <c r="E31" s="522">
        <f t="shared" si="26"/>
        <v>98746.590909090912</v>
      </c>
      <c r="F31" s="523">
        <f t="shared" si="27"/>
        <v>2865033.4023064291</v>
      </c>
      <c r="G31" s="524">
        <f t="shared" si="28"/>
        <v>447097.26396576955</v>
      </c>
      <c r="H31" s="491">
        <f t="shared" si="29"/>
        <v>447097.26396576955</v>
      </c>
      <c r="I31" s="511">
        <f t="shared" si="6"/>
        <v>0</v>
      </c>
      <c r="J31" s="511"/>
      <c r="K31" s="525"/>
      <c r="L31" s="514">
        <f t="shared" si="30"/>
        <v>0</v>
      </c>
      <c r="M31" s="525"/>
      <c r="N31" s="514">
        <f t="shared" si="10"/>
        <v>0</v>
      </c>
      <c r="O31" s="514">
        <f t="shared" si="11"/>
        <v>0</v>
      </c>
      <c r="P31" s="272"/>
    </row>
    <row r="32" spans="2:16">
      <c r="B32" s="195" t="str">
        <f t="shared" si="5"/>
        <v/>
      </c>
      <c r="C32" s="507">
        <f>IF(D11="","-",+C31+1)</f>
        <v>2028</v>
      </c>
      <c r="D32" s="523">
        <f>IF(F31+SUM(E$17:E31)=D$10,F31,D$10-SUM(E$17:E31))</f>
        <v>2865033.4023064291</v>
      </c>
      <c r="E32" s="522">
        <f t="shared" si="26"/>
        <v>98746.590909090912</v>
      </c>
      <c r="F32" s="523">
        <f t="shared" si="27"/>
        <v>2766286.8113973383</v>
      </c>
      <c r="G32" s="524">
        <f t="shared" si="28"/>
        <v>435294.36719379155</v>
      </c>
      <c r="H32" s="491">
        <f t="shared" si="29"/>
        <v>435294.36719379155</v>
      </c>
      <c r="I32" s="511">
        <f t="shared" si="6"/>
        <v>0</v>
      </c>
      <c r="J32" s="511"/>
      <c r="K32" s="525"/>
      <c r="L32" s="514">
        <f t="shared" si="30"/>
        <v>0</v>
      </c>
      <c r="M32" s="525"/>
      <c r="N32" s="514">
        <f t="shared" si="10"/>
        <v>0</v>
      </c>
      <c r="O32" s="514">
        <f t="shared" si="11"/>
        <v>0</v>
      </c>
      <c r="P32" s="272"/>
    </row>
    <row r="33" spans="2:16">
      <c r="B33" s="195" t="str">
        <f t="shared" si="5"/>
        <v/>
      </c>
      <c r="C33" s="507">
        <f>IF(D11="","-",+C32+1)</f>
        <v>2029</v>
      </c>
      <c r="D33" s="523">
        <f>IF(F32+SUM(E$17:E32)=D$10,F32,D$10-SUM(E$17:E32))</f>
        <v>2766286.8113973383</v>
      </c>
      <c r="E33" s="522">
        <f t="shared" si="26"/>
        <v>98746.590909090912</v>
      </c>
      <c r="F33" s="523">
        <f t="shared" si="27"/>
        <v>2667540.2204882475</v>
      </c>
      <c r="G33" s="524">
        <f t="shared" si="28"/>
        <v>423491.47042181343</v>
      </c>
      <c r="H33" s="491">
        <f t="shared" si="29"/>
        <v>423491.47042181343</v>
      </c>
      <c r="I33" s="511">
        <f t="shared" si="6"/>
        <v>0</v>
      </c>
      <c r="J33" s="511"/>
      <c r="K33" s="525"/>
      <c r="L33" s="514">
        <f t="shared" si="30"/>
        <v>0</v>
      </c>
      <c r="M33" s="525"/>
      <c r="N33" s="514">
        <f t="shared" si="10"/>
        <v>0</v>
      </c>
      <c r="O33" s="514">
        <f t="shared" si="11"/>
        <v>0</v>
      </c>
      <c r="P33" s="272"/>
    </row>
    <row r="34" spans="2:16">
      <c r="B34" s="195" t="str">
        <f t="shared" si="5"/>
        <v/>
      </c>
      <c r="C34" s="507">
        <f>IF(D11="","-",+C33+1)</f>
        <v>2030</v>
      </c>
      <c r="D34" s="523">
        <f>IF(F33+SUM(E$17:E33)=D$10,F33,D$10-SUM(E$17:E33))</f>
        <v>2667540.2204882475</v>
      </c>
      <c r="E34" s="522">
        <f t="shared" si="26"/>
        <v>98746.590909090912</v>
      </c>
      <c r="F34" s="523">
        <f t="shared" si="27"/>
        <v>2568793.6295791566</v>
      </c>
      <c r="G34" s="524">
        <f t="shared" si="28"/>
        <v>411688.57364983542</v>
      </c>
      <c r="H34" s="491">
        <f t="shared" si="29"/>
        <v>411688.57364983542</v>
      </c>
      <c r="I34" s="511">
        <f t="shared" si="6"/>
        <v>0</v>
      </c>
      <c r="J34" s="511"/>
      <c r="K34" s="525"/>
      <c r="L34" s="514">
        <f t="shared" si="30"/>
        <v>0</v>
      </c>
      <c r="M34" s="525"/>
      <c r="N34" s="514">
        <f t="shared" si="10"/>
        <v>0</v>
      </c>
      <c r="O34" s="514">
        <f t="shared" si="11"/>
        <v>0</v>
      </c>
      <c r="P34" s="272"/>
    </row>
    <row r="35" spans="2:16">
      <c r="B35" s="195" t="str">
        <f t="shared" si="5"/>
        <v/>
      </c>
      <c r="C35" s="507">
        <f>IF(D11="","-",+C34+1)</f>
        <v>2031</v>
      </c>
      <c r="D35" s="523">
        <f>IF(F34+SUM(E$17:E34)=D$10,F34,D$10-SUM(E$17:E34))</f>
        <v>2568793.6295791566</v>
      </c>
      <c r="E35" s="522">
        <f t="shared" si="26"/>
        <v>98746.590909090912</v>
      </c>
      <c r="F35" s="523">
        <f t="shared" si="27"/>
        <v>2470047.0386700658</v>
      </c>
      <c r="G35" s="524">
        <f t="shared" si="28"/>
        <v>399885.6768778573</v>
      </c>
      <c r="H35" s="491">
        <f t="shared" si="29"/>
        <v>399885.6768778573</v>
      </c>
      <c r="I35" s="511">
        <f t="shared" si="6"/>
        <v>0</v>
      </c>
      <c r="J35" s="511"/>
      <c r="K35" s="525"/>
      <c r="L35" s="514">
        <f t="shared" si="30"/>
        <v>0</v>
      </c>
      <c r="M35" s="525"/>
      <c r="N35" s="514">
        <f t="shared" si="10"/>
        <v>0</v>
      </c>
      <c r="O35" s="514">
        <f t="shared" si="11"/>
        <v>0</v>
      </c>
      <c r="P35" s="272"/>
    </row>
    <row r="36" spans="2:16">
      <c r="B36" s="195" t="str">
        <f t="shared" si="5"/>
        <v/>
      </c>
      <c r="C36" s="507">
        <f>IF(D11="","-",+C35+1)</f>
        <v>2032</v>
      </c>
      <c r="D36" s="523">
        <f>IF(F35+SUM(E$17:E35)=D$10,F35,D$10-SUM(E$17:E35))</f>
        <v>2470047.0386700658</v>
      </c>
      <c r="E36" s="522">
        <f t="shared" si="26"/>
        <v>98746.590909090912</v>
      </c>
      <c r="F36" s="523">
        <f t="shared" si="27"/>
        <v>2371300.447760975</v>
      </c>
      <c r="G36" s="524">
        <f t="shared" si="28"/>
        <v>388082.78010587918</v>
      </c>
      <c r="H36" s="491">
        <f t="shared" si="29"/>
        <v>388082.78010587918</v>
      </c>
      <c r="I36" s="511">
        <f t="shared" si="6"/>
        <v>0</v>
      </c>
      <c r="J36" s="511"/>
      <c r="K36" s="525"/>
      <c r="L36" s="514">
        <f t="shared" si="30"/>
        <v>0</v>
      </c>
      <c r="M36" s="525"/>
      <c r="N36" s="514">
        <f t="shared" si="10"/>
        <v>0</v>
      </c>
      <c r="O36" s="514">
        <f t="shared" si="11"/>
        <v>0</v>
      </c>
      <c r="P36" s="272"/>
    </row>
    <row r="37" spans="2:16">
      <c r="B37" s="195" t="str">
        <f t="shared" si="5"/>
        <v/>
      </c>
      <c r="C37" s="507">
        <f>IF(D11="","-",+C36+1)</f>
        <v>2033</v>
      </c>
      <c r="D37" s="523">
        <f>IF(F36+SUM(E$17:E36)=D$10,F36,D$10-SUM(E$17:E36))</f>
        <v>2371300.447760975</v>
      </c>
      <c r="E37" s="522">
        <f t="shared" si="26"/>
        <v>98746.590909090912</v>
      </c>
      <c r="F37" s="523">
        <f t="shared" si="27"/>
        <v>2272553.8568518842</v>
      </c>
      <c r="G37" s="524">
        <f t="shared" si="28"/>
        <v>376279.88333390118</v>
      </c>
      <c r="H37" s="491">
        <f t="shared" si="29"/>
        <v>376279.88333390118</v>
      </c>
      <c r="I37" s="511">
        <f t="shared" si="6"/>
        <v>0</v>
      </c>
      <c r="J37" s="511"/>
      <c r="K37" s="525"/>
      <c r="L37" s="514">
        <f t="shared" si="30"/>
        <v>0</v>
      </c>
      <c r="M37" s="525"/>
      <c r="N37" s="514">
        <f t="shared" si="10"/>
        <v>0</v>
      </c>
      <c r="O37" s="514">
        <f t="shared" si="11"/>
        <v>0</v>
      </c>
      <c r="P37" s="272"/>
    </row>
    <row r="38" spans="2:16">
      <c r="B38" s="195" t="str">
        <f t="shared" si="5"/>
        <v/>
      </c>
      <c r="C38" s="507">
        <f>IF(D11="","-",+C37+1)</f>
        <v>2034</v>
      </c>
      <c r="D38" s="523">
        <f>IF(F37+SUM(E$17:E37)=D$10,F37,D$10-SUM(E$17:E37))</f>
        <v>2272553.8568518842</v>
      </c>
      <c r="E38" s="522">
        <f t="shared" si="26"/>
        <v>98746.590909090912</v>
      </c>
      <c r="F38" s="523">
        <f t="shared" si="27"/>
        <v>2173807.2659427933</v>
      </c>
      <c r="G38" s="524">
        <f t="shared" si="28"/>
        <v>364476.98656192305</v>
      </c>
      <c r="H38" s="491">
        <f t="shared" si="29"/>
        <v>364476.98656192305</v>
      </c>
      <c r="I38" s="511">
        <f t="shared" si="6"/>
        <v>0</v>
      </c>
      <c r="J38" s="511"/>
      <c r="K38" s="525"/>
      <c r="L38" s="514">
        <f t="shared" si="30"/>
        <v>0</v>
      </c>
      <c r="M38" s="525"/>
      <c r="N38" s="514">
        <f t="shared" si="10"/>
        <v>0</v>
      </c>
      <c r="O38" s="514">
        <f t="shared" si="11"/>
        <v>0</v>
      </c>
      <c r="P38" s="272"/>
    </row>
    <row r="39" spans="2:16">
      <c r="B39" s="195" t="str">
        <f t="shared" si="5"/>
        <v/>
      </c>
      <c r="C39" s="507">
        <f>IF(D11="","-",+C38+1)</f>
        <v>2035</v>
      </c>
      <c r="D39" s="523">
        <f>IF(F38+SUM(E$17:E38)=D$10,F38,D$10-SUM(E$17:E38))</f>
        <v>2173807.2659427933</v>
      </c>
      <c r="E39" s="522">
        <f t="shared" si="26"/>
        <v>98746.590909090912</v>
      </c>
      <c r="F39" s="523">
        <f t="shared" si="27"/>
        <v>2075060.6750337025</v>
      </c>
      <c r="G39" s="524">
        <f t="shared" si="28"/>
        <v>352674.08978994493</v>
      </c>
      <c r="H39" s="491">
        <f t="shared" si="29"/>
        <v>352674.08978994493</v>
      </c>
      <c r="I39" s="511">
        <f t="shared" si="6"/>
        <v>0</v>
      </c>
      <c r="J39" s="511"/>
      <c r="K39" s="525"/>
      <c r="L39" s="514">
        <f t="shared" si="30"/>
        <v>0</v>
      </c>
      <c r="M39" s="525"/>
      <c r="N39" s="514">
        <f t="shared" si="10"/>
        <v>0</v>
      </c>
      <c r="O39" s="514">
        <f t="shared" si="11"/>
        <v>0</v>
      </c>
      <c r="P39" s="272"/>
    </row>
    <row r="40" spans="2:16">
      <c r="B40" s="195" t="str">
        <f t="shared" si="5"/>
        <v/>
      </c>
      <c r="C40" s="507">
        <f>IF(D11="","-",+C39+1)</f>
        <v>2036</v>
      </c>
      <c r="D40" s="523">
        <f>IF(F39+SUM(E$17:E39)=D$10,F39,D$10-SUM(E$17:E39))</f>
        <v>2075060.6750337025</v>
      </c>
      <c r="E40" s="522">
        <f t="shared" si="26"/>
        <v>98746.590909090912</v>
      </c>
      <c r="F40" s="523">
        <f t="shared" si="27"/>
        <v>1976314.0841246117</v>
      </c>
      <c r="G40" s="524">
        <f t="shared" si="28"/>
        <v>340871.19301796693</v>
      </c>
      <c r="H40" s="491">
        <f t="shared" si="29"/>
        <v>340871.19301796693</v>
      </c>
      <c r="I40" s="511">
        <f t="shared" si="6"/>
        <v>0</v>
      </c>
      <c r="J40" s="511"/>
      <c r="K40" s="525"/>
      <c r="L40" s="514">
        <f t="shared" si="30"/>
        <v>0</v>
      </c>
      <c r="M40" s="525"/>
      <c r="N40" s="514">
        <f t="shared" si="10"/>
        <v>0</v>
      </c>
      <c r="O40" s="514">
        <f t="shared" si="11"/>
        <v>0</v>
      </c>
      <c r="P40" s="272"/>
    </row>
    <row r="41" spans="2:16">
      <c r="B41" s="195" t="str">
        <f t="shared" si="5"/>
        <v/>
      </c>
      <c r="C41" s="507">
        <f>IF(D11="","-",+C40+1)</f>
        <v>2037</v>
      </c>
      <c r="D41" s="523">
        <f>IF(F40+SUM(E$17:E40)=D$10,F40,D$10-SUM(E$17:E40))</f>
        <v>1976314.0841246117</v>
      </c>
      <c r="E41" s="522">
        <f t="shared" si="26"/>
        <v>98746.590909090912</v>
      </c>
      <c r="F41" s="523">
        <f t="shared" si="27"/>
        <v>1877567.4932155209</v>
      </c>
      <c r="G41" s="524">
        <f t="shared" si="28"/>
        <v>329068.29624598881</v>
      </c>
      <c r="H41" s="491">
        <f t="shared" si="29"/>
        <v>329068.29624598881</v>
      </c>
      <c r="I41" s="511">
        <f t="shared" si="6"/>
        <v>0</v>
      </c>
      <c r="J41" s="511"/>
      <c r="K41" s="525"/>
      <c r="L41" s="514">
        <f t="shared" si="30"/>
        <v>0</v>
      </c>
      <c r="M41" s="525"/>
      <c r="N41" s="514">
        <f t="shared" si="10"/>
        <v>0</v>
      </c>
      <c r="O41" s="514">
        <f t="shared" si="11"/>
        <v>0</v>
      </c>
      <c r="P41" s="272"/>
    </row>
    <row r="42" spans="2:16">
      <c r="B42" s="195" t="str">
        <f t="shared" si="5"/>
        <v/>
      </c>
      <c r="C42" s="507">
        <f>IF(D11="","-",+C41+1)</f>
        <v>2038</v>
      </c>
      <c r="D42" s="523">
        <f>IF(F41+SUM(E$17:E41)=D$10,F41,D$10-SUM(E$17:E41))</f>
        <v>1877567.4932155209</v>
      </c>
      <c r="E42" s="522">
        <f t="shared" si="26"/>
        <v>98746.590909090912</v>
      </c>
      <c r="F42" s="523">
        <f t="shared" si="27"/>
        <v>1778820.90230643</v>
      </c>
      <c r="G42" s="524">
        <f t="shared" si="28"/>
        <v>317265.39947401074</v>
      </c>
      <c r="H42" s="491">
        <f t="shared" si="29"/>
        <v>317265.39947401074</v>
      </c>
      <c r="I42" s="511">
        <f t="shared" si="6"/>
        <v>0</v>
      </c>
      <c r="J42" s="511"/>
      <c r="K42" s="525"/>
      <c r="L42" s="514">
        <f t="shared" si="30"/>
        <v>0</v>
      </c>
      <c r="M42" s="525"/>
      <c r="N42" s="514">
        <f t="shared" si="10"/>
        <v>0</v>
      </c>
      <c r="O42" s="514">
        <f t="shared" si="11"/>
        <v>0</v>
      </c>
      <c r="P42" s="272"/>
    </row>
    <row r="43" spans="2:16">
      <c r="B43" s="195" t="str">
        <f t="shared" si="5"/>
        <v/>
      </c>
      <c r="C43" s="507">
        <f>IF(D11="","-",+C42+1)</f>
        <v>2039</v>
      </c>
      <c r="D43" s="523">
        <f>IF(F42+SUM(E$17:E42)=D$10,F42,D$10-SUM(E$17:E42))</f>
        <v>1778820.90230643</v>
      </c>
      <c r="E43" s="522">
        <f t="shared" si="26"/>
        <v>98746.590909090912</v>
      </c>
      <c r="F43" s="523">
        <f t="shared" si="27"/>
        <v>1680074.3113973392</v>
      </c>
      <c r="G43" s="524">
        <f t="shared" si="28"/>
        <v>305462.50270203268</v>
      </c>
      <c r="H43" s="491">
        <f t="shared" si="29"/>
        <v>305462.50270203268</v>
      </c>
      <c r="I43" s="511">
        <f t="shared" si="6"/>
        <v>0</v>
      </c>
      <c r="J43" s="511"/>
      <c r="K43" s="525"/>
      <c r="L43" s="514">
        <f t="shared" si="30"/>
        <v>0</v>
      </c>
      <c r="M43" s="525"/>
      <c r="N43" s="514">
        <f t="shared" si="10"/>
        <v>0</v>
      </c>
      <c r="O43" s="514">
        <f t="shared" si="11"/>
        <v>0</v>
      </c>
      <c r="P43" s="272"/>
    </row>
    <row r="44" spans="2:16">
      <c r="B44" s="195" t="str">
        <f t="shared" si="5"/>
        <v/>
      </c>
      <c r="C44" s="507">
        <f>IF(D11="","-",+C43+1)</f>
        <v>2040</v>
      </c>
      <c r="D44" s="523">
        <f>IF(F43+SUM(E$17:E43)=D$10,F43,D$10-SUM(E$17:E43))</f>
        <v>1680074.3113973392</v>
      </c>
      <c r="E44" s="522">
        <f t="shared" si="26"/>
        <v>98746.590909090912</v>
      </c>
      <c r="F44" s="523">
        <f t="shared" si="27"/>
        <v>1581327.7204882484</v>
      </c>
      <c r="G44" s="524">
        <f t="shared" si="28"/>
        <v>293659.60593005456</v>
      </c>
      <c r="H44" s="491">
        <f t="shared" si="29"/>
        <v>293659.60593005456</v>
      </c>
      <c r="I44" s="511">
        <f t="shared" si="6"/>
        <v>0</v>
      </c>
      <c r="J44" s="511"/>
      <c r="K44" s="525"/>
      <c r="L44" s="514">
        <f t="shared" si="30"/>
        <v>0</v>
      </c>
      <c r="M44" s="525"/>
      <c r="N44" s="514">
        <f t="shared" si="10"/>
        <v>0</v>
      </c>
      <c r="O44" s="514">
        <f t="shared" si="11"/>
        <v>0</v>
      </c>
      <c r="P44" s="272"/>
    </row>
    <row r="45" spans="2:16">
      <c r="B45" s="195" t="str">
        <f t="shared" si="5"/>
        <v/>
      </c>
      <c r="C45" s="507">
        <f>IF(D11="","-",+C44+1)</f>
        <v>2041</v>
      </c>
      <c r="D45" s="523">
        <f>IF(F44+SUM(E$17:E44)=D$10,F44,D$10-SUM(E$17:E44))</f>
        <v>1581327.7204882484</v>
      </c>
      <c r="E45" s="522">
        <f t="shared" si="26"/>
        <v>98746.590909090912</v>
      </c>
      <c r="F45" s="523">
        <f t="shared" si="27"/>
        <v>1482581.1295791576</v>
      </c>
      <c r="G45" s="524">
        <f t="shared" si="28"/>
        <v>281856.7091580765</v>
      </c>
      <c r="H45" s="491">
        <f t="shared" si="29"/>
        <v>281856.7091580765</v>
      </c>
      <c r="I45" s="511">
        <f t="shared" si="6"/>
        <v>0</v>
      </c>
      <c r="J45" s="511"/>
      <c r="K45" s="525"/>
      <c r="L45" s="514">
        <f t="shared" si="30"/>
        <v>0</v>
      </c>
      <c r="M45" s="525"/>
      <c r="N45" s="514">
        <f t="shared" si="10"/>
        <v>0</v>
      </c>
      <c r="O45" s="514">
        <f t="shared" si="11"/>
        <v>0</v>
      </c>
      <c r="P45" s="272"/>
    </row>
    <row r="46" spans="2:16">
      <c r="B46" s="195" t="str">
        <f t="shared" si="5"/>
        <v/>
      </c>
      <c r="C46" s="507">
        <f>IF(D11="","-",+C45+1)</f>
        <v>2042</v>
      </c>
      <c r="D46" s="523">
        <f>IF(F45+SUM(E$17:E45)=D$10,F45,D$10-SUM(E$17:E45))</f>
        <v>1482581.1295791576</v>
      </c>
      <c r="E46" s="522">
        <f t="shared" si="26"/>
        <v>98746.590909090912</v>
      </c>
      <c r="F46" s="523">
        <f t="shared" si="27"/>
        <v>1383834.5386700667</v>
      </c>
      <c r="G46" s="524">
        <f t="shared" si="28"/>
        <v>270053.81238609843</v>
      </c>
      <c r="H46" s="491">
        <f t="shared" si="29"/>
        <v>270053.81238609843</v>
      </c>
      <c r="I46" s="511">
        <f t="shared" si="6"/>
        <v>0</v>
      </c>
      <c r="J46" s="511"/>
      <c r="K46" s="525"/>
      <c r="L46" s="514">
        <f t="shared" si="30"/>
        <v>0</v>
      </c>
      <c r="M46" s="525"/>
      <c r="N46" s="514">
        <f t="shared" si="10"/>
        <v>0</v>
      </c>
      <c r="O46" s="514">
        <f t="shared" si="11"/>
        <v>0</v>
      </c>
      <c r="P46" s="272"/>
    </row>
    <row r="47" spans="2:16">
      <c r="B47" s="195" t="str">
        <f t="shared" si="5"/>
        <v/>
      </c>
      <c r="C47" s="507">
        <f>IF(D11="","-",+C46+1)</f>
        <v>2043</v>
      </c>
      <c r="D47" s="523">
        <f>IF(F46+SUM(E$17:E46)=D$10,F46,D$10-SUM(E$17:E46))</f>
        <v>1383834.5386700667</v>
      </c>
      <c r="E47" s="522">
        <f t="shared" si="26"/>
        <v>98746.590909090912</v>
      </c>
      <c r="F47" s="523">
        <f t="shared" si="27"/>
        <v>1285087.9477609759</v>
      </c>
      <c r="G47" s="524">
        <f t="shared" si="28"/>
        <v>258250.91561412034</v>
      </c>
      <c r="H47" s="491">
        <f t="shared" si="29"/>
        <v>258250.91561412034</v>
      </c>
      <c r="I47" s="511">
        <f t="shared" si="6"/>
        <v>0</v>
      </c>
      <c r="J47" s="511"/>
      <c r="K47" s="525"/>
      <c r="L47" s="514">
        <f t="shared" si="30"/>
        <v>0</v>
      </c>
      <c r="M47" s="525"/>
      <c r="N47" s="514">
        <f t="shared" si="10"/>
        <v>0</v>
      </c>
      <c r="O47" s="514">
        <f t="shared" si="11"/>
        <v>0</v>
      </c>
      <c r="P47" s="272"/>
    </row>
    <row r="48" spans="2:16">
      <c r="B48" s="195" t="str">
        <f t="shared" si="5"/>
        <v/>
      </c>
      <c r="C48" s="507">
        <f>IF(D11="","-",+C47+1)</f>
        <v>2044</v>
      </c>
      <c r="D48" s="523">
        <f>IF(F47+SUM(E$17:E47)=D$10,F47,D$10-SUM(E$17:E47))</f>
        <v>1285087.9477609759</v>
      </c>
      <c r="E48" s="522">
        <f t="shared" si="26"/>
        <v>98746.590909090912</v>
      </c>
      <c r="F48" s="523">
        <f t="shared" si="27"/>
        <v>1186341.3568518851</v>
      </c>
      <c r="G48" s="524">
        <f t="shared" si="28"/>
        <v>246448.01884214228</v>
      </c>
      <c r="H48" s="491">
        <f t="shared" si="29"/>
        <v>246448.01884214228</v>
      </c>
      <c r="I48" s="511">
        <f t="shared" si="6"/>
        <v>0</v>
      </c>
      <c r="J48" s="511"/>
      <c r="K48" s="525"/>
      <c r="L48" s="514">
        <f t="shared" si="30"/>
        <v>0</v>
      </c>
      <c r="M48" s="525"/>
      <c r="N48" s="514">
        <f t="shared" si="10"/>
        <v>0</v>
      </c>
      <c r="O48" s="514">
        <f t="shared" si="11"/>
        <v>0</v>
      </c>
      <c r="P48" s="272"/>
    </row>
    <row r="49" spans="2:17">
      <c r="B49" s="195" t="str">
        <f t="shared" si="5"/>
        <v/>
      </c>
      <c r="C49" s="507">
        <f>IF(D11="","-",+C48+1)</f>
        <v>2045</v>
      </c>
      <c r="D49" s="523">
        <f>IF(F48+SUM(E$17:E48)=D$10,F48,D$10-SUM(E$17:E48))</f>
        <v>1186341.3568518851</v>
      </c>
      <c r="E49" s="522">
        <f t="shared" si="26"/>
        <v>98746.590909090912</v>
      </c>
      <c r="F49" s="523">
        <f t="shared" si="27"/>
        <v>1087594.7659427943</v>
      </c>
      <c r="G49" s="524">
        <f t="shared" si="28"/>
        <v>234645.12207016419</v>
      </c>
      <c r="H49" s="491">
        <f t="shared" si="29"/>
        <v>234645.12207016419</v>
      </c>
      <c r="I49" s="511">
        <f t="shared" si="6"/>
        <v>0</v>
      </c>
      <c r="J49" s="511"/>
      <c r="K49" s="525"/>
      <c r="L49" s="514">
        <f t="shared" si="30"/>
        <v>0</v>
      </c>
      <c r="M49" s="525"/>
      <c r="N49" s="514">
        <f t="shared" si="10"/>
        <v>0</v>
      </c>
      <c r="O49" s="514">
        <f t="shared" si="11"/>
        <v>0</v>
      </c>
      <c r="P49" s="272"/>
    </row>
    <row r="50" spans="2:17">
      <c r="B50" s="195" t="str">
        <f t="shared" si="5"/>
        <v/>
      </c>
      <c r="C50" s="507">
        <f>IF(D11="","-",+C49+1)</f>
        <v>2046</v>
      </c>
      <c r="D50" s="523">
        <f>IF(F49+SUM(E$17:E49)=D$10,F49,D$10-SUM(E$17:E49))</f>
        <v>1087594.7659427943</v>
      </c>
      <c r="E50" s="522">
        <f t="shared" si="26"/>
        <v>98746.590909090912</v>
      </c>
      <c r="F50" s="523">
        <f t="shared" si="27"/>
        <v>988848.17503370333</v>
      </c>
      <c r="G50" s="524">
        <f t="shared" si="28"/>
        <v>222842.22529818612</v>
      </c>
      <c r="H50" s="491">
        <f t="shared" si="29"/>
        <v>222842.22529818612</v>
      </c>
      <c r="I50" s="511">
        <f t="shared" si="6"/>
        <v>0</v>
      </c>
      <c r="J50" s="511"/>
      <c r="K50" s="525"/>
      <c r="L50" s="514">
        <f t="shared" si="30"/>
        <v>0</v>
      </c>
      <c r="M50" s="525"/>
      <c r="N50" s="514">
        <f t="shared" si="10"/>
        <v>0</v>
      </c>
      <c r="O50" s="514">
        <f t="shared" si="11"/>
        <v>0</v>
      </c>
      <c r="P50" s="272"/>
    </row>
    <row r="51" spans="2:17">
      <c r="B51" s="195" t="str">
        <f t="shared" si="5"/>
        <v/>
      </c>
      <c r="C51" s="507">
        <f>IF(D11="","-",+C50+1)</f>
        <v>2047</v>
      </c>
      <c r="D51" s="523">
        <f>IF(F50+SUM(E$17:E50)=D$10,F50,D$10-SUM(E$17:E50))</f>
        <v>988848.17503370333</v>
      </c>
      <c r="E51" s="522">
        <f t="shared" si="26"/>
        <v>98746.590909090912</v>
      </c>
      <c r="F51" s="523">
        <f t="shared" si="27"/>
        <v>890101.58412461239</v>
      </c>
      <c r="G51" s="524">
        <f t="shared" si="28"/>
        <v>211039.328526208</v>
      </c>
      <c r="H51" s="491">
        <f t="shared" si="29"/>
        <v>211039.328526208</v>
      </c>
      <c r="I51" s="511">
        <f t="shared" si="6"/>
        <v>0</v>
      </c>
      <c r="J51" s="511"/>
      <c r="K51" s="525"/>
      <c r="L51" s="514">
        <f t="shared" si="30"/>
        <v>0</v>
      </c>
      <c r="M51" s="525"/>
      <c r="N51" s="514">
        <f t="shared" si="10"/>
        <v>0</v>
      </c>
      <c r="O51" s="514">
        <f t="shared" si="11"/>
        <v>0</v>
      </c>
      <c r="P51" s="272"/>
    </row>
    <row r="52" spans="2:17">
      <c r="B52" s="195" t="str">
        <f t="shared" si="5"/>
        <v/>
      </c>
      <c r="C52" s="507">
        <f>IF(D11="","-",+C51+1)</f>
        <v>2048</v>
      </c>
      <c r="D52" s="523">
        <f>IF(F51+SUM(E$17:E51)=D$10,F51,D$10-SUM(E$17:E51))</f>
        <v>890101.58412461239</v>
      </c>
      <c r="E52" s="522">
        <f t="shared" si="26"/>
        <v>98746.590909090912</v>
      </c>
      <c r="F52" s="523">
        <f t="shared" si="27"/>
        <v>791354.99321552145</v>
      </c>
      <c r="G52" s="524">
        <f t="shared" si="28"/>
        <v>199236.43175422994</v>
      </c>
      <c r="H52" s="491">
        <f t="shared" si="29"/>
        <v>199236.43175422994</v>
      </c>
      <c r="I52" s="511">
        <f t="shared" si="6"/>
        <v>0</v>
      </c>
      <c r="J52" s="511"/>
      <c r="K52" s="525"/>
      <c r="L52" s="514">
        <f t="shared" si="30"/>
        <v>0</v>
      </c>
      <c r="M52" s="525"/>
      <c r="N52" s="514">
        <f t="shared" si="10"/>
        <v>0</v>
      </c>
      <c r="O52" s="514">
        <f t="shared" si="11"/>
        <v>0</v>
      </c>
      <c r="P52" s="272"/>
    </row>
    <row r="53" spans="2:17">
      <c r="B53" s="195" t="str">
        <f t="shared" si="5"/>
        <v/>
      </c>
      <c r="C53" s="507">
        <f>IF(D11="","-",+C52+1)</f>
        <v>2049</v>
      </c>
      <c r="D53" s="523">
        <f>IF(F52+SUM(E$17:E52)=D$10,F52,D$10-SUM(E$17:E52))</f>
        <v>791354.99321552145</v>
      </c>
      <c r="E53" s="522">
        <f t="shared" si="26"/>
        <v>98746.590909090912</v>
      </c>
      <c r="F53" s="523">
        <f t="shared" si="27"/>
        <v>692608.40230643051</v>
      </c>
      <c r="G53" s="524">
        <f t="shared" ref="G53:G72" si="31">+I$12*((D53+F53)/2)+E53</f>
        <v>187433.53498225182</v>
      </c>
      <c r="H53" s="491">
        <f t="shared" ref="H53:H72" si="32">+I$13*((D53+F53)/2)+E53</f>
        <v>187433.53498225182</v>
      </c>
      <c r="I53" s="511">
        <f t="shared" si="6"/>
        <v>0</v>
      </c>
      <c r="J53" s="511"/>
      <c r="K53" s="525"/>
      <c r="L53" s="514">
        <f t="shared" si="30"/>
        <v>0</v>
      </c>
      <c r="M53" s="525"/>
      <c r="N53" s="514">
        <f t="shared" si="10"/>
        <v>0</v>
      </c>
      <c r="O53" s="514">
        <f t="shared" si="11"/>
        <v>0</v>
      </c>
      <c r="P53" s="272"/>
    </row>
    <row r="54" spans="2:17">
      <c r="B54" s="195" t="str">
        <f t="shared" si="5"/>
        <v/>
      </c>
      <c r="C54" s="507">
        <f>IF(D11="","-",+C53+1)</f>
        <v>2050</v>
      </c>
      <c r="D54" s="523">
        <f>IF(F53+SUM(E$17:E53)=D$10,F53,D$10-SUM(E$17:E53))</f>
        <v>692608.40230643051</v>
      </c>
      <c r="E54" s="522">
        <f t="shared" si="26"/>
        <v>98746.590909090912</v>
      </c>
      <c r="F54" s="523">
        <f t="shared" si="27"/>
        <v>593861.81139733957</v>
      </c>
      <c r="G54" s="524">
        <f t="shared" si="31"/>
        <v>175630.63821027376</v>
      </c>
      <c r="H54" s="491">
        <f t="shared" si="32"/>
        <v>175630.63821027376</v>
      </c>
      <c r="I54" s="511">
        <f t="shared" si="6"/>
        <v>0</v>
      </c>
      <c r="J54" s="511"/>
      <c r="K54" s="525"/>
      <c r="L54" s="514">
        <f t="shared" si="30"/>
        <v>0</v>
      </c>
      <c r="M54" s="525"/>
      <c r="N54" s="514">
        <f t="shared" si="10"/>
        <v>0</v>
      </c>
      <c r="O54" s="514">
        <f t="shared" si="11"/>
        <v>0</v>
      </c>
      <c r="P54" s="272"/>
    </row>
    <row r="55" spans="2:17">
      <c r="B55" s="195" t="str">
        <f t="shared" si="5"/>
        <v/>
      </c>
      <c r="C55" s="507">
        <f>IF(D11="","-",+C54+1)</f>
        <v>2051</v>
      </c>
      <c r="D55" s="523">
        <f>IF(F54+SUM(E$17:E54)=D$10,F54,D$10-SUM(E$17:E54))</f>
        <v>593861.81139733957</v>
      </c>
      <c r="E55" s="522">
        <f t="shared" si="26"/>
        <v>98746.590909090912</v>
      </c>
      <c r="F55" s="523">
        <f t="shared" si="27"/>
        <v>495115.22048824863</v>
      </c>
      <c r="G55" s="524">
        <f t="shared" si="31"/>
        <v>163827.74143829563</v>
      </c>
      <c r="H55" s="491">
        <f t="shared" si="32"/>
        <v>163827.74143829563</v>
      </c>
      <c r="I55" s="511">
        <f t="shared" si="6"/>
        <v>0</v>
      </c>
      <c r="J55" s="511"/>
      <c r="K55" s="525"/>
      <c r="L55" s="514">
        <f t="shared" si="30"/>
        <v>0</v>
      </c>
      <c r="M55" s="525"/>
      <c r="N55" s="514">
        <f t="shared" si="10"/>
        <v>0</v>
      </c>
      <c r="O55" s="514">
        <f t="shared" si="11"/>
        <v>0</v>
      </c>
      <c r="P55" s="272"/>
    </row>
    <row r="56" spans="2:17">
      <c r="B56" s="195" t="str">
        <f t="shared" si="5"/>
        <v/>
      </c>
      <c r="C56" s="507">
        <f>IF(D11="","-",+C55+1)</f>
        <v>2052</v>
      </c>
      <c r="D56" s="523">
        <f>IF(F55+SUM(E$17:E55)=D$10,F55,D$10-SUM(E$17:E55))</f>
        <v>495115.22048824863</v>
      </c>
      <c r="E56" s="522">
        <f t="shared" si="26"/>
        <v>98746.590909090912</v>
      </c>
      <c r="F56" s="523">
        <f t="shared" si="27"/>
        <v>396368.62957915768</v>
      </c>
      <c r="G56" s="524">
        <f t="shared" si="31"/>
        <v>152024.84466631754</v>
      </c>
      <c r="H56" s="491">
        <f t="shared" si="32"/>
        <v>152024.84466631754</v>
      </c>
      <c r="I56" s="511">
        <f t="shared" si="6"/>
        <v>0</v>
      </c>
      <c r="J56" s="511"/>
      <c r="K56" s="525"/>
      <c r="L56" s="514">
        <f t="shared" si="30"/>
        <v>0</v>
      </c>
      <c r="M56" s="525"/>
      <c r="N56" s="514">
        <f t="shared" si="10"/>
        <v>0</v>
      </c>
      <c r="O56" s="514">
        <f t="shared" si="11"/>
        <v>0</v>
      </c>
      <c r="P56" s="272"/>
    </row>
    <row r="57" spans="2:17">
      <c r="B57" s="195" t="str">
        <f t="shared" si="5"/>
        <v/>
      </c>
      <c r="C57" s="507">
        <f>IF(D11="","-",+C56+1)</f>
        <v>2053</v>
      </c>
      <c r="D57" s="523">
        <f>IF(F56+SUM(E$17:E56)=D$10,F56,D$10-SUM(E$17:E56))</f>
        <v>396368.62957915768</v>
      </c>
      <c r="E57" s="522">
        <f t="shared" si="26"/>
        <v>98746.590909090912</v>
      </c>
      <c r="F57" s="523">
        <f t="shared" si="27"/>
        <v>297622.03867006674</v>
      </c>
      <c r="G57" s="524">
        <f t="shared" si="31"/>
        <v>140221.94789433945</v>
      </c>
      <c r="H57" s="491">
        <f t="shared" si="32"/>
        <v>140221.94789433945</v>
      </c>
      <c r="I57" s="511">
        <f t="shared" si="6"/>
        <v>0</v>
      </c>
      <c r="J57" s="511"/>
      <c r="K57" s="525"/>
      <c r="L57" s="514">
        <f t="shared" si="30"/>
        <v>0</v>
      </c>
      <c r="M57" s="525"/>
      <c r="N57" s="514">
        <f t="shared" si="10"/>
        <v>0</v>
      </c>
      <c r="O57" s="514">
        <f t="shared" si="11"/>
        <v>0</v>
      </c>
      <c r="P57" s="272"/>
    </row>
    <row r="58" spans="2:17">
      <c r="B58" s="195" t="str">
        <f t="shared" si="5"/>
        <v/>
      </c>
      <c r="C58" s="507">
        <f>IF(D11="","-",+C57+1)</f>
        <v>2054</v>
      </c>
      <c r="D58" s="523">
        <f>IF(F57+SUM(E$17:E57)=D$10,F57,D$10-SUM(E$17:E57))</f>
        <v>297622.03867006674</v>
      </c>
      <c r="E58" s="522">
        <f t="shared" si="26"/>
        <v>98746.590909090912</v>
      </c>
      <c r="F58" s="523">
        <f t="shared" si="27"/>
        <v>198875.44776097583</v>
      </c>
      <c r="G58" s="524">
        <f t="shared" si="31"/>
        <v>128419.05112236136</v>
      </c>
      <c r="H58" s="491">
        <f t="shared" si="32"/>
        <v>128419.05112236136</v>
      </c>
      <c r="I58" s="511">
        <f t="shared" si="6"/>
        <v>0</v>
      </c>
      <c r="J58" s="511"/>
      <c r="K58" s="525"/>
      <c r="L58" s="514">
        <f t="shared" si="30"/>
        <v>0</v>
      </c>
      <c r="M58" s="525"/>
      <c r="N58" s="514">
        <f t="shared" si="10"/>
        <v>0</v>
      </c>
      <c r="O58" s="514">
        <f t="shared" si="11"/>
        <v>0</v>
      </c>
      <c r="P58" s="272"/>
      <c r="Q58" s="183" t="str">
        <f>IF(ROUND(Q57,0)=ROUND(SUM(Q18:Q56),0),"","Error -- check allocations above).")</f>
        <v/>
      </c>
    </row>
    <row r="59" spans="2:17">
      <c r="B59" s="195" t="str">
        <f t="shared" si="5"/>
        <v/>
      </c>
      <c r="C59" s="507">
        <f>IF(D11="","-",+C58+1)</f>
        <v>2055</v>
      </c>
      <c r="D59" s="523">
        <f>IF(F58+SUM(E$17:E58)=D$10,F58,D$10-SUM(E$17:E58))</f>
        <v>198875.44776097583</v>
      </c>
      <c r="E59" s="522">
        <f t="shared" si="26"/>
        <v>98746.590909090912</v>
      </c>
      <c r="F59" s="523">
        <f t="shared" si="27"/>
        <v>100128.85685188492</v>
      </c>
      <c r="G59" s="524">
        <f t="shared" si="31"/>
        <v>116616.15435038328</v>
      </c>
      <c r="H59" s="491">
        <f t="shared" si="32"/>
        <v>116616.15435038328</v>
      </c>
      <c r="I59" s="511">
        <f t="shared" si="6"/>
        <v>0</v>
      </c>
      <c r="J59" s="511"/>
      <c r="K59" s="525"/>
      <c r="L59" s="514">
        <f t="shared" si="30"/>
        <v>0</v>
      </c>
      <c r="M59" s="525"/>
      <c r="N59" s="514">
        <f t="shared" si="10"/>
        <v>0</v>
      </c>
      <c r="O59" s="514">
        <f t="shared" si="11"/>
        <v>0</v>
      </c>
      <c r="P59" s="272"/>
    </row>
    <row r="60" spans="2:17">
      <c r="B60" s="195" t="str">
        <f t="shared" si="5"/>
        <v/>
      </c>
      <c r="C60" s="507">
        <f>IF(D11="","-",+C59+1)</f>
        <v>2056</v>
      </c>
      <c r="D60" s="523">
        <f>IF(F59+SUM(E$17:E59)=D$10,F59,D$10-SUM(E$17:E59))</f>
        <v>100128.85685188492</v>
      </c>
      <c r="E60" s="522">
        <f t="shared" si="26"/>
        <v>98746.590909090912</v>
      </c>
      <c r="F60" s="523">
        <f t="shared" si="27"/>
        <v>1382.2659427940089</v>
      </c>
      <c r="G60" s="524">
        <f t="shared" si="31"/>
        <v>104813.25757840519</v>
      </c>
      <c r="H60" s="491">
        <f t="shared" si="32"/>
        <v>104813.25757840519</v>
      </c>
      <c r="I60" s="511">
        <f t="shared" si="6"/>
        <v>0</v>
      </c>
      <c r="J60" s="511"/>
      <c r="K60" s="525"/>
      <c r="L60" s="514">
        <f t="shared" si="30"/>
        <v>0</v>
      </c>
      <c r="M60" s="525"/>
      <c r="N60" s="514">
        <f t="shared" si="10"/>
        <v>0</v>
      </c>
      <c r="O60" s="514">
        <f t="shared" si="11"/>
        <v>0</v>
      </c>
      <c r="P60" s="272"/>
    </row>
    <row r="61" spans="2:17">
      <c r="B61" s="195" t="str">
        <f t="shared" si="5"/>
        <v/>
      </c>
      <c r="C61" s="507">
        <f>IF(D11="","-",+C60+1)</f>
        <v>2057</v>
      </c>
      <c r="D61" s="523">
        <f>IF(F60+SUM(E$17:E60)=D$10,F60,D$10-SUM(E$17:E60))</f>
        <v>1382.2659427940089</v>
      </c>
      <c r="E61" s="522">
        <f t="shared" si="26"/>
        <v>1382.2659427940089</v>
      </c>
      <c r="F61" s="523">
        <f t="shared" si="27"/>
        <v>0</v>
      </c>
      <c r="G61" s="524">
        <f t="shared" si="31"/>
        <v>1464.8750844566234</v>
      </c>
      <c r="H61" s="491">
        <f t="shared" si="32"/>
        <v>1464.8750844566234</v>
      </c>
      <c r="I61" s="511">
        <f t="shared" si="6"/>
        <v>0</v>
      </c>
      <c r="J61" s="511"/>
      <c r="K61" s="525"/>
      <c r="L61" s="514">
        <f t="shared" si="30"/>
        <v>0</v>
      </c>
      <c r="M61" s="525"/>
      <c r="N61" s="514">
        <f t="shared" si="10"/>
        <v>0</v>
      </c>
      <c r="O61" s="514">
        <f t="shared" si="11"/>
        <v>0</v>
      </c>
      <c r="P61" s="272"/>
    </row>
    <row r="62" spans="2:17">
      <c r="B62" s="195" t="str">
        <f t="shared" si="5"/>
        <v/>
      </c>
      <c r="C62" s="507">
        <f>IF(D11="","-",+C61+1)</f>
        <v>2058</v>
      </c>
      <c r="D62" s="523">
        <f>IF(F61+SUM(E$17:E61)=D$10,F61,D$10-SUM(E$17:E61))</f>
        <v>0</v>
      </c>
      <c r="E62" s="522">
        <f t="shared" si="26"/>
        <v>0</v>
      </c>
      <c r="F62" s="523">
        <f t="shared" si="27"/>
        <v>0</v>
      </c>
      <c r="G62" s="524">
        <f t="shared" si="31"/>
        <v>0</v>
      </c>
      <c r="H62" s="491">
        <f t="shared" si="32"/>
        <v>0</v>
      </c>
      <c r="I62" s="511">
        <f t="shared" si="6"/>
        <v>0</v>
      </c>
      <c r="J62" s="511"/>
      <c r="K62" s="525"/>
      <c r="L62" s="514">
        <f t="shared" si="30"/>
        <v>0</v>
      </c>
      <c r="M62" s="525"/>
      <c r="N62" s="514">
        <f t="shared" si="10"/>
        <v>0</v>
      </c>
      <c r="O62" s="514">
        <f t="shared" si="11"/>
        <v>0</v>
      </c>
      <c r="P62" s="272"/>
    </row>
    <row r="63" spans="2:17">
      <c r="B63" s="195" t="str">
        <f t="shared" si="5"/>
        <v/>
      </c>
      <c r="C63" s="507">
        <f>IF(D11="","-",+C62+1)</f>
        <v>2059</v>
      </c>
      <c r="D63" s="523">
        <f>IF(F62+SUM(E$17:E62)=D$10,F62,D$10-SUM(E$17:E62))</f>
        <v>0</v>
      </c>
      <c r="E63" s="522">
        <f t="shared" si="26"/>
        <v>0</v>
      </c>
      <c r="F63" s="523">
        <f t="shared" si="27"/>
        <v>0</v>
      </c>
      <c r="G63" s="524">
        <f t="shared" si="31"/>
        <v>0</v>
      </c>
      <c r="H63" s="491">
        <f t="shared" si="32"/>
        <v>0</v>
      </c>
      <c r="I63" s="511">
        <f t="shared" si="6"/>
        <v>0</v>
      </c>
      <c r="J63" s="511"/>
      <c r="K63" s="525"/>
      <c r="L63" s="514">
        <f t="shared" si="30"/>
        <v>0</v>
      </c>
      <c r="M63" s="525"/>
      <c r="N63" s="514">
        <f t="shared" si="10"/>
        <v>0</v>
      </c>
      <c r="O63" s="514">
        <f t="shared" si="11"/>
        <v>0</v>
      </c>
      <c r="P63" s="272"/>
    </row>
    <row r="64" spans="2:17">
      <c r="B64" s="195" t="str">
        <f t="shared" si="5"/>
        <v/>
      </c>
      <c r="C64" s="507">
        <f>IF(D11="","-",+C63+1)</f>
        <v>2060</v>
      </c>
      <c r="D64" s="523">
        <f>IF(F63+SUM(E$17:E63)=D$10,F63,D$10-SUM(E$17:E63))</f>
        <v>0</v>
      </c>
      <c r="E64" s="522">
        <f t="shared" si="26"/>
        <v>0</v>
      </c>
      <c r="F64" s="523">
        <f t="shared" si="27"/>
        <v>0</v>
      </c>
      <c r="G64" s="524">
        <f t="shared" si="31"/>
        <v>0</v>
      </c>
      <c r="H64" s="491">
        <f t="shared" si="32"/>
        <v>0</v>
      </c>
      <c r="I64" s="511">
        <f t="shared" si="6"/>
        <v>0</v>
      </c>
      <c r="J64" s="511"/>
      <c r="K64" s="525"/>
      <c r="L64" s="514">
        <f t="shared" si="30"/>
        <v>0</v>
      </c>
      <c r="M64" s="525"/>
      <c r="N64" s="514">
        <f t="shared" si="10"/>
        <v>0</v>
      </c>
      <c r="O64" s="514">
        <f t="shared" si="11"/>
        <v>0</v>
      </c>
      <c r="P64" s="272"/>
    </row>
    <row r="65" spans="2:16">
      <c r="B65" s="195" t="str">
        <f t="shared" si="5"/>
        <v/>
      </c>
      <c r="C65" s="507">
        <f>IF(D11="","-",+C64+1)</f>
        <v>2061</v>
      </c>
      <c r="D65" s="523">
        <f>IF(F64+SUM(E$17:E64)=D$10,F64,D$10-SUM(E$17:E64))</f>
        <v>0</v>
      </c>
      <c r="E65" s="522">
        <f t="shared" si="26"/>
        <v>0</v>
      </c>
      <c r="F65" s="523">
        <f t="shared" si="27"/>
        <v>0</v>
      </c>
      <c r="G65" s="524">
        <f t="shared" si="31"/>
        <v>0</v>
      </c>
      <c r="H65" s="491">
        <f t="shared" si="32"/>
        <v>0</v>
      </c>
      <c r="I65" s="511">
        <f t="shared" si="6"/>
        <v>0</v>
      </c>
      <c r="J65" s="511"/>
      <c r="K65" s="525"/>
      <c r="L65" s="514">
        <f t="shared" si="30"/>
        <v>0</v>
      </c>
      <c r="M65" s="525"/>
      <c r="N65" s="514">
        <f t="shared" si="10"/>
        <v>0</v>
      </c>
      <c r="O65" s="514">
        <f t="shared" si="11"/>
        <v>0</v>
      </c>
      <c r="P65" s="272"/>
    </row>
    <row r="66" spans="2:16">
      <c r="B66" s="195" t="str">
        <f t="shared" si="5"/>
        <v/>
      </c>
      <c r="C66" s="507">
        <f>IF(D11="","-",+C65+1)</f>
        <v>2062</v>
      </c>
      <c r="D66" s="523">
        <f>IF(F65+SUM(E$17:E65)=D$10,F65,D$10-SUM(E$17:E65))</f>
        <v>0</v>
      </c>
      <c r="E66" s="522">
        <f t="shared" si="26"/>
        <v>0</v>
      </c>
      <c r="F66" s="523">
        <f t="shared" si="27"/>
        <v>0</v>
      </c>
      <c r="G66" s="524">
        <f t="shared" si="31"/>
        <v>0</v>
      </c>
      <c r="H66" s="491">
        <f t="shared" si="32"/>
        <v>0</v>
      </c>
      <c r="I66" s="511">
        <f t="shared" si="6"/>
        <v>0</v>
      </c>
      <c r="J66" s="511"/>
      <c r="K66" s="525"/>
      <c r="L66" s="514">
        <f t="shared" si="30"/>
        <v>0</v>
      </c>
      <c r="M66" s="525"/>
      <c r="N66" s="514">
        <f t="shared" si="10"/>
        <v>0</v>
      </c>
      <c r="O66" s="514">
        <f t="shared" si="11"/>
        <v>0</v>
      </c>
      <c r="P66" s="272"/>
    </row>
    <row r="67" spans="2:16">
      <c r="B67" s="195" t="str">
        <f t="shared" si="5"/>
        <v/>
      </c>
      <c r="C67" s="507">
        <f>IF(D11="","-",+C66+1)</f>
        <v>2063</v>
      </c>
      <c r="D67" s="523">
        <f>IF(F66+SUM(E$17:E66)=D$10,F66,D$10-SUM(E$17:E66))</f>
        <v>0</v>
      </c>
      <c r="E67" s="522">
        <f t="shared" si="26"/>
        <v>0</v>
      </c>
      <c r="F67" s="523">
        <f t="shared" si="27"/>
        <v>0</v>
      </c>
      <c r="G67" s="524">
        <f t="shared" si="31"/>
        <v>0</v>
      </c>
      <c r="H67" s="491">
        <f t="shared" si="32"/>
        <v>0</v>
      </c>
      <c r="I67" s="511">
        <f t="shared" si="6"/>
        <v>0</v>
      </c>
      <c r="J67" s="511"/>
      <c r="K67" s="525"/>
      <c r="L67" s="514">
        <f t="shared" si="30"/>
        <v>0</v>
      </c>
      <c r="M67" s="525"/>
      <c r="N67" s="514">
        <f t="shared" si="10"/>
        <v>0</v>
      </c>
      <c r="O67" s="514">
        <f t="shared" si="11"/>
        <v>0</v>
      </c>
      <c r="P67" s="272"/>
    </row>
    <row r="68" spans="2:16">
      <c r="B68" s="195" t="str">
        <f t="shared" si="5"/>
        <v/>
      </c>
      <c r="C68" s="507">
        <f>IF(D11="","-",+C67+1)</f>
        <v>2064</v>
      </c>
      <c r="D68" s="523">
        <f>IF(F67+SUM(E$17:E67)=D$10,F67,D$10-SUM(E$17:E67))</f>
        <v>0</v>
      </c>
      <c r="E68" s="522">
        <f t="shared" si="26"/>
        <v>0</v>
      </c>
      <c r="F68" s="523">
        <f t="shared" si="27"/>
        <v>0</v>
      </c>
      <c r="G68" s="524">
        <f t="shared" si="31"/>
        <v>0</v>
      </c>
      <c r="H68" s="491">
        <f t="shared" si="32"/>
        <v>0</v>
      </c>
      <c r="I68" s="511">
        <f t="shared" si="6"/>
        <v>0</v>
      </c>
      <c r="J68" s="511"/>
      <c r="K68" s="525"/>
      <c r="L68" s="514">
        <f t="shared" si="30"/>
        <v>0</v>
      </c>
      <c r="M68" s="525"/>
      <c r="N68" s="514">
        <f t="shared" si="10"/>
        <v>0</v>
      </c>
      <c r="O68" s="514">
        <f t="shared" si="11"/>
        <v>0</v>
      </c>
      <c r="P68" s="272"/>
    </row>
    <row r="69" spans="2:16">
      <c r="B69" s="195" t="str">
        <f t="shared" si="5"/>
        <v/>
      </c>
      <c r="C69" s="507">
        <f>IF(D11="","-",+C68+1)</f>
        <v>2065</v>
      </c>
      <c r="D69" s="523">
        <f>IF(F68+SUM(E$17:E68)=D$10,F68,D$10-SUM(E$17:E68))</f>
        <v>0</v>
      </c>
      <c r="E69" s="522">
        <f t="shared" si="26"/>
        <v>0</v>
      </c>
      <c r="F69" s="523">
        <f t="shared" si="27"/>
        <v>0</v>
      </c>
      <c r="G69" s="524">
        <f t="shared" si="31"/>
        <v>0</v>
      </c>
      <c r="H69" s="491">
        <f t="shared" si="32"/>
        <v>0</v>
      </c>
      <c r="I69" s="511">
        <f t="shared" si="6"/>
        <v>0</v>
      </c>
      <c r="J69" s="511"/>
      <c r="K69" s="525"/>
      <c r="L69" s="514">
        <f t="shared" si="30"/>
        <v>0</v>
      </c>
      <c r="M69" s="525"/>
      <c r="N69" s="514">
        <f t="shared" si="10"/>
        <v>0</v>
      </c>
      <c r="O69" s="514">
        <f t="shared" si="11"/>
        <v>0</v>
      </c>
      <c r="P69" s="272"/>
    </row>
    <row r="70" spans="2:16">
      <c r="B70" s="195" t="str">
        <f t="shared" si="5"/>
        <v/>
      </c>
      <c r="C70" s="507">
        <f>IF(D11="","-",+C69+1)</f>
        <v>2066</v>
      </c>
      <c r="D70" s="523">
        <f>IF(F69+SUM(E$17:E69)=D$10,F69,D$10-SUM(E$17:E69))</f>
        <v>0</v>
      </c>
      <c r="E70" s="522">
        <f t="shared" si="26"/>
        <v>0</v>
      </c>
      <c r="F70" s="523">
        <f t="shared" si="27"/>
        <v>0</v>
      </c>
      <c r="G70" s="524">
        <f t="shared" si="31"/>
        <v>0</v>
      </c>
      <c r="H70" s="491">
        <f t="shared" si="32"/>
        <v>0</v>
      </c>
      <c r="I70" s="511">
        <f t="shared" si="6"/>
        <v>0</v>
      </c>
      <c r="J70" s="511"/>
      <c r="K70" s="525"/>
      <c r="L70" s="514">
        <f t="shared" si="30"/>
        <v>0</v>
      </c>
      <c r="M70" s="525"/>
      <c r="N70" s="514">
        <f t="shared" si="10"/>
        <v>0</v>
      </c>
      <c r="O70" s="514">
        <f t="shared" si="11"/>
        <v>0</v>
      </c>
      <c r="P70" s="272"/>
    </row>
    <row r="71" spans="2:16">
      <c r="B71" s="195" t="str">
        <f t="shared" si="5"/>
        <v/>
      </c>
      <c r="C71" s="507">
        <f>IF(D11="","-",+C70+1)</f>
        <v>2067</v>
      </c>
      <c r="D71" s="523">
        <f>IF(F70+SUM(E$17:E70)=D$10,F70,D$10-SUM(E$17:E70))</f>
        <v>0</v>
      </c>
      <c r="E71" s="522">
        <f t="shared" si="26"/>
        <v>0</v>
      </c>
      <c r="F71" s="523">
        <f t="shared" si="27"/>
        <v>0</v>
      </c>
      <c r="G71" s="524">
        <f t="shared" si="31"/>
        <v>0</v>
      </c>
      <c r="H71" s="491">
        <f t="shared" si="32"/>
        <v>0</v>
      </c>
      <c r="I71" s="511">
        <f t="shared" si="6"/>
        <v>0</v>
      </c>
      <c r="J71" s="511"/>
      <c r="K71" s="525"/>
      <c r="L71" s="514">
        <f t="shared" si="30"/>
        <v>0</v>
      </c>
      <c r="M71" s="525"/>
      <c r="N71" s="514">
        <f t="shared" si="10"/>
        <v>0</v>
      </c>
      <c r="O71" s="514">
        <f t="shared" si="11"/>
        <v>0</v>
      </c>
      <c r="P71" s="272"/>
    </row>
    <row r="72" spans="2:16" ht="13.5" thickBot="1">
      <c r="B72" s="195" t="str">
        <f t="shared" si="5"/>
        <v/>
      </c>
      <c r="C72" s="527">
        <f>IF(D11="","-",+C71+1)</f>
        <v>2068</v>
      </c>
      <c r="D72" s="528">
        <f>IF(F71+SUM(E$17:E71)=D$10,F71,D$10-SUM(E$17:E71))</f>
        <v>0</v>
      </c>
      <c r="E72" s="529">
        <f t="shared" si="26"/>
        <v>0</v>
      </c>
      <c r="F72" s="528">
        <f t="shared" si="27"/>
        <v>0</v>
      </c>
      <c r="G72" s="530">
        <f t="shared" si="31"/>
        <v>0</v>
      </c>
      <c r="H72" s="471">
        <f t="shared" si="32"/>
        <v>0</v>
      </c>
      <c r="I72" s="531">
        <f t="shared" si="6"/>
        <v>0</v>
      </c>
      <c r="J72" s="511"/>
      <c r="K72" s="532"/>
      <c r="L72" s="533">
        <f t="shared" si="30"/>
        <v>0</v>
      </c>
      <c r="M72" s="532"/>
      <c r="N72" s="533">
        <f t="shared" si="10"/>
        <v>0</v>
      </c>
      <c r="O72" s="533">
        <f t="shared" si="11"/>
        <v>0</v>
      </c>
      <c r="P72" s="272"/>
    </row>
    <row r="73" spans="2:16">
      <c r="C73" s="374" t="s">
        <v>78</v>
      </c>
      <c r="D73" s="375"/>
      <c r="E73" s="375">
        <f>SUM(E17:E72)</f>
        <v>4344849.9999999991</v>
      </c>
      <c r="F73" s="375"/>
      <c r="G73" s="375">
        <f>SUM(G17:G72)</f>
        <v>15782055.145643605</v>
      </c>
      <c r="H73" s="375">
        <f>SUM(H17:H72)</f>
        <v>15782055.145643605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2:16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2:16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2:16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2:16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272"/>
      <c r="P77" s="272"/>
    </row>
    <row r="78" spans="2:16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2:16"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  <c r="O79" s="269"/>
      <c r="P79" s="269"/>
    </row>
    <row r="80" spans="2:16" ht="18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7">
      <c r="B81" s="269"/>
      <c r="C81" s="340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7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  <c r="Q82" s="269"/>
    </row>
    <row r="83" spans="1:17" ht="20.25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451" t="str">
        <f ca="1">P1</f>
        <v>SWEPCO Project 35 of 75</v>
      </c>
      <c r="Q83" s="269"/>
    </row>
    <row r="84" spans="1:17" ht="18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538" t="s">
        <v>128</v>
      </c>
      <c r="Q84" s="269"/>
    </row>
    <row r="85" spans="1:17" ht="18.7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  <c r="Q85" s="269"/>
    </row>
    <row r="86" spans="1:17" ht="15.75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2022</v>
      </c>
      <c r="M86" s="541" t="s">
        <v>9</v>
      </c>
      <c r="N86" s="542" t="s">
        <v>159</v>
      </c>
      <c r="O86" s="543" t="s">
        <v>11</v>
      </c>
      <c r="P86" s="269"/>
      <c r="Q86" s="269"/>
    </row>
    <row r="87" spans="1:17" ht="1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391</v>
      </c>
      <c r="M87" s="546">
        <f>IF(J92&lt;D11,0,VLOOKUP(J92,C17:O72,9))</f>
        <v>487467.09986700577</v>
      </c>
      <c r="N87" s="546">
        <f>IF(J92&lt;D11,0,VLOOKUP(J92,C17:O72,11))</f>
        <v>487467.09986700577</v>
      </c>
      <c r="O87" s="547">
        <f>+N87-M87</f>
        <v>0</v>
      </c>
      <c r="P87" s="269"/>
      <c r="Q87" s="269"/>
    </row>
    <row r="88" spans="1:17" ht="15.7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392</v>
      </c>
      <c r="M88" s="550">
        <f>IF(J92&lt;D11,0,VLOOKUP(J92,C99:P154,6))</f>
        <v>504696.45092425711</v>
      </c>
      <c r="N88" s="550">
        <f>IF(J92&lt;D11,0,VLOOKUP(J92,C99:P154,7))</f>
        <v>504696.45092425711</v>
      </c>
      <c r="O88" s="551">
        <f>+N88-M88</f>
        <v>0</v>
      </c>
      <c r="P88" s="269"/>
      <c r="Q88" s="269"/>
    </row>
    <row r="89" spans="1:17" ht="13.5" thickBot="1">
      <c r="C89" s="467" t="s">
        <v>84</v>
      </c>
      <c r="D89" s="552" t="str">
        <f>+D7</f>
        <v>Diana - Replace North Autotransformer #3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17229.351057251333</v>
      </c>
      <c r="N89" s="555">
        <f>+N88-N87</f>
        <v>17229.351057251333</v>
      </c>
      <c r="O89" s="556">
        <f>+O88-O87</f>
        <v>0</v>
      </c>
      <c r="P89" s="269"/>
      <c r="Q89" s="269"/>
    </row>
    <row r="90" spans="1:17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  <c r="Q90" s="269"/>
    </row>
    <row r="91" spans="1:17" ht="13.5" thickBot="1">
      <c r="A91" s="191"/>
      <c r="C91" s="558" t="s">
        <v>85</v>
      </c>
      <c r="D91" s="559" t="str">
        <f>+D9</f>
        <v>TP2010065</v>
      </c>
      <c r="E91" s="560"/>
      <c r="F91" s="560"/>
      <c r="G91" s="560"/>
      <c r="H91" s="560"/>
      <c r="I91" s="560"/>
      <c r="J91" s="560"/>
      <c r="K91" s="562"/>
      <c r="P91" s="481"/>
      <c r="Q91" s="269"/>
    </row>
    <row r="92" spans="1:17">
      <c r="C92" s="486" t="s">
        <v>51</v>
      </c>
      <c r="D92" s="628">
        <f>D10</f>
        <v>4344850</v>
      </c>
      <c r="E92" s="340" t="s">
        <v>86</v>
      </c>
      <c r="H92" s="484"/>
      <c r="I92" s="484"/>
      <c r="J92" s="485">
        <f>+'SWE.WS.G.BPU.ATRR.True-up'!M16</f>
        <v>2022</v>
      </c>
      <c r="K92" s="480"/>
      <c r="L92" s="375" t="s">
        <v>87</v>
      </c>
      <c r="P92" s="272"/>
      <c r="Q92" s="269"/>
    </row>
    <row r="93" spans="1:17">
      <c r="C93" s="486" t="s">
        <v>54</v>
      </c>
      <c r="D93" s="664">
        <f>D11</f>
        <v>2013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  <c r="Q93" s="269"/>
    </row>
    <row r="94" spans="1:17">
      <c r="C94" s="486" t="s">
        <v>56</v>
      </c>
      <c r="D94" s="564">
        <f>D12</f>
        <v>6</v>
      </c>
      <c r="E94" s="486" t="s">
        <v>57</v>
      </c>
      <c r="F94" s="484"/>
      <c r="G94" s="484"/>
      <c r="J94" s="490">
        <f>'SWE.WS.G.BPU.ATRR.True-up'!$F$81</f>
        <v>0.11351422637179906</v>
      </c>
      <c r="K94" s="425"/>
      <c r="L94" s="183" t="s">
        <v>88</v>
      </c>
      <c r="P94" s="272"/>
      <c r="Q94" s="269"/>
    </row>
    <row r="95" spans="1:17">
      <c r="C95" s="486" t="s">
        <v>59</v>
      </c>
      <c r="D95" s="488">
        <f>'SWE.WS.G.BPU.ATRR.True-up'!F$93</f>
        <v>41</v>
      </c>
      <c r="E95" s="486" t="s">
        <v>60</v>
      </c>
      <c r="F95" s="484"/>
      <c r="G95" s="484"/>
      <c r="J95" s="490">
        <f>IF(H87="",J94,'SWE.WS.G.BPU.ATRR.True-up'!$F$80)</f>
        <v>0.11351422637179906</v>
      </c>
      <c r="K95" s="324"/>
      <c r="L95" s="375" t="s">
        <v>61</v>
      </c>
      <c r="M95" s="324"/>
      <c r="N95" s="324"/>
      <c r="O95" s="324"/>
      <c r="P95" s="272"/>
      <c r="Q95" s="269"/>
    </row>
    <row r="96" spans="1:17" ht="13.5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105971.95121951219</v>
      </c>
      <c r="K96" s="375"/>
      <c r="L96" s="375"/>
      <c r="M96" s="375"/>
      <c r="N96" s="375"/>
      <c r="O96" s="375"/>
      <c r="P96" s="272"/>
      <c r="Q96" s="269"/>
    </row>
    <row r="97" spans="1:17" ht="38.25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388</v>
      </c>
      <c r="I97" s="495" t="s">
        <v>389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  <c r="Q97" s="269"/>
    </row>
    <row r="98" spans="1:17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  <c r="Q98" s="269"/>
    </row>
    <row r="99" spans="1:17">
      <c r="C99" s="507">
        <f>IF(D93= "","-",D93)</f>
        <v>2013</v>
      </c>
      <c r="D99" s="629">
        <v>0</v>
      </c>
      <c r="E99" s="630">
        <v>51724.369047619053</v>
      </c>
      <c r="F99" s="631">
        <v>4293122.6309523806</v>
      </c>
      <c r="G99" s="632">
        <v>2146561.3154761903</v>
      </c>
      <c r="H99" s="633">
        <v>342136.30353000003</v>
      </c>
      <c r="I99" s="634">
        <v>342136.30353000003</v>
      </c>
      <c r="J99" s="613">
        <v>0</v>
      </c>
      <c r="K99" s="514"/>
      <c r="L99" s="518">
        <f t="shared" ref="L99:L104" si="33">H99</f>
        <v>342136.30353000003</v>
      </c>
      <c r="M99" s="519">
        <f t="shared" ref="M99:M104" si="34">IF(L99&lt;&gt;0,+H99-L99,0)</f>
        <v>0</v>
      </c>
      <c r="N99" s="518">
        <f t="shared" ref="N99:N104" si="35">I99</f>
        <v>342136.30353000003</v>
      </c>
      <c r="O99" s="514">
        <f>IF(N99&lt;&gt;0,+I99-N99,0)</f>
        <v>0</v>
      </c>
      <c r="P99" s="514">
        <f>+O99-M99</f>
        <v>0</v>
      </c>
      <c r="Q99" s="269"/>
    </row>
    <row r="100" spans="1:17">
      <c r="B100" s="195" t="str">
        <f>IF(D100=F99,"","IU")</f>
        <v/>
      </c>
      <c r="C100" s="507">
        <f>IF(D93="","-",+C99+1)</f>
        <v>2014</v>
      </c>
      <c r="D100" s="629">
        <v>4293122.6309523806</v>
      </c>
      <c r="E100" s="630">
        <v>103448.80952380953</v>
      </c>
      <c r="F100" s="631">
        <v>4189673.8214285709</v>
      </c>
      <c r="G100" s="631">
        <v>4241398.2261904757</v>
      </c>
      <c r="H100" s="633">
        <v>679954.3306665339</v>
      </c>
      <c r="I100" s="634">
        <v>679954.3306665339</v>
      </c>
      <c r="J100" s="514">
        <v>0</v>
      </c>
      <c r="K100" s="514"/>
      <c r="L100" s="518">
        <f t="shared" si="33"/>
        <v>679954.3306665339</v>
      </c>
      <c r="M100" s="519">
        <f t="shared" si="34"/>
        <v>0</v>
      </c>
      <c r="N100" s="518">
        <f t="shared" si="35"/>
        <v>679954.3306665339</v>
      </c>
      <c r="O100" s="514">
        <f>IF(N100&lt;&gt;0,+I100-N100,0)</f>
        <v>0</v>
      </c>
      <c r="P100" s="514">
        <f>+O100-M100</f>
        <v>0</v>
      </c>
      <c r="Q100" s="269"/>
    </row>
    <row r="101" spans="1:17">
      <c r="B101" s="195" t="str">
        <f t="shared" ref="B101:B154" si="36">IF(D101=F100,"","IU")</f>
        <v/>
      </c>
      <c r="C101" s="507">
        <f>IF(D93="","-",+C100+1)</f>
        <v>2015</v>
      </c>
      <c r="D101" s="629">
        <v>4189673.8214285709</v>
      </c>
      <c r="E101" s="630">
        <v>103448.80952380953</v>
      </c>
      <c r="F101" s="631">
        <v>4086225.0119047612</v>
      </c>
      <c r="G101" s="631">
        <v>4137949.416666666</v>
      </c>
      <c r="H101" s="633">
        <v>665893.21056754142</v>
      </c>
      <c r="I101" s="634">
        <v>665893.21056754142</v>
      </c>
      <c r="J101" s="514">
        <v>0</v>
      </c>
      <c r="K101" s="514"/>
      <c r="L101" s="518">
        <f t="shared" si="33"/>
        <v>665893.21056754142</v>
      </c>
      <c r="M101" s="519">
        <f t="shared" si="34"/>
        <v>0</v>
      </c>
      <c r="N101" s="518">
        <f t="shared" si="35"/>
        <v>665893.21056754142</v>
      </c>
      <c r="O101" s="514">
        <f>IF(N101&lt;&gt;0,+I101-N101,0)</f>
        <v>0</v>
      </c>
      <c r="P101" s="514">
        <f>+O101-M101</f>
        <v>0</v>
      </c>
      <c r="Q101" s="269"/>
    </row>
    <row r="102" spans="1:17">
      <c r="B102" s="195" t="str">
        <f t="shared" si="36"/>
        <v>IU</v>
      </c>
      <c r="C102" s="507">
        <f>IF(D93="","-",+C101+1)</f>
        <v>2016</v>
      </c>
      <c r="D102" s="629">
        <v>4086228.0119047621</v>
      </c>
      <c r="E102" s="630">
        <v>101043.02325581395</v>
      </c>
      <c r="F102" s="631">
        <v>3985184.9886489483</v>
      </c>
      <c r="G102" s="631">
        <v>4035706.5002768552</v>
      </c>
      <c r="H102" s="633">
        <v>613375.91620122688</v>
      </c>
      <c r="I102" s="634">
        <v>613375.91620122688</v>
      </c>
      <c r="J102" s="514">
        <f>+I102-H102</f>
        <v>0</v>
      </c>
      <c r="K102" s="514"/>
      <c r="L102" s="518">
        <f t="shared" si="33"/>
        <v>613375.91620122688</v>
      </c>
      <c r="M102" s="519">
        <f t="shared" si="34"/>
        <v>0</v>
      </c>
      <c r="N102" s="518">
        <f t="shared" si="35"/>
        <v>613375.91620122688</v>
      </c>
      <c r="O102" s="514">
        <f>IF(N102&lt;&gt;0,+I102-N102,0)</f>
        <v>0</v>
      </c>
      <c r="P102" s="514">
        <f>+O102-M102</f>
        <v>0</v>
      </c>
      <c r="Q102" s="269"/>
    </row>
    <row r="103" spans="1:17">
      <c r="B103" s="195" t="str">
        <f t="shared" si="36"/>
        <v/>
      </c>
      <c r="C103" s="507">
        <f>IF(D93="","-",+C102+1)</f>
        <v>2017</v>
      </c>
      <c r="D103" s="629">
        <v>3985184.9886489483</v>
      </c>
      <c r="E103" s="630">
        <v>103448.80952380953</v>
      </c>
      <c r="F103" s="631">
        <v>3881736.1791251386</v>
      </c>
      <c r="G103" s="631">
        <v>3933460.5838870434</v>
      </c>
      <c r="H103" s="633">
        <v>581252.00039105583</v>
      </c>
      <c r="I103" s="634">
        <v>581252.00039105583</v>
      </c>
      <c r="J103" s="514">
        <f t="shared" ref="J103:J154" si="37">+I103-H103</f>
        <v>0</v>
      </c>
      <c r="K103" s="514"/>
      <c r="L103" s="518">
        <f t="shared" si="33"/>
        <v>581252.00039105583</v>
      </c>
      <c r="M103" s="519">
        <f t="shared" si="34"/>
        <v>0</v>
      </c>
      <c r="N103" s="518">
        <f t="shared" si="35"/>
        <v>581252.00039105583</v>
      </c>
      <c r="O103" s="514">
        <f>IF(N103&lt;&gt;0,+I103-N103,0)</f>
        <v>0</v>
      </c>
      <c r="P103" s="514">
        <f>+O103-M103</f>
        <v>0</v>
      </c>
      <c r="Q103" s="269"/>
    </row>
    <row r="104" spans="1:17">
      <c r="B104" s="195" t="str">
        <f t="shared" si="36"/>
        <v/>
      </c>
      <c r="C104" s="507">
        <f>IF(D93="","-",+C103+1)</f>
        <v>2018</v>
      </c>
      <c r="D104" s="629">
        <v>3881736.1791251386</v>
      </c>
      <c r="E104" s="630">
        <v>103448.80952380953</v>
      </c>
      <c r="F104" s="631">
        <v>3778287.3696013289</v>
      </c>
      <c r="G104" s="631">
        <v>3830011.7743632337</v>
      </c>
      <c r="H104" s="633">
        <v>507915.61664035521</v>
      </c>
      <c r="I104" s="634">
        <v>507915.61664035521</v>
      </c>
      <c r="J104" s="514">
        <f t="shared" si="37"/>
        <v>0</v>
      </c>
      <c r="K104" s="514"/>
      <c r="L104" s="518">
        <f t="shared" si="33"/>
        <v>507915.61664035521</v>
      </c>
      <c r="M104" s="519">
        <f t="shared" si="34"/>
        <v>0</v>
      </c>
      <c r="N104" s="518">
        <f t="shared" si="35"/>
        <v>507915.61664035521</v>
      </c>
      <c r="O104" s="514">
        <f t="shared" ref="O104:O130" si="38">IF(N104&lt;&gt;0,+I104-N104,0)</f>
        <v>0</v>
      </c>
      <c r="P104" s="514">
        <f t="shared" ref="P104:P130" si="39">+O104-M104</f>
        <v>0</v>
      </c>
      <c r="Q104" s="269"/>
    </row>
    <row r="105" spans="1:17">
      <c r="B105" s="195" t="str">
        <f t="shared" si="36"/>
        <v/>
      </c>
      <c r="C105" s="507">
        <f>IF(D93="","-",+C104+1)</f>
        <v>2019</v>
      </c>
      <c r="D105" s="629">
        <v>3778287.3696013289</v>
      </c>
      <c r="E105" s="630">
        <v>101043.02325581395</v>
      </c>
      <c r="F105" s="631">
        <v>3677244.346345515</v>
      </c>
      <c r="G105" s="631">
        <v>3727765.8579734219</v>
      </c>
      <c r="H105" s="633">
        <v>500065.11807412654</v>
      </c>
      <c r="I105" s="634">
        <v>500065.11807412654</v>
      </c>
      <c r="J105" s="514">
        <f t="shared" si="37"/>
        <v>0</v>
      </c>
      <c r="K105" s="514"/>
      <c r="L105" s="518">
        <f t="shared" ref="L105:L106" si="40">H105</f>
        <v>500065.11807412654</v>
      </c>
      <c r="M105" s="519">
        <f t="shared" ref="M105:M106" si="41">IF(L105&lt;&gt;0,+H105-L105,0)</f>
        <v>0</v>
      </c>
      <c r="N105" s="518">
        <f t="shared" ref="N105:N106" si="42">I105</f>
        <v>500065.11807412654</v>
      </c>
      <c r="O105" s="514">
        <f t="shared" si="38"/>
        <v>0</v>
      </c>
      <c r="P105" s="514">
        <f t="shared" si="39"/>
        <v>0</v>
      </c>
      <c r="Q105" s="269"/>
    </row>
    <row r="106" spans="1:17">
      <c r="B106" s="195" t="str">
        <f t="shared" si="36"/>
        <v/>
      </c>
      <c r="C106" s="507">
        <f>IF(D93="","-",+C105+1)</f>
        <v>2020</v>
      </c>
      <c r="D106" s="629">
        <v>3677244.346345515</v>
      </c>
      <c r="E106" s="630">
        <v>103448.80952380953</v>
      </c>
      <c r="F106" s="631">
        <v>3573795.5368217053</v>
      </c>
      <c r="G106" s="631">
        <v>3625519.9415836101</v>
      </c>
      <c r="H106" s="633">
        <v>493459.88444780855</v>
      </c>
      <c r="I106" s="634">
        <v>493459.88444780855</v>
      </c>
      <c r="J106" s="514">
        <f t="shared" si="37"/>
        <v>0</v>
      </c>
      <c r="K106" s="514"/>
      <c r="L106" s="518">
        <f t="shared" si="40"/>
        <v>493459.88444780855</v>
      </c>
      <c r="M106" s="519">
        <f t="shared" si="41"/>
        <v>0</v>
      </c>
      <c r="N106" s="518">
        <f t="shared" si="42"/>
        <v>493459.88444780855</v>
      </c>
      <c r="O106" s="514">
        <f t="shared" si="38"/>
        <v>0</v>
      </c>
      <c r="P106" s="514">
        <f t="shared" si="39"/>
        <v>0</v>
      </c>
      <c r="Q106" s="269"/>
    </row>
    <row r="107" spans="1:17">
      <c r="B107" s="195" t="str">
        <f t="shared" si="36"/>
        <v/>
      </c>
      <c r="C107" s="507">
        <f>IF(D93="","-",+C106+1)</f>
        <v>2021</v>
      </c>
      <c r="D107" s="629">
        <v>3573795.5368217053</v>
      </c>
      <c r="E107" s="630">
        <v>105971.95121951219</v>
      </c>
      <c r="F107" s="631">
        <v>3467823.5856021931</v>
      </c>
      <c r="G107" s="631">
        <v>3520809.5612119492</v>
      </c>
      <c r="H107" s="633">
        <v>505633.92476291995</v>
      </c>
      <c r="I107" s="634">
        <v>505633.92476291995</v>
      </c>
      <c r="J107" s="514">
        <f t="shared" si="37"/>
        <v>0</v>
      </c>
      <c r="K107" s="514"/>
      <c r="L107" s="518">
        <f t="shared" ref="L107" si="43">H107</f>
        <v>505633.92476291995</v>
      </c>
      <c r="M107" s="519">
        <f t="shared" ref="M107" si="44">IF(L107&lt;&gt;0,+H107-L107,0)</f>
        <v>0</v>
      </c>
      <c r="N107" s="518">
        <f t="shared" ref="N107" si="45">I107</f>
        <v>505633.92476291995</v>
      </c>
      <c r="O107" s="514">
        <f t="shared" ref="O107" si="46">IF(N107&lt;&gt;0,+I107-N107,0)</f>
        <v>0</v>
      </c>
      <c r="P107" s="514">
        <f t="shared" ref="P107" si="47">+O107-M107</f>
        <v>0</v>
      </c>
      <c r="Q107" s="269"/>
    </row>
    <row r="108" spans="1:17">
      <c r="B108" s="195" t="str">
        <f t="shared" si="36"/>
        <v/>
      </c>
      <c r="C108" s="673">
        <f>IF(D93="","-",+C107+1)</f>
        <v>2022</v>
      </c>
      <c r="D108" s="374">
        <v>3467823.5856021931</v>
      </c>
      <c r="E108" s="522">
        <v>103448.80952380953</v>
      </c>
      <c r="F108" s="523">
        <v>3364374.7760783834</v>
      </c>
      <c r="G108" s="523">
        <v>3416099.1808402883</v>
      </c>
      <c r="H108" s="526">
        <v>504696.45092425711</v>
      </c>
      <c r="I108" s="577">
        <v>504696.45092425711</v>
      </c>
      <c r="J108" s="514">
        <f t="shared" si="37"/>
        <v>0</v>
      </c>
      <c r="K108" s="514"/>
      <c r="L108" s="525"/>
      <c r="M108" s="514">
        <f t="shared" ref="M108:M130" si="48">IF(L108&lt;&gt;0,+H108-L108,0)</f>
        <v>0</v>
      </c>
      <c r="N108" s="525"/>
      <c r="O108" s="514">
        <f t="shared" si="38"/>
        <v>0</v>
      </c>
      <c r="P108" s="514">
        <f t="shared" si="39"/>
        <v>0</v>
      </c>
      <c r="Q108" s="269"/>
    </row>
    <row r="109" spans="1:17">
      <c r="B109" s="195" t="str">
        <f t="shared" si="36"/>
        <v/>
      </c>
      <c r="C109" s="507">
        <f>IF(D93="","-",+C108+1)</f>
        <v>2023</v>
      </c>
      <c r="D109" s="374">
        <f>IF(F108+SUM(E$99:E108)=D$92,F108,D$92-SUM(E$99:E108))</f>
        <v>3364374.7760783834</v>
      </c>
      <c r="E109" s="522">
        <f t="shared" ref="E109:E154" si="49">IF(+$J$96&lt;F108,$J$96,D109)</f>
        <v>105971.95121951219</v>
      </c>
      <c r="F109" s="523">
        <f t="shared" ref="F109:F154" si="50">+D109-E109</f>
        <v>3258402.8248588713</v>
      </c>
      <c r="G109" s="523">
        <f t="shared" ref="G109:G154" si="51">+(F109+D109)/2</f>
        <v>3311388.8004686274</v>
      </c>
      <c r="H109" s="526">
        <f t="shared" ref="H109:H154" si="52">+J$94*G109+E109</f>
        <v>481861.68912094814</v>
      </c>
      <c r="I109" s="577">
        <f t="shared" ref="I109:I154" si="53">+J$95*G109+E109</f>
        <v>481861.68912094814</v>
      </c>
      <c r="J109" s="514">
        <f t="shared" si="37"/>
        <v>0</v>
      </c>
      <c r="K109" s="514"/>
      <c r="L109" s="525"/>
      <c r="M109" s="514">
        <f t="shared" si="48"/>
        <v>0</v>
      </c>
      <c r="N109" s="525"/>
      <c r="O109" s="514">
        <f t="shared" si="38"/>
        <v>0</v>
      </c>
      <c r="P109" s="514">
        <f t="shared" si="39"/>
        <v>0</v>
      </c>
      <c r="Q109" s="269"/>
    </row>
    <row r="110" spans="1:17">
      <c r="B110" s="195" t="str">
        <f t="shared" si="36"/>
        <v/>
      </c>
      <c r="C110" s="507">
        <f>IF(D93="","-",+C109+1)</f>
        <v>2024</v>
      </c>
      <c r="D110" s="374">
        <f>IF(F109+SUM(E$99:E109)=D$92,F109,D$92-SUM(E$99:E109))</f>
        <v>3258402.8248588713</v>
      </c>
      <c r="E110" s="522">
        <f t="shared" si="49"/>
        <v>105971.95121951219</v>
      </c>
      <c r="F110" s="523">
        <f t="shared" si="50"/>
        <v>3152430.8736393591</v>
      </c>
      <c r="G110" s="523">
        <f t="shared" si="51"/>
        <v>3205416.8492491152</v>
      </c>
      <c r="H110" s="526">
        <f t="shared" si="52"/>
        <v>469832.36506115517</v>
      </c>
      <c r="I110" s="577">
        <f t="shared" si="53"/>
        <v>469832.36506115517</v>
      </c>
      <c r="J110" s="514">
        <f t="shared" si="37"/>
        <v>0</v>
      </c>
      <c r="K110" s="514"/>
      <c r="L110" s="525"/>
      <c r="M110" s="514">
        <f t="shared" si="48"/>
        <v>0</v>
      </c>
      <c r="N110" s="525"/>
      <c r="O110" s="514">
        <f t="shared" si="38"/>
        <v>0</v>
      </c>
      <c r="P110" s="514">
        <f t="shared" si="39"/>
        <v>0</v>
      </c>
      <c r="Q110" s="269"/>
    </row>
    <row r="111" spans="1:17">
      <c r="B111" s="195" t="str">
        <f t="shared" si="36"/>
        <v/>
      </c>
      <c r="C111" s="507">
        <f>IF(D93="","-",+C110+1)</f>
        <v>2025</v>
      </c>
      <c r="D111" s="374">
        <f>IF(F110+SUM(E$99:E110)=D$92,F110,D$92-SUM(E$99:E110))</f>
        <v>3152430.8736393591</v>
      </c>
      <c r="E111" s="522">
        <f t="shared" si="49"/>
        <v>105971.95121951219</v>
      </c>
      <c r="F111" s="523">
        <f t="shared" si="50"/>
        <v>3046458.922419847</v>
      </c>
      <c r="G111" s="523">
        <f t="shared" si="51"/>
        <v>3099444.8980296031</v>
      </c>
      <c r="H111" s="526">
        <f t="shared" si="52"/>
        <v>457803.0410013622</v>
      </c>
      <c r="I111" s="577">
        <f t="shared" si="53"/>
        <v>457803.0410013622</v>
      </c>
      <c r="J111" s="514">
        <f t="shared" si="37"/>
        <v>0</v>
      </c>
      <c r="K111" s="514"/>
      <c r="L111" s="525"/>
      <c r="M111" s="514">
        <f t="shared" si="48"/>
        <v>0</v>
      </c>
      <c r="N111" s="525"/>
      <c r="O111" s="514">
        <f t="shared" si="38"/>
        <v>0</v>
      </c>
      <c r="P111" s="514">
        <f t="shared" si="39"/>
        <v>0</v>
      </c>
      <c r="Q111" s="269"/>
    </row>
    <row r="112" spans="1:17">
      <c r="B112" s="195" t="str">
        <f t="shared" si="36"/>
        <v/>
      </c>
      <c r="C112" s="507">
        <f>IF(D93="","-",+C111+1)</f>
        <v>2026</v>
      </c>
      <c r="D112" s="374">
        <f>IF(F111+SUM(E$99:E111)=D$92,F111,D$92-SUM(E$99:E111))</f>
        <v>3046458.922419847</v>
      </c>
      <c r="E112" s="522">
        <f t="shared" si="49"/>
        <v>105971.95121951219</v>
      </c>
      <c r="F112" s="523">
        <f t="shared" si="50"/>
        <v>2940486.9712003348</v>
      </c>
      <c r="G112" s="523">
        <f t="shared" si="51"/>
        <v>2993472.9468100909</v>
      </c>
      <c r="H112" s="526">
        <f t="shared" si="52"/>
        <v>445773.71694156929</v>
      </c>
      <c r="I112" s="577">
        <f t="shared" si="53"/>
        <v>445773.71694156929</v>
      </c>
      <c r="J112" s="514">
        <f t="shared" si="37"/>
        <v>0</v>
      </c>
      <c r="K112" s="514"/>
      <c r="L112" s="525"/>
      <c r="M112" s="514">
        <f t="shared" si="48"/>
        <v>0</v>
      </c>
      <c r="N112" s="525"/>
      <c r="O112" s="514">
        <f t="shared" si="38"/>
        <v>0</v>
      </c>
      <c r="P112" s="514">
        <f t="shared" si="39"/>
        <v>0</v>
      </c>
      <c r="Q112" s="269"/>
    </row>
    <row r="113" spans="2:17">
      <c r="B113" s="195" t="str">
        <f t="shared" si="36"/>
        <v/>
      </c>
      <c r="C113" s="507">
        <f>IF(D93="","-",+C112+1)</f>
        <v>2027</v>
      </c>
      <c r="D113" s="374">
        <f>IF(F112+SUM(E$99:E112)=D$92,F112,D$92-SUM(E$99:E112))</f>
        <v>2940486.9712003348</v>
      </c>
      <c r="E113" s="522">
        <f t="shared" si="49"/>
        <v>105971.95121951219</v>
      </c>
      <c r="F113" s="523">
        <f t="shared" si="50"/>
        <v>2834515.0199808227</v>
      </c>
      <c r="G113" s="523">
        <f t="shared" si="51"/>
        <v>2887500.9955905788</v>
      </c>
      <c r="H113" s="526">
        <f t="shared" si="52"/>
        <v>433744.39288177632</v>
      </c>
      <c r="I113" s="577">
        <f t="shared" si="53"/>
        <v>433744.39288177632</v>
      </c>
      <c r="J113" s="514">
        <f t="shared" si="37"/>
        <v>0</v>
      </c>
      <c r="K113" s="514"/>
      <c r="L113" s="525"/>
      <c r="M113" s="514">
        <f t="shared" si="48"/>
        <v>0</v>
      </c>
      <c r="N113" s="525"/>
      <c r="O113" s="514">
        <f t="shared" si="38"/>
        <v>0</v>
      </c>
      <c r="P113" s="514">
        <f t="shared" si="39"/>
        <v>0</v>
      </c>
      <c r="Q113" s="269"/>
    </row>
    <row r="114" spans="2:17">
      <c r="B114" s="195" t="str">
        <f t="shared" si="36"/>
        <v/>
      </c>
      <c r="C114" s="507">
        <f>IF(D93="","-",+C113+1)</f>
        <v>2028</v>
      </c>
      <c r="D114" s="374">
        <f>IF(F113+SUM(E$99:E113)=D$92,F113,D$92-SUM(E$99:E113))</f>
        <v>2834515.0199808227</v>
      </c>
      <c r="E114" s="522">
        <f t="shared" si="49"/>
        <v>105971.95121951219</v>
      </c>
      <c r="F114" s="523">
        <f t="shared" si="50"/>
        <v>2728543.0687613105</v>
      </c>
      <c r="G114" s="523">
        <f t="shared" si="51"/>
        <v>2781529.0443710666</v>
      </c>
      <c r="H114" s="526">
        <f t="shared" si="52"/>
        <v>421715.06882198335</v>
      </c>
      <c r="I114" s="577">
        <f t="shared" si="53"/>
        <v>421715.06882198335</v>
      </c>
      <c r="J114" s="514">
        <f t="shared" si="37"/>
        <v>0</v>
      </c>
      <c r="K114" s="514"/>
      <c r="L114" s="525"/>
      <c r="M114" s="514">
        <f t="shared" si="48"/>
        <v>0</v>
      </c>
      <c r="N114" s="525"/>
      <c r="O114" s="514">
        <f t="shared" si="38"/>
        <v>0</v>
      </c>
      <c r="P114" s="514">
        <f t="shared" si="39"/>
        <v>0</v>
      </c>
      <c r="Q114" s="269"/>
    </row>
    <row r="115" spans="2:17">
      <c r="B115" s="195" t="str">
        <f t="shared" si="36"/>
        <v/>
      </c>
      <c r="C115" s="507">
        <f>IF(D93="","-",+C114+1)</f>
        <v>2029</v>
      </c>
      <c r="D115" s="374">
        <f>IF(F114+SUM(E$99:E114)=D$92,F114,D$92-SUM(E$99:E114))</f>
        <v>2728543.0687613105</v>
      </c>
      <c r="E115" s="522">
        <f t="shared" si="49"/>
        <v>105971.95121951219</v>
      </c>
      <c r="F115" s="523">
        <f t="shared" si="50"/>
        <v>2622571.1175417984</v>
      </c>
      <c r="G115" s="523">
        <f t="shared" si="51"/>
        <v>2675557.0931515545</v>
      </c>
      <c r="H115" s="526">
        <f t="shared" si="52"/>
        <v>409685.74476219044</v>
      </c>
      <c r="I115" s="577">
        <f t="shared" si="53"/>
        <v>409685.74476219044</v>
      </c>
      <c r="J115" s="514">
        <f t="shared" si="37"/>
        <v>0</v>
      </c>
      <c r="K115" s="514"/>
      <c r="L115" s="525"/>
      <c r="M115" s="514">
        <f t="shared" si="48"/>
        <v>0</v>
      </c>
      <c r="N115" s="525"/>
      <c r="O115" s="514">
        <f t="shared" si="38"/>
        <v>0</v>
      </c>
      <c r="P115" s="514">
        <f t="shared" si="39"/>
        <v>0</v>
      </c>
      <c r="Q115" s="269"/>
    </row>
    <row r="116" spans="2:17">
      <c r="B116" s="195" t="str">
        <f t="shared" si="36"/>
        <v/>
      </c>
      <c r="C116" s="507">
        <f>IF(D93="","-",+C115+1)</f>
        <v>2030</v>
      </c>
      <c r="D116" s="374">
        <f>IF(F115+SUM(E$99:E115)=D$92,F115,D$92-SUM(E$99:E115))</f>
        <v>2622571.1175417984</v>
      </c>
      <c r="E116" s="522">
        <f t="shared" si="49"/>
        <v>105971.95121951219</v>
      </c>
      <c r="F116" s="523">
        <f t="shared" si="50"/>
        <v>2516599.1663222862</v>
      </c>
      <c r="G116" s="523">
        <f t="shared" si="51"/>
        <v>2569585.1419320423</v>
      </c>
      <c r="H116" s="526">
        <f t="shared" si="52"/>
        <v>397656.42070239747</v>
      </c>
      <c r="I116" s="577">
        <f t="shared" si="53"/>
        <v>397656.42070239747</v>
      </c>
      <c r="J116" s="514">
        <f t="shared" si="37"/>
        <v>0</v>
      </c>
      <c r="K116" s="514"/>
      <c r="L116" s="525"/>
      <c r="M116" s="514">
        <f t="shared" si="48"/>
        <v>0</v>
      </c>
      <c r="N116" s="525"/>
      <c r="O116" s="514">
        <f t="shared" si="38"/>
        <v>0</v>
      </c>
      <c r="P116" s="514">
        <f t="shared" si="39"/>
        <v>0</v>
      </c>
      <c r="Q116" s="269"/>
    </row>
    <row r="117" spans="2:17">
      <c r="B117" s="195" t="str">
        <f t="shared" si="36"/>
        <v/>
      </c>
      <c r="C117" s="507">
        <f>IF(D93="","-",+C116+1)</f>
        <v>2031</v>
      </c>
      <c r="D117" s="374">
        <f>IF(F116+SUM(E$99:E116)=D$92,F116,D$92-SUM(E$99:E116))</f>
        <v>2516599.1663222862</v>
      </c>
      <c r="E117" s="522">
        <f t="shared" si="49"/>
        <v>105971.95121951219</v>
      </c>
      <c r="F117" s="523">
        <f t="shared" si="50"/>
        <v>2410627.2151027741</v>
      </c>
      <c r="G117" s="523">
        <f t="shared" si="51"/>
        <v>2463613.1907125302</v>
      </c>
      <c r="H117" s="526">
        <f t="shared" si="52"/>
        <v>385627.09664260451</v>
      </c>
      <c r="I117" s="577">
        <f t="shared" si="53"/>
        <v>385627.09664260451</v>
      </c>
      <c r="J117" s="514">
        <f t="shared" si="37"/>
        <v>0</v>
      </c>
      <c r="K117" s="514"/>
      <c r="L117" s="525"/>
      <c r="M117" s="514">
        <f t="shared" si="48"/>
        <v>0</v>
      </c>
      <c r="N117" s="525"/>
      <c r="O117" s="514">
        <f t="shared" si="38"/>
        <v>0</v>
      </c>
      <c r="P117" s="514">
        <f t="shared" si="39"/>
        <v>0</v>
      </c>
      <c r="Q117" s="269"/>
    </row>
    <row r="118" spans="2:17">
      <c r="B118" s="195" t="str">
        <f t="shared" si="36"/>
        <v/>
      </c>
      <c r="C118" s="507">
        <f>IF(D93="","-",+C117+1)</f>
        <v>2032</v>
      </c>
      <c r="D118" s="374">
        <f>IF(F117+SUM(E$99:E117)=D$92,F117,D$92-SUM(E$99:E117))</f>
        <v>2410627.2151027741</v>
      </c>
      <c r="E118" s="522">
        <f t="shared" si="49"/>
        <v>105971.95121951219</v>
      </c>
      <c r="F118" s="523">
        <f t="shared" si="50"/>
        <v>2304655.2638832619</v>
      </c>
      <c r="G118" s="523">
        <f t="shared" si="51"/>
        <v>2357641.239493018</v>
      </c>
      <c r="H118" s="526">
        <f t="shared" si="52"/>
        <v>373597.77258281159</v>
      </c>
      <c r="I118" s="577">
        <f t="shared" si="53"/>
        <v>373597.77258281159</v>
      </c>
      <c r="J118" s="514">
        <f t="shared" si="37"/>
        <v>0</v>
      </c>
      <c r="K118" s="514"/>
      <c r="L118" s="525"/>
      <c r="M118" s="514">
        <f t="shared" si="48"/>
        <v>0</v>
      </c>
      <c r="N118" s="525"/>
      <c r="O118" s="514">
        <f t="shared" si="38"/>
        <v>0</v>
      </c>
      <c r="P118" s="514">
        <f t="shared" si="39"/>
        <v>0</v>
      </c>
      <c r="Q118" s="269"/>
    </row>
    <row r="119" spans="2:17">
      <c r="B119" s="195" t="str">
        <f t="shared" si="36"/>
        <v/>
      </c>
      <c r="C119" s="507">
        <f>IF(D93="","-",+C118+1)</f>
        <v>2033</v>
      </c>
      <c r="D119" s="374">
        <f>IF(F118+SUM(E$99:E118)=D$92,F118,D$92-SUM(E$99:E118))</f>
        <v>2304655.2638832619</v>
      </c>
      <c r="E119" s="522">
        <f t="shared" si="49"/>
        <v>105971.95121951219</v>
      </c>
      <c r="F119" s="523">
        <f t="shared" si="50"/>
        <v>2198683.3126637498</v>
      </c>
      <c r="G119" s="523">
        <f t="shared" si="51"/>
        <v>2251669.2882735059</v>
      </c>
      <c r="H119" s="526">
        <f t="shared" si="52"/>
        <v>361568.44852301863</v>
      </c>
      <c r="I119" s="577">
        <f t="shared" si="53"/>
        <v>361568.44852301863</v>
      </c>
      <c r="J119" s="514">
        <f t="shared" si="37"/>
        <v>0</v>
      </c>
      <c r="K119" s="514"/>
      <c r="L119" s="525"/>
      <c r="M119" s="514">
        <f t="shared" si="48"/>
        <v>0</v>
      </c>
      <c r="N119" s="525"/>
      <c r="O119" s="514">
        <f t="shared" si="38"/>
        <v>0</v>
      </c>
      <c r="P119" s="514">
        <f t="shared" si="39"/>
        <v>0</v>
      </c>
      <c r="Q119" s="269"/>
    </row>
    <row r="120" spans="2:17">
      <c r="B120" s="195" t="str">
        <f t="shared" si="36"/>
        <v/>
      </c>
      <c r="C120" s="507">
        <f>IF(D93="","-",+C119+1)</f>
        <v>2034</v>
      </c>
      <c r="D120" s="374">
        <f>IF(F119+SUM(E$99:E119)=D$92,F119,D$92-SUM(E$99:E119))</f>
        <v>2198683.3126637498</v>
      </c>
      <c r="E120" s="522">
        <f t="shared" si="49"/>
        <v>105971.95121951219</v>
      </c>
      <c r="F120" s="523">
        <f t="shared" si="50"/>
        <v>2092711.3614442376</v>
      </c>
      <c r="G120" s="523">
        <f t="shared" si="51"/>
        <v>2145697.3370539937</v>
      </c>
      <c r="H120" s="526">
        <f t="shared" si="52"/>
        <v>349539.12446322566</v>
      </c>
      <c r="I120" s="577">
        <f t="shared" si="53"/>
        <v>349539.12446322566</v>
      </c>
      <c r="J120" s="514">
        <f t="shared" si="37"/>
        <v>0</v>
      </c>
      <c r="K120" s="514"/>
      <c r="L120" s="525"/>
      <c r="M120" s="514">
        <f t="shared" si="48"/>
        <v>0</v>
      </c>
      <c r="N120" s="525"/>
      <c r="O120" s="514">
        <f t="shared" si="38"/>
        <v>0</v>
      </c>
      <c r="P120" s="514">
        <f t="shared" si="39"/>
        <v>0</v>
      </c>
      <c r="Q120" s="269"/>
    </row>
    <row r="121" spans="2:17">
      <c r="B121" s="195" t="str">
        <f t="shared" si="36"/>
        <v/>
      </c>
      <c r="C121" s="507">
        <f>IF(D93="","-",+C120+1)</f>
        <v>2035</v>
      </c>
      <c r="D121" s="374">
        <f>IF(F120+SUM(E$99:E120)=D$92,F120,D$92-SUM(E$99:E120))</f>
        <v>2092711.3614442376</v>
      </c>
      <c r="E121" s="522">
        <f t="shared" si="49"/>
        <v>105971.95121951219</v>
      </c>
      <c r="F121" s="523">
        <f t="shared" si="50"/>
        <v>1986739.4102247255</v>
      </c>
      <c r="G121" s="523">
        <f t="shared" si="51"/>
        <v>2039725.3858344816</v>
      </c>
      <c r="H121" s="526">
        <f t="shared" si="52"/>
        <v>337509.80040343269</v>
      </c>
      <c r="I121" s="577">
        <f t="shared" si="53"/>
        <v>337509.80040343269</v>
      </c>
      <c r="J121" s="514">
        <f t="shared" si="37"/>
        <v>0</v>
      </c>
      <c r="K121" s="514"/>
      <c r="L121" s="525"/>
      <c r="M121" s="514">
        <f t="shared" si="48"/>
        <v>0</v>
      </c>
      <c r="N121" s="525"/>
      <c r="O121" s="514">
        <f t="shared" si="38"/>
        <v>0</v>
      </c>
      <c r="P121" s="514">
        <f t="shared" si="39"/>
        <v>0</v>
      </c>
      <c r="Q121" s="269"/>
    </row>
    <row r="122" spans="2:17">
      <c r="B122" s="195" t="str">
        <f t="shared" si="36"/>
        <v/>
      </c>
      <c r="C122" s="507">
        <f>IF(D93="","-",+C121+1)</f>
        <v>2036</v>
      </c>
      <c r="D122" s="374">
        <f>IF(F121+SUM(E$99:E121)=D$92,F121,D$92-SUM(E$99:E121))</f>
        <v>1986739.4102247255</v>
      </c>
      <c r="E122" s="522">
        <f t="shared" si="49"/>
        <v>105971.95121951219</v>
      </c>
      <c r="F122" s="523">
        <f t="shared" si="50"/>
        <v>1880767.4590052133</v>
      </c>
      <c r="G122" s="523">
        <f t="shared" si="51"/>
        <v>1933753.4346149694</v>
      </c>
      <c r="H122" s="526">
        <f t="shared" si="52"/>
        <v>325480.47634363978</v>
      </c>
      <c r="I122" s="577">
        <f t="shared" si="53"/>
        <v>325480.47634363978</v>
      </c>
      <c r="J122" s="514">
        <f t="shared" si="37"/>
        <v>0</v>
      </c>
      <c r="K122" s="514"/>
      <c r="L122" s="525"/>
      <c r="M122" s="514">
        <f t="shared" si="48"/>
        <v>0</v>
      </c>
      <c r="N122" s="525"/>
      <c r="O122" s="514">
        <f t="shared" si="38"/>
        <v>0</v>
      </c>
      <c r="P122" s="514">
        <f t="shared" si="39"/>
        <v>0</v>
      </c>
      <c r="Q122" s="269"/>
    </row>
    <row r="123" spans="2:17">
      <c r="B123" s="195" t="str">
        <f t="shared" si="36"/>
        <v/>
      </c>
      <c r="C123" s="507">
        <f>IF(D93="","-",+C122+1)</f>
        <v>2037</v>
      </c>
      <c r="D123" s="374">
        <f>IF(F122+SUM(E$99:E122)=D$92,F122,D$92-SUM(E$99:E122))</f>
        <v>1880767.4590052133</v>
      </c>
      <c r="E123" s="522">
        <f t="shared" si="49"/>
        <v>105971.95121951219</v>
      </c>
      <c r="F123" s="523">
        <f t="shared" si="50"/>
        <v>1774795.5077857012</v>
      </c>
      <c r="G123" s="523">
        <f t="shared" si="51"/>
        <v>1827781.4833954573</v>
      </c>
      <c r="H123" s="526">
        <f t="shared" si="52"/>
        <v>313451.15228384681</v>
      </c>
      <c r="I123" s="577">
        <f t="shared" si="53"/>
        <v>313451.15228384681</v>
      </c>
      <c r="J123" s="514">
        <f t="shared" si="37"/>
        <v>0</v>
      </c>
      <c r="K123" s="514"/>
      <c r="L123" s="525"/>
      <c r="M123" s="514">
        <f t="shared" si="48"/>
        <v>0</v>
      </c>
      <c r="N123" s="525"/>
      <c r="O123" s="514">
        <f t="shared" si="38"/>
        <v>0</v>
      </c>
      <c r="P123" s="514">
        <f t="shared" si="39"/>
        <v>0</v>
      </c>
      <c r="Q123" s="269"/>
    </row>
    <row r="124" spans="2:17">
      <c r="B124" s="195" t="str">
        <f t="shared" si="36"/>
        <v/>
      </c>
      <c r="C124" s="507">
        <f>IF(D93="","-",+C123+1)</f>
        <v>2038</v>
      </c>
      <c r="D124" s="374">
        <f>IF(F123+SUM(E$99:E123)=D$92,F123,D$92-SUM(E$99:E123))</f>
        <v>1774795.5077857012</v>
      </c>
      <c r="E124" s="522">
        <f t="shared" si="49"/>
        <v>105971.95121951219</v>
      </c>
      <c r="F124" s="523">
        <f t="shared" si="50"/>
        <v>1668823.556566189</v>
      </c>
      <c r="G124" s="523">
        <f t="shared" si="51"/>
        <v>1721809.5321759451</v>
      </c>
      <c r="H124" s="526">
        <f t="shared" si="52"/>
        <v>301421.82822405384</v>
      </c>
      <c r="I124" s="577">
        <f t="shared" si="53"/>
        <v>301421.82822405384</v>
      </c>
      <c r="J124" s="514">
        <f t="shared" si="37"/>
        <v>0</v>
      </c>
      <c r="K124" s="514"/>
      <c r="L124" s="525"/>
      <c r="M124" s="514">
        <f t="shared" si="48"/>
        <v>0</v>
      </c>
      <c r="N124" s="525"/>
      <c r="O124" s="514">
        <f t="shared" si="38"/>
        <v>0</v>
      </c>
      <c r="P124" s="514">
        <f t="shared" si="39"/>
        <v>0</v>
      </c>
      <c r="Q124" s="269"/>
    </row>
    <row r="125" spans="2:17">
      <c r="B125" s="195" t="str">
        <f t="shared" si="36"/>
        <v/>
      </c>
      <c r="C125" s="507">
        <f>IF(D93="","-",+C124+1)</f>
        <v>2039</v>
      </c>
      <c r="D125" s="374">
        <f>IF(F124+SUM(E$99:E124)=D$92,F124,D$92-SUM(E$99:E124))</f>
        <v>1668823.556566189</v>
      </c>
      <c r="E125" s="522">
        <f t="shared" si="49"/>
        <v>105971.95121951219</v>
      </c>
      <c r="F125" s="523">
        <f t="shared" si="50"/>
        <v>1562851.6053466769</v>
      </c>
      <c r="G125" s="523">
        <f t="shared" si="51"/>
        <v>1615837.580956433</v>
      </c>
      <c r="H125" s="526">
        <f t="shared" si="52"/>
        <v>289392.50416426093</v>
      </c>
      <c r="I125" s="577">
        <f t="shared" si="53"/>
        <v>289392.50416426093</v>
      </c>
      <c r="J125" s="514">
        <f t="shared" si="37"/>
        <v>0</v>
      </c>
      <c r="K125" s="514"/>
      <c r="L125" s="525"/>
      <c r="M125" s="514">
        <f t="shared" si="48"/>
        <v>0</v>
      </c>
      <c r="N125" s="525"/>
      <c r="O125" s="514">
        <f t="shared" si="38"/>
        <v>0</v>
      </c>
      <c r="P125" s="514">
        <f t="shared" si="39"/>
        <v>0</v>
      </c>
      <c r="Q125" s="269"/>
    </row>
    <row r="126" spans="2:17">
      <c r="B126" s="195" t="str">
        <f t="shared" si="36"/>
        <v/>
      </c>
      <c r="C126" s="507">
        <f>IF(D93="","-",+C125+1)</f>
        <v>2040</v>
      </c>
      <c r="D126" s="374">
        <f>IF(F125+SUM(E$99:E125)=D$92,F125,D$92-SUM(E$99:E125))</f>
        <v>1562851.6053466769</v>
      </c>
      <c r="E126" s="522">
        <f t="shared" si="49"/>
        <v>105971.95121951219</v>
      </c>
      <c r="F126" s="523">
        <f t="shared" si="50"/>
        <v>1456879.6541271647</v>
      </c>
      <c r="G126" s="523">
        <f t="shared" si="51"/>
        <v>1509865.6297369208</v>
      </c>
      <c r="H126" s="526">
        <f t="shared" si="52"/>
        <v>277363.18010446796</v>
      </c>
      <c r="I126" s="577">
        <f t="shared" si="53"/>
        <v>277363.18010446796</v>
      </c>
      <c r="J126" s="514">
        <f t="shared" si="37"/>
        <v>0</v>
      </c>
      <c r="K126" s="514"/>
      <c r="L126" s="525"/>
      <c r="M126" s="514">
        <f t="shared" si="48"/>
        <v>0</v>
      </c>
      <c r="N126" s="525"/>
      <c r="O126" s="514">
        <f t="shared" si="38"/>
        <v>0</v>
      </c>
      <c r="P126" s="514">
        <f t="shared" si="39"/>
        <v>0</v>
      </c>
      <c r="Q126" s="269"/>
    </row>
    <row r="127" spans="2:17">
      <c r="B127" s="195" t="str">
        <f t="shared" si="36"/>
        <v/>
      </c>
      <c r="C127" s="507">
        <f>IF(D93="","-",+C126+1)</f>
        <v>2041</v>
      </c>
      <c r="D127" s="374">
        <f>IF(F126+SUM(E$99:E126)=D$92,F126,D$92-SUM(E$99:E126))</f>
        <v>1456879.6541271647</v>
      </c>
      <c r="E127" s="522">
        <f t="shared" si="49"/>
        <v>105971.95121951219</v>
      </c>
      <c r="F127" s="523">
        <f t="shared" si="50"/>
        <v>1350907.7029076526</v>
      </c>
      <c r="G127" s="523">
        <f t="shared" si="51"/>
        <v>1403893.6785174087</v>
      </c>
      <c r="H127" s="526">
        <f t="shared" si="52"/>
        <v>265333.85604467499</v>
      </c>
      <c r="I127" s="577">
        <f t="shared" si="53"/>
        <v>265333.85604467499</v>
      </c>
      <c r="J127" s="514">
        <f t="shared" si="37"/>
        <v>0</v>
      </c>
      <c r="K127" s="514"/>
      <c r="L127" s="525"/>
      <c r="M127" s="514">
        <f t="shared" si="48"/>
        <v>0</v>
      </c>
      <c r="N127" s="525"/>
      <c r="O127" s="514">
        <f t="shared" si="38"/>
        <v>0</v>
      </c>
      <c r="P127" s="514">
        <f t="shared" si="39"/>
        <v>0</v>
      </c>
      <c r="Q127" s="269"/>
    </row>
    <row r="128" spans="2:17">
      <c r="B128" s="195" t="str">
        <f t="shared" si="36"/>
        <v/>
      </c>
      <c r="C128" s="507">
        <f>IF(D93="","-",+C127+1)</f>
        <v>2042</v>
      </c>
      <c r="D128" s="374">
        <f>IF(F127+SUM(E$99:E127)=D$92,F127,D$92-SUM(E$99:E127))</f>
        <v>1350907.7029076526</v>
      </c>
      <c r="E128" s="522">
        <f t="shared" si="49"/>
        <v>105971.95121951219</v>
      </c>
      <c r="F128" s="523">
        <f t="shared" si="50"/>
        <v>1244935.7516881404</v>
      </c>
      <c r="G128" s="523">
        <f t="shared" si="51"/>
        <v>1297921.7272978965</v>
      </c>
      <c r="H128" s="526">
        <f t="shared" si="52"/>
        <v>253304.53198488208</v>
      </c>
      <c r="I128" s="577">
        <f t="shared" si="53"/>
        <v>253304.53198488208</v>
      </c>
      <c r="J128" s="514">
        <f t="shared" si="37"/>
        <v>0</v>
      </c>
      <c r="K128" s="514"/>
      <c r="L128" s="525"/>
      <c r="M128" s="514">
        <f t="shared" si="48"/>
        <v>0</v>
      </c>
      <c r="N128" s="525"/>
      <c r="O128" s="514">
        <f t="shared" si="38"/>
        <v>0</v>
      </c>
      <c r="P128" s="514">
        <f t="shared" si="39"/>
        <v>0</v>
      </c>
      <c r="Q128" s="269"/>
    </row>
    <row r="129" spans="2:17">
      <c r="B129" s="195" t="str">
        <f t="shared" si="36"/>
        <v/>
      </c>
      <c r="C129" s="507">
        <f>IF(D93="","-",+C128+1)</f>
        <v>2043</v>
      </c>
      <c r="D129" s="374">
        <f>IF(F128+SUM(E$99:E128)=D$92,F128,D$92-SUM(E$99:E128))</f>
        <v>1244935.7516881404</v>
      </c>
      <c r="E129" s="522">
        <f t="shared" si="49"/>
        <v>105971.95121951219</v>
      </c>
      <c r="F129" s="523">
        <f t="shared" si="50"/>
        <v>1138963.8004686283</v>
      </c>
      <c r="G129" s="523">
        <f t="shared" si="51"/>
        <v>1191949.7760783844</v>
      </c>
      <c r="H129" s="526">
        <f t="shared" si="52"/>
        <v>241275.20792508911</v>
      </c>
      <c r="I129" s="577">
        <f t="shared" si="53"/>
        <v>241275.20792508911</v>
      </c>
      <c r="J129" s="514">
        <f t="shared" si="37"/>
        <v>0</v>
      </c>
      <c r="K129" s="514"/>
      <c r="L129" s="525"/>
      <c r="M129" s="514">
        <f t="shared" si="48"/>
        <v>0</v>
      </c>
      <c r="N129" s="525"/>
      <c r="O129" s="514">
        <f t="shared" si="38"/>
        <v>0</v>
      </c>
      <c r="P129" s="514">
        <f t="shared" si="39"/>
        <v>0</v>
      </c>
      <c r="Q129" s="269"/>
    </row>
    <row r="130" spans="2:17">
      <c r="B130" s="195" t="str">
        <f t="shared" si="36"/>
        <v/>
      </c>
      <c r="C130" s="507">
        <f>IF(D93="","-",+C129+1)</f>
        <v>2044</v>
      </c>
      <c r="D130" s="374">
        <f>IF(F129+SUM(E$99:E129)=D$92,F129,D$92-SUM(E$99:E129))</f>
        <v>1138963.8004686283</v>
      </c>
      <c r="E130" s="522">
        <f t="shared" si="49"/>
        <v>105971.95121951219</v>
      </c>
      <c r="F130" s="523">
        <f t="shared" si="50"/>
        <v>1032991.8492491161</v>
      </c>
      <c r="G130" s="523">
        <f t="shared" si="51"/>
        <v>1085977.8248588722</v>
      </c>
      <c r="H130" s="526">
        <f t="shared" si="52"/>
        <v>229245.88386529617</v>
      </c>
      <c r="I130" s="577">
        <f t="shared" si="53"/>
        <v>229245.88386529617</v>
      </c>
      <c r="J130" s="514">
        <f t="shared" si="37"/>
        <v>0</v>
      </c>
      <c r="K130" s="514"/>
      <c r="L130" s="525"/>
      <c r="M130" s="514">
        <f t="shared" si="48"/>
        <v>0</v>
      </c>
      <c r="N130" s="525"/>
      <c r="O130" s="514">
        <f t="shared" si="38"/>
        <v>0</v>
      </c>
      <c r="P130" s="514">
        <f t="shared" si="39"/>
        <v>0</v>
      </c>
      <c r="Q130" s="269"/>
    </row>
    <row r="131" spans="2:17">
      <c r="B131" s="195" t="str">
        <f t="shared" si="36"/>
        <v/>
      </c>
      <c r="C131" s="507">
        <f>IF(D93="","-",+C130+1)</f>
        <v>2045</v>
      </c>
      <c r="D131" s="374">
        <f>IF(F130+SUM(E$99:E130)=D$92,F130,D$92-SUM(E$99:E130))</f>
        <v>1032991.8492491161</v>
      </c>
      <c r="E131" s="522">
        <f t="shared" si="49"/>
        <v>105971.95121951219</v>
      </c>
      <c r="F131" s="523">
        <f t="shared" si="50"/>
        <v>927019.898029604</v>
      </c>
      <c r="G131" s="523">
        <f t="shared" si="51"/>
        <v>980005.87363936007</v>
      </c>
      <c r="H131" s="526">
        <f t="shared" si="52"/>
        <v>217216.55980550323</v>
      </c>
      <c r="I131" s="577">
        <f t="shared" si="53"/>
        <v>217216.55980550323</v>
      </c>
      <c r="J131" s="514">
        <f t="shared" si="37"/>
        <v>0</v>
      </c>
      <c r="K131" s="514"/>
      <c r="L131" s="525"/>
      <c r="M131" s="514">
        <f t="shared" ref="M131:M154" si="54">IF(L541&lt;&gt;0,+H541-L541,0)</f>
        <v>0</v>
      </c>
      <c r="N131" s="525"/>
      <c r="O131" s="514">
        <f t="shared" ref="O131:O154" si="55">IF(N541&lt;&gt;0,+I541-N541,0)</f>
        <v>0</v>
      </c>
      <c r="P131" s="514">
        <f t="shared" ref="P131:P154" si="56">+O541-M541</f>
        <v>0</v>
      </c>
      <c r="Q131" s="269"/>
    </row>
    <row r="132" spans="2:17">
      <c r="B132" s="195" t="str">
        <f t="shared" si="36"/>
        <v/>
      </c>
      <c r="C132" s="507">
        <f>IF(D93="","-",+C131+1)</f>
        <v>2046</v>
      </c>
      <c r="D132" s="374">
        <f>IF(F131+SUM(E$99:E131)=D$92,F131,D$92-SUM(E$99:E131))</f>
        <v>927019.898029604</v>
      </c>
      <c r="E132" s="522">
        <f t="shared" si="49"/>
        <v>105971.95121951219</v>
      </c>
      <c r="F132" s="523">
        <f t="shared" si="50"/>
        <v>821047.94681009185</v>
      </c>
      <c r="G132" s="523">
        <f t="shared" si="51"/>
        <v>874033.92241984792</v>
      </c>
      <c r="H132" s="526">
        <f t="shared" si="52"/>
        <v>205187.23574571026</v>
      </c>
      <c r="I132" s="577">
        <f t="shared" si="53"/>
        <v>205187.23574571026</v>
      </c>
      <c r="J132" s="514">
        <f t="shared" si="37"/>
        <v>0</v>
      </c>
      <c r="K132" s="514"/>
      <c r="L132" s="525"/>
      <c r="M132" s="514">
        <f t="shared" si="54"/>
        <v>0</v>
      </c>
      <c r="N132" s="525"/>
      <c r="O132" s="514">
        <f t="shared" si="55"/>
        <v>0</v>
      </c>
      <c r="P132" s="514">
        <f t="shared" si="56"/>
        <v>0</v>
      </c>
      <c r="Q132" s="269"/>
    </row>
    <row r="133" spans="2:17">
      <c r="B133" s="195" t="str">
        <f t="shared" si="36"/>
        <v/>
      </c>
      <c r="C133" s="507">
        <f>IF(D93="","-",+C132+1)</f>
        <v>2047</v>
      </c>
      <c r="D133" s="374">
        <f>IF(F132+SUM(E$99:E132)=D$92,F132,D$92-SUM(E$99:E132))</f>
        <v>821047.94681009185</v>
      </c>
      <c r="E133" s="522">
        <f t="shared" si="49"/>
        <v>105971.95121951219</v>
      </c>
      <c r="F133" s="523">
        <f t="shared" si="50"/>
        <v>715075.9955905797</v>
      </c>
      <c r="G133" s="523">
        <f t="shared" si="51"/>
        <v>768061.97120033577</v>
      </c>
      <c r="H133" s="526">
        <f t="shared" si="52"/>
        <v>193157.91168591732</v>
      </c>
      <c r="I133" s="577">
        <f t="shared" si="53"/>
        <v>193157.91168591732</v>
      </c>
      <c r="J133" s="514">
        <f t="shared" si="37"/>
        <v>0</v>
      </c>
      <c r="K133" s="514"/>
      <c r="L133" s="525"/>
      <c r="M133" s="514">
        <f t="shared" si="54"/>
        <v>0</v>
      </c>
      <c r="N133" s="525"/>
      <c r="O133" s="514">
        <f t="shared" si="55"/>
        <v>0</v>
      </c>
      <c r="P133" s="514">
        <f t="shared" si="56"/>
        <v>0</v>
      </c>
      <c r="Q133" s="269"/>
    </row>
    <row r="134" spans="2:17">
      <c r="B134" s="195" t="str">
        <f t="shared" si="36"/>
        <v/>
      </c>
      <c r="C134" s="507">
        <f>IF(D93="","-",+C133+1)</f>
        <v>2048</v>
      </c>
      <c r="D134" s="374">
        <f>IF(F133+SUM(E$99:E133)=D$92,F133,D$92-SUM(E$99:E133))</f>
        <v>715075.9955905797</v>
      </c>
      <c r="E134" s="522">
        <f t="shared" si="49"/>
        <v>105971.95121951219</v>
      </c>
      <c r="F134" s="523">
        <f t="shared" si="50"/>
        <v>609104.04437106755</v>
      </c>
      <c r="G134" s="523">
        <f t="shared" si="51"/>
        <v>662090.01998082362</v>
      </c>
      <c r="H134" s="526">
        <f t="shared" si="52"/>
        <v>181128.58762612438</v>
      </c>
      <c r="I134" s="577">
        <f t="shared" si="53"/>
        <v>181128.58762612438</v>
      </c>
      <c r="J134" s="514">
        <f t="shared" si="37"/>
        <v>0</v>
      </c>
      <c r="K134" s="514"/>
      <c r="L134" s="525"/>
      <c r="M134" s="514">
        <f t="shared" si="54"/>
        <v>0</v>
      </c>
      <c r="N134" s="525"/>
      <c r="O134" s="514">
        <f t="shared" si="55"/>
        <v>0</v>
      </c>
      <c r="P134" s="514">
        <f t="shared" si="56"/>
        <v>0</v>
      </c>
      <c r="Q134" s="269"/>
    </row>
    <row r="135" spans="2:17">
      <c r="B135" s="195" t="str">
        <f t="shared" si="36"/>
        <v/>
      </c>
      <c r="C135" s="507">
        <f>IF(D93="","-",+C134+1)</f>
        <v>2049</v>
      </c>
      <c r="D135" s="374">
        <f>IF(F134+SUM(E$99:E134)=D$92,F134,D$92-SUM(E$99:E134))</f>
        <v>609104.04437106755</v>
      </c>
      <c r="E135" s="522">
        <f t="shared" si="49"/>
        <v>105971.95121951219</v>
      </c>
      <c r="F135" s="523">
        <f t="shared" si="50"/>
        <v>503132.09315155534</v>
      </c>
      <c r="G135" s="523">
        <f t="shared" si="51"/>
        <v>556118.06876131147</v>
      </c>
      <c r="H135" s="526">
        <f t="shared" si="52"/>
        <v>169099.26356633141</v>
      </c>
      <c r="I135" s="577">
        <f t="shared" si="53"/>
        <v>169099.26356633141</v>
      </c>
      <c r="J135" s="514">
        <f t="shared" si="37"/>
        <v>0</v>
      </c>
      <c r="K135" s="514"/>
      <c r="L135" s="525"/>
      <c r="M135" s="514">
        <f t="shared" si="54"/>
        <v>0</v>
      </c>
      <c r="N135" s="525"/>
      <c r="O135" s="514">
        <f t="shared" si="55"/>
        <v>0</v>
      </c>
      <c r="P135" s="514">
        <f t="shared" si="56"/>
        <v>0</v>
      </c>
      <c r="Q135" s="269"/>
    </row>
    <row r="136" spans="2:17">
      <c r="B136" s="195" t="str">
        <f t="shared" si="36"/>
        <v/>
      </c>
      <c r="C136" s="507">
        <f>IF(D93="","-",+C135+1)</f>
        <v>2050</v>
      </c>
      <c r="D136" s="374">
        <f>IF(F135+SUM(E$99:E135)=D$92,F135,D$92-SUM(E$99:E135))</f>
        <v>503132.09315155534</v>
      </c>
      <c r="E136" s="522">
        <f t="shared" si="49"/>
        <v>105971.95121951219</v>
      </c>
      <c r="F136" s="523">
        <f t="shared" si="50"/>
        <v>397160.14193204313</v>
      </c>
      <c r="G136" s="523">
        <f t="shared" si="51"/>
        <v>450146.11754179921</v>
      </c>
      <c r="H136" s="526">
        <f t="shared" si="52"/>
        <v>157069.93950653845</v>
      </c>
      <c r="I136" s="577">
        <f t="shared" si="53"/>
        <v>157069.93950653845</v>
      </c>
      <c r="J136" s="514">
        <f t="shared" si="37"/>
        <v>0</v>
      </c>
      <c r="K136" s="514"/>
      <c r="L136" s="525"/>
      <c r="M136" s="514">
        <f t="shared" si="54"/>
        <v>0</v>
      </c>
      <c r="N136" s="525"/>
      <c r="O136" s="514">
        <f t="shared" si="55"/>
        <v>0</v>
      </c>
      <c r="P136" s="514">
        <f t="shared" si="56"/>
        <v>0</v>
      </c>
      <c r="Q136" s="269"/>
    </row>
    <row r="137" spans="2:17">
      <c r="B137" s="195" t="str">
        <f t="shared" si="36"/>
        <v/>
      </c>
      <c r="C137" s="507">
        <f>IF(D93="","-",+C136+1)</f>
        <v>2051</v>
      </c>
      <c r="D137" s="374">
        <f>IF(F136+SUM(E$99:E136)=D$92,F136,D$92-SUM(E$99:E136))</f>
        <v>397160.14193204313</v>
      </c>
      <c r="E137" s="522">
        <f t="shared" si="49"/>
        <v>105971.95121951219</v>
      </c>
      <c r="F137" s="523">
        <f t="shared" si="50"/>
        <v>291188.19071253092</v>
      </c>
      <c r="G137" s="523">
        <f t="shared" si="51"/>
        <v>344174.16632228706</v>
      </c>
      <c r="H137" s="526">
        <f t="shared" si="52"/>
        <v>145040.61544674551</v>
      </c>
      <c r="I137" s="577">
        <f t="shared" si="53"/>
        <v>145040.61544674551</v>
      </c>
      <c r="J137" s="514">
        <f t="shared" si="37"/>
        <v>0</v>
      </c>
      <c r="K137" s="514"/>
      <c r="L137" s="525"/>
      <c r="M137" s="514">
        <f t="shared" si="54"/>
        <v>0</v>
      </c>
      <c r="N137" s="525"/>
      <c r="O137" s="514">
        <f t="shared" si="55"/>
        <v>0</v>
      </c>
      <c r="P137" s="514">
        <f t="shared" si="56"/>
        <v>0</v>
      </c>
      <c r="Q137" s="269"/>
    </row>
    <row r="138" spans="2:17">
      <c r="B138" s="195" t="str">
        <f t="shared" si="36"/>
        <v/>
      </c>
      <c r="C138" s="507">
        <f>IF(D93="","-",+C137+1)</f>
        <v>2052</v>
      </c>
      <c r="D138" s="374">
        <f>IF(F137+SUM(E$99:E137)=D$92,F137,D$92-SUM(E$99:E137))</f>
        <v>291188.19071253092</v>
      </c>
      <c r="E138" s="522">
        <f t="shared" si="49"/>
        <v>105971.95121951219</v>
      </c>
      <c r="F138" s="523">
        <f t="shared" si="50"/>
        <v>185216.23949301871</v>
      </c>
      <c r="G138" s="523">
        <f t="shared" si="51"/>
        <v>238202.21510277482</v>
      </c>
      <c r="H138" s="526">
        <f t="shared" si="52"/>
        <v>133011.29138695254</v>
      </c>
      <c r="I138" s="577">
        <f t="shared" si="53"/>
        <v>133011.29138695254</v>
      </c>
      <c r="J138" s="514">
        <f t="shared" si="37"/>
        <v>0</v>
      </c>
      <c r="K138" s="514"/>
      <c r="L138" s="525"/>
      <c r="M138" s="514">
        <f t="shared" si="54"/>
        <v>0</v>
      </c>
      <c r="N138" s="525"/>
      <c r="O138" s="514">
        <f t="shared" si="55"/>
        <v>0</v>
      </c>
      <c r="P138" s="514">
        <f t="shared" si="56"/>
        <v>0</v>
      </c>
      <c r="Q138" s="269"/>
    </row>
    <row r="139" spans="2:17">
      <c r="B139" s="195" t="str">
        <f t="shared" si="36"/>
        <v/>
      </c>
      <c r="C139" s="507">
        <f>IF(D93="","-",+C138+1)</f>
        <v>2053</v>
      </c>
      <c r="D139" s="374">
        <f>IF(F138+SUM(E$99:E138)=D$92,F138,D$92-SUM(E$99:E138))</f>
        <v>185216.23949301871</v>
      </c>
      <c r="E139" s="522">
        <f t="shared" si="49"/>
        <v>105971.95121951219</v>
      </c>
      <c r="F139" s="523">
        <f t="shared" si="50"/>
        <v>79244.288273506521</v>
      </c>
      <c r="G139" s="523">
        <f t="shared" si="51"/>
        <v>132230.26388326261</v>
      </c>
      <c r="H139" s="526">
        <f t="shared" si="52"/>
        <v>120981.9673271596</v>
      </c>
      <c r="I139" s="577">
        <f t="shared" si="53"/>
        <v>120981.9673271596</v>
      </c>
      <c r="J139" s="514">
        <f t="shared" si="37"/>
        <v>0</v>
      </c>
      <c r="K139" s="514"/>
      <c r="L139" s="525"/>
      <c r="M139" s="514">
        <f t="shared" si="54"/>
        <v>0</v>
      </c>
      <c r="N139" s="525"/>
      <c r="O139" s="514">
        <f t="shared" si="55"/>
        <v>0</v>
      </c>
      <c r="P139" s="514">
        <f t="shared" si="56"/>
        <v>0</v>
      </c>
      <c r="Q139" s="269"/>
    </row>
    <row r="140" spans="2:17">
      <c r="B140" s="195" t="str">
        <f t="shared" si="36"/>
        <v/>
      </c>
      <c r="C140" s="507">
        <f>IF(D93="","-",+C139+1)</f>
        <v>2054</v>
      </c>
      <c r="D140" s="374">
        <f>IF(F139+SUM(E$99:E139)=D$92,F139,D$92-SUM(E$99:E139))</f>
        <v>79244.288273506521</v>
      </c>
      <c r="E140" s="522">
        <f t="shared" si="49"/>
        <v>79244.288273506521</v>
      </c>
      <c r="F140" s="523">
        <f t="shared" si="50"/>
        <v>0</v>
      </c>
      <c r="G140" s="523">
        <f t="shared" si="51"/>
        <v>39622.144136753261</v>
      </c>
      <c r="H140" s="526">
        <f t="shared" si="52"/>
        <v>83741.965312381988</v>
      </c>
      <c r="I140" s="577">
        <f t="shared" si="53"/>
        <v>83741.965312381988</v>
      </c>
      <c r="J140" s="514">
        <f t="shared" si="37"/>
        <v>0</v>
      </c>
      <c r="K140" s="514"/>
      <c r="L140" s="525"/>
      <c r="M140" s="514">
        <f t="shared" si="54"/>
        <v>0</v>
      </c>
      <c r="N140" s="525"/>
      <c r="O140" s="514">
        <f t="shared" si="55"/>
        <v>0</v>
      </c>
      <c r="P140" s="514">
        <f t="shared" si="56"/>
        <v>0</v>
      </c>
      <c r="Q140" s="269"/>
    </row>
    <row r="141" spans="2:17">
      <c r="B141" s="195" t="str">
        <f t="shared" si="36"/>
        <v/>
      </c>
      <c r="C141" s="507">
        <f>IF(D93="","-",+C140+1)</f>
        <v>2055</v>
      </c>
      <c r="D141" s="374">
        <f>IF(F140+SUM(E$99:E140)=D$92,F140,D$92-SUM(E$99:E140))</f>
        <v>0</v>
      </c>
      <c r="E141" s="522">
        <f t="shared" si="49"/>
        <v>0</v>
      </c>
      <c r="F141" s="523">
        <f t="shared" si="50"/>
        <v>0</v>
      </c>
      <c r="G141" s="523">
        <f t="shared" si="51"/>
        <v>0</v>
      </c>
      <c r="H141" s="526">
        <f t="shared" si="52"/>
        <v>0</v>
      </c>
      <c r="I141" s="577">
        <f t="shared" si="53"/>
        <v>0</v>
      </c>
      <c r="J141" s="514">
        <f t="shared" si="37"/>
        <v>0</v>
      </c>
      <c r="K141" s="514"/>
      <c r="L141" s="525"/>
      <c r="M141" s="514">
        <f t="shared" si="54"/>
        <v>0</v>
      </c>
      <c r="N141" s="525"/>
      <c r="O141" s="514">
        <f t="shared" si="55"/>
        <v>0</v>
      </c>
      <c r="P141" s="514">
        <f t="shared" si="56"/>
        <v>0</v>
      </c>
      <c r="Q141" s="269"/>
    </row>
    <row r="142" spans="2:17">
      <c r="B142" s="195" t="str">
        <f t="shared" si="36"/>
        <v/>
      </c>
      <c r="C142" s="507">
        <f>IF(D93="","-",+C141+1)</f>
        <v>2056</v>
      </c>
      <c r="D142" s="374">
        <f>IF(F141+SUM(E$99:E141)=D$92,F141,D$92-SUM(E$99:E141))</f>
        <v>0</v>
      </c>
      <c r="E142" s="522">
        <f t="shared" si="49"/>
        <v>0</v>
      </c>
      <c r="F142" s="523">
        <f t="shared" si="50"/>
        <v>0</v>
      </c>
      <c r="G142" s="523">
        <f t="shared" si="51"/>
        <v>0</v>
      </c>
      <c r="H142" s="526">
        <f t="shared" si="52"/>
        <v>0</v>
      </c>
      <c r="I142" s="577">
        <f t="shared" si="53"/>
        <v>0</v>
      </c>
      <c r="J142" s="514">
        <f t="shared" si="37"/>
        <v>0</v>
      </c>
      <c r="K142" s="514"/>
      <c r="L142" s="525"/>
      <c r="M142" s="514">
        <f t="shared" si="54"/>
        <v>0</v>
      </c>
      <c r="N142" s="525"/>
      <c r="O142" s="514">
        <f t="shared" si="55"/>
        <v>0</v>
      </c>
      <c r="P142" s="514">
        <f t="shared" si="56"/>
        <v>0</v>
      </c>
      <c r="Q142" s="269"/>
    </row>
    <row r="143" spans="2:17">
      <c r="B143" s="195" t="str">
        <f t="shared" si="36"/>
        <v/>
      </c>
      <c r="C143" s="507">
        <f>IF(D93="","-",+C142+1)</f>
        <v>2057</v>
      </c>
      <c r="D143" s="374">
        <f>IF(F142+SUM(E$99:E142)=D$92,F142,D$92-SUM(E$99:E142))</f>
        <v>0</v>
      </c>
      <c r="E143" s="522">
        <f t="shared" si="49"/>
        <v>0</v>
      </c>
      <c r="F143" s="523">
        <f t="shared" si="50"/>
        <v>0</v>
      </c>
      <c r="G143" s="523">
        <f t="shared" si="51"/>
        <v>0</v>
      </c>
      <c r="H143" s="526">
        <f t="shared" si="52"/>
        <v>0</v>
      </c>
      <c r="I143" s="577">
        <f t="shared" si="53"/>
        <v>0</v>
      </c>
      <c r="J143" s="514">
        <f t="shared" si="37"/>
        <v>0</v>
      </c>
      <c r="K143" s="514"/>
      <c r="L143" s="525"/>
      <c r="M143" s="514">
        <f t="shared" si="54"/>
        <v>0</v>
      </c>
      <c r="N143" s="525"/>
      <c r="O143" s="514">
        <f t="shared" si="55"/>
        <v>0</v>
      </c>
      <c r="P143" s="514">
        <f t="shared" si="56"/>
        <v>0</v>
      </c>
      <c r="Q143" s="269"/>
    </row>
    <row r="144" spans="2:17">
      <c r="B144" s="195" t="str">
        <f t="shared" si="36"/>
        <v/>
      </c>
      <c r="C144" s="507">
        <f>IF(D93="","-",+C143+1)</f>
        <v>2058</v>
      </c>
      <c r="D144" s="374">
        <f>IF(F143+SUM(E$99:E143)=D$92,F143,D$92-SUM(E$99:E143))</f>
        <v>0</v>
      </c>
      <c r="E144" s="522">
        <f t="shared" si="49"/>
        <v>0</v>
      </c>
      <c r="F144" s="523">
        <f t="shared" si="50"/>
        <v>0</v>
      </c>
      <c r="G144" s="523">
        <f t="shared" si="51"/>
        <v>0</v>
      </c>
      <c r="H144" s="526">
        <f t="shared" si="52"/>
        <v>0</v>
      </c>
      <c r="I144" s="577">
        <f t="shared" si="53"/>
        <v>0</v>
      </c>
      <c r="J144" s="514">
        <f t="shared" si="37"/>
        <v>0</v>
      </c>
      <c r="K144" s="514"/>
      <c r="L144" s="525"/>
      <c r="M144" s="514">
        <f t="shared" si="54"/>
        <v>0</v>
      </c>
      <c r="N144" s="525"/>
      <c r="O144" s="514">
        <f t="shared" si="55"/>
        <v>0</v>
      </c>
      <c r="P144" s="514">
        <f t="shared" si="56"/>
        <v>0</v>
      </c>
      <c r="Q144" s="269"/>
    </row>
    <row r="145" spans="2:17">
      <c r="B145" s="195" t="str">
        <f t="shared" si="36"/>
        <v/>
      </c>
      <c r="C145" s="507">
        <f>IF(D93="","-",+C144+1)</f>
        <v>2059</v>
      </c>
      <c r="D145" s="374">
        <f>IF(F144+SUM(E$99:E144)=D$92,F144,D$92-SUM(E$99:E144))</f>
        <v>0</v>
      </c>
      <c r="E145" s="522">
        <f t="shared" si="49"/>
        <v>0</v>
      </c>
      <c r="F145" s="523">
        <f t="shared" si="50"/>
        <v>0</v>
      </c>
      <c r="G145" s="523">
        <f t="shared" si="51"/>
        <v>0</v>
      </c>
      <c r="H145" s="526">
        <f t="shared" si="52"/>
        <v>0</v>
      </c>
      <c r="I145" s="577">
        <f t="shared" si="53"/>
        <v>0</v>
      </c>
      <c r="J145" s="514">
        <f t="shared" si="37"/>
        <v>0</v>
      </c>
      <c r="K145" s="514"/>
      <c r="L145" s="525"/>
      <c r="M145" s="514">
        <f t="shared" si="54"/>
        <v>0</v>
      </c>
      <c r="N145" s="525"/>
      <c r="O145" s="514">
        <f t="shared" si="55"/>
        <v>0</v>
      </c>
      <c r="P145" s="514">
        <f t="shared" si="56"/>
        <v>0</v>
      </c>
      <c r="Q145" s="269"/>
    </row>
    <row r="146" spans="2:17">
      <c r="B146" s="195" t="str">
        <f t="shared" si="36"/>
        <v/>
      </c>
      <c r="C146" s="507">
        <f>IF(D93="","-",+C145+1)</f>
        <v>2060</v>
      </c>
      <c r="D146" s="374">
        <f>IF(F145+SUM(E$99:E145)=D$92,F145,D$92-SUM(E$99:E145))</f>
        <v>0</v>
      </c>
      <c r="E146" s="522">
        <f t="shared" si="49"/>
        <v>0</v>
      </c>
      <c r="F146" s="523">
        <f t="shared" si="50"/>
        <v>0</v>
      </c>
      <c r="G146" s="523">
        <f t="shared" si="51"/>
        <v>0</v>
      </c>
      <c r="H146" s="526">
        <f t="shared" si="52"/>
        <v>0</v>
      </c>
      <c r="I146" s="577">
        <f t="shared" si="53"/>
        <v>0</v>
      </c>
      <c r="J146" s="514">
        <f t="shared" si="37"/>
        <v>0</v>
      </c>
      <c r="K146" s="514"/>
      <c r="L146" s="525"/>
      <c r="M146" s="514">
        <f t="shared" si="54"/>
        <v>0</v>
      </c>
      <c r="N146" s="525"/>
      <c r="O146" s="514">
        <f t="shared" si="55"/>
        <v>0</v>
      </c>
      <c r="P146" s="514">
        <f t="shared" si="56"/>
        <v>0</v>
      </c>
      <c r="Q146" s="269"/>
    </row>
    <row r="147" spans="2:17">
      <c r="B147" s="195" t="str">
        <f t="shared" si="36"/>
        <v/>
      </c>
      <c r="C147" s="507">
        <f>IF(D93="","-",+C146+1)</f>
        <v>2061</v>
      </c>
      <c r="D147" s="374">
        <f>IF(F146+SUM(E$99:E146)=D$92,F146,D$92-SUM(E$99:E146))</f>
        <v>0</v>
      </c>
      <c r="E147" s="522">
        <f t="shared" si="49"/>
        <v>0</v>
      </c>
      <c r="F147" s="523">
        <f t="shared" si="50"/>
        <v>0</v>
      </c>
      <c r="G147" s="523">
        <f t="shared" si="51"/>
        <v>0</v>
      </c>
      <c r="H147" s="526">
        <f t="shared" si="52"/>
        <v>0</v>
      </c>
      <c r="I147" s="577">
        <f t="shared" si="53"/>
        <v>0</v>
      </c>
      <c r="J147" s="514">
        <f t="shared" si="37"/>
        <v>0</v>
      </c>
      <c r="K147" s="514"/>
      <c r="L147" s="525"/>
      <c r="M147" s="514">
        <f t="shared" si="54"/>
        <v>0</v>
      </c>
      <c r="N147" s="525"/>
      <c r="O147" s="514">
        <f t="shared" si="55"/>
        <v>0</v>
      </c>
      <c r="P147" s="514">
        <f t="shared" si="56"/>
        <v>0</v>
      </c>
      <c r="Q147" s="269"/>
    </row>
    <row r="148" spans="2:17">
      <c r="B148" s="195" t="str">
        <f t="shared" si="36"/>
        <v/>
      </c>
      <c r="C148" s="507">
        <f>IF(D93="","-",+C147+1)</f>
        <v>2062</v>
      </c>
      <c r="D148" s="374">
        <f>IF(F147+SUM(E$99:E147)=D$92,F147,D$92-SUM(E$99:E147))</f>
        <v>0</v>
      </c>
      <c r="E148" s="522">
        <f t="shared" si="49"/>
        <v>0</v>
      </c>
      <c r="F148" s="523">
        <f t="shared" si="50"/>
        <v>0</v>
      </c>
      <c r="G148" s="523">
        <f t="shared" si="51"/>
        <v>0</v>
      </c>
      <c r="H148" s="526">
        <f t="shared" si="52"/>
        <v>0</v>
      </c>
      <c r="I148" s="577">
        <f t="shared" si="53"/>
        <v>0</v>
      </c>
      <c r="J148" s="514">
        <f t="shared" si="37"/>
        <v>0</v>
      </c>
      <c r="K148" s="514"/>
      <c r="L148" s="525"/>
      <c r="M148" s="514">
        <f t="shared" si="54"/>
        <v>0</v>
      </c>
      <c r="N148" s="525"/>
      <c r="O148" s="514">
        <f t="shared" si="55"/>
        <v>0</v>
      </c>
      <c r="P148" s="514">
        <f t="shared" si="56"/>
        <v>0</v>
      </c>
      <c r="Q148" s="269"/>
    </row>
    <row r="149" spans="2:17">
      <c r="B149" s="195" t="str">
        <f t="shared" si="36"/>
        <v/>
      </c>
      <c r="C149" s="507">
        <f>IF(D93="","-",+C148+1)</f>
        <v>2063</v>
      </c>
      <c r="D149" s="374">
        <f>IF(F148+SUM(E$99:E148)=D$92,F148,D$92-SUM(E$99:E148))</f>
        <v>0</v>
      </c>
      <c r="E149" s="522">
        <f t="shared" si="49"/>
        <v>0</v>
      </c>
      <c r="F149" s="523">
        <f t="shared" si="50"/>
        <v>0</v>
      </c>
      <c r="G149" s="523">
        <f t="shared" si="51"/>
        <v>0</v>
      </c>
      <c r="H149" s="526">
        <f t="shared" si="52"/>
        <v>0</v>
      </c>
      <c r="I149" s="577">
        <f t="shared" si="53"/>
        <v>0</v>
      </c>
      <c r="J149" s="514">
        <f t="shared" si="37"/>
        <v>0</v>
      </c>
      <c r="K149" s="514"/>
      <c r="L149" s="525"/>
      <c r="M149" s="514">
        <f t="shared" si="54"/>
        <v>0</v>
      </c>
      <c r="N149" s="525"/>
      <c r="O149" s="514">
        <f t="shared" si="55"/>
        <v>0</v>
      </c>
      <c r="P149" s="514">
        <f t="shared" si="56"/>
        <v>0</v>
      </c>
      <c r="Q149" s="269"/>
    </row>
    <row r="150" spans="2:17">
      <c r="B150" s="195" t="str">
        <f t="shared" si="36"/>
        <v/>
      </c>
      <c r="C150" s="507">
        <f>IF(D93="","-",+C149+1)</f>
        <v>2064</v>
      </c>
      <c r="D150" s="374">
        <f>IF(F149+SUM(E$99:E149)=D$92,F149,D$92-SUM(E$99:E149))</f>
        <v>0</v>
      </c>
      <c r="E150" s="522">
        <f t="shared" si="49"/>
        <v>0</v>
      </c>
      <c r="F150" s="523">
        <f t="shared" si="50"/>
        <v>0</v>
      </c>
      <c r="G150" s="523">
        <f t="shared" si="51"/>
        <v>0</v>
      </c>
      <c r="H150" s="526">
        <f t="shared" si="52"/>
        <v>0</v>
      </c>
      <c r="I150" s="577">
        <f t="shared" si="53"/>
        <v>0</v>
      </c>
      <c r="J150" s="514">
        <f t="shared" si="37"/>
        <v>0</v>
      </c>
      <c r="K150" s="514"/>
      <c r="L150" s="525"/>
      <c r="M150" s="514">
        <f t="shared" si="54"/>
        <v>0</v>
      </c>
      <c r="N150" s="525"/>
      <c r="O150" s="514">
        <f t="shared" si="55"/>
        <v>0</v>
      </c>
      <c r="P150" s="514">
        <f t="shared" si="56"/>
        <v>0</v>
      </c>
      <c r="Q150" s="269"/>
    </row>
    <row r="151" spans="2:17">
      <c r="B151" s="195" t="str">
        <f t="shared" si="36"/>
        <v/>
      </c>
      <c r="C151" s="507">
        <f>IF(D93="","-",+C150+1)</f>
        <v>2065</v>
      </c>
      <c r="D151" s="374">
        <f>IF(F150+SUM(E$99:E150)=D$92,F150,D$92-SUM(E$99:E150))</f>
        <v>0</v>
      </c>
      <c r="E151" s="522">
        <f t="shared" si="49"/>
        <v>0</v>
      </c>
      <c r="F151" s="523">
        <f t="shared" si="50"/>
        <v>0</v>
      </c>
      <c r="G151" s="523">
        <f t="shared" si="51"/>
        <v>0</v>
      </c>
      <c r="H151" s="526">
        <f t="shared" si="52"/>
        <v>0</v>
      </c>
      <c r="I151" s="577">
        <f t="shared" si="53"/>
        <v>0</v>
      </c>
      <c r="J151" s="514">
        <f t="shared" si="37"/>
        <v>0</v>
      </c>
      <c r="K151" s="514"/>
      <c r="L151" s="525"/>
      <c r="M151" s="514">
        <f t="shared" si="54"/>
        <v>0</v>
      </c>
      <c r="N151" s="525"/>
      <c r="O151" s="514">
        <f t="shared" si="55"/>
        <v>0</v>
      </c>
      <c r="P151" s="514">
        <f t="shared" si="56"/>
        <v>0</v>
      </c>
      <c r="Q151" s="269"/>
    </row>
    <row r="152" spans="2:17">
      <c r="B152" s="195" t="str">
        <f t="shared" si="36"/>
        <v/>
      </c>
      <c r="C152" s="507">
        <f>IF(D93="","-",+C151+1)</f>
        <v>2066</v>
      </c>
      <c r="D152" s="374">
        <f>IF(F151+SUM(E$99:E151)=D$92,F151,D$92-SUM(E$99:E151))</f>
        <v>0</v>
      </c>
      <c r="E152" s="522">
        <f t="shared" si="49"/>
        <v>0</v>
      </c>
      <c r="F152" s="523">
        <f t="shared" si="50"/>
        <v>0</v>
      </c>
      <c r="G152" s="523">
        <f t="shared" si="51"/>
        <v>0</v>
      </c>
      <c r="H152" s="526">
        <f t="shared" si="52"/>
        <v>0</v>
      </c>
      <c r="I152" s="577">
        <f t="shared" si="53"/>
        <v>0</v>
      </c>
      <c r="J152" s="514">
        <f t="shared" si="37"/>
        <v>0</v>
      </c>
      <c r="K152" s="514"/>
      <c r="L152" s="525"/>
      <c r="M152" s="514">
        <f t="shared" si="54"/>
        <v>0</v>
      </c>
      <c r="N152" s="525"/>
      <c r="O152" s="514">
        <f t="shared" si="55"/>
        <v>0</v>
      </c>
      <c r="P152" s="514">
        <f t="shared" si="56"/>
        <v>0</v>
      </c>
      <c r="Q152" s="269"/>
    </row>
    <row r="153" spans="2:17">
      <c r="B153" s="195" t="str">
        <f t="shared" si="36"/>
        <v/>
      </c>
      <c r="C153" s="507">
        <f>IF(D93="","-",+C152+1)</f>
        <v>2067</v>
      </c>
      <c r="D153" s="374">
        <f>IF(F152+SUM(E$99:E152)=D$92,F152,D$92-SUM(E$99:E152))</f>
        <v>0</v>
      </c>
      <c r="E153" s="522">
        <f t="shared" si="49"/>
        <v>0</v>
      </c>
      <c r="F153" s="523">
        <f t="shared" si="50"/>
        <v>0</v>
      </c>
      <c r="G153" s="523">
        <f t="shared" si="51"/>
        <v>0</v>
      </c>
      <c r="H153" s="526">
        <f t="shared" si="52"/>
        <v>0</v>
      </c>
      <c r="I153" s="577">
        <f t="shared" si="53"/>
        <v>0</v>
      </c>
      <c r="J153" s="514">
        <f t="shared" si="37"/>
        <v>0</v>
      </c>
      <c r="K153" s="514"/>
      <c r="L153" s="525"/>
      <c r="M153" s="514">
        <f t="shared" si="54"/>
        <v>0</v>
      </c>
      <c r="N153" s="525"/>
      <c r="O153" s="514">
        <f t="shared" si="55"/>
        <v>0</v>
      </c>
      <c r="P153" s="514">
        <f t="shared" si="56"/>
        <v>0</v>
      </c>
      <c r="Q153" s="269"/>
    </row>
    <row r="154" spans="2:17" ht="13.5" thickBot="1">
      <c r="B154" s="195" t="str">
        <f t="shared" si="36"/>
        <v/>
      </c>
      <c r="C154" s="527">
        <f>IF(D93="","-",+C153+1)</f>
        <v>2068</v>
      </c>
      <c r="D154" s="374">
        <f>IF(F153+SUM(E$99:E153)=D$92,F153,D$92-SUM(E$99:E153))</f>
        <v>0</v>
      </c>
      <c r="E154" s="522">
        <f t="shared" si="49"/>
        <v>0</v>
      </c>
      <c r="F154" s="523">
        <f t="shared" si="50"/>
        <v>0</v>
      </c>
      <c r="G154" s="523">
        <f t="shared" si="51"/>
        <v>0</v>
      </c>
      <c r="H154" s="526">
        <f t="shared" si="52"/>
        <v>0</v>
      </c>
      <c r="I154" s="577">
        <f t="shared" si="53"/>
        <v>0</v>
      </c>
      <c r="J154" s="514">
        <f t="shared" si="37"/>
        <v>0</v>
      </c>
      <c r="K154" s="514"/>
      <c r="L154" s="532"/>
      <c r="M154" s="533">
        <f t="shared" si="54"/>
        <v>0</v>
      </c>
      <c r="N154" s="532"/>
      <c r="O154" s="533">
        <f t="shared" si="55"/>
        <v>0</v>
      </c>
      <c r="P154" s="533">
        <f t="shared" si="56"/>
        <v>0</v>
      </c>
      <c r="Q154" s="269"/>
    </row>
    <row r="155" spans="2:17">
      <c r="C155" s="374" t="s">
        <v>78</v>
      </c>
      <c r="D155" s="375"/>
      <c r="E155" s="375">
        <f>SUM(E99:E154)</f>
        <v>4344850</v>
      </c>
      <c r="F155" s="375"/>
      <c r="G155" s="375"/>
      <c r="H155" s="375">
        <f>SUM(H99:H154)</f>
        <v>14822201.396463875</v>
      </c>
      <c r="I155" s="375">
        <f>SUM(I99:I154)</f>
        <v>14822201.396463875</v>
      </c>
      <c r="J155" s="375">
        <f>SUM(J99:J154)</f>
        <v>0</v>
      </c>
      <c r="K155" s="375"/>
      <c r="L155" s="375"/>
      <c r="M155" s="375"/>
      <c r="N155" s="375"/>
      <c r="O155" s="375"/>
      <c r="P155" s="269"/>
      <c r="Q155" s="269"/>
    </row>
    <row r="156" spans="2:17">
      <c r="C156" s="183" t="s">
        <v>92</v>
      </c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  <c r="Q156" s="269"/>
    </row>
    <row r="157" spans="2:17">
      <c r="C157" s="580"/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  <c r="Q157" s="269"/>
    </row>
    <row r="158" spans="2:17">
      <c r="C158" s="614" t="s">
        <v>132</v>
      </c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  <c r="Q158" s="269"/>
    </row>
    <row r="159" spans="2:17">
      <c r="C159" s="467" t="s">
        <v>79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  <c r="Q159" s="269"/>
    </row>
    <row r="160" spans="2:17">
      <c r="C160" s="581" t="s">
        <v>80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  <c r="Q160" s="269"/>
    </row>
    <row r="161" spans="3:17">
      <c r="C161" s="581"/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  <c r="Q161" s="269"/>
    </row>
    <row r="162" spans="3:17" ht="18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635" t="s">
        <v>131</v>
      </c>
      <c r="Q162" s="269"/>
    </row>
  </sheetData>
  <conditionalFormatting sqref="C17:C72">
    <cfRule type="cellIs" dxfId="92" priority="1" stopIfTrue="1" operator="equal">
      <formula>$I$10</formula>
    </cfRule>
  </conditionalFormatting>
  <conditionalFormatting sqref="C99:C154">
    <cfRule type="cellIs" dxfId="91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87"/>
  <dimension ref="A1:Q162"/>
  <sheetViews>
    <sheetView topLeftCell="A87" zoomScaleNormal="100" zoomScaleSheetLayoutView="75" workbookViewId="0">
      <selection activeCell="D99" sqref="D99:I108"/>
    </sheetView>
  </sheetViews>
  <sheetFormatPr defaultColWidth="8.7109375" defaultRowHeight="12.75" customHeight="1"/>
  <cols>
    <col min="1" max="1" width="4.7109375" style="183" customWidth="1"/>
    <col min="2" max="2" width="6.7109375" style="183" customWidth="1"/>
    <col min="3" max="3" width="23.28515625" style="183" customWidth="1"/>
    <col min="4" max="8" width="17.7109375" style="183" customWidth="1"/>
    <col min="9" max="9" width="20.42578125" style="183" customWidth="1"/>
    <col min="10" max="10" width="16.42578125" style="183" customWidth="1"/>
    <col min="11" max="11" width="17.7109375" style="183" customWidth="1"/>
    <col min="12" max="12" width="18" style="183" customWidth="1"/>
    <col min="13" max="13" width="17.7109375" style="183" customWidth="1"/>
    <col min="14" max="14" width="19" style="183" customWidth="1"/>
    <col min="15" max="15" width="16.85546875" style="183" customWidth="1"/>
    <col min="16" max="16" width="24.42578125" style="183" customWidth="1"/>
    <col min="17" max="17" width="4.7109375" style="183" customWidth="1"/>
    <col min="18" max="22" width="8.7109375" style="183"/>
    <col min="23" max="23" width="9.140625" style="183" customWidth="1"/>
    <col min="24" max="16384" width="8.7109375" style="183"/>
  </cols>
  <sheetData>
    <row r="1" spans="1:17" ht="20.25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36 of 75</v>
      </c>
      <c r="Q1" s="453"/>
    </row>
    <row r="2" spans="1:17" ht="18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538" t="s">
        <v>129</v>
      </c>
    </row>
    <row r="3" spans="1:17" ht="18.75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/>
      <c r="P3" s="623">
        <v>1</v>
      </c>
    </row>
    <row r="4" spans="1:17" ht="15.75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7" ht="1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725000.53327762289</v>
      </c>
      <c r="P5" s="269"/>
    </row>
    <row r="6" spans="1:17" ht="15.7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725000.53327762289</v>
      </c>
      <c r="O6" s="269"/>
      <c r="P6" s="269"/>
    </row>
    <row r="7" spans="1:17" ht="13.5" thickBot="1">
      <c r="C7" s="467" t="s">
        <v>48</v>
      </c>
      <c r="D7" s="624" t="s">
        <v>299</v>
      </c>
      <c r="E7" s="587"/>
      <c r="F7" s="269"/>
      <c r="G7" s="269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7" ht="13.5" thickBot="1">
      <c r="C8" s="472"/>
      <c r="D8" s="625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7" ht="13.5" thickBot="1">
      <c r="C9" s="476" t="s">
        <v>50</v>
      </c>
      <c r="D9" s="477" t="s">
        <v>263</v>
      </c>
      <c r="E9" s="666" t="s">
        <v>497</v>
      </c>
      <c r="F9" s="478"/>
      <c r="G9" s="478"/>
      <c r="H9" s="478"/>
      <c r="I9" s="479"/>
      <c r="J9" s="480"/>
      <c r="O9" s="481"/>
      <c r="P9" s="272"/>
    </row>
    <row r="10" spans="1:17">
      <c r="C10" s="482" t="s">
        <v>51</v>
      </c>
      <c r="D10" s="483">
        <v>6389739</v>
      </c>
      <c r="E10" s="353" t="s">
        <v>52</v>
      </c>
      <c r="F10" s="481"/>
      <c r="G10" s="484"/>
      <c r="H10" s="484"/>
      <c r="I10" s="485">
        <f>+'SWE.WS.F.BPU.ATRR.Projected'!L19</f>
        <v>2024</v>
      </c>
      <c r="J10" s="480"/>
      <c r="K10" s="375" t="s">
        <v>53</v>
      </c>
      <c r="O10" s="272"/>
      <c r="P10" s="272"/>
    </row>
    <row r="11" spans="1:17">
      <c r="C11" s="486" t="s">
        <v>54</v>
      </c>
      <c r="D11" s="487">
        <v>2013</v>
      </c>
      <c r="E11" s="486" t="s">
        <v>55</v>
      </c>
      <c r="F11" s="484"/>
      <c r="G11" s="233"/>
      <c r="H11" s="233"/>
      <c r="I11" s="488">
        <f>IF(G5="",0,'SWE.WS.F.BPU.ATRR.Projected'!F$13)</f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7">
      <c r="C12" s="486" t="s">
        <v>56</v>
      </c>
      <c r="D12" s="483">
        <v>9</v>
      </c>
      <c r="E12" s="486" t="s">
        <v>57</v>
      </c>
      <c r="F12" s="484"/>
      <c r="G12" s="233"/>
      <c r="H12" s="233"/>
      <c r="I12" s="490">
        <f>'SWE.WS.F.BPU.ATRR.Projected'!$F$81</f>
        <v>0.11952713165403545</v>
      </c>
      <c r="J12" s="425"/>
      <c r="K12" s="183" t="s">
        <v>58</v>
      </c>
      <c r="O12" s="272"/>
      <c r="P12" s="272"/>
    </row>
    <row r="13" spans="1:17">
      <c r="C13" s="486" t="s">
        <v>59</v>
      </c>
      <c r="D13" s="488">
        <f>+'SWE.WS.F.BPU.ATRR.Projected'!F$93</f>
        <v>44</v>
      </c>
      <c r="E13" s="486" t="s">
        <v>60</v>
      </c>
      <c r="F13" s="484"/>
      <c r="G13" s="233"/>
      <c r="H13" s="233"/>
      <c r="I13" s="490">
        <f>IF(G5="",I12,'SWE.WS.F.BPU.ATRR.Projected'!$F$80)</f>
        <v>0.11952713165403545</v>
      </c>
      <c r="J13" s="425"/>
      <c r="K13" s="375" t="s">
        <v>61</v>
      </c>
      <c r="L13" s="324"/>
      <c r="M13" s="324"/>
      <c r="N13" s="324"/>
      <c r="O13" s="272"/>
      <c r="P13" s="272"/>
    </row>
    <row r="14" spans="1:17" ht="13.5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145221.34090909091</v>
      </c>
      <c r="J14" s="375"/>
      <c r="K14" s="375"/>
      <c r="L14" s="375"/>
      <c r="M14" s="375"/>
      <c r="N14" s="375"/>
      <c r="O14" s="272"/>
      <c r="P14" s="272"/>
    </row>
    <row r="15" spans="1:17" ht="38.25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388</v>
      </c>
      <c r="H15" s="495" t="s">
        <v>389</v>
      </c>
      <c r="I15" s="492" t="s">
        <v>68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7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>
      <c r="C17" s="507">
        <f>IF(D11= "","-",D11)</f>
        <v>2013</v>
      </c>
      <c r="D17" s="626">
        <v>1750000</v>
      </c>
      <c r="E17" s="627">
        <v>17361.111111111109</v>
      </c>
      <c r="F17" s="626">
        <v>1732638.888888889</v>
      </c>
      <c r="G17" s="627">
        <v>259908.17345772672</v>
      </c>
      <c r="H17" s="610">
        <v>259908.17345772672</v>
      </c>
      <c r="I17" s="616">
        <v>0</v>
      </c>
      <c r="J17" s="511"/>
      <c r="K17" s="512">
        <f t="shared" ref="K17:K22" si="0">G17</f>
        <v>259908.17345772672</v>
      </c>
      <c r="L17" s="597">
        <f t="shared" ref="L17:L22" si="1">IF(K17&lt;&gt;0,+G17-K17,0)</f>
        <v>0</v>
      </c>
      <c r="M17" s="512">
        <f t="shared" ref="M17:M22" si="2">H17</f>
        <v>259908.17345772672</v>
      </c>
      <c r="N17" s="513">
        <f t="shared" ref="N17:N22" si="3">IF(M17&lt;&gt;0,+H17-M17,0)</f>
        <v>0</v>
      </c>
      <c r="O17" s="514">
        <f t="shared" ref="O17:O22" si="4">+N17-L17</f>
        <v>0</v>
      </c>
      <c r="P17" s="272"/>
    </row>
    <row r="18" spans="2:16">
      <c r="B18" s="195" t="str">
        <f>IF(D18=F17,"","IU")</f>
        <v/>
      </c>
      <c r="C18" s="507">
        <f>IF(D11="","-",+C17+1)</f>
        <v>2014</v>
      </c>
      <c r="D18" s="626">
        <v>1732638.888888889</v>
      </c>
      <c r="E18" s="609">
        <v>72336.119047619053</v>
      </c>
      <c r="F18" s="626">
        <v>1660302.7698412701</v>
      </c>
      <c r="G18" s="609">
        <v>296328.40957577864</v>
      </c>
      <c r="H18" s="610">
        <v>296328.40957577864</v>
      </c>
      <c r="I18" s="616">
        <v>0</v>
      </c>
      <c r="J18" s="511"/>
      <c r="K18" s="518">
        <f t="shared" si="0"/>
        <v>296328.40957577864</v>
      </c>
      <c r="L18" s="519">
        <f t="shared" si="1"/>
        <v>0</v>
      </c>
      <c r="M18" s="518">
        <f t="shared" si="2"/>
        <v>296328.40957577864</v>
      </c>
      <c r="N18" s="514">
        <f t="shared" si="3"/>
        <v>0</v>
      </c>
      <c r="O18" s="514">
        <f t="shared" si="4"/>
        <v>0</v>
      </c>
      <c r="P18" s="272"/>
    </row>
    <row r="19" spans="2:16">
      <c r="B19" s="195" t="str">
        <f>IF(D19=F18,"","IU")</f>
        <v/>
      </c>
      <c r="C19" s="507">
        <f>IF(D11="","-",+C18+1)</f>
        <v>2015</v>
      </c>
      <c r="D19" s="626">
        <v>1660302.7698412701</v>
      </c>
      <c r="E19" s="609">
        <v>152136.64285714287</v>
      </c>
      <c r="F19" s="626">
        <v>1508166.1269841271</v>
      </c>
      <c r="G19" s="609">
        <v>350769.36244899174</v>
      </c>
      <c r="H19" s="610">
        <v>350769.36244899174</v>
      </c>
      <c r="I19" s="511">
        <v>0</v>
      </c>
      <c r="J19" s="511"/>
      <c r="K19" s="518">
        <f t="shared" si="0"/>
        <v>350769.36244899174</v>
      </c>
      <c r="L19" s="519">
        <f t="shared" si="1"/>
        <v>0</v>
      </c>
      <c r="M19" s="518">
        <f t="shared" si="2"/>
        <v>350769.36244899174</v>
      </c>
      <c r="N19" s="514">
        <f t="shared" si="3"/>
        <v>0</v>
      </c>
      <c r="O19" s="514">
        <f t="shared" si="4"/>
        <v>0</v>
      </c>
      <c r="P19" s="272"/>
    </row>
    <row r="20" spans="2:16">
      <c r="B20" s="195" t="str">
        <f t="shared" ref="B20:B72" si="5">IF(D20=F19,"","IU")</f>
        <v>IU</v>
      </c>
      <c r="C20" s="507">
        <f>IF(D11="","-",+C19+1)</f>
        <v>2016</v>
      </c>
      <c r="D20" s="626">
        <v>6147905.1269841269</v>
      </c>
      <c r="E20" s="609">
        <v>152136.64285714287</v>
      </c>
      <c r="F20" s="626">
        <v>5995768.4841269841</v>
      </c>
      <c r="G20" s="609">
        <v>932066.05749159923</v>
      </c>
      <c r="H20" s="610">
        <v>932066.05749159923</v>
      </c>
      <c r="I20" s="511">
        <f>H20-G20</f>
        <v>0</v>
      </c>
      <c r="J20" s="511"/>
      <c r="K20" s="518">
        <f t="shared" si="0"/>
        <v>932066.05749159923</v>
      </c>
      <c r="L20" s="519">
        <f t="shared" si="1"/>
        <v>0</v>
      </c>
      <c r="M20" s="518">
        <f t="shared" si="2"/>
        <v>932066.05749159923</v>
      </c>
      <c r="N20" s="514">
        <f t="shared" si="3"/>
        <v>0</v>
      </c>
      <c r="O20" s="514">
        <f t="shared" si="4"/>
        <v>0</v>
      </c>
      <c r="P20" s="272"/>
    </row>
    <row r="21" spans="2:16">
      <c r="B21" s="195" t="str">
        <f t="shared" si="5"/>
        <v/>
      </c>
      <c r="C21" s="507">
        <f>IF(D11="","-",+C20+1)</f>
        <v>2017</v>
      </c>
      <c r="D21" s="626">
        <v>5995768.4841269841</v>
      </c>
      <c r="E21" s="609">
        <v>148598.58139534883</v>
      </c>
      <c r="F21" s="626">
        <v>5847169.9027316356</v>
      </c>
      <c r="G21" s="609">
        <v>882224.40250085481</v>
      </c>
      <c r="H21" s="610">
        <v>882224.40250085481</v>
      </c>
      <c r="I21" s="511">
        <f t="shared" ref="I21:I72" si="6">H21-G21</f>
        <v>0</v>
      </c>
      <c r="J21" s="511"/>
      <c r="K21" s="518">
        <f t="shared" si="0"/>
        <v>882224.40250085481</v>
      </c>
      <c r="L21" s="519">
        <f t="shared" si="1"/>
        <v>0</v>
      </c>
      <c r="M21" s="518">
        <f t="shared" si="2"/>
        <v>882224.40250085481</v>
      </c>
      <c r="N21" s="514">
        <f t="shared" si="3"/>
        <v>0</v>
      </c>
      <c r="O21" s="514">
        <f t="shared" si="4"/>
        <v>0</v>
      </c>
      <c r="P21" s="272"/>
    </row>
    <row r="22" spans="2:16">
      <c r="B22" s="195" t="str">
        <f t="shared" si="5"/>
        <v/>
      </c>
      <c r="C22" s="507">
        <f>IF(D11="","-",+C21+1)</f>
        <v>2018</v>
      </c>
      <c r="D22" s="626">
        <v>5847169.9027316356</v>
      </c>
      <c r="E22" s="609">
        <v>155847.29268292684</v>
      </c>
      <c r="F22" s="626">
        <v>5691322.6100487085</v>
      </c>
      <c r="G22" s="609">
        <v>889084.4471340694</v>
      </c>
      <c r="H22" s="610">
        <v>889084.4471340694</v>
      </c>
      <c r="I22" s="511">
        <f t="shared" si="6"/>
        <v>0</v>
      </c>
      <c r="J22" s="511"/>
      <c r="K22" s="518">
        <f t="shared" si="0"/>
        <v>889084.4471340694</v>
      </c>
      <c r="L22" s="519">
        <f t="shared" si="1"/>
        <v>0</v>
      </c>
      <c r="M22" s="518">
        <f t="shared" si="2"/>
        <v>889084.4471340694</v>
      </c>
      <c r="N22" s="514">
        <f t="shared" si="3"/>
        <v>0</v>
      </c>
      <c r="O22" s="514">
        <f t="shared" si="4"/>
        <v>0</v>
      </c>
      <c r="P22" s="272"/>
    </row>
    <row r="23" spans="2:16">
      <c r="B23" s="195" t="str">
        <f t="shared" si="5"/>
        <v/>
      </c>
      <c r="C23" s="507">
        <f>IF(D11="","-",+C22+1)</f>
        <v>2019</v>
      </c>
      <c r="D23" s="626">
        <v>5691322.6100487085</v>
      </c>
      <c r="E23" s="609">
        <v>155847.29268292684</v>
      </c>
      <c r="F23" s="626">
        <v>5535475.3173657814</v>
      </c>
      <c r="G23" s="609">
        <v>869277.17590012413</v>
      </c>
      <c r="H23" s="610">
        <v>869277.17590012413</v>
      </c>
      <c r="I23" s="511">
        <f t="shared" si="6"/>
        <v>0</v>
      </c>
      <c r="J23" s="511"/>
      <c r="K23" s="518">
        <f t="shared" ref="K23" si="7">G23</f>
        <v>869277.17590012413</v>
      </c>
      <c r="L23" s="519">
        <f t="shared" ref="L23" si="8">IF(K23&lt;&gt;0,+G23-K23,0)</f>
        <v>0</v>
      </c>
      <c r="M23" s="518">
        <f t="shared" ref="M23" si="9">H23</f>
        <v>869277.17590012413</v>
      </c>
      <c r="N23" s="514">
        <f t="shared" ref="N23:N72" si="10">IF(M23&lt;&gt;0,+H23-M23,0)</f>
        <v>0</v>
      </c>
      <c r="O23" s="514">
        <f t="shared" ref="O23:O72" si="11">+N23-L23</f>
        <v>0</v>
      </c>
      <c r="P23" s="272"/>
    </row>
    <row r="24" spans="2:16">
      <c r="B24" s="195" t="str">
        <f t="shared" si="5"/>
        <v/>
      </c>
      <c r="C24" s="507">
        <f>IF(D11="","-",+C23+1)</f>
        <v>2020</v>
      </c>
      <c r="D24" s="626">
        <v>5535475.3173657814</v>
      </c>
      <c r="E24" s="609">
        <v>155847.29268292684</v>
      </c>
      <c r="F24" s="626">
        <v>5379628.0246828543</v>
      </c>
      <c r="G24" s="609">
        <v>714348.32768844545</v>
      </c>
      <c r="H24" s="610">
        <v>714348.32768844545</v>
      </c>
      <c r="I24" s="511">
        <f t="shared" si="6"/>
        <v>0</v>
      </c>
      <c r="J24" s="511"/>
      <c r="K24" s="518">
        <f t="shared" ref="K24" si="12">G24</f>
        <v>714348.32768844545</v>
      </c>
      <c r="L24" s="519">
        <f t="shared" ref="L24" si="13">IF(K24&lt;&gt;0,+G24-K24,0)</f>
        <v>0</v>
      </c>
      <c r="M24" s="518">
        <f t="shared" ref="M24" si="14">H24</f>
        <v>714348.32768844545</v>
      </c>
      <c r="N24" s="514">
        <f t="shared" si="10"/>
        <v>0</v>
      </c>
      <c r="O24" s="514">
        <f t="shared" si="11"/>
        <v>0</v>
      </c>
      <c r="P24" s="272"/>
    </row>
    <row r="25" spans="2:16">
      <c r="B25" s="195" t="str">
        <f t="shared" si="5"/>
        <v>IU</v>
      </c>
      <c r="C25" s="507">
        <f>IF(D11="","-",+C24+1)</f>
        <v>2021</v>
      </c>
      <c r="D25" s="626">
        <v>5386876.7359704329</v>
      </c>
      <c r="E25" s="609">
        <v>152136.64285714287</v>
      </c>
      <c r="F25" s="626">
        <v>5234740.0931132901</v>
      </c>
      <c r="G25" s="609">
        <v>715106.47264918196</v>
      </c>
      <c r="H25" s="610">
        <v>715106.47264918196</v>
      </c>
      <c r="I25" s="511">
        <f t="shared" si="6"/>
        <v>0</v>
      </c>
      <c r="J25" s="511"/>
      <c r="K25" s="518">
        <f t="shared" ref="K25" si="15">G25</f>
        <v>715106.47264918196</v>
      </c>
      <c r="L25" s="519">
        <f t="shared" ref="L25" si="16">IF(K25&lt;&gt;0,+G25-K25,0)</f>
        <v>0</v>
      </c>
      <c r="M25" s="518">
        <f t="shared" ref="M25" si="17">H25</f>
        <v>715106.47264918196</v>
      </c>
      <c r="N25" s="514">
        <f t="shared" si="10"/>
        <v>0</v>
      </c>
      <c r="O25" s="514">
        <f t="shared" si="11"/>
        <v>0</v>
      </c>
      <c r="P25" s="272"/>
    </row>
    <row r="26" spans="2:16">
      <c r="B26" s="195" t="str">
        <f t="shared" si="5"/>
        <v>IU</v>
      </c>
      <c r="C26" s="507">
        <f>IF(D11="","-",+C25+1)</f>
        <v>2022</v>
      </c>
      <c r="D26" s="626">
        <v>5227491.3818257116</v>
      </c>
      <c r="E26" s="609">
        <v>152136.64285714287</v>
      </c>
      <c r="F26" s="626">
        <v>5075354.7389685689</v>
      </c>
      <c r="G26" s="609">
        <v>731383.75654612202</v>
      </c>
      <c r="H26" s="610">
        <v>731383.75654612202</v>
      </c>
      <c r="I26" s="511">
        <f t="shared" si="6"/>
        <v>0</v>
      </c>
      <c r="J26" s="511"/>
      <c r="K26" s="518">
        <f t="shared" ref="K26" si="18">G26</f>
        <v>731383.75654612202</v>
      </c>
      <c r="L26" s="519">
        <f t="shared" ref="L26" si="19">IF(K26&lt;&gt;0,+G26-K26,0)</f>
        <v>0</v>
      </c>
      <c r="M26" s="518">
        <f t="shared" ref="M26" si="20">H26</f>
        <v>731383.75654612202</v>
      </c>
      <c r="N26" s="514">
        <f t="shared" si="10"/>
        <v>0</v>
      </c>
      <c r="O26" s="514">
        <f t="shared" si="11"/>
        <v>0</v>
      </c>
      <c r="P26" s="272"/>
    </row>
    <row r="27" spans="2:16">
      <c r="B27" s="195" t="str">
        <f t="shared" si="5"/>
        <v/>
      </c>
      <c r="C27" s="507">
        <f>IF(D11="","-",+C26+1)</f>
        <v>2023</v>
      </c>
      <c r="D27" s="626">
        <v>5075354.7389685689</v>
      </c>
      <c r="E27" s="609">
        <v>152136.64285714287</v>
      </c>
      <c r="F27" s="626">
        <v>4923218.0961114261</v>
      </c>
      <c r="G27" s="609">
        <v>783680.43817514717</v>
      </c>
      <c r="H27" s="610">
        <v>783680.43817514717</v>
      </c>
      <c r="I27" s="511">
        <f t="shared" si="6"/>
        <v>0</v>
      </c>
      <c r="J27" s="511"/>
      <c r="K27" s="518">
        <f t="shared" ref="K27" si="21">G27</f>
        <v>783680.43817514717</v>
      </c>
      <c r="L27" s="519">
        <f t="shared" ref="L27" si="22">IF(K27&lt;&gt;0,+G27-K27,0)</f>
        <v>0</v>
      </c>
      <c r="M27" s="518">
        <f t="shared" ref="M27" si="23">H27</f>
        <v>783680.43817514717</v>
      </c>
      <c r="N27" s="514">
        <f t="shared" ref="N27" si="24">IF(M27&lt;&gt;0,+H27-M27,0)</f>
        <v>0</v>
      </c>
      <c r="O27" s="514">
        <f t="shared" ref="O27" si="25">+N27-L27</f>
        <v>0</v>
      </c>
      <c r="P27" s="272"/>
    </row>
    <row r="28" spans="2:16">
      <c r="B28" s="195" t="str">
        <f t="shared" si="5"/>
        <v/>
      </c>
      <c r="C28" s="673">
        <f>IF(D11="","-",+C27+1)</f>
        <v>2024</v>
      </c>
      <c r="D28" s="523">
        <f>IF(F27+SUM(E$17:E27)=D$10,F27,D$10-SUM(E$17:E27))</f>
        <v>4923218.0961114261</v>
      </c>
      <c r="E28" s="522">
        <f t="shared" ref="E28:E72" si="26">IF(+$I$14&lt;F27,$I$14,D28)</f>
        <v>145221.34090909091</v>
      </c>
      <c r="F28" s="523">
        <f t="shared" ref="F28:F72" si="27">+D28-E28</f>
        <v>4777996.7552023353</v>
      </c>
      <c r="G28" s="524">
        <f t="shared" ref="G28:G52" si="28">+I$12*((D28+F28)/2)+E28</f>
        <v>725000.53327762289</v>
      </c>
      <c r="H28" s="491">
        <f t="shared" ref="H28:H52" si="29">+I$13*((D28+F28)/2)+E28</f>
        <v>725000.53327762289</v>
      </c>
      <c r="I28" s="511">
        <f t="shared" si="6"/>
        <v>0</v>
      </c>
      <c r="J28" s="511"/>
      <c r="K28" s="525"/>
      <c r="L28" s="514">
        <f t="shared" ref="L28:L72" si="30">IF(K28&lt;&gt;0,+G28-K28,0)</f>
        <v>0</v>
      </c>
      <c r="M28" s="525"/>
      <c r="N28" s="514">
        <f t="shared" si="10"/>
        <v>0</v>
      </c>
      <c r="O28" s="514">
        <f t="shared" si="11"/>
        <v>0</v>
      </c>
      <c r="P28" s="272"/>
    </row>
    <row r="29" spans="2:16">
      <c r="B29" s="195" t="str">
        <f t="shared" si="5"/>
        <v/>
      </c>
      <c r="C29" s="507">
        <f>IF(D11="","-",+C28+1)</f>
        <v>2025</v>
      </c>
      <c r="D29" s="523">
        <f>IF(F28+SUM(E$17:E28)=D$10,F28,D$10-SUM(E$17:E28))</f>
        <v>4777996.7552023353</v>
      </c>
      <c r="E29" s="522">
        <f t="shared" si="26"/>
        <v>145221.34090909091</v>
      </c>
      <c r="F29" s="523">
        <f t="shared" si="27"/>
        <v>4632775.4142932445</v>
      </c>
      <c r="G29" s="524">
        <f t="shared" si="28"/>
        <v>707642.64294380636</v>
      </c>
      <c r="H29" s="491">
        <f t="shared" si="29"/>
        <v>707642.64294380636</v>
      </c>
      <c r="I29" s="511">
        <f t="shared" si="6"/>
        <v>0</v>
      </c>
      <c r="J29" s="511"/>
      <c r="K29" s="525"/>
      <c r="L29" s="514">
        <f t="shared" si="30"/>
        <v>0</v>
      </c>
      <c r="M29" s="525"/>
      <c r="N29" s="514">
        <f t="shared" si="10"/>
        <v>0</v>
      </c>
      <c r="O29" s="514">
        <f t="shared" si="11"/>
        <v>0</v>
      </c>
      <c r="P29" s="272"/>
    </row>
    <row r="30" spans="2:16">
      <c r="B30" s="195" t="str">
        <f t="shared" si="5"/>
        <v/>
      </c>
      <c r="C30" s="507">
        <f>IF(D11="","-",+C29+1)</f>
        <v>2026</v>
      </c>
      <c r="D30" s="523">
        <f>IF(F29+SUM(E$17:E29)=D$10,F29,D$10-SUM(E$17:E29))</f>
        <v>4632775.4142932445</v>
      </c>
      <c r="E30" s="522">
        <f t="shared" si="26"/>
        <v>145221.34090909091</v>
      </c>
      <c r="F30" s="523">
        <f t="shared" si="27"/>
        <v>4487554.0733841537</v>
      </c>
      <c r="G30" s="524">
        <f t="shared" si="28"/>
        <v>690284.75260998996</v>
      </c>
      <c r="H30" s="491">
        <f t="shared" si="29"/>
        <v>690284.75260998996</v>
      </c>
      <c r="I30" s="511">
        <f t="shared" si="6"/>
        <v>0</v>
      </c>
      <c r="J30" s="511"/>
      <c r="K30" s="525"/>
      <c r="L30" s="514">
        <f t="shared" si="30"/>
        <v>0</v>
      </c>
      <c r="M30" s="525"/>
      <c r="N30" s="514">
        <f t="shared" si="10"/>
        <v>0</v>
      </c>
      <c r="O30" s="514">
        <f t="shared" si="11"/>
        <v>0</v>
      </c>
      <c r="P30" s="272"/>
    </row>
    <row r="31" spans="2:16">
      <c r="B31" s="195" t="str">
        <f t="shared" si="5"/>
        <v/>
      </c>
      <c r="C31" s="507">
        <f>IF(D11="","-",+C30+1)</f>
        <v>2027</v>
      </c>
      <c r="D31" s="523">
        <f>IF(F30+SUM(E$17:E30)=D$10,F30,D$10-SUM(E$17:E30))</f>
        <v>4487554.0733841537</v>
      </c>
      <c r="E31" s="522">
        <f t="shared" si="26"/>
        <v>145221.34090909091</v>
      </c>
      <c r="F31" s="523">
        <f t="shared" si="27"/>
        <v>4342332.7324750628</v>
      </c>
      <c r="G31" s="524">
        <f t="shared" si="28"/>
        <v>672926.86227617343</v>
      </c>
      <c r="H31" s="491">
        <f t="shared" si="29"/>
        <v>672926.86227617343</v>
      </c>
      <c r="I31" s="511">
        <f t="shared" si="6"/>
        <v>0</v>
      </c>
      <c r="J31" s="511"/>
      <c r="K31" s="525"/>
      <c r="L31" s="514">
        <f t="shared" si="30"/>
        <v>0</v>
      </c>
      <c r="M31" s="525"/>
      <c r="N31" s="514">
        <f t="shared" si="10"/>
        <v>0</v>
      </c>
      <c r="O31" s="514">
        <f t="shared" si="11"/>
        <v>0</v>
      </c>
      <c r="P31" s="272"/>
    </row>
    <row r="32" spans="2:16">
      <c r="B32" s="195" t="str">
        <f t="shared" si="5"/>
        <v/>
      </c>
      <c r="C32" s="507">
        <f>IF(D11="","-",+C31+1)</f>
        <v>2028</v>
      </c>
      <c r="D32" s="523">
        <f>IF(F31+SUM(E$17:E31)=D$10,F31,D$10-SUM(E$17:E31))</f>
        <v>4342332.7324750628</v>
      </c>
      <c r="E32" s="522">
        <f t="shared" si="26"/>
        <v>145221.34090909091</v>
      </c>
      <c r="F32" s="523">
        <f t="shared" si="27"/>
        <v>4197111.391565972</v>
      </c>
      <c r="G32" s="524">
        <f t="shared" si="28"/>
        <v>655568.97194235702</v>
      </c>
      <c r="H32" s="491">
        <f t="shared" si="29"/>
        <v>655568.97194235702</v>
      </c>
      <c r="I32" s="511">
        <f t="shared" si="6"/>
        <v>0</v>
      </c>
      <c r="J32" s="511"/>
      <c r="K32" s="525"/>
      <c r="L32" s="514">
        <f t="shared" si="30"/>
        <v>0</v>
      </c>
      <c r="M32" s="525"/>
      <c r="N32" s="514">
        <f t="shared" si="10"/>
        <v>0</v>
      </c>
      <c r="O32" s="514">
        <f t="shared" si="11"/>
        <v>0</v>
      </c>
      <c r="P32" s="272"/>
    </row>
    <row r="33" spans="2:16">
      <c r="B33" s="195" t="str">
        <f t="shared" si="5"/>
        <v/>
      </c>
      <c r="C33" s="507">
        <f>IF(D11="","-",+C32+1)</f>
        <v>2029</v>
      </c>
      <c r="D33" s="523">
        <f>IF(F32+SUM(E$17:E32)=D$10,F32,D$10-SUM(E$17:E32))</f>
        <v>4197111.391565972</v>
      </c>
      <c r="E33" s="522">
        <f t="shared" si="26"/>
        <v>145221.34090909091</v>
      </c>
      <c r="F33" s="523">
        <f t="shared" si="27"/>
        <v>4051890.0506568812</v>
      </c>
      <c r="G33" s="524">
        <f t="shared" si="28"/>
        <v>638211.08160854049</v>
      </c>
      <c r="H33" s="491">
        <f t="shared" si="29"/>
        <v>638211.08160854049</v>
      </c>
      <c r="I33" s="511">
        <f t="shared" si="6"/>
        <v>0</v>
      </c>
      <c r="J33" s="511"/>
      <c r="K33" s="525"/>
      <c r="L33" s="514">
        <f t="shared" si="30"/>
        <v>0</v>
      </c>
      <c r="M33" s="525"/>
      <c r="N33" s="514">
        <f t="shared" si="10"/>
        <v>0</v>
      </c>
      <c r="O33" s="514">
        <f t="shared" si="11"/>
        <v>0</v>
      </c>
      <c r="P33" s="272"/>
    </row>
    <row r="34" spans="2:16">
      <c r="B34" s="195" t="str">
        <f t="shared" si="5"/>
        <v/>
      </c>
      <c r="C34" s="507">
        <f>IF(D11="","-",+C33+1)</f>
        <v>2030</v>
      </c>
      <c r="D34" s="523">
        <f>IF(F33+SUM(E$17:E33)=D$10,F33,D$10-SUM(E$17:E33))</f>
        <v>4051890.0506568812</v>
      </c>
      <c r="E34" s="522">
        <f t="shared" si="26"/>
        <v>145221.34090909091</v>
      </c>
      <c r="F34" s="523">
        <f t="shared" si="27"/>
        <v>3906668.7097477904</v>
      </c>
      <c r="G34" s="524">
        <f t="shared" si="28"/>
        <v>620853.19127472409</v>
      </c>
      <c r="H34" s="491">
        <f t="shared" si="29"/>
        <v>620853.19127472409</v>
      </c>
      <c r="I34" s="511">
        <f t="shared" si="6"/>
        <v>0</v>
      </c>
      <c r="J34" s="511"/>
      <c r="K34" s="525"/>
      <c r="L34" s="514">
        <f t="shared" si="30"/>
        <v>0</v>
      </c>
      <c r="M34" s="525"/>
      <c r="N34" s="514">
        <f t="shared" si="10"/>
        <v>0</v>
      </c>
      <c r="O34" s="514">
        <f t="shared" si="11"/>
        <v>0</v>
      </c>
      <c r="P34" s="272"/>
    </row>
    <row r="35" spans="2:16">
      <c r="B35" s="195" t="str">
        <f t="shared" si="5"/>
        <v/>
      </c>
      <c r="C35" s="507">
        <f>IF(D11="","-",+C34+1)</f>
        <v>2031</v>
      </c>
      <c r="D35" s="523">
        <f>IF(F34+SUM(E$17:E34)=D$10,F34,D$10-SUM(E$17:E34))</f>
        <v>3906668.7097477904</v>
      </c>
      <c r="E35" s="522">
        <f t="shared" si="26"/>
        <v>145221.34090909091</v>
      </c>
      <c r="F35" s="523">
        <f t="shared" si="27"/>
        <v>3761447.3688386995</v>
      </c>
      <c r="G35" s="524">
        <f t="shared" si="28"/>
        <v>603495.30094090756</v>
      </c>
      <c r="H35" s="491">
        <f t="shared" si="29"/>
        <v>603495.30094090756</v>
      </c>
      <c r="I35" s="511">
        <f t="shared" si="6"/>
        <v>0</v>
      </c>
      <c r="J35" s="511"/>
      <c r="K35" s="525"/>
      <c r="L35" s="514">
        <f t="shared" si="30"/>
        <v>0</v>
      </c>
      <c r="M35" s="525"/>
      <c r="N35" s="514">
        <f t="shared" si="10"/>
        <v>0</v>
      </c>
      <c r="O35" s="514">
        <f t="shared" si="11"/>
        <v>0</v>
      </c>
      <c r="P35" s="272"/>
    </row>
    <row r="36" spans="2:16">
      <c r="B36" s="195" t="str">
        <f t="shared" si="5"/>
        <v/>
      </c>
      <c r="C36" s="507">
        <f>IF(D11="","-",+C35+1)</f>
        <v>2032</v>
      </c>
      <c r="D36" s="523">
        <f>IF(F35+SUM(E$17:E35)=D$10,F35,D$10-SUM(E$17:E35))</f>
        <v>3761447.3688386995</v>
      </c>
      <c r="E36" s="522">
        <f t="shared" si="26"/>
        <v>145221.34090909091</v>
      </c>
      <c r="F36" s="523">
        <f t="shared" si="27"/>
        <v>3616226.0279296087</v>
      </c>
      <c r="G36" s="524">
        <f t="shared" si="28"/>
        <v>586137.41060709115</v>
      </c>
      <c r="H36" s="491">
        <f t="shared" si="29"/>
        <v>586137.41060709115</v>
      </c>
      <c r="I36" s="511">
        <f t="shared" si="6"/>
        <v>0</v>
      </c>
      <c r="J36" s="511"/>
      <c r="K36" s="525"/>
      <c r="L36" s="514">
        <f t="shared" si="30"/>
        <v>0</v>
      </c>
      <c r="M36" s="525"/>
      <c r="N36" s="514">
        <f t="shared" si="10"/>
        <v>0</v>
      </c>
      <c r="O36" s="514">
        <f t="shared" si="11"/>
        <v>0</v>
      </c>
      <c r="P36" s="272"/>
    </row>
    <row r="37" spans="2:16">
      <c r="B37" s="195" t="str">
        <f t="shared" si="5"/>
        <v/>
      </c>
      <c r="C37" s="507">
        <f>IF(D11="","-",+C36+1)</f>
        <v>2033</v>
      </c>
      <c r="D37" s="523">
        <f>IF(F36+SUM(E$17:E36)=D$10,F36,D$10-SUM(E$17:E36))</f>
        <v>3616226.0279296087</v>
      </c>
      <c r="E37" s="522">
        <f t="shared" si="26"/>
        <v>145221.34090909091</v>
      </c>
      <c r="F37" s="523">
        <f t="shared" si="27"/>
        <v>3471004.6870205179</v>
      </c>
      <c r="G37" s="524">
        <f t="shared" si="28"/>
        <v>568779.52027327463</v>
      </c>
      <c r="H37" s="491">
        <f t="shared" si="29"/>
        <v>568779.52027327463</v>
      </c>
      <c r="I37" s="511">
        <f t="shared" si="6"/>
        <v>0</v>
      </c>
      <c r="J37" s="511"/>
      <c r="K37" s="525"/>
      <c r="L37" s="514">
        <f t="shared" si="30"/>
        <v>0</v>
      </c>
      <c r="M37" s="525"/>
      <c r="N37" s="514">
        <f t="shared" si="10"/>
        <v>0</v>
      </c>
      <c r="O37" s="514">
        <f t="shared" si="11"/>
        <v>0</v>
      </c>
      <c r="P37" s="272"/>
    </row>
    <row r="38" spans="2:16">
      <c r="B38" s="195" t="str">
        <f t="shared" si="5"/>
        <v/>
      </c>
      <c r="C38" s="507">
        <f>IF(D11="","-",+C37+1)</f>
        <v>2034</v>
      </c>
      <c r="D38" s="523">
        <f>IF(F37+SUM(E$17:E37)=D$10,F37,D$10-SUM(E$17:E37))</f>
        <v>3471004.6870205179</v>
      </c>
      <c r="E38" s="522">
        <f t="shared" si="26"/>
        <v>145221.34090909091</v>
      </c>
      <c r="F38" s="523">
        <f t="shared" si="27"/>
        <v>3325783.3461114271</v>
      </c>
      <c r="G38" s="524">
        <f t="shared" si="28"/>
        <v>551421.62993945822</v>
      </c>
      <c r="H38" s="491">
        <f t="shared" si="29"/>
        <v>551421.62993945822</v>
      </c>
      <c r="I38" s="511">
        <f t="shared" si="6"/>
        <v>0</v>
      </c>
      <c r="J38" s="511"/>
      <c r="K38" s="525"/>
      <c r="L38" s="514">
        <f t="shared" si="30"/>
        <v>0</v>
      </c>
      <c r="M38" s="525"/>
      <c r="N38" s="514">
        <f t="shared" si="10"/>
        <v>0</v>
      </c>
      <c r="O38" s="514">
        <f t="shared" si="11"/>
        <v>0</v>
      </c>
      <c r="P38" s="272"/>
    </row>
    <row r="39" spans="2:16">
      <c r="B39" s="195" t="str">
        <f t="shared" si="5"/>
        <v/>
      </c>
      <c r="C39" s="507">
        <f>IF(D11="","-",+C38+1)</f>
        <v>2035</v>
      </c>
      <c r="D39" s="523">
        <f>IF(F38+SUM(E$17:E38)=D$10,F38,D$10-SUM(E$17:E38))</f>
        <v>3325783.3461114271</v>
      </c>
      <c r="E39" s="522">
        <f t="shared" si="26"/>
        <v>145221.34090909091</v>
      </c>
      <c r="F39" s="523">
        <f t="shared" si="27"/>
        <v>3180562.0052023362</v>
      </c>
      <c r="G39" s="524">
        <f t="shared" si="28"/>
        <v>534063.73960564181</v>
      </c>
      <c r="H39" s="491">
        <f t="shared" si="29"/>
        <v>534063.73960564181</v>
      </c>
      <c r="I39" s="511">
        <f t="shared" si="6"/>
        <v>0</v>
      </c>
      <c r="J39" s="511"/>
      <c r="K39" s="525"/>
      <c r="L39" s="514">
        <f t="shared" si="30"/>
        <v>0</v>
      </c>
      <c r="M39" s="525"/>
      <c r="N39" s="514">
        <f t="shared" si="10"/>
        <v>0</v>
      </c>
      <c r="O39" s="514">
        <f t="shared" si="11"/>
        <v>0</v>
      </c>
      <c r="P39" s="272"/>
    </row>
    <row r="40" spans="2:16">
      <c r="B40" s="195" t="str">
        <f t="shared" si="5"/>
        <v/>
      </c>
      <c r="C40" s="507">
        <f>IF(D11="","-",+C39+1)</f>
        <v>2036</v>
      </c>
      <c r="D40" s="523">
        <f>IF(F39+SUM(E$17:E39)=D$10,F39,D$10-SUM(E$17:E39))</f>
        <v>3180562.0052023362</v>
      </c>
      <c r="E40" s="522">
        <f t="shared" si="26"/>
        <v>145221.34090909091</v>
      </c>
      <c r="F40" s="523">
        <f t="shared" si="27"/>
        <v>3035340.6642932454</v>
      </c>
      <c r="G40" s="524">
        <f t="shared" si="28"/>
        <v>516705.84927182528</v>
      </c>
      <c r="H40" s="491">
        <f t="shared" si="29"/>
        <v>516705.84927182528</v>
      </c>
      <c r="I40" s="511">
        <f t="shared" si="6"/>
        <v>0</v>
      </c>
      <c r="J40" s="511"/>
      <c r="K40" s="525"/>
      <c r="L40" s="514">
        <f t="shared" si="30"/>
        <v>0</v>
      </c>
      <c r="M40" s="525"/>
      <c r="N40" s="514">
        <f t="shared" si="10"/>
        <v>0</v>
      </c>
      <c r="O40" s="514">
        <f t="shared" si="11"/>
        <v>0</v>
      </c>
      <c r="P40" s="272"/>
    </row>
    <row r="41" spans="2:16">
      <c r="B41" s="195" t="str">
        <f t="shared" si="5"/>
        <v/>
      </c>
      <c r="C41" s="507">
        <f>IF(D11="","-",+C40+1)</f>
        <v>2037</v>
      </c>
      <c r="D41" s="523">
        <f>IF(F40+SUM(E$17:E40)=D$10,F40,D$10-SUM(E$17:E40))</f>
        <v>3035340.6642932454</v>
      </c>
      <c r="E41" s="522">
        <f t="shared" si="26"/>
        <v>145221.34090909091</v>
      </c>
      <c r="F41" s="523">
        <f t="shared" si="27"/>
        <v>2890119.3233841546</v>
      </c>
      <c r="G41" s="524">
        <f t="shared" si="28"/>
        <v>499347.95893800887</v>
      </c>
      <c r="H41" s="491">
        <f t="shared" si="29"/>
        <v>499347.95893800887</v>
      </c>
      <c r="I41" s="511">
        <f t="shared" si="6"/>
        <v>0</v>
      </c>
      <c r="J41" s="511"/>
      <c r="K41" s="525"/>
      <c r="L41" s="514">
        <f t="shared" si="30"/>
        <v>0</v>
      </c>
      <c r="M41" s="525"/>
      <c r="N41" s="514">
        <f t="shared" si="10"/>
        <v>0</v>
      </c>
      <c r="O41" s="514">
        <f t="shared" si="11"/>
        <v>0</v>
      </c>
      <c r="P41" s="272"/>
    </row>
    <row r="42" spans="2:16">
      <c r="B42" s="195" t="str">
        <f t="shared" si="5"/>
        <v/>
      </c>
      <c r="C42" s="507">
        <f>IF(D11="","-",+C41+1)</f>
        <v>2038</v>
      </c>
      <c r="D42" s="523">
        <f>IF(F41+SUM(E$17:E41)=D$10,F41,D$10-SUM(E$17:E41))</f>
        <v>2890119.3233841546</v>
      </c>
      <c r="E42" s="522">
        <f t="shared" si="26"/>
        <v>145221.34090909091</v>
      </c>
      <c r="F42" s="523">
        <f t="shared" si="27"/>
        <v>2744897.9824750638</v>
      </c>
      <c r="G42" s="524">
        <f t="shared" si="28"/>
        <v>481990.06860419235</v>
      </c>
      <c r="H42" s="491">
        <f t="shared" si="29"/>
        <v>481990.06860419235</v>
      </c>
      <c r="I42" s="511">
        <f t="shared" si="6"/>
        <v>0</v>
      </c>
      <c r="J42" s="511"/>
      <c r="K42" s="525"/>
      <c r="L42" s="514">
        <f t="shared" si="30"/>
        <v>0</v>
      </c>
      <c r="M42" s="525"/>
      <c r="N42" s="514">
        <f t="shared" si="10"/>
        <v>0</v>
      </c>
      <c r="O42" s="514">
        <f t="shared" si="11"/>
        <v>0</v>
      </c>
      <c r="P42" s="272"/>
    </row>
    <row r="43" spans="2:16">
      <c r="B43" s="195" t="str">
        <f t="shared" si="5"/>
        <v/>
      </c>
      <c r="C43" s="507">
        <f>IF(D11="","-",+C42+1)</f>
        <v>2039</v>
      </c>
      <c r="D43" s="523">
        <f>IF(F42+SUM(E$17:E42)=D$10,F42,D$10-SUM(E$17:E42))</f>
        <v>2744897.9824750638</v>
      </c>
      <c r="E43" s="522">
        <f t="shared" si="26"/>
        <v>145221.34090909091</v>
      </c>
      <c r="F43" s="523">
        <f t="shared" si="27"/>
        <v>2599676.6415659729</v>
      </c>
      <c r="G43" s="524">
        <f t="shared" si="28"/>
        <v>464632.17827037594</v>
      </c>
      <c r="H43" s="491">
        <f t="shared" si="29"/>
        <v>464632.17827037594</v>
      </c>
      <c r="I43" s="511">
        <f t="shared" si="6"/>
        <v>0</v>
      </c>
      <c r="J43" s="511"/>
      <c r="K43" s="525"/>
      <c r="L43" s="514">
        <f t="shared" si="30"/>
        <v>0</v>
      </c>
      <c r="M43" s="525"/>
      <c r="N43" s="514">
        <f t="shared" si="10"/>
        <v>0</v>
      </c>
      <c r="O43" s="514">
        <f t="shared" si="11"/>
        <v>0</v>
      </c>
      <c r="P43" s="272"/>
    </row>
    <row r="44" spans="2:16">
      <c r="B44" s="195" t="str">
        <f t="shared" si="5"/>
        <v/>
      </c>
      <c r="C44" s="507">
        <f>IF(D11="","-",+C43+1)</f>
        <v>2040</v>
      </c>
      <c r="D44" s="523">
        <f>IF(F43+SUM(E$17:E43)=D$10,F43,D$10-SUM(E$17:E43))</f>
        <v>2599676.6415659729</v>
      </c>
      <c r="E44" s="522">
        <f t="shared" si="26"/>
        <v>145221.34090909091</v>
      </c>
      <c r="F44" s="523">
        <f t="shared" si="27"/>
        <v>2454455.3006568821</v>
      </c>
      <c r="G44" s="524">
        <f t="shared" si="28"/>
        <v>447274.28793655941</v>
      </c>
      <c r="H44" s="491">
        <f t="shared" si="29"/>
        <v>447274.28793655941</v>
      </c>
      <c r="I44" s="511">
        <f t="shared" si="6"/>
        <v>0</v>
      </c>
      <c r="J44" s="511"/>
      <c r="K44" s="525"/>
      <c r="L44" s="514">
        <f t="shared" si="30"/>
        <v>0</v>
      </c>
      <c r="M44" s="525"/>
      <c r="N44" s="514">
        <f t="shared" si="10"/>
        <v>0</v>
      </c>
      <c r="O44" s="514">
        <f t="shared" si="11"/>
        <v>0</v>
      </c>
      <c r="P44" s="272"/>
    </row>
    <row r="45" spans="2:16">
      <c r="B45" s="195" t="str">
        <f t="shared" si="5"/>
        <v/>
      </c>
      <c r="C45" s="507">
        <f>IF(D11="","-",+C44+1)</f>
        <v>2041</v>
      </c>
      <c r="D45" s="523">
        <f>IF(F44+SUM(E$17:E44)=D$10,F44,D$10-SUM(E$17:E44))</f>
        <v>2454455.3006568821</v>
      </c>
      <c r="E45" s="522">
        <f t="shared" si="26"/>
        <v>145221.34090909091</v>
      </c>
      <c r="F45" s="523">
        <f t="shared" si="27"/>
        <v>2309233.9597477913</v>
      </c>
      <c r="G45" s="524">
        <f t="shared" si="28"/>
        <v>429916.397602743</v>
      </c>
      <c r="H45" s="491">
        <f t="shared" si="29"/>
        <v>429916.397602743</v>
      </c>
      <c r="I45" s="511">
        <f t="shared" si="6"/>
        <v>0</v>
      </c>
      <c r="J45" s="511"/>
      <c r="K45" s="525"/>
      <c r="L45" s="514">
        <f t="shared" si="30"/>
        <v>0</v>
      </c>
      <c r="M45" s="525"/>
      <c r="N45" s="514">
        <f t="shared" si="10"/>
        <v>0</v>
      </c>
      <c r="O45" s="514">
        <f t="shared" si="11"/>
        <v>0</v>
      </c>
      <c r="P45" s="272"/>
    </row>
    <row r="46" spans="2:16">
      <c r="B46" s="195" t="str">
        <f t="shared" si="5"/>
        <v/>
      </c>
      <c r="C46" s="507">
        <f>IF(D11="","-",+C45+1)</f>
        <v>2042</v>
      </c>
      <c r="D46" s="523">
        <f>IF(F45+SUM(E$17:E45)=D$10,F45,D$10-SUM(E$17:E45))</f>
        <v>2309233.9597477913</v>
      </c>
      <c r="E46" s="522">
        <f t="shared" si="26"/>
        <v>145221.34090909091</v>
      </c>
      <c r="F46" s="523">
        <f t="shared" si="27"/>
        <v>2164012.6188387005</v>
      </c>
      <c r="G46" s="524">
        <f t="shared" si="28"/>
        <v>412558.50726892648</v>
      </c>
      <c r="H46" s="491">
        <f t="shared" si="29"/>
        <v>412558.50726892648</v>
      </c>
      <c r="I46" s="511">
        <f t="shared" si="6"/>
        <v>0</v>
      </c>
      <c r="J46" s="511"/>
      <c r="K46" s="525"/>
      <c r="L46" s="514">
        <f t="shared" si="30"/>
        <v>0</v>
      </c>
      <c r="M46" s="525"/>
      <c r="N46" s="514">
        <f t="shared" si="10"/>
        <v>0</v>
      </c>
      <c r="O46" s="514">
        <f t="shared" si="11"/>
        <v>0</v>
      </c>
      <c r="P46" s="272"/>
    </row>
    <row r="47" spans="2:16">
      <c r="B47" s="195" t="str">
        <f t="shared" si="5"/>
        <v/>
      </c>
      <c r="C47" s="507">
        <f>IF(D11="","-",+C46+1)</f>
        <v>2043</v>
      </c>
      <c r="D47" s="523">
        <f>IF(F46+SUM(E$17:E46)=D$10,F46,D$10-SUM(E$17:E46))</f>
        <v>2164012.6188387005</v>
      </c>
      <c r="E47" s="522">
        <f t="shared" si="26"/>
        <v>145221.34090909091</v>
      </c>
      <c r="F47" s="523">
        <f t="shared" si="27"/>
        <v>2018791.2779296096</v>
      </c>
      <c r="G47" s="524">
        <f t="shared" si="28"/>
        <v>395200.61693511007</v>
      </c>
      <c r="H47" s="491">
        <f t="shared" si="29"/>
        <v>395200.61693511007</v>
      </c>
      <c r="I47" s="511">
        <f t="shared" si="6"/>
        <v>0</v>
      </c>
      <c r="J47" s="511"/>
      <c r="K47" s="525"/>
      <c r="L47" s="514">
        <f t="shared" si="30"/>
        <v>0</v>
      </c>
      <c r="M47" s="525"/>
      <c r="N47" s="514">
        <f t="shared" si="10"/>
        <v>0</v>
      </c>
      <c r="O47" s="514">
        <f t="shared" si="11"/>
        <v>0</v>
      </c>
      <c r="P47" s="272"/>
    </row>
    <row r="48" spans="2:16">
      <c r="B48" s="195" t="str">
        <f t="shared" si="5"/>
        <v/>
      </c>
      <c r="C48" s="507">
        <f>IF(D11="","-",+C47+1)</f>
        <v>2044</v>
      </c>
      <c r="D48" s="523">
        <f>IF(F47+SUM(E$17:E47)=D$10,F47,D$10-SUM(E$17:E47))</f>
        <v>2018791.2779296096</v>
      </c>
      <c r="E48" s="522">
        <f t="shared" si="26"/>
        <v>145221.34090909091</v>
      </c>
      <c r="F48" s="523">
        <f t="shared" si="27"/>
        <v>1873569.9370205188</v>
      </c>
      <c r="G48" s="524">
        <f t="shared" si="28"/>
        <v>377842.7266012936</v>
      </c>
      <c r="H48" s="491">
        <f t="shared" si="29"/>
        <v>377842.7266012936</v>
      </c>
      <c r="I48" s="511">
        <f t="shared" si="6"/>
        <v>0</v>
      </c>
      <c r="J48" s="511"/>
      <c r="K48" s="525"/>
      <c r="L48" s="514">
        <f t="shared" si="30"/>
        <v>0</v>
      </c>
      <c r="M48" s="525"/>
      <c r="N48" s="514">
        <f t="shared" si="10"/>
        <v>0</v>
      </c>
      <c r="O48" s="514">
        <f t="shared" si="11"/>
        <v>0</v>
      </c>
      <c r="P48" s="272"/>
    </row>
    <row r="49" spans="2:17">
      <c r="B49" s="195" t="str">
        <f t="shared" si="5"/>
        <v/>
      </c>
      <c r="C49" s="507">
        <f>IF(D11="","-",+C48+1)</f>
        <v>2045</v>
      </c>
      <c r="D49" s="523">
        <f>IF(F48+SUM(E$17:E48)=D$10,F48,D$10-SUM(E$17:E48))</f>
        <v>1873569.9370205188</v>
      </c>
      <c r="E49" s="522">
        <f t="shared" si="26"/>
        <v>145221.34090909091</v>
      </c>
      <c r="F49" s="523">
        <f t="shared" si="27"/>
        <v>1728348.596111428</v>
      </c>
      <c r="G49" s="524">
        <f t="shared" si="28"/>
        <v>360484.83626747713</v>
      </c>
      <c r="H49" s="491">
        <f t="shared" si="29"/>
        <v>360484.83626747713</v>
      </c>
      <c r="I49" s="511">
        <f t="shared" si="6"/>
        <v>0</v>
      </c>
      <c r="J49" s="511"/>
      <c r="K49" s="525"/>
      <c r="L49" s="514">
        <f t="shared" si="30"/>
        <v>0</v>
      </c>
      <c r="M49" s="525"/>
      <c r="N49" s="514">
        <f t="shared" si="10"/>
        <v>0</v>
      </c>
      <c r="O49" s="514">
        <f t="shared" si="11"/>
        <v>0</v>
      </c>
      <c r="P49" s="272"/>
    </row>
    <row r="50" spans="2:17">
      <c r="B50" s="195" t="str">
        <f t="shared" si="5"/>
        <v/>
      </c>
      <c r="C50" s="507">
        <f>IF(D11="","-",+C49+1)</f>
        <v>2046</v>
      </c>
      <c r="D50" s="523">
        <f>IF(F49+SUM(E$17:E49)=D$10,F49,D$10-SUM(E$17:E49))</f>
        <v>1728348.596111428</v>
      </c>
      <c r="E50" s="522">
        <f t="shared" si="26"/>
        <v>145221.34090909091</v>
      </c>
      <c r="F50" s="523">
        <f t="shared" si="27"/>
        <v>1583127.2552023372</v>
      </c>
      <c r="G50" s="524">
        <f t="shared" si="28"/>
        <v>343126.94593366067</v>
      </c>
      <c r="H50" s="491">
        <f t="shared" si="29"/>
        <v>343126.94593366067</v>
      </c>
      <c r="I50" s="511">
        <f t="shared" si="6"/>
        <v>0</v>
      </c>
      <c r="J50" s="511"/>
      <c r="K50" s="525"/>
      <c r="L50" s="514">
        <f t="shared" si="30"/>
        <v>0</v>
      </c>
      <c r="M50" s="525"/>
      <c r="N50" s="514">
        <f t="shared" si="10"/>
        <v>0</v>
      </c>
      <c r="O50" s="514">
        <f t="shared" si="11"/>
        <v>0</v>
      </c>
      <c r="P50" s="272"/>
    </row>
    <row r="51" spans="2:17">
      <c r="B51" s="195" t="str">
        <f t="shared" si="5"/>
        <v/>
      </c>
      <c r="C51" s="507">
        <f>IF(D11="","-",+C50+1)</f>
        <v>2047</v>
      </c>
      <c r="D51" s="523">
        <f>IF(F50+SUM(E$17:E50)=D$10,F50,D$10-SUM(E$17:E50))</f>
        <v>1583127.2552023372</v>
      </c>
      <c r="E51" s="522">
        <f t="shared" si="26"/>
        <v>145221.34090909091</v>
      </c>
      <c r="F51" s="523">
        <f t="shared" si="27"/>
        <v>1437905.9142932463</v>
      </c>
      <c r="G51" s="524">
        <f t="shared" si="28"/>
        <v>325769.0555998442</v>
      </c>
      <c r="H51" s="491">
        <f t="shared" si="29"/>
        <v>325769.0555998442</v>
      </c>
      <c r="I51" s="511">
        <f t="shared" si="6"/>
        <v>0</v>
      </c>
      <c r="J51" s="511"/>
      <c r="K51" s="525"/>
      <c r="L51" s="514">
        <f t="shared" si="30"/>
        <v>0</v>
      </c>
      <c r="M51" s="525"/>
      <c r="N51" s="514">
        <f t="shared" si="10"/>
        <v>0</v>
      </c>
      <c r="O51" s="514">
        <f t="shared" si="11"/>
        <v>0</v>
      </c>
      <c r="P51" s="272"/>
    </row>
    <row r="52" spans="2:17">
      <c r="B52" s="195" t="str">
        <f t="shared" si="5"/>
        <v/>
      </c>
      <c r="C52" s="507">
        <f>IF(D11="","-",+C51+1)</f>
        <v>2048</v>
      </c>
      <c r="D52" s="523">
        <f>IF(F51+SUM(E$17:E51)=D$10,F51,D$10-SUM(E$17:E51))</f>
        <v>1437905.9142932463</v>
      </c>
      <c r="E52" s="522">
        <f t="shared" si="26"/>
        <v>145221.34090909091</v>
      </c>
      <c r="F52" s="523">
        <f t="shared" si="27"/>
        <v>1292684.5733841555</v>
      </c>
      <c r="G52" s="524">
        <f t="shared" si="28"/>
        <v>308411.16526602773</v>
      </c>
      <c r="H52" s="491">
        <f t="shared" si="29"/>
        <v>308411.16526602773</v>
      </c>
      <c r="I52" s="511">
        <f t="shared" si="6"/>
        <v>0</v>
      </c>
      <c r="J52" s="511"/>
      <c r="K52" s="525"/>
      <c r="L52" s="514">
        <f t="shared" si="30"/>
        <v>0</v>
      </c>
      <c r="M52" s="525"/>
      <c r="N52" s="514">
        <f t="shared" si="10"/>
        <v>0</v>
      </c>
      <c r="O52" s="514">
        <f t="shared" si="11"/>
        <v>0</v>
      </c>
      <c r="P52" s="272"/>
    </row>
    <row r="53" spans="2:17">
      <c r="B53" s="195" t="str">
        <f t="shared" si="5"/>
        <v/>
      </c>
      <c r="C53" s="507">
        <f>IF(D11="","-",+C52+1)</f>
        <v>2049</v>
      </c>
      <c r="D53" s="523">
        <f>IF(F52+SUM(E$17:E52)=D$10,F52,D$10-SUM(E$17:E52))</f>
        <v>1292684.5733841555</v>
      </c>
      <c r="E53" s="522">
        <f t="shared" si="26"/>
        <v>145221.34090909091</v>
      </c>
      <c r="F53" s="523">
        <f t="shared" si="27"/>
        <v>1147463.2324750647</v>
      </c>
      <c r="G53" s="524">
        <f t="shared" ref="G53:G72" si="31">+I$12*((D53+F53)/2)+E53</f>
        <v>291053.27493221126</v>
      </c>
      <c r="H53" s="491">
        <f t="shared" ref="H53:H72" si="32">+I$13*((D53+F53)/2)+E53</f>
        <v>291053.27493221126</v>
      </c>
      <c r="I53" s="511">
        <f t="shared" si="6"/>
        <v>0</v>
      </c>
      <c r="J53" s="511"/>
      <c r="K53" s="525"/>
      <c r="L53" s="514">
        <f t="shared" si="30"/>
        <v>0</v>
      </c>
      <c r="M53" s="525"/>
      <c r="N53" s="514">
        <f t="shared" si="10"/>
        <v>0</v>
      </c>
      <c r="O53" s="514">
        <f t="shared" si="11"/>
        <v>0</v>
      </c>
      <c r="P53" s="272"/>
    </row>
    <row r="54" spans="2:17">
      <c r="B54" s="195" t="str">
        <f t="shared" si="5"/>
        <v/>
      </c>
      <c r="C54" s="507">
        <f>IF(D11="","-",+C53+1)</f>
        <v>2050</v>
      </c>
      <c r="D54" s="523">
        <f>IF(F53+SUM(E$17:E53)=D$10,F53,D$10-SUM(E$17:E53))</f>
        <v>1147463.2324750647</v>
      </c>
      <c r="E54" s="522">
        <f t="shared" si="26"/>
        <v>145221.34090909091</v>
      </c>
      <c r="F54" s="523">
        <f t="shared" si="27"/>
        <v>1002241.8915659738</v>
      </c>
      <c r="G54" s="524">
        <f t="shared" si="31"/>
        <v>273695.3845983948</v>
      </c>
      <c r="H54" s="491">
        <f t="shared" si="32"/>
        <v>273695.3845983948</v>
      </c>
      <c r="I54" s="511">
        <f t="shared" si="6"/>
        <v>0</v>
      </c>
      <c r="J54" s="511"/>
      <c r="K54" s="525"/>
      <c r="L54" s="514">
        <f t="shared" si="30"/>
        <v>0</v>
      </c>
      <c r="M54" s="525"/>
      <c r="N54" s="514">
        <f t="shared" si="10"/>
        <v>0</v>
      </c>
      <c r="O54" s="514">
        <f t="shared" si="11"/>
        <v>0</v>
      </c>
      <c r="P54" s="272"/>
    </row>
    <row r="55" spans="2:17">
      <c r="B55" s="195" t="str">
        <f t="shared" si="5"/>
        <v/>
      </c>
      <c r="C55" s="507">
        <f>IF(D11="","-",+C54+1)</f>
        <v>2051</v>
      </c>
      <c r="D55" s="523">
        <f>IF(F54+SUM(E$17:E54)=D$10,F54,D$10-SUM(E$17:E54))</f>
        <v>1002241.8915659738</v>
      </c>
      <c r="E55" s="522">
        <f t="shared" si="26"/>
        <v>145221.34090909091</v>
      </c>
      <c r="F55" s="523">
        <f t="shared" si="27"/>
        <v>857020.55065688281</v>
      </c>
      <c r="G55" s="524">
        <f t="shared" si="31"/>
        <v>256337.49426457833</v>
      </c>
      <c r="H55" s="491">
        <f t="shared" si="32"/>
        <v>256337.49426457833</v>
      </c>
      <c r="I55" s="511">
        <f t="shared" si="6"/>
        <v>0</v>
      </c>
      <c r="J55" s="511"/>
      <c r="K55" s="525"/>
      <c r="L55" s="514">
        <f t="shared" si="30"/>
        <v>0</v>
      </c>
      <c r="M55" s="525"/>
      <c r="N55" s="514">
        <f t="shared" si="10"/>
        <v>0</v>
      </c>
      <c r="O55" s="514">
        <f t="shared" si="11"/>
        <v>0</v>
      </c>
      <c r="P55" s="272"/>
    </row>
    <row r="56" spans="2:17">
      <c r="B56" s="195" t="str">
        <f t="shared" si="5"/>
        <v/>
      </c>
      <c r="C56" s="507">
        <f>IF(D11="","-",+C55+1)</f>
        <v>2052</v>
      </c>
      <c r="D56" s="523">
        <f>IF(F55+SUM(E$17:E55)=D$10,F55,D$10-SUM(E$17:E55))</f>
        <v>857020.55065688281</v>
      </c>
      <c r="E56" s="522">
        <f t="shared" si="26"/>
        <v>145221.34090909091</v>
      </c>
      <c r="F56" s="523">
        <f t="shared" si="27"/>
        <v>711799.20974779187</v>
      </c>
      <c r="G56" s="524">
        <f t="shared" si="31"/>
        <v>238979.60393076186</v>
      </c>
      <c r="H56" s="491">
        <f t="shared" si="32"/>
        <v>238979.60393076186</v>
      </c>
      <c r="I56" s="511">
        <f t="shared" si="6"/>
        <v>0</v>
      </c>
      <c r="J56" s="511"/>
      <c r="K56" s="525"/>
      <c r="L56" s="514">
        <f t="shared" si="30"/>
        <v>0</v>
      </c>
      <c r="M56" s="525"/>
      <c r="N56" s="514">
        <f t="shared" si="10"/>
        <v>0</v>
      </c>
      <c r="O56" s="514">
        <f t="shared" si="11"/>
        <v>0</v>
      </c>
      <c r="P56" s="272"/>
    </row>
    <row r="57" spans="2:17">
      <c r="B57" s="195" t="str">
        <f t="shared" si="5"/>
        <v/>
      </c>
      <c r="C57" s="507">
        <f>IF(D11="","-",+C56+1)</f>
        <v>2053</v>
      </c>
      <c r="D57" s="523">
        <f>IF(F56+SUM(E$17:E56)=D$10,F56,D$10-SUM(E$17:E56))</f>
        <v>711799.20974779187</v>
      </c>
      <c r="E57" s="522">
        <f t="shared" si="26"/>
        <v>145221.34090909091</v>
      </c>
      <c r="F57" s="523">
        <f t="shared" si="27"/>
        <v>566577.86883870093</v>
      </c>
      <c r="G57" s="524">
        <f t="shared" si="31"/>
        <v>221621.7135969454</v>
      </c>
      <c r="H57" s="491">
        <f t="shared" si="32"/>
        <v>221621.7135969454</v>
      </c>
      <c r="I57" s="511">
        <f t="shared" si="6"/>
        <v>0</v>
      </c>
      <c r="J57" s="511"/>
      <c r="K57" s="525"/>
      <c r="L57" s="514">
        <f t="shared" si="30"/>
        <v>0</v>
      </c>
      <c r="M57" s="525"/>
      <c r="N57" s="514">
        <f t="shared" si="10"/>
        <v>0</v>
      </c>
      <c r="O57" s="514">
        <f t="shared" si="11"/>
        <v>0</v>
      </c>
      <c r="P57" s="272"/>
    </row>
    <row r="58" spans="2:17">
      <c r="B58" s="195" t="str">
        <f t="shared" si="5"/>
        <v/>
      </c>
      <c r="C58" s="507">
        <f>IF(D11="","-",+C57+1)</f>
        <v>2054</v>
      </c>
      <c r="D58" s="523">
        <f>IF(F57+SUM(E$17:E57)=D$10,F57,D$10-SUM(E$17:E57))</f>
        <v>566577.86883870093</v>
      </c>
      <c r="E58" s="522">
        <f t="shared" si="26"/>
        <v>145221.34090909091</v>
      </c>
      <c r="F58" s="523">
        <f t="shared" si="27"/>
        <v>421356.52792960999</v>
      </c>
      <c r="G58" s="524">
        <f t="shared" si="31"/>
        <v>204263.8232631289</v>
      </c>
      <c r="H58" s="491">
        <f t="shared" si="32"/>
        <v>204263.8232631289</v>
      </c>
      <c r="I58" s="511">
        <f t="shared" si="6"/>
        <v>0</v>
      </c>
      <c r="J58" s="511"/>
      <c r="K58" s="525"/>
      <c r="L58" s="514">
        <f t="shared" si="30"/>
        <v>0</v>
      </c>
      <c r="M58" s="525"/>
      <c r="N58" s="514">
        <f t="shared" si="10"/>
        <v>0</v>
      </c>
      <c r="O58" s="514">
        <f t="shared" si="11"/>
        <v>0</v>
      </c>
      <c r="P58" s="272"/>
      <c r="Q58" s="183" t="str">
        <f>IF(ROUND(Q57,0)=ROUND(SUM(Q18:Q56),0),"","Error -- check allocations above).")</f>
        <v/>
      </c>
    </row>
    <row r="59" spans="2:17">
      <c r="B59" s="195" t="str">
        <f t="shared" si="5"/>
        <v/>
      </c>
      <c r="C59" s="507">
        <f>IF(D11="","-",+C58+1)</f>
        <v>2055</v>
      </c>
      <c r="D59" s="523">
        <f>IF(F58+SUM(E$17:E58)=D$10,F58,D$10-SUM(E$17:E58))</f>
        <v>421356.52792960999</v>
      </c>
      <c r="E59" s="522">
        <f t="shared" si="26"/>
        <v>145221.34090909091</v>
      </c>
      <c r="F59" s="523">
        <f t="shared" si="27"/>
        <v>276135.18702051905</v>
      </c>
      <c r="G59" s="524">
        <f t="shared" si="31"/>
        <v>186905.93292931243</v>
      </c>
      <c r="H59" s="491">
        <f t="shared" si="32"/>
        <v>186905.93292931243</v>
      </c>
      <c r="I59" s="511">
        <f t="shared" si="6"/>
        <v>0</v>
      </c>
      <c r="J59" s="511"/>
      <c r="K59" s="525"/>
      <c r="L59" s="514">
        <f t="shared" si="30"/>
        <v>0</v>
      </c>
      <c r="M59" s="525"/>
      <c r="N59" s="514">
        <f t="shared" si="10"/>
        <v>0</v>
      </c>
      <c r="O59" s="514">
        <f t="shared" si="11"/>
        <v>0</v>
      </c>
      <c r="P59" s="272"/>
    </row>
    <row r="60" spans="2:17">
      <c r="B60" s="195" t="str">
        <f t="shared" si="5"/>
        <v/>
      </c>
      <c r="C60" s="507">
        <f>IF(D11="","-",+C59+1)</f>
        <v>2056</v>
      </c>
      <c r="D60" s="523">
        <f>IF(F59+SUM(E$17:E59)=D$10,F59,D$10-SUM(E$17:E59))</f>
        <v>276135.18702051905</v>
      </c>
      <c r="E60" s="522">
        <f t="shared" si="26"/>
        <v>145221.34090909091</v>
      </c>
      <c r="F60" s="523">
        <f t="shared" si="27"/>
        <v>130913.84611142814</v>
      </c>
      <c r="G60" s="524">
        <f t="shared" si="31"/>
        <v>169548.04259549596</v>
      </c>
      <c r="H60" s="491">
        <f t="shared" si="32"/>
        <v>169548.04259549596</v>
      </c>
      <c r="I60" s="511">
        <f t="shared" si="6"/>
        <v>0</v>
      </c>
      <c r="J60" s="511"/>
      <c r="K60" s="525"/>
      <c r="L60" s="514">
        <f t="shared" si="30"/>
        <v>0</v>
      </c>
      <c r="M60" s="525"/>
      <c r="N60" s="514">
        <f t="shared" si="10"/>
        <v>0</v>
      </c>
      <c r="O60" s="514">
        <f t="shared" si="11"/>
        <v>0</v>
      </c>
      <c r="P60" s="272"/>
    </row>
    <row r="61" spans="2:17">
      <c r="B61" s="195" t="str">
        <f t="shared" si="5"/>
        <v/>
      </c>
      <c r="C61" s="507">
        <f>IF(D11="","-",+C60+1)</f>
        <v>2057</v>
      </c>
      <c r="D61" s="523">
        <f>IF(F60+SUM(E$17:E60)=D$10,F60,D$10-SUM(E$17:E60))</f>
        <v>130913.84611142814</v>
      </c>
      <c r="E61" s="522">
        <f t="shared" si="26"/>
        <v>130913.84611142814</v>
      </c>
      <c r="F61" s="523">
        <f t="shared" si="27"/>
        <v>0</v>
      </c>
      <c r="G61" s="524">
        <f t="shared" si="31"/>
        <v>138737.72437117653</v>
      </c>
      <c r="H61" s="491">
        <f t="shared" si="32"/>
        <v>138737.72437117653</v>
      </c>
      <c r="I61" s="511">
        <f t="shared" si="6"/>
        <v>0</v>
      </c>
      <c r="J61" s="511"/>
      <c r="K61" s="525"/>
      <c r="L61" s="514">
        <f t="shared" si="30"/>
        <v>0</v>
      </c>
      <c r="M61" s="525"/>
      <c r="N61" s="514">
        <f t="shared" si="10"/>
        <v>0</v>
      </c>
      <c r="O61" s="514">
        <f t="shared" si="11"/>
        <v>0</v>
      </c>
      <c r="P61" s="272"/>
    </row>
    <row r="62" spans="2:17">
      <c r="B62" s="195" t="str">
        <f t="shared" si="5"/>
        <v/>
      </c>
      <c r="C62" s="507">
        <f>IF(D11="","-",+C61+1)</f>
        <v>2058</v>
      </c>
      <c r="D62" s="523">
        <f>IF(F61+SUM(E$17:E61)=D$10,F61,D$10-SUM(E$17:E61))</f>
        <v>0</v>
      </c>
      <c r="E62" s="522">
        <f t="shared" si="26"/>
        <v>0</v>
      </c>
      <c r="F62" s="523">
        <f t="shared" si="27"/>
        <v>0</v>
      </c>
      <c r="G62" s="524">
        <f t="shared" si="31"/>
        <v>0</v>
      </c>
      <c r="H62" s="491">
        <f t="shared" si="32"/>
        <v>0</v>
      </c>
      <c r="I62" s="511">
        <f t="shared" si="6"/>
        <v>0</v>
      </c>
      <c r="J62" s="511"/>
      <c r="K62" s="525"/>
      <c r="L62" s="514">
        <f t="shared" si="30"/>
        <v>0</v>
      </c>
      <c r="M62" s="525"/>
      <c r="N62" s="514">
        <f t="shared" si="10"/>
        <v>0</v>
      </c>
      <c r="O62" s="514">
        <f t="shared" si="11"/>
        <v>0</v>
      </c>
      <c r="P62" s="272"/>
    </row>
    <row r="63" spans="2:17">
      <c r="B63" s="195" t="str">
        <f t="shared" si="5"/>
        <v/>
      </c>
      <c r="C63" s="507">
        <f>IF(D11="","-",+C62+1)</f>
        <v>2059</v>
      </c>
      <c r="D63" s="523">
        <f>IF(F62+SUM(E$17:E62)=D$10,F62,D$10-SUM(E$17:E62))</f>
        <v>0</v>
      </c>
      <c r="E63" s="522">
        <f t="shared" si="26"/>
        <v>0</v>
      </c>
      <c r="F63" s="523">
        <f t="shared" si="27"/>
        <v>0</v>
      </c>
      <c r="G63" s="524">
        <f t="shared" si="31"/>
        <v>0</v>
      </c>
      <c r="H63" s="491">
        <f t="shared" si="32"/>
        <v>0</v>
      </c>
      <c r="I63" s="511">
        <f t="shared" si="6"/>
        <v>0</v>
      </c>
      <c r="J63" s="511"/>
      <c r="K63" s="525"/>
      <c r="L63" s="514">
        <f t="shared" si="30"/>
        <v>0</v>
      </c>
      <c r="M63" s="525"/>
      <c r="N63" s="514">
        <f t="shared" si="10"/>
        <v>0</v>
      </c>
      <c r="O63" s="514">
        <f t="shared" si="11"/>
        <v>0</v>
      </c>
      <c r="P63" s="272"/>
    </row>
    <row r="64" spans="2:17">
      <c r="B64" s="195" t="str">
        <f t="shared" si="5"/>
        <v/>
      </c>
      <c r="C64" s="507">
        <f>IF(D11="","-",+C63+1)</f>
        <v>2060</v>
      </c>
      <c r="D64" s="523">
        <f>IF(F63+SUM(E$17:E63)=D$10,F63,D$10-SUM(E$17:E63))</f>
        <v>0</v>
      </c>
      <c r="E64" s="522">
        <f t="shared" si="26"/>
        <v>0</v>
      </c>
      <c r="F64" s="523">
        <f t="shared" si="27"/>
        <v>0</v>
      </c>
      <c r="G64" s="524">
        <f t="shared" si="31"/>
        <v>0</v>
      </c>
      <c r="H64" s="491">
        <f t="shared" si="32"/>
        <v>0</v>
      </c>
      <c r="I64" s="511">
        <f t="shared" si="6"/>
        <v>0</v>
      </c>
      <c r="J64" s="511"/>
      <c r="K64" s="525"/>
      <c r="L64" s="514">
        <f t="shared" si="30"/>
        <v>0</v>
      </c>
      <c r="M64" s="525"/>
      <c r="N64" s="514">
        <f t="shared" si="10"/>
        <v>0</v>
      </c>
      <c r="O64" s="514">
        <f t="shared" si="11"/>
        <v>0</v>
      </c>
      <c r="P64" s="272"/>
    </row>
    <row r="65" spans="2:16">
      <c r="B65" s="195" t="str">
        <f t="shared" si="5"/>
        <v/>
      </c>
      <c r="C65" s="507">
        <f>IF(D11="","-",+C64+1)</f>
        <v>2061</v>
      </c>
      <c r="D65" s="523">
        <f>IF(F64+SUM(E$17:E64)=D$10,F64,D$10-SUM(E$17:E64))</f>
        <v>0</v>
      </c>
      <c r="E65" s="522">
        <f t="shared" si="26"/>
        <v>0</v>
      </c>
      <c r="F65" s="523">
        <f t="shared" si="27"/>
        <v>0</v>
      </c>
      <c r="G65" s="524">
        <f t="shared" si="31"/>
        <v>0</v>
      </c>
      <c r="H65" s="491">
        <f t="shared" si="32"/>
        <v>0</v>
      </c>
      <c r="I65" s="511">
        <f t="shared" si="6"/>
        <v>0</v>
      </c>
      <c r="J65" s="511"/>
      <c r="K65" s="525"/>
      <c r="L65" s="514">
        <f t="shared" si="30"/>
        <v>0</v>
      </c>
      <c r="M65" s="525"/>
      <c r="N65" s="514">
        <f t="shared" si="10"/>
        <v>0</v>
      </c>
      <c r="O65" s="514">
        <f t="shared" si="11"/>
        <v>0</v>
      </c>
      <c r="P65" s="272"/>
    </row>
    <row r="66" spans="2:16">
      <c r="B66" s="195" t="str">
        <f t="shared" si="5"/>
        <v/>
      </c>
      <c r="C66" s="507">
        <f>IF(D11="","-",+C65+1)</f>
        <v>2062</v>
      </c>
      <c r="D66" s="523">
        <f>IF(F65+SUM(E$17:E65)=D$10,F65,D$10-SUM(E$17:E65))</f>
        <v>0</v>
      </c>
      <c r="E66" s="522">
        <f t="shared" si="26"/>
        <v>0</v>
      </c>
      <c r="F66" s="523">
        <f t="shared" si="27"/>
        <v>0</v>
      </c>
      <c r="G66" s="524">
        <f t="shared" si="31"/>
        <v>0</v>
      </c>
      <c r="H66" s="491">
        <f t="shared" si="32"/>
        <v>0</v>
      </c>
      <c r="I66" s="511">
        <f t="shared" si="6"/>
        <v>0</v>
      </c>
      <c r="J66" s="511"/>
      <c r="K66" s="525"/>
      <c r="L66" s="514">
        <f t="shared" si="30"/>
        <v>0</v>
      </c>
      <c r="M66" s="525"/>
      <c r="N66" s="514">
        <f t="shared" si="10"/>
        <v>0</v>
      </c>
      <c r="O66" s="514">
        <f t="shared" si="11"/>
        <v>0</v>
      </c>
      <c r="P66" s="272"/>
    </row>
    <row r="67" spans="2:16">
      <c r="B67" s="195" t="str">
        <f t="shared" si="5"/>
        <v/>
      </c>
      <c r="C67" s="507">
        <f>IF(D11="","-",+C66+1)</f>
        <v>2063</v>
      </c>
      <c r="D67" s="523">
        <f>IF(F66+SUM(E$17:E66)=D$10,F66,D$10-SUM(E$17:E66))</f>
        <v>0</v>
      </c>
      <c r="E67" s="522">
        <f t="shared" si="26"/>
        <v>0</v>
      </c>
      <c r="F67" s="523">
        <f t="shared" si="27"/>
        <v>0</v>
      </c>
      <c r="G67" s="524">
        <f t="shared" si="31"/>
        <v>0</v>
      </c>
      <c r="H67" s="491">
        <f t="shared" si="32"/>
        <v>0</v>
      </c>
      <c r="I67" s="511">
        <f t="shared" si="6"/>
        <v>0</v>
      </c>
      <c r="J67" s="511"/>
      <c r="K67" s="525"/>
      <c r="L67" s="514">
        <f t="shared" si="30"/>
        <v>0</v>
      </c>
      <c r="M67" s="525"/>
      <c r="N67" s="514">
        <f t="shared" si="10"/>
        <v>0</v>
      </c>
      <c r="O67" s="514">
        <f t="shared" si="11"/>
        <v>0</v>
      </c>
      <c r="P67" s="272"/>
    </row>
    <row r="68" spans="2:16">
      <c r="B68" s="195" t="str">
        <f t="shared" si="5"/>
        <v/>
      </c>
      <c r="C68" s="507">
        <f>IF(D11="","-",+C67+1)</f>
        <v>2064</v>
      </c>
      <c r="D68" s="523">
        <f>IF(F67+SUM(E$17:E67)=D$10,F67,D$10-SUM(E$17:E67))</f>
        <v>0</v>
      </c>
      <c r="E68" s="522">
        <f t="shared" si="26"/>
        <v>0</v>
      </c>
      <c r="F68" s="523">
        <f t="shared" si="27"/>
        <v>0</v>
      </c>
      <c r="G68" s="524">
        <f t="shared" si="31"/>
        <v>0</v>
      </c>
      <c r="H68" s="491">
        <f t="shared" si="32"/>
        <v>0</v>
      </c>
      <c r="I68" s="511">
        <f t="shared" si="6"/>
        <v>0</v>
      </c>
      <c r="J68" s="511"/>
      <c r="K68" s="525"/>
      <c r="L68" s="514">
        <f t="shared" si="30"/>
        <v>0</v>
      </c>
      <c r="M68" s="525"/>
      <c r="N68" s="514">
        <f t="shared" si="10"/>
        <v>0</v>
      </c>
      <c r="O68" s="514">
        <f t="shared" si="11"/>
        <v>0</v>
      </c>
      <c r="P68" s="272"/>
    </row>
    <row r="69" spans="2:16">
      <c r="B69" s="195" t="str">
        <f t="shared" si="5"/>
        <v/>
      </c>
      <c r="C69" s="507">
        <f>IF(D11="","-",+C68+1)</f>
        <v>2065</v>
      </c>
      <c r="D69" s="523">
        <f>IF(F68+SUM(E$17:E68)=D$10,F68,D$10-SUM(E$17:E68))</f>
        <v>0</v>
      </c>
      <c r="E69" s="522">
        <f t="shared" si="26"/>
        <v>0</v>
      </c>
      <c r="F69" s="523">
        <f t="shared" si="27"/>
        <v>0</v>
      </c>
      <c r="G69" s="524">
        <f t="shared" si="31"/>
        <v>0</v>
      </c>
      <c r="H69" s="491">
        <f t="shared" si="32"/>
        <v>0</v>
      </c>
      <c r="I69" s="511">
        <f t="shared" si="6"/>
        <v>0</v>
      </c>
      <c r="J69" s="511"/>
      <c r="K69" s="525"/>
      <c r="L69" s="514">
        <f t="shared" si="30"/>
        <v>0</v>
      </c>
      <c r="M69" s="525"/>
      <c r="N69" s="514">
        <f t="shared" si="10"/>
        <v>0</v>
      </c>
      <c r="O69" s="514">
        <f t="shared" si="11"/>
        <v>0</v>
      </c>
      <c r="P69" s="272"/>
    </row>
    <row r="70" spans="2:16">
      <c r="B70" s="195" t="str">
        <f t="shared" si="5"/>
        <v/>
      </c>
      <c r="C70" s="507">
        <f>IF(D11="","-",+C69+1)</f>
        <v>2066</v>
      </c>
      <c r="D70" s="523">
        <f>IF(F69+SUM(E$17:E69)=D$10,F69,D$10-SUM(E$17:E69))</f>
        <v>0</v>
      </c>
      <c r="E70" s="522">
        <f t="shared" si="26"/>
        <v>0</v>
      </c>
      <c r="F70" s="523">
        <f t="shared" si="27"/>
        <v>0</v>
      </c>
      <c r="G70" s="524">
        <f t="shared" si="31"/>
        <v>0</v>
      </c>
      <c r="H70" s="491">
        <f t="shared" si="32"/>
        <v>0</v>
      </c>
      <c r="I70" s="511">
        <f t="shared" si="6"/>
        <v>0</v>
      </c>
      <c r="J70" s="511"/>
      <c r="K70" s="525"/>
      <c r="L70" s="514">
        <f t="shared" si="30"/>
        <v>0</v>
      </c>
      <c r="M70" s="525"/>
      <c r="N70" s="514">
        <f t="shared" si="10"/>
        <v>0</v>
      </c>
      <c r="O70" s="514">
        <f t="shared" si="11"/>
        <v>0</v>
      </c>
      <c r="P70" s="272"/>
    </row>
    <row r="71" spans="2:16">
      <c r="B71" s="195" t="str">
        <f t="shared" si="5"/>
        <v/>
      </c>
      <c r="C71" s="507">
        <f>IF(D11="","-",+C70+1)</f>
        <v>2067</v>
      </c>
      <c r="D71" s="523">
        <f>IF(F70+SUM(E$17:E70)=D$10,F70,D$10-SUM(E$17:E70))</f>
        <v>0</v>
      </c>
      <c r="E71" s="522">
        <f t="shared" si="26"/>
        <v>0</v>
      </c>
      <c r="F71" s="523">
        <f t="shared" si="27"/>
        <v>0</v>
      </c>
      <c r="G71" s="524">
        <f t="shared" si="31"/>
        <v>0</v>
      </c>
      <c r="H71" s="491">
        <f t="shared" si="32"/>
        <v>0</v>
      </c>
      <c r="I71" s="511">
        <f t="shared" si="6"/>
        <v>0</v>
      </c>
      <c r="J71" s="511"/>
      <c r="K71" s="525"/>
      <c r="L71" s="514">
        <f t="shared" si="30"/>
        <v>0</v>
      </c>
      <c r="M71" s="525"/>
      <c r="N71" s="514">
        <f t="shared" si="10"/>
        <v>0</v>
      </c>
      <c r="O71" s="514">
        <f t="shared" si="11"/>
        <v>0</v>
      </c>
      <c r="P71" s="272"/>
    </row>
    <row r="72" spans="2:16" ht="13.5" thickBot="1">
      <c r="B72" s="195" t="str">
        <f t="shared" si="5"/>
        <v/>
      </c>
      <c r="C72" s="527">
        <f>IF(D11="","-",+C71+1)</f>
        <v>2068</v>
      </c>
      <c r="D72" s="523">
        <f>IF(F71+SUM(E$17:E71)=D$10,F71,D$10-SUM(E$17:E71))</f>
        <v>0</v>
      </c>
      <c r="E72" s="522">
        <f t="shared" si="26"/>
        <v>0</v>
      </c>
      <c r="F72" s="523">
        <f t="shared" si="27"/>
        <v>0</v>
      </c>
      <c r="G72" s="524">
        <f t="shared" si="31"/>
        <v>0</v>
      </c>
      <c r="H72" s="491">
        <f t="shared" si="32"/>
        <v>0</v>
      </c>
      <c r="I72" s="511">
        <f t="shared" si="6"/>
        <v>0</v>
      </c>
      <c r="J72" s="511"/>
      <c r="K72" s="532"/>
      <c r="L72" s="533">
        <f t="shared" si="30"/>
        <v>0</v>
      </c>
      <c r="M72" s="532"/>
      <c r="N72" s="533">
        <f t="shared" si="10"/>
        <v>0</v>
      </c>
      <c r="O72" s="533">
        <f t="shared" si="11"/>
        <v>0</v>
      </c>
      <c r="P72" s="272"/>
    </row>
    <row r="73" spans="2:16">
      <c r="C73" s="374" t="s">
        <v>78</v>
      </c>
      <c r="D73" s="375"/>
      <c r="E73" s="375">
        <f>SUM(E17:E72)</f>
        <v>6389739</v>
      </c>
      <c r="F73" s="375"/>
      <c r="G73" s="375">
        <f>SUM(G17:G72)</f>
        <v>22322966.249845684</v>
      </c>
      <c r="H73" s="375">
        <f>SUM(H17:H72)</f>
        <v>22322966.249845684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2:16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2:16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2:16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2:16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272"/>
      <c r="P77" s="272"/>
    </row>
    <row r="78" spans="2:16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2:16"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  <c r="O79" s="269"/>
      <c r="P79" s="269"/>
    </row>
    <row r="80" spans="2:16" ht="18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7">
      <c r="B81" s="269"/>
      <c r="C81" s="340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7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  <c r="Q82" s="269"/>
    </row>
    <row r="83" spans="1:17" ht="20.25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451" t="str">
        <f ca="1">P1</f>
        <v>SWEPCO Project 36 of 75</v>
      </c>
      <c r="Q83" s="269"/>
    </row>
    <row r="84" spans="1:17" ht="18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538" t="s">
        <v>128</v>
      </c>
      <c r="Q84" s="269"/>
    </row>
    <row r="85" spans="1:17" ht="18.7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  <c r="Q85" s="269"/>
    </row>
    <row r="86" spans="1:17" ht="15.75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2022</v>
      </c>
      <c r="M86" s="541" t="s">
        <v>9</v>
      </c>
      <c r="N86" s="542" t="s">
        <v>159</v>
      </c>
      <c r="O86" s="543" t="s">
        <v>11</v>
      </c>
      <c r="P86" s="269"/>
      <c r="Q86" s="269"/>
    </row>
    <row r="87" spans="1:17" ht="1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391</v>
      </c>
      <c r="M87" s="546">
        <f>IF(J92&lt;D11,0,VLOOKUP(J92,C17:O72,9))</f>
        <v>731383.75654612202</v>
      </c>
      <c r="N87" s="546">
        <f>IF(J92&lt;D11,0,VLOOKUP(J92,C17:O72,11))</f>
        <v>731383.75654612202</v>
      </c>
      <c r="O87" s="547">
        <f>+N87-M87</f>
        <v>0</v>
      </c>
      <c r="P87" s="269"/>
      <c r="Q87" s="269"/>
    </row>
    <row r="88" spans="1:17" ht="15.7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392</v>
      </c>
      <c r="M88" s="550">
        <f>IF(J92&lt;D11,0,VLOOKUP(J92,C99:P154,6))</f>
        <v>747624.7630958549</v>
      </c>
      <c r="N88" s="550">
        <f>IF(J92&lt;D11,0,VLOOKUP(J92,C99:P154,7))</f>
        <v>747624.7630958549</v>
      </c>
      <c r="O88" s="551">
        <f>+N88-M88</f>
        <v>0</v>
      </c>
      <c r="P88" s="269"/>
      <c r="Q88" s="269"/>
    </row>
    <row r="89" spans="1:17" ht="13.5" thickBot="1">
      <c r="C89" s="467" t="s">
        <v>84</v>
      </c>
      <c r="D89" s="552" t="str">
        <f>+D7</f>
        <v>Osburn 161 kV Line Work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16241.006549732876</v>
      </c>
      <c r="N89" s="555">
        <f>+N88-N87</f>
        <v>16241.006549732876</v>
      </c>
      <c r="O89" s="556">
        <f>+O88-O87</f>
        <v>0</v>
      </c>
      <c r="P89" s="269"/>
      <c r="Q89" s="269"/>
    </row>
    <row r="90" spans="1:17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  <c r="Q90" s="269"/>
    </row>
    <row r="91" spans="1:17" ht="13.5" thickBot="1">
      <c r="A91" s="191"/>
      <c r="C91" s="558" t="s">
        <v>85</v>
      </c>
      <c r="D91" s="559" t="str">
        <f>+D9</f>
        <v>TP______</v>
      </c>
      <c r="E91" s="560"/>
      <c r="F91" s="560"/>
      <c r="G91" s="560"/>
      <c r="H91" s="560"/>
      <c r="I91" s="560"/>
      <c r="J91" s="560"/>
      <c r="K91" s="562"/>
      <c r="P91" s="481"/>
      <c r="Q91" s="269"/>
    </row>
    <row r="92" spans="1:17">
      <c r="C92" s="486" t="s">
        <v>51</v>
      </c>
      <c r="D92" s="628">
        <f>D10</f>
        <v>6389739</v>
      </c>
      <c r="E92" s="340" t="s">
        <v>86</v>
      </c>
      <c r="H92" s="484"/>
      <c r="I92" s="484"/>
      <c r="J92" s="485">
        <f>+'SWE.WS.G.BPU.ATRR.True-up'!M16</f>
        <v>2022</v>
      </c>
      <c r="K92" s="480"/>
      <c r="L92" s="375" t="s">
        <v>87</v>
      </c>
      <c r="P92" s="272"/>
      <c r="Q92" s="269"/>
    </row>
    <row r="93" spans="1:17">
      <c r="C93" s="486" t="s">
        <v>54</v>
      </c>
      <c r="D93" s="636" t="s">
        <v>369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  <c r="Q93" s="269"/>
    </row>
    <row r="94" spans="1:17">
      <c r="C94" s="486" t="s">
        <v>56</v>
      </c>
      <c r="D94" s="564">
        <f>D12</f>
        <v>9</v>
      </c>
      <c r="E94" s="486" t="s">
        <v>57</v>
      </c>
      <c r="F94" s="484"/>
      <c r="G94" s="484"/>
      <c r="J94" s="490">
        <f>'SWE.WS.G.BPU.ATRR.True-up'!$F$81</f>
        <v>0.11351422637179906</v>
      </c>
      <c r="K94" s="425"/>
      <c r="L94" s="183" t="s">
        <v>88</v>
      </c>
      <c r="P94" s="272"/>
      <c r="Q94" s="269"/>
    </row>
    <row r="95" spans="1:17">
      <c r="C95" s="486" t="s">
        <v>59</v>
      </c>
      <c r="D95" s="488">
        <f>'SWE.WS.G.BPU.ATRR.True-up'!F$93</f>
        <v>41</v>
      </c>
      <c r="E95" s="486" t="s">
        <v>60</v>
      </c>
      <c r="F95" s="484"/>
      <c r="G95" s="484"/>
      <c r="J95" s="490">
        <f>IF(H87="",J94,'SWE.WS.G.BPU.ATRR.True-up'!$F$80)</f>
        <v>0.11351422637179906</v>
      </c>
      <c r="K95" s="324"/>
      <c r="L95" s="375" t="s">
        <v>61</v>
      </c>
      <c r="M95" s="324"/>
      <c r="N95" s="324"/>
      <c r="O95" s="324"/>
      <c r="P95" s="272"/>
      <c r="Q95" s="269"/>
    </row>
    <row r="96" spans="1:17" ht="13.5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155847.29268292684</v>
      </c>
      <c r="K96" s="375"/>
      <c r="L96" s="375"/>
      <c r="M96" s="375"/>
      <c r="N96" s="375"/>
      <c r="O96" s="375"/>
      <c r="P96" s="272"/>
      <c r="Q96" s="269"/>
    </row>
    <row r="97" spans="1:17" ht="38.25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388</v>
      </c>
      <c r="I97" s="495" t="s">
        <v>389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  <c r="Q97" s="269"/>
    </row>
    <row r="98" spans="1:17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  <c r="Q98" s="269"/>
    </row>
    <row r="99" spans="1:17">
      <c r="C99" s="507" t="str">
        <f>IF(D93= "","-",D93)</f>
        <v>2013</v>
      </c>
      <c r="D99" s="629">
        <v>0</v>
      </c>
      <c r="E99" s="630">
        <v>30140.049603174608</v>
      </c>
      <c r="F99" s="631">
        <v>3007976.9503968256</v>
      </c>
      <c r="G99" s="632">
        <v>1503988.4751984128</v>
      </c>
      <c r="H99" s="633">
        <v>233617.21066655827</v>
      </c>
      <c r="I99" s="634">
        <v>233617.21066655827</v>
      </c>
      <c r="J99" s="613">
        <v>0</v>
      </c>
      <c r="K99" s="514"/>
      <c r="L99" s="518">
        <f t="shared" ref="L99:L104" si="33">H99</f>
        <v>233617.21066655827</v>
      </c>
      <c r="M99" s="519">
        <f t="shared" ref="M99:M104" si="34">IF(L99&lt;&gt;0,+H99-L99,0)</f>
        <v>0</v>
      </c>
      <c r="N99" s="518">
        <f t="shared" ref="N99:N104" si="35">I99</f>
        <v>233617.21066655827</v>
      </c>
      <c r="O99" s="514">
        <f>IF(N99&lt;&gt;0,+I99-N99,0)</f>
        <v>0</v>
      </c>
      <c r="P99" s="514">
        <f>+O99-M99</f>
        <v>0</v>
      </c>
      <c r="Q99" s="269"/>
    </row>
    <row r="100" spans="1:17">
      <c r="B100" s="195" t="str">
        <f>IF(D100=F99,"","IU")</f>
        <v/>
      </c>
      <c r="C100" s="507">
        <f>IF(D93="","-",+C99+1)</f>
        <v>2014</v>
      </c>
      <c r="D100" s="629">
        <v>3007976.9503968256</v>
      </c>
      <c r="E100" s="630">
        <v>152136.64285714287</v>
      </c>
      <c r="F100" s="631">
        <v>2855840.3075396828</v>
      </c>
      <c r="G100" s="631">
        <v>2931908.6289682542</v>
      </c>
      <c r="H100" s="633">
        <v>550651.80741983175</v>
      </c>
      <c r="I100" s="634">
        <v>550651.80741983175</v>
      </c>
      <c r="J100" s="514">
        <v>0</v>
      </c>
      <c r="K100" s="514"/>
      <c r="L100" s="518">
        <f t="shared" si="33"/>
        <v>550651.80741983175</v>
      </c>
      <c r="M100" s="519">
        <f t="shared" si="34"/>
        <v>0</v>
      </c>
      <c r="N100" s="518">
        <f t="shared" si="35"/>
        <v>550651.80741983175</v>
      </c>
      <c r="O100" s="514">
        <f>IF(N100&lt;&gt;0,+I100-N100,0)</f>
        <v>0</v>
      </c>
      <c r="P100" s="514">
        <f>+O100-M100</f>
        <v>0</v>
      </c>
      <c r="Q100" s="269"/>
    </row>
    <row r="101" spans="1:17">
      <c r="B101" s="195" t="str">
        <f t="shared" ref="B101:B154" si="36">IF(D101=F100,"","IU")</f>
        <v>IU</v>
      </c>
      <c r="C101" s="507">
        <f>IF(D93="","-",+C100+1)</f>
        <v>2015</v>
      </c>
      <c r="D101" s="629">
        <v>6207462.3075396828</v>
      </c>
      <c r="E101" s="630">
        <v>152136.64285714287</v>
      </c>
      <c r="F101" s="631">
        <v>6055325.6646825401</v>
      </c>
      <c r="G101" s="631">
        <v>6131393.9861111119</v>
      </c>
      <c r="H101" s="633">
        <v>960063.54821647424</v>
      </c>
      <c r="I101" s="634">
        <v>960063.54821647424</v>
      </c>
      <c r="J101" s="514">
        <f>+I101-H101</f>
        <v>0</v>
      </c>
      <c r="K101" s="514"/>
      <c r="L101" s="518">
        <f t="shared" si="33"/>
        <v>960063.54821647424</v>
      </c>
      <c r="M101" s="519">
        <f t="shared" si="34"/>
        <v>0</v>
      </c>
      <c r="N101" s="518">
        <f t="shared" si="35"/>
        <v>960063.54821647424</v>
      </c>
      <c r="O101" s="514">
        <f>IF(N101&lt;&gt;0,+I101-N101,0)</f>
        <v>0</v>
      </c>
      <c r="P101" s="514">
        <f>+O101-M101</f>
        <v>0</v>
      </c>
      <c r="Q101" s="269"/>
    </row>
    <row r="102" spans="1:17">
      <c r="B102" s="195" t="str">
        <f t="shared" si="36"/>
        <v/>
      </c>
      <c r="C102" s="507">
        <f>IF(D93="","-",+C101+1)</f>
        <v>2016</v>
      </c>
      <c r="D102" s="629">
        <v>6055325.6646825401</v>
      </c>
      <c r="E102" s="630">
        <v>148598.58139534883</v>
      </c>
      <c r="F102" s="631">
        <v>5906727.0832871916</v>
      </c>
      <c r="G102" s="631">
        <v>5981026.3739848658</v>
      </c>
      <c r="H102" s="633">
        <v>907889.80952511146</v>
      </c>
      <c r="I102" s="634">
        <v>907889.80952511146</v>
      </c>
      <c r="J102" s="514">
        <f t="shared" ref="J102:J154" si="37">+I102-H102</f>
        <v>0</v>
      </c>
      <c r="K102" s="514"/>
      <c r="L102" s="518">
        <f t="shared" si="33"/>
        <v>907889.80952511146</v>
      </c>
      <c r="M102" s="519">
        <f t="shared" si="34"/>
        <v>0</v>
      </c>
      <c r="N102" s="518">
        <f t="shared" si="35"/>
        <v>907889.80952511146</v>
      </c>
      <c r="O102" s="514">
        <f>IF(N102&lt;&gt;0,+I102-N102,0)</f>
        <v>0</v>
      </c>
      <c r="P102" s="514">
        <f>+O102-M102</f>
        <v>0</v>
      </c>
      <c r="Q102" s="269"/>
    </row>
    <row r="103" spans="1:17">
      <c r="B103" s="195" t="str">
        <f t="shared" si="36"/>
        <v/>
      </c>
      <c r="C103" s="507">
        <f>IF(D93="","-",+C102+1)</f>
        <v>2017</v>
      </c>
      <c r="D103" s="629">
        <v>5906727.0832871916</v>
      </c>
      <c r="E103" s="630">
        <v>152136.64285714287</v>
      </c>
      <c r="F103" s="631">
        <v>5754590.4404300489</v>
      </c>
      <c r="G103" s="631">
        <v>5830658.7618586197</v>
      </c>
      <c r="H103" s="633">
        <v>860395.26191799133</v>
      </c>
      <c r="I103" s="634">
        <v>860395.26191799133</v>
      </c>
      <c r="J103" s="514">
        <f t="shared" si="37"/>
        <v>0</v>
      </c>
      <c r="K103" s="514"/>
      <c r="L103" s="518">
        <f t="shared" si="33"/>
        <v>860395.26191799133</v>
      </c>
      <c r="M103" s="519">
        <f t="shared" si="34"/>
        <v>0</v>
      </c>
      <c r="N103" s="518">
        <f t="shared" si="35"/>
        <v>860395.26191799133</v>
      </c>
      <c r="O103" s="514">
        <f>IF(N103&lt;&gt;0,+I103-N103,0)</f>
        <v>0</v>
      </c>
      <c r="P103" s="514">
        <f>+O103-M103</f>
        <v>0</v>
      </c>
      <c r="Q103" s="269"/>
    </row>
    <row r="104" spans="1:17">
      <c r="B104" s="195" t="str">
        <f t="shared" si="36"/>
        <v/>
      </c>
      <c r="C104" s="507">
        <f>IF(D93="","-",+C103+1)</f>
        <v>2018</v>
      </c>
      <c r="D104" s="629">
        <v>5754590.4404300489</v>
      </c>
      <c r="E104" s="630">
        <v>152136.64285714287</v>
      </c>
      <c r="F104" s="631">
        <v>5602453.7975729061</v>
      </c>
      <c r="G104" s="631">
        <v>5678522.119001478</v>
      </c>
      <c r="H104" s="633">
        <v>751814.61930280633</v>
      </c>
      <c r="I104" s="634">
        <v>751814.61930280633</v>
      </c>
      <c r="J104" s="514">
        <f t="shared" si="37"/>
        <v>0</v>
      </c>
      <c r="K104" s="514"/>
      <c r="L104" s="518">
        <f t="shared" si="33"/>
        <v>751814.61930280633</v>
      </c>
      <c r="M104" s="519">
        <f t="shared" si="34"/>
        <v>0</v>
      </c>
      <c r="N104" s="518">
        <f t="shared" si="35"/>
        <v>751814.61930280633</v>
      </c>
      <c r="O104" s="514">
        <f t="shared" ref="O104:O130" si="38">IF(N104&lt;&gt;0,+I104-N104,0)</f>
        <v>0</v>
      </c>
      <c r="P104" s="514">
        <f t="shared" ref="P104:P130" si="39">+O104-M104</f>
        <v>0</v>
      </c>
      <c r="Q104" s="269"/>
    </row>
    <row r="105" spans="1:17">
      <c r="B105" s="195" t="str">
        <f t="shared" si="36"/>
        <v/>
      </c>
      <c r="C105" s="507">
        <f>IF(D93="","-",+C104+1)</f>
        <v>2019</v>
      </c>
      <c r="D105" s="629">
        <v>5602453.7975729061</v>
      </c>
      <c r="E105" s="630">
        <v>148598.58139534883</v>
      </c>
      <c r="F105" s="631">
        <v>5453855.2161775576</v>
      </c>
      <c r="G105" s="631">
        <v>5528154.5068752319</v>
      </c>
      <c r="H105" s="633">
        <v>740335.26118023507</v>
      </c>
      <c r="I105" s="634">
        <v>740335.26118023507</v>
      </c>
      <c r="J105" s="514">
        <f t="shared" si="37"/>
        <v>0</v>
      </c>
      <c r="K105" s="514"/>
      <c r="L105" s="518">
        <f t="shared" ref="L105:L106" si="40">H105</f>
        <v>740335.26118023507</v>
      </c>
      <c r="M105" s="519">
        <f t="shared" ref="M105:M106" si="41">IF(L105&lt;&gt;0,+H105-L105,0)</f>
        <v>0</v>
      </c>
      <c r="N105" s="518">
        <f t="shared" ref="N105:N106" si="42">I105</f>
        <v>740335.26118023507</v>
      </c>
      <c r="O105" s="514">
        <f t="shared" si="38"/>
        <v>0</v>
      </c>
      <c r="P105" s="514">
        <f t="shared" si="39"/>
        <v>0</v>
      </c>
      <c r="Q105" s="269"/>
    </row>
    <row r="106" spans="1:17">
      <c r="B106" s="195" t="str">
        <f t="shared" si="36"/>
        <v/>
      </c>
      <c r="C106" s="507">
        <f>IF(D93="","-",+C105+1)</f>
        <v>2020</v>
      </c>
      <c r="D106" s="629">
        <v>5453855.2161775576</v>
      </c>
      <c r="E106" s="630">
        <v>152136.64285714287</v>
      </c>
      <c r="F106" s="631">
        <v>5301718.5733204149</v>
      </c>
      <c r="G106" s="631">
        <v>5377786.8947489858</v>
      </c>
      <c r="H106" s="633">
        <v>730645.78949753172</v>
      </c>
      <c r="I106" s="634">
        <v>730645.78949753172</v>
      </c>
      <c r="J106" s="514">
        <f t="shared" si="37"/>
        <v>0</v>
      </c>
      <c r="K106" s="514"/>
      <c r="L106" s="518">
        <f t="shared" si="40"/>
        <v>730645.78949753172</v>
      </c>
      <c r="M106" s="519">
        <f t="shared" si="41"/>
        <v>0</v>
      </c>
      <c r="N106" s="518">
        <f t="shared" si="42"/>
        <v>730645.78949753172</v>
      </c>
      <c r="O106" s="514">
        <f t="shared" si="38"/>
        <v>0</v>
      </c>
      <c r="P106" s="514">
        <f t="shared" si="39"/>
        <v>0</v>
      </c>
      <c r="Q106" s="269"/>
    </row>
    <row r="107" spans="1:17">
      <c r="B107" s="195" t="str">
        <f t="shared" si="36"/>
        <v/>
      </c>
      <c r="C107" s="507">
        <f>IF(D93="","-",+C106+1)</f>
        <v>2021</v>
      </c>
      <c r="D107" s="629">
        <v>5301718.5733204149</v>
      </c>
      <c r="E107" s="630">
        <v>155847.29268292684</v>
      </c>
      <c r="F107" s="631">
        <v>5145871.2806374878</v>
      </c>
      <c r="G107" s="631">
        <v>5223794.9269789513</v>
      </c>
      <c r="H107" s="633">
        <v>748822.33254387113</v>
      </c>
      <c r="I107" s="634">
        <v>748822.33254387113</v>
      </c>
      <c r="J107" s="514">
        <f t="shared" si="37"/>
        <v>0</v>
      </c>
      <c r="K107" s="514"/>
      <c r="L107" s="518">
        <f t="shared" ref="L107" si="43">H107</f>
        <v>748822.33254387113</v>
      </c>
      <c r="M107" s="519">
        <f t="shared" ref="M107" si="44">IF(L107&lt;&gt;0,+H107-L107,0)</f>
        <v>0</v>
      </c>
      <c r="N107" s="518">
        <f t="shared" ref="N107" si="45">I107</f>
        <v>748822.33254387113</v>
      </c>
      <c r="O107" s="514">
        <f t="shared" ref="O107" si="46">IF(N107&lt;&gt;0,+I107-N107,0)</f>
        <v>0</v>
      </c>
      <c r="P107" s="514">
        <f t="shared" ref="P107" si="47">+O107-M107</f>
        <v>0</v>
      </c>
      <c r="Q107" s="269"/>
    </row>
    <row r="108" spans="1:17">
      <c r="B108" s="195" t="str">
        <f t="shared" si="36"/>
        <v/>
      </c>
      <c r="C108" s="673">
        <f>IF(D93="","-",+C107+1)</f>
        <v>2022</v>
      </c>
      <c r="D108" s="374">
        <v>5145871.2806374878</v>
      </c>
      <c r="E108" s="522">
        <v>152136.64285714287</v>
      </c>
      <c r="F108" s="523">
        <v>4993734.637780345</v>
      </c>
      <c r="G108" s="523">
        <v>5069802.9592089169</v>
      </c>
      <c r="H108" s="526">
        <v>747624.7630958549</v>
      </c>
      <c r="I108" s="577">
        <v>747624.7630958549</v>
      </c>
      <c r="J108" s="514">
        <f t="shared" si="37"/>
        <v>0</v>
      </c>
      <c r="K108" s="514"/>
      <c r="L108" s="525"/>
      <c r="M108" s="514">
        <f t="shared" ref="M108:M130" si="48">IF(L108&lt;&gt;0,+H108-L108,0)</f>
        <v>0</v>
      </c>
      <c r="N108" s="525"/>
      <c r="O108" s="514">
        <f t="shared" si="38"/>
        <v>0</v>
      </c>
      <c r="P108" s="514">
        <f t="shared" si="39"/>
        <v>0</v>
      </c>
      <c r="Q108" s="269"/>
    </row>
    <row r="109" spans="1:17">
      <c r="B109" s="195" t="str">
        <f t="shared" si="36"/>
        <v/>
      </c>
      <c r="C109" s="507">
        <f>IF(D93="","-",+C108+1)</f>
        <v>2023</v>
      </c>
      <c r="D109" s="374">
        <f>IF(F108+SUM(E$99:E108)=D$92,F108,D$92-SUM(E$99:E108))</f>
        <v>4993734.637780345</v>
      </c>
      <c r="E109" s="522">
        <f t="shared" ref="E109:E154" si="49">IF(+$J$96&lt;F108,$J$96,D109)</f>
        <v>155847.29268292684</v>
      </c>
      <c r="F109" s="523">
        <f t="shared" ref="F109:F154" si="50">+D109-E109</f>
        <v>4837887.3450974179</v>
      </c>
      <c r="G109" s="523">
        <f t="shared" ref="G109:G154" si="51">+(F109+D109)/2</f>
        <v>4915810.9914388815</v>
      </c>
      <c r="H109" s="526">
        <f t="shared" ref="H109:H154" si="52">+J$94*G109+E109</f>
        <v>713861.77436609799</v>
      </c>
      <c r="I109" s="577">
        <f t="shared" ref="I109:I154" si="53">+J$95*G109+E109</f>
        <v>713861.77436609799</v>
      </c>
      <c r="J109" s="514">
        <f t="shared" si="37"/>
        <v>0</v>
      </c>
      <c r="K109" s="514"/>
      <c r="L109" s="525"/>
      <c r="M109" s="514">
        <f t="shared" si="48"/>
        <v>0</v>
      </c>
      <c r="N109" s="525"/>
      <c r="O109" s="514">
        <f t="shared" si="38"/>
        <v>0</v>
      </c>
      <c r="P109" s="514">
        <f t="shared" si="39"/>
        <v>0</v>
      </c>
      <c r="Q109" s="269"/>
    </row>
    <row r="110" spans="1:17">
      <c r="B110" s="195" t="str">
        <f t="shared" si="36"/>
        <v/>
      </c>
      <c r="C110" s="507">
        <f>IF(D93="","-",+C109+1)</f>
        <v>2024</v>
      </c>
      <c r="D110" s="374">
        <f>IF(F109+SUM(E$99:E109)=D$92,F109,D$92-SUM(E$99:E109))</f>
        <v>4837887.3450974179</v>
      </c>
      <c r="E110" s="522">
        <f t="shared" si="49"/>
        <v>155847.29268292684</v>
      </c>
      <c r="F110" s="523">
        <f t="shared" si="50"/>
        <v>4682040.0524144908</v>
      </c>
      <c r="G110" s="523">
        <f t="shared" si="51"/>
        <v>4759963.6987559544</v>
      </c>
      <c r="H110" s="526">
        <f t="shared" si="52"/>
        <v>696170.8895050562</v>
      </c>
      <c r="I110" s="577">
        <f t="shared" si="53"/>
        <v>696170.8895050562</v>
      </c>
      <c r="J110" s="514">
        <f t="shared" si="37"/>
        <v>0</v>
      </c>
      <c r="K110" s="514"/>
      <c r="L110" s="525"/>
      <c r="M110" s="514">
        <f t="shared" si="48"/>
        <v>0</v>
      </c>
      <c r="N110" s="525"/>
      <c r="O110" s="514">
        <f t="shared" si="38"/>
        <v>0</v>
      </c>
      <c r="P110" s="514">
        <f t="shared" si="39"/>
        <v>0</v>
      </c>
      <c r="Q110" s="269"/>
    </row>
    <row r="111" spans="1:17">
      <c r="B111" s="195" t="str">
        <f t="shared" si="36"/>
        <v/>
      </c>
      <c r="C111" s="507">
        <f>IF(D93="","-",+C110+1)</f>
        <v>2025</v>
      </c>
      <c r="D111" s="374">
        <f>IF(F110+SUM(E$99:E110)=D$92,F110,D$92-SUM(E$99:E110))</f>
        <v>4682040.0524144908</v>
      </c>
      <c r="E111" s="522">
        <f t="shared" si="49"/>
        <v>155847.29268292684</v>
      </c>
      <c r="F111" s="523">
        <f t="shared" si="50"/>
        <v>4526192.7597315637</v>
      </c>
      <c r="G111" s="523">
        <f t="shared" si="51"/>
        <v>4604116.4060730273</v>
      </c>
      <c r="H111" s="526">
        <f t="shared" si="52"/>
        <v>678480.00464401441</v>
      </c>
      <c r="I111" s="577">
        <f t="shared" si="53"/>
        <v>678480.00464401441</v>
      </c>
      <c r="J111" s="514">
        <f t="shared" si="37"/>
        <v>0</v>
      </c>
      <c r="K111" s="514"/>
      <c r="L111" s="525"/>
      <c r="M111" s="514">
        <f t="shared" si="48"/>
        <v>0</v>
      </c>
      <c r="N111" s="525"/>
      <c r="O111" s="514">
        <f t="shared" si="38"/>
        <v>0</v>
      </c>
      <c r="P111" s="514">
        <f t="shared" si="39"/>
        <v>0</v>
      </c>
      <c r="Q111" s="269"/>
    </row>
    <row r="112" spans="1:17">
      <c r="B112" s="195" t="str">
        <f t="shared" si="36"/>
        <v/>
      </c>
      <c r="C112" s="507">
        <f>IF(D93="","-",+C111+1)</f>
        <v>2026</v>
      </c>
      <c r="D112" s="374">
        <f>IF(F111+SUM(E$99:E111)=D$92,F111,D$92-SUM(E$99:E111))</f>
        <v>4526192.7597315637</v>
      </c>
      <c r="E112" s="522">
        <f t="shared" si="49"/>
        <v>155847.29268292684</v>
      </c>
      <c r="F112" s="523">
        <f t="shared" si="50"/>
        <v>4370345.4670486366</v>
      </c>
      <c r="G112" s="523">
        <f t="shared" si="51"/>
        <v>4448269.1133901002</v>
      </c>
      <c r="H112" s="526">
        <f t="shared" si="52"/>
        <v>660789.11978297262</v>
      </c>
      <c r="I112" s="577">
        <f t="shared" si="53"/>
        <v>660789.11978297262</v>
      </c>
      <c r="J112" s="514">
        <f t="shared" si="37"/>
        <v>0</v>
      </c>
      <c r="K112" s="514"/>
      <c r="L112" s="525"/>
      <c r="M112" s="514">
        <f t="shared" si="48"/>
        <v>0</v>
      </c>
      <c r="N112" s="525"/>
      <c r="O112" s="514">
        <f t="shared" si="38"/>
        <v>0</v>
      </c>
      <c r="P112" s="514">
        <f t="shared" si="39"/>
        <v>0</v>
      </c>
      <c r="Q112" s="269"/>
    </row>
    <row r="113" spans="2:17">
      <c r="B113" s="195" t="str">
        <f t="shared" si="36"/>
        <v/>
      </c>
      <c r="C113" s="507">
        <f>IF(D93="","-",+C112+1)</f>
        <v>2027</v>
      </c>
      <c r="D113" s="374">
        <f>IF(F112+SUM(E$99:E112)=D$92,F112,D$92-SUM(E$99:E112))</f>
        <v>4370345.4670486366</v>
      </c>
      <c r="E113" s="522">
        <f t="shared" si="49"/>
        <v>155847.29268292684</v>
      </c>
      <c r="F113" s="523">
        <f t="shared" si="50"/>
        <v>4214498.1743657095</v>
      </c>
      <c r="G113" s="523">
        <f t="shared" si="51"/>
        <v>4292421.8207071731</v>
      </c>
      <c r="H113" s="526">
        <f t="shared" si="52"/>
        <v>643098.23492193071</v>
      </c>
      <c r="I113" s="577">
        <f t="shared" si="53"/>
        <v>643098.23492193071</v>
      </c>
      <c r="J113" s="514">
        <f t="shared" si="37"/>
        <v>0</v>
      </c>
      <c r="K113" s="514"/>
      <c r="L113" s="525"/>
      <c r="M113" s="514">
        <f t="shared" si="48"/>
        <v>0</v>
      </c>
      <c r="N113" s="525"/>
      <c r="O113" s="514">
        <f t="shared" si="38"/>
        <v>0</v>
      </c>
      <c r="P113" s="514">
        <f t="shared" si="39"/>
        <v>0</v>
      </c>
      <c r="Q113" s="269"/>
    </row>
    <row r="114" spans="2:17">
      <c r="B114" s="195" t="str">
        <f t="shared" si="36"/>
        <v/>
      </c>
      <c r="C114" s="507">
        <f>IF(D93="","-",+C113+1)</f>
        <v>2028</v>
      </c>
      <c r="D114" s="374">
        <f>IF(F113+SUM(E$99:E113)=D$92,F113,D$92-SUM(E$99:E113))</f>
        <v>4214498.1743657095</v>
      </c>
      <c r="E114" s="522">
        <f t="shared" si="49"/>
        <v>155847.29268292684</v>
      </c>
      <c r="F114" s="523">
        <f t="shared" si="50"/>
        <v>4058650.8816827829</v>
      </c>
      <c r="G114" s="523">
        <f t="shared" si="51"/>
        <v>4136574.528024246</v>
      </c>
      <c r="H114" s="526">
        <f t="shared" si="52"/>
        <v>625407.35006088892</v>
      </c>
      <c r="I114" s="577">
        <f t="shared" si="53"/>
        <v>625407.35006088892</v>
      </c>
      <c r="J114" s="514">
        <f t="shared" si="37"/>
        <v>0</v>
      </c>
      <c r="K114" s="514"/>
      <c r="L114" s="525"/>
      <c r="M114" s="514">
        <f t="shared" si="48"/>
        <v>0</v>
      </c>
      <c r="N114" s="525"/>
      <c r="O114" s="514">
        <f t="shared" si="38"/>
        <v>0</v>
      </c>
      <c r="P114" s="514">
        <f t="shared" si="39"/>
        <v>0</v>
      </c>
      <c r="Q114" s="269"/>
    </row>
    <row r="115" spans="2:17">
      <c r="B115" s="195" t="str">
        <f t="shared" si="36"/>
        <v/>
      </c>
      <c r="C115" s="507">
        <f>IF(D93="","-",+C114+1)</f>
        <v>2029</v>
      </c>
      <c r="D115" s="374">
        <f>IF(F114+SUM(E$99:E114)=D$92,F114,D$92-SUM(E$99:E114))</f>
        <v>4058650.8816827829</v>
      </c>
      <c r="E115" s="522">
        <f t="shared" si="49"/>
        <v>155847.29268292684</v>
      </c>
      <c r="F115" s="523">
        <f t="shared" si="50"/>
        <v>3902803.5889998563</v>
      </c>
      <c r="G115" s="523">
        <f t="shared" si="51"/>
        <v>3980727.2353413198</v>
      </c>
      <c r="H115" s="526">
        <f t="shared" si="52"/>
        <v>607716.46519984724</v>
      </c>
      <c r="I115" s="577">
        <f t="shared" si="53"/>
        <v>607716.46519984724</v>
      </c>
      <c r="J115" s="514">
        <f t="shared" si="37"/>
        <v>0</v>
      </c>
      <c r="K115" s="514"/>
      <c r="L115" s="525"/>
      <c r="M115" s="514">
        <f t="shared" si="48"/>
        <v>0</v>
      </c>
      <c r="N115" s="525"/>
      <c r="O115" s="514">
        <f t="shared" si="38"/>
        <v>0</v>
      </c>
      <c r="P115" s="514">
        <f t="shared" si="39"/>
        <v>0</v>
      </c>
      <c r="Q115" s="269"/>
    </row>
    <row r="116" spans="2:17">
      <c r="B116" s="195" t="str">
        <f t="shared" si="36"/>
        <v/>
      </c>
      <c r="C116" s="507">
        <f>IF(D93="","-",+C115+1)</f>
        <v>2030</v>
      </c>
      <c r="D116" s="374">
        <f>IF(F115+SUM(E$99:E115)=D$92,F115,D$92-SUM(E$99:E115))</f>
        <v>3902803.5889998563</v>
      </c>
      <c r="E116" s="522">
        <f t="shared" si="49"/>
        <v>155847.29268292684</v>
      </c>
      <c r="F116" s="523">
        <f t="shared" si="50"/>
        <v>3746956.2963169296</v>
      </c>
      <c r="G116" s="523">
        <f t="shared" si="51"/>
        <v>3824879.9426583927</v>
      </c>
      <c r="H116" s="526">
        <f t="shared" si="52"/>
        <v>590025.58033880545</v>
      </c>
      <c r="I116" s="577">
        <f t="shared" si="53"/>
        <v>590025.58033880545</v>
      </c>
      <c r="J116" s="514">
        <f t="shared" si="37"/>
        <v>0</v>
      </c>
      <c r="K116" s="514"/>
      <c r="L116" s="525"/>
      <c r="M116" s="514">
        <f t="shared" si="48"/>
        <v>0</v>
      </c>
      <c r="N116" s="525"/>
      <c r="O116" s="514">
        <f t="shared" si="38"/>
        <v>0</v>
      </c>
      <c r="P116" s="514">
        <f t="shared" si="39"/>
        <v>0</v>
      </c>
      <c r="Q116" s="269"/>
    </row>
    <row r="117" spans="2:17">
      <c r="B117" s="195" t="str">
        <f t="shared" si="36"/>
        <v/>
      </c>
      <c r="C117" s="507">
        <f>IF(D93="","-",+C116+1)</f>
        <v>2031</v>
      </c>
      <c r="D117" s="374">
        <f>IF(F116+SUM(E$99:E116)=D$92,F116,D$92-SUM(E$99:E116))</f>
        <v>3746956.2963169296</v>
      </c>
      <c r="E117" s="522">
        <f t="shared" si="49"/>
        <v>155847.29268292684</v>
      </c>
      <c r="F117" s="523">
        <f t="shared" si="50"/>
        <v>3591109.003634003</v>
      </c>
      <c r="G117" s="523">
        <f t="shared" si="51"/>
        <v>3669032.6499754665</v>
      </c>
      <c r="H117" s="526">
        <f t="shared" si="52"/>
        <v>572334.69547776377</v>
      </c>
      <c r="I117" s="577">
        <f t="shared" si="53"/>
        <v>572334.69547776377</v>
      </c>
      <c r="J117" s="514">
        <f t="shared" si="37"/>
        <v>0</v>
      </c>
      <c r="K117" s="514"/>
      <c r="L117" s="525"/>
      <c r="M117" s="514">
        <f t="shared" si="48"/>
        <v>0</v>
      </c>
      <c r="N117" s="525"/>
      <c r="O117" s="514">
        <f t="shared" si="38"/>
        <v>0</v>
      </c>
      <c r="P117" s="514">
        <f t="shared" si="39"/>
        <v>0</v>
      </c>
      <c r="Q117" s="269"/>
    </row>
    <row r="118" spans="2:17">
      <c r="B118" s="195" t="str">
        <f t="shared" si="36"/>
        <v/>
      </c>
      <c r="C118" s="507">
        <f>IF(D93="","-",+C117+1)</f>
        <v>2032</v>
      </c>
      <c r="D118" s="374">
        <f>IF(F117+SUM(E$99:E117)=D$92,F117,D$92-SUM(E$99:E117))</f>
        <v>3591109.003634003</v>
      </c>
      <c r="E118" s="522">
        <f t="shared" si="49"/>
        <v>155847.29268292684</v>
      </c>
      <c r="F118" s="523">
        <f t="shared" si="50"/>
        <v>3435261.7109510764</v>
      </c>
      <c r="G118" s="523">
        <f t="shared" si="51"/>
        <v>3513185.3572925394</v>
      </c>
      <c r="H118" s="526">
        <f t="shared" si="52"/>
        <v>554643.81061672186</v>
      </c>
      <c r="I118" s="577">
        <f t="shared" si="53"/>
        <v>554643.81061672186</v>
      </c>
      <c r="J118" s="514">
        <f t="shared" si="37"/>
        <v>0</v>
      </c>
      <c r="K118" s="514"/>
      <c r="L118" s="525"/>
      <c r="M118" s="514">
        <f t="shared" si="48"/>
        <v>0</v>
      </c>
      <c r="N118" s="525"/>
      <c r="O118" s="514">
        <f t="shared" si="38"/>
        <v>0</v>
      </c>
      <c r="P118" s="514">
        <f t="shared" si="39"/>
        <v>0</v>
      </c>
      <c r="Q118" s="269"/>
    </row>
    <row r="119" spans="2:17">
      <c r="B119" s="195" t="str">
        <f t="shared" si="36"/>
        <v/>
      </c>
      <c r="C119" s="507">
        <f>IF(D93="","-",+C118+1)</f>
        <v>2033</v>
      </c>
      <c r="D119" s="374">
        <f>IF(F118+SUM(E$99:E118)=D$92,F118,D$92-SUM(E$99:E118))</f>
        <v>3435261.7109510764</v>
      </c>
      <c r="E119" s="522">
        <f t="shared" si="49"/>
        <v>155847.29268292684</v>
      </c>
      <c r="F119" s="523">
        <f t="shared" si="50"/>
        <v>3279414.4182681497</v>
      </c>
      <c r="G119" s="523">
        <f t="shared" si="51"/>
        <v>3357338.0646096133</v>
      </c>
      <c r="H119" s="526">
        <f t="shared" si="52"/>
        <v>536952.92575568019</v>
      </c>
      <c r="I119" s="577">
        <f t="shared" si="53"/>
        <v>536952.92575568019</v>
      </c>
      <c r="J119" s="514">
        <f t="shared" si="37"/>
        <v>0</v>
      </c>
      <c r="K119" s="514"/>
      <c r="L119" s="525"/>
      <c r="M119" s="514">
        <f t="shared" si="48"/>
        <v>0</v>
      </c>
      <c r="N119" s="525"/>
      <c r="O119" s="514">
        <f t="shared" si="38"/>
        <v>0</v>
      </c>
      <c r="P119" s="514">
        <f t="shared" si="39"/>
        <v>0</v>
      </c>
      <c r="Q119" s="269"/>
    </row>
    <row r="120" spans="2:17">
      <c r="B120" s="195" t="str">
        <f t="shared" si="36"/>
        <v/>
      </c>
      <c r="C120" s="507">
        <f>IF(D93="","-",+C119+1)</f>
        <v>2034</v>
      </c>
      <c r="D120" s="374">
        <f>IF(F119+SUM(E$99:E119)=D$92,F119,D$92-SUM(E$99:E119))</f>
        <v>3279414.4182681497</v>
      </c>
      <c r="E120" s="522">
        <f t="shared" si="49"/>
        <v>155847.29268292684</v>
      </c>
      <c r="F120" s="523">
        <f t="shared" si="50"/>
        <v>3123567.1255852231</v>
      </c>
      <c r="G120" s="523">
        <f t="shared" si="51"/>
        <v>3201490.7719266862</v>
      </c>
      <c r="H120" s="526">
        <f t="shared" si="52"/>
        <v>519262.0408946384</v>
      </c>
      <c r="I120" s="577">
        <f t="shared" si="53"/>
        <v>519262.0408946384</v>
      </c>
      <c r="J120" s="514">
        <f t="shared" si="37"/>
        <v>0</v>
      </c>
      <c r="K120" s="514"/>
      <c r="L120" s="525"/>
      <c r="M120" s="514">
        <f t="shared" si="48"/>
        <v>0</v>
      </c>
      <c r="N120" s="525"/>
      <c r="O120" s="514">
        <f t="shared" si="38"/>
        <v>0</v>
      </c>
      <c r="P120" s="514">
        <f t="shared" si="39"/>
        <v>0</v>
      </c>
      <c r="Q120" s="269"/>
    </row>
    <row r="121" spans="2:17">
      <c r="B121" s="195" t="str">
        <f t="shared" si="36"/>
        <v/>
      </c>
      <c r="C121" s="507">
        <f>IF(D93="","-",+C120+1)</f>
        <v>2035</v>
      </c>
      <c r="D121" s="374">
        <f>IF(F120+SUM(E$99:E120)=D$92,F120,D$92-SUM(E$99:E120))</f>
        <v>3123567.1255852231</v>
      </c>
      <c r="E121" s="522">
        <f t="shared" si="49"/>
        <v>155847.29268292684</v>
      </c>
      <c r="F121" s="523">
        <f t="shared" si="50"/>
        <v>2967719.8329022964</v>
      </c>
      <c r="G121" s="523">
        <f t="shared" si="51"/>
        <v>3045643.47924376</v>
      </c>
      <c r="H121" s="526">
        <f t="shared" si="52"/>
        <v>501571.15603359672</v>
      </c>
      <c r="I121" s="577">
        <f t="shared" si="53"/>
        <v>501571.15603359672</v>
      </c>
      <c r="J121" s="514">
        <f t="shared" si="37"/>
        <v>0</v>
      </c>
      <c r="K121" s="514"/>
      <c r="L121" s="525"/>
      <c r="M121" s="514">
        <f t="shared" si="48"/>
        <v>0</v>
      </c>
      <c r="N121" s="525"/>
      <c r="O121" s="514">
        <f t="shared" si="38"/>
        <v>0</v>
      </c>
      <c r="P121" s="514">
        <f t="shared" si="39"/>
        <v>0</v>
      </c>
      <c r="Q121" s="269"/>
    </row>
    <row r="122" spans="2:17">
      <c r="B122" s="195" t="str">
        <f t="shared" si="36"/>
        <v/>
      </c>
      <c r="C122" s="507">
        <f>IF(D93="","-",+C121+1)</f>
        <v>2036</v>
      </c>
      <c r="D122" s="374">
        <f>IF(F121+SUM(E$99:E121)=D$92,F121,D$92-SUM(E$99:E121))</f>
        <v>2967719.8329022964</v>
      </c>
      <c r="E122" s="522">
        <f t="shared" si="49"/>
        <v>155847.29268292684</v>
      </c>
      <c r="F122" s="523">
        <f t="shared" si="50"/>
        <v>2811872.5402193698</v>
      </c>
      <c r="G122" s="523">
        <f t="shared" si="51"/>
        <v>2889796.1865608329</v>
      </c>
      <c r="H122" s="526">
        <f t="shared" si="52"/>
        <v>483880.27117255493</v>
      </c>
      <c r="I122" s="577">
        <f t="shared" si="53"/>
        <v>483880.27117255493</v>
      </c>
      <c r="J122" s="514">
        <f t="shared" si="37"/>
        <v>0</v>
      </c>
      <c r="K122" s="514"/>
      <c r="L122" s="525"/>
      <c r="M122" s="514">
        <f t="shared" si="48"/>
        <v>0</v>
      </c>
      <c r="N122" s="525"/>
      <c r="O122" s="514">
        <f t="shared" si="38"/>
        <v>0</v>
      </c>
      <c r="P122" s="514">
        <f t="shared" si="39"/>
        <v>0</v>
      </c>
      <c r="Q122" s="269"/>
    </row>
    <row r="123" spans="2:17">
      <c r="B123" s="195" t="str">
        <f t="shared" si="36"/>
        <v/>
      </c>
      <c r="C123" s="507">
        <f>IF(D93="","-",+C122+1)</f>
        <v>2037</v>
      </c>
      <c r="D123" s="374">
        <f>IF(F122+SUM(E$99:E122)=D$92,F122,D$92-SUM(E$99:E122))</f>
        <v>2811872.5402193698</v>
      </c>
      <c r="E123" s="522">
        <f t="shared" si="49"/>
        <v>155847.29268292684</v>
      </c>
      <c r="F123" s="523">
        <f t="shared" si="50"/>
        <v>2656025.2475364432</v>
      </c>
      <c r="G123" s="523">
        <f t="shared" si="51"/>
        <v>2733948.8938779067</v>
      </c>
      <c r="H123" s="526">
        <f t="shared" si="52"/>
        <v>466189.38631151314</v>
      </c>
      <c r="I123" s="577">
        <f t="shared" si="53"/>
        <v>466189.38631151314</v>
      </c>
      <c r="J123" s="514">
        <f t="shared" si="37"/>
        <v>0</v>
      </c>
      <c r="K123" s="514"/>
      <c r="L123" s="525"/>
      <c r="M123" s="514">
        <f t="shared" si="48"/>
        <v>0</v>
      </c>
      <c r="N123" s="525"/>
      <c r="O123" s="514">
        <f t="shared" si="38"/>
        <v>0</v>
      </c>
      <c r="P123" s="514">
        <f t="shared" si="39"/>
        <v>0</v>
      </c>
      <c r="Q123" s="269"/>
    </row>
    <row r="124" spans="2:17">
      <c r="B124" s="195" t="str">
        <f t="shared" si="36"/>
        <v/>
      </c>
      <c r="C124" s="507">
        <f>IF(D93="","-",+C123+1)</f>
        <v>2038</v>
      </c>
      <c r="D124" s="374">
        <f>IF(F123+SUM(E$99:E123)=D$92,F123,D$92-SUM(E$99:E123))</f>
        <v>2656025.2475364432</v>
      </c>
      <c r="E124" s="522">
        <f t="shared" si="49"/>
        <v>155847.29268292684</v>
      </c>
      <c r="F124" s="523">
        <f t="shared" si="50"/>
        <v>2500177.9548535165</v>
      </c>
      <c r="G124" s="523">
        <f t="shared" si="51"/>
        <v>2578101.6011949796</v>
      </c>
      <c r="H124" s="526">
        <f t="shared" si="52"/>
        <v>448498.50145047135</v>
      </c>
      <c r="I124" s="577">
        <f t="shared" si="53"/>
        <v>448498.50145047135</v>
      </c>
      <c r="J124" s="514">
        <f t="shared" si="37"/>
        <v>0</v>
      </c>
      <c r="K124" s="514"/>
      <c r="L124" s="525"/>
      <c r="M124" s="514">
        <f t="shared" si="48"/>
        <v>0</v>
      </c>
      <c r="N124" s="525"/>
      <c r="O124" s="514">
        <f t="shared" si="38"/>
        <v>0</v>
      </c>
      <c r="P124" s="514">
        <f t="shared" si="39"/>
        <v>0</v>
      </c>
      <c r="Q124" s="269"/>
    </row>
    <row r="125" spans="2:17">
      <c r="B125" s="195" t="str">
        <f t="shared" si="36"/>
        <v/>
      </c>
      <c r="C125" s="507">
        <f>IF(D93="","-",+C124+1)</f>
        <v>2039</v>
      </c>
      <c r="D125" s="374">
        <f>IF(F124+SUM(E$99:E124)=D$92,F124,D$92-SUM(E$99:E124))</f>
        <v>2500177.9548535165</v>
      </c>
      <c r="E125" s="522">
        <f t="shared" si="49"/>
        <v>155847.29268292684</v>
      </c>
      <c r="F125" s="523">
        <f t="shared" si="50"/>
        <v>2344330.6621705899</v>
      </c>
      <c r="G125" s="523">
        <f t="shared" si="51"/>
        <v>2422254.3085120535</v>
      </c>
      <c r="H125" s="526">
        <f t="shared" si="52"/>
        <v>430807.61658942967</v>
      </c>
      <c r="I125" s="577">
        <f t="shared" si="53"/>
        <v>430807.61658942967</v>
      </c>
      <c r="J125" s="514">
        <f t="shared" si="37"/>
        <v>0</v>
      </c>
      <c r="K125" s="514"/>
      <c r="L125" s="525"/>
      <c r="M125" s="514">
        <f t="shared" si="48"/>
        <v>0</v>
      </c>
      <c r="N125" s="525"/>
      <c r="O125" s="514">
        <f t="shared" si="38"/>
        <v>0</v>
      </c>
      <c r="P125" s="514">
        <f t="shared" si="39"/>
        <v>0</v>
      </c>
      <c r="Q125" s="269"/>
    </row>
    <row r="126" spans="2:17">
      <c r="B126" s="195" t="str">
        <f t="shared" si="36"/>
        <v/>
      </c>
      <c r="C126" s="507">
        <f>IF(D93="","-",+C125+1)</f>
        <v>2040</v>
      </c>
      <c r="D126" s="374">
        <f>IF(F125+SUM(E$99:E125)=D$92,F125,D$92-SUM(E$99:E125))</f>
        <v>2344330.6621705899</v>
      </c>
      <c r="E126" s="522">
        <f t="shared" si="49"/>
        <v>155847.29268292684</v>
      </c>
      <c r="F126" s="523">
        <f t="shared" si="50"/>
        <v>2188483.3694876633</v>
      </c>
      <c r="G126" s="523">
        <f t="shared" si="51"/>
        <v>2266407.0158291264</v>
      </c>
      <c r="H126" s="526">
        <f t="shared" si="52"/>
        <v>413116.73172838788</v>
      </c>
      <c r="I126" s="577">
        <f t="shared" si="53"/>
        <v>413116.73172838788</v>
      </c>
      <c r="J126" s="514">
        <f t="shared" si="37"/>
        <v>0</v>
      </c>
      <c r="K126" s="514"/>
      <c r="L126" s="525"/>
      <c r="M126" s="514">
        <f t="shared" si="48"/>
        <v>0</v>
      </c>
      <c r="N126" s="525"/>
      <c r="O126" s="514">
        <f t="shared" si="38"/>
        <v>0</v>
      </c>
      <c r="P126" s="514">
        <f t="shared" si="39"/>
        <v>0</v>
      </c>
      <c r="Q126" s="269"/>
    </row>
    <row r="127" spans="2:17">
      <c r="B127" s="195" t="str">
        <f t="shared" si="36"/>
        <v/>
      </c>
      <c r="C127" s="507">
        <f>IF(D93="","-",+C126+1)</f>
        <v>2041</v>
      </c>
      <c r="D127" s="374">
        <f>IF(F126+SUM(E$99:E126)=D$92,F126,D$92-SUM(E$99:E126))</f>
        <v>2188483.3694876633</v>
      </c>
      <c r="E127" s="522">
        <f t="shared" si="49"/>
        <v>155847.29268292684</v>
      </c>
      <c r="F127" s="523">
        <f t="shared" si="50"/>
        <v>2032636.0768047364</v>
      </c>
      <c r="G127" s="523">
        <f t="shared" si="51"/>
        <v>2110559.7231461997</v>
      </c>
      <c r="H127" s="526">
        <f t="shared" si="52"/>
        <v>395425.84686734609</v>
      </c>
      <c r="I127" s="577">
        <f t="shared" si="53"/>
        <v>395425.84686734609</v>
      </c>
      <c r="J127" s="514">
        <f t="shared" si="37"/>
        <v>0</v>
      </c>
      <c r="K127" s="514"/>
      <c r="L127" s="525"/>
      <c r="M127" s="514">
        <f t="shared" si="48"/>
        <v>0</v>
      </c>
      <c r="N127" s="525"/>
      <c r="O127" s="514">
        <f t="shared" si="38"/>
        <v>0</v>
      </c>
      <c r="P127" s="514">
        <f t="shared" si="39"/>
        <v>0</v>
      </c>
      <c r="Q127" s="269"/>
    </row>
    <row r="128" spans="2:17">
      <c r="B128" s="195" t="str">
        <f t="shared" si="36"/>
        <v/>
      </c>
      <c r="C128" s="507">
        <f>IF(D93="","-",+C127+1)</f>
        <v>2042</v>
      </c>
      <c r="D128" s="374">
        <f>IF(F127+SUM(E$99:E127)=D$92,F127,D$92-SUM(E$99:E127))</f>
        <v>2032636.0768047364</v>
      </c>
      <c r="E128" s="522">
        <f t="shared" si="49"/>
        <v>155847.29268292684</v>
      </c>
      <c r="F128" s="523">
        <f t="shared" si="50"/>
        <v>1876788.7841218095</v>
      </c>
      <c r="G128" s="523">
        <f t="shared" si="51"/>
        <v>1954712.4304632731</v>
      </c>
      <c r="H128" s="526">
        <f t="shared" si="52"/>
        <v>377734.96200630435</v>
      </c>
      <c r="I128" s="577">
        <f t="shared" si="53"/>
        <v>377734.96200630435</v>
      </c>
      <c r="J128" s="514">
        <f t="shared" si="37"/>
        <v>0</v>
      </c>
      <c r="K128" s="514"/>
      <c r="L128" s="525"/>
      <c r="M128" s="514">
        <f t="shared" si="48"/>
        <v>0</v>
      </c>
      <c r="N128" s="525"/>
      <c r="O128" s="514">
        <f t="shared" si="38"/>
        <v>0</v>
      </c>
      <c r="P128" s="514">
        <f t="shared" si="39"/>
        <v>0</v>
      </c>
      <c r="Q128" s="269"/>
    </row>
    <row r="129" spans="2:17">
      <c r="B129" s="195" t="str">
        <f t="shared" si="36"/>
        <v/>
      </c>
      <c r="C129" s="507">
        <f>IF(D93="","-",+C128+1)</f>
        <v>2043</v>
      </c>
      <c r="D129" s="374">
        <f>IF(F128+SUM(E$99:E128)=D$92,F128,D$92-SUM(E$99:E128))</f>
        <v>1876788.7841218095</v>
      </c>
      <c r="E129" s="522">
        <f t="shared" si="49"/>
        <v>155847.29268292684</v>
      </c>
      <c r="F129" s="523">
        <f t="shared" si="50"/>
        <v>1720941.4914388827</v>
      </c>
      <c r="G129" s="523">
        <f t="shared" si="51"/>
        <v>1798865.137780346</v>
      </c>
      <c r="H129" s="526">
        <f t="shared" si="52"/>
        <v>360044.0771452625</v>
      </c>
      <c r="I129" s="577">
        <f t="shared" si="53"/>
        <v>360044.0771452625</v>
      </c>
      <c r="J129" s="514">
        <f t="shared" si="37"/>
        <v>0</v>
      </c>
      <c r="K129" s="514"/>
      <c r="L129" s="525"/>
      <c r="M129" s="514">
        <f t="shared" si="48"/>
        <v>0</v>
      </c>
      <c r="N129" s="525"/>
      <c r="O129" s="514">
        <f t="shared" si="38"/>
        <v>0</v>
      </c>
      <c r="P129" s="514">
        <f t="shared" si="39"/>
        <v>0</v>
      </c>
      <c r="Q129" s="269"/>
    </row>
    <row r="130" spans="2:17">
      <c r="B130" s="195" t="str">
        <f t="shared" si="36"/>
        <v/>
      </c>
      <c r="C130" s="507">
        <f>IF(D93="","-",+C129+1)</f>
        <v>2044</v>
      </c>
      <c r="D130" s="374">
        <f>IF(F129+SUM(E$99:E129)=D$92,F129,D$92-SUM(E$99:E129))</f>
        <v>1720941.4914388827</v>
      </c>
      <c r="E130" s="522">
        <f t="shared" si="49"/>
        <v>155847.29268292684</v>
      </c>
      <c r="F130" s="523">
        <f t="shared" si="50"/>
        <v>1565094.1987559558</v>
      </c>
      <c r="G130" s="523">
        <f t="shared" si="51"/>
        <v>1643017.8450974193</v>
      </c>
      <c r="H130" s="526">
        <f t="shared" si="52"/>
        <v>342353.19228422077</v>
      </c>
      <c r="I130" s="577">
        <f t="shared" si="53"/>
        <v>342353.19228422077</v>
      </c>
      <c r="J130" s="514">
        <f t="shared" si="37"/>
        <v>0</v>
      </c>
      <c r="K130" s="514"/>
      <c r="L130" s="525"/>
      <c r="M130" s="514">
        <f t="shared" si="48"/>
        <v>0</v>
      </c>
      <c r="N130" s="525"/>
      <c r="O130" s="514">
        <f t="shared" si="38"/>
        <v>0</v>
      </c>
      <c r="P130" s="514">
        <f t="shared" si="39"/>
        <v>0</v>
      </c>
      <c r="Q130" s="269"/>
    </row>
    <row r="131" spans="2:17">
      <c r="B131" s="195" t="str">
        <f t="shared" si="36"/>
        <v/>
      </c>
      <c r="C131" s="507">
        <f>IF(D93="","-",+C130+1)</f>
        <v>2045</v>
      </c>
      <c r="D131" s="374">
        <f>IF(F130+SUM(E$99:E130)=D$92,F130,D$92-SUM(E$99:E130))</f>
        <v>1565094.1987559558</v>
      </c>
      <c r="E131" s="522">
        <f t="shared" si="49"/>
        <v>155847.29268292684</v>
      </c>
      <c r="F131" s="523">
        <f t="shared" si="50"/>
        <v>1409246.9060730289</v>
      </c>
      <c r="G131" s="523">
        <f t="shared" si="51"/>
        <v>1487170.5524144922</v>
      </c>
      <c r="H131" s="526">
        <f t="shared" si="52"/>
        <v>324662.30742317898</v>
      </c>
      <c r="I131" s="577">
        <f t="shared" si="53"/>
        <v>324662.30742317898</v>
      </c>
      <c r="J131" s="514">
        <f t="shared" si="37"/>
        <v>0</v>
      </c>
      <c r="K131" s="514"/>
      <c r="L131" s="525"/>
      <c r="M131" s="514">
        <f t="shared" ref="M131:M154" si="54">IF(L541&lt;&gt;0,+H541-L541,0)</f>
        <v>0</v>
      </c>
      <c r="N131" s="525"/>
      <c r="O131" s="514">
        <f t="shared" ref="O131:O154" si="55">IF(N541&lt;&gt;0,+I541-N541,0)</f>
        <v>0</v>
      </c>
      <c r="P131" s="514">
        <f t="shared" ref="P131:P154" si="56">+O541-M541</f>
        <v>0</v>
      </c>
      <c r="Q131" s="269"/>
    </row>
    <row r="132" spans="2:17">
      <c r="B132" s="195" t="str">
        <f t="shared" si="36"/>
        <v/>
      </c>
      <c r="C132" s="507">
        <f>IF(D93="","-",+C131+1)</f>
        <v>2046</v>
      </c>
      <c r="D132" s="374">
        <f>IF(F131+SUM(E$99:E131)=D$92,F131,D$92-SUM(E$99:E131))</f>
        <v>1409246.9060730289</v>
      </c>
      <c r="E132" s="522">
        <f t="shared" si="49"/>
        <v>155847.29268292684</v>
      </c>
      <c r="F132" s="523">
        <f t="shared" si="50"/>
        <v>1253399.6133901021</v>
      </c>
      <c r="G132" s="523">
        <f t="shared" si="51"/>
        <v>1331323.2597315656</v>
      </c>
      <c r="H132" s="526">
        <f t="shared" si="52"/>
        <v>306971.42256213725</v>
      </c>
      <c r="I132" s="577">
        <f t="shared" si="53"/>
        <v>306971.42256213725</v>
      </c>
      <c r="J132" s="514">
        <f t="shared" si="37"/>
        <v>0</v>
      </c>
      <c r="K132" s="514"/>
      <c r="L132" s="525"/>
      <c r="M132" s="514">
        <f t="shared" si="54"/>
        <v>0</v>
      </c>
      <c r="N132" s="525"/>
      <c r="O132" s="514">
        <f t="shared" si="55"/>
        <v>0</v>
      </c>
      <c r="P132" s="514">
        <f t="shared" si="56"/>
        <v>0</v>
      </c>
      <c r="Q132" s="269"/>
    </row>
    <row r="133" spans="2:17">
      <c r="B133" s="195" t="str">
        <f t="shared" si="36"/>
        <v/>
      </c>
      <c r="C133" s="507">
        <f>IF(D93="","-",+C132+1)</f>
        <v>2047</v>
      </c>
      <c r="D133" s="374">
        <f>IF(F132+SUM(E$99:E132)=D$92,F132,D$92-SUM(E$99:E132))</f>
        <v>1253399.6133901021</v>
      </c>
      <c r="E133" s="522">
        <f t="shared" si="49"/>
        <v>155847.29268292684</v>
      </c>
      <c r="F133" s="523">
        <f t="shared" si="50"/>
        <v>1097552.3207071752</v>
      </c>
      <c r="G133" s="523">
        <f t="shared" si="51"/>
        <v>1175475.9670486385</v>
      </c>
      <c r="H133" s="526">
        <f t="shared" si="52"/>
        <v>289280.5377010954</v>
      </c>
      <c r="I133" s="577">
        <f t="shared" si="53"/>
        <v>289280.5377010954</v>
      </c>
      <c r="J133" s="514">
        <f t="shared" si="37"/>
        <v>0</v>
      </c>
      <c r="K133" s="514"/>
      <c r="L133" s="525"/>
      <c r="M133" s="514">
        <f t="shared" si="54"/>
        <v>0</v>
      </c>
      <c r="N133" s="525"/>
      <c r="O133" s="514">
        <f t="shared" si="55"/>
        <v>0</v>
      </c>
      <c r="P133" s="514">
        <f t="shared" si="56"/>
        <v>0</v>
      </c>
      <c r="Q133" s="269"/>
    </row>
    <row r="134" spans="2:17">
      <c r="B134" s="195" t="str">
        <f t="shared" si="36"/>
        <v/>
      </c>
      <c r="C134" s="507">
        <f>IF(D93="","-",+C133+1)</f>
        <v>2048</v>
      </c>
      <c r="D134" s="374">
        <f>IF(F133+SUM(E$99:E133)=D$92,F133,D$92-SUM(E$99:E133))</f>
        <v>1097552.3207071752</v>
      </c>
      <c r="E134" s="522">
        <f t="shared" si="49"/>
        <v>155847.29268292684</v>
      </c>
      <c r="F134" s="523">
        <f t="shared" si="50"/>
        <v>941705.02802424831</v>
      </c>
      <c r="G134" s="523">
        <f t="shared" si="51"/>
        <v>1019628.6743657117</v>
      </c>
      <c r="H134" s="526">
        <f t="shared" si="52"/>
        <v>271589.65284005366</v>
      </c>
      <c r="I134" s="577">
        <f t="shared" si="53"/>
        <v>271589.65284005366</v>
      </c>
      <c r="J134" s="514">
        <f t="shared" si="37"/>
        <v>0</v>
      </c>
      <c r="K134" s="514"/>
      <c r="L134" s="525"/>
      <c r="M134" s="514">
        <f t="shared" si="54"/>
        <v>0</v>
      </c>
      <c r="N134" s="525"/>
      <c r="O134" s="514">
        <f t="shared" si="55"/>
        <v>0</v>
      </c>
      <c r="P134" s="514">
        <f t="shared" si="56"/>
        <v>0</v>
      </c>
      <c r="Q134" s="269"/>
    </row>
    <row r="135" spans="2:17">
      <c r="B135" s="195" t="str">
        <f t="shared" si="36"/>
        <v/>
      </c>
      <c r="C135" s="507">
        <f>IF(D93="","-",+C134+1)</f>
        <v>2049</v>
      </c>
      <c r="D135" s="374">
        <f>IF(F134+SUM(E$99:E134)=D$92,F134,D$92-SUM(E$99:E134))</f>
        <v>941705.02802424831</v>
      </c>
      <c r="E135" s="522">
        <f t="shared" si="49"/>
        <v>155847.29268292684</v>
      </c>
      <c r="F135" s="523">
        <f t="shared" si="50"/>
        <v>785857.73534132144</v>
      </c>
      <c r="G135" s="523">
        <f t="shared" si="51"/>
        <v>863781.38168278488</v>
      </c>
      <c r="H135" s="526">
        <f t="shared" si="52"/>
        <v>253898.76797901184</v>
      </c>
      <c r="I135" s="577">
        <f t="shared" si="53"/>
        <v>253898.76797901184</v>
      </c>
      <c r="J135" s="514">
        <f t="shared" si="37"/>
        <v>0</v>
      </c>
      <c r="K135" s="514"/>
      <c r="L135" s="525"/>
      <c r="M135" s="514">
        <f t="shared" si="54"/>
        <v>0</v>
      </c>
      <c r="N135" s="525"/>
      <c r="O135" s="514">
        <f t="shared" si="55"/>
        <v>0</v>
      </c>
      <c r="P135" s="514">
        <f t="shared" si="56"/>
        <v>0</v>
      </c>
      <c r="Q135" s="269"/>
    </row>
    <row r="136" spans="2:17">
      <c r="B136" s="195" t="str">
        <f t="shared" si="36"/>
        <v/>
      </c>
      <c r="C136" s="507">
        <f>IF(D93="","-",+C135+1)</f>
        <v>2050</v>
      </c>
      <c r="D136" s="374">
        <f>IF(F135+SUM(E$99:E135)=D$92,F135,D$92-SUM(E$99:E135))</f>
        <v>785857.73534132144</v>
      </c>
      <c r="E136" s="522">
        <f t="shared" si="49"/>
        <v>155847.29268292684</v>
      </c>
      <c r="F136" s="523">
        <f t="shared" si="50"/>
        <v>630010.44265839458</v>
      </c>
      <c r="G136" s="523">
        <f t="shared" si="51"/>
        <v>707934.08899985801</v>
      </c>
      <c r="H136" s="526">
        <f t="shared" si="52"/>
        <v>236207.88311797008</v>
      </c>
      <c r="I136" s="577">
        <f t="shared" si="53"/>
        <v>236207.88311797008</v>
      </c>
      <c r="J136" s="514">
        <f t="shared" si="37"/>
        <v>0</v>
      </c>
      <c r="K136" s="514"/>
      <c r="L136" s="525"/>
      <c r="M136" s="514">
        <f t="shared" si="54"/>
        <v>0</v>
      </c>
      <c r="N136" s="525"/>
      <c r="O136" s="514">
        <f t="shared" si="55"/>
        <v>0</v>
      </c>
      <c r="P136" s="514">
        <f t="shared" si="56"/>
        <v>0</v>
      </c>
      <c r="Q136" s="269"/>
    </row>
    <row r="137" spans="2:17">
      <c r="B137" s="195" t="str">
        <f t="shared" si="36"/>
        <v/>
      </c>
      <c r="C137" s="507">
        <f>IF(D93="","-",+C136+1)</f>
        <v>2051</v>
      </c>
      <c r="D137" s="374">
        <f>IF(F136+SUM(E$99:E136)=D$92,F136,D$92-SUM(E$99:E136))</f>
        <v>630010.44265839458</v>
      </c>
      <c r="E137" s="522">
        <f t="shared" si="49"/>
        <v>155847.29268292684</v>
      </c>
      <c r="F137" s="523">
        <f t="shared" si="50"/>
        <v>474163.14997546771</v>
      </c>
      <c r="G137" s="523">
        <f t="shared" si="51"/>
        <v>552086.79631693114</v>
      </c>
      <c r="H137" s="526">
        <f t="shared" si="52"/>
        <v>218516.99825692829</v>
      </c>
      <c r="I137" s="577">
        <f t="shared" si="53"/>
        <v>218516.99825692829</v>
      </c>
      <c r="J137" s="514">
        <f t="shared" si="37"/>
        <v>0</v>
      </c>
      <c r="K137" s="514"/>
      <c r="L137" s="525"/>
      <c r="M137" s="514">
        <f t="shared" si="54"/>
        <v>0</v>
      </c>
      <c r="N137" s="525"/>
      <c r="O137" s="514">
        <f t="shared" si="55"/>
        <v>0</v>
      </c>
      <c r="P137" s="514">
        <f t="shared" si="56"/>
        <v>0</v>
      </c>
      <c r="Q137" s="269"/>
    </row>
    <row r="138" spans="2:17">
      <c r="B138" s="195" t="str">
        <f t="shared" si="36"/>
        <v/>
      </c>
      <c r="C138" s="507">
        <f>IF(D93="","-",+C137+1)</f>
        <v>2052</v>
      </c>
      <c r="D138" s="374">
        <f>IF(F137+SUM(E$99:E137)=D$92,F137,D$92-SUM(E$99:E137))</f>
        <v>474163.14997546771</v>
      </c>
      <c r="E138" s="522">
        <f t="shared" si="49"/>
        <v>155847.29268292684</v>
      </c>
      <c r="F138" s="523">
        <f t="shared" si="50"/>
        <v>318315.85729254084</v>
      </c>
      <c r="G138" s="523">
        <f t="shared" si="51"/>
        <v>396239.50363400427</v>
      </c>
      <c r="H138" s="526">
        <f t="shared" si="52"/>
        <v>200826.1133958865</v>
      </c>
      <c r="I138" s="577">
        <f t="shared" si="53"/>
        <v>200826.1133958865</v>
      </c>
      <c r="J138" s="514">
        <f t="shared" si="37"/>
        <v>0</v>
      </c>
      <c r="K138" s="514"/>
      <c r="L138" s="525"/>
      <c r="M138" s="514">
        <f t="shared" si="54"/>
        <v>0</v>
      </c>
      <c r="N138" s="525"/>
      <c r="O138" s="514">
        <f t="shared" si="55"/>
        <v>0</v>
      </c>
      <c r="P138" s="514">
        <f t="shared" si="56"/>
        <v>0</v>
      </c>
      <c r="Q138" s="269"/>
    </row>
    <row r="139" spans="2:17">
      <c r="B139" s="195" t="str">
        <f t="shared" si="36"/>
        <v/>
      </c>
      <c r="C139" s="507">
        <f>IF(D93="","-",+C138+1)</f>
        <v>2053</v>
      </c>
      <c r="D139" s="374">
        <f>IF(F138+SUM(E$99:E138)=D$92,F138,D$92-SUM(E$99:E138))</f>
        <v>318315.85729254084</v>
      </c>
      <c r="E139" s="522">
        <f t="shared" si="49"/>
        <v>155847.29268292684</v>
      </c>
      <c r="F139" s="523">
        <f t="shared" si="50"/>
        <v>162468.564609614</v>
      </c>
      <c r="G139" s="523">
        <f t="shared" si="51"/>
        <v>240392.2109510774</v>
      </c>
      <c r="H139" s="526">
        <f t="shared" si="52"/>
        <v>183135.2285348447</v>
      </c>
      <c r="I139" s="577">
        <f t="shared" si="53"/>
        <v>183135.2285348447</v>
      </c>
      <c r="J139" s="514">
        <f t="shared" si="37"/>
        <v>0</v>
      </c>
      <c r="K139" s="514"/>
      <c r="L139" s="525"/>
      <c r="M139" s="514">
        <f t="shared" si="54"/>
        <v>0</v>
      </c>
      <c r="N139" s="525"/>
      <c r="O139" s="514">
        <f t="shared" si="55"/>
        <v>0</v>
      </c>
      <c r="P139" s="514">
        <f t="shared" si="56"/>
        <v>0</v>
      </c>
      <c r="Q139" s="269"/>
    </row>
    <row r="140" spans="2:17">
      <c r="B140" s="195" t="str">
        <f t="shared" si="36"/>
        <v/>
      </c>
      <c r="C140" s="507">
        <f>IF(D93="","-",+C139+1)</f>
        <v>2054</v>
      </c>
      <c r="D140" s="374">
        <f>IF(F139+SUM(E$99:E139)=D$92,F139,D$92-SUM(E$99:E139))</f>
        <v>162468.564609614</v>
      </c>
      <c r="E140" s="522">
        <f t="shared" si="49"/>
        <v>155847.29268292684</v>
      </c>
      <c r="F140" s="523">
        <f t="shared" si="50"/>
        <v>6621.2719266871572</v>
      </c>
      <c r="G140" s="523">
        <f t="shared" si="51"/>
        <v>84544.918268150577</v>
      </c>
      <c r="H140" s="526">
        <f t="shared" si="52"/>
        <v>165444.34367380294</v>
      </c>
      <c r="I140" s="577">
        <f t="shared" si="53"/>
        <v>165444.34367380294</v>
      </c>
      <c r="J140" s="514">
        <f t="shared" si="37"/>
        <v>0</v>
      </c>
      <c r="K140" s="514"/>
      <c r="L140" s="525"/>
      <c r="M140" s="514">
        <f t="shared" si="54"/>
        <v>0</v>
      </c>
      <c r="N140" s="525"/>
      <c r="O140" s="514">
        <f t="shared" si="55"/>
        <v>0</v>
      </c>
      <c r="P140" s="514">
        <f t="shared" si="56"/>
        <v>0</v>
      </c>
      <c r="Q140" s="269"/>
    </row>
    <row r="141" spans="2:17">
      <c r="B141" s="195" t="str">
        <f t="shared" si="36"/>
        <v/>
      </c>
      <c r="C141" s="507">
        <f>IF(D93="","-",+C140+1)</f>
        <v>2055</v>
      </c>
      <c r="D141" s="374">
        <f>IF(F140+SUM(E$99:E140)=D$92,F140,D$92-SUM(E$99:E140))</f>
        <v>6621.2719266871572</v>
      </c>
      <c r="E141" s="522">
        <f t="shared" si="49"/>
        <v>6621.2719266871572</v>
      </c>
      <c r="F141" s="523">
        <f t="shared" si="50"/>
        <v>0</v>
      </c>
      <c r="G141" s="523">
        <f t="shared" si="51"/>
        <v>3310.6359633435786</v>
      </c>
      <c r="H141" s="526">
        <f t="shared" si="52"/>
        <v>6997.0762068647591</v>
      </c>
      <c r="I141" s="577">
        <f t="shared" si="53"/>
        <v>6997.0762068647591</v>
      </c>
      <c r="J141" s="514">
        <f t="shared" si="37"/>
        <v>0</v>
      </c>
      <c r="K141" s="514"/>
      <c r="L141" s="525"/>
      <c r="M141" s="514">
        <f t="shared" si="54"/>
        <v>0</v>
      </c>
      <c r="N141" s="525"/>
      <c r="O141" s="514">
        <f t="shared" si="55"/>
        <v>0</v>
      </c>
      <c r="P141" s="514">
        <f t="shared" si="56"/>
        <v>0</v>
      </c>
      <c r="Q141" s="269"/>
    </row>
    <row r="142" spans="2:17">
      <c r="B142" s="195" t="str">
        <f t="shared" si="36"/>
        <v/>
      </c>
      <c r="C142" s="507">
        <f>IF(D93="","-",+C141+1)</f>
        <v>2056</v>
      </c>
      <c r="D142" s="374">
        <f>IF(F141+SUM(E$99:E141)=D$92,F141,D$92-SUM(E$99:E141))</f>
        <v>0</v>
      </c>
      <c r="E142" s="522">
        <f t="shared" si="49"/>
        <v>0</v>
      </c>
      <c r="F142" s="523">
        <f t="shared" si="50"/>
        <v>0</v>
      </c>
      <c r="G142" s="523">
        <f t="shared" si="51"/>
        <v>0</v>
      </c>
      <c r="H142" s="526">
        <f t="shared" si="52"/>
        <v>0</v>
      </c>
      <c r="I142" s="577">
        <f t="shared" si="53"/>
        <v>0</v>
      </c>
      <c r="J142" s="514">
        <f t="shared" si="37"/>
        <v>0</v>
      </c>
      <c r="K142" s="514"/>
      <c r="L142" s="525"/>
      <c r="M142" s="514">
        <f t="shared" si="54"/>
        <v>0</v>
      </c>
      <c r="N142" s="525"/>
      <c r="O142" s="514">
        <f t="shared" si="55"/>
        <v>0</v>
      </c>
      <c r="P142" s="514">
        <f t="shared" si="56"/>
        <v>0</v>
      </c>
      <c r="Q142" s="269"/>
    </row>
    <row r="143" spans="2:17">
      <c r="B143" s="195" t="str">
        <f t="shared" si="36"/>
        <v/>
      </c>
      <c r="C143" s="507">
        <f>IF(D93="","-",+C142+1)</f>
        <v>2057</v>
      </c>
      <c r="D143" s="374">
        <f>IF(F142+SUM(E$99:E142)=D$92,F142,D$92-SUM(E$99:E142))</f>
        <v>0</v>
      </c>
      <c r="E143" s="522">
        <f t="shared" si="49"/>
        <v>0</v>
      </c>
      <c r="F143" s="523">
        <f t="shared" si="50"/>
        <v>0</v>
      </c>
      <c r="G143" s="523">
        <f t="shared" si="51"/>
        <v>0</v>
      </c>
      <c r="H143" s="526">
        <f t="shared" si="52"/>
        <v>0</v>
      </c>
      <c r="I143" s="577">
        <f t="shared" si="53"/>
        <v>0</v>
      </c>
      <c r="J143" s="514">
        <f t="shared" si="37"/>
        <v>0</v>
      </c>
      <c r="K143" s="514"/>
      <c r="L143" s="525"/>
      <c r="M143" s="514">
        <f t="shared" si="54"/>
        <v>0</v>
      </c>
      <c r="N143" s="525"/>
      <c r="O143" s="514">
        <f t="shared" si="55"/>
        <v>0</v>
      </c>
      <c r="P143" s="514">
        <f t="shared" si="56"/>
        <v>0</v>
      </c>
      <c r="Q143" s="269"/>
    </row>
    <row r="144" spans="2:17">
      <c r="B144" s="195" t="str">
        <f t="shared" si="36"/>
        <v/>
      </c>
      <c r="C144" s="507">
        <f>IF(D93="","-",+C143+1)</f>
        <v>2058</v>
      </c>
      <c r="D144" s="374">
        <f>IF(F143+SUM(E$99:E143)=D$92,F143,D$92-SUM(E$99:E143))</f>
        <v>0</v>
      </c>
      <c r="E144" s="522">
        <f t="shared" si="49"/>
        <v>0</v>
      </c>
      <c r="F144" s="523">
        <f t="shared" si="50"/>
        <v>0</v>
      </c>
      <c r="G144" s="523">
        <f t="shared" si="51"/>
        <v>0</v>
      </c>
      <c r="H144" s="526">
        <f t="shared" si="52"/>
        <v>0</v>
      </c>
      <c r="I144" s="577">
        <f t="shared" si="53"/>
        <v>0</v>
      </c>
      <c r="J144" s="514">
        <f t="shared" si="37"/>
        <v>0</v>
      </c>
      <c r="K144" s="514"/>
      <c r="L144" s="525"/>
      <c r="M144" s="514">
        <f t="shared" si="54"/>
        <v>0</v>
      </c>
      <c r="N144" s="525"/>
      <c r="O144" s="514">
        <f t="shared" si="55"/>
        <v>0</v>
      </c>
      <c r="P144" s="514">
        <f t="shared" si="56"/>
        <v>0</v>
      </c>
      <c r="Q144" s="269"/>
    </row>
    <row r="145" spans="2:17">
      <c r="B145" s="195" t="str">
        <f t="shared" si="36"/>
        <v/>
      </c>
      <c r="C145" s="507">
        <f>IF(D93="","-",+C144+1)</f>
        <v>2059</v>
      </c>
      <c r="D145" s="374">
        <f>IF(F144+SUM(E$99:E144)=D$92,F144,D$92-SUM(E$99:E144))</f>
        <v>0</v>
      </c>
      <c r="E145" s="522">
        <f t="shared" si="49"/>
        <v>0</v>
      </c>
      <c r="F145" s="523">
        <f t="shared" si="50"/>
        <v>0</v>
      </c>
      <c r="G145" s="523">
        <f t="shared" si="51"/>
        <v>0</v>
      </c>
      <c r="H145" s="526">
        <f t="shared" si="52"/>
        <v>0</v>
      </c>
      <c r="I145" s="577">
        <f t="shared" si="53"/>
        <v>0</v>
      </c>
      <c r="J145" s="514">
        <f t="shared" si="37"/>
        <v>0</v>
      </c>
      <c r="K145" s="514"/>
      <c r="L145" s="525"/>
      <c r="M145" s="514">
        <f t="shared" si="54"/>
        <v>0</v>
      </c>
      <c r="N145" s="525"/>
      <c r="O145" s="514">
        <f t="shared" si="55"/>
        <v>0</v>
      </c>
      <c r="P145" s="514">
        <f t="shared" si="56"/>
        <v>0</v>
      </c>
      <c r="Q145" s="269"/>
    </row>
    <row r="146" spans="2:17">
      <c r="B146" s="195" t="str">
        <f t="shared" si="36"/>
        <v/>
      </c>
      <c r="C146" s="507">
        <f>IF(D93="","-",+C145+1)</f>
        <v>2060</v>
      </c>
      <c r="D146" s="374">
        <f>IF(F145+SUM(E$99:E145)=D$92,F145,D$92-SUM(E$99:E145))</f>
        <v>0</v>
      </c>
      <c r="E146" s="522">
        <f t="shared" si="49"/>
        <v>0</v>
      </c>
      <c r="F146" s="523">
        <f t="shared" si="50"/>
        <v>0</v>
      </c>
      <c r="G146" s="523">
        <f t="shared" si="51"/>
        <v>0</v>
      </c>
      <c r="H146" s="526">
        <f t="shared" si="52"/>
        <v>0</v>
      </c>
      <c r="I146" s="577">
        <f t="shared" si="53"/>
        <v>0</v>
      </c>
      <c r="J146" s="514">
        <f t="shared" si="37"/>
        <v>0</v>
      </c>
      <c r="K146" s="514"/>
      <c r="L146" s="525"/>
      <c r="M146" s="514">
        <f t="shared" si="54"/>
        <v>0</v>
      </c>
      <c r="N146" s="525"/>
      <c r="O146" s="514">
        <f t="shared" si="55"/>
        <v>0</v>
      </c>
      <c r="P146" s="514">
        <f t="shared" si="56"/>
        <v>0</v>
      </c>
      <c r="Q146" s="269"/>
    </row>
    <row r="147" spans="2:17">
      <c r="B147" s="195" t="str">
        <f t="shared" si="36"/>
        <v/>
      </c>
      <c r="C147" s="507">
        <f>IF(D93="","-",+C146+1)</f>
        <v>2061</v>
      </c>
      <c r="D147" s="374">
        <f>IF(F146+SUM(E$99:E146)=D$92,F146,D$92-SUM(E$99:E146))</f>
        <v>0</v>
      </c>
      <c r="E147" s="522">
        <f t="shared" si="49"/>
        <v>0</v>
      </c>
      <c r="F147" s="523">
        <f t="shared" si="50"/>
        <v>0</v>
      </c>
      <c r="G147" s="523">
        <f t="shared" si="51"/>
        <v>0</v>
      </c>
      <c r="H147" s="526">
        <f t="shared" si="52"/>
        <v>0</v>
      </c>
      <c r="I147" s="577">
        <f t="shared" si="53"/>
        <v>0</v>
      </c>
      <c r="J147" s="514">
        <f t="shared" si="37"/>
        <v>0</v>
      </c>
      <c r="K147" s="514"/>
      <c r="L147" s="525"/>
      <c r="M147" s="514">
        <f t="shared" si="54"/>
        <v>0</v>
      </c>
      <c r="N147" s="525"/>
      <c r="O147" s="514">
        <f t="shared" si="55"/>
        <v>0</v>
      </c>
      <c r="P147" s="514">
        <f t="shared" si="56"/>
        <v>0</v>
      </c>
      <c r="Q147" s="269"/>
    </row>
    <row r="148" spans="2:17">
      <c r="B148" s="195" t="str">
        <f t="shared" si="36"/>
        <v/>
      </c>
      <c r="C148" s="507">
        <f>IF(D93="","-",+C147+1)</f>
        <v>2062</v>
      </c>
      <c r="D148" s="374">
        <f>IF(F147+SUM(E$99:E147)=D$92,F147,D$92-SUM(E$99:E147))</f>
        <v>0</v>
      </c>
      <c r="E148" s="522">
        <f t="shared" si="49"/>
        <v>0</v>
      </c>
      <c r="F148" s="523">
        <f t="shared" si="50"/>
        <v>0</v>
      </c>
      <c r="G148" s="523">
        <f t="shared" si="51"/>
        <v>0</v>
      </c>
      <c r="H148" s="526">
        <f t="shared" si="52"/>
        <v>0</v>
      </c>
      <c r="I148" s="577">
        <f t="shared" si="53"/>
        <v>0</v>
      </c>
      <c r="J148" s="514">
        <f t="shared" si="37"/>
        <v>0</v>
      </c>
      <c r="K148" s="514"/>
      <c r="L148" s="525"/>
      <c r="M148" s="514">
        <f t="shared" si="54"/>
        <v>0</v>
      </c>
      <c r="N148" s="525"/>
      <c r="O148" s="514">
        <f t="shared" si="55"/>
        <v>0</v>
      </c>
      <c r="P148" s="514">
        <f t="shared" si="56"/>
        <v>0</v>
      </c>
      <c r="Q148" s="269"/>
    </row>
    <row r="149" spans="2:17">
      <c r="B149" s="195" t="str">
        <f t="shared" si="36"/>
        <v/>
      </c>
      <c r="C149" s="507">
        <f>IF(D93="","-",+C148+1)</f>
        <v>2063</v>
      </c>
      <c r="D149" s="374">
        <f>IF(F148+SUM(E$99:E148)=D$92,F148,D$92-SUM(E$99:E148))</f>
        <v>0</v>
      </c>
      <c r="E149" s="522">
        <f t="shared" si="49"/>
        <v>0</v>
      </c>
      <c r="F149" s="523">
        <f t="shared" si="50"/>
        <v>0</v>
      </c>
      <c r="G149" s="523">
        <f t="shared" si="51"/>
        <v>0</v>
      </c>
      <c r="H149" s="526">
        <f t="shared" si="52"/>
        <v>0</v>
      </c>
      <c r="I149" s="577">
        <f t="shared" si="53"/>
        <v>0</v>
      </c>
      <c r="J149" s="514">
        <f t="shared" si="37"/>
        <v>0</v>
      </c>
      <c r="K149" s="514"/>
      <c r="L149" s="525"/>
      <c r="M149" s="514">
        <f t="shared" si="54"/>
        <v>0</v>
      </c>
      <c r="N149" s="525"/>
      <c r="O149" s="514">
        <f t="shared" si="55"/>
        <v>0</v>
      </c>
      <c r="P149" s="514">
        <f t="shared" si="56"/>
        <v>0</v>
      </c>
      <c r="Q149" s="269"/>
    </row>
    <row r="150" spans="2:17">
      <c r="B150" s="195" t="str">
        <f t="shared" si="36"/>
        <v/>
      </c>
      <c r="C150" s="507">
        <f>IF(D93="","-",+C149+1)</f>
        <v>2064</v>
      </c>
      <c r="D150" s="374">
        <f>IF(F149+SUM(E$99:E149)=D$92,F149,D$92-SUM(E$99:E149))</f>
        <v>0</v>
      </c>
      <c r="E150" s="522">
        <f t="shared" si="49"/>
        <v>0</v>
      </c>
      <c r="F150" s="523">
        <f t="shared" si="50"/>
        <v>0</v>
      </c>
      <c r="G150" s="523">
        <f t="shared" si="51"/>
        <v>0</v>
      </c>
      <c r="H150" s="526">
        <f t="shared" si="52"/>
        <v>0</v>
      </c>
      <c r="I150" s="577">
        <f t="shared" si="53"/>
        <v>0</v>
      </c>
      <c r="J150" s="514">
        <f t="shared" si="37"/>
        <v>0</v>
      </c>
      <c r="K150" s="514"/>
      <c r="L150" s="525"/>
      <c r="M150" s="514">
        <f t="shared" si="54"/>
        <v>0</v>
      </c>
      <c r="N150" s="525"/>
      <c r="O150" s="514">
        <f t="shared" si="55"/>
        <v>0</v>
      </c>
      <c r="P150" s="514">
        <f t="shared" si="56"/>
        <v>0</v>
      </c>
      <c r="Q150" s="269"/>
    </row>
    <row r="151" spans="2:17">
      <c r="B151" s="195" t="str">
        <f t="shared" si="36"/>
        <v/>
      </c>
      <c r="C151" s="507">
        <f>IF(D93="","-",+C150+1)</f>
        <v>2065</v>
      </c>
      <c r="D151" s="374">
        <f>IF(F150+SUM(E$99:E150)=D$92,F150,D$92-SUM(E$99:E150))</f>
        <v>0</v>
      </c>
      <c r="E151" s="522">
        <f t="shared" si="49"/>
        <v>0</v>
      </c>
      <c r="F151" s="523">
        <f t="shared" si="50"/>
        <v>0</v>
      </c>
      <c r="G151" s="523">
        <f t="shared" si="51"/>
        <v>0</v>
      </c>
      <c r="H151" s="526">
        <f t="shared" si="52"/>
        <v>0</v>
      </c>
      <c r="I151" s="577">
        <f t="shared" si="53"/>
        <v>0</v>
      </c>
      <c r="J151" s="514">
        <f t="shared" si="37"/>
        <v>0</v>
      </c>
      <c r="K151" s="514"/>
      <c r="L151" s="525"/>
      <c r="M151" s="514">
        <f t="shared" si="54"/>
        <v>0</v>
      </c>
      <c r="N151" s="525"/>
      <c r="O151" s="514">
        <f t="shared" si="55"/>
        <v>0</v>
      </c>
      <c r="P151" s="514">
        <f t="shared" si="56"/>
        <v>0</v>
      </c>
      <c r="Q151" s="269"/>
    </row>
    <row r="152" spans="2:17">
      <c r="B152" s="195" t="str">
        <f t="shared" si="36"/>
        <v/>
      </c>
      <c r="C152" s="507">
        <f>IF(D93="","-",+C151+1)</f>
        <v>2066</v>
      </c>
      <c r="D152" s="374">
        <f>IF(F151+SUM(E$99:E151)=D$92,F151,D$92-SUM(E$99:E151))</f>
        <v>0</v>
      </c>
      <c r="E152" s="522">
        <f t="shared" si="49"/>
        <v>0</v>
      </c>
      <c r="F152" s="523">
        <f t="shared" si="50"/>
        <v>0</v>
      </c>
      <c r="G152" s="523">
        <f t="shared" si="51"/>
        <v>0</v>
      </c>
      <c r="H152" s="526">
        <f t="shared" si="52"/>
        <v>0</v>
      </c>
      <c r="I152" s="577">
        <f t="shared" si="53"/>
        <v>0</v>
      </c>
      <c r="J152" s="514">
        <f t="shared" si="37"/>
        <v>0</v>
      </c>
      <c r="K152" s="514"/>
      <c r="L152" s="525"/>
      <c r="M152" s="514">
        <f t="shared" si="54"/>
        <v>0</v>
      </c>
      <c r="N152" s="525"/>
      <c r="O152" s="514">
        <f t="shared" si="55"/>
        <v>0</v>
      </c>
      <c r="P152" s="514">
        <f t="shared" si="56"/>
        <v>0</v>
      </c>
      <c r="Q152" s="269"/>
    </row>
    <row r="153" spans="2:17">
      <c r="B153" s="195" t="str">
        <f t="shared" si="36"/>
        <v/>
      </c>
      <c r="C153" s="507">
        <f>IF(D93="","-",+C152+1)</f>
        <v>2067</v>
      </c>
      <c r="D153" s="374">
        <f>IF(F152+SUM(E$99:E152)=D$92,F152,D$92-SUM(E$99:E152))</f>
        <v>0</v>
      </c>
      <c r="E153" s="522">
        <f t="shared" si="49"/>
        <v>0</v>
      </c>
      <c r="F153" s="523">
        <f t="shared" si="50"/>
        <v>0</v>
      </c>
      <c r="G153" s="523">
        <f t="shared" si="51"/>
        <v>0</v>
      </c>
      <c r="H153" s="526">
        <f t="shared" si="52"/>
        <v>0</v>
      </c>
      <c r="I153" s="577">
        <f t="shared" si="53"/>
        <v>0</v>
      </c>
      <c r="J153" s="514">
        <f t="shared" si="37"/>
        <v>0</v>
      </c>
      <c r="K153" s="514"/>
      <c r="L153" s="525"/>
      <c r="M153" s="514">
        <f t="shared" si="54"/>
        <v>0</v>
      </c>
      <c r="N153" s="525"/>
      <c r="O153" s="514">
        <f t="shared" si="55"/>
        <v>0</v>
      </c>
      <c r="P153" s="514">
        <f t="shared" si="56"/>
        <v>0</v>
      </c>
      <c r="Q153" s="269"/>
    </row>
    <row r="154" spans="2:17" ht="13.5" thickBot="1">
      <c r="B154" s="195" t="str">
        <f t="shared" si="36"/>
        <v/>
      </c>
      <c r="C154" s="527">
        <f>IF(D93="","-",+C153+1)</f>
        <v>2068</v>
      </c>
      <c r="D154" s="374">
        <f>IF(F153+SUM(E$99:E153)=D$92,F153,D$92-SUM(E$99:E153))</f>
        <v>0</v>
      </c>
      <c r="E154" s="522">
        <f t="shared" si="49"/>
        <v>0</v>
      </c>
      <c r="F154" s="523">
        <f t="shared" si="50"/>
        <v>0</v>
      </c>
      <c r="G154" s="523">
        <f t="shared" si="51"/>
        <v>0</v>
      </c>
      <c r="H154" s="526">
        <f t="shared" si="52"/>
        <v>0</v>
      </c>
      <c r="I154" s="577">
        <f t="shared" si="53"/>
        <v>0</v>
      </c>
      <c r="J154" s="514">
        <f t="shared" si="37"/>
        <v>0</v>
      </c>
      <c r="K154" s="514"/>
      <c r="L154" s="532"/>
      <c r="M154" s="533">
        <f t="shared" si="54"/>
        <v>0</v>
      </c>
      <c r="N154" s="532"/>
      <c r="O154" s="533">
        <f t="shared" si="55"/>
        <v>0</v>
      </c>
      <c r="P154" s="533">
        <f t="shared" si="56"/>
        <v>0</v>
      </c>
      <c r="Q154" s="269"/>
    </row>
    <row r="155" spans="2:17">
      <c r="C155" s="374" t="s">
        <v>78</v>
      </c>
      <c r="D155" s="375"/>
      <c r="E155" s="375">
        <f>SUM(E99:E154)</f>
        <v>6389739.0000000037</v>
      </c>
      <c r="F155" s="375"/>
      <c r="G155" s="375"/>
      <c r="H155" s="375">
        <f>SUM(H99:H154)</f>
        <v>21307755.368211541</v>
      </c>
      <c r="I155" s="375">
        <f>SUM(I99:I154)</f>
        <v>21307755.368211541</v>
      </c>
      <c r="J155" s="375">
        <f>SUM(J99:J154)</f>
        <v>0</v>
      </c>
      <c r="K155" s="375"/>
      <c r="L155" s="375"/>
      <c r="M155" s="375"/>
      <c r="N155" s="375"/>
      <c r="O155" s="375"/>
      <c r="P155" s="269"/>
      <c r="Q155" s="269"/>
    </row>
    <row r="156" spans="2:17">
      <c r="C156" s="183" t="s">
        <v>92</v>
      </c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  <c r="Q156" s="269"/>
    </row>
    <row r="157" spans="2:17">
      <c r="C157" s="580"/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  <c r="Q157" s="269"/>
    </row>
    <row r="158" spans="2:17">
      <c r="C158" s="614" t="s">
        <v>132</v>
      </c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  <c r="Q158" s="269"/>
    </row>
    <row r="159" spans="2:17">
      <c r="C159" s="467" t="s">
        <v>79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  <c r="Q159" s="269"/>
    </row>
    <row r="160" spans="2:17">
      <c r="C160" s="581" t="s">
        <v>80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  <c r="Q160" s="269"/>
    </row>
    <row r="161" spans="3:17">
      <c r="C161" s="581"/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  <c r="Q161" s="269"/>
    </row>
    <row r="162" spans="3:17" ht="18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635" t="s">
        <v>131</v>
      </c>
      <c r="Q162" s="269"/>
    </row>
  </sheetData>
  <conditionalFormatting sqref="C17:C72">
    <cfRule type="cellIs" dxfId="90" priority="1" stopIfTrue="1" operator="equal">
      <formula>$I$10</formula>
    </cfRule>
  </conditionalFormatting>
  <conditionalFormatting sqref="C99:C154">
    <cfRule type="cellIs" dxfId="89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9"/>
  <dimension ref="A1:Q162"/>
  <sheetViews>
    <sheetView topLeftCell="A87" zoomScaleNormal="100" zoomScaleSheetLayoutView="82" workbookViewId="0">
      <selection activeCell="D99" sqref="D99:I112"/>
    </sheetView>
  </sheetViews>
  <sheetFormatPr defaultColWidth="8.7109375" defaultRowHeight="12.75" customHeight="1"/>
  <cols>
    <col min="1" max="1" width="4.7109375" style="183" customWidth="1"/>
    <col min="2" max="2" width="6.7109375" style="183" customWidth="1"/>
    <col min="3" max="3" width="23.28515625" style="183" customWidth="1"/>
    <col min="4" max="8" width="17.7109375" style="183" customWidth="1"/>
    <col min="9" max="9" width="20.42578125" style="183" customWidth="1"/>
    <col min="10" max="10" width="16.42578125" style="183" customWidth="1"/>
    <col min="11" max="11" width="17.7109375" style="183" customWidth="1"/>
    <col min="12" max="12" width="16.140625" style="183" customWidth="1"/>
    <col min="13" max="13" width="17.7109375" style="183" customWidth="1"/>
    <col min="14" max="14" width="16.140625" style="183" customWidth="1"/>
    <col min="15" max="15" width="16.85546875" style="183" customWidth="1"/>
    <col min="16" max="16" width="24.42578125" style="183" customWidth="1"/>
    <col min="17" max="17" width="4.7109375" style="183" customWidth="1"/>
    <col min="18" max="22" width="8.7109375" style="183"/>
    <col min="23" max="23" width="9.140625" style="183" customWidth="1"/>
    <col min="24" max="16384" width="8.7109375" style="183"/>
  </cols>
  <sheetData>
    <row r="1" spans="1:17" ht="20.25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"&amp;RIGHT(MID(CELL("filename",$A$1),FIND("]",CELL("filename",$A$1))+1,256),1)&amp;" of "&amp;COUNT('S.001:S.xyz - blank'!$P$3)-1</f>
        <v>SWEPCO Project 1 of 75</v>
      </c>
      <c r="Q1" s="453"/>
    </row>
    <row r="2" spans="1:17" ht="18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454" t="s">
        <v>129</v>
      </c>
    </row>
    <row r="3" spans="1:17" ht="18.75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 t="str">
        <f>RIGHT(N3,3)</f>
        <v/>
      </c>
      <c r="P3" s="455">
        <v>1</v>
      </c>
    </row>
    <row r="4" spans="1:17" ht="15.75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7" ht="1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1776520.6128682327</v>
      </c>
      <c r="P5" s="269"/>
    </row>
    <row r="6" spans="1:17" ht="15.7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1776520.6128682327</v>
      </c>
      <c r="O6" s="269"/>
      <c r="P6" s="269"/>
    </row>
    <row r="7" spans="1:17" ht="13.5" thickBot="1">
      <c r="C7" s="467" t="s">
        <v>48</v>
      </c>
      <c r="D7" s="468" t="s">
        <v>225</v>
      </c>
      <c r="E7" s="269"/>
      <c r="F7" s="269"/>
      <c r="G7" s="269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7" ht="13.5" thickBot="1">
      <c r="C8" s="472"/>
      <c r="D8" s="473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7" ht="13.5" thickBot="1">
      <c r="A9" s="191"/>
      <c r="C9" s="476" t="s">
        <v>50</v>
      </c>
      <c r="D9" s="477" t="s">
        <v>140</v>
      </c>
      <c r="E9" s="666" t="s">
        <v>471</v>
      </c>
      <c r="F9" s="478"/>
      <c r="G9" s="478"/>
      <c r="H9" s="478"/>
      <c r="I9" s="479"/>
      <c r="J9" s="480"/>
      <c r="O9" s="481"/>
      <c r="P9" s="272"/>
    </row>
    <row r="10" spans="1:17">
      <c r="C10" s="482" t="s">
        <v>51</v>
      </c>
      <c r="D10" s="483">
        <v>17671482</v>
      </c>
      <c r="E10" s="353" t="s">
        <v>52</v>
      </c>
      <c r="F10" s="481"/>
      <c r="G10" s="484"/>
      <c r="H10" s="484"/>
      <c r="I10" s="485">
        <f>+'SWE.WS.F.BPU.ATRR.Projected'!L19</f>
        <v>2024</v>
      </c>
      <c r="J10" s="480"/>
      <c r="K10" s="375" t="s">
        <v>53</v>
      </c>
      <c r="O10" s="272"/>
      <c r="P10" s="272"/>
    </row>
    <row r="11" spans="1:17">
      <c r="C11" s="486" t="s">
        <v>54</v>
      </c>
      <c r="D11" s="487">
        <v>2009</v>
      </c>
      <c r="E11" s="486" t="s">
        <v>55</v>
      </c>
      <c r="F11" s="484"/>
      <c r="G11" s="233"/>
      <c r="H11" s="233"/>
      <c r="I11" s="488"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7">
      <c r="C12" s="486" t="s">
        <v>56</v>
      </c>
      <c r="D12" s="483">
        <v>12</v>
      </c>
      <c r="E12" s="486" t="s">
        <v>57</v>
      </c>
      <c r="F12" s="484"/>
      <c r="G12" s="233"/>
      <c r="H12" s="233"/>
      <c r="I12" s="490">
        <f>'SWE.WS.F.BPU.ATRR.Projected'!$F$81</f>
        <v>0.11952713165403545</v>
      </c>
      <c r="J12" s="425"/>
      <c r="K12" s="183" t="s">
        <v>58</v>
      </c>
      <c r="O12" s="272"/>
      <c r="P12" s="272"/>
    </row>
    <row r="13" spans="1:17">
      <c r="C13" s="486" t="s">
        <v>59</v>
      </c>
      <c r="D13" s="488">
        <f>+'SWE.WS.F.BPU.ATRR.Projected'!F$93</f>
        <v>44</v>
      </c>
      <c r="E13" s="486" t="s">
        <v>60</v>
      </c>
      <c r="F13" s="484"/>
      <c r="G13" s="233"/>
      <c r="H13" s="233"/>
      <c r="I13" s="490">
        <f>IF(G5="",I12,'SWE.WS.F.BPU.ATRR.Projected'!$F$80)</f>
        <v>0.11952713165403545</v>
      </c>
      <c r="J13" s="425"/>
      <c r="K13" s="375" t="s">
        <v>61</v>
      </c>
      <c r="L13" s="324"/>
      <c r="M13" s="324"/>
      <c r="N13" s="324"/>
      <c r="O13" s="272"/>
      <c r="P13" s="272"/>
    </row>
    <row r="14" spans="1:17" ht="13.5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401624.59090909088</v>
      </c>
      <c r="J14" s="375"/>
      <c r="K14" s="375"/>
      <c r="L14" s="375"/>
      <c r="M14" s="375"/>
      <c r="N14" s="375"/>
      <c r="O14" s="272"/>
      <c r="P14" s="272"/>
    </row>
    <row r="15" spans="1:17" ht="38.25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388</v>
      </c>
      <c r="H15" s="495" t="s">
        <v>389</v>
      </c>
      <c r="I15" s="496" t="s">
        <v>260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7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>
      <c r="C17" s="507">
        <f>IF(D11= "","-",D11)</f>
        <v>2009</v>
      </c>
      <c r="D17" s="508">
        <v>9057179</v>
      </c>
      <c r="E17" s="509">
        <v>0</v>
      </c>
      <c r="F17" s="508">
        <v>9057179</v>
      </c>
      <c r="G17" s="509">
        <v>115677</v>
      </c>
      <c r="H17" s="510">
        <v>115677</v>
      </c>
      <c r="I17" s="511">
        <f t="shared" ref="I17:I48" si="0">H17-G17</f>
        <v>0</v>
      </c>
      <c r="J17" s="511"/>
      <c r="K17" s="512">
        <v>115677</v>
      </c>
      <c r="L17" s="513">
        <f t="shared" ref="L17:L48" si="1">IF(K17&lt;&gt;0,+G17-K17,0)</f>
        <v>0</v>
      </c>
      <c r="M17" s="512">
        <v>115677</v>
      </c>
      <c r="N17" s="513">
        <f t="shared" ref="N17:N48" si="2">IF(M17&lt;&gt;0,+H17-M17,0)</f>
        <v>0</v>
      </c>
      <c r="O17" s="514">
        <f t="shared" ref="O17:O48" si="3">+N17-L17</f>
        <v>0</v>
      </c>
      <c r="P17" s="272"/>
    </row>
    <row r="18" spans="2:16">
      <c r="B18" s="195" t="str">
        <f>IF(D18=F17,"","IU")</f>
        <v>IU</v>
      </c>
      <c r="C18" s="507">
        <f>IF(D11="","-",+C17+1)</f>
        <v>2010</v>
      </c>
      <c r="D18" s="515">
        <v>17740954</v>
      </c>
      <c r="E18" s="516">
        <v>466867</v>
      </c>
      <c r="F18" s="515">
        <v>17274087</v>
      </c>
      <c r="G18" s="516">
        <v>2950276</v>
      </c>
      <c r="H18" s="510">
        <v>2950276</v>
      </c>
      <c r="I18" s="517">
        <v>0</v>
      </c>
      <c r="J18" s="511"/>
      <c r="K18" s="518">
        <f t="shared" ref="K18:K23" si="4">G18</f>
        <v>2950276</v>
      </c>
      <c r="L18" s="519">
        <f t="shared" si="1"/>
        <v>0</v>
      </c>
      <c r="M18" s="518">
        <f t="shared" ref="M18:M23" si="5">H18</f>
        <v>2950276</v>
      </c>
      <c r="N18" s="514">
        <f t="shared" si="2"/>
        <v>0</v>
      </c>
      <c r="O18" s="514">
        <f t="shared" si="3"/>
        <v>0</v>
      </c>
      <c r="P18" s="272"/>
    </row>
    <row r="19" spans="2:16">
      <c r="B19" s="195" t="str">
        <f>IF(D19=F18,"","IU")</f>
        <v>IU</v>
      </c>
      <c r="C19" s="507">
        <f>IF(D11="","-",+C18+1)</f>
        <v>2011</v>
      </c>
      <c r="D19" s="515">
        <v>17204615</v>
      </c>
      <c r="E19" s="516">
        <v>431011.75609756098</v>
      </c>
      <c r="F19" s="515">
        <v>16773603.243902439</v>
      </c>
      <c r="G19" s="516">
        <v>3050917.4869010281</v>
      </c>
      <c r="H19" s="510">
        <v>3050917.4869010281</v>
      </c>
      <c r="I19" s="517">
        <v>0</v>
      </c>
      <c r="J19" s="511"/>
      <c r="K19" s="518">
        <f t="shared" si="4"/>
        <v>3050917.4869010281</v>
      </c>
      <c r="L19" s="519">
        <f t="shared" si="1"/>
        <v>0</v>
      </c>
      <c r="M19" s="518">
        <f t="shared" si="5"/>
        <v>3050917.4869010281</v>
      </c>
      <c r="N19" s="514">
        <f t="shared" si="2"/>
        <v>0</v>
      </c>
      <c r="O19" s="514">
        <f t="shared" si="3"/>
        <v>0</v>
      </c>
      <c r="P19" s="272"/>
    </row>
    <row r="20" spans="2:16">
      <c r="B20" s="195" t="str">
        <f t="shared" ref="B20:B72" si="6">IF(D20=F19,"","IU")</f>
        <v/>
      </c>
      <c r="C20" s="507">
        <f>IF(D11="","-",+C19+1)</f>
        <v>2012</v>
      </c>
      <c r="D20" s="515">
        <v>16773603.243902439</v>
      </c>
      <c r="E20" s="520">
        <v>420749.57142857142</v>
      </c>
      <c r="F20" s="515">
        <v>16352853.672473868</v>
      </c>
      <c r="G20" s="516">
        <v>2852748.2601002851</v>
      </c>
      <c r="H20" s="510">
        <v>2852748.2601002851</v>
      </c>
      <c r="I20" s="517">
        <v>0</v>
      </c>
      <c r="J20" s="511"/>
      <c r="K20" s="518">
        <f t="shared" si="4"/>
        <v>2852748.2601002851</v>
      </c>
      <c r="L20" s="519">
        <f t="shared" si="1"/>
        <v>0</v>
      </c>
      <c r="M20" s="518">
        <f t="shared" si="5"/>
        <v>2852748.2601002851</v>
      </c>
      <c r="N20" s="514">
        <f t="shared" si="2"/>
        <v>0</v>
      </c>
      <c r="O20" s="514">
        <f t="shared" si="3"/>
        <v>0</v>
      </c>
      <c r="P20" s="272"/>
    </row>
    <row r="21" spans="2:16">
      <c r="B21" s="195" t="str">
        <f t="shared" si="6"/>
        <v/>
      </c>
      <c r="C21" s="507">
        <f>IF(D12="","-",+C20+1)</f>
        <v>2013</v>
      </c>
      <c r="D21" s="515">
        <v>16352853.672473868</v>
      </c>
      <c r="E21" s="520">
        <v>420749.57142857142</v>
      </c>
      <c r="F21" s="515">
        <v>15932104.101045297</v>
      </c>
      <c r="G21" s="516">
        <v>2651038.335861824</v>
      </c>
      <c r="H21" s="510">
        <v>2651038.335861824</v>
      </c>
      <c r="I21" s="511">
        <v>0</v>
      </c>
      <c r="J21" s="511"/>
      <c r="K21" s="518">
        <f t="shared" si="4"/>
        <v>2651038.335861824</v>
      </c>
      <c r="L21" s="519">
        <f t="shared" ref="L21:L26" si="7">IF(K21&lt;&gt;0,+G21-K21,0)</f>
        <v>0</v>
      </c>
      <c r="M21" s="518">
        <f t="shared" si="5"/>
        <v>2651038.335861824</v>
      </c>
      <c r="N21" s="514">
        <f t="shared" ref="N21:N26" si="8">IF(M21&lt;&gt;0,+H21-M21,0)</f>
        <v>0</v>
      </c>
      <c r="O21" s="514">
        <f t="shared" ref="O21:O26" si="9">+N21-L21</f>
        <v>0</v>
      </c>
      <c r="P21" s="272"/>
    </row>
    <row r="22" spans="2:16">
      <c r="B22" s="195" t="str">
        <f t="shared" si="6"/>
        <v/>
      </c>
      <c r="C22" s="507">
        <f>IF(D11="","-",+C21+1)</f>
        <v>2014</v>
      </c>
      <c r="D22" s="515">
        <v>15932104.101045297</v>
      </c>
      <c r="E22" s="520">
        <v>420749.57142857142</v>
      </c>
      <c r="F22" s="515">
        <v>15511354.529616727</v>
      </c>
      <c r="G22" s="516">
        <v>2513394.2946650204</v>
      </c>
      <c r="H22" s="510">
        <v>2513394.2946650204</v>
      </c>
      <c r="I22" s="511">
        <v>0</v>
      </c>
      <c r="J22" s="511"/>
      <c r="K22" s="518">
        <f t="shared" si="4"/>
        <v>2513394.2946650204</v>
      </c>
      <c r="L22" s="519">
        <f t="shared" si="7"/>
        <v>0</v>
      </c>
      <c r="M22" s="518">
        <f t="shared" si="5"/>
        <v>2513394.2946650204</v>
      </c>
      <c r="N22" s="514">
        <f t="shared" si="8"/>
        <v>0</v>
      </c>
      <c r="O22" s="514">
        <f t="shared" si="9"/>
        <v>0</v>
      </c>
      <c r="P22" s="272"/>
    </row>
    <row r="23" spans="2:16">
      <c r="B23" s="195" t="str">
        <f t="shared" si="6"/>
        <v/>
      </c>
      <c r="C23" s="507">
        <f>IF(D11="","-",+C22+1)</f>
        <v>2015</v>
      </c>
      <c r="D23" s="515">
        <v>15511354.529616727</v>
      </c>
      <c r="E23" s="520">
        <v>420749.57142857142</v>
      </c>
      <c r="F23" s="515">
        <v>15090604.958188156</v>
      </c>
      <c r="G23" s="516">
        <v>2408254.6940407706</v>
      </c>
      <c r="H23" s="510">
        <v>2408254.6940407706</v>
      </c>
      <c r="I23" s="511">
        <v>0</v>
      </c>
      <c r="J23" s="511"/>
      <c r="K23" s="518">
        <f t="shared" si="4"/>
        <v>2408254.6940407706</v>
      </c>
      <c r="L23" s="519">
        <f t="shared" si="7"/>
        <v>0</v>
      </c>
      <c r="M23" s="518">
        <f t="shared" si="5"/>
        <v>2408254.6940407706</v>
      </c>
      <c r="N23" s="514">
        <f t="shared" si="8"/>
        <v>0</v>
      </c>
      <c r="O23" s="514">
        <f t="shared" si="9"/>
        <v>0</v>
      </c>
      <c r="P23" s="272"/>
    </row>
    <row r="24" spans="2:16">
      <c r="B24" s="195" t="str">
        <f t="shared" si="6"/>
        <v/>
      </c>
      <c r="C24" s="507">
        <f>IF(D11="","-",+C23+1)</f>
        <v>2016</v>
      </c>
      <c r="D24" s="515">
        <v>15090604.958188156</v>
      </c>
      <c r="E24" s="520">
        <v>420749.57142857142</v>
      </c>
      <c r="F24" s="515">
        <v>14669855.386759585</v>
      </c>
      <c r="G24" s="516">
        <v>2329003.9936694037</v>
      </c>
      <c r="H24" s="510">
        <v>2329003.9936694037</v>
      </c>
      <c r="I24" s="511">
        <f t="shared" si="0"/>
        <v>0</v>
      </c>
      <c r="J24" s="511"/>
      <c r="K24" s="518">
        <f t="shared" ref="K24:K29" si="10">G24</f>
        <v>2329003.9936694037</v>
      </c>
      <c r="L24" s="519">
        <f t="shared" si="7"/>
        <v>0</v>
      </c>
      <c r="M24" s="518">
        <f t="shared" ref="M24:M29" si="11">H24</f>
        <v>2329003.9936694037</v>
      </c>
      <c r="N24" s="514">
        <f t="shared" si="8"/>
        <v>0</v>
      </c>
      <c r="O24" s="514">
        <f t="shared" si="9"/>
        <v>0</v>
      </c>
      <c r="P24" s="272"/>
    </row>
    <row r="25" spans="2:16">
      <c r="B25" s="195" t="str">
        <f t="shared" si="6"/>
        <v/>
      </c>
      <c r="C25" s="507">
        <f>IF(D11="","-",+C24+1)</f>
        <v>2017</v>
      </c>
      <c r="D25" s="515">
        <v>14669855.386759585</v>
      </c>
      <c r="E25" s="520">
        <v>410964.69767441862</v>
      </c>
      <c r="F25" s="515">
        <v>14258890.689085167</v>
      </c>
      <c r="G25" s="516">
        <v>2202992.5205155816</v>
      </c>
      <c r="H25" s="510">
        <v>2202992.5205155816</v>
      </c>
      <c r="I25" s="511">
        <f t="shared" si="0"/>
        <v>0</v>
      </c>
      <c r="J25" s="511"/>
      <c r="K25" s="518">
        <f t="shared" si="10"/>
        <v>2202992.5205155816</v>
      </c>
      <c r="L25" s="519">
        <f t="shared" si="7"/>
        <v>0</v>
      </c>
      <c r="M25" s="518">
        <f t="shared" si="11"/>
        <v>2202992.5205155816</v>
      </c>
      <c r="N25" s="514">
        <f t="shared" si="8"/>
        <v>0</v>
      </c>
      <c r="O25" s="514">
        <f t="shared" si="9"/>
        <v>0</v>
      </c>
      <c r="P25" s="272"/>
    </row>
    <row r="26" spans="2:16">
      <c r="B26" s="195" t="str">
        <f t="shared" si="6"/>
        <v/>
      </c>
      <c r="C26" s="507">
        <f>IF(D11="","-",+C25+1)</f>
        <v>2018</v>
      </c>
      <c r="D26" s="515">
        <v>14258890.689085167</v>
      </c>
      <c r="E26" s="520">
        <v>431011.75609756098</v>
      </c>
      <c r="F26" s="515">
        <v>13827878.932987606</v>
      </c>
      <c r="G26" s="516">
        <v>2215843.0945590343</v>
      </c>
      <c r="H26" s="510">
        <v>2215843.0945590343</v>
      </c>
      <c r="I26" s="511">
        <f t="shared" si="0"/>
        <v>0</v>
      </c>
      <c r="J26" s="511"/>
      <c r="K26" s="518">
        <f t="shared" si="10"/>
        <v>2215843.0945590343</v>
      </c>
      <c r="L26" s="519">
        <f t="shared" si="7"/>
        <v>0</v>
      </c>
      <c r="M26" s="518">
        <f t="shared" si="11"/>
        <v>2215843.0945590343</v>
      </c>
      <c r="N26" s="514">
        <f t="shared" si="8"/>
        <v>0</v>
      </c>
      <c r="O26" s="514">
        <f t="shared" si="9"/>
        <v>0</v>
      </c>
      <c r="P26" s="272"/>
    </row>
    <row r="27" spans="2:16">
      <c r="B27" s="195" t="str">
        <f t="shared" si="6"/>
        <v/>
      </c>
      <c r="C27" s="507">
        <f>IF(D11="","-",+C26+1)</f>
        <v>2019</v>
      </c>
      <c r="D27" s="515">
        <v>13827878.932987606</v>
      </c>
      <c r="E27" s="520">
        <v>431011.75609756098</v>
      </c>
      <c r="F27" s="515">
        <v>13396867.176890045</v>
      </c>
      <c r="G27" s="516">
        <v>2161064.0437903283</v>
      </c>
      <c r="H27" s="510">
        <v>2161064.0437903283</v>
      </c>
      <c r="I27" s="511">
        <f t="shared" si="0"/>
        <v>0</v>
      </c>
      <c r="J27" s="511"/>
      <c r="K27" s="518">
        <f t="shared" si="10"/>
        <v>2161064.0437903283</v>
      </c>
      <c r="L27" s="519">
        <f t="shared" ref="L27" si="12">IF(K27&lt;&gt;0,+G27-K27,0)</f>
        <v>0</v>
      </c>
      <c r="M27" s="518">
        <f t="shared" si="11"/>
        <v>2161064.0437903283</v>
      </c>
      <c r="N27" s="514">
        <f t="shared" si="2"/>
        <v>0</v>
      </c>
      <c r="O27" s="514">
        <f t="shared" si="3"/>
        <v>0</v>
      </c>
      <c r="P27" s="272"/>
    </row>
    <row r="28" spans="2:16">
      <c r="B28" s="195" t="str">
        <f t="shared" si="6"/>
        <v/>
      </c>
      <c r="C28" s="507">
        <f>IF(D11="","-",+C27+1)</f>
        <v>2020</v>
      </c>
      <c r="D28" s="515">
        <v>13396867.176890045</v>
      </c>
      <c r="E28" s="520">
        <v>431011.75609756098</v>
      </c>
      <c r="F28" s="515">
        <v>12965855.420792485</v>
      </c>
      <c r="G28" s="516">
        <v>1779932.3659143087</v>
      </c>
      <c r="H28" s="510">
        <v>1779932.3659143087</v>
      </c>
      <c r="I28" s="511">
        <f t="shared" si="0"/>
        <v>0</v>
      </c>
      <c r="J28" s="511"/>
      <c r="K28" s="518">
        <f t="shared" si="10"/>
        <v>1779932.3659143087</v>
      </c>
      <c r="L28" s="519">
        <f t="shared" ref="L28" si="13">IF(K28&lt;&gt;0,+G28-K28,0)</f>
        <v>0</v>
      </c>
      <c r="M28" s="518">
        <f t="shared" si="11"/>
        <v>1779932.3659143087</v>
      </c>
      <c r="N28" s="514">
        <f t="shared" si="2"/>
        <v>0</v>
      </c>
      <c r="O28" s="514">
        <f t="shared" si="3"/>
        <v>0</v>
      </c>
      <c r="P28" s="272"/>
    </row>
    <row r="29" spans="2:16">
      <c r="B29" s="195" t="str">
        <f t="shared" si="6"/>
        <v>IU</v>
      </c>
      <c r="C29" s="507">
        <f>IF(D11="","-",+C28+1)</f>
        <v>2021</v>
      </c>
      <c r="D29" s="515">
        <v>12985902.479215622</v>
      </c>
      <c r="E29" s="520">
        <v>420749.57142857142</v>
      </c>
      <c r="F29" s="515">
        <v>12565152.907787051</v>
      </c>
      <c r="G29" s="516">
        <v>1775013.5722575998</v>
      </c>
      <c r="H29" s="510">
        <v>1775013.5722575998</v>
      </c>
      <c r="I29" s="511">
        <f t="shared" si="0"/>
        <v>0</v>
      </c>
      <c r="J29" s="511"/>
      <c r="K29" s="518">
        <f t="shared" si="10"/>
        <v>1775013.5722575998</v>
      </c>
      <c r="L29" s="519">
        <f t="shared" ref="L29" si="14">IF(K29&lt;&gt;0,+G29-K29,0)</f>
        <v>0</v>
      </c>
      <c r="M29" s="518">
        <f t="shared" si="11"/>
        <v>1775013.5722575998</v>
      </c>
      <c r="N29" s="514">
        <f t="shared" si="2"/>
        <v>0</v>
      </c>
      <c r="O29" s="514">
        <f t="shared" si="3"/>
        <v>0</v>
      </c>
      <c r="P29" s="272"/>
    </row>
    <row r="30" spans="2:16">
      <c r="B30" s="195" t="str">
        <f t="shared" si="6"/>
        <v>IU</v>
      </c>
      <c r="C30" s="507">
        <f>IF(D11="","-",+C29+1)</f>
        <v>2022</v>
      </c>
      <c r="D30" s="515">
        <v>12545105.849363908</v>
      </c>
      <c r="E30" s="520">
        <v>420749.57142857142</v>
      </c>
      <c r="F30" s="515">
        <v>12124356.277935337</v>
      </c>
      <c r="G30" s="516">
        <v>1807717.2661762077</v>
      </c>
      <c r="H30" s="510">
        <v>1807717.2661762077</v>
      </c>
      <c r="I30" s="511">
        <f t="shared" si="0"/>
        <v>0</v>
      </c>
      <c r="J30" s="511"/>
      <c r="K30" s="518">
        <f t="shared" ref="K30" si="15">G30</f>
        <v>1807717.2661762077</v>
      </c>
      <c r="L30" s="519">
        <f t="shared" ref="L30" si="16">IF(K30&lt;&gt;0,+G30-K30,0)</f>
        <v>0</v>
      </c>
      <c r="M30" s="518">
        <f t="shared" ref="M30" si="17">H30</f>
        <v>1807717.2661762077</v>
      </c>
      <c r="N30" s="514">
        <f t="shared" si="2"/>
        <v>0</v>
      </c>
      <c r="O30" s="514">
        <f t="shared" si="3"/>
        <v>0</v>
      </c>
      <c r="P30" s="272"/>
    </row>
    <row r="31" spans="2:16">
      <c r="B31" s="195" t="str">
        <f t="shared" si="6"/>
        <v/>
      </c>
      <c r="C31" s="507">
        <f>IF(D11="","-",+C30+1)</f>
        <v>2023</v>
      </c>
      <c r="D31" s="515">
        <v>12124356.277935337</v>
      </c>
      <c r="E31" s="520">
        <v>420749.57142857142</v>
      </c>
      <c r="F31" s="515">
        <v>11703606.706506766</v>
      </c>
      <c r="G31" s="516">
        <v>1925804.5853895803</v>
      </c>
      <c r="H31" s="510">
        <v>1925804.5853895803</v>
      </c>
      <c r="I31" s="511">
        <f t="shared" si="0"/>
        <v>0</v>
      </c>
      <c r="J31" s="511"/>
      <c r="K31" s="518">
        <f t="shared" ref="K31" si="18">G31</f>
        <v>1925804.5853895803</v>
      </c>
      <c r="L31" s="519">
        <f t="shared" ref="L31" si="19">IF(K31&lt;&gt;0,+G31-K31,0)</f>
        <v>0</v>
      </c>
      <c r="M31" s="518">
        <f t="shared" ref="M31" si="20">H31</f>
        <v>1925804.5853895803</v>
      </c>
      <c r="N31" s="514">
        <f t="shared" ref="N31" si="21">IF(M31&lt;&gt;0,+H31-M31,0)</f>
        <v>0</v>
      </c>
      <c r="O31" s="514">
        <f t="shared" ref="O31" si="22">+N31-L31</f>
        <v>0</v>
      </c>
      <c r="P31" s="272"/>
    </row>
    <row r="32" spans="2:16">
      <c r="B32" s="195" t="str">
        <f t="shared" si="6"/>
        <v/>
      </c>
      <c r="C32" s="673">
        <f>IF(D11="","-",+C31+1)</f>
        <v>2024</v>
      </c>
      <c r="D32" s="523">
        <f>IF(F31+SUM(E$17:E31)=D$10,F31,D$10-SUM(E$17:E31))</f>
        <v>11703606.706506766</v>
      </c>
      <c r="E32" s="522">
        <f>IF(+I14&lt;F31,I14,D32)</f>
        <v>401624.59090909088</v>
      </c>
      <c r="F32" s="523">
        <f t="shared" ref="F32:F48" si="23">+D32-E32</f>
        <v>11301982.115597675</v>
      </c>
      <c r="G32" s="524">
        <f t="shared" ref="G32:G72" si="24">+I$12*((D32+F32)/2)+E32</f>
        <v>1776520.6128682327</v>
      </c>
      <c r="H32" s="491">
        <f t="shared" ref="H32:H72" si="25">+I$13*((D32+F32)/2)+E32</f>
        <v>1776520.6128682327</v>
      </c>
      <c r="I32" s="511">
        <f t="shared" si="0"/>
        <v>0</v>
      </c>
      <c r="J32" s="511"/>
      <c r="K32" s="525"/>
      <c r="L32" s="514">
        <f t="shared" si="1"/>
        <v>0</v>
      </c>
      <c r="M32" s="525"/>
      <c r="N32" s="514">
        <f t="shared" si="2"/>
        <v>0</v>
      </c>
      <c r="O32" s="514">
        <f t="shared" si="3"/>
        <v>0</v>
      </c>
      <c r="P32" s="272"/>
    </row>
    <row r="33" spans="2:16">
      <c r="B33" s="195" t="str">
        <f t="shared" si="6"/>
        <v/>
      </c>
      <c r="C33" s="507">
        <f>IF(D11="","-",+C32+1)</f>
        <v>2025</v>
      </c>
      <c r="D33" s="523">
        <f>IF(F32+SUM(E$17:E32)=D$10,F32,D$10-SUM(E$17:E32))</f>
        <v>11301982.115597675</v>
      </c>
      <c r="E33" s="522">
        <f>IF(+I14&lt;F32,I14,D33)</f>
        <v>401624.59090909088</v>
      </c>
      <c r="F33" s="523">
        <f t="shared" si="23"/>
        <v>10900357.524688583</v>
      </c>
      <c r="G33" s="524">
        <f t="shared" si="24"/>
        <v>1728515.5775151437</v>
      </c>
      <c r="H33" s="491">
        <f t="shared" si="25"/>
        <v>1728515.5775151437</v>
      </c>
      <c r="I33" s="511">
        <f t="shared" si="0"/>
        <v>0</v>
      </c>
      <c r="J33" s="511"/>
      <c r="K33" s="525"/>
      <c r="L33" s="514">
        <f t="shared" si="1"/>
        <v>0</v>
      </c>
      <c r="M33" s="525"/>
      <c r="N33" s="514">
        <f t="shared" si="2"/>
        <v>0</v>
      </c>
      <c r="O33" s="514">
        <f t="shared" si="3"/>
        <v>0</v>
      </c>
      <c r="P33" s="272"/>
    </row>
    <row r="34" spans="2:16">
      <c r="B34" s="195" t="str">
        <f t="shared" si="6"/>
        <v/>
      </c>
      <c r="C34" s="507">
        <f>IF(D11="","-",+C33+1)</f>
        <v>2026</v>
      </c>
      <c r="D34" s="523">
        <f>IF(F33+SUM(E$17:E33)=D$10,F33,D$10-SUM(E$17:E33))</f>
        <v>10900357.524688583</v>
      </c>
      <c r="E34" s="522">
        <f>IF(+I14&lt;F33,I14,D34)</f>
        <v>401624.59090909088</v>
      </c>
      <c r="F34" s="523">
        <f t="shared" si="23"/>
        <v>10498732.933779491</v>
      </c>
      <c r="G34" s="524">
        <f t="shared" si="24"/>
        <v>1680510.5421620542</v>
      </c>
      <c r="H34" s="491">
        <f t="shared" si="25"/>
        <v>1680510.5421620542</v>
      </c>
      <c r="I34" s="511">
        <f t="shared" si="0"/>
        <v>0</v>
      </c>
      <c r="J34" s="511"/>
      <c r="K34" s="525"/>
      <c r="L34" s="514">
        <f t="shared" si="1"/>
        <v>0</v>
      </c>
      <c r="M34" s="525"/>
      <c r="N34" s="514">
        <f t="shared" si="2"/>
        <v>0</v>
      </c>
      <c r="O34" s="514">
        <f t="shared" si="3"/>
        <v>0</v>
      </c>
      <c r="P34" s="272"/>
    </row>
    <row r="35" spans="2:16">
      <c r="B35" s="195" t="str">
        <f t="shared" si="6"/>
        <v/>
      </c>
      <c r="C35" s="507">
        <f>IF(D11="","-",+C34+1)</f>
        <v>2027</v>
      </c>
      <c r="D35" s="523">
        <f>IF(F34+SUM(E$17:E34)=D$10,F34,D$10-SUM(E$17:E34))</f>
        <v>10498732.933779491</v>
      </c>
      <c r="E35" s="522">
        <f>IF(+I14&lt;F34,I14,D35)</f>
        <v>401624.59090909088</v>
      </c>
      <c r="F35" s="523">
        <f t="shared" si="23"/>
        <v>10097108.342870399</v>
      </c>
      <c r="G35" s="524">
        <f t="shared" si="24"/>
        <v>1632505.5068089655</v>
      </c>
      <c r="H35" s="491">
        <f t="shared" si="25"/>
        <v>1632505.5068089655</v>
      </c>
      <c r="I35" s="511">
        <f t="shared" si="0"/>
        <v>0</v>
      </c>
      <c r="J35" s="511"/>
      <c r="K35" s="525"/>
      <c r="L35" s="514">
        <f t="shared" si="1"/>
        <v>0</v>
      </c>
      <c r="M35" s="525"/>
      <c r="N35" s="514">
        <f t="shared" si="2"/>
        <v>0</v>
      </c>
      <c r="O35" s="514">
        <f t="shared" si="3"/>
        <v>0</v>
      </c>
      <c r="P35" s="272"/>
    </row>
    <row r="36" spans="2:16">
      <c r="B36" s="195" t="str">
        <f t="shared" si="6"/>
        <v/>
      </c>
      <c r="C36" s="507">
        <f>IF(D11="","-",+C35+1)</f>
        <v>2028</v>
      </c>
      <c r="D36" s="523">
        <f>IF(F35+SUM(E$17:E35)=D$10,F35,D$10-SUM(E$17:E35))</f>
        <v>10097108.342870399</v>
      </c>
      <c r="E36" s="522">
        <f>IF(+I14&lt;F35,I14,D36)</f>
        <v>401624.59090909088</v>
      </c>
      <c r="F36" s="523">
        <f t="shared" si="23"/>
        <v>9695483.7519613076</v>
      </c>
      <c r="G36" s="524">
        <f t="shared" si="24"/>
        <v>1584500.471455876</v>
      </c>
      <c r="H36" s="491">
        <f t="shared" si="25"/>
        <v>1584500.471455876</v>
      </c>
      <c r="I36" s="511">
        <f t="shared" si="0"/>
        <v>0</v>
      </c>
      <c r="J36" s="511"/>
      <c r="K36" s="525"/>
      <c r="L36" s="514">
        <f t="shared" si="1"/>
        <v>0</v>
      </c>
      <c r="M36" s="525"/>
      <c r="N36" s="514">
        <f t="shared" si="2"/>
        <v>0</v>
      </c>
      <c r="O36" s="514">
        <f t="shared" si="3"/>
        <v>0</v>
      </c>
      <c r="P36" s="272"/>
    </row>
    <row r="37" spans="2:16">
      <c r="B37" s="195" t="str">
        <f t="shared" si="6"/>
        <v/>
      </c>
      <c r="C37" s="507">
        <f>IF(D11="","-",+C36+1)</f>
        <v>2029</v>
      </c>
      <c r="D37" s="523">
        <f>IF(F36+SUM(E$17:E36)=D$10,F36,D$10-SUM(E$17:E36))</f>
        <v>9695483.7519613076</v>
      </c>
      <c r="E37" s="522">
        <f>IF(+I14&lt;F36,I14,D37)</f>
        <v>401624.59090909088</v>
      </c>
      <c r="F37" s="523">
        <f t="shared" si="23"/>
        <v>9293859.1610522158</v>
      </c>
      <c r="G37" s="524">
        <f t="shared" si="24"/>
        <v>1536495.436102787</v>
      </c>
      <c r="H37" s="491">
        <f t="shared" si="25"/>
        <v>1536495.436102787</v>
      </c>
      <c r="I37" s="511">
        <f t="shared" si="0"/>
        <v>0</v>
      </c>
      <c r="J37" s="511"/>
      <c r="K37" s="525"/>
      <c r="L37" s="514">
        <f t="shared" si="1"/>
        <v>0</v>
      </c>
      <c r="M37" s="525"/>
      <c r="N37" s="514">
        <f t="shared" si="2"/>
        <v>0</v>
      </c>
      <c r="O37" s="514">
        <f t="shared" si="3"/>
        <v>0</v>
      </c>
      <c r="P37" s="272"/>
    </row>
    <row r="38" spans="2:16">
      <c r="B38" s="195" t="str">
        <f t="shared" si="6"/>
        <v/>
      </c>
      <c r="C38" s="507">
        <f>IF(D11="","-",+C37+1)</f>
        <v>2030</v>
      </c>
      <c r="D38" s="523">
        <f>IF(F37+SUM(E$17:E37)=D$10,F37,D$10-SUM(E$17:E37))</f>
        <v>9293859.1610522158</v>
      </c>
      <c r="E38" s="522">
        <f>IF(+I14&lt;F37,I14,D38)</f>
        <v>401624.59090909088</v>
      </c>
      <c r="F38" s="523">
        <f t="shared" si="23"/>
        <v>8892234.5701431241</v>
      </c>
      <c r="G38" s="524">
        <f t="shared" si="24"/>
        <v>1488490.4007496978</v>
      </c>
      <c r="H38" s="491">
        <f t="shared" si="25"/>
        <v>1488490.4007496978</v>
      </c>
      <c r="I38" s="511">
        <f t="shared" si="0"/>
        <v>0</v>
      </c>
      <c r="J38" s="511"/>
      <c r="K38" s="525"/>
      <c r="L38" s="514">
        <f t="shared" si="1"/>
        <v>0</v>
      </c>
      <c r="M38" s="525"/>
      <c r="N38" s="514">
        <f t="shared" si="2"/>
        <v>0</v>
      </c>
      <c r="O38" s="514">
        <f t="shared" si="3"/>
        <v>0</v>
      </c>
      <c r="P38" s="272"/>
    </row>
    <row r="39" spans="2:16">
      <c r="B39" s="195" t="str">
        <f t="shared" si="6"/>
        <v/>
      </c>
      <c r="C39" s="507">
        <f>IF(D11="","-",+C38+1)</f>
        <v>2031</v>
      </c>
      <c r="D39" s="523">
        <f>IF(F38+SUM(E$17:E38)=D$10,F38,D$10-SUM(E$17:E38))</f>
        <v>8892234.5701431241</v>
      </c>
      <c r="E39" s="522">
        <f>IF(+I14&lt;F38,I14,D39)</f>
        <v>401624.59090909088</v>
      </c>
      <c r="F39" s="523">
        <f t="shared" si="23"/>
        <v>8490609.9792340323</v>
      </c>
      <c r="G39" s="524">
        <f t="shared" si="24"/>
        <v>1440485.3653966088</v>
      </c>
      <c r="H39" s="491">
        <f t="shared" si="25"/>
        <v>1440485.3653966088</v>
      </c>
      <c r="I39" s="511">
        <f t="shared" si="0"/>
        <v>0</v>
      </c>
      <c r="J39" s="511"/>
      <c r="K39" s="525"/>
      <c r="L39" s="514">
        <f t="shared" si="1"/>
        <v>0</v>
      </c>
      <c r="M39" s="525"/>
      <c r="N39" s="514">
        <f t="shared" si="2"/>
        <v>0</v>
      </c>
      <c r="O39" s="514">
        <f t="shared" si="3"/>
        <v>0</v>
      </c>
      <c r="P39" s="272"/>
    </row>
    <row r="40" spans="2:16">
      <c r="B40" s="195" t="str">
        <f t="shared" si="6"/>
        <v/>
      </c>
      <c r="C40" s="507">
        <f>IF(D11="","-",+C39+1)</f>
        <v>2032</v>
      </c>
      <c r="D40" s="523">
        <f>IF(F39+SUM(E$17:E39)=D$10,F39,D$10-SUM(E$17:E39))</f>
        <v>8490609.9792340323</v>
      </c>
      <c r="E40" s="522">
        <f>IF(+I14&lt;F39,I14,D40)</f>
        <v>401624.59090909088</v>
      </c>
      <c r="F40" s="523">
        <f t="shared" si="23"/>
        <v>8088985.3883249415</v>
      </c>
      <c r="G40" s="524">
        <f t="shared" si="24"/>
        <v>1392480.3300435198</v>
      </c>
      <c r="H40" s="491">
        <f t="shared" si="25"/>
        <v>1392480.3300435198</v>
      </c>
      <c r="I40" s="511">
        <f t="shared" si="0"/>
        <v>0</v>
      </c>
      <c r="J40" s="511"/>
      <c r="K40" s="525"/>
      <c r="L40" s="514">
        <f t="shared" si="1"/>
        <v>0</v>
      </c>
      <c r="M40" s="525"/>
      <c r="N40" s="514">
        <f t="shared" si="2"/>
        <v>0</v>
      </c>
      <c r="O40" s="514">
        <f t="shared" si="3"/>
        <v>0</v>
      </c>
      <c r="P40" s="272"/>
    </row>
    <row r="41" spans="2:16">
      <c r="B41" s="195" t="str">
        <f t="shared" si="6"/>
        <v/>
      </c>
      <c r="C41" s="507">
        <f>IF(D11="","-",+C40+1)</f>
        <v>2033</v>
      </c>
      <c r="D41" s="523">
        <f>IF(F40+SUM(E$17:E40)=D$10,F40,D$10-SUM(E$17:E40))</f>
        <v>8088985.3883249415</v>
      </c>
      <c r="E41" s="522">
        <f>IF(+I14&lt;F40,I14,D41)</f>
        <v>401624.59090909088</v>
      </c>
      <c r="F41" s="523">
        <f t="shared" si="23"/>
        <v>7687360.7974158507</v>
      </c>
      <c r="G41" s="524">
        <f t="shared" si="24"/>
        <v>1344475.2946904306</v>
      </c>
      <c r="H41" s="491">
        <f t="shared" si="25"/>
        <v>1344475.2946904306</v>
      </c>
      <c r="I41" s="511">
        <f t="shared" si="0"/>
        <v>0</v>
      </c>
      <c r="J41" s="511"/>
      <c r="K41" s="525"/>
      <c r="L41" s="514">
        <f t="shared" si="1"/>
        <v>0</v>
      </c>
      <c r="M41" s="525"/>
      <c r="N41" s="514">
        <f t="shared" si="2"/>
        <v>0</v>
      </c>
      <c r="O41" s="514">
        <f t="shared" si="3"/>
        <v>0</v>
      </c>
      <c r="P41" s="272"/>
    </row>
    <row r="42" spans="2:16">
      <c r="B42" s="195" t="str">
        <f t="shared" si="6"/>
        <v/>
      </c>
      <c r="C42" s="507">
        <f>IF(D11="","-",+C41+1)</f>
        <v>2034</v>
      </c>
      <c r="D42" s="523">
        <f>IF(F41+SUM(E$17:E41)=D$10,F41,D$10-SUM(E$17:E41))</f>
        <v>7687360.7974158507</v>
      </c>
      <c r="E42" s="522">
        <f>IF(+I14&lt;F41,I14,D42)</f>
        <v>401624.59090909088</v>
      </c>
      <c r="F42" s="523">
        <f t="shared" si="23"/>
        <v>7285736.2065067599</v>
      </c>
      <c r="G42" s="524">
        <f t="shared" si="24"/>
        <v>1296470.2593373416</v>
      </c>
      <c r="H42" s="491">
        <f t="shared" si="25"/>
        <v>1296470.2593373416</v>
      </c>
      <c r="I42" s="511">
        <f t="shared" si="0"/>
        <v>0</v>
      </c>
      <c r="J42" s="511"/>
      <c r="K42" s="525"/>
      <c r="L42" s="514">
        <f t="shared" si="1"/>
        <v>0</v>
      </c>
      <c r="M42" s="525"/>
      <c r="N42" s="514">
        <f t="shared" si="2"/>
        <v>0</v>
      </c>
      <c r="O42" s="514">
        <f t="shared" si="3"/>
        <v>0</v>
      </c>
      <c r="P42" s="272"/>
    </row>
    <row r="43" spans="2:16">
      <c r="B43" s="195" t="str">
        <f t="shared" si="6"/>
        <v/>
      </c>
      <c r="C43" s="507">
        <f>IF(D11="","-",+C42+1)</f>
        <v>2035</v>
      </c>
      <c r="D43" s="523">
        <f>IF(F42+SUM(E$17:E42)=D$10,F42,D$10-SUM(E$17:E42))</f>
        <v>7285736.2065067599</v>
      </c>
      <c r="E43" s="522">
        <f>IF(+I14&lt;F42,I14,D43)</f>
        <v>401624.59090909088</v>
      </c>
      <c r="F43" s="523">
        <f t="shared" si="23"/>
        <v>6884111.615597669</v>
      </c>
      <c r="G43" s="524">
        <f t="shared" si="24"/>
        <v>1248465.2239842527</v>
      </c>
      <c r="H43" s="491">
        <f t="shared" si="25"/>
        <v>1248465.2239842527</v>
      </c>
      <c r="I43" s="511">
        <f t="shared" si="0"/>
        <v>0</v>
      </c>
      <c r="J43" s="511"/>
      <c r="K43" s="525"/>
      <c r="L43" s="514">
        <f t="shared" si="1"/>
        <v>0</v>
      </c>
      <c r="M43" s="525"/>
      <c r="N43" s="514">
        <f t="shared" si="2"/>
        <v>0</v>
      </c>
      <c r="O43" s="514">
        <f t="shared" si="3"/>
        <v>0</v>
      </c>
      <c r="P43" s="272"/>
    </row>
    <row r="44" spans="2:16">
      <c r="B44" s="195" t="str">
        <f t="shared" si="6"/>
        <v/>
      </c>
      <c r="C44" s="507">
        <f>IF(D11="","-",+C43+1)</f>
        <v>2036</v>
      </c>
      <c r="D44" s="523">
        <f>IF(F43+SUM(E$17:E43)=D$10,F43,D$10-SUM(E$17:E43))</f>
        <v>6884111.615597669</v>
      </c>
      <c r="E44" s="522">
        <f>IF(+I14&lt;F43,I14,D44)</f>
        <v>401624.59090909088</v>
      </c>
      <c r="F44" s="523">
        <f t="shared" si="23"/>
        <v>6482487.0246885782</v>
      </c>
      <c r="G44" s="524">
        <f t="shared" si="24"/>
        <v>1200460.1886311637</v>
      </c>
      <c r="H44" s="491">
        <f t="shared" si="25"/>
        <v>1200460.1886311637</v>
      </c>
      <c r="I44" s="511">
        <f t="shared" si="0"/>
        <v>0</v>
      </c>
      <c r="J44" s="511"/>
      <c r="K44" s="525"/>
      <c r="L44" s="514">
        <f t="shared" si="1"/>
        <v>0</v>
      </c>
      <c r="M44" s="525"/>
      <c r="N44" s="514">
        <f t="shared" si="2"/>
        <v>0</v>
      </c>
      <c r="O44" s="514">
        <f t="shared" si="3"/>
        <v>0</v>
      </c>
      <c r="P44" s="272"/>
    </row>
    <row r="45" spans="2:16">
      <c r="B45" s="195" t="str">
        <f t="shared" si="6"/>
        <v/>
      </c>
      <c r="C45" s="507">
        <f>IF(D11="","-",+C44+1)</f>
        <v>2037</v>
      </c>
      <c r="D45" s="523">
        <f>IF(F44+SUM(E$17:E44)=D$10,F44,D$10-SUM(E$17:E44))</f>
        <v>6482487.0246885782</v>
      </c>
      <c r="E45" s="522">
        <f>IF(+I14&lt;F44,I14,D45)</f>
        <v>401624.59090909088</v>
      </c>
      <c r="F45" s="523">
        <f t="shared" si="23"/>
        <v>6080862.4337794874</v>
      </c>
      <c r="G45" s="524">
        <f t="shared" si="24"/>
        <v>1152455.1532780745</v>
      </c>
      <c r="H45" s="491">
        <f t="shared" si="25"/>
        <v>1152455.1532780745</v>
      </c>
      <c r="I45" s="511">
        <f t="shared" si="0"/>
        <v>0</v>
      </c>
      <c r="J45" s="511"/>
      <c r="K45" s="525"/>
      <c r="L45" s="514">
        <f t="shared" si="1"/>
        <v>0</v>
      </c>
      <c r="M45" s="525"/>
      <c r="N45" s="514">
        <f t="shared" si="2"/>
        <v>0</v>
      </c>
      <c r="O45" s="514">
        <f t="shared" si="3"/>
        <v>0</v>
      </c>
      <c r="P45" s="272"/>
    </row>
    <row r="46" spans="2:16">
      <c r="B46" s="195" t="str">
        <f t="shared" si="6"/>
        <v/>
      </c>
      <c r="C46" s="507">
        <f>IF(D11="","-",+C45+1)</f>
        <v>2038</v>
      </c>
      <c r="D46" s="523">
        <f>IF(F45+SUM(E$17:E45)=D$10,F45,D$10-SUM(E$17:E45))</f>
        <v>6080862.4337794874</v>
      </c>
      <c r="E46" s="522">
        <f>IF(+I14&lt;F45,I14,D46)</f>
        <v>401624.59090909088</v>
      </c>
      <c r="F46" s="523">
        <f t="shared" si="23"/>
        <v>5679237.8428703966</v>
      </c>
      <c r="G46" s="524">
        <f t="shared" si="24"/>
        <v>1104450.1179249857</v>
      </c>
      <c r="H46" s="491">
        <f t="shared" si="25"/>
        <v>1104450.1179249857</v>
      </c>
      <c r="I46" s="511">
        <f t="shared" si="0"/>
        <v>0</v>
      </c>
      <c r="J46" s="511"/>
      <c r="K46" s="525"/>
      <c r="L46" s="514">
        <f t="shared" si="1"/>
        <v>0</v>
      </c>
      <c r="M46" s="525"/>
      <c r="N46" s="514">
        <f t="shared" si="2"/>
        <v>0</v>
      </c>
      <c r="O46" s="514">
        <f t="shared" si="3"/>
        <v>0</v>
      </c>
      <c r="P46" s="272"/>
    </row>
    <row r="47" spans="2:16">
      <c r="B47" s="195" t="str">
        <f t="shared" si="6"/>
        <v/>
      </c>
      <c r="C47" s="507">
        <f>IF(D11="","-",+C46+1)</f>
        <v>2039</v>
      </c>
      <c r="D47" s="523">
        <f>IF(F46+SUM(E$17:E46)=D$10,F46,D$10-SUM(E$17:E46))</f>
        <v>5679237.8428703966</v>
      </c>
      <c r="E47" s="522">
        <f>IF(+I14&lt;F46,I14,D47)</f>
        <v>401624.59090909088</v>
      </c>
      <c r="F47" s="523">
        <f t="shared" si="23"/>
        <v>5277613.2519613057</v>
      </c>
      <c r="G47" s="524">
        <f t="shared" si="24"/>
        <v>1056445.0825718965</v>
      </c>
      <c r="H47" s="491">
        <f t="shared" si="25"/>
        <v>1056445.0825718965</v>
      </c>
      <c r="I47" s="511">
        <f t="shared" si="0"/>
        <v>0</v>
      </c>
      <c r="J47" s="511"/>
      <c r="K47" s="525"/>
      <c r="L47" s="514">
        <f t="shared" si="1"/>
        <v>0</v>
      </c>
      <c r="M47" s="525"/>
      <c r="N47" s="514">
        <f t="shared" si="2"/>
        <v>0</v>
      </c>
      <c r="O47" s="514">
        <f t="shared" si="3"/>
        <v>0</v>
      </c>
      <c r="P47" s="272"/>
    </row>
    <row r="48" spans="2:16">
      <c r="B48" s="195" t="str">
        <f t="shared" si="6"/>
        <v/>
      </c>
      <c r="C48" s="507">
        <f>IF(D11="","-",+C47+1)</f>
        <v>2040</v>
      </c>
      <c r="D48" s="523">
        <f>IF(F47+SUM(E$17:E47)=D$10,F47,D$10-SUM(E$17:E47))</f>
        <v>5277613.2519613057</v>
      </c>
      <c r="E48" s="522">
        <f>IF(+I14&lt;F47,I14,D48)</f>
        <v>401624.59090909088</v>
      </c>
      <c r="F48" s="523">
        <f t="shared" si="23"/>
        <v>4875988.6610522149</v>
      </c>
      <c r="G48" s="524">
        <f t="shared" si="24"/>
        <v>1008440.0472188075</v>
      </c>
      <c r="H48" s="491">
        <f t="shared" si="25"/>
        <v>1008440.0472188075</v>
      </c>
      <c r="I48" s="511">
        <f t="shared" si="0"/>
        <v>0</v>
      </c>
      <c r="J48" s="511"/>
      <c r="K48" s="525"/>
      <c r="L48" s="514">
        <f t="shared" si="1"/>
        <v>0</v>
      </c>
      <c r="M48" s="525"/>
      <c r="N48" s="514">
        <f t="shared" si="2"/>
        <v>0</v>
      </c>
      <c r="O48" s="514">
        <f t="shared" si="3"/>
        <v>0</v>
      </c>
      <c r="P48" s="272"/>
    </row>
    <row r="49" spans="2:17">
      <c r="B49" s="195" t="str">
        <f t="shared" si="6"/>
        <v/>
      </c>
      <c r="C49" s="507">
        <f>IF(D11="","-",+C48+1)</f>
        <v>2041</v>
      </c>
      <c r="D49" s="523">
        <f>IF(F48+SUM(E$17:E48)=D$10,F48,D$10-SUM(E$17:E48))</f>
        <v>4875988.6610522149</v>
      </c>
      <c r="E49" s="522">
        <f>IF(+I14&lt;F48,I14,D49)</f>
        <v>401624.59090909088</v>
      </c>
      <c r="F49" s="523">
        <f t="shared" ref="F49:F72" si="26">+D49-E49</f>
        <v>4474364.0701431241</v>
      </c>
      <c r="G49" s="524">
        <f t="shared" si="24"/>
        <v>960435.01186571852</v>
      </c>
      <c r="H49" s="491">
        <f t="shared" si="25"/>
        <v>960435.01186571852</v>
      </c>
      <c r="I49" s="511">
        <f t="shared" ref="I49:I72" si="27">H49-G49</f>
        <v>0</v>
      </c>
      <c r="J49" s="511"/>
      <c r="K49" s="525"/>
      <c r="L49" s="514">
        <f t="shared" ref="L49:L72" si="28">IF(K49&lt;&gt;0,+G49-K49,0)</f>
        <v>0</v>
      </c>
      <c r="M49" s="525"/>
      <c r="N49" s="514">
        <f t="shared" ref="N49:N72" si="29">IF(M49&lt;&gt;0,+H49-M49,0)</f>
        <v>0</v>
      </c>
      <c r="O49" s="514">
        <f t="shared" ref="O49:O72" si="30">+N49-L49</f>
        <v>0</v>
      </c>
      <c r="P49" s="272"/>
    </row>
    <row r="50" spans="2:17">
      <c r="B50" s="195" t="str">
        <f t="shared" si="6"/>
        <v/>
      </c>
      <c r="C50" s="507">
        <f>IF(D11="","-",+C49+1)</f>
        <v>2042</v>
      </c>
      <c r="D50" s="523">
        <f>IF(F49+SUM(E$17:E49)=D$10,F49,D$10-SUM(E$17:E49))</f>
        <v>4474364.0701431241</v>
      </c>
      <c r="E50" s="522">
        <f>IF(+I14&lt;F49,I14,D50)</f>
        <v>401624.59090909088</v>
      </c>
      <c r="F50" s="523">
        <f t="shared" si="26"/>
        <v>4072739.4792340333</v>
      </c>
      <c r="G50" s="524">
        <f t="shared" si="24"/>
        <v>912429.97651262954</v>
      </c>
      <c r="H50" s="491">
        <f t="shared" si="25"/>
        <v>912429.97651262954</v>
      </c>
      <c r="I50" s="511">
        <f t="shared" si="27"/>
        <v>0</v>
      </c>
      <c r="J50" s="511"/>
      <c r="K50" s="525"/>
      <c r="L50" s="514">
        <f t="shared" si="28"/>
        <v>0</v>
      </c>
      <c r="M50" s="525"/>
      <c r="N50" s="514">
        <f t="shared" si="29"/>
        <v>0</v>
      </c>
      <c r="O50" s="514">
        <f t="shared" si="30"/>
        <v>0</v>
      </c>
      <c r="P50" s="272"/>
    </row>
    <row r="51" spans="2:17">
      <c r="B51" s="195" t="str">
        <f t="shared" si="6"/>
        <v/>
      </c>
      <c r="C51" s="507">
        <f>IF(D11="","-",+C50+1)</f>
        <v>2043</v>
      </c>
      <c r="D51" s="523">
        <f>IF(F50+SUM(E$17:E50)=D$10,F50,D$10-SUM(E$17:E50))</f>
        <v>4072739.4792340333</v>
      </c>
      <c r="E51" s="522">
        <f>IF(+I14&lt;F50,I14,D51)</f>
        <v>401624.59090909088</v>
      </c>
      <c r="F51" s="523">
        <f t="shared" si="26"/>
        <v>3671114.8883249424</v>
      </c>
      <c r="G51" s="524">
        <f t="shared" si="24"/>
        <v>864424.94115954044</v>
      </c>
      <c r="H51" s="491">
        <f t="shared" si="25"/>
        <v>864424.94115954044</v>
      </c>
      <c r="I51" s="511">
        <f t="shared" si="27"/>
        <v>0</v>
      </c>
      <c r="J51" s="511"/>
      <c r="K51" s="525"/>
      <c r="L51" s="514">
        <f t="shared" si="28"/>
        <v>0</v>
      </c>
      <c r="M51" s="525"/>
      <c r="N51" s="514">
        <f t="shared" si="29"/>
        <v>0</v>
      </c>
      <c r="O51" s="514">
        <f t="shared" si="30"/>
        <v>0</v>
      </c>
      <c r="P51" s="272"/>
    </row>
    <row r="52" spans="2:17">
      <c r="B52" s="195" t="str">
        <f t="shared" si="6"/>
        <v/>
      </c>
      <c r="C52" s="507">
        <f>IF(D11="","-",+C51+1)</f>
        <v>2044</v>
      </c>
      <c r="D52" s="523">
        <f>IF(F51+SUM(E$17:E51)=D$10,F51,D$10-SUM(E$17:E51))</f>
        <v>3671114.8883249424</v>
      </c>
      <c r="E52" s="522">
        <f>IF(+I14&lt;F51,I14,D52)</f>
        <v>401624.59090909088</v>
      </c>
      <c r="F52" s="523">
        <f t="shared" si="26"/>
        <v>3269490.2974158516</v>
      </c>
      <c r="G52" s="524">
        <f t="shared" si="24"/>
        <v>816419.90580645134</v>
      </c>
      <c r="H52" s="491">
        <f t="shared" si="25"/>
        <v>816419.90580645134</v>
      </c>
      <c r="I52" s="511">
        <f t="shared" si="27"/>
        <v>0</v>
      </c>
      <c r="J52" s="511"/>
      <c r="K52" s="525"/>
      <c r="L52" s="514">
        <f t="shared" si="28"/>
        <v>0</v>
      </c>
      <c r="M52" s="525"/>
      <c r="N52" s="514">
        <f t="shared" si="29"/>
        <v>0</v>
      </c>
      <c r="O52" s="514">
        <f t="shared" si="30"/>
        <v>0</v>
      </c>
      <c r="P52" s="272"/>
    </row>
    <row r="53" spans="2:17">
      <c r="B53" s="195" t="str">
        <f t="shared" si="6"/>
        <v/>
      </c>
      <c r="C53" s="507">
        <f>IF(D11="","-",+C52+1)</f>
        <v>2045</v>
      </c>
      <c r="D53" s="523">
        <f>IF(F52+SUM(E$17:E52)=D$10,F52,D$10-SUM(E$17:E52))</f>
        <v>3269490.2974158516</v>
      </c>
      <c r="E53" s="522">
        <f>IF(+I14&lt;F52,I14,D53)</f>
        <v>401624.59090909088</v>
      </c>
      <c r="F53" s="523">
        <f t="shared" si="26"/>
        <v>2867865.7065067608</v>
      </c>
      <c r="G53" s="524">
        <f t="shared" si="24"/>
        <v>768414.87045336235</v>
      </c>
      <c r="H53" s="491">
        <f t="shared" si="25"/>
        <v>768414.87045336235</v>
      </c>
      <c r="I53" s="511">
        <f t="shared" si="27"/>
        <v>0</v>
      </c>
      <c r="J53" s="511"/>
      <c r="K53" s="525"/>
      <c r="L53" s="514">
        <f t="shared" si="28"/>
        <v>0</v>
      </c>
      <c r="M53" s="525"/>
      <c r="N53" s="514">
        <f t="shared" si="29"/>
        <v>0</v>
      </c>
      <c r="O53" s="514">
        <f t="shared" si="30"/>
        <v>0</v>
      </c>
      <c r="P53" s="272"/>
    </row>
    <row r="54" spans="2:17">
      <c r="B54" s="195" t="str">
        <f t="shared" si="6"/>
        <v/>
      </c>
      <c r="C54" s="507">
        <f>IF(D11="","-",+C53+1)</f>
        <v>2046</v>
      </c>
      <c r="D54" s="523">
        <f>IF(F53+SUM(E$17:E53)=D$10,F53,D$10-SUM(E$17:E53))</f>
        <v>2867865.7065067608</v>
      </c>
      <c r="E54" s="522">
        <f>IF(+I14&lt;F53,I14,D54)</f>
        <v>401624.59090909088</v>
      </c>
      <c r="F54" s="523">
        <f t="shared" si="26"/>
        <v>2466241.11559767</v>
      </c>
      <c r="G54" s="524">
        <f t="shared" si="24"/>
        <v>720409.83510027337</v>
      </c>
      <c r="H54" s="491">
        <f t="shared" si="25"/>
        <v>720409.83510027337</v>
      </c>
      <c r="I54" s="511">
        <f t="shared" si="27"/>
        <v>0</v>
      </c>
      <c r="J54" s="511"/>
      <c r="K54" s="525"/>
      <c r="L54" s="514">
        <f t="shared" si="28"/>
        <v>0</v>
      </c>
      <c r="M54" s="525"/>
      <c r="N54" s="514">
        <f t="shared" si="29"/>
        <v>0</v>
      </c>
      <c r="O54" s="514">
        <f t="shared" si="30"/>
        <v>0</v>
      </c>
      <c r="P54" s="272"/>
    </row>
    <row r="55" spans="2:17">
      <c r="B55" s="195" t="str">
        <f t="shared" si="6"/>
        <v/>
      </c>
      <c r="C55" s="507">
        <f>IF(D11="","-",+C54+1)</f>
        <v>2047</v>
      </c>
      <c r="D55" s="523">
        <f>IF(F54+SUM(E$17:E54)=D$10,F54,D$10-SUM(E$17:E54))</f>
        <v>2466241.11559767</v>
      </c>
      <c r="E55" s="522">
        <f>IF(+I14&lt;F54,I14,D55)</f>
        <v>401624.59090909088</v>
      </c>
      <c r="F55" s="523">
        <f t="shared" si="26"/>
        <v>2064616.5246885791</v>
      </c>
      <c r="G55" s="524">
        <f t="shared" si="24"/>
        <v>672404.79974718438</v>
      </c>
      <c r="H55" s="491">
        <f t="shared" si="25"/>
        <v>672404.79974718438</v>
      </c>
      <c r="I55" s="511">
        <f t="shared" si="27"/>
        <v>0</v>
      </c>
      <c r="J55" s="511"/>
      <c r="K55" s="525"/>
      <c r="L55" s="514">
        <f t="shared" si="28"/>
        <v>0</v>
      </c>
      <c r="M55" s="525"/>
      <c r="N55" s="514">
        <f t="shared" si="29"/>
        <v>0</v>
      </c>
      <c r="O55" s="514">
        <f t="shared" si="30"/>
        <v>0</v>
      </c>
      <c r="P55" s="272"/>
    </row>
    <row r="56" spans="2:17">
      <c r="B56" s="195" t="str">
        <f t="shared" si="6"/>
        <v/>
      </c>
      <c r="C56" s="507">
        <f>IF(D11="","-",+C55+1)</f>
        <v>2048</v>
      </c>
      <c r="D56" s="523">
        <f>IF(F55+SUM(E$17:E55)=D$10,F55,D$10-SUM(E$17:E55))</f>
        <v>2064616.5246885791</v>
      </c>
      <c r="E56" s="522">
        <f>IF(+I14&lt;F55,I14,D56)</f>
        <v>401624.59090909088</v>
      </c>
      <c r="F56" s="523">
        <f t="shared" si="26"/>
        <v>1662991.9337794883</v>
      </c>
      <c r="G56" s="524">
        <f t="shared" si="24"/>
        <v>624399.76439409528</v>
      </c>
      <c r="H56" s="491">
        <f t="shared" si="25"/>
        <v>624399.76439409528</v>
      </c>
      <c r="I56" s="511">
        <f t="shared" si="27"/>
        <v>0</v>
      </c>
      <c r="J56" s="511"/>
      <c r="K56" s="525"/>
      <c r="L56" s="514">
        <f t="shared" si="28"/>
        <v>0</v>
      </c>
      <c r="M56" s="525"/>
      <c r="N56" s="514">
        <f t="shared" si="29"/>
        <v>0</v>
      </c>
      <c r="O56" s="514">
        <f t="shared" si="30"/>
        <v>0</v>
      </c>
      <c r="P56" s="272"/>
    </row>
    <row r="57" spans="2:17">
      <c r="B57" s="195" t="str">
        <f t="shared" si="6"/>
        <v/>
      </c>
      <c r="C57" s="507">
        <f>IF(D11="","-",+C56+1)</f>
        <v>2049</v>
      </c>
      <c r="D57" s="523">
        <f>IF(F56+SUM(E$17:E56)=D$10,F56,D$10-SUM(E$17:E56))</f>
        <v>1662991.9337794883</v>
      </c>
      <c r="E57" s="522">
        <f>IF(+I14&lt;F56,I14,D57)</f>
        <v>401624.59090909088</v>
      </c>
      <c r="F57" s="523">
        <f t="shared" si="26"/>
        <v>1261367.3428703975</v>
      </c>
      <c r="G57" s="524">
        <f t="shared" si="24"/>
        <v>576394.7290410063</v>
      </c>
      <c r="H57" s="491">
        <f t="shared" si="25"/>
        <v>576394.7290410063</v>
      </c>
      <c r="I57" s="511">
        <f t="shared" si="27"/>
        <v>0</v>
      </c>
      <c r="J57" s="511"/>
      <c r="K57" s="525"/>
      <c r="L57" s="514">
        <f t="shared" si="28"/>
        <v>0</v>
      </c>
      <c r="M57" s="525"/>
      <c r="N57" s="514">
        <f t="shared" si="29"/>
        <v>0</v>
      </c>
      <c r="O57" s="514">
        <f t="shared" si="30"/>
        <v>0</v>
      </c>
      <c r="P57" s="272"/>
    </row>
    <row r="58" spans="2:17">
      <c r="B58" s="195" t="str">
        <f t="shared" si="6"/>
        <v/>
      </c>
      <c r="C58" s="507">
        <f>IF(D11="","-",+C57+1)</f>
        <v>2050</v>
      </c>
      <c r="D58" s="523">
        <f>IF(F57+SUM(E$17:E57)=D$10,F57,D$10-SUM(E$17:E57))</f>
        <v>1261367.3428703975</v>
      </c>
      <c r="E58" s="522">
        <f>IF(+I14&lt;F57,I14,D58)</f>
        <v>401624.59090909088</v>
      </c>
      <c r="F58" s="523">
        <f t="shared" si="26"/>
        <v>859742.75196130667</v>
      </c>
      <c r="G58" s="524">
        <f t="shared" si="24"/>
        <v>528389.6936879172</v>
      </c>
      <c r="H58" s="491">
        <f t="shared" si="25"/>
        <v>528389.6936879172</v>
      </c>
      <c r="I58" s="511">
        <f t="shared" si="27"/>
        <v>0</v>
      </c>
      <c r="J58" s="511"/>
      <c r="K58" s="525"/>
      <c r="L58" s="514">
        <f t="shared" si="28"/>
        <v>0</v>
      </c>
      <c r="M58" s="525"/>
      <c r="N58" s="514">
        <f t="shared" si="29"/>
        <v>0</v>
      </c>
      <c r="O58" s="514">
        <f t="shared" si="30"/>
        <v>0</v>
      </c>
      <c r="P58" s="272"/>
      <c r="Q58" s="183" t="str">
        <f>IF(ROUND(Q57,0)=ROUND(SUM(Q18:Q56),0),"","Error -- check allocations above).")</f>
        <v/>
      </c>
    </row>
    <row r="59" spans="2:17">
      <c r="B59" s="195" t="str">
        <f t="shared" si="6"/>
        <v/>
      </c>
      <c r="C59" s="507">
        <f>IF(D11="","-",+C58+1)</f>
        <v>2051</v>
      </c>
      <c r="D59" s="523">
        <f>IF(F58+SUM(E$17:E58)=D$10,F58,D$10-SUM(E$17:E58))</f>
        <v>859742.75196130667</v>
      </c>
      <c r="E59" s="522">
        <f>IF(+I14&lt;F58,I14,D59)</f>
        <v>401624.59090909088</v>
      </c>
      <c r="F59" s="523">
        <f t="shared" si="26"/>
        <v>458118.16105221579</v>
      </c>
      <c r="G59" s="524">
        <f t="shared" si="24"/>
        <v>480384.65833482821</v>
      </c>
      <c r="H59" s="491">
        <f t="shared" si="25"/>
        <v>480384.65833482821</v>
      </c>
      <c r="I59" s="511">
        <f t="shared" si="27"/>
        <v>0</v>
      </c>
      <c r="J59" s="511"/>
      <c r="K59" s="525"/>
      <c r="L59" s="514">
        <f t="shared" si="28"/>
        <v>0</v>
      </c>
      <c r="M59" s="525"/>
      <c r="N59" s="514">
        <f t="shared" si="29"/>
        <v>0</v>
      </c>
      <c r="O59" s="514">
        <f t="shared" si="30"/>
        <v>0</v>
      </c>
      <c r="P59" s="272"/>
    </row>
    <row r="60" spans="2:17">
      <c r="B60" s="195" t="str">
        <f t="shared" si="6"/>
        <v/>
      </c>
      <c r="C60" s="507">
        <f>IF(D11="","-",+C59+1)</f>
        <v>2052</v>
      </c>
      <c r="D60" s="523">
        <f>IF(F59+SUM(E$17:E59)=D$10,F59,D$10-SUM(E$17:E59))</f>
        <v>458118.16105221579</v>
      </c>
      <c r="E60" s="522">
        <f>IF(+I14&lt;F59,I14,D60)</f>
        <v>401624.59090909088</v>
      </c>
      <c r="F60" s="523">
        <f t="shared" si="26"/>
        <v>56493.570143124904</v>
      </c>
      <c r="G60" s="524">
        <f t="shared" si="24"/>
        <v>432379.62298173917</v>
      </c>
      <c r="H60" s="491">
        <f t="shared" si="25"/>
        <v>432379.62298173917</v>
      </c>
      <c r="I60" s="511">
        <f t="shared" si="27"/>
        <v>0</v>
      </c>
      <c r="J60" s="511"/>
      <c r="K60" s="525"/>
      <c r="L60" s="514">
        <f t="shared" si="28"/>
        <v>0</v>
      </c>
      <c r="M60" s="525"/>
      <c r="N60" s="514">
        <f t="shared" si="29"/>
        <v>0</v>
      </c>
      <c r="O60" s="514">
        <f t="shared" si="30"/>
        <v>0</v>
      </c>
      <c r="P60" s="272"/>
    </row>
    <row r="61" spans="2:17">
      <c r="B61" s="195" t="str">
        <f t="shared" si="6"/>
        <v/>
      </c>
      <c r="C61" s="507">
        <f>IF(D11="","-",+C60+1)</f>
        <v>2053</v>
      </c>
      <c r="D61" s="523">
        <f>IF(F60+SUM(E$17:E60)=D$10,F60,D$10-SUM(E$17:E60))</f>
        <v>56493.570143124904</v>
      </c>
      <c r="E61" s="522">
        <f>IF(+I14&lt;F60,I14,D61)</f>
        <v>56493.570143124904</v>
      </c>
      <c r="F61" s="523">
        <f t="shared" si="26"/>
        <v>0</v>
      </c>
      <c r="G61" s="526">
        <f t="shared" si="24"/>
        <v>59869.827341176795</v>
      </c>
      <c r="H61" s="491">
        <f t="shared" si="25"/>
        <v>59869.827341176795</v>
      </c>
      <c r="I61" s="511">
        <f t="shared" si="27"/>
        <v>0</v>
      </c>
      <c r="J61" s="511"/>
      <c r="K61" s="525"/>
      <c r="L61" s="514">
        <f t="shared" si="28"/>
        <v>0</v>
      </c>
      <c r="M61" s="525"/>
      <c r="N61" s="514">
        <f t="shared" si="29"/>
        <v>0</v>
      </c>
      <c r="O61" s="514">
        <f t="shared" si="30"/>
        <v>0</v>
      </c>
      <c r="P61" s="272"/>
    </row>
    <row r="62" spans="2:17">
      <c r="B62" s="195" t="str">
        <f t="shared" si="6"/>
        <v/>
      </c>
      <c r="C62" s="507">
        <f>IF(D11="","-",+C61+1)</f>
        <v>2054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26"/>
        <v>0</v>
      </c>
      <c r="G62" s="526">
        <f t="shared" si="24"/>
        <v>0</v>
      </c>
      <c r="H62" s="491">
        <f t="shared" si="25"/>
        <v>0</v>
      </c>
      <c r="I62" s="511">
        <f t="shared" si="27"/>
        <v>0</v>
      </c>
      <c r="J62" s="511"/>
      <c r="K62" s="525"/>
      <c r="L62" s="514">
        <f t="shared" si="28"/>
        <v>0</v>
      </c>
      <c r="M62" s="525"/>
      <c r="N62" s="514">
        <f t="shared" si="29"/>
        <v>0</v>
      </c>
      <c r="O62" s="514">
        <f t="shared" si="30"/>
        <v>0</v>
      </c>
      <c r="P62" s="272"/>
    </row>
    <row r="63" spans="2:17">
      <c r="B63" s="195" t="str">
        <f t="shared" si="6"/>
        <v/>
      </c>
      <c r="C63" s="507">
        <f>IF(D11="","-",+C62+1)</f>
        <v>2055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26"/>
        <v>0</v>
      </c>
      <c r="G63" s="526">
        <f t="shared" si="24"/>
        <v>0</v>
      </c>
      <c r="H63" s="491">
        <f t="shared" si="25"/>
        <v>0</v>
      </c>
      <c r="I63" s="511">
        <f t="shared" si="27"/>
        <v>0</v>
      </c>
      <c r="J63" s="511"/>
      <c r="K63" s="525"/>
      <c r="L63" s="514">
        <f t="shared" si="28"/>
        <v>0</v>
      </c>
      <c r="M63" s="525"/>
      <c r="N63" s="514">
        <f t="shared" si="29"/>
        <v>0</v>
      </c>
      <c r="O63" s="514">
        <f t="shared" si="30"/>
        <v>0</v>
      </c>
      <c r="P63" s="272"/>
    </row>
    <row r="64" spans="2:17">
      <c r="B64" s="195" t="str">
        <f t="shared" si="6"/>
        <v/>
      </c>
      <c r="C64" s="507">
        <f>IF(D11="","-",+C63+1)</f>
        <v>2056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26"/>
        <v>0</v>
      </c>
      <c r="G64" s="526">
        <f t="shared" si="24"/>
        <v>0</v>
      </c>
      <c r="H64" s="491">
        <f t="shared" si="25"/>
        <v>0</v>
      </c>
      <c r="I64" s="511">
        <f t="shared" si="27"/>
        <v>0</v>
      </c>
      <c r="J64" s="511"/>
      <c r="K64" s="525"/>
      <c r="L64" s="514">
        <f t="shared" si="28"/>
        <v>0</v>
      </c>
      <c r="M64" s="525"/>
      <c r="N64" s="514">
        <f t="shared" si="29"/>
        <v>0</v>
      </c>
      <c r="O64" s="514">
        <f t="shared" si="30"/>
        <v>0</v>
      </c>
      <c r="P64" s="272"/>
    </row>
    <row r="65" spans="1:16">
      <c r="B65" s="195" t="str">
        <f t="shared" si="6"/>
        <v/>
      </c>
      <c r="C65" s="507">
        <f>IF(D11="","-",+C64+1)</f>
        <v>2057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26"/>
        <v>0</v>
      </c>
      <c r="G65" s="526">
        <f t="shared" si="24"/>
        <v>0</v>
      </c>
      <c r="H65" s="491">
        <f t="shared" si="25"/>
        <v>0</v>
      </c>
      <c r="I65" s="511">
        <f t="shared" si="27"/>
        <v>0</v>
      </c>
      <c r="J65" s="511"/>
      <c r="K65" s="525"/>
      <c r="L65" s="514">
        <f t="shared" si="28"/>
        <v>0</v>
      </c>
      <c r="M65" s="525"/>
      <c r="N65" s="514">
        <f t="shared" si="29"/>
        <v>0</v>
      </c>
      <c r="O65" s="514">
        <f t="shared" si="30"/>
        <v>0</v>
      </c>
      <c r="P65" s="272"/>
    </row>
    <row r="66" spans="1:16">
      <c r="B66" s="195" t="str">
        <f t="shared" si="6"/>
        <v/>
      </c>
      <c r="C66" s="507">
        <f>IF(D11="","-",+C65+1)</f>
        <v>2058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26"/>
        <v>0</v>
      </c>
      <c r="G66" s="526">
        <f t="shared" si="24"/>
        <v>0</v>
      </c>
      <c r="H66" s="491">
        <f t="shared" si="25"/>
        <v>0</v>
      </c>
      <c r="I66" s="511">
        <f t="shared" si="27"/>
        <v>0</v>
      </c>
      <c r="J66" s="511"/>
      <c r="K66" s="525"/>
      <c r="L66" s="514">
        <f t="shared" si="28"/>
        <v>0</v>
      </c>
      <c r="M66" s="525"/>
      <c r="N66" s="514">
        <f t="shared" si="29"/>
        <v>0</v>
      </c>
      <c r="O66" s="514">
        <f t="shared" si="30"/>
        <v>0</v>
      </c>
      <c r="P66" s="272"/>
    </row>
    <row r="67" spans="1:16">
      <c r="B67" s="195" t="str">
        <f t="shared" si="6"/>
        <v/>
      </c>
      <c r="C67" s="507">
        <f>IF(D11="","-",+C66+1)</f>
        <v>2059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26"/>
        <v>0</v>
      </c>
      <c r="G67" s="526">
        <f t="shared" si="24"/>
        <v>0</v>
      </c>
      <c r="H67" s="491">
        <f t="shared" si="25"/>
        <v>0</v>
      </c>
      <c r="I67" s="511">
        <f t="shared" si="27"/>
        <v>0</v>
      </c>
      <c r="J67" s="511"/>
      <c r="K67" s="525"/>
      <c r="L67" s="514">
        <f t="shared" si="28"/>
        <v>0</v>
      </c>
      <c r="M67" s="525"/>
      <c r="N67" s="514">
        <f t="shared" si="29"/>
        <v>0</v>
      </c>
      <c r="O67" s="514">
        <f t="shared" si="30"/>
        <v>0</v>
      </c>
      <c r="P67" s="272"/>
    </row>
    <row r="68" spans="1:16">
      <c r="B68" s="195" t="str">
        <f t="shared" si="6"/>
        <v/>
      </c>
      <c r="C68" s="507">
        <f>IF(D11="","-",+C67+1)</f>
        <v>2060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26"/>
        <v>0</v>
      </c>
      <c r="G68" s="526">
        <f t="shared" si="24"/>
        <v>0</v>
      </c>
      <c r="H68" s="491">
        <f t="shared" si="25"/>
        <v>0</v>
      </c>
      <c r="I68" s="511">
        <f t="shared" si="27"/>
        <v>0</v>
      </c>
      <c r="J68" s="511"/>
      <c r="K68" s="525"/>
      <c r="L68" s="514">
        <f t="shared" si="28"/>
        <v>0</v>
      </c>
      <c r="M68" s="525"/>
      <c r="N68" s="514">
        <f t="shared" si="29"/>
        <v>0</v>
      </c>
      <c r="O68" s="514">
        <f t="shared" si="30"/>
        <v>0</v>
      </c>
      <c r="P68" s="272"/>
    </row>
    <row r="69" spans="1:16">
      <c r="B69" s="195" t="str">
        <f t="shared" si="6"/>
        <v/>
      </c>
      <c r="C69" s="507">
        <f>IF(D11="","-",+C68+1)</f>
        <v>2061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26"/>
        <v>0</v>
      </c>
      <c r="G69" s="526">
        <f t="shared" si="24"/>
        <v>0</v>
      </c>
      <c r="H69" s="491">
        <f t="shared" si="25"/>
        <v>0</v>
      </c>
      <c r="I69" s="511">
        <f t="shared" si="27"/>
        <v>0</v>
      </c>
      <c r="J69" s="511"/>
      <c r="K69" s="525"/>
      <c r="L69" s="514">
        <f t="shared" si="28"/>
        <v>0</v>
      </c>
      <c r="M69" s="525"/>
      <c r="N69" s="514">
        <f t="shared" si="29"/>
        <v>0</v>
      </c>
      <c r="O69" s="514">
        <f t="shared" si="30"/>
        <v>0</v>
      </c>
      <c r="P69" s="272"/>
    </row>
    <row r="70" spans="1:16">
      <c r="B70" s="195" t="str">
        <f t="shared" si="6"/>
        <v/>
      </c>
      <c r="C70" s="507">
        <f>IF(D11="","-",+C69+1)</f>
        <v>2062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26"/>
        <v>0</v>
      </c>
      <c r="G70" s="526">
        <f t="shared" si="24"/>
        <v>0</v>
      </c>
      <c r="H70" s="491">
        <f t="shared" si="25"/>
        <v>0</v>
      </c>
      <c r="I70" s="511">
        <f t="shared" si="27"/>
        <v>0</v>
      </c>
      <c r="J70" s="511"/>
      <c r="K70" s="525"/>
      <c r="L70" s="514">
        <f t="shared" si="28"/>
        <v>0</v>
      </c>
      <c r="M70" s="525"/>
      <c r="N70" s="514">
        <f t="shared" si="29"/>
        <v>0</v>
      </c>
      <c r="O70" s="514">
        <f t="shared" si="30"/>
        <v>0</v>
      </c>
      <c r="P70" s="272"/>
    </row>
    <row r="71" spans="1:16">
      <c r="B71" s="195" t="str">
        <f t="shared" si="6"/>
        <v/>
      </c>
      <c r="C71" s="507">
        <f>IF(D11="","-",+C70+1)</f>
        <v>2063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26"/>
        <v>0</v>
      </c>
      <c r="G71" s="526">
        <f t="shared" si="24"/>
        <v>0</v>
      </c>
      <c r="H71" s="491">
        <f t="shared" si="25"/>
        <v>0</v>
      </c>
      <c r="I71" s="511">
        <f t="shared" si="27"/>
        <v>0</v>
      </c>
      <c r="J71" s="511"/>
      <c r="K71" s="525"/>
      <c r="L71" s="514">
        <f t="shared" si="28"/>
        <v>0</v>
      </c>
      <c r="M71" s="525"/>
      <c r="N71" s="514">
        <f t="shared" si="29"/>
        <v>0</v>
      </c>
      <c r="O71" s="514">
        <f t="shared" si="30"/>
        <v>0</v>
      </c>
      <c r="P71" s="272"/>
    </row>
    <row r="72" spans="1:16" ht="13.5" thickBot="1">
      <c r="B72" s="195" t="str">
        <f t="shared" si="6"/>
        <v/>
      </c>
      <c r="C72" s="527">
        <f>IF(D11="","-",+C71+1)</f>
        <v>2064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26"/>
        <v>0</v>
      </c>
      <c r="G72" s="530">
        <f t="shared" si="24"/>
        <v>0</v>
      </c>
      <c r="H72" s="471">
        <f t="shared" si="25"/>
        <v>0</v>
      </c>
      <c r="I72" s="531">
        <f t="shared" si="27"/>
        <v>0</v>
      </c>
      <c r="J72" s="511"/>
      <c r="K72" s="532"/>
      <c r="L72" s="533">
        <f t="shared" si="28"/>
        <v>0</v>
      </c>
      <c r="M72" s="532"/>
      <c r="N72" s="533">
        <f t="shared" si="29"/>
        <v>0</v>
      </c>
      <c r="O72" s="533">
        <f t="shared" si="30"/>
        <v>0</v>
      </c>
      <c r="P72" s="272"/>
    </row>
    <row r="73" spans="1:16">
      <c r="C73" s="374" t="s">
        <v>78</v>
      </c>
      <c r="D73" s="375"/>
      <c r="E73" s="375">
        <f>SUM(E17:E72)</f>
        <v>17671482.000000011</v>
      </c>
      <c r="F73" s="375"/>
      <c r="G73" s="375">
        <f>SUM(G17:G72)</f>
        <v>64828600.761006735</v>
      </c>
      <c r="H73" s="375">
        <f>SUM(H17:H72)</f>
        <v>64828600.761006735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1:16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1:16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1:16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1:16" ht="18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535"/>
      <c r="P77" s="272"/>
    </row>
    <row r="78" spans="1:16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1:16" ht="15">
      <c r="A79" s="536"/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</row>
    <row r="80" spans="1:16" ht="18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7">
      <c r="B81" s="269"/>
      <c r="C81" s="537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7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  <c r="Q82" s="269"/>
    </row>
    <row r="83" spans="1:17" ht="20.25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535" t="str">
        <f ca="1">P1</f>
        <v>SWEPCO Project 1 of 75</v>
      </c>
      <c r="Q83" s="269"/>
    </row>
    <row r="84" spans="1:17" ht="18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454" t="s">
        <v>128</v>
      </c>
      <c r="Q84" s="269"/>
    </row>
    <row r="85" spans="1:17" ht="18.7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  <c r="Q85" s="269"/>
    </row>
    <row r="86" spans="1:17" ht="15.75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2022</v>
      </c>
      <c r="M86" s="541" t="s">
        <v>9</v>
      </c>
      <c r="N86" s="542" t="s">
        <v>159</v>
      </c>
      <c r="O86" s="543" t="s">
        <v>11</v>
      </c>
      <c r="P86" s="269"/>
      <c r="Q86" s="269"/>
    </row>
    <row r="87" spans="1:17" ht="1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391</v>
      </c>
      <c r="M87" s="546">
        <f>IF(J92&lt;D11,0,VLOOKUP(J92,C17:O72,9))</f>
        <v>1807717.2661762077</v>
      </c>
      <c r="N87" s="546">
        <f>IF(J92&lt;D11,0,VLOOKUP(J92,C17:O72,11))</f>
        <v>1807717.2661762077</v>
      </c>
      <c r="O87" s="547">
        <f>+N87-M87</f>
        <v>0</v>
      </c>
      <c r="P87" s="269"/>
      <c r="Q87" s="269"/>
    </row>
    <row r="88" spans="1:17" ht="15.7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392</v>
      </c>
      <c r="M88" s="550">
        <f>IF(J92&lt;D11,0,VLOOKUP(J92,C99:P154,6))</f>
        <v>1878537.3886775936</v>
      </c>
      <c r="N88" s="550">
        <f>IF(J92&lt;D11,0,VLOOKUP(J92,C99:P154,7))</f>
        <v>1878537.3886775936</v>
      </c>
      <c r="O88" s="551">
        <f>+N88-M88</f>
        <v>0</v>
      </c>
      <c r="P88" s="269"/>
      <c r="Q88" s="269"/>
    </row>
    <row r="89" spans="1:17" ht="13.5" thickBot="1">
      <c r="C89" s="467" t="s">
        <v>84</v>
      </c>
      <c r="D89" s="552" t="str">
        <f>+D7</f>
        <v>Arsenal Hill Auto xfmr &amp; AH to Water Works line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70820.122501385864</v>
      </c>
      <c r="N89" s="555">
        <f>+N88-N87</f>
        <v>70820.122501385864</v>
      </c>
      <c r="O89" s="556">
        <f>+O88-O87</f>
        <v>0</v>
      </c>
      <c r="P89" s="269"/>
      <c r="Q89" s="269"/>
    </row>
    <row r="90" spans="1:17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  <c r="Q90" s="269"/>
    </row>
    <row r="91" spans="1:17" ht="13.5" thickBot="1">
      <c r="A91" s="191"/>
      <c r="C91" s="558" t="s">
        <v>85</v>
      </c>
      <c r="D91" s="559" t="str">
        <f>+D9</f>
        <v>TP2007057</v>
      </c>
      <c r="E91" s="560"/>
      <c r="F91" s="560"/>
      <c r="G91" s="560"/>
      <c r="H91" s="560"/>
      <c r="I91" s="560"/>
      <c r="J91" s="561"/>
      <c r="K91" s="562"/>
      <c r="P91" s="481"/>
      <c r="Q91" s="269"/>
    </row>
    <row r="92" spans="1:17">
      <c r="C92" s="486" t="s">
        <v>51</v>
      </c>
      <c r="D92" s="483">
        <v>17671482</v>
      </c>
      <c r="E92" s="340" t="s">
        <v>86</v>
      </c>
      <c r="H92" s="484"/>
      <c r="I92" s="484"/>
      <c r="J92" s="485">
        <f>+'SWE.WS.G.BPU.ATRR.True-up'!M16</f>
        <v>2022</v>
      </c>
      <c r="K92" s="480"/>
      <c r="L92" s="375" t="s">
        <v>87</v>
      </c>
      <c r="P92" s="272"/>
      <c r="Q92" s="269"/>
    </row>
    <row r="93" spans="1:17">
      <c r="C93" s="486" t="s">
        <v>54</v>
      </c>
      <c r="D93" s="563">
        <f>IF(D11=I10,"",D11)</f>
        <v>2009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  <c r="Q93" s="269"/>
    </row>
    <row r="94" spans="1:17">
      <c r="C94" s="486" t="s">
        <v>56</v>
      </c>
      <c r="D94" s="564">
        <f>IF(D11=I10,"",D12)</f>
        <v>12</v>
      </c>
      <c r="E94" s="486" t="s">
        <v>57</v>
      </c>
      <c r="F94" s="484"/>
      <c r="G94" s="484"/>
      <c r="J94" s="490">
        <f>'SWE.WS.G.BPU.ATRR.True-up'!$F$81</f>
        <v>0.11351422637179906</v>
      </c>
      <c r="K94" s="425"/>
      <c r="L94" s="183" t="s">
        <v>88</v>
      </c>
      <c r="P94" s="272"/>
      <c r="Q94" s="269"/>
    </row>
    <row r="95" spans="1:17">
      <c r="C95" s="486" t="s">
        <v>59</v>
      </c>
      <c r="D95" s="488">
        <f>'SWE.WS.G.BPU.ATRR.True-up'!F$93</f>
        <v>41</v>
      </c>
      <c r="E95" s="486" t="s">
        <v>60</v>
      </c>
      <c r="F95" s="484"/>
      <c r="G95" s="484"/>
      <c r="J95" s="490">
        <f>IF(H87="",J94,'SWE.WS.G.BPU.ATRR.True-up'!$F$80)</f>
        <v>0.11351422637179906</v>
      </c>
      <c r="K95" s="324"/>
      <c r="L95" s="375" t="s">
        <v>61</v>
      </c>
      <c r="M95" s="324"/>
      <c r="N95" s="324"/>
      <c r="O95" s="324"/>
      <c r="P95" s="272"/>
      <c r="Q95" s="269"/>
    </row>
    <row r="96" spans="1:17" ht="13.5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431011.75609756098</v>
      </c>
      <c r="K96" s="375"/>
      <c r="L96" s="375"/>
      <c r="M96" s="375"/>
      <c r="N96" s="375"/>
      <c r="O96" s="375"/>
      <c r="P96" s="272"/>
      <c r="Q96" s="269"/>
    </row>
    <row r="97" spans="1:17" ht="38.25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388</v>
      </c>
      <c r="I97" s="495" t="s">
        <v>389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  <c r="Q97" s="269"/>
    </row>
    <row r="98" spans="1:17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  <c r="Q98" s="269"/>
    </row>
    <row r="99" spans="1:17">
      <c r="C99" s="507">
        <f>IF(D93= "","-",D93)</f>
        <v>2009</v>
      </c>
      <c r="D99" s="508">
        <v>0</v>
      </c>
      <c r="E99" s="516">
        <v>0</v>
      </c>
      <c r="F99" s="515">
        <v>12134740</v>
      </c>
      <c r="G99" s="574">
        <v>6067370</v>
      </c>
      <c r="H99" s="575">
        <v>878177</v>
      </c>
      <c r="I99" s="576">
        <v>878177</v>
      </c>
      <c r="J99" s="514">
        <f t="shared" ref="J99:J130" si="31">+I99-H99</f>
        <v>0</v>
      </c>
      <c r="K99" s="514"/>
      <c r="L99" s="512">
        <f t="shared" ref="L99:L104" si="32">H99</f>
        <v>878177</v>
      </c>
      <c r="M99" s="513">
        <f t="shared" ref="M99:M130" si="33">IF(L99&lt;&gt;0,+H99-L99,0)</f>
        <v>0</v>
      </c>
      <c r="N99" s="512">
        <f t="shared" ref="N99:N104" si="34">I99</f>
        <v>878177</v>
      </c>
      <c r="O99" s="513">
        <f t="shared" ref="O99:O130" si="35">IF(N99&lt;&gt;0,+I99-N99,0)</f>
        <v>0</v>
      </c>
      <c r="P99" s="513">
        <f t="shared" ref="P99:P130" si="36">+O99-M99</f>
        <v>0</v>
      </c>
      <c r="Q99" s="269"/>
    </row>
    <row r="100" spans="1:17">
      <c r="B100" s="195" t="str">
        <f>IF(D100=F99,"","IU")</f>
        <v>IU</v>
      </c>
      <c r="C100" s="507">
        <f>IF(D93="","-",+C99+1)</f>
        <v>2010</v>
      </c>
      <c r="D100" s="508">
        <v>17671482</v>
      </c>
      <c r="E100" s="516">
        <v>431011.75609756098</v>
      </c>
      <c r="F100" s="515">
        <v>17240470.243902437</v>
      </c>
      <c r="G100" s="515">
        <v>17455976.121951219</v>
      </c>
      <c r="H100" s="516">
        <v>3312750.4635227108</v>
      </c>
      <c r="I100" s="510">
        <v>3312750.4635227108</v>
      </c>
      <c r="J100" s="514">
        <f t="shared" si="31"/>
        <v>0</v>
      </c>
      <c r="K100" s="514"/>
      <c r="L100" s="518">
        <f t="shared" si="32"/>
        <v>3312750.4635227108</v>
      </c>
      <c r="M100" s="519">
        <f t="shared" si="33"/>
        <v>0</v>
      </c>
      <c r="N100" s="518">
        <f t="shared" si="34"/>
        <v>3312750.4635227108</v>
      </c>
      <c r="O100" s="514">
        <f t="shared" si="35"/>
        <v>0</v>
      </c>
      <c r="P100" s="514">
        <f t="shared" si="36"/>
        <v>0</v>
      </c>
      <c r="Q100" s="269"/>
    </row>
    <row r="101" spans="1:17">
      <c r="B101" s="195" t="str">
        <f t="shared" ref="B101:B154" si="37">IF(D101=F100,"","IU")</f>
        <v/>
      </c>
      <c r="C101" s="507">
        <f>IF(D93="","-",+C100+1)</f>
        <v>2011</v>
      </c>
      <c r="D101" s="508">
        <v>17240470.243902437</v>
      </c>
      <c r="E101" s="520">
        <v>420749.57142857142</v>
      </c>
      <c r="F101" s="515">
        <v>16819720.672473866</v>
      </c>
      <c r="G101" s="515">
        <v>17030095.458188154</v>
      </c>
      <c r="H101" s="516">
        <v>2981733.6450111624</v>
      </c>
      <c r="I101" s="510">
        <v>2981733.6450111624</v>
      </c>
      <c r="J101" s="514">
        <f t="shared" si="31"/>
        <v>0</v>
      </c>
      <c r="K101" s="514"/>
      <c r="L101" s="518">
        <f t="shared" si="32"/>
        <v>2981733.6450111624</v>
      </c>
      <c r="M101" s="519">
        <f t="shared" si="33"/>
        <v>0</v>
      </c>
      <c r="N101" s="518">
        <f t="shared" si="34"/>
        <v>2981733.6450111624</v>
      </c>
      <c r="O101" s="514">
        <f t="shared" si="35"/>
        <v>0</v>
      </c>
      <c r="P101" s="514">
        <f t="shared" si="36"/>
        <v>0</v>
      </c>
      <c r="Q101" s="269"/>
    </row>
    <row r="102" spans="1:17">
      <c r="B102" s="195" t="str">
        <f t="shared" si="37"/>
        <v/>
      </c>
      <c r="C102" s="507">
        <f>IF(D93="","-",+C101+1)</f>
        <v>2012</v>
      </c>
      <c r="D102" s="508">
        <v>16819720.672473866</v>
      </c>
      <c r="E102" s="520">
        <v>420749.57142857142</v>
      </c>
      <c r="F102" s="515">
        <v>16398971.101045296</v>
      </c>
      <c r="G102" s="515">
        <v>16609345.886759581</v>
      </c>
      <c r="H102" s="516">
        <v>2864880.1232274803</v>
      </c>
      <c r="I102" s="510">
        <v>2864880.1232274803</v>
      </c>
      <c r="J102" s="514">
        <v>0</v>
      </c>
      <c r="K102" s="514"/>
      <c r="L102" s="518">
        <f t="shared" si="32"/>
        <v>2864880.1232274803</v>
      </c>
      <c r="M102" s="519">
        <f t="shared" ref="M102:M107" si="38">IF(L102&lt;&gt;0,+H102-L102,0)</f>
        <v>0</v>
      </c>
      <c r="N102" s="518">
        <f t="shared" si="34"/>
        <v>2864880.1232274803</v>
      </c>
      <c r="O102" s="514">
        <f t="shared" ref="O102:O107" si="39">IF(N102&lt;&gt;0,+I102-N102,0)</f>
        <v>0</v>
      </c>
      <c r="P102" s="514">
        <f t="shared" ref="P102:P107" si="40">+O102-M102</f>
        <v>0</v>
      </c>
      <c r="Q102" s="269"/>
    </row>
    <row r="103" spans="1:17">
      <c r="B103" s="195" t="str">
        <f t="shared" si="37"/>
        <v/>
      </c>
      <c r="C103" s="507">
        <f>IF(D93="","-",+C102+1)</f>
        <v>2013</v>
      </c>
      <c r="D103" s="508">
        <v>16398971.101045296</v>
      </c>
      <c r="E103" s="520">
        <v>420749.57142857142</v>
      </c>
      <c r="F103" s="515">
        <v>15978221.529616725</v>
      </c>
      <c r="G103" s="515">
        <v>16188596.31533101</v>
      </c>
      <c r="H103" s="516">
        <v>2610932.3249301547</v>
      </c>
      <c r="I103" s="510">
        <v>2610932.3249301547</v>
      </c>
      <c r="J103" s="514">
        <v>0</v>
      </c>
      <c r="K103" s="514"/>
      <c r="L103" s="518">
        <f t="shared" si="32"/>
        <v>2610932.3249301547</v>
      </c>
      <c r="M103" s="519">
        <f t="shared" si="38"/>
        <v>0</v>
      </c>
      <c r="N103" s="518">
        <f t="shared" si="34"/>
        <v>2610932.3249301547</v>
      </c>
      <c r="O103" s="514">
        <f t="shared" si="39"/>
        <v>0</v>
      </c>
      <c r="P103" s="514">
        <f t="shared" si="40"/>
        <v>0</v>
      </c>
      <c r="Q103" s="269"/>
    </row>
    <row r="104" spans="1:17">
      <c r="B104" s="195" t="str">
        <f t="shared" si="37"/>
        <v/>
      </c>
      <c r="C104" s="507">
        <f>IF(D93="","-",+C103+1)</f>
        <v>2014</v>
      </c>
      <c r="D104" s="508">
        <v>15978221.529616725</v>
      </c>
      <c r="E104" s="520">
        <v>420749.57142857142</v>
      </c>
      <c r="F104" s="515">
        <v>15557471.958188154</v>
      </c>
      <c r="G104" s="515">
        <v>15767846.743902439</v>
      </c>
      <c r="H104" s="516">
        <v>2563969.8538958314</v>
      </c>
      <c r="I104" s="510">
        <v>2563969.8538958314</v>
      </c>
      <c r="J104" s="514">
        <v>0</v>
      </c>
      <c r="K104" s="514"/>
      <c r="L104" s="518">
        <f t="shared" si="32"/>
        <v>2563969.8538958314</v>
      </c>
      <c r="M104" s="519">
        <f t="shared" si="38"/>
        <v>0</v>
      </c>
      <c r="N104" s="518">
        <f t="shared" si="34"/>
        <v>2563969.8538958314</v>
      </c>
      <c r="O104" s="514">
        <f t="shared" si="39"/>
        <v>0</v>
      </c>
      <c r="P104" s="514">
        <f t="shared" si="40"/>
        <v>0</v>
      </c>
      <c r="Q104" s="269"/>
    </row>
    <row r="105" spans="1:17">
      <c r="B105" s="195" t="str">
        <f t="shared" si="37"/>
        <v/>
      </c>
      <c r="C105" s="507">
        <f>IF(D93="","-",+C104+1)</f>
        <v>2015</v>
      </c>
      <c r="D105" s="508">
        <v>15557471.958188154</v>
      </c>
      <c r="E105" s="520">
        <v>420749.57142857142</v>
      </c>
      <c r="F105" s="515">
        <v>15136722.386759583</v>
      </c>
      <c r="G105" s="515">
        <v>15347097.172473868</v>
      </c>
      <c r="H105" s="516">
        <v>2443019.3444839055</v>
      </c>
      <c r="I105" s="510">
        <v>2443019.3444839055</v>
      </c>
      <c r="J105" s="514">
        <f t="shared" si="31"/>
        <v>0</v>
      </c>
      <c r="K105" s="514"/>
      <c r="L105" s="518">
        <f t="shared" ref="L105:L110" si="41">H105</f>
        <v>2443019.3444839055</v>
      </c>
      <c r="M105" s="519">
        <f t="shared" si="38"/>
        <v>0</v>
      </c>
      <c r="N105" s="518">
        <f t="shared" ref="N105:N110" si="42">I105</f>
        <v>2443019.3444839055</v>
      </c>
      <c r="O105" s="514">
        <f t="shared" si="39"/>
        <v>0</v>
      </c>
      <c r="P105" s="514">
        <f t="shared" si="40"/>
        <v>0</v>
      </c>
      <c r="Q105" s="269"/>
    </row>
    <row r="106" spans="1:17">
      <c r="B106" s="195" t="str">
        <f t="shared" si="37"/>
        <v/>
      </c>
      <c r="C106" s="507">
        <f>IF(D93="","-",+C105+1)</f>
        <v>2016</v>
      </c>
      <c r="D106" s="508">
        <v>15136722.386759583</v>
      </c>
      <c r="E106" s="520">
        <v>410964.69767441862</v>
      </c>
      <c r="F106" s="515">
        <v>14725757.689085165</v>
      </c>
      <c r="G106" s="515">
        <v>14931240.037922375</v>
      </c>
      <c r="H106" s="516">
        <v>2306485.4456193848</v>
      </c>
      <c r="I106" s="510">
        <v>2306485.4456193848</v>
      </c>
      <c r="J106" s="514">
        <f t="shared" si="31"/>
        <v>0</v>
      </c>
      <c r="K106" s="514"/>
      <c r="L106" s="518">
        <f t="shared" si="41"/>
        <v>2306485.4456193848</v>
      </c>
      <c r="M106" s="519">
        <f t="shared" si="38"/>
        <v>0</v>
      </c>
      <c r="N106" s="518">
        <f t="shared" si="42"/>
        <v>2306485.4456193848</v>
      </c>
      <c r="O106" s="514">
        <f t="shared" si="39"/>
        <v>0</v>
      </c>
      <c r="P106" s="514">
        <f t="shared" si="40"/>
        <v>0</v>
      </c>
      <c r="Q106" s="269"/>
    </row>
    <row r="107" spans="1:17">
      <c r="B107" s="195" t="str">
        <f t="shared" si="37"/>
        <v/>
      </c>
      <c r="C107" s="507">
        <f>IF(D93="","-",+C106+1)</f>
        <v>2017</v>
      </c>
      <c r="D107" s="508">
        <v>14725757.689085165</v>
      </c>
      <c r="E107" s="520">
        <v>420749.57142857142</v>
      </c>
      <c r="F107" s="515">
        <v>14305008.117656594</v>
      </c>
      <c r="G107" s="515">
        <v>14515382.90337088</v>
      </c>
      <c r="H107" s="516">
        <v>2183954.2915421841</v>
      </c>
      <c r="I107" s="510">
        <v>2183954.2915421841</v>
      </c>
      <c r="J107" s="514">
        <f t="shared" si="31"/>
        <v>0</v>
      </c>
      <c r="K107" s="514"/>
      <c r="L107" s="518">
        <f t="shared" si="41"/>
        <v>2183954.2915421841</v>
      </c>
      <c r="M107" s="519">
        <f t="shared" si="38"/>
        <v>0</v>
      </c>
      <c r="N107" s="518">
        <f t="shared" si="42"/>
        <v>2183954.2915421841</v>
      </c>
      <c r="O107" s="514">
        <f t="shared" si="39"/>
        <v>0</v>
      </c>
      <c r="P107" s="514">
        <f t="shared" si="40"/>
        <v>0</v>
      </c>
      <c r="Q107" s="269"/>
    </row>
    <row r="108" spans="1:17">
      <c r="B108" s="195" t="str">
        <f t="shared" si="37"/>
        <v/>
      </c>
      <c r="C108" s="507">
        <f>IF(D93="","-",+C107+1)</f>
        <v>2018</v>
      </c>
      <c r="D108" s="508">
        <v>14305008.117656594</v>
      </c>
      <c r="E108" s="520">
        <v>420749.57142857142</v>
      </c>
      <c r="F108" s="515">
        <v>13884258.546228023</v>
      </c>
      <c r="G108" s="515">
        <v>14094633.331942309</v>
      </c>
      <c r="H108" s="516">
        <v>1909207.486730136</v>
      </c>
      <c r="I108" s="510">
        <v>1909207.486730136</v>
      </c>
      <c r="J108" s="514">
        <f t="shared" si="31"/>
        <v>0</v>
      </c>
      <c r="K108" s="514"/>
      <c r="L108" s="518">
        <f t="shared" si="41"/>
        <v>1909207.486730136</v>
      </c>
      <c r="M108" s="519">
        <f t="shared" ref="M108" si="43">IF(L108&lt;&gt;0,+H108-L108,0)</f>
        <v>0</v>
      </c>
      <c r="N108" s="518">
        <f t="shared" si="42"/>
        <v>1909207.486730136</v>
      </c>
      <c r="O108" s="514">
        <f t="shared" ref="O108" si="44">IF(N108&lt;&gt;0,+I108-N108,0)</f>
        <v>0</v>
      </c>
      <c r="P108" s="514">
        <f t="shared" si="36"/>
        <v>0</v>
      </c>
      <c r="Q108" s="269"/>
    </row>
    <row r="109" spans="1:17">
      <c r="B109" s="195" t="str">
        <f t="shared" si="37"/>
        <v/>
      </c>
      <c r="C109" s="507">
        <f>IF(D93="","-",+C108+1)</f>
        <v>2019</v>
      </c>
      <c r="D109" s="508">
        <v>13884258.546228023</v>
      </c>
      <c r="E109" s="520">
        <v>410964.69767441862</v>
      </c>
      <c r="F109" s="515">
        <v>13473293.848553605</v>
      </c>
      <c r="G109" s="515">
        <v>13678776.197390813</v>
      </c>
      <c r="H109" s="516">
        <v>1875148.3778696754</v>
      </c>
      <c r="I109" s="510">
        <v>1875148.3778696754</v>
      </c>
      <c r="J109" s="514">
        <f t="shared" si="31"/>
        <v>0</v>
      </c>
      <c r="K109" s="514"/>
      <c r="L109" s="518">
        <f t="shared" si="41"/>
        <v>1875148.3778696754</v>
      </c>
      <c r="M109" s="519">
        <f t="shared" ref="M109:M110" si="45">IF(L109&lt;&gt;0,+H109-L109,0)</f>
        <v>0</v>
      </c>
      <c r="N109" s="518">
        <f t="shared" si="42"/>
        <v>1875148.3778696754</v>
      </c>
      <c r="O109" s="514">
        <f t="shared" si="35"/>
        <v>0</v>
      </c>
      <c r="P109" s="514">
        <f t="shared" si="36"/>
        <v>0</v>
      </c>
      <c r="Q109" s="269"/>
    </row>
    <row r="110" spans="1:17">
      <c r="B110" s="195" t="str">
        <f t="shared" si="37"/>
        <v/>
      </c>
      <c r="C110" s="507">
        <f>IF(D93="","-",+C109+1)</f>
        <v>2020</v>
      </c>
      <c r="D110" s="508">
        <v>13473293.848553605</v>
      </c>
      <c r="E110" s="520">
        <v>420749.57142857142</v>
      </c>
      <c r="F110" s="515">
        <v>13052544.277125034</v>
      </c>
      <c r="G110" s="515">
        <v>13262919.06283932</v>
      </c>
      <c r="H110" s="516">
        <v>1847492.6051652874</v>
      </c>
      <c r="I110" s="510">
        <v>1847492.6051652874</v>
      </c>
      <c r="J110" s="514">
        <f t="shared" si="31"/>
        <v>0</v>
      </c>
      <c r="K110" s="514"/>
      <c r="L110" s="518">
        <f t="shared" si="41"/>
        <v>1847492.6051652874</v>
      </c>
      <c r="M110" s="519">
        <f t="shared" si="45"/>
        <v>0</v>
      </c>
      <c r="N110" s="518">
        <f t="shared" si="42"/>
        <v>1847492.6051652874</v>
      </c>
      <c r="O110" s="514">
        <f t="shared" si="35"/>
        <v>0</v>
      </c>
      <c r="P110" s="514">
        <f t="shared" si="36"/>
        <v>0</v>
      </c>
      <c r="Q110" s="269"/>
    </row>
    <row r="111" spans="1:17">
      <c r="B111" s="195" t="str">
        <f t="shared" si="37"/>
        <v/>
      </c>
      <c r="C111" s="507">
        <f>IF(D93="","-",+C110+1)</f>
        <v>2021</v>
      </c>
      <c r="D111" s="508">
        <v>13052544.277125034</v>
      </c>
      <c r="E111" s="520">
        <v>431011.75609756098</v>
      </c>
      <c r="F111" s="515">
        <v>12621532.521027474</v>
      </c>
      <c r="G111" s="515">
        <v>12837038.399076253</v>
      </c>
      <c r="H111" s="516">
        <v>1888198.2388737798</v>
      </c>
      <c r="I111" s="510">
        <v>1888198.2388737798</v>
      </c>
      <c r="J111" s="514">
        <f t="shared" si="31"/>
        <v>0</v>
      </c>
      <c r="K111" s="514"/>
      <c r="L111" s="518">
        <f t="shared" ref="L111" si="46">H111</f>
        <v>1888198.2388737798</v>
      </c>
      <c r="M111" s="519">
        <f t="shared" ref="M111" si="47">IF(L111&lt;&gt;0,+H111-L111,0)</f>
        <v>0</v>
      </c>
      <c r="N111" s="518">
        <f t="shared" ref="N111" si="48">I111</f>
        <v>1888198.2388737798</v>
      </c>
      <c r="O111" s="514">
        <f t="shared" ref="O111" si="49">IF(N111&lt;&gt;0,+I111-N111,0)</f>
        <v>0</v>
      </c>
      <c r="P111" s="514">
        <f t="shared" ref="P111" si="50">+O111-M111</f>
        <v>0</v>
      </c>
      <c r="Q111" s="269"/>
    </row>
    <row r="112" spans="1:17">
      <c r="B112" s="195" t="str">
        <f t="shared" si="37"/>
        <v/>
      </c>
      <c r="C112" s="673">
        <f>IF(D93="","-",+C111+1)</f>
        <v>2022</v>
      </c>
      <c r="D112" s="374">
        <v>12621532.521027474</v>
      </c>
      <c r="E112" s="522">
        <v>420749.57142857142</v>
      </c>
      <c r="F112" s="523">
        <v>12200782.949598903</v>
      </c>
      <c r="G112" s="523">
        <v>12411157.735313188</v>
      </c>
      <c r="H112" s="526">
        <v>1878537.3886775936</v>
      </c>
      <c r="I112" s="577">
        <v>1878537.3886775936</v>
      </c>
      <c r="J112" s="514">
        <f t="shared" si="31"/>
        <v>0</v>
      </c>
      <c r="K112" s="514"/>
      <c r="L112" s="525"/>
      <c r="M112" s="514">
        <f t="shared" si="33"/>
        <v>0</v>
      </c>
      <c r="N112" s="525"/>
      <c r="O112" s="514">
        <f t="shared" si="35"/>
        <v>0</v>
      </c>
      <c r="P112" s="514">
        <f t="shared" si="36"/>
        <v>0</v>
      </c>
      <c r="Q112" s="269"/>
    </row>
    <row r="113" spans="2:17">
      <c r="B113" s="195" t="str">
        <f t="shared" si="37"/>
        <v/>
      </c>
      <c r="C113" s="507">
        <f>IF(D93="","-",+C112+1)</f>
        <v>2023</v>
      </c>
      <c r="D113" s="374">
        <f>IF(F112+SUM(E$99:E112)=D$92,F112,D$92-SUM(E$99:E112))</f>
        <v>12200782.949598903</v>
      </c>
      <c r="E113" s="522">
        <f>IF(+J96&lt;F112,J96,D113)</f>
        <v>431011.75609756098</v>
      </c>
      <c r="F113" s="523">
        <f t="shared" ref="F113:F130" si="51">+D113-E113</f>
        <v>11769771.193501342</v>
      </c>
      <c r="G113" s="523">
        <f t="shared" ref="G113:G130" si="52">+(F113+D113)/2</f>
        <v>11985277.071550123</v>
      </c>
      <c r="H113" s="526">
        <f t="shared" ref="H113:H154" si="53">+J$94*G113+E113</f>
        <v>1791511.2107262346</v>
      </c>
      <c r="I113" s="577">
        <f t="shared" ref="I113:I154" si="54">+J$95*G113+E113</f>
        <v>1791511.2107262346</v>
      </c>
      <c r="J113" s="514">
        <f t="shared" si="31"/>
        <v>0</v>
      </c>
      <c r="K113" s="514"/>
      <c r="L113" s="525"/>
      <c r="M113" s="514">
        <f t="shared" si="33"/>
        <v>0</v>
      </c>
      <c r="N113" s="525"/>
      <c r="O113" s="514">
        <f t="shared" si="35"/>
        <v>0</v>
      </c>
      <c r="P113" s="514">
        <f t="shared" si="36"/>
        <v>0</v>
      </c>
      <c r="Q113" s="269"/>
    </row>
    <row r="114" spans="2:17">
      <c r="B114" s="195" t="str">
        <f t="shared" si="37"/>
        <v/>
      </c>
      <c r="C114" s="507">
        <f>IF(D93="","-",+C113+1)</f>
        <v>2024</v>
      </c>
      <c r="D114" s="374">
        <f>IF(F113+SUM(E$99:E113)=D$92,F113,D$92-SUM(E$99:E113))</f>
        <v>11769771.193501342</v>
      </c>
      <c r="E114" s="522">
        <f>IF(+J96&lt;F113,J96,D114)</f>
        <v>431011.75609756098</v>
      </c>
      <c r="F114" s="523">
        <f t="shared" si="51"/>
        <v>11338759.437403781</v>
      </c>
      <c r="G114" s="523">
        <f t="shared" si="52"/>
        <v>11554265.315452561</v>
      </c>
      <c r="H114" s="526">
        <f t="shared" si="53"/>
        <v>1742585.2446756691</v>
      </c>
      <c r="I114" s="577">
        <f t="shared" si="54"/>
        <v>1742585.2446756691</v>
      </c>
      <c r="J114" s="514">
        <f t="shared" si="31"/>
        <v>0</v>
      </c>
      <c r="K114" s="514"/>
      <c r="L114" s="525"/>
      <c r="M114" s="514">
        <f t="shared" si="33"/>
        <v>0</v>
      </c>
      <c r="N114" s="525"/>
      <c r="O114" s="514">
        <f t="shared" si="35"/>
        <v>0</v>
      </c>
      <c r="P114" s="514">
        <f t="shared" si="36"/>
        <v>0</v>
      </c>
      <c r="Q114" s="269"/>
    </row>
    <row r="115" spans="2:17">
      <c r="B115" s="195" t="str">
        <f t="shared" si="37"/>
        <v/>
      </c>
      <c r="C115" s="507">
        <f>IF(D93="","-",+C114+1)</f>
        <v>2025</v>
      </c>
      <c r="D115" s="374">
        <f>IF(F114+SUM(E$99:E114)=D$92,F114,D$92-SUM(E$99:E114))</f>
        <v>11338759.437403781</v>
      </c>
      <c r="E115" s="522">
        <f>IF(+J96&lt;F114,J96,D115)</f>
        <v>431011.75609756098</v>
      </c>
      <c r="F115" s="523">
        <f t="shared" si="51"/>
        <v>10907747.681306221</v>
      </c>
      <c r="G115" s="523">
        <f t="shared" si="52"/>
        <v>11123253.559355002</v>
      </c>
      <c r="H115" s="526">
        <f t="shared" si="53"/>
        <v>1693659.2786251043</v>
      </c>
      <c r="I115" s="577">
        <f t="shared" si="54"/>
        <v>1693659.2786251043</v>
      </c>
      <c r="J115" s="514">
        <f t="shared" si="31"/>
        <v>0</v>
      </c>
      <c r="K115" s="514"/>
      <c r="L115" s="525"/>
      <c r="M115" s="514">
        <f t="shared" si="33"/>
        <v>0</v>
      </c>
      <c r="N115" s="525"/>
      <c r="O115" s="514">
        <f t="shared" si="35"/>
        <v>0</v>
      </c>
      <c r="P115" s="514">
        <f t="shared" si="36"/>
        <v>0</v>
      </c>
      <c r="Q115" s="269"/>
    </row>
    <row r="116" spans="2:17">
      <c r="B116" s="195" t="str">
        <f t="shared" si="37"/>
        <v/>
      </c>
      <c r="C116" s="507">
        <f>IF(D93="","-",+C115+1)</f>
        <v>2026</v>
      </c>
      <c r="D116" s="374">
        <f>IF(F115+SUM(E$99:E115)=D$92,F115,D$92-SUM(E$99:E115))</f>
        <v>10907747.681306221</v>
      </c>
      <c r="E116" s="522">
        <f>IF(+J96&lt;F115,J96,D116)</f>
        <v>431011.75609756098</v>
      </c>
      <c r="F116" s="523">
        <f t="shared" si="51"/>
        <v>10476735.92520866</v>
      </c>
      <c r="G116" s="523">
        <f t="shared" si="52"/>
        <v>10692241.803257439</v>
      </c>
      <c r="H116" s="526">
        <f t="shared" si="53"/>
        <v>1644733.3125745389</v>
      </c>
      <c r="I116" s="577">
        <f t="shared" si="54"/>
        <v>1644733.3125745389</v>
      </c>
      <c r="J116" s="514">
        <f t="shared" si="31"/>
        <v>0</v>
      </c>
      <c r="K116" s="514"/>
      <c r="L116" s="525"/>
      <c r="M116" s="514">
        <f t="shared" si="33"/>
        <v>0</v>
      </c>
      <c r="N116" s="525"/>
      <c r="O116" s="514">
        <f t="shared" si="35"/>
        <v>0</v>
      </c>
      <c r="P116" s="514">
        <f t="shared" si="36"/>
        <v>0</v>
      </c>
      <c r="Q116" s="269"/>
    </row>
    <row r="117" spans="2:17">
      <c r="B117" s="195" t="str">
        <f t="shared" si="37"/>
        <v/>
      </c>
      <c r="C117" s="507">
        <f>IF(D93="","-",+C116+1)</f>
        <v>2027</v>
      </c>
      <c r="D117" s="374">
        <f>IF(F116+SUM(E$99:E116)=D$92,F116,D$92-SUM(E$99:E116))</f>
        <v>10476735.92520866</v>
      </c>
      <c r="E117" s="522">
        <f>IF(+J96&lt;F116,J96,D117)</f>
        <v>431011.75609756098</v>
      </c>
      <c r="F117" s="523">
        <f t="shared" si="51"/>
        <v>10045724.169111099</v>
      </c>
      <c r="G117" s="523">
        <f t="shared" si="52"/>
        <v>10261230.04715988</v>
      </c>
      <c r="H117" s="526">
        <f t="shared" si="53"/>
        <v>1595807.3465239741</v>
      </c>
      <c r="I117" s="577">
        <f t="shared" si="54"/>
        <v>1595807.3465239741</v>
      </c>
      <c r="J117" s="514">
        <f t="shared" si="31"/>
        <v>0</v>
      </c>
      <c r="K117" s="514"/>
      <c r="L117" s="525"/>
      <c r="M117" s="514">
        <f t="shared" si="33"/>
        <v>0</v>
      </c>
      <c r="N117" s="525"/>
      <c r="O117" s="514">
        <f t="shared" si="35"/>
        <v>0</v>
      </c>
      <c r="P117" s="514">
        <f t="shared" si="36"/>
        <v>0</v>
      </c>
      <c r="Q117" s="269"/>
    </row>
    <row r="118" spans="2:17">
      <c r="B118" s="195" t="str">
        <f t="shared" si="37"/>
        <v/>
      </c>
      <c r="C118" s="507">
        <f>IF(D93="","-",+C117+1)</f>
        <v>2028</v>
      </c>
      <c r="D118" s="374">
        <f>IF(F117+SUM(E$99:E117)=D$92,F117,D$92-SUM(E$99:E117))</f>
        <v>10045724.169111099</v>
      </c>
      <c r="E118" s="522">
        <f>IF(+J96&lt;F117,J96,D118)</f>
        <v>431011.75609756098</v>
      </c>
      <c r="F118" s="523">
        <f t="shared" si="51"/>
        <v>9614712.4130135383</v>
      </c>
      <c r="G118" s="523">
        <f t="shared" si="52"/>
        <v>9830218.2910623178</v>
      </c>
      <c r="H118" s="526">
        <f t="shared" si="53"/>
        <v>1546881.3804734086</v>
      </c>
      <c r="I118" s="577">
        <f t="shared" si="54"/>
        <v>1546881.3804734086</v>
      </c>
      <c r="J118" s="514">
        <f t="shared" si="31"/>
        <v>0</v>
      </c>
      <c r="K118" s="514"/>
      <c r="L118" s="525"/>
      <c r="M118" s="514">
        <f t="shared" si="33"/>
        <v>0</v>
      </c>
      <c r="N118" s="525"/>
      <c r="O118" s="514">
        <f t="shared" si="35"/>
        <v>0</v>
      </c>
      <c r="P118" s="514">
        <f t="shared" si="36"/>
        <v>0</v>
      </c>
      <c r="Q118" s="269"/>
    </row>
    <row r="119" spans="2:17">
      <c r="B119" s="195" t="str">
        <f t="shared" si="37"/>
        <v/>
      </c>
      <c r="C119" s="507">
        <f>IF(D93="","-",+C118+1)</f>
        <v>2029</v>
      </c>
      <c r="D119" s="374">
        <f>IF(F118+SUM(E$99:E118)=D$92,F118,D$92-SUM(E$99:E118))</f>
        <v>9614712.4130135383</v>
      </c>
      <c r="E119" s="522">
        <f>IF(+J96&lt;F118,J96,D119)</f>
        <v>431011.75609756098</v>
      </c>
      <c r="F119" s="523">
        <f t="shared" si="51"/>
        <v>9183700.6569159776</v>
      </c>
      <c r="G119" s="523">
        <f t="shared" si="52"/>
        <v>9399206.5349647589</v>
      </c>
      <c r="H119" s="526">
        <f t="shared" si="53"/>
        <v>1497955.4144228436</v>
      </c>
      <c r="I119" s="577">
        <f t="shared" si="54"/>
        <v>1497955.4144228436</v>
      </c>
      <c r="J119" s="514">
        <f t="shared" si="31"/>
        <v>0</v>
      </c>
      <c r="K119" s="514"/>
      <c r="L119" s="525"/>
      <c r="M119" s="514">
        <f t="shared" si="33"/>
        <v>0</v>
      </c>
      <c r="N119" s="525"/>
      <c r="O119" s="514">
        <f t="shared" si="35"/>
        <v>0</v>
      </c>
      <c r="P119" s="514">
        <f t="shared" si="36"/>
        <v>0</v>
      </c>
      <c r="Q119" s="269"/>
    </row>
    <row r="120" spans="2:17">
      <c r="B120" s="195" t="str">
        <f t="shared" si="37"/>
        <v/>
      </c>
      <c r="C120" s="507">
        <f>IF(D93="","-",+C119+1)</f>
        <v>2030</v>
      </c>
      <c r="D120" s="374">
        <f>IF(F119+SUM(E$99:E119)=D$92,F119,D$92-SUM(E$99:E119))</f>
        <v>9183700.6569159776</v>
      </c>
      <c r="E120" s="522">
        <f>IF(+J96&lt;F119,J96,D120)</f>
        <v>431011.75609756098</v>
      </c>
      <c r="F120" s="523">
        <f t="shared" si="51"/>
        <v>8752688.9008184168</v>
      </c>
      <c r="G120" s="523">
        <f t="shared" si="52"/>
        <v>8968194.7788671963</v>
      </c>
      <c r="H120" s="526">
        <f t="shared" si="53"/>
        <v>1449029.4483722784</v>
      </c>
      <c r="I120" s="577">
        <f t="shared" si="54"/>
        <v>1449029.4483722784</v>
      </c>
      <c r="J120" s="514">
        <f t="shared" si="31"/>
        <v>0</v>
      </c>
      <c r="K120" s="514"/>
      <c r="L120" s="525"/>
      <c r="M120" s="514">
        <f t="shared" si="33"/>
        <v>0</v>
      </c>
      <c r="N120" s="525"/>
      <c r="O120" s="514">
        <f t="shared" si="35"/>
        <v>0</v>
      </c>
      <c r="P120" s="514">
        <f t="shared" si="36"/>
        <v>0</v>
      </c>
      <c r="Q120" s="269"/>
    </row>
    <row r="121" spans="2:17">
      <c r="B121" s="195" t="str">
        <f t="shared" si="37"/>
        <v/>
      </c>
      <c r="C121" s="507">
        <f>IF(D93="","-",+C120+1)</f>
        <v>2031</v>
      </c>
      <c r="D121" s="374">
        <f>IF(F120+SUM(E$99:E120)=D$92,F120,D$92-SUM(E$99:E120))</f>
        <v>8752688.9008184168</v>
      </c>
      <c r="E121" s="522">
        <f>IF(+J96&lt;F120,J96,D121)</f>
        <v>431011.75609756098</v>
      </c>
      <c r="F121" s="523">
        <f t="shared" si="51"/>
        <v>8321677.1447208561</v>
      </c>
      <c r="G121" s="523">
        <f t="shared" si="52"/>
        <v>8537183.0227696374</v>
      </c>
      <c r="H121" s="526">
        <f t="shared" si="53"/>
        <v>1400103.4823217134</v>
      </c>
      <c r="I121" s="577">
        <f t="shared" si="54"/>
        <v>1400103.4823217134</v>
      </c>
      <c r="J121" s="514">
        <f t="shared" si="31"/>
        <v>0</v>
      </c>
      <c r="K121" s="514"/>
      <c r="L121" s="525"/>
      <c r="M121" s="514">
        <f t="shared" si="33"/>
        <v>0</v>
      </c>
      <c r="N121" s="525"/>
      <c r="O121" s="514">
        <f t="shared" si="35"/>
        <v>0</v>
      </c>
      <c r="P121" s="514">
        <f t="shared" si="36"/>
        <v>0</v>
      </c>
      <c r="Q121" s="269"/>
    </row>
    <row r="122" spans="2:17">
      <c r="B122" s="195" t="str">
        <f t="shared" si="37"/>
        <v/>
      </c>
      <c r="C122" s="507">
        <f>IF(D93="","-",+C121+1)</f>
        <v>2032</v>
      </c>
      <c r="D122" s="374">
        <f>IF(F121+SUM(E$99:E121)=D$92,F121,D$92-SUM(E$99:E121))</f>
        <v>8321677.1447208561</v>
      </c>
      <c r="E122" s="522">
        <f>IF(+J96&lt;F121,J96,D122)</f>
        <v>431011.75609756098</v>
      </c>
      <c r="F122" s="523">
        <f t="shared" si="51"/>
        <v>7890665.3886232954</v>
      </c>
      <c r="G122" s="523">
        <f t="shared" si="52"/>
        <v>8106171.2666720757</v>
      </c>
      <c r="H122" s="526">
        <f t="shared" si="53"/>
        <v>1351177.5162711481</v>
      </c>
      <c r="I122" s="577">
        <f t="shared" si="54"/>
        <v>1351177.5162711481</v>
      </c>
      <c r="J122" s="514">
        <f t="shared" si="31"/>
        <v>0</v>
      </c>
      <c r="K122" s="514"/>
      <c r="L122" s="525"/>
      <c r="M122" s="514">
        <f t="shared" si="33"/>
        <v>0</v>
      </c>
      <c r="N122" s="525"/>
      <c r="O122" s="514">
        <f t="shared" si="35"/>
        <v>0</v>
      </c>
      <c r="P122" s="514">
        <f t="shared" si="36"/>
        <v>0</v>
      </c>
      <c r="Q122" s="269"/>
    </row>
    <row r="123" spans="2:17">
      <c r="B123" s="195" t="str">
        <f t="shared" si="37"/>
        <v/>
      </c>
      <c r="C123" s="507">
        <f>IF(D93="","-",+C122+1)</f>
        <v>2033</v>
      </c>
      <c r="D123" s="374">
        <f>IF(F122+SUM(E$99:E122)=D$92,F122,D$92-SUM(E$99:E122))</f>
        <v>7890665.3886232954</v>
      </c>
      <c r="E123" s="522">
        <f>IF(+J96&lt;F122,J96,D123)</f>
        <v>431011.75609756098</v>
      </c>
      <c r="F123" s="523">
        <f t="shared" si="51"/>
        <v>7459653.6325257346</v>
      </c>
      <c r="G123" s="523">
        <f t="shared" si="52"/>
        <v>7675159.510574515</v>
      </c>
      <c r="H123" s="526">
        <f t="shared" si="53"/>
        <v>1302251.5502205831</v>
      </c>
      <c r="I123" s="577">
        <f t="shared" si="54"/>
        <v>1302251.5502205831</v>
      </c>
      <c r="J123" s="514">
        <f t="shared" si="31"/>
        <v>0</v>
      </c>
      <c r="K123" s="514"/>
      <c r="L123" s="525"/>
      <c r="M123" s="514">
        <f t="shared" si="33"/>
        <v>0</v>
      </c>
      <c r="N123" s="525"/>
      <c r="O123" s="514">
        <f t="shared" si="35"/>
        <v>0</v>
      </c>
      <c r="P123" s="514">
        <f t="shared" si="36"/>
        <v>0</v>
      </c>
      <c r="Q123" s="269"/>
    </row>
    <row r="124" spans="2:17">
      <c r="B124" s="195" t="str">
        <f t="shared" si="37"/>
        <v/>
      </c>
      <c r="C124" s="507">
        <f>IF(D93="","-",+C123+1)</f>
        <v>2034</v>
      </c>
      <c r="D124" s="374">
        <f>IF(F123+SUM(E$99:E123)=D$92,F123,D$92-SUM(E$99:E123))</f>
        <v>7459653.6325257346</v>
      </c>
      <c r="E124" s="522">
        <f>IF(+J96&lt;F123,J96,D124)</f>
        <v>431011.75609756098</v>
      </c>
      <c r="F124" s="523">
        <f t="shared" si="51"/>
        <v>7028641.8764281739</v>
      </c>
      <c r="G124" s="523">
        <f t="shared" si="52"/>
        <v>7244147.7544769542</v>
      </c>
      <c r="H124" s="526">
        <f t="shared" si="53"/>
        <v>1253325.5841700179</v>
      </c>
      <c r="I124" s="577">
        <f t="shared" si="54"/>
        <v>1253325.5841700179</v>
      </c>
      <c r="J124" s="514">
        <f t="shared" si="31"/>
        <v>0</v>
      </c>
      <c r="K124" s="514"/>
      <c r="L124" s="525"/>
      <c r="M124" s="514">
        <f t="shared" si="33"/>
        <v>0</v>
      </c>
      <c r="N124" s="525"/>
      <c r="O124" s="514">
        <f t="shared" si="35"/>
        <v>0</v>
      </c>
      <c r="P124" s="514">
        <f t="shared" si="36"/>
        <v>0</v>
      </c>
      <c r="Q124" s="269"/>
    </row>
    <row r="125" spans="2:17">
      <c r="B125" s="195" t="str">
        <f t="shared" si="37"/>
        <v/>
      </c>
      <c r="C125" s="507">
        <f>IF(D93="","-",+C124+1)</f>
        <v>2035</v>
      </c>
      <c r="D125" s="374">
        <f>IF(F124+SUM(E$99:E124)=D$92,F124,D$92-SUM(E$99:E124))</f>
        <v>7028641.8764281739</v>
      </c>
      <c r="E125" s="522">
        <f>IF(+J96&lt;F124,J96,D125)</f>
        <v>431011.75609756098</v>
      </c>
      <c r="F125" s="523">
        <f t="shared" si="51"/>
        <v>6597630.1203306131</v>
      </c>
      <c r="G125" s="523">
        <f t="shared" si="52"/>
        <v>6813135.9983793935</v>
      </c>
      <c r="H125" s="526">
        <f t="shared" si="53"/>
        <v>1204399.6181194526</v>
      </c>
      <c r="I125" s="577">
        <f t="shared" si="54"/>
        <v>1204399.6181194526</v>
      </c>
      <c r="J125" s="514">
        <f t="shared" si="31"/>
        <v>0</v>
      </c>
      <c r="K125" s="514"/>
      <c r="L125" s="525"/>
      <c r="M125" s="514">
        <f t="shared" si="33"/>
        <v>0</v>
      </c>
      <c r="N125" s="525"/>
      <c r="O125" s="514">
        <f t="shared" si="35"/>
        <v>0</v>
      </c>
      <c r="P125" s="514">
        <f t="shared" si="36"/>
        <v>0</v>
      </c>
      <c r="Q125" s="269"/>
    </row>
    <row r="126" spans="2:17">
      <c r="B126" s="195" t="str">
        <f t="shared" si="37"/>
        <v/>
      </c>
      <c r="C126" s="507">
        <f>IF(D93="","-",+C125+1)</f>
        <v>2036</v>
      </c>
      <c r="D126" s="374">
        <f>IF(F125+SUM(E$99:E125)=D$92,F125,D$92-SUM(E$99:E125))</f>
        <v>6597630.1203306131</v>
      </c>
      <c r="E126" s="522">
        <f>IF(+J96&lt;F125,J96,D126)</f>
        <v>431011.75609756098</v>
      </c>
      <c r="F126" s="523">
        <f t="shared" si="51"/>
        <v>6166618.3642330524</v>
      </c>
      <c r="G126" s="523">
        <f t="shared" si="52"/>
        <v>6382124.2422818327</v>
      </c>
      <c r="H126" s="526">
        <f t="shared" si="53"/>
        <v>1155473.6520688874</v>
      </c>
      <c r="I126" s="577">
        <f t="shared" si="54"/>
        <v>1155473.6520688874</v>
      </c>
      <c r="J126" s="514">
        <f t="shared" si="31"/>
        <v>0</v>
      </c>
      <c r="K126" s="514"/>
      <c r="L126" s="525"/>
      <c r="M126" s="514">
        <f t="shared" si="33"/>
        <v>0</v>
      </c>
      <c r="N126" s="525"/>
      <c r="O126" s="514">
        <f t="shared" si="35"/>
        <v>0</v>
      </c>
      <c r="P126" s="514">
        <f t="shared" si="36"/>
        <v>0</v>
      </c>
      <c r="Q126" s="269"/>
    </row>
    <row r="127" spans="2:17">
      <c r="B127" s="195" t="str">
        <f t="shared" si="37"/>
        <v/>
      </c>
      <c r="C127" s="507">
        <f>IF(D93="","-",+C126+1)</f>
        <v>2037</v>
      </c>
      <c r="D127" s="374">
        <f>IF(F126+SUM(E$99:E126)=D$92,F126,D$92-SUM(E$99:E126))</f>
        <v>6166618.3642330524</v>
      </c>
      <c r="E127" s="522">
        <f>IF(+J96&lt;F126,J96,D127)</f>
        <v>431011.75609756098</v>
      </c>
      <c r="F127" s="523">
        <f t="shared" si="51"/>
        <v>5735606.6081354916</v>
      </c>
      <c r="G127" s="523">
        <f t="shared" si="52"/>
        <v>5951112.486184272</v>
      </c>
      <c r="H127" s="526">
        <f t="shared" si="53"/>
        <v>1106547.6860183224</v>
      </c>
      <c r="I127" s="577">
        <f t="shared" si="54"/>
        <v>1106547.6860183224</v>
      </c>
      <c r="J127" s="514">
        <f t="shared" si="31"/>
        <v>0</v>
      </c>
      <c r="K127" s="514"/>
      <c r="L127" s="525"/>
      <c r="M127" s="514">
        <f t="shared" si="33"/>
        <v>0</v>
      </c>
      <c r="N127" s="525"/>
      <c r="O127" s="514">
        <f t="shared" si="35"/>
        <v>0</v>
      </c>
      <c r="P127" s="514">
        <f t="shared" si="36"/>
        <v>0</v>
      </c>
      <c r="Q127" s="269"/>
    </row>
    <row r="128" spans="2:17">
      <c r="B128" s="195" t="str">
        <f t="shared" si="37"/>
        <v/>
      </c>
      <c r="C128" s="507">
        <f>IF(D93="","-",+C127+1)</f>
        <v>2038</v>
      </c>
      <c r="D128" s="374">
        <f>IF(F127+SUM(E$99:E127)=D$92,F127,D$92-SUM(E$99:E127))</f>
        <v>5735606.6081354916</v>
      </c>
      <c r="E128" s="522">
        <f>IF(+J96&lt;F127,J96,D128)</f>
        <v>431011.75609756098</v>
      </c>
      <c r="F128" s="523">
        <f t="shared" si="51"/>
        <v>5304594.8520379309</v>
      </c>
      <c r="G128" s="523">
        <f t="shared" si="52"/>
        <v>5520100.7300867112</v>
      </c>
      <c r="H128" s="526">
        <f t="shared" si="53"/>
        <v>1057621.7199677574</v>
      </c>
      <c r="I128" s="577">
        <f t="shared" si="54"/>
        <v>1057621.7199677574</v>
      </c>
      <c r="J128" s="514">
        <f t="shared" si="31"/>
        <v>0</v>
      </c>
      <c r="K128" s="514"/>
      <c r="L128" s="525"/>
      <c r="M128" s="514">
        <f t="shared" si="33"/>
        <v>0</v>
      </c>
      <c r="N128" s="525"/>
      <c r="O128" s="514">
        <f t="shared" si="35"/>
        <v>0</v>
      </c>
      <c r="P128" s="514">
        <f t="shared" si="36"/>
        <v>0</v>
      </c>
      <c r="Q128" s="269"/>
    </row>
    <row r="129" spans="2:17">
      <c r="B129" s="195" t="str">
        <f t="shared" si="37"/>
        <v/>
      </c>
      <c r="C129" s="507">
        <f>IF(D93="","-",+C128+1)</f>
        <v>2039</v>
      </c>
      <c r="D129" s="374">
        <f>IF(F128+SUM(E$99:E128)=D$92,F128,D$92-SUM(E$99:E128))</f>
        <v>5304594.8520379309</v>
      </c>
      <c r="E129" s="522">
        <f>IF(+J96&lt;F128,J96,D129)</f>
        <v>431011.75609756098</v>
      </c>
      <c r="F129" s="523">
        <f t="shared" si="51"/>
        <v>4873583.0959403701</v>
      </c>
      <c r="G129" s="523">
        <f t="shared" si="52"/>
        <v>5089088.9739891505</v>
      </c>
      <c r="H129" s="526">
        <f t="shared" si="53"/>
        <v>1008695.753917192</v>
      </c>
      <c r="I129" s="577">
        <f t="shared" si="54"/>
        <v>1008695.753917192</v>
      </c>
      <c r="J129" s="514">
        <f t="shared" si="31"/>
        <v>0</v>
      </c>
      <c r="K129" s="514"/>
      <c r="L129" s="525"/>
      <c r="M129" s="514">
        <f t="shared" si="33"/>
        <v>0</v>
      </c>
      <c r="N129" s="525"/>
      <c r="O129" s="514">
        <f t="shared" si="35"/>
        <v>0</v>
      </c>
      <c r="P129" s="514">
        <f t="shared" si="36"/>
        <v>0</v>
      </c>
      <c r="Q129" s="269"/>
    </row>
    <row r="130" spans="2:17">
      <c r="B130" s="195" t="str">
        <f t="shared" si="37"/>
        <v/>
      </c>
      <c r="C130" s="507">
        <f>IF(D93="","-",+C129+1)</f>
        <v>2040</v>
      </c>
      <c r="D130" s="374">
        <f>IF(F129+SUM(E$99:E129)=D$92,F129,D$92-SUM(E$99:E129))</f>
        <v>4873583.0959403701</v>
      </c>
      <c r="E130" s="522">
        <f>IF(+J96&lt;F129,J96,D130)</f>
        <v>431011.75609756098</v>
      </c>
      <c r="F130" s="523">
        <f t="shared" si="51"/>
        <v>4442571.3398428094</v>
      </c>
      <c r="G130" s="523">
        <f t="shared" si="52"/>
        <v>4658077.2178915897</v>
      </c>
      <c r="H130" s="526">
        <f t="shared" si="53"/>
        <v>959769.78786662687</v>
      </c>
      <c r="I130" s="577">
        <f t="shared" si="54"/>
        <v>959769.78786662687</v>
      </c>
      <c r="J130" s="514">
        <f t="shared" si="31"/>
        <v>0</v>
      </c>
      <c r="K130" s="514"/>
      <c r="L130" s="525"/>
      <c r="M130" s="514">
        <f t="shared" si="33"/>
        <v>0</v>
      </c>
      <c r="N130" s="525"/>
      <c r="O130" s="514">
        <f t="shared" si="35"/>
        <v>0</v>
      </c>
      <c r="P130" s="514">
        <f t="shared" si="36"/>
        <v>0</v>
      </c>
      <c r="Q130" s="269"/>
    </row>
    <row r="131" spans="2:17">
      <c r="B131" s="195" t="str">
        <f t="shared" si="37"/>
        <v/>
      </c>
      <c r="C131" s="507">
        <f>IF(D93="","-",+C130+1)</f>
        <v>2041</v>
      </c>
      <c r="D131" s="374">
        <f>IF(F130+SUM(E$99:E130)=D$92,F130,D$92-SUM(E$99:E130))</f>
        <v>4442571.3398428094</v>
      </c>
      <c r="E131" s="522">
        <f>IF(+J96&lt;F130,J96,D131)</f>
        <v>431011.75609756098</v>
      </c>
      <c r="F131" s="523">
        <f t="shared" ref="F131:F154" si="55">+D131-E131</f>
        <v>4011559.5837452486</v>
      </c>
      <c r="G131" s="523">
        <f t="shared" ref="G131:G154" si="56">+(F131+D131)/2</f>
        <v>4227065.461794029</v>
      </c>
      <c r="H131" s="526">
        <f t="shared" si="53"/>
        <v>910843.82181606174</v>
      </c>
      <c r="I131" s="577">
        <f t="shared" si="54"/>
        <v>910843.82181606174</v>
      </c>
      <c r="J131" s="514">
        <f t="shared" ref="J131:J154" si="57">+I131-H131</f>
        <v>0</v>
      </c>
      <c r="K131" s="514"/>
      <c r="L131" s="525"/>
      <c r="M131" s="514">
        <f t="shared" ref="M131:M154" si="58">IF(L131&lt;&gt;0,+H131-L131,0)</f>
        <v>0</v>
      </c>
      <c r="N131" s="525"/>
      <c r="O131" s="514">
        <f t="shared" ref="O131:O154" si="59">IF(N131&lt;&gt;0,+I131-N131,0)</f>
        <v>0</v>
      </c>
      <c r="P131" s="514">
        <f t="shared" ref="P131:P154" si="60">+O131-M131</f>
        <v>0</v>
      </c>
      <c r="Q131" s="269"/>
    </row>
    <row r="132" spans="2:17">
      <c r="B132" s="195" t="str">
        <f t="shared" si="37"/>
        <v/>
      </c>
      <c r="C132" s="507">
        <f>IF(D93="","-",+C131+1)</f>
        <v>2042</v>
      </c>
      <c r="D132" s="374">
        <f>IF(F131+SUM(E$99:E131)=D$92,F131,D$92-SUM(E$99:E131))</f>
        <v>4011559.5837452486</v>
      </c>
      <c r="E132" s="522">
        <f>IF(+J96&lt;F131,J96,D132)</f>
        <v>431011.75609756098</v>
      </c>
      <c r="F132" s="523">
        <f t="shared" si="55"/>
        <v>3580547.8276476879</v>
      </c>
      <c r="G132" s="523">
        <f t="shared" si="56"/>
        <v>3796053.7056964682</v>
      </c>
      <c r="H132" s="526">
        <f t="shared" si="53"/>
        <v>861917.85576549661</v>
      </c>
      <c r="I132" s="577">
        <f t="shared" si="54"/>
        <v>861917.85576549661</v>
      </c>
      <c r="J132" s="514">
        <f t="shared" si="57"/>
        <v>0</v>
      </c>
      <c r="K132" s="514"/>
      <c r="L132" s="525"/>
      <c r="M132" s="514">
        <f t="shared" si="58"/>
        <v>0</v>
      </c>
      <c r="N132" s="525"/>
      <c r="O132" s="514">
        <f t="shared" si="59"/>
        <v>0</v>
      </c>
      <c r="P132" s="514">
        <f t="shared" si="60"/>
        <v>0</v>
      </c>
      <c r="Q132" s="269"/>
    </row>
    <row r="133" spans="2:17">
      <c r="B133" s="195" t="str">
        <f t="shared" si="37"/>
        <v/>
      </c>
      <c r="C133" s="507">
        <f>IF(D93="","-",+C132+1)</f>
        <v>2043</v>
      </c>
      <c r="D133" s="374">
        <f>IF(F132+SUM(E$99:E132)=D$92,F132,D$92-SUM(E$99:E132))</f>
        <v>3580547.8276476879</v>
      </c>
      <c r="E133" s="522">
        <f>IF(+J96&lt;F132,J96,D133)</f>
        <v>431011.75609756098</v>
      </c>
      <c r="F133" s="523">
        <f t="shared" si="55"/>
        <v>3149536.0715501271</v>
      </c>
      <c r="G133" s="523">
        <f t="shared" si="56"/>
        <v>3365041.9495989075</v>
      </c>
      <c r="H133" s="526">
        <f t="shared" si="53"/>
        <v>812991.88971493137</v>
      </c>
      <c r="I133" s="577">
        <f t="shared" si="54"/>
        <v>812991.88971493137</v>
      </c>
      <c r="J133" s="514">
        <f t="shared" si="57"/>
        <v>0</v>
      </c>
      <c r="K133" s="514"/>
      <c r="L133" s="525"/>
      <c r="M133" s="514">
        <f t="shared" si="58"/>
        <v>0</v>
      </c>
      <c r="N133" s="525"/>
      <c r="O133" s="514">
        <f t="shared" si="59"/>
        <v>0</v>
      </c>
      <c r="P133" s="514">
        <f t="shared" si="60"/>
        <v>0</v>
      </c>
      <c r="Q133" s="269"/>
    </row>
    <row r="134" spans="2:17">
      <c r="B134" s="195" t="str">
        <f t="shared" si="37"/>
        <v/>
      </c>
      <c r="C134" s="507">
        <f>IF(D93="","-",+C133+1)</f>
        <v>2044</v>
      </c>
      <c r="D134" s="374">
        <f>IF(F133+SUM(E$99:E133)=D$92,F133,D$92-SUM(E$99:E133))</f>
        <v>3149536.0715501271</v>
      </c>
      <c r="E134" s="522">
        <f>IF(+J96&lt;F133,J96,D134)</f>
        <v>431011.75609756098</v>
      </c>
      <c r="F134" s="523">
        <f t="shared" si="55"/>
        <v>2718524.3154525664</v>
      </c>
      <c r="G134" s="523">
        <f t="shared" si="56"/>
        <v>2934030.1935013467</v>
      </c>
      <c r="H134" s="526">
        <f t="shared" si="53"/>
        <v>764065.92366436624</v>
      </c>
      <c r="I134" s="577">
        <f t="shared" si="54"/>
        <v>764065.92366436624</v>
      </c>
      <c r="J134" s="514">
        <f t="shared" si="57"/>
        <v>0</v>
      </c>
      <c r="K134" s="514"/>
      <c r="L134" s="525"/>
      <c r="M134" s="514">
        <f t="shared" si="58"/>
        <v>0</v>
      </c>
      <c r="N134" s="525"/>
      <c r="O134" s="514">
        <f t="shared" si="59"/>
        <v>0</v>
      </c>
      <c r="P134" s="514">
        <f t="shared" si="60"/>
        <v>0</v>
      </c>
      <c r="Q134" s="269"/>
    </row>
    <row r="135" spans="2:17">
      <c r="B135" s="195" t="str">
        <f t="shared" si="37"/>
        <v/>
      </c>
      <c r="C135" s="507">
        <f>IF(D93="","-",+C134+1)</f>
        <v>2045</v>
      </c>
      <c r="D135" s="374">
        <f>IF(F134+SUM(E$99:E134)=D$92,F134,D$92-SUM(E$99:E134))</f>
        <v>2718524.3154525664</v>
      </c>
      <c r="E135" s="522">
        <f>IF(+J96&lt;F134,J96,D135)</f>
        <v>431011.75609756098</v>
      </c>
      <c r="F135" s="523">
        <f t="shared" si="55"/>
        <v>2287512.5593550056</v>
      </c>
      <c r="G135" s="523">
        <f t="shared" si="56"/>
        <v>2503018.437403786</v>
      </c>
      <c r="H135" s="526">
        <f t="shared" si="53"/>
        <v>715139.95761380112</v>
      </c>
      <c r="I135" s="577">
        <f t="shared" si="54"/>
        <v>715139.95761380112</v>
      </c>
      <c r="J135" s="514">
        <f t="shared" si="57"/>
        <v>0</v>
      </c>
      <c r="K135" s="514"/>
      <c r="L135" s="525"/>
      <c r="M135" s="514">
        <f t="shared" si="58"/>
        <v>0</v>
      </c>
      <c r="N135" s="525"/>
      <c r="O135" s="514">
        <f t="shared" si="59"/>
        <v>0</v>
      </c>
      <c r="P135" s="514">
        <f t="shared" si="60"/>
        <v>0</v>
      </c>
      <c r="Q135" s="269"/>
    </row>
    <row r="136" spans="2:17">
      <c r="B136" s="195" t="str">
        <f t="shared" si="37"/>
        <v/>
      </c>
      <c r="C136" s="507">
        <f>IF(D93="","-",+C135+1)</f>
        <v>2046</v>
      </c>
      <c r="D136" s="374">
        <f>IF(F135+SUM(E$99:E135)=D$92,F135,D$92-SUM(E$99:E135))</f>
        <v>2287512.5593550056</v>
      </c>
      <c r="E136" s="522">
        <f>IF(+J96&lt;F135,J96,D136)</f>
        <v>431011.75609756098</v>
      </c>
      <c r="F136" s="523">
        <f t="shared" si="55"/>
        <v>1856500.8032574446</v>
      </c>
      <c r="G136" s="523">
        <f t="shared" si="56"/>
        <v>2072006.6813062252</v>
      </c>
      <c r="H136" s="526">
        <f t="shared" si="53"/>
        <v>666213.99156323588</v>
      </c>
      <c r="I136" s="577">
        <f t="shared" si="54"/>
        <v>666213.99156323588</v>
      </c>
      <c r="J136" s="514">
        <f t="shared" si="57"/>
        <v>0</v>
      </c>
      <c r="K136" s="514"/>
      <c r="L136" s="525"/>
      <c r="M136" s="514">
        <f t="shared" si="58"/>
        <v>0</v>
      </c>
      <c r="N136" s="525"/>
      <c r="O136" s="514">
        <f t="shared" si="59"/>
        <v>0</v>
      </c>
      <c r="P136" s="514">
        <f t="shared" si="60"/>
        <v>0</v>
      </c>
      <c r="Q136" s="269"/>
    </row>
    <row r="137" spans="2:17">
      <c r="B137" s="195" t="str">
        <f t="shared" si="37"/>
        <v/>
      </c>
      <c r="C137" s="507">
        <f>IF(D93="","-",+C136+1)</f>
        <v>2047</v>
      </c>
      <c r="D137" s="374">
        <f>IF(F136+SUM(E$99:E136)=D$92,F136,D$92-SUM(E$99:E136))</f>
        <v>1856500.8032574446</v>
      </c>
      <c r="E137" s="522">
        <f>IF(+J96&lt;F136,J96,D137)</f>
        <v>431011.75609756098</v>
      </c>
      <c r="F137" s="523">
        <f t="shared" si="55"/>
        <v>1425489.0471598837</v>
      </c>
      <c r="G137" s="523">
        <f t="shared" si="56"/>
        <v>1640994.925208664</v>
      </c>
      <c r="H137" s="526">
        <f t="shared" si="53"/>
        <v>617288.02551267075</v>
      </c>
      <c r="I137" s="577">
        <f t="shared" si="54"/>
        <v>617288.02551267075</v>
      </c>
      <c r="J137" s="514">
        <f t="shared" si="57"/>
        <v>0</v>
      </c>
      <c r="K137" s="514"/>
      <c r="L137" s="525"/>
      <c r="M137" s="514">
        <f t="shared" si="58"/>
        <v>0</v>
      </c>
      <c r="N137" s="525"/>
      <c r="O137" s="514">
        <f t="shared" si="59"/>
        <v>0</v>
      </c>
      <c r="P137" s="514">
        <f t="shared" si="60"/>
        <v>0</v>
      </c>
      <c r="Q137" s="269"/>
    </row>
    <row r="138" spans="2:17">
      <c r="B138" s="195" t="str">
        <f t="shared" si="37"/>
        <v/>
      </c>
      <c r="C138" s="507">
        <f>IF(D93="","-",+C137+1)</f>
        <v>2048</v>
      </c>
      <c r="D138" s="374">
        <f>IF(F137+SUM(E$99:E137)=D$92,F137,D$92-SUM(E$99:E137))</f>
        <v>1425489.0471598837</v>
      </c>
      <c r="E138" s="522">
        <f>IF(+J96&lt;F137,J96,D138)</f>
        <v>431011.75609756098</v>
      </c>
      <c r="F138" s="523">
        <f t="shared" si="55"/>
        <v>994477.29106232268</v>
      </c>
      <c r="G138" s="523">
        <f t="shared" si="56"/>
        <v>1209983.1691111033</v>
      </c>
      <c r="H138" s="526">
        <f t="shared" si="53"/>
        <v>568362.05946210562</v>
      </c>
      <c r="I138" s="577">
        <f t="shared" si="54"/>
        <v>568362.05946210562</v>
      </c>
      <c r="J138" s="514">
        <f t="shared" si="57"/>
        <v>0</v>
      </c>
      <c r="K138" s="514"/>
      <c r="L138" s="525"/>
      <c r="M138" s="514">
        <f t="shared" si="58"/>
        <v>0</v>
      </c>
      <c r="N138" s="525"/>
      <c r="O138" s="514">
        <f t="shared" si="59"/>
        <v>0</v>
      </c>
      <c r="P138" s="514">
        <f t="shared" si="60"/>
        <v>0</v>
      </c>
      <c r="Q138" s="269"/>
    </row>
    <row r="139" spans="2:17">
      <c r="B139" s="195" t="str">
        <f t="shared" si="37"/>
        <v/>
      </c>
      <c r="C139" s="507">
        <f>IF(D93="","-",+C138+1)</f>
        <v>2049</v>
      </c>
      <c r="D139" s="374">
        <f>IF(F138+SUM(E$99:E138)=D$92,F138,D$92-SUM(E$99:E138))</f>
        <v>994477.29106232268</v>
      </c>
      <c r="E139" s="522">
        <f>IF(+J96&lt;F138,J96,D139)</f>
        <v>431011.75609756098</v>
      </c>
      <c r="F139" s="523">
        <f t="shared" si="55"/>
        <v>563465.5349647617</v>
      </c>
      <c r="G139" s="523">
        <f t="shared" si="56"/>
        <v>778971.41301354219</v>
      </c>
      <c r="H139" s="526">
        <f t="shared" si="53"/>
        <v>519436.09341154038</v>
      </c>
      <c r="I139" s="577">
        <f t="shared" si="54"/>
        <v>519436.09341154038</v>
      </c>
      <c r="J139" s="514">
        <f t="shared" si="57"/>
        <v>0</v>
      </c>
      <c r="K139" s="514"/>
      <c r="L139" s="525"/>
      <c r="M139" s="514">
        <f t="shared" si="58"/>
        <v>0</v>
      </c>
      <c r="N139" s="525"/>
      <c r="O139" s="514">
        <f t="shared" si="59"/>
        <v>0</v>
      </c>
      <c r="P139" s="514">
        <f t="shared" si="60"/>
        <v>0</v>
      </c>
      <c r="Q139" s="269"/>
    </row>
    <row r="140" spans="2:17">
      <c r="B140" s="195" t="str">
        <f t="shared" si="37"/>
        <v/>
      </c>
      <c r="C140" s="507">
        <f>IF(D93="","-",+C139+1)</f>
        <v>2050</v>
      </c>
      <c r="D140" s="374">
        <f>IF(F139+SUM(E$99:E139)=D$92,F139,D$92-SUM(E$99:E139))</f>
        <v>563465.5349647617</v>
      </c>
      <c r="E140" s="522">
        <f>IF(+J96&lt;F139,J96,D140)</f>
        <v>431011.75609756098</v>
      </c>
      <c r="F140" s="523">
        <f t="shared" si="55"/>
        <v>132453.77886720072</v>
      </c>
      <c r="G140" s="523">
        <f t="shared" si="56"/>
        <v>347959.65691598121</v>
      </c>
      <c r="H140" s="526">
        <f t="shared" si="53"/>
        <v>470510.1273609752</v>
      </c>
      <c r="I140" s="577">
        <f t="shared" si="54"/>
        <v>470510.1273609752</v>
      </c>
      <c r="J140" s="514">
        <f t="shared" si="57"/>
        <v>0</v>
      </c>
      <c r="K140" s="514"/>
      <c r="L140" s="525"/>
      <c r="M140" s="514">
        <f t="shared" si="58"/>
        <v>0</v>
      </c>
      <c r="N140" s="525"/>
      <c r="O140" s="514">
        <f t="shared" si="59"/>
        <v>0</v>
      </c>
      <c r="P140" s="514">
        <f t="shared" si="60"/>
        <v>0</v>
      </c>
      <c r="Q140" s="269"/>
    </row>
    <row r="141" spans="2:17">
      <c r="B141" s="195" t="str">
        <f t="shared" si="37"/>
        <v/>
      </c>
      <c r="C141" s="507">
        <f>IF(D93="","-",+C140+1)</f>
        <v>2051</v>
      </c>
      <c r="D141" s="374">
        <f>IF(F140+SUM(E$99:E140)=D$92,F140,D$92-SUM(E$99:E140))</f>
        <v>132453.77886720072</v>
      </c>
      <c r="E141" s="522">
        <f>IF(+J96&lt;F140,J96,D141)</f>
        <v>132453.77886720072</v>
      </c>
      <c r="F141" s="523">
        <f t="shared" si="55"/>
        <v>0</v>
      </c>
      <c r="G141" s="523">
        <f t="shared" si="56"/>
        <v>66226.889433600358</v>
      </c>
      <c r="H141" s="526">
        <f t="shared" si="53"/>
        <v>139971.47298626654</v>
      </c>
      <c r="I141" s="577">
        <f t="shared" si="54"/>
        <v>139971.47298626654</v>
      </c>
      <c r="J141" s="514">
        <f t="shared" si="57"/>
        <v>0</v>
      </c>
      <c r="K141" s="514"/>
      <c r="L141" s="525"/>
      <c r="M141" s="514">
        <f t="shared" si="58"/>
        <v>0</v>
      </c>
      <c r="N141" s="525"/>
      <c r="O141" s="514">
        <f t="shared" si="59"/>
        <v>0</v>
      </c>
      <c r="P141" s="514">
        <f t="shared" si="60"/>
        <v>0</v>
      </c>
      <c r="Q141" s="269"/>
    </row>
    <row r="142" spans="2:17">
      <c r="B142" s="195" t="str">
        <f t="shared" si="37"/>
        <v/>
      </c>
      <c r="C142" s="507">
        <f>IF(D93="","-",+C141+1)</f>
        <v>2052</v>
      </c>
      <c r="D142" s="374">
        <f>IF(F141+SUM(E$99:E141)=D$92,F141,D$92-SUM(E$99:E141))</f>
        <v>0</v>
      </c>
      <c r="E142" s="522">
        <f>IF(+J96&lt;F141,J96,D142)</f>
        <v>0</v>
      </c>
      <c r="F142" s="523">
        <f t="shared" si="55"/>
        <v>0</v>
      </c>
      <c r="G142" s="523">
        <f t="shared" si="56"/>
        <v>0</v>
      </c>
      <c r="H142" s="526">
        <f t="shared" si="53"/>
        <v>0</v>
      </c>
      <c r="I142" s="577">
        <f t="shared" si="54"/>
        <v>0</v>
      </c>
      <c r="J142" s="514">
        <f t="shared" si="57"/>
        <v>0</v>
      </c>
      <c r="K142" s="514"/>
      <c r="L142" s="525"/>
      <c r="M142" s="514">
        <f t="shared" si="58"/>
        <v>0</v>
      </c>
      <c r="N142" s="525"/>
      <c r="O142" s="514">
        <f t="shared" si="59"/>
        <v>0</v>
      </c>
      <c r="P142" s="514">
        <f t="shared" si="60"/>
        <v>0</v>
      </c>
      <c r="Q142" s="269"/>
    </row>
    <row r="143" spans="2:17">
      <c r="B143" s="195" t="str">
        <f t="shared" si="37"/>
        <v/>
      </c>
      <c r="C143" s="507">
        <f>IF(D93="","-",+C142+1)</f>
        <v>2053</v>
      </c>
      <c r="D143" s="374">
        <f>IF(F142+SUM(E$99:E142)=D$92,F142,D$92-SUM(E$99:E142))</f>
        <v>0</v>
      </c>
      <c r="E143" s="522">
        <f>IF(+J96&lt;F142,J96,D143)</f>
        <v>0</v>
      </c>
      <c r="F143" s="523">
        <f t="shared" si="55"/>
        <v>0</v>
      </c>
      <c r="G143" s="523">
        <f t="shared" si="56"/>
        <v>0</v>
      </c>
      <c r="H143" s="526">
        <f t="shared" si="53"/>
        <v>0</v>
      </c>
      <c r="I143" s="577">
        <f t="shared" si="54"/>
        <v>0</v>
      </c>
      <c r="J143" s="514">
        <f t="shared" si="57"/>
        <v>0</v>
      </c>
      <c r="K143" s="514"/>
      <c r="L143" s="525"/>
      <c r="M143" s="514">
        <f t="shared" si="58"/>
        <v>0</v>
      </c>
      <c r="N143" s="525"/>
      <c r="O143" s="514">
        <f t="shared" si="59"/>
        <v>0</v>
      </c>
      <c r="P143" s="514">
        <f t="shared" si="60"/>
        <v>0</v>
      </c>
      <c r="Q143" s="269"/>
    </row>
    <row r="144" spans="2:17">
      <c r="B144" s="195" t="str">
        <f t="shared" si="37"/>
        <v/>
      </c>
      <c r="C144" s="507">
        <f>IF(D93="","-",+C143+1)</f>
        <v>2054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55"/>
        <v>0</v>
      </c>
      <c r="G144" s="523">
        <f t="shared" si="56"/>
        <v>0</v>
      </c>
      <c r="H144" s="526">
        <f t="shared" si="53"/>
        <v>0</v>
      </c>
      <c r="I144" s="577">
        <f t="shared" si="54"/>
        <v>0</v>
      </c>
      <c r="J144" s="514">
        <f t="shared" si="57"/>
        <v>0</v>
      </c>
      <c r="K144" s="514"/>
      <c r="L144" s="525"/>
      <c r="M144" s="514">
        <f t="shared" si="58"/>
        <v>0</v>
      </c>
      <c r="N144" s="525"/>
      <c r="O144" s="514">
        <f t="shared" si="59"/>
        <v>0</v>
      </c>
      <c r="P144" s="514">
        <f t="shared" si="60"/>
        <v>0</v>
      </c>
      <c r="Q144" s="269"/>
    </row>
    <row r="145" spans="2:17">
      <c r="B145" s="195" t="str">
        <f t="shared" si="37"/>
        <v/>
      </c>
      <c r="C145" s="507">
        <f>IF(D93="","-",+C144+1)</f>
        <v>2055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55"/>
        <v>0</v>
      </c>
      <c r="G145" s="523">
        <f t="shared" si="56"/>
        <v>0</v>
      </c>
      <c r="H145" s="526">
        <f t="shared" si="53"/>
        <v>0</v>
      </c>
      <c r="I145" s="577">
        <f t="shared" si="54"/>
        <v>0</v>
      </c>
      <c r="J145" s="514">
        <f t="shared" si="57"/>
        <v>0</v>
      </c>
      <c r="K145" s="514"/>
      <c r="L145" s="525"/>
      <c r="M145" s="514">
        <f t="shared" si="58"/>
        <v>0</v>
      </c>
      <c r="N145" s="525"/>
      <c r="O145" s="514">
        <f t="shared" si="59"/>
        <v>0</v>
      </c>
      <c r="P145" s="514">
        <f t="shared" si="60"/>
        <v>0</v>
      </c>
      <c r="Q145" s="269"/>
    </row>
    <row r="146" spans="2:17">
      <c r="B146" s="195" t="str">
        <f t="shared" si="37"/>
        <v/>
      </c>
      <c r="C146" s="507">
        <f>IF(D93="","-",+C145+1)</f>
        <v>2056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55"/>
        <v>0</v>
      </c>
      <c r="G146" s="523">
        <f t="shared" si="56"/>
        <v>0</v>
      </c>
      <c r="H146" s="526">
        <f t="shared" si="53"/>
        <v>0</v>
      </c>
      <c r="I146" s="577">
        <f t="shared" si="54"/>
        <v>0</v>
      </c>
      <c r="J146" s="514">
        <f t="shared" si="57"/>
        <v>0</v>
      </c>
      <c r="K146" s="514"/>
      <c r="L146" s="525"/>
      <c r="M146" s="514">
        <f t="shared" si="58"/>
        <v>0</v>
      </c>
      <c r="N146" s="525"/>
      <c r="O146" s="514">
        <f t="shared" si="59"/>
        <v>0</v>
      </c>
      <c r="P146" s="514">
        <f t="shared" si="60"/>
        <v>0</v>
      </c>
      <c r="Q146" s="269"/>
    </row>
    <row r="147" spans="2:17">
      <c r="B147" s="195" t="str">
        <f t="shared" si="37"/>
        <v/>
      </c>
      <c r="C147" s="507">
        <f>IF(D93="","-",+C146+1)</f>
        <v>2057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55"/>
        <v>0</v>
      </c>
      <c r="G147" s="523">
        <f t="shared" si="56"/>
        <v>0</v>
      </c>
      <c r="H147" s="526">
        <f t="shared" si="53"/>
        <v>0</v>
      </c>
      <c r="I147" s="577">
        <f t="shared" si="54"/>
        <v>0</v>
      </c>
      <c r="J147" s="514">
        <f t="shared" si="57"/>
        <v>0</v>
      </c>
      <c r="K147" s="514"/>
      <c r="L147" s="525"/>
      <c r="M147" s="514">
        <f t="shared" si="58"/>
        <v>0</v>
      </c>
      <c r="N147" s="525"/>
      <c r="O147" s="514">
        <f t="shared" si="59"/>
        <v>0</v>
      </c>
      <c r="P147" s="514">
        <f t="shared" si="60"/>
        <v>0</v>
      </c>
      <c r="Q147" s="269"/>
    </row>
    <row r="148" spans="2:17">
      <c r="B148" s="195" t="str">
        <f t="shared" si="37"/>
        <v/>
      </c>
      <c r="C148" s="507">
        <f>IF(D93="","-",+C147+1)</f>
        <v>2058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55"/>
        <v>0</v>
      </c>
      <c r="G148" s="523">
        <f t="shared" si="56"/>
        <v>0</v>
      </c>
      <c r="H148" s="526">
        <f t="shared" si="53"/>
        <v>0</v>
      </c>
      <c r="I148" s="577">
        <f t="shared" si="54"/>
        <v>0</v>
      </c>
      <c r="J148" s="514">
        <f t="shared" si="57"/>
        <v>0</v>
      </c>
      <c r="K148" s="514"/>
      <c r="L148" s="525"/>
      <c r="M148" s="514">
        <f t="shared" si="58"/>
        <v>0</v>
      </c>
      <c r="N148" s="525"/>
      <c r="O148" s="514">
        <f t="shared" si="59"/>
        <v>0</v>
      </c>
      <c r="P148" s="514">
        <f t="shared" si="60"/>
        <v>0</v>
      </c>
      <c r="Q148" s="269"/>
    </row>
    <row r="149" spans="2:17">
      <c r="B149" s="195" t="str">
        <f t="shared" si="37"/>
        <v/>
      </c>
      <c r="C149" s="507">
        <f>IF(D93="","-",+C148+1)</f>
        <v>2059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55"/>
        <v>0</v>
      </c>
      <c r="G149" s="523">
        <f t="shared" si="56"/>
        <v>0</v>
      </c>
      <c r="H149" s="526">
        <f t="shared" si="53"/>
        <v>0</v>
      </c>
      <c r="I149" s="577">
        <f t="shared" si="54"/>
        <v>0</v>
      </c>
      <c r="J149" s="514">
        <f t="shared" si="57"/>
        <v>0</v>
      </c>
      <c r="K149" s="514"/>
      <c r="L149" s="525"/>
      <c r="M149" s="514">
        <f t="shared" si="58"/>
        <v>0</v>
      </c>
      <c r="N149" s="525"/>
      <c r="O149" s="514">
        <f t="shared" si="59"/>
        <v>0</v>
      </c>
      <c r="P149" s="514">
        <f t="shared" si="60"/>
        <v>0</v>
      </c>
      <c r="Q149" s="269"/>
    </row>
    <row r="150" spans="2:17">
      <c r="B150" s="195" t="str">
        <f t="shared" si="37"/>
        <v/>
      </c>
      <c r="C150" s="507">
        <f>IF(D93="","-",+C149+1)</f>
        <v>2060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55"/>
        <v>0</v>
      </c>
      <c r="G150" s="523">
        <f t="shared" si="56"/>
        <v>0</v>
      </c>
      <c r="H150" s="526">
        <f t="shared" si="53"/>
        <v>0</v>
      </c>
      <c r="I150" s="577">
        <f t="shared" si="54"/>
        <v>0</v>
      </c>
      <c r="J150" s="514">
        <f t="shared" si="57"/>
        <v>0</v>
      </c>
      <c r="K150" s="514"/>
      <c r="L150" s="525"/>
      <c r="M150" s="514">
        <f t="shared" si="58"/>
        <v>0</v>
      </c>
      <c r="N150" s="525"/>
      <c r="O150" s="514">
        <f t="shared" si="59"/>
        <v>0</v>
      </c>
      <c r="P150" s="514">
        <f t="shared" si="60"/>
        <v>0</v>
      </c>
      <c r="Q150" s="269"/>
    </row>
    <row r="151" spans="2:17">
      <c r="B151" s="195" t="str">
        <f t="shared" si="37"/>
        <v/>
      </c>
      <c r="C151" s="507">
        <f>IF(D93="","-",+C150+1)</f>
        <v>2061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55"/>
        <v>0</v>
      </c>
      <c r="G151" s="523">
        <f t="shared" si="56"/>
        <v>0</v>
      </c>
      <c r="H151" s="526">
        <f t="shared" si="53"/>
        <v>0</v>
      </c>
      <c r="I151" s="577">
        <f t="shared" si="54"/>
        <v>0</v>
      </c>
      <c r="J151" s="514">
        <f t="shared" si="57"/>
        <v>0</v>
      </c>
      <c r="K151" s="514"/>
      <c r="L151" s="525"/>
      <c r="M151" s="514">
        <f t="shared" si="58"/>
        <v>0</v>
      </c>
      <c r="N151" s="525"/>
      <c r="O151" s="514">
        <f t="shared" si="59"/>
        <v>0</v>
      </c>
      <c r="P151" s="514">
        <f t="shared" si="60"/>
        <v>0</v>
      </c>
      <c r="Q151" s="269"/>
    </row>
    <row r="152" spans="2:17">
      <c r="B152" s="195" t="str">
        <f t="shared" si="37"/>
        <v/>
      </c>
      <c r="C152" s="507">
        <f>IF(D93="","-",+C151+1)</f>
        <v>2062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55"/>
        <v>0</v>
      </c>
      <c r="G152" s="523">
        <f t="shared" si="56"/>
        <v>0</v>
      </c>
      <c r="H152" s="526">
        <f t="shared" si="53"/>
        <v>0</v>
      </c>
      <c r="I152" s="577">
        <f t="shared" si="54"/>
        <v>0</v>
      </c>
      <c r="J152" s="514">
        <f t="shared" si="57"/>
        <v>0</v>
      </c>
      <c r="K152" s="514"/>
      <c r="L152" s="525"/>
      <c r="M152" s="514">
        <f t="shared" si="58"/>
        <v>0</v>
      </c>
      <c r="N152" s="525"/>
      <c r="O152" s="514">
        <f t="shared" si="59"/>
        <v>0</v>
      </c>
      <c r="P152" s="514">
        <f t="shared" si="60"/>
        <v>0</v>
      </c>
      <c r="Q152" s="269"/>
    </row>
    <row r="153" spans="2:17">
      <c r="B153" s="195" t="str">
        <f t="shared" si="37"/>
        <v/>
      </c>
      <c r="C153" s="507">
        <f>IF(D93="","-",+C152+1)</f>
        <v>2063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55"/>
        <v>0</v>
      </c>
      <c r="G153" s="523">
        <f t="shared" si="56"/>
        <v>0</v>
      </c>
      <c r="H153" s="526">
        <f t="shared" si="53"/>
        <v>0</v>
      </c>
      <c r="I153" s="577">
        <f t="shared" si="54"/>
        <v>0</v>
      </c>
      <c r="J153" s="514">
        <f t="shared" si="57"/>
        <v>0</v>
      </c>
      <c r="K153" s="514"/>
      <c r="L153" s="525"/>
      <c r="M153" s="514">
        <f t="shared" si="58"/>
        <v>0</v>
      </c>
      <c r="N153" s="525"/>
      <c r="O153" s="514">
        <f t="shared" si="59"/>
        <v>0</v>
      </c>
      <c r="P153" s="514">
        <f t="shared" si="60"/>
        <v>0</v>
      </c>
      <c r="Q153" s="269"/>
    </row>
    <row r="154" spans="2:17" ht="13.5" thickBot="1">
      <c r="B154" s="195" t="str">
        <f t="shared" si="37"/>
        <v/>
      </c>
      <c r="C154" s="527">
        <f>IF(D93="","-",+C153+1)</f>
        <v>2064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55"/>
        <v>0</v>
      </c>
      <c r="G154" s="528">
        <f t="shared" si="56"/>
        <v>0</v>
      </c>
      <c r="H154" s="530">
        <f t="shared" si="53"/>
        <v>0</v>
      </c>
      <c r="I154" s="579">
        <f t="shared" si="54"/>
        <v>0</v>
      </c>
      <c r="J154" s="533">
        <f t="shared" si="57"/>
        <v>0</v>
      </c>
      <c r="K154" s="514"/>
      <c r="L154" s="532"/>
      <c r="M154" s="533">
        <f t="shared" si="58"/>
        <v>0</v>
      </c>
      <c r="N154" s="532"/>
      <c r="O154" s="533">
        <f t="shared" si="59"/>
        <v>0</v>
      </c>
      <c r="P154" s="533">
        <f t="shared" si="60"/>
        <v>0</v>
      </c>
      <c r="Q154" s="269"/>
    </row>
    <row r="155" spans="2:17">
      <c r="C155" s="374" t="s">
        <v>78</v>
      </c>
      <c r="D155" s="375"/>
      <c r="E155" s="375">
        <f>SUM(E99:E154)</f>
        <v>17671482.000000007</v>
      </c>
      <c r="F155" s="375"/>
      <c r="G155" s="375"/>
      <c r="H155" s="375">
        <f>SUM(H99:H154)</f>
        <v>63352756.795756534</v>
      </c>
      <c r="I155" s="375">
        <f>SUM(I99:I154)</f>
        <v>63352756.795756534</v>
      </c>
      <c r="J155" s="375">
        <f>SUM(J99:J154)</f>
        <v>0</v>
      </c>
      <c r="K155" s="375"/>
      <c r="L155" s="375"/>
      <c r="M155" s="375"/>
      <c r="N155" s="375"/>
      <c r="O155" s="375"/>
      <c r="P155" s="269"/>
      <c r="Q155" s="269"/>
    </row>
    <row r="156" spans="2:17"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  <c r="Q156" s="269"/>
    </row>
    <row r="157" spans="2:17">
      <c r="C157" s="580" t="s">
        <v>92</v>
      </c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  <c r="Q157" s="269"/>
    </row>
    <row r="158" spans="2:17"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  <c r="Q158" s="269"/>
    </row>
    <row r="159" spans="2:17">
      <c r="C159" s="534" t="s">
        <v>97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  <c r="Q159" s="269"/>
    </row>
    <row r="160" spans="2:17">
      <c r="C160" s="581" t="s">
        <v>79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  <c r="Q160" s="269"/>
    </row>
    <row r="161" spans="3:17">
      <c r="C161" s="581" t="s">
        <v>80</v>
      </c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  <c r="Q161" s="269"/>
    </row>
    <row r="162" spans="3:17" ht="18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454" t="s">
        <v>131</v>
      </c>
      <c r="Q162" s="269"/>
    </row>
  </sheetData>
  <phoneticPr fontId="0" type="noConversion"/>
  <conditionalFormatting sqref="C17:C72">
    <cfRule type="cellIs" dxfId="161" priority="1" stopIfTrue="1" operator="equal">
      <formula>$I$10</formula>
    </cfRule>
  </conditionalFormatting>
  <conditionalFormatting sqref="C99:C154">
    <cfRule type="cellIs" dxfId="160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86"/>
  <dimension ref="A1:Q162"/>
  <sheetViews>
    <sheetView topLeftCell="A93" zoomScaleNormal="100" zoomScaleSheetLayoutView="75" workbookViewId="0">
      <selection activeCell="D99" sqref="D99:I108"/>
    </sheetView>
  </sheetViews>
  <sheetFormatPr defaultColWidth="8.7109375" defaultRowHeight="12.75" customHeight="1"/>
  <cols>
    <col min="1" max="1" width="4.7109375" style="183" customWidth="1"/>
    <col min="2" max="2" width="6.7109375" style="183" customWidth="1"/>
    <col min="3" max="3" width="23.28515625" style="183" customWidth="1"/>
    <col min="4" max="8" width="17.7109375" style="183" customWidth="1"/>
    <col min="9" max="9" width="20.42578125" style="183" customWidth="1"/>
    <col min="10" max="10" width="16.42578125" style="183" customWidth="1"/>
    <col min="11" max="11" width="17.7109375" style="183" customWidth="1"/>
    <col min="12" max="12" width="16.140625" style="183" customWidth="1"/>
    <col min="13" max="13" width="17.7109375" style="183" customWidth="1"/>
    <col min="14" max="14" width="16.7109375" style="183" customWidth="1"/>
    <col min="15" max="15" width="16.85546875" style="183" customWidth="1"/>
    <col min="16" max="16" width="24.42578125" style="183" customWidth="1"/>
    <col min="17" max="17" width="4.7109375" style="183" customWidth="1"/>
    <col min="18" max="22" width="8.7109375" style="183"/>
    <col min="23" max="23" width="9.140625" style="183" customWidth="1"/>
    <col min="24" max="16384" width="8.7109375" style="183"/>
  </cols>
  <sheetData>
    <row r="1" spans="1:17" ht="20.25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37 of 75</v>
      </c>
      <c r="Q1" s="453"/>
    </row>
    <row r="2" spans="1:17" ht="18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538" t="s">
        <v>129</v>
      </c>
    </row>
    <row r="3" spans="1:17" ht="18.75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/>
      <c r="P3" s="623">
        <v>1</v>
      </c>
    </row>
    <row r="4" spans="1:17" ht="15.75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7" ht="1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560401.97872855526</v>
      </c>
      <c r="P5" s="269"/>
    </row>
    <row r="6" spans="1:17" ht="15.7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560401.97872855526</v>
      </c>
      <c r="O6" s="269"/>
      <c r="P6" s="269"/>
    </row>
    <row r="7" spans="1:17" ht="13.5" thickBot="1">
      <c r="C7" s="467" t="s">
        <v>48</v>
      </c>
      <c r="D7" s="624" t="s">
        <v>301</v>
      </c>
      <c r="E7" s="587"/>
      <c r="F7" s="587"/>
      <c r="G7" s="587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7" ht="13.5" thickBot="1">
      <c r="C8" s="472"/>
      <c r="D8" s="625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7" ht="13.5" thickBot="1">
      <c r="C9" s="476" t="s">
        <v>50</v>
      </c>
      <c r="D9" s="477" t="s">
        <v>300</v>
      </c>
      <c r="E9" s="666" t="s">
        <v>498</v>
      </c>
      <c r="F9" s="478"/>
      <c r="G9" s="478"/>
      <c r="H9" s="478"/>
      <c r="I9" s="479"/>
      <c r="J9" s="480"/>
      <c r="O9" s="481"/>
      <c r="P9" s="272"/>
    </row>
    <row r="10" spans="1:17">
      <c r="C10" s="482" t="s">
        <v>51</v>
      </c>
      <c r="D10" s="483">
        <v>5048526</v>
      </c>
      <c r="E10" s="353" t="s">
        <v>52</v>
      </c>
      <c r="F10" s="481"/>
      <c r="G10" s="484"/>
      <c r="H10" s="484"/>
      <c r="I10" s="485">
        <f>+'SWE.WS.F.BPU.ATRR.Projected'!L19</f>
        <v>2024</v>
      </c>
      <c r="J10" s="480"/>
      <c r="K10" s="375" t="s">
        <v>53</v>
      </c>
      <c r="O10" s="272"/>
      <c r="P10" s="272"/>
    </row>
    <row r="11" spans="1:17">
      <c r="C11" s="486" t="s">
        <v>54</v>
      </c>
      <c r="D11" s="487">
        <v>2013</v>
      </c>
      <c r="E11" s="486" t="s">
        <v>55</v>
      </c>
      <c r="F11" s="484"/>
      <c r="G11" s="233"/>
      <c r="H11" s="233"/>
      <c r="I11" s="488">
        <f>IF(G5="",0,'SWE.WS.F.BPU.ATRR.Projected'!F$13)</f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7">
      <c r="C12" s="486" t="s">
        <v>56</v>
      </c>
      <c r="D12" s="483">
        <v>6</v>
      </c>
      <c r="E12" s="486" t="s">
        <v>57</v>
      </c>
      <c r="F12" s="484"/>
      <c r="G12" s="233"/>
      <c r="H12" s="233"/>
      <c r="I12" s="490">
        <f>'SWE.WS.F.BPU.ATRR.Projected'!$F$81</f>
        <v>0.11952713165403545</v>
      </c>
      <c r="J12" s="425"/>
      <c r="K12" s="183" t="s">
        <v>58</v>
      </c>
      <c r="O12" s="272"/>
      <c r="P12" s="272"/>
    </row>
    <row r="13" spans="1:17">
      <c r="C13" s="486" t="s">
        <v>59</v>
      </c>
      <c r="D13" s="488">
        <f>+'SWE.WS.F.BPU.ATRR.Projected'!F$93</f>
        <v>44</v>
      </c>
      <c r="E13" s="486" t="s">
        <v>60</v>
      </c>
      <c r="F13" s="484"/>
      <c r="G13" s="233"/>
      <c r="H13" s="233"/>
      <c r="I13" s="490">
        <f>IF(G5="",I12,'SWE.WS.F.BPU.ATRR.Projected'!$F$80)</f>
        <v>0.11952713165403545</v>
      </c>
      <c r="J13" s="425"/>
      <c r="K13" s="375" t="s">
        <v>61</v>
      </c>
      <c r="L13" s="324"/>
      <c r="M13" s="324"/>
      <c r="N13" s="324"/>
      <c r="O13" s="272"/>
      <c r="P13" s="272"/>
    </row>
    <row r="14" spans="1:17" ht="13.5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114739.22727272728</v>
      </c>
      <c r="J14" s="375"/>
      <c r="K14" s="375"/>
      <c r="L14" s="375"/>
      <c r="M14" s="375"/>
      <c r="N14" s="375"/>
      <c r="O14" s="272"/>
      <c r="P14" s="272"/>
    </row>
    <row r="15" spans="1:17" ht="38.25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388</v>
      </c>
      <c r="H15" s="495" t="s">
        <v>389</v>
      </c>
      <c r="I15" s="492" t="s">
        <v>68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7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>
      <c r="C17" s="507">
        <f>IF(D11= "","-",D11)</f>
        <v>2013</v>
      </c>
      <c r="D17" s="626">
        <v>4585200</v>
      </c>
      <c r="E17" s="627">
        <v>54585.71428571429</v>
      </c>
      <c r="F17" s="626">
        <v>4530614.2857142854</v>
      </c>
      <c r="G17" s="627">
        <v>688813.18815380184</v>
      </c>
      <c r="H17" s="610">
        <v>688813.18815380184</v>
      </c>
      <c r="I17" s="616">
        <v>0</v>
      </c>
      <c r="J17" s="511"/>
      <c r="K17" s="512">
        <f t="shared" ref="K17:K22" si="0">G17</f>
        <v>688813.18815380184</v>
      </c>
      <c r="L17" s="597">
        <f t="shared" ref="L17:L22" si="1">IF(K17&lt;&gt;0,+G17-K17,0)</f>
        <v>0</v>
      </c>
      <c r="M17" s="512">
        <f t="shared" ref="M17:M22" si="2">H17</f>
        <v>688813.18815380184</v>
      </c>
      <c r="N17" s="513">
        <f t="shared" ref="N17:N22" si="3">IF(M17&lt;&gt;0,+H17-M17,0)</f>
        <v>0</v>
      </c>
      <c r="O17" s="514">
        <f t="shared" ref="O17:O22" si="4">+N17-L17</f>
        <v>0</v>
      </c>
      <c r="P17" s="272"/>
    </row>
    <row r="18" spans="2:16">
      <c r="B18" s="195" t="str">
        <f>IF(D18=F17,"","IU")</f>
        <v/>
      </c>
      <c r="C18" s="507">
        <f>IF(D11="","-",+C17+1)</f>
        <v>2014</v>
      </c>
      <c r="D18" s="626">
        <v>4530614.2857142854</v>
      </c>
      <c r="E18" s="609">
        <v>120194.88095238095</v>
      </c>
      <c r="F18" s="626">
        <v>4410419.4047619049</v>
      </c>
      <c r="G18" s="609">
        <v>715206.80444444832</v>
      </c>
      <c r="H18" s="610">
        <v>715206.80444444832</v>
      </c>
      <c r="I18" s="616">
        <v>0</v>
      </c>
      <c r="J18" s="511"/>
      <c r="K18" s="518">
        <f t="shared" si="0"/>
        <v>715206.80444444832</v>
      </c>
      <c r="L18" s="519">
        <f t="shared" si="1"/>
        <v>0</v>
      </c>
      <c r="M18" s="518">
        <f t="shared" si="2"/>
        <v>715206.80444444832</v>
      </c>
      <c r="N18" s="514">
        <f t="shared" si="3"/>
        <v>0</v>
      </c>
      <c r="O18" s="514">
        <f t="shared" si="4"/>
        <v>0</v>
      </c>
      <c r="P18" s="272"/>
    </row>
    <row r="19" spans="2:16">
      <c r="B19" s="195" t="str">
        <f>IF(D19=F18,"","IU")</f>
        <v/>
      </c>
      <c r="C19" s="507">
        <f>IF(D11="","-",+C18+1)</f>
        <v>2015</v>
      </c>
      <c r="D19" s="626">
        <v>4410419.4047619049</v>
      </c>
      <c r="E19" s="609">
        <v>120203</v>
      </c>
      <c r="F19" s="626">
        <v>4290216.4047619049</v>
      </c>
      <c r="G19" s="609">
        <v>685245.09772932425</v>
      </c>
      <c r="H19" s="610">
        <v>685245.09772932425</v>
      </c>
      <c r="I19" s="511">
        <v>0</v>
      </c>
      <c r="J19" s="511"/>
      <c r="K19" s="518">
        <f t="shared" si="0"/>
        <v>685245.09772932425</v>
      </c>
      <c r="L19" s="519">
        <f t="shared" si="1"/>
        <v>0</v>
      </c>
      <c r="M19" s="518">
        <f t="shared" si="2"/>
        <v>685245.09772932425</v>
      </c>
      <c r="N19" s="514">
        <f t="shared" si="3"/>
        <v>0</v>
      </c>
      <c r="O19" s="514">
        <f t="shared" si="4"/>
        <v>0</v>
      </c>
      <c r="P19" s="272"/>
    </row>
    <row r="20" spans="2:16">
      <c r="B20" s="195" t="str">
        <f t="shared" ref="B20:B72" si="5">IF(D20=F19,"","IU")</f>
        <v>IU</v>
      </c>
      <c r="C20" s="507">
        <f>IF(D11="","-",+C19+1)</f>
        <v>2016</v>
      </c>
      <c r="D20" s="626">
        <v>4753542.4047619049</v>
      </c>
      <c r="E20" s="609">
        <v>120203</v>
      </c>
      <c r="F20" s="626">
        <v>4633339.4047619049</v>
      </c>
      <c r="G20" s="609">
        <v>722907.67402559891</v>
      </c>
      <c r="H20" s="610">
        <v>722907.67402559891</v>
      </c>
      <c r="I20" s="511">
        <f>H20-G20</f>
        <v>0</v>
      </c>
      <c r="J20" s="511"/>
      <c r="K20" s="518">
        <f t="shared" si="0"/>
        <v>722907.67402559891</v>
      </c>
      <c r="L20" s="519">
        <f t="shared" si="1"/>
        <v>0</v>
      </c>
      <c r="M20" s="518">
        <f t="shared" si="2"/>
        <v>722907.67402559891</v>
      </c>
      <c r="N20" s="514">
        <f t="shared" si="3"/>
        <v>0</v>
      </c>
      <c r="O20" s="514">
        <f t="shared" si="4"/>
        <v>0</v>
      </c>
      <c r="P20" s="272"/>
    </row>
    <row r="21" spans="2:16">
      <c r="B21" s="195" t="str">
        <f t="shared" si="5"/>
        <v/>
      </c>
      <c r="C21" s="507">
        <f>IF(D11="","-",+C20+1)</f>
        <v>2017</v>
      </c>
      <c r="D21" s="626">
        <v>4633339.4047619049</v>
      </c>
      <c r="E21" s="609">
        <v>117407.58139534884</v>
      </c>
      <c r="F21" s="626">
        <v>4515931.8233665563</v>
      </c>
      <c r="G21" s="609">
        <v>684170.77799365029</v>
      </c>
      <c r="H21" s="610">
        <v>684170.77799365029</v>
      </c>
      <c r="I21" s="511">
        <f t="shared" ref="I21:I72" si="6">H21-G21</f>
        <v>0</v>
      </c>
      <c r="J21" s="511"/>
      <c r="K21" s="518">
        <f t="shared" si="0"/>
        <v>684170.77799365029</v>
      </c>
      <c r="L21" s="519">
        <f t="shared" si="1"/>
        <v>0</v>
      </c>
      <c r="M21" s="518">
        <f t="shared" si="2"/>
        <v>684170.77799365029</v>
      </c>
      <c r="N21" s="514">
        <f t="shared" si="3"/>
        <v>0</v>
      </c>
      <c r="O21" s="514">
        <f t="shared" si="4"/>
        <v>0</v>
      </c>
      <c r="P21" s="272"/>
    </row>
    <row r="22" spans="2:16">
      <c r="B22" s="195" t="str">
        <f t="shared" si="5"/>
        <v/>
      </c>
      <c r="C22" s="507">
        <f>IF(D11="","-",+C21+1)</f>
        <v>2018</v>
      </c>
      <c r="D22" s="626">
        <v>4515931.8233665563</v>
      </c>
      <c r="E22" s="609">
        <v>123134.78048780488</v>
      </c>
      <c r="F22" s="626">
        <v>4392797.0428787516</v>
      </c>
      <c r="G22" s="609">
        <v>689258.21441361541</v>
      </c>
      <c r="H22" s="610">
        <v>689258.21441361541</v>
      </c>
      <c r="I22" s="511">
        <f t="shared" si="6"/>
        <v>0</v>
      </c>
      <c r="J22" s="511"/>
      <c r="K22" s="518">
        <f t="shared" si="0"/>
        <v>689258.21441361541</v>
      </c>
      <c r="L22" s="519">
        <f t="shared" si="1"/>
        <v>0</v>
      </c>
      <c r="M22" s="518">
        <f t="shared" si="2"/>
        <v>689258.21441361541</v>
      </c>
      <c r="N22" s="514">
        <f t="shared" si="3"/>
        <v>0</v>
      </c>
      <c r="O22" s="514">
        <f t="shared" si="4"/>
        <v>0</v>
      </c>
      <c r="P22" s="272"/>
    </row>
    <row r="23" spans="2:16">
      <c r="B23" s="195" t="str">
        <f t="shared" si="5"/>
        <v/>
      </c>
      <c r="C23" s="507">
        <f>IF(D11="","-",+C22+1)</f>
        <v>2019</v>
      </c>
      <c r="D23" s="626">
        <v>4392797.0428787516</v>
      </c>
      <c r="E23" s="609">
        <v>123134.78048780488</v>
      </c>
      <c r="F23" s="626">
        <v>4269662.262390947</v>
      </c>
      <c r="G23" s="609">
        <v>673608.51044078905</v>
      </c>
      <c r="H23" s="610">
        <v>673608.51044078905</v>
      </c>
      <c r="I23" s="511">
        <f t="shared" si="6"/>
        <v>0</v>
      </c>
      <c r="J23" s="511"/>
      <c r="K23" s="518">
        <f t="shared" ref="K23" si="7">G23</f>
        <v>673608.51044078905</v>
      </c>
      <c r="L23" s="519">
        <f t="shared" ref="L23" si="8">IF(K23&lt;&gt;0,+G23-K23,0)</f>
        <v>0</v>
      </c>
      <c r="M23" s="518">
        <f t="shared" ref="M23" si="9">H23</f>
        <v>673608.51044078905</v>
      </c>
      <c r="N23" s="514">
        <f t="shared" ref="N23:N72" si="10">IF(M23&lt;&gt;0,+H23-M23,0)</f>
        <v>0</v>
      </c>
      <c r="O23" s="514">
        <f t="shared" ref="O23:O72" si="11">+N23-L23</f>
        <v>0</v>
      </c>
      <c r="P23" s="272"/>
    </row>
    <row r="24" spans="2:16">
      <c r="B24" s="195" t="str">
        <f t="shared" si="5"/>
        <v/>
      </c>
      <c r="C24" s="507">
        <f>IF(D11="","-",+C23+1)</f>
        <v>2020</v>
      </c>
      <c r="D24" s="626">
        <v>4269662.262390947</v>
      </c>
      <c r="E24" s="609">
        <v>123134.78048780488</v>
      </c>
      <c r="F24" s="626">
        <v>4146527.4819031423</v>
      </c>
      <c r="G24" s="609">
        <v>553772.08511902799</v>
      </c>
      <c r="H24" s="610">
        <v>553772.08511902799</v>
      </c>
      <c r="I24" s="511">
        <f t="shared" si="6"/>
        <v>0</v>
      </c>
      <c r="J24" s="511"/>
      <c r="K24" s="518">
        <f t="shared" ref="K24" si="12">G24</f>
        <v>553772.08511902799</v>
      </c>
      <c r="L24" s="519">
        <f t="shared" ref="L24" si="13">IF(K24&lt;&gt;0,+G24-K24,0)</f>
        <v>0</v>
      </c>
      <c r="M24" s="518">
        <f t="shared" ref="M24" si="14">H24</f>
        <v>553772.08511902799</v>
      </c>
      <c r="N24" s="514">
        <f t="shared" si="10"/>
        <v>0</v>
      </c>
      <c r="O24" s="514">
        <f t="shared" si="11"/>
        <v>0</v>
      </c>
      <c r="P24" s="272"/>
    </row>
    <row r="25" spans="2:16">
      <c r="B25" s="195" t="str">
        <f t="shared" si="5"/>
        <v>IU</v>
      </c>
      <c r="C25" s="507">
        <f>IF(D11="","-",+C24+1)</f>
        <v>2021</v>
      </c>
      <c r="D25" s="626">
        <v>4152254.680995597</v>
      </c>
      <c r="E25" s="609">
        <v>120203</v>
      </c>
      <c r="F25" s="626">
        <v>4032051.680995597</v>
      </c>
      <c r="G25" s="609">
        <v>553989.83619615703</v>
      </c>
      <c r="H25" s="610">
        <v>553989.83619615703</v>
      </c>
      <c r="I25" s="511">
        <f t="shared" si="6"/>
        <v>0</v>
      </c>
      <c r="J25" s="511"/>
      <c r="K25" s="518">
        <f t="shared" ref="K25" si="15">G25</f>
        <v>553989.83619615703</v>
      </c>
      <c r="L25" s="519">
        <f t="shared" ref="L25" si="16">IF(K25&lt;&gt;0,+G25-K25,0)</f>
        <v>0</v>
      </c>
      <c r="M25" s="518">
        <f t="shared" ref="M25" si="17">H25</f>
        <v>553989.83619615703</v>
      </c>
      <c r="N25" s="514">
        <f t="shared" si="10"/>
        <v>0</v>
      </c>
      <c r="O25" s="514">
        <f t="shared" si="11"/>
        <v>0</v>
      </c>
      <c r="P25" s="272"/>
    </row>
    <row r="26" spans="2:16">
      <c r="B26" s="195" t="str">
        <f t="shared" si="5"/>
        <v>IU</v>
      </c>
      <c r="C26" s="507">
        <f>IF(D11="","-",+C25+1)</f>
        <v>2022</v>
      </c>
      <c r="D26" s="626">
        <v>4026324.4819031414</v>
      </c>
      <c r="E26" s="609">
        <v>120203</v>
      </c>
      <c r="F26" s="626">
        <v>3906121.4819031414</v>
      </c>
      <c r="G26" s="609">
        <v>566181.36123697727</v>
      </c>
      <c r="H26" s="610">
        <v>566181.36123697727</v>
      </c>
      <c r="I26" s="511">
        <f t="shared" si="6"/>
        <v>0</v>
      </c>
      <c r="J26" s="511"/>
      <c r="K26" s="518">
        <f t="shared" ref="K26" si="18">G26</f>
        <v>566181.36123697727</v>
      </c>
      <c r="L26" s="519">
        <f t="shared" ref="L26" si="19">IF(K26&lt;&gt;0,+G26-K26,0)</f>
        <v>0</v>
      </c>
      <c r="M26" s="518">
        <f t="shared" ref="M26" si="20">H26</f>
        <v>566181.36123697727</v>
      </c>
      <c r="N26" s="514">
        <f t="shared" si="10"/>
        <v>0</v>
      </c>
      <c r="O26" s="514">
        <f t="shared" si="11"/>
        <v>0</v>
      </c>
      <c r="P26" s="272"/>
    </row>
    <row r="27" spans="2:16">
      <c r="B27" s="195" t="str">
        <f t="shared" si="5"/>
        <v/>
      </c>
      <c r="C27" s="507">
        <f>IF(D11="","-",+C26+1)</f>
        <v>2023</v>
      </c>
      <c r="D27" s="626">
        <v>3906121.4819031414</v>
      </c>
      <c r="E27" s="609">
        <v>120203</v>
      </c>
      <c r="F27" s="626">
        <v>3785918.4819031414</v>
      </c>
      <c r="G27" s="609">
        <v>606058.35081928712</v>
      </c>
      <c r="H27" s="610">
        <v>606058.35081928712</v>
      </c>
      <c r="I27" s="511">
        <f t="shared" si="6"/>
        <v>0</v>
      </c>
      <c r="J27" s="511"/>
      <c r="K27" s="518">
        <f t="shared" ref="K27" si="21">G27</f>
        <v>606058.35081928712</v>
      </c>
      <c r="L27" s="519">
        <f t="shared" ref="L27" si="22">IF(K27&lt;&gt;0,+G27-K27,0)</f>
        <v>0</v>
      </c>
      <c r="M27" s="518">
        <f t="shared" ref="M27" si="23">H27</f>
        <v>606058.35081928712</v>
      </c>
      <c r="N27" s="514">
        <f t="shared" ref="N27" si="24">IF(M27&lt;&gt;0,+H27-M27,0)</f>
        <v>0</v>
      </c>
      <c r="O27" s="514">
        <f t="shared" ref="O27" si="25">+N27-L27</f>
        <v>0</v>
      </c>
      <c r="P27" s="272"/>
    </row>
    <row r="28" spans="2:16">
      <c r="B28" s="195" t="str">
        <f t="shared" si="5"/>
        <v/>
      </c>
      <c r="C28" s="673">
        <f>IF(D11="","-",+C27+1)</f>
        <v>2024</v>
      </c>
      <c r="D28" s="523">
        <f>IF(F27+SUM(E$17:E27)=D$10,F27,D$10-SUM(E$17:E27))</f>
        <v>3785918.4819031414</v>
      </c>
      <c r="E28" s="522">
        <f t="shared" ref="E28:E72" si="26">IF(+$I$14&lt;F27,$I$14,D28)</f>
        <v>114739.22727272728</v>
      </c>
      <c r="F28" s="523">
        <f t="shared" ref="F28:F72" si="27">+D28-E28</f>
        <v>3671179.2546304143</v>
      </c>
      <c r="G28" s="524">
        <f t="shared" ref="G28:G52" si="28">+I$12*((D28+F28)/2)+E28</f>
        <v>560401.97872855526</v>
      </c>
      <c r="H28" s="491">
        <f t="shared" ref="H28:H52" si="29">+I$13*((D28+F28)/2)+E28</f>
        <v>560401.97872855526</v>
      </c>
      <c r="I28" s="511">
        <f t="shared" si="6"/>
        <v>0</v>
      </c>
      <c r="J28" s="511"/>
      <c r="K28" s="525"/>
      <c r="L28" s="514">
        <f t="shared" ref="L28:L72" si="30">IF(K28&lt;&gt;0,+G28-K28,0)</f>
        <v>0</v>
      </c>
      <c r="M28" s="525"/>
      <c r="N28" s="514">
        <f t="shared" si="10"/>
        <v>0</v>
      </c>
      <c r="O28" s="514">
        <f t="shared" si="11"/>
        <v>0</v>
      </c>
      <c r="P28" s="272"/>
    </row>
    <row r="29" spans="2:16">
      <c r="B29" s="195" t="str">
        <f t="shared" si="5"/>
        <v/>
      </c>
      <c r="C29" s="507">
        <f>IF(D11="","-",+C28+1)</f>
        <v>2025</v>
      </c>
      <c r="D29" s="523">
        <f>IF(F28+SUM(E$17:E28)=D$10,F28,D$10-SUM(E$17:E28))</f>
        <v>3671179.2546304143</v>
      </c>
      <c r="E29" s="522">
        <f t="shared" si="26"/>
        <v>114739.22727272728</v>
      </c>
      <c r="F29" s="523">
        <f t="shared" si="27"/>
        <v>3556440.0273576872</v>
      </c>
      <c r="G29" s="524">
        <f t="shared" si="28"/>
        <v>546687.52800444572</v>
      </c>
      <c r="H29" s="491">
        <f t="shared" si="29"/>
        <v>546687.52800444572</v>
      </c>
      <c r="I29" s="511">
        <f t="shared" si="6"/>
        <v>0</v>
      </c>
      <c r="J29" s="511"/>
      <c r="K29" s="525"/>
      <c r="L29" s="514">
        <f t="shared" si="30"/>
        <v>0</v>
      </c>
      <c r="M29" s="525"/>
      <c r="N29" s="514">
        <f t="shared" si="10"/>
        <v>0</v>
      </c>
      <c r="O29" s="514">
        <f t="shared" si="11"/>
        <v>0</v>
      </c>
      <c r="P29" s="272"/>
    </row>
    <row r="30" spans="2:16">
      <c r="B30" s="195" t="str">
        <f t="shared" si="5"/>
        <v/>
      </c>
      <c r="C30" s="507">
        <f>IF(D11="","-",+C29+1)</f>
        <v>2026</v>
      </c>
      <c r="D30" s="523">
        <f>IF(F29+SUM(E$17:E29)=D$10,F29,D$10-SUM(E$17:E29))</f>
        <v>3556440.0273576872</v>
      </c>
      <c r="E30" s="522">
        <f t="shared" si="26"/>
        <v>114739.22727272728</v>
      </c>
      <c r="F30" s="523">
        <f t="shared" si="27"/>
        <v>3441700.8000849602</v>
      </c>
      <c r="G30" s="524">
        <f t="shared" si="28"/>
        <v>532973.07728033618</v>
      </c>
      <c r="H30" s="491">
        <f t="shared" si="29"/>
        <v>532973.07728033618</v>
      </c>
      <c r="I30" s="511">
        <f t="shared" si="6"/>
        <v>0</v>
      </c>
      <c r="J30" s="511"/>
      <c r="K30" s="525"/>
      <c r="L30" s="514">
        <f t="shared" si="30"/>
        <v>0</v>
      </c>
      <c r="M30" s="525"/>
      <c r="N30" s="514">
        <f t="shared" si="10"/>
        <v>0</v>
      </c>
      <c r="O30" s="514">
        <f t="shared" si="11"/>
        <v>0</v>
      </c>
      <c r="P30" s="272"/>
    </row>
    <row r="31" spans="2:16">
      <c r="B31" s="195" t="str">
        <f t="shared" si="5"/>
        <v/>
      </c>
      <c r="C31" s="507">
        <f>IF(D11="","-",+C30+1)</f>
        <v>2027</v>
      </c>
      <c r="D31" s="523">
        <f>IF(F30+SUM(E$17:E30)=D$10,F30,D$10-SUM(E$17:E30))</f>
        <v>3441700.8000849602</v>
      </c>
      <c r="E31" s="522">
        <f t="shared" si="26"/>
        <v>114739.22727272728</v>
      </c>
      <c r="F31" s="523">
        <f t="shared" si="27"/>
        <v>3326961.5728122331</v>
      </c>
      <c r="G31" s="524">
        <f t="shared" si="28"/>
        <v>519258.62655622663</v>
      </c>
      <c r="H31" s="491">
        <f t="shared" si="29"/>
        <v>519258.62655622663</v>
      </c>
      <c r="I31" s="511">
        <f t="shared" si="6"/>
        <v>0</v>
      </c>
      <c r="J31" s="511"/>
      <c r="K31" s="525"/>
      <c r="L31" s="514">
        <f t="shared" si="30"/>
        <v>0</v>
      </c>
      <c r="M31" s="525"/>
      <c r="N31" s="514">
        <f t="shared" si="10"/>
        <v>0</v>
      </c>
      <c r="O31" s="514">
        <f t="shared" si="11"/>
        <v>0</v>
      </c>
      <c r="P31" s="272"/>
    </row>
    <row r="32" spans="2:16">
      <c r="B32" s="195" t="str">
        <f t="shared" si="5"/>
        <v/>
      </c>
      <c r="C32" s="507">
        <f>IF(D11="","-",+C31+1)</f>
        <v>2028</v>
      </c>
      <c r="D32" s="523">
        <f>IF(F31+SUM(E$17:E31)=D$10,F31,D$10-SUM(E$17:E31))</f>
        <v>3326961.5728122331</v>
      </c>
      <c r="E32" s="522">
        <f t="shared" si="26"/>
        <v>114739.22727272728</v>
      </c>
      <c r="F32" s="523">
        <f t="shared" si="27"/>
        <v>3212222.3455395061</v>
      </c>
      <c r="G32" s="524">
        <f t="shared" si="28"/>
        <v>505544.17583211715</v>
      </c>
      <c r="H32" s="491">
        <f t="shared" si="29"/>
        <v>505544.17583211715</v>
      </c>
      <c r="I32" s="511">
        <f t="shared" si="6"/>
        <v>0</v>
      </c>
      <c r="J32" s="511"/>
      <c r="K32" s="525"/>
      <c r="L32" s="514">
        <f t="shared" si="30"/>
        <v>0</v>
      </c>
      <c r="M32" s="525"/>
      <c r="N32" s="514">
        <f t="shared" si="10"/>
        <v>0</v>
      </c>
      <c r="O32" s="514">
        <f t="shared" si="11"/>
        <v>0</v>
      </c>
      <c r="P32" s="272"/>
    </row>
    <row r="33" spans="2:16">
      <c r="B33" s="195" t="str">
        <f t="shared" si="5"/>
        <v/>
      </c>
      <c r="C33" s="507">
        <f>IF(D11="","-",+C32+1)</f>
        <v>2029</v>
      </c>
      <c r="D33" s="523">
        <f>IF(F32+SUM(E$17:E32)=D$10,F32,D$10-SUM(E$17:E32))</f>
        <v>3212222.3455395061</v>
      </c>
      <c r="E33" s="522">
        <f t="shared" si="26"/>
        <v>114739.22727272728</v>
      </c>
      <c r="F33" s="523">
        <f t="shared" si="27"/>
        <v>3097483.118266779</v>
      </c>
      <c r="G33" s="524">
        <f t="shared" si="28"/>
        <v>491829.72510800755</v>
      </c>
      <c r="H33" s="491">
        <f t="shared" si="29"/>
        <v>491829.72510800755</v>
      </c>
      <c r="I33" s="511">
        <f t="shared" si="6"/>
        <v>0</v>
      </c>
      <c r="J33" s="511"/>
      <c r="K33" s="525"/>
      <c r="L33" s="514">
        <f t="shared" si="30"/>
        <v>0</v>
      </c>
      <c r="M33" s="525"/>
      <c r="N33" s="514">
        <f t="shared" si="10"/>
        <v>0</v>
      </c>
      <c r="O33" s="514">
        <f t="shared" si="11"/>
        <v>0</v>
      </c>
      <c r="P33" s="272"/>
    </row>
    <row r="34" spans="2:16">
      <c r="B34" s="195" t="str">
        <f t="shared" si="5"/>
        <v/>
      </c>
      <c r="C34" s="507">
        <f>IF(D11="","-",+C33+1)</f>
        <v>2030</v>
      </c>
      <c r="D34" s="523">
        <f>IF(F33+SUM(E$17:E33)=D$10,F33,D$10-SUM(E$17:E33))</f>
        <v>3097483.118266779</v>
      </c>
      <c r="E34" s="522">
        <f t="shared" si="26"/>
        <v>114739.22727272728</v>
      </c>
      <c r="F34" s="523">
        <f t="shared" si="27"/>
        <v>2982743.8909940519</v>
      </c>
      <c r="G34" s="524">
        <f t="shared" si="28"/>
        <v>478115.27438389807</v>
      </c>
      <c r="H34" s="491">
        <f t="shared" si="29"/>
        <v>478115.27438389807</v>
      </c>
      <c r="I34" s="511">
        <f t="shared" si="6"/>
        <v>0</v>
      </c>
      <c r="J34" s="511"/>
      <c r="K34" s="525"/>
      <c r="L34" s="514">
        <f t="shared" si="30"/>
        <v>0</v>
      </c>
      <c r="M34" s="525"/>
      <c r="N34" s="514">
        <f t="shared" si="10"/>
        <v>0</v>
      </c>
      <c r="O34" s="514">
        <f t="shared" si="11"/>
        <v>0</v>
      </c>
      <c r="P34" s="272"/>
    </row>
    <row r="35" spans="2:16">
      <c r="B35" s="195" t="str">
        <f t="shared" si="5"/>
        <v/>
      </c>
      <c r="C35" s="507">
        <f>IF(D11="","-",+C34+1)</f>
        <v>2031</v>
      </c>
      <c r="D35" s="523">
        <f>IF(F34+SUM(E$17:E34)=D$10,F34,D$10-SUM(E$17:E34))</f>
        <v>2982743.8909940519</v>
      </c>
      <c r="E35" s="522">
        <f t="shared" si="26"/>
        <v>114739.22727272728</v>
      </c>
      <c r="F35" s="523">
        <f t="shared" si="27"/>
        <v>2868004.6637213249</v>
      </c>
      <c r="G35" s="524">
        <f t="shared" si="28"/>
        <v>464400.82365978847</v>
      </c>
      <c r="H35" s="491">
        <f t="shared" si="29"/>
        <v>464400.82365978847</v>
      </c>
      <c r="I35" s="511">
        <f t="shared" si="6"/>
        <v>0</v>
      </c>
      <c r="J35" s="511"/>
      <c r="K35" s="525"/>
      <c r="L35" s="514">
        <f t="shared" si="30"/>
        <v>0</v>
      </c>
      <c r="M35" s="525"/>
      <c r="N35" s="514">
        <f t="shared" si="10"/>
        <v>0</v>
      </c>
      <c r="O35" s="514">
        <f t="shared" si="11"/>
        <v>0</v>
      </c>
      <c r="P35" s="272"/>
    </row>
    <row r="36" spans="2:16">
      <c r="B36" s="195" t="str">
        <f t="shared" si="5"/>
        <v/>
      </c>
      <c r="C36" s="507">
        <f>IF(D11="","-",+C35+1)</f>
        <v>2032</v>
      </c>
      <c r="D36" s="523">
        <f>IF(F35+SUM(E$17:E35)=D$10,F35,D$10-SUM(E$17:E35))</f>
        <v>2868004.6637213249</v>
      </c>
      <c r="E36" s="522">
        <f t="shared" si="26"/>
        <v>114739.22727272728</v>
      </c>
      <c r="F36" s="523">
        <f t="shared" si="27"/>
        <v>2753265.4364485978</v>
      </c>
      <c r="G36" s="524">
        <f t="shared" si="28"/>
        <v>450686.37293567898</v>
      </c>
      <c r="H36" s="491">
        <f t="shared" si="29"/>
        <v>450686.37293567898</v>
      </c>
      <c r="I36" s="511">
        <f t="shared" si="6"/>
        <v>0</v>
      </c>
      <c r="J36" s="511"/>
      <c r="K36" s="525"/>
      <c r="L36" s="514">
        <f t="shared" si="30"/>
        <v>0</v>
      </c>
      <c r="M36" s="525"/>
      <c r="N36" s="514">
        <f t="shared" si="10"/>
        <v>0</v>
      </c>
      <c r="O36" s="514">
        <f t="shared" si="11"/>
        <v>0</v>
      </c>
      <c r="P36" s="272"/>
    </row>
    <row r="37" spans="2:16">
      <c r="B37" s="195" t="str">
        <f t="shared" si="5"/>
        <v/>
      </c>
      <c r="C37" s="507">
        <f>IF(D11="","-",+C36+1)</f>
        <v>2033</v>
      </c>
      <c r="D37" s="523">
        <f>IF(F36+SUM(E$17:E36)=D$10,F36,D$10-SUM(E$17:E36))</f>
        <v>2753265.4364485978</v>
      </c>
      <c r="E37" s="522">
        <f t="shared" si="26"/>
        <v>114739.22727272728</v>
      </c>
      <c r="F37" s="523">
        <f t="shared" si="27"/>
        <v>2638526.2091758708</v>
      </c>
      <c r="G37" s="524">
        <f t="shared" si="28"/>
        <v>436971.92221156938</v>
      </c>
      <c r="H37" s="491">
        <f t="shared" si="29"/>
        <v>436971.92221156938</v>
      </c>
      <c r="I37" s="511">
        <f t="shared" si="6"/>
        <v>0</v>
      </c>
      <c r="J37" s="511"/>
      <c r="K37" s="525"/>
      <c r="L37" s="514">
        <f t="shared" si="30"/>
        <v>0</v>
      </c>
      <c r="M37" s="525"/>
      <c r="N37" s="514">
        <f t="shared" si="10"/>
        <v>0</v>
      </c>
      <c r="O37" s="514">
        <f t="shared" si="11"/>
        <v>0</v>
      </c>
      <c r="P37" s="272"/>
    </row>
    <row r="38" spans="2:16">
      <c r="B38" s="195" t="str">
        <f t="shared" si="5"/>
        <v/>
      </c>
      <c r="C38" s="507">
        <f>IF(D11="","-",+C37+1)</f>
        <v>2034</v>
      </c>
      <c r="D38" s="523">
        <f>IF(F37+SUM(E$17:E37)=D$10,F37,D$10-SUM(E$17:E37))</f>
        <v>2638526.2091758708</v>
      </c>
      <c r="E38" s="522">
        <f t="shared" si="26"/>
        <v>114739.22727272728</v>
      </c>
      <c r="F38" s="523">
        <f t="shared" si="27"/>
        <v>2523786.9819031437</v>
      </c>
      <c r="G38" s="524">
        <f t="shared" si="28"/>
        <v>423257.4714874599</v>
      </c>
      <c r="H38" s="491">
        <f t="shared" si="29"/>
        <v>423257.4714874599</v>
      </c>
      <c r="I38" s="511">
        <f t="shared" si="6"/>
        <v>0</v>
      </c>
      <c r="J38" s="511"/>
      <c r="K38" s="525"/>
      <c r="L38" s="514">
        <f t="shared" si="30"/>
        <v>0</v>
      </c>
      <c r="M38" s="525"/>
      <c r="N38" s="514">
        <f t="shared" si="10"/>
        <v>0</v>
      </c>
      <c r="O38" s="514">
        <f t="shared" si="11"/>
        <v>0</v>
      </c>
      <c r="P38" s="272"/>
    </row>
    <row r="39" spans="2:16">
      <c r="B39" s="195" t="str">
        <f t="shared" si="5"/>
        <v/>
      </c>
      <c r="C39" s="507">
        <f>IF(D11="","-",+C38+1)</f>
        <v>2035</v>
      </c>
      <c r="D39" s="523">
        <f>IF(F38+SUM(E$17:E38)=D$10,F38,D$10-SUM(E$17:E38))</f>
        <v>2523786.9819031437</v>
      </c>
      <c r="E39" s="522">
        <f t="shared" si="26"/>
        <v>114739.22727272728</v>
      </c>
      <c r="F39" s="523">
        <f t="shared" si="27"/>
        <v>2409047.7546304166</v>
      </c>
      <c r="G39" s="524">
        <f t="shared" si="28"/>
        <v>409543.0207633503</v>
      </c>
      <c r="H39" s="491">
        <f t="shared" si="29"/>
        <v>409543.0207633503</v>
      </c>
      <c r="I39" s="511">
        <f t="shared" si="6"/>
        <v>0</v>
      </c>
      <c r="J39" s="511"/>
      <c r="K39" s="525"/>
      <c r="L39" s="514">
        <f t="shared" si="30"/>
        <v>0</v>
      </c>
      <c r="M39" s="525"/>
      <c r="N39" s="514">
        <f t="shared" si="10"/>
        <v>0</v>
      </c>
      <c r="O39" s="514">
        <f t="shared" si="11"/>
        <v>0</v>
      </c>
      <c r="P39" s="272"/>
    </row>
    <row r="40" spans="2:16">
      <c r="B40" s="195" t="str">
        <f t="shared" si="5"/>
        <v/>
      </c>
      <c r="C40" s="507">
        <f>IF(D11="","-",+C39+1)</f>
        <v>2036</v>
      </c>
      <c r="D40" s="523">
        <f>IF(F39+SUM(E$17:E39)=D$10,F39,D$10-SUM(E$17:E39))</f>
        <v>2409047.7546304166</v>
      </c>
      <c r="E40" s="522">
        <f t="shared" si="26"/>
        <v>114739.22727272728</v>
      </c>
      <c r="F40" s="523">
        <f t="shared" si="27"/>
        <v>2294308.5273576896</v>
      </c>
      <c r="G40" s="524">
        <f t="shared" si="28"/>
        <v>395828.57003924082</v>
      </c>
      <c r="H40" s="491">
        <f t="shared" si="29"/>
        <v>395828.57003924082</v>
      </c>
      <c r="I40" s="511">
        <f t="shared" si="6"/>
        <v>0</v>
      </c>
      <c r="J40" s="511"/>
      <c r="K40" s="525"/>
      <c r="L40" s="514">
        <f t="shared" si="30"/>
        <v>0</v>
      </c>
      <c r="M40" s="525"/>
      <c r="N40" s="514">
        <f t="shared" si="10"/>
        <v>0</v>
      </c>
      <c r="O40" s="514">
        <f t="shared" si="11"/>
        <v>0</v>
      </c>
      <c r="P40" s="272"/>
    </row>
    <row r="41" spans="2:16">
      <c r="B41" s="195" t="str">
        <f t="shared" si="5"/>
        <v/>
      </c>
      <c r="C41" s="507">
        <f>IF(D11="","-",+C40+1)</f>
        <v>2037</v>
      </c>
      <c r="D41" s="523">
        <f>IF(F40+SUM(E$17:E40)=D$10,F40,D$10-SUM(E$17:E40))</f>
        <v>2294308.5273576896</v>
      </c>
      <c r="E41" s="522">
        <f t="shared" si="26"/>
        <v>114739.22727272728</v>
      </c>
      <c r="F41" s="523">
        <f t="shared" si="27"/>
        <v>2179569.3000849625</v>
      </c>
      <c r="G41" s="524">
        <f t="shared" si="28"/>
        <v>382114.11931513122</v>
      </c>
      <c r="H41" s="491">
        <f t="shared" si="29"/>
        <v>382114.11931513122</v>
      </c>
      <c r="I41" s="511">
        <f t="shared" si="6"/>
        <v>0</v>
      </c>
      <c r="J41" s="511"/>
      <c r="K41" s="525"/>
      <c r="L41" s="514">
        <f t="shared" si="30"/>
        <v>0</v>
      </c>
      <c r="M41" s="525"/>
      <c r="N41" s="514">
        <f t="shared" si="10"/>
        <v>0</v>
      </c>
      <c r="O41" s="514">
        <f t="shared" si="11"/>
        <v>0</v>
      </c>
      <c r="P41" s="272"/>
    </row>
    <row r="42" spans="2:16">
      <c r="B42" s="195" t="str">
        <f t="shared" si="5"/>
        <v/>
      </c>
      <c r="C42" s="507">
        <f>IF(D11="","-",+C41+1)</f>
        <v>2038</v>
      </c>
      <c r="D42" s="523">
        <f>IF(F41+SUM(E$17:E41)=D$10,F41,D$10-SUM(E$17:E41))</f>
        <v>2179569.3000849625</v>
      </c>
      <c r="E42" s="522">
        <f t="shared" si="26"/>
        <v>114739.22727272728</v>
      </c>
      <c r="F42" s="523">
        <f t="shared" si="27"/>
        <v>2064830.0728122352</v>
      </c>
      <c r="G42" s="524">
        <f t="shared" si="28"/>
        <v>368399.66859102168</v>
      </c>
      <c r="H42" s="491">
        <f t="shared" si="29"/>
        <v>368399.66859102168</v>
      </c>
      <c r="I42" s="511">
        <f t="shared" si="6"/>
        <v>0</v>
      </c>
      <c r="J42" s="511"/>
      <c r="K42" s="525"/>
      <c r="L42" s="514">
        <f t="shared" si="30"/>
        <v>0</v>
      </c>
      <c r="M42" s="525"/>
      <c r="N42" s="514">
        <f t="shared" si="10"/>
        <v>0</v>
      </c>
      <c r="O42" s="514">
        <f t="shared" si="11"/>
        <v>0</v>
      </c>
      <c r="P42" s="272"/>
    </row>
    <row r="43" spans="2:16">
      <c r="B43" s="195" t="str">
        <f t="shared" si="5"/>
        <v/>
      </c>
      <c r="C43" s="507">
        <f>IF(D11="","-",+C42+1)</f>
        <v>2039</v>
      </c>
      <c r="D43" s="523">
        <f>IF(F42+SUM(E$17:E42)=D$10,F42,D$10-SUM(E$17:E42))</f>
        <v>2064830.0728122352</v>
      </c>
      <c r="E43" s="522">
        <f t="shared" si="26"/>
        <v>114739.22727272728</v>
      </c>
      <c r="F43" s="523">
        <f t="shared" si="27"/>
        <v>1950090.8455395079</v>
      </c>
      <c r="G43" s="524">
        <f t="shared" si="28"/>
        <v>354685.21786691213</v>
      </c>
      <c r="H43" s="491">
        <f t="shared" si="29"/>
        <v>354685.21786691213</v>
      </c>
      <c r="I43" s="511">
        <f t="shared" si="6"/>
        <v>0</v>
      </c>
      <c r="J43" s="511"/>
      <c r="K43" s="525"/>
      <c r="L43" s="514">
        <f t="shared" si="30"/>
        <v>0</v>
      </c>
      <c r="M43" s="525"/>
      <c r="N43" s="514">
        <f t="shared" si="10"/>
        <v>0</v>
      </c>
      <c r="O43" s="514">
        <f t="shared" si="11"/>
        <v>0</v>
      </c>
      <c r="P43" s="272"/>
    </row>
    <row r="44" spans="2:16">
      <c r="B44" s="195" t="str">
        <f t="shared" si="5"/>
        <v/>
      </c>
      <c r="C44" s="507">
        <f>IF(D11="","-",+C43+1)</f>
        <v>2040</v>
      </c>
      <c r="D44" s="523">
        <f>IF(F43+SUM(E$17:E43)=D$10,F43,D$10-SUM(E$17:E43))</f>
        <v>1950090.8455395079</v>
      </c>
      <c r="E44" s="522">
        <f t="shared" si="26"/>
        <v>114739.22727272728</v>
      </c>
      <c r="F44" s="523">
        <f t="shared" si="27"/>
        <v>1835351.6182667806</v>
      </c>
      <c r="G44" s="524">
        <f t="shared" si="28"/>
        <v>340970.76714280254</v>
      </c>
      <c r="H44" s="491">
        <f t="shared" si="29"/>
        <v>340970.76714280254</v>
      </c>
      <c r="I44" s="511">
        <f t="shared" si="6"/>
        <v>0</v>
      </c>
      <c r="J44" s="511"/>
      <c r="K44" s="525"/>
      <c r="L44" s="514">
        <f t="shared" si="30"/>
        <v>0</v>
      </c>
      <c r="M44" s="525"/>
      <c r="N44" s="514">
        <f t="shared" si="10"/>
        <v>0</v>
      </c>
      <c r="O44" s="514">
        <f t="shared" si="11"/>
        <v>0</v>
      </c>
      <c r="P44" s="272"/>
    </row>
    <row r="45" spans="2:16">
      <c r="B45" s="195" t="str">
        <f t="shared" si="5"/>
        <v/>
      </c>
      <c r="C45" s="507">
        <f>IF(D11="","-",+C44+1)</f>
        <v>2041</v>
      </c>
      <c r="D45" s="523">
        <f>IF(F44+SUM(E$17:E44)=D$10,F44,D$10-SUM(E$17:E44))</f>
        <v>1835351.6182667806</v>
      </c>
      <c r="E45" s="522">
        <f t="shared" si="26"/>
        <v>114739.22727272728</v>
      </c>
      <c r="F45" s="523">
        <f t="shared" si="27"/>
        <v>1720612.3909940533</v>
      </c>
      <c r="G45" s="524">
        <f t="shared" si="28"/>
        <v>327256.31641869299</v>
      </c>
      <c r="H45" s="491">
        <f t="shared" si="29"/>
        <v>327256.31641869299</v>
      </c>
      <c r="I45" s="511">
        <f t="shared" si="6"/>
        <v>0</v>
      </c>
      <c r="J45" s="511"/>
      <c r="K45" s="525"/>
      <c r="L45" s="514">
        <f t="shared" si="30"/>
        <v>0</v>
      </c>
      <c r="M45" s="525"/>
      <c r="N45" s="514">
        <f t="shared" si="10"/>
        <v>0</v>
      </c>
      <c r="O45" s="514">
        <f t="shared" si="11"/>
        <v>0</v>
      </c>
      <c r="P45" s="272"/>
    </row>
    <row r="46" spans="2:16">
      <c r="B46" s="195" t="str">
        <f t="shared" si="5"/>
        <v/>
      </c>
      <c r="C46" s="507">
        <f>IF(D11="","-",+C45+1)</f>
        <v>2042</v>
      </c>
      <c r="D46" s="523">
        <f>IF(F45+SUM(E$17:E45)=D$10,F45,D$10-SUM(E$17:E45))</f>
        <v>1720612.3909940533</v>
      </c>
      <c r="E46" s="522">
        <f t="shared" si="26"/>
        <v>114739.22727272728</v>
      </c>
      <c r="F46" s="523">
        <f t="shared" si="27"/>
        <v>1605873.163721326</v>
      </c>
      <c r="G46" s="524">
        <f t="shared" si="28"/>
        <v>313541.86569458339</v>
      </c>
      <c r="H46" s="491">
        <f t="shared" si="29"/>
        <v>313541.86569458339</v>
      </c>
      <c r="I46" s="511">
        <f t="shared" si="6"/>
        <v>0</v>
      </c>
      <c r="J46" s="511"/>
      <c r="K46" s="525"/>
      <c r="L46" s="514">
        <f t="shared" si="30"/>
        <v>0</v>
      </c>
      <c r="M46" s="525"/>
      <c r="N46" s="514">
        <f t="shared" si="10"/>
        <v>0</v>
      </c>
      <c r="O46" s="514">
        <f t="shared" si="11"/>
        <v>0</v>
      </c>
      <c r="P46" s="272"/>
    </row>
    <row r="47" spans="2:16">
      <c r="B47" s="195" t="str">
        <f t="shared" si="5"/>
        <v/>
      </c>
      <c r="C47" s="507">
        <f>IF(D11="","-",+C46+1)</f>
        <v>2043</v>
      </c>
      <c r="D47" s="523">
        <f>IF(F46+SUM(E$17:E46)=D$10,F46,D$10-SUM(E$17:E46))</f>
        <v>1605873.163721326</v>
      </c>
      <c r="E47" s="522">
        <f t="shared" si="26"/>
        <v>114739.22727272728</v>
      </c>
      <c r="F47" s="523">
        <f t="shared" si="27"/>
        <v>1491133.9364485987</v>
      </c>
      <c r="G47" s="524">
        <f t="shared" si="28"/>
        <v>299827.41497047385</v>
      </c>
      <c r="H47" s="491">
        <f t="shared" si="29"/>
        <v>299827.41497047385</v>
      </c>
      <c r="I47" s="511">
        <f t="shared" si="6"/>
        <v>0</v>
      </c>
      <c r="J47" s="511"/>
      <c r="K47" s="525"/>
      <c r="L47" s="514">
        <f t="shared" si="30"/>
        <v>0</v>
      </c>
      <c r="M47" s="525"/>
      <c r="N47" s="514">
        <f t="shared" si="10"/>
        <v>0</v>
      </c>
      <c r="O47" s="514">
        <f t="shared" si="11"/>
        <v>0</v>
      </c>
      <c r="P47" s="272"/>
    </row>
    <row r="48" spans="2:16">
      <c r="B48" s="195" t="str">
        <f t="shared" si="5"/>
        <v/>
      </c>
      <c r="C48" s="507">
        <f>IF(D11="","-",+C47+1)</f>
        <v>2044</v>
      </c>
      <c r="D48" s="523">
        <f>IF(F47+SUM(E$17:E47)=D$10,F47,D$10-SUM(E$17:E47))</f>
        <v>1491133.9364485987</v>
      </c>
      <c r="E48" s="522">
        <f t="shared" si="26"/>
        <v>114739.22727272728</v>
      </c>
      <c r="F48" s="523">
        <f t="shared" si="27"/>
        <v>1376394.7091758715</v>
      </c>
      <c r="G48" s="524">
        <f t="shared" si="28"/>
        <v>286112.96424636425</v>
      </c>
      <c r="H48" s="491">
        <f t="shared" si="29"/>
        <v>286112.96424636425</v>
      </c>
      <c r="I48" s="511">
        <f t="shared" si="6"/>
        <v>0</v>
      </c>
      <c r="J48" s="511"/>
      <c r="K48" s="525"/>
      <c r="L48" s="514">
        <f t="shared" si="30"/>
        <v>0</v>
      </c>
      <c r="M48" s="525"/>
      <c r="N48" s="514">
        <f t="shared" si="10"/>
        <v>0</v>
      </c>
      <c r="O48" s="514">
        <f t="shared" si="11"/>
        <v>0</v>
      </c>
      <c r="P48" s="272"/>
    </row>
    <row r="49" spans="2:17">
      <c r="B49" s="195" t="str">
        <f t="shared" si="5"/>
        <v/>
      </c>
      <c r="C49" s="507">
        <f>IF(D11="","-",+C48+1)</f>
        <v>2045</v>
      </c>
      <c r="D49" s="523">
        <f>IF(F48+SUM(E$17:E48)=D$10,F48,D$10-SUM(E$17:E48))</f>
        <v>1376394.7091758715</v>
      </c>
      <c r="E49" s="522">
        <f t="shared" si="26"/>
        <v>114739.22727272728</v>
      </c>
      <c r="F49" s="523">
        <f t="shared" si="27"/>
        <v>1261655.4819031442</v>
      </c>
      <c r="G49" s="524">
        <f t="shared" si="28"/>
        <v>272398.51352225471</v>
      </c>
      <c r="H49" s="491">
        <f t="shared" si="29"/>
        <v>272398.51352225471</v>
      </c>
      <c r="I49" s="511">
        <f t="shared" si="6"/>
        <v>0</v>
      </c>
      <c r="J49" s="511"/>
      <c r="K49" s="525"/>
      <c r="L49" s="514">
        <f t="shared" si="30"/>
        <v>0</v>
      </c>
      <c r="M49" s="525"/>
      <c r="N49" s="514">
        <f t="shared" si="10"/>
        <v>0</v>
      </c>
      <c r="O49" s="514">
        <f t="shared" si="11"/>
        <v>0</v>
      </c>
      <c r="P49" s="272"/>
    </row>
    <row r="50" spans="2:17">
      <c r="B50" s="195" t="str">
        <f t="shared" si="5"/>
        <v/>
      </c>
      <c r="C50" s="507">
        <f>IF(D11="","-",+C49+1)</f>
        <v>2046</v>
      </c>
      <c r="D50" s="523">
        <f>IF(F49+SUM(E$17:E49)=D$10,F49,D$10-SUM(E$17:E49))</f>
        <v>1261655.4819031442</v>
      </c>
      <c r="E50" s="522">
        <f t="shared" si="26"/>
        <v>114739.22727272728</v>
      </c>
      <c r="F50" s="523">
        <f t="shared" si="27"/>
        <v>1146916.2546304169</v>
      </c>
      <c r="G50" s="524">
        <f t="shared" si="28"/>
        <v>258684.06279814511</v>
      </c>
      <c r="H50" s="491">
        <f t="shared" si="29"/>
        <v>258684.06279814511</v>
      </c>
      <c r="I50" s="511">
        <f t="shared" si="6"/>
        <v>0</v>
      </c>
      <c r="J50" s="511"/>
      <c r="K50" s="525"/>
      <c r="L50" s="514">
        <f t="shared" si="30"/>
        <v>0</v>
      </c>
      <c r="M50" s="525"/>
      <c r="N50" s="514">
        <f t="shared" si="10"/>
        <v>0</v>
      </c>
      <c r="O50" s="514">
        <f t="shared" si="11"/>
        <v>0</v>
      </c>
      <c r="P50" s="272"/>
    </row>
    <row r="51" spans="2:17">
      <c r="B51" s="195" t="str">
        <f t="shared" si="5"/>
        <v/>
      </c>
      <c r="C51" s="507">
        <f>IF(D11="","-",+C50+1)</f>
        <v>2047</v>
      </c>
      <c r="D51" s="523">
        <f>IF(F50+SUM(E$17:E50)=D$10,F50,D$10-SUM(E$17:E50))</f>
        <v>1146916.2546304169</v>
      </c>
      <c r="E51" s="522">
        <f t="shared" si="26"/>
        <v>114739.22727272728</v>
      </c>
      <c r="F51" s="523">
        <f t="shared" si="27"/>
        <v>1032177.0273576896</v>
      </c>
      <c r="G51" s="524">
        <f t="shared" si="28"/>
        <v>244969.61207403557</v>
      </c>
      <c r="H51" s="491">
        <f t="shared" si="29"/>
        <v>244969.61207403557</v>
      </c>
      <c r="I51" s="511">
        <f t="shared" si="6"/>
        <v>0</v>
      </c>
      <c r="J51" s="511"/>
      <c r="K51" s="525"/>
      <c r="L51" s="514">
        <f t="shared" si="30"/>
        <v>0</v>
      </c>
      <c r="M51" s="525"/>
      <c r="N51" s="514">
        <f t="shared" si="10"/>
        <v>0</v>
      </c>
      <c r="O51" s="514">
        <f t="shared" si="11"/>
        <v>0</v>
      </c>
      <c r="P51" s="272"/>
    </row>
    <row r="52" spans="2:17">
      <c r="B52" s="195" t="str">
        <f t="shared" si="5"/>
        <v/>
      </c>
      <c r="C52" s="507">
        <f>IF(D11="","-",+C51+1)</f>
        <v>2048</v>
      </c>
      <c r="D52" s="523">
        <f>IF(F51+SUM(E$17:E51)=D$10,F51,D$10-SUM(E$17:E51))</f>
        <v>1032177.0273576896</v>
      </c>
      <c r="E52" s="522">
        <f t="shared" si="26"/>
        <v>114739.22727272728</v>
      </c>
      <c r="F52" s="523">
        <f t="shared" si="27"/>
        <v>917437.80008496228</v>
      </c>
      <c r="G52" s="524">
        <f t="shared" si="28"/>
        <v>231255.161349926</v>
      </c>
      <c r="H52" s="491">
        <f t="shared" si="29"/>
        <v>231255.161349926</v>
      </c>
      <c r="I52" s="511">
        <f t="shared" si="6"/>
        <v>0</v>
      </c>
      <c r="J52" s="511"/>
      <c r="K52" s="525"/>
      <c r="L52" s="514">
        <f t="shared" si="30"/>
        <v>0</v>
      </c>
      <c r="M52" s="525"/>
      <c r="N52" s="514">
        <f t="shared" si="10"/>
        <v>0</v>
      </c>
      <c r="O52" s="514">
        <f t="shared" si="11"/>
        <v>0</v>
      </c>
      <c r="P52" s="272"/>
    </row>
    <row r="53" spans="2:17">
      <c r="B53" s="195" t="str">
        <f t="shared" si="5"/>
        <v/>
      </c>
      <c r="C53" s="507">
        <f>IF(D11="","-",+C52+1)</f>
        <v>2049</v>
      </c>
      <c r="D53" s="523">
        <f>IF(F52+SUM(E$17:E52)=D$10,F52,D$10-SUM(E$17:E52))</f>
        <v>917437.80008496228</v>
      </c>
      <c r="E53" s="522">
        <f t="shared" si="26"/>
        <v>114739.22727272728</v>
      </c>
      <c r="F53" s="523">
        <f t="shared" si="27"/>
        <v>802698.57281223498</v>
      </c>
      <c r="G53" s="524">
        <f t="shared" ref="G53:G72" si="31">+I$12*((D53+F53)/2)+E53</f>
        <v>217540.71062581643</v>
      </c>
      <c r="H53" s="491">
        <f t="shared" ref="H53:H72" si="32">+I$13*((D53+F53)/2)+E53</f>
        <v>217540.71062581643</v>
      </c>
      <c r="I53" s="511">
        <f t="shared" si="6"/>
        <v>0</v>
      </c>
      <c r="J53" s="511"/>
      <c r="K53" s="525"/>
      <c r="L53" s="514">
        <f t="shared" si="30"/>
        <v>0</v>
      </c>
      <c r="M53" s="525"/>
      <c r="N53" s="514">
        <f t="shared" si="10"/>
        <v>0</v>
      </c>
      <c r="O53" s="514">
        <f t="shared" si="11"/>
        <v>0</v>
      </c>
      <c r="P53" s="272"/>
    </row>
    <row r="54" spans="2:17">
      <c r="B54" s="195" t="str">
        <f t="shared" si="5"/>
        <v/>
      </c>
      <c r="C54" s="507">
        <f>IF(D11="","-",+C53+1)</f>
        <v>2050</v>
      </c>
      <c r="D54" s="523">
        <f>IF(F53+SUM(E$17:E53)=D$10,F53,D$10-SUM(E$17:E53))</f>
        <v>802698.57281223498</v>
      </c>
      <c r="E54" s="522">
        <f t="shared" si="26"/>
        <v>114739.22727272728</v>
      </c>
      <c r="F54" s="523">
        <f t="shared" si="27"/>
        <v>687959.34553950769</v>
      </c>
      <c r="G54" s="524">
        <f t="shared" si="31"/>
        <v>203826.25990170686</v>
      </c>
      <c r="H54" s="491">
        <f t="shared" si="32"/>
        <v>203826.25990170686</v>
      </c>
      <c r="I54" s="511">
        <f t="shared" si="6"/>
        <v>0</v>
      </c>
      <c r="J54" s="511"/>
      <c r="K54" s="525"/>
      <c r="L54" s="514">
        <f t="shared" si="30"/>
        <v>0</v>
      </c>
      <c r="M54" s="525"/>
      <c r="N54" s="514">
        <f t="shared" si="10"/>
        <v>0</v>
      </c>
      <c r="O54" s="514">
        <f t="shared" si="11"/>
        <v>0</v>
      </c>
      <c r="P54" s="272"/>
    </row>
    <row r="55" spans="2:17">
      <c r="B55" s="195" t="str">
        <f t="shared" si="5"/>
        <v/>
      </c>
      <c r="C55" s="507">
        <f>IF(D11="","-",+C54+1)</f>
        <v>2051</v>
      </c>
      <c r="D55" s="523">
        <f>IF(F54+SUM(E$17:E54)=D$10,F54,D$10-SUM(E$17:E54))</f>
        <v>687959.34553950769</v>
      </c>
      <c r="E55" s="522">
        <f t="shared" si="26"/>
        <v>114739.22727272728</v>
      </c>
      <c r="F55" s="523">
        <f t="shared" si="27"/>
        <v>573220.1182667804</v>
      </c>
      <c r="G55" s="524">
        <f t="shared" si="31"/>
        <v>190111.80917759729</v>
      </c>
      <c r="H55" s="491">
        <f t="shared" si="32"/>
        <v>190111.80917759729</v>
      </c>
      <c r="I55" s="511">
        <f t="shared" si="6"/>
        <v>0</v>
      </c>
      <c r="J55" s="511"/>
      <c r="K55" s="525"/>
      <c r="L55" s="514">
        <f t="shared" si="30"/>
        <v>0</v>
      </c>
      <c r="M55" s="525"/>
      <c r="N55" s="514">
        <f t="shared" si="10"/>
        <v>0</v>
      </c>
      <c r="O55" s="514">
        <f t="shared" si="11"/>
        <v>0</v>
      </c>
      <c r="P55" s="272"/>
    </row>
    <row r="56" spans="2:17">
      <c r="B56" s="195" t="str">
        <f t="shared" si="5"/>
        <v/>
      </c>
      <c r="C56" s="507">
        <f>IF(D11="","-",+C55+1)</f>
        <v>2052</v>
      </c>
      <c r="D56" s="523">
        <f>IF(F55+SUM(E$17:E55)=D$10,F55,D$10-SUM(E$17:E55))</f>
        <v>573220.1182667804</v>
      </c>
      <c r="E56" s="522">
        <f t="shared" si="26"/>
        <v>114739.22727272728</v>
      </c>
      <c r="F56" s="523">
        <f t="shared" si="27"/>
        <v>458480.8909940531</v>
      </c>
      <c r="G56" s="524">
        <f t="shared" si="31"/>
        <v>176397.35845348772</v>
      </c>
      <c r="H56" s="491">
        <f t="shared" si="32"/>
        <v>176397.35845348772</v>
      </c>
      <c r="I56" s="511">
        <f t="shared" si="6"/>
        <v>0</v>
      </c>
      <c r="J56" s="511"/>
      <c r="K56" s="525"/>
      <c r="L56" s="514">
        <f t="shared" si="30"/>
        <v>0</v>
      </c>
      <c r="M56" s="525"/>
      <c r="N56" s="514">
        <f t="shared" si="10"/>
        <v>0</v>
      </c>
      <c r="O56" s="514">
        <f t="shared" si="11"/>
        <v>0</v>
      </c>
      <c r="P56" s="272"/>
    </row>
    <row r="57" spans="2:17">
      <c r="B57" s="195" t="str">
        <f t="shared" si="5"/>
        <v/>
      </c>
      <c r="C57" s="507">
        <f>IF(D11="","-",+C56+1)</f>
        <v>2053</v>
      </c>
      <c r="D57" s="523">
        <f>IF(F56+SUM(E$17:E56)=D$10,F56,D$10-SUM(E$17:E56))</f>
        <v>458480.8909940531</v>
      </c>
      <c r="E57" s="522">
        <f t="shared" si="26"/>
        <v>114739.22727272728</v>
      </c>
      <c r="F57" s="523">
        <f t="shared" si="27"/>
        <v>343741.66372132581</v>
      </c>
      <c r="G57" s="524">
        <f t="shared" si="31"/>
        <v>162682.90772937814</v>
      </c>
      <c r="H57" s="491">
        <f t="shared" si="32"/>
        <v>162682.90772937814</v>
      </c>
      <c r="I57" s="511">
        <f t="shared" si="6"/>
        <v>0</v>
      </c>
      <c r="J57" s="511"/>
      <c r="K57" s="525"/>
      <c r="L57" s="514">
        <f t="shared" si="30"/>
        <v>0</v>
      </c>
      <c r="M57" s="525"/>
      <c r="N57" s="514">
        <f t="shared" si="10"/>
        <v>0</v>
      </c>
      <c r="O57" s="514">
        <f t="shared" si="11"/>
        <v>0</v>
      </c>
      <c r="P57" s="272"/>
    </row>
    <row r="58" spans="2:17">
      <c r="B58" s="195" t="str">
        <f t="shared" si="5"/>
        <v/>
      </c>
      <c r="C58" s="507">
        <f>IF(D11="","-",+C57+1)</f>
        <v>2054</v>
      </c>
      <c r="D58" s="523">
        <f>IF(F57+SUM(E$17:E57)=D$10,F57,D$10-SUM(E$17:E57))</f>
        <v>343741.66372132581</v>
      </c>
      <c r="E58" s="522">
        <f t="shared" si="26"/>
        <v>114739.22727272728</v>
      </c>
      <c r="F58" s="523">
        <f t="shared" si="27"/>
        <v>229002.43644859851</v>
      </c>
      <c r="G58" s="524">
        <f t="shared" si="31"/>
        <v>148968.45700526857</v>
      </c>
      <c r="H58" s="491">
        <f t="shared" si="32"/>
        <v>148968.45700526857</v>
      </c>
      <c r="I58" s="511">
        <f t="shared" si="6"/>
        <v>0</v>
      </c>
      <c r="J58" s="511"/>
      <c r="K58" s="525"/>
      <c r="L58" s="514">
        <f t="shared" si="30"/>
        <v>0</v>
      </c>
      <c r="M58" s="525"/>
      <c r="N58" s="514">
        <f t="shared" si="10"/>
        <v>0</v>
      </c>
      <c r="O58" s="514">
        <f t="shared" si="11"/>
        <v>0</v>
      </c>
      <c r="P58" s="272"/>
      <c r="Q58" s="183" t="str">
        <f>IF(ROUND(Q57,0)=ROUND(SUM(Q18:Q56),0),"","Error -- check allocations above).")</f>
        <v/>
      </c>
    </row>
    <row r="59" spans="2:17">
      <c r="B59" s="195" t="str">
        <f t="shared" si="5"/>
        <v/>
      </c>
      <c r="C59" s="507">
        <f>IF(D11="","-",+C58+1)</f>
        <v>2055</v>
      </c>
      <c r="D59" s="523">
        <f>IF(F58+SUM(E$17:E58)=D$10,F58,D$10-SUM(E$17:E58))</f>
        <v>229002.43644859851</v>
      </c>
      <c r="E59" s="522">
        <f t="shared" si="26"/>
        <v>114739.22727272728</v>
      </c>
      <c r="F59" s="523">
        <f t="shared" si="27"/>
        <v>114263.20917587123</v>
      </c>
      <c r="G59" s="524">
        <f t="shared" si="31"/>
        <v>135254.006281159</v>
      </c>
      <c r="H59" s="491">
        <f t="shared" si="32"/>
        <v>135254.006281159</v>
      </c>
      <c r="I59" s="511">
        <f t="shared" si="6"/>
        <v>0</v>
      </c>
      <c r="J59" s="511"/>
      <c r="K59" s="525"/>
      <c r="L59" s="514">
        <f t="shared" si="30"/>
        <v>0</v>
      </c>
      <c r="M59" s="525"/>
      <c r="N59" s="514">
        <f t="shared" si="10"/>
        <v>0</v>
      </c>
      <c r="O59" s="514">
        <f t="shared" si="11"/>
        <v>0</v>
      </c>
      <c r="P59" s="272"/>
    </row>
    <row r="60" spans="2:17">
      <c r="B60" s="195" t="str">
        <f t="shared" si="5"/>
        <v/>
      </c>
      <c r="C60" s="507">
        <f>IF(D11="","-",+C59+1)</f>
        <v>2056</v>
      </c>
      <c r="D60" s="523">
        <f>IF(F59+SUM(E$17:E59)=D$10,F59,D$10-SUM(E$17:E59))</f>
        <v>114263.20917587123</v>
      </c>
      <c r="E60" s="522">
        <f t="shared" si="26"/>
        <v>114263.20917587123</v>
      </c>
      <c r="F60" s="523">
        <f t="shared" si="27"/>
        <v>0</v>
      </c>
      <c r="G60" s="524">
        <f t="shared" si="31"/>
        <v>121091.9859990597</v>
      </c>
      <c r="H60" s="491">
        <f t="shared" si="32"/>
        <v>121091.9859990597</v>
      </c>
      <c r="I60" s="511">
        <f t="shared" si="6"/>
        <v>0</v>
      </c>
      <c r="J60" s="511"/>
      <c r="K60" s="525"/>
      <c r="L60" s="514">
        <f t="shared" si="30"/>
        <v>0</v>
      </c>
      <c r="M60" s="525"/>
      <c r="N60" s="514">
        <f t="shared" si="10"/>
        <v>0</v>
      </c>
      <c r="O60" s="514">
        <f t="shared" si="11"/>
        <v>0</v>
      </c>
      <c r="P60" s="272"/>
    </row>
    <row r="61" spans="2:17">
      <c r="B61" s="195" t="str">
        <f t="shared" si="5"/>
        <v/>
      </c>
      <c r="C61" s="507">
        <f>IF(D11="","-",+C60+1)</f>
        <v>2057</v>
      </c>
      <c r="D61" s="523">
        <f>IF(F60+SUM(E$17:E60)=D$10,F60,D$10-SUM(E$17:E60))</f>
        <v>0</v>
      </c>
      <c r="E61" s="522">
        <f t="shared" si="26"/>
        <v>0</v>
      </c>
      <c r="F61" s="523">
        <f t="shared" si="27"/>
        <v>0</v>
      </c>
      <c r="G61" s="524">
        <f t="shared" si="31"/>
        <v>0</v>
      </c>
      <c r="H61" s="491">
        <f t="shared" si="32"/>
        <v>0</v>
      </c>
      <c r="I61" s="511">
        <f t="shared" si="6"/>
        <v>0</v>
      </c>
      <c r="J61" s="511"/>
      <c r="K61" s="525"/>
      <c r="L61" s="514">
        <f t="shared" si="30"/>
        <v>0</v>
      </c>
      <c r="M61" s="525"/>
      <c r="N61" s="514">
        <f t="shared" si="10"/>
        <v>0</v>
      </c>
      <c r="O61" s="514">
        <f t="shared" si="11"/>
        <v>0</v>
      </c>
      <c r="P61" s="272"/>
    </row>
    <row r="62" spans="2:17">
      <c r="B62" s="195" t="str">
        <f t="shared" si="5"/>
        <v/>
      </c>
      <c r="C62" s="507">
        <f>IF(D11="","-",+C61+1)</f>
        <v>2058</v>
      </c>
      <c r="D62" s="523">
        <f>IF(F61+SUM(E$17:E61)=D$10,F61,D$10-SUM(E$17:E61))</f>
        <v>0</v>
      </c>
      <c r="E62" s="522">
        <f t="shared" si="26"/>
        <v>0</v>
      </c>
      <c r="F62" s="523">
        <f t="shared" si="27"/>
        <v>0</v>
      </c>
      <c r="G62" s="524">
        <f t="shared" si="31"/>
        <v>0</v>
      </c>
      <c r="H62" s="491">
        <f t="shared" si="32"/>
        <v>0</v>
      </c>
      <c r="I62" s="511">
        <f t="shared" si="6"/>
        <v>0</v>
      </c>
      <c r="J62" s="511"/>
      <c r="K62" s="525"/>
      <c r="L62" s="514">
        <f t="shared" si="30"/>
        <v>0</v>
      </c>
      <c r="M62" s="525"/>
      <c r="N62" s="514">
        <f t="shared" si="10"/>
        <v>0</v>
      </c>
      <c r="O62" s="514">
        <f t="shared" si="11"/>
        <v>0</v>
      </c>
      <c r="P62" s="272"/>
    </row>
    <row r="63" spans="2:17">
      <c r="B63" s="195" t="str">
        <f t="shared" si="5"/>
        <v/>
      </c>
      <c r="C63" s="507">
        <f>IF(D11="","-",+C62+1)</f>
        <v>2059</v>
      </c>
      <c r="D63" s="523">
        <f>IF(F62+SUM(E$17:E62)=D$10,F62,D$10-SUM(E$17:E62))</f>
        <v>0</v>
      </c>
      <c r="E63" s="522">
        <f t="shared" si="26"/>
        <v>0</v>
      </c>
      <c r="F63" s="523">
        <f t="shared" si="27"/>
        <v>0</v>
      </c>
      <c r="G63" s="524">
        <f t="shared" si="31"/>
        <v>0</v>
      </c>
      <c r="H63" s="491">
        <f t="shared" si="32"/>
        <v>0</v>
      </c>
      <c r="I63" s="511">
        <f t="shared" si="6"/>
        <v>0</v>
      </c>
      <c r="J63" s="511"/>
      <c r="K63" s="525"/>
      <c r="L63" s="514">
        <f t="shared" si="30"/>
        <v>0</v>
      </c>
      <c r="M63" s="525"/>
      <c r="N63" s="514">
        <f t="shared" si="10"/>
        <v>0</v>
      </c>
      <c r="O63" s="514">
        <f t="shared" si="11"/>
        <v>0</v>
      </c>
      <c r="P63" s="272"/>
    </row>
    <row r="64" spans="2:17">
      <c r="B64" s="195" t="str">
        <f t="shared" si="5"/>
        <v/>
      </c>
      <c r="C64" s="507">
        <f>IF(D11="","-",+C63+1)</f>
        <v>2060</v>
      </c>
      <c r="D64" s="523">
        <f>IF(F63+SUM(E$17:E63)=D$10,F63,D$10-SUM(E$17:E63))</f>
        <v>0</v>
      </c>
      <c r="E64" s="522">
        <f t="shared" si="26"/>
        <v>0</v>
      </c>
      <c r="F64" s="523">
        <f t="shared" si="27"/>
        <v>0</v>
      </c>
      <c r="G64" s="524">
        <f t="shared" si="31"/>
        <v>0</v>
      </c>
      <c r="H64" s="491">
        <f t="shared" si="32"/>
        <v>0</v>
      </c>
      <c r="I64" s="511">
        <f t="shared" si="6"/>
        <v>0</v>
      </c>
      <c r="J64" s="511"/>
      <c r="K64" s="525"/>
      <c r="L64" s="514">
        <f t="shared" si="30"/>
        <v>0</v>
      </c>
      <c r="M64" s="525"/>
      <c r="N64" s="514">
        <f t="shared" si="10"/>
        <v>0</v>
      </c>
      <c r="O64" s="514">
        <f t="shared" si="11"/>
        <v>0</v>
      </c>
      <c r="P64" s="272"/>
    </row>
    <row r="65" spans="2:16">
      <c r="B65" s="195" t="str">
        <f t="shared" si="5"/>
        <v/>
      </c>
      <c r="C65" s="507">
        <f>IF(D11="","-",+C64+1)</f>
        <v>2061</v>
      </c>
      <c r="D65" s="523">
        <f>IF(F64+SUM(E$17:E64)=D$10,F64,D$10-SUM(E$17:E64))</f>
        <v>0</v>
      </c>
      <c r="E65" s="522">
        <f t="shared" si="26"/>
        <v>0</v>
      </c>
      <c r="F65" s="523">
        <f t="shared" si="27"/>
        <v>0</v>
      </c>
      <c r="G65" s="524">
        <f t="shared" si="31"/>
        <v>0</v>
      </c>
      <c r="H65" s="491">
        <f t="shared" si="32"/>
        <v>0</v>
      </c>
      <c r="I65" s="511">
        <f t="shared" si="6"/>
        <v>0</v>
      </c>
      <c r="J65" s="511"/>
      <c r="K65" s="525"/>
      <c r="L65" s="514">
        <f t="shared" si="30"/>
        <v>0</v>
      </c>
      <c r="M65" s="525"/>
      <c r="N65" s="514">
        <f t="shared" si="10"/>
        <v>0</v>
      </c>
      <c r="O65" s="514">
        <f t="shared" si="11"/>
        <v>0</v>
      </c>
      <c r="P65" s="272"/>
    </row>
    <row r="66" spans="2:16">
      <c r="B66" s="195" t="str">
        <f t="shared" si="5"/>
        <v/>
      </c>
      <c r="C66" s="507">
        <f>IF(D11="","-",+C65+1)</f>
        <v>2062</v>
      </c>
      <c r="D66" s="523">
        <f>IF(F65+SUM(E$17:E65)=D$10,F65,D$10-SUM(E$17:E65))</f>
        <v>0</v>
      </c>
      <c r="E66" s="522">
        <f t="shared" si="26"/>
        <v>0</v>
      </c>
      <c r="F66" s="523">
        <f t="shared" si="27"/>
        <v>0</v>
      </c>
      <c r="G66" s="524">
        <f t="shared" si="31"/>
        <v>0</v>
      </c>
      <c r="H66" s="491">
        <f t="shared" si="32"/>
        <v>0</v>
      </c>
      <c r="I66" s="511">
        <f t="shared" si="6"/>
        <v>0</v>
      </c>
      <c r="J66" s="511"/>
      <c r="K66" s="525"/>
      <c r="L66" s="514">
        <f t="shared" si="30"/>
        <v>0</v>
      </c>
      <c r="M66" s="525"/>
      <c r="N66" s="514">
        <f t="shared" si="10"/>
        <v>0</v>
      </c>
      <c r="O66" s="514">
        <f t="shared" si="11"/>
        <v>0</v>
      </c>
      <c r="P66" s="272"/>
    </row>
    <row r="67" spans="2:16">
      <c r="B67" s="195" t="str">
        <f t="shared" si="5"/>
        <v/>
      </c>
      <c r="C67" s="507">
        <f>IF(D11="","-",+C66+1)</f>
        <v>2063</v>
      </c>
      <c r="D67" s="523">
        <f>IF(F66+SUM(E$17:E66)=D$10,F66,D$10-SUM(E$17:E66))</f>
        <v>0</v>
      </c>
      <c r="E67" s="522">
        <f t="shared" si="26"/>
        <v>0</v>
      </c>
      <c r="F67" s="523">
        <f t="shared" si="27"/>
        <v>0</v>
      </c>
      <c r="G67" s="524">
        <f t="shared" si="31"/>
        <v>0</v>
      </c>
      <c r="H67" s="491">
        <f t="shared" si="32"/>
        <v>0</v>
      </c>
      <c r="I67" s="511">
        <f t="shared" si="6"/>
        <v>0</v>
      </c>
      <c r="J67" s="511"/>
      <c r="K67" s="525"/>
      <c r="L67" s="514">
        <f t="shared" si="30"/>
        <v>0</v>
      </c>
      <c r="M67" s="525"/>
      <c r="N67" s="514">
        <f t="shared" si="10"/>
        <v>0</v>
      </c>
      <c r="O67" s="514">
        <f t="shared" si="11"/>
        <v>0</v>
      </c>
      <c r="P67" s="272"/>
    </row>
    <row r="68" spans="2:16">
      <c r="B68" s="195" t="str">
        <f t="shared" si="5"/>
        <v/>
      </c>
      <c r="C68" s="507">
        <f>IF(D11="","-",+C67+1)</f>
        <v>2064</v>
      </c>
      <c r="D68" s="523">
        <f>IF(F67+SUM(E$17:E67)=D$10,F67,D$10-SUM(E$17:E67))</f>
        <v>0</v>
      </c>
      <c r="E68" s="522">
        <f t="shared" si="26"/>
        <v>0</v>
      </c>
      <c r="F68" s="523">
        <f t="shared" si="27"/>
        <v>0</v>
      </c>
      <c r="G68" s="524">
        <f t="shared" si="31"/>
        <v>0</v>
      </c>
      <c r="H68" s="491">
        <f t="shared" si="32"/>
        <v>0</v>
      </c>
      <c r="I68" s="511">
        <f t="shared" si="6"/>
        <v>0</v>
      </c>
      <c r="J68" s="511"/>
      <c r="K68" s="525"/>
      <c r="L68" s="514">
        <f t="shared" si="30"/>
        <v>0</v>
      </c>
      <c r="M68" s="525"/>
      <c r="N68" s="514">
        <f t="shared" si="10"/>
        <v>0</v>
      </c>
      <c r="O68" s="514">
        <f t="shared" si="11"/>
        <v>0</v>
      </c>
      <c r="P68" s="272"/>
    </row>
    <row r="69" spans="2:16">
      <c r="B69" s="195" t="str">
        <f t="shared" si="5"/>
        <v/>
      </c>
      <c r="C69" s="507">
        <f>IF(D11="","-",+C68+1)</f>
        <v>2065</v>
      </c>
      <c r="D69" s="523">
        <f>IF(F68+SUM(E$17:E68)=D$10,F68,D$10-SUM(E$17:E68))</f>
        <v>0</v>
      </c>
      <c r="E69" s="522">
        <f t="shared" si="26"/>
        <v>0</v>
      </c>
      <c r="F69" s="523">
        <f t="shared" si="27"/>
        <v>0</v>
      </c>
      <c r="G69" s="524">
        <f t="shared" si="31"/>
        <v>0</v>
      </c>
      <c r="H69" s="491">
        <f t="shared" si="32"/>
        <v>0</v>
      </c>
      <c r="I69" s="511">
        <f t="shared" si="6"/>
        <v>0</v>
      </c>
      <c r="J69" s="511"/>
      <c r="K69" s="525"/>
      <c r="L69" s="514">
        <f t="shared" si="30"/>
        <v>0</v>
      </c>
      <c r="M69" s="525"/>
      <c r="N69" s="514">
        <f t="shared" si="10"/>
        <v>0</v>
      </c>
      <c r="O69" s="514">
        <f t="shared" si="11"/>
        <v>0</v>
      </c>
      <c r="P69" s="272"/>
    </row>
    <row r="70" spans="2:16">
      <c r="B70" s="195" t="str">
        <f t="shared" si="5"/>
        <v/>
      </c>
      <c r="C70" s="507">
        <f>IF(D11="","-",+C69+1)</f>
        <v>2066</v>
      </c>
      <c r="D70" s="523">
        <f>IF(F69+SUM(E$17:E69)=D$10,F69,D$10-SUM(E$17:E69))</f>
        <v>0</v>
      </c>
      <c r="E70" s="522">
        <f t="shared" si="26"/>
        <v>0</v>
      </c>
      <c r="F70" s="523">
        <f t="shared" si="27"/>
        <v>0</v>
      </c>
      <c r="G70" s="524">
        <f t="shared" si="31"/>
        <v>0</v>
      </c>
      <c r="H70" s="491">
        <f t="shared" si="32"/>
        <v>0</v>
      </c>
      <c r="I70" s="511">
        <f t="shared" si="6"/>
        <v>0</v>
      </c>
      <c r="J70" s="511"/>
      <c r="K70" s="525"/>
      <c r="L70" s="514">
        <f t="shared" si="30"/>
        <v>0</v>
      </c>
      <c r="M70" s="525"/>
      <c r="N70" s="514">
        <f t="shared" si="10"/>
        <v>0</v>
      </c>
      <c r="O70" s="514">
        <f t="shared" si="11"/>
        <v>0</v>
      </c>
      <c r="P70" s="272"/>
    </row>
    <row r="71" spans="2:16">
      <c r="B71" s="195" t="str">
        <f t="shared" si="5"/>
        <v/>
      </c>
      <c r="C71" s="507">
        <f>IF(D11="","-",+C70+1)</f>
        <v>2067</v>
      </c>
      <c r="D71" s="523">
        <f>IF(F70+SUM(E$17:E70)=D$10,F70,D$10-SUM(E$17:E70))</f>
        <v>0</v>
      </c>
      <c r="E71" s="522">
        <f t="shared" si="26"/>
        <v>0</v>
      </c>
      <c r="F71" s="523">
        <f t="shared" si="27"/>
        <v>0</v>
      </c>
      <c r="G71" s="524">
        <f t="shared" si="31"/>
        <v>0</v>
      </c>
      <c r="H71" s="491">
        <f t="shared" si="32"/>
        <v>0</v>
      </c>
      <c r="I71" s="511">
        <f t="shared" si="6"/>
        <v>0</v>
      </c>
      <c r="J71" s="511"/>
      <c r="K71" s="525"/>
      <c r="L71" s="514">
        <f t="shared" si="30"/>
        <v>0</v>
      </c>
      <c r="M71" s="525"/>
      <c r="N71" s="514">
        <f t="shared" si="10"/>
        <v>0</v>
      </c>
      <c r="O71" s="514">
        <f t="shared" si="11"/>
        <v>0</v>
      </c>
      <c r="P71" s="272"/>
    </row>
    <row r="72" spans="2:16" ht="13.5" thickBot="1">
      <c r="B72" s="195" t="str">
        <f t="shared" si="5"/>
        <v/>
      </c>
      <c r="C72" s="527">
        <f>IF(D11="","-",+C71+1)</f>
        <v>2068</v>
      </c>
      <c r="D72" s="523">
        <f>IF(F71+SUM(E$17:E71)=D$10,F71,D$10-SUM(E$17:E71))</f>
        <v>0</v>
      </c>
      <c r="E72" s="522">
        <f t="shared" si="26"/>
        <v>0</v>
      </c>
      <c r="F72" s="523">
        <f t="shared" si="27"/>
        <v>0</v>
      </c>
      <c r="G72" s="524">
        <f t="shared" si="31"/>
        <v>0</v>
      </c>
      <c r="H72" s="491">
        <f t="shared" si="32"/>
        <v>0</v>
      </c>
      <c r="I72" s="511">
        <f t="shared" si="6"/>
        <v>0</v>
      </c>
      <c r="J72" s="511"/>
      <c r="K72" s="532"/>
      <c r="L72" s="533">
        <f t="shared" si="30"/>
        <v>0</v>
      </c>
      <c r="M72" s="532"/>
      <c r="N72" s="533">
        <f t="shared" si="10"/>
        <v>0</v>
      </c>
      <c r="O72" s="533">
        <f t="shared" si="11"/>
        <v>0</v>
      </c>
      <c r="P72" s="272"/>
    </row>
    <row r="73" spans="2:16">
      <c r="C73" s="374" t="s">
        <v>78</v>
      </c>
      <c r="D73" s="375"/>
      <c r="E73" s="375">
        <f>SUM(E17:E72)</f>
        <v>5048526.0000000009</v>
      </c>
      <c r="F73" s="375"/>
      <c r="G73" s="375">
        <f>SUM(G17:G72)</f>
        <v>18390799.646727171</v>
      </c>
      <c r="H73" s="375">
        <f>SUM(H17:H72)</f>
        <v>18390799.646727171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2:16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2:16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2:16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2:16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272"/>
      <c r="P77" s="272"/>
    </row>
    <row r="78" spans="2:16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2:16"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  <c r="O79" s="269"/>
      <c r="P79" s="269"/>
    </row>
    <row r="80" spans="2:16" ht="18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7">
      <c r="B81" s="269"/>
      <c r="C81" s="340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7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  <c r="Q82" s="269"/>
    </row>
    <row r="83" spans="1:17" ht="20.25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451" t="str">
        <f ca="1">P1</f>
        <v>SWEPCO Project 37 of 75</v>
      </c>
      <c r="Q83" s="269"/>
    </row>
    <row r="84" spans="1:17" ht="18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538" t="s">
        <v>128</v>
      </c>
      <c r="Q84" s="269"/>
    </row>
    <row r="85" spans="1:17" ht="18.7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  <c r="Q85" s="269"/>
    </row>
    <row r="86" spans="1:17" ht="15.75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2022</v>
      </c>
      <c r="M86" s="541" t="s">
        <v>9</v>
      </c>
      <c r="N86" s="542" t="s">
        <v>159</v>
      </c>
      <c r="O86" s="543" t="s">
        <v>11</v>
      </c>
      <c r="P86" s="269"/>
      <c r="Q86" s="269"/>
    </row>
    <row r="87" spans="1:17" ht="1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391</v>
      </c>
      <c r="M87" s="546">
        <f>IF(J92&lt;D11,0,VLOOKUP(J92,C17:O72,9))</f>
        <v>566181.36123697727</v>
      </c>
      <c r="N87" s="546">
        <f>IF(J92&lt;D11,0,VLOOKUP(J92,C17:O72,11))</f>
        <v>566181.36123697727</v>
      </c>
      <c r="O87" s="547">
        <f>+N87-M87</f>
        <v>0</v>
      </c>
      <c r="P87" s="269"/>
      <c r="Q87" s="269"/>
    </row>
    <row r="88" spans="1:17" ht="15.7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392</v>
      </c>
      <c r="M88" s="550">
        <f>IF(J92&lt;D11,0,VLOOKUP(J92,C99:P154,6))</f>
        <v>586435.71242843394</v>
      </c>
      <c r="N88" s="550">
        <f>IF(J92&lt;D11,0,VLOOKUP(J92,C99:P154,7))</f>
        <v>586435.71242843394</v>
      </c>
      <c r="O88" s="551">
        <f>+N88-M88</f>
        <v>0</v>
      </c>
      <c r="P88" s="269"/>
      <c r="Q88" s="269"/>
    </row>
    <row r="89" spans="1:17" ht="13.5" thickBot="1">
      <c r="C89" s="467" t="s">
        <v>84</v>
      </c>
      <c r="D89" s="552" t="str">
        <f>+D7</f>
        <v>SW Shreveport to Spring Ridge REC 138 kV Line Rebuild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20254.351191456662</v>
      </c>
      <c r="N89" s="555">
        <f>+N88-N87</f>
        <v>20254.351191456662</v>
      </c>
      <c r="O89" s="556">
        <f>+O88-O87</f>
        <v>0</v>
      </c>
      <c r="P89" s="269"/>
      <c r="Q89" s="269"/>
    </row>
    <row r="90" spans="1:17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  <c r="Q90" s="269"/>
    </row>
    <row r="91" spans="1:17" ht="13.5" thickBot="1">
      <c r="A91" s="191"/>
      <c r="C91" s="558" t="s">
        <v>85</v>
      </c>
      <c r="D91" s="559" t="str">
        <f>+D9</f>
        <v>TP2010066</v>
      </c>
      <c r="E91" s="560"/>
      <c r="F91" s="560"/>
      <c r="G91" s="560"/>
      <c r="H91" s="560"/>
      <c r="I91" s="560"/>
      <c r="J91" s="560"/>
      <c r="K91" s="562"/>
      <c r="P91" s="481"/>
      <c r="Q91" s="269"/>
    </row>
    <row r="92" spans="1:17">
      <c r="C92" s="486" t="s">
        <v>51</v>
      </c>
      <c r="D92" s="628">
        <f>D10</f>
        <v>5048526</v>
      </c>
      <c r="E92" s="340" t="s">
        <v>86</v>
      </c>
      <c r="H92" s="484"/>
      <c r="I92" s="484"/>
      <c r="J92" s="485">
        <f>+'SWE.WS.G.BPU.ATRR.True-up'!M16</f>
        <v>2022</v>
      </c>
      <c r="K92" s="480"/>
      <c r="L92" s="375" t="s">
        <v>87</v>
      </c>
      <c r="P92" s="272"/>
      <c r="Q92" s="269"/>
    </row>
    <row r="93" spans="1:17">
      <c r="C93" s="486" t="s">
        <v>54</v>
      </c>
      <c r="D93" s="636" t="s">
        <v>369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  <c r="Q93" s="269"/>
    </row>
    <row r="94" spans="1:17">
      <c r="C94" s="486" t="s">
        <v>56</v>
      </c>
      <c r="D94" s="564">
        <f>D12</f>
        <v>6</v>
      </c>
      <c r="E94" s="486" t="s">
        <v>57</v>
      </c>
      <c r="F94" s="484"/>
      <c r="G94" s="484"/>
      <c r="J94" s="490">
        <f>'SWE.WS.G.BPU.ATRR.True-up'!$F$81</f>
        <v>0.11351422637179906</v>
      </c>
      <c r="K94" s="425"/>
      <c r="L94" s="183" t="s">
        <v>88</v>
      </c>
      <c r="P94" s="272"/>
      <c r="Q94" s="269"/>
    </row>
    <row r="95" spans="1:17">
      <c r="C95" s="486" t="s">
        <v>59</v>
      </c>
      <c r="D95" s="488">
        <f>'SWE.WS.G.BPU.ATRR.True-up'!F$93</f>
        <v>41</v>
      </c>
      <c r="E95" s="486" t="s">
        <v>60</v>
      </c>
      <c r="F95" s="484"/>
      <c r="G95" s="484"/>
      <c r="J95" s="490">
        <f>IF(H87="",J94,'SWE.WS.G.BPU.ATRR.True-up'!$F$80)</f>
        <v>0.11351422637179906</v>
      </c>
      <c r="K95" s="324"/>
      <c r="L95" s="375" t="s">
        <v>61</v>
      </c>
      <c r="M95" s="324"/>
      <c r="N95" s="324"/>
      <c r="O95" s="324"/>
      <c r="P95" s="272"/>
      <c r="Q95" s="269"/>
    </row>
    <row r="96" spans="1:17" ht="13.5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123134.78048780488</v>
      </c>
      <c r="K96" s="375"/>
      <c r="L96" s="375"/>
      <c r="M96" s="375"/>
      <c r="N96" s="375"/>
      <c r="O96" s="375"/>
      <c r="P96" s="272"/>
      <c r="Q96" s="269"/>
    </row>
    <row r="97" spans="1:17" ht="38.25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388</v>
      </c>
      <c r="I97" s="495" t="s">
        <v>389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  <c r="Q97" s="269"/>
    </row>
    <row r="98" spans="1:17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  <c r="Q98" s="269"/>
    </row>
    <row r="99" spans="1:17">
      <c r="C99" s="507" t="str">
        <f>IF(D93= "","-",D93)</f>
        <v>2013</v>
      </c>
      <c r="D99" s="629">
        <v>0</v>
      </c>
      <c r="E99" s="630">
        <v>60097.440476190473</v>
      </c>
      <c r="F99" s="631">
        <v>4988087.5595238097</v>
      </c>
      <c r="G99" s="632">
        <v>2494043.7797619049</v>
      </c>
      <c r="H99" s="633">
        <v>397520.86907446757</v>
      </c>
      <c r="I99" s="634">
        <v>397520.86907446757</v>
      </c>
      <c r="J99" s="613">
        <v>0</v>
      </c>
      <c r="K99" s="514"/>
      <c r="L99" s="518">
        <f t="shared" ref="L99:L104" si="33">H99</f>
        <v>397520.86907446757</v>
      </c>
      <c r="M99" s="519">
        <f t="shared" ref="M99:M104" si="34">IF(L99&lt;&gt;0,+H99-L99,0)</f>
        <v>0</v>
      </c>
      <c r="N99" s="518">
        <f t="shared" ref="N99:N104" si="35">I99</f>
        <v>397520.86907446757</v>
      </c>
      <c r="O99" s="514">
        <f>IF(N99&lt;&gt;0,+I99-N99,0)</f>
        <v>0</v>
      </c>
      <c r="P99" s="514">
        <f>+O99-M99</f>
        <v>0</v>
      </c>
      <c r="Q99" s="269"/>
    </row>
    <row r="100" spans="1:17">
      <c r="B100" s="195" t="str">
        <f>IF(D100=F99,"","IU")</f>
        <v/>
      </c>
      <c r="C100" s="507">
        <f>IF(D93="","-",+C99+1)</f>
        <v>2014</v>
      </c>
      <c r="D100" s="629">
        <v>4988087.5595238097</v>
      </c>
      <c r="E100" s="630">
        <v>120203</v>
      </c>
      <c r="F100" s="631">
        <v>4867884.5595238097</v>
      </c>
      <c r="G100" s="631">
        <v>4927986.0595238097</v>
      </c>
      <c r="H100" s="633">
        <v>790031.91488158714</v>
      </c>
      <c r="I100" s="634">
        <v>790031.91488158714</v>
      </c>
      <c r="J100" s="514">
        <v>0</v>
      </c>
      <c r="K100" s="514"/>
      <c r="L100" s="518">
        <f t="shared" si="33"/>
        <v>790031.91488158714</v>
      </c>
      <c r="M100" s="519">
        <f t="shared" si="34"/>
        <v>0</v>
      </c>
      <c r="N100" s="518">
        <f t="shared" si="35"/>
        <v>790031.91488158714</v>
      </c>
      <c r="O100" s="514">
        <f>IF(N100&lt;&gt;0,+I100-N100,0)</f>
        <v>0</v>
      </c>
      <c r="P100" s="514">
        <f>+O100-M100</f>
        <v>0</v>
      </c>
      <c r="Q100" s="269"/>
    </row>
    <row r="101" spans="1:17">
      <c r="B101" s="195" t="str">
        <f t="shared" ref="B101:B154" si="36">IF(D101=F100,"","IU")</f>
        <v>IU</v>
      </c>
      <c r="C101" s="507">
        <f>IF(D93="","-",+C100+1)</f>
        <v>2015</v>
      </c>
      <c r="D101" s="629">
        <v>4868225.5595238097</v>
      </c>
      <c r="E101" s="630">
        <v>120203</v>
      </c>
      <c r="F101" s="631">
        <v>4748022.5595238097</v>
      </c>
      <c r="G101" s="631">
        <v>4808124.0595238097</v>
      </c>
      <c r="H101" s="633">
        <v>753764.11200720049</v>
      </c>
      <c r="I101" s="634">
        <v>753764.11200720049</v>
      </c>
      <c r="J101" s="514">
        <f>+I101-H101</f>
        <v>0</v>
      </c>
      <c r="K101" s="514"/>
      <c r="L101" s="518">
        <f t="shared" si="33"/>
        <v>753764.11200720049</v>
      </c>
      <c r="M101" s="519">
        <f t="shared" si="34"/>
        <v>0</v>
      </c>
      <c r="N101" s="518">
        <f t="shared" si="35"/>
        <v>753764.11200720049</v>
      </c>
      <c r="O101" s="514">
        <f>IF(N101&lt;&gt;0,+I101-N101,0)</f>
        <v>0</v>
      </c>
      <c r="P101" s="514">
        <f>+O101-M101</f>
        <v>0</v>
      </c>
      <c r="Q101" s="269"/>
    </row>
    <row r="102" spans="1:17">
      <c r="B102" s="195" t="str">
        <f t="shared" si="36"/>
        <v/>
      </c>
      <c r="C102" s="507">
        <f>IF(D93="","-",+C101+1)</f>
        <v>2016</v>
      </c>
      <c r="D102" s="629">
        <v>4748022.5595238097</v>
      </c>
      <c r="E102" s="630">
        <v>117407.58139534884</v>
      </c>
      <c r="F102" s="631">
        <v>4630614.9781284612</v>
      </c>
      <c r="G102" s="631">
        <v>4689318.7688261354</v>
      </c>
      <c r="H102" s="633">
        <v>712716.54417822254</v>
      </c>
      <c r="I102" s="634">
        <v>712716.54417822254</v>
      </c>
      <c r="J102" s="514">
        <f t="shared" ref="J102:J154" si="37">+I102-H102</f>
        <v>0</v>
      </c>
      <c r="K102" s="514"/>
      <c r="L102" s="518">
        <f t="shared" si="33"/>
        <v>712716.54417822254</v>
      </c>
      <c r="M102" s="519">
        <f t="shared" si="34"/>
        <v>0</v>
      </c>
      <c r="N102" s="518">
        <f t="shared" si="35"/>
        <v>712716.54417822254</v>
      </c>
      <c r="O102" s="514">
        <f>IF(N102&lt;&gt;0,+I102-N102,0)</f>
        <v>0</v>
      </c>
      <c r="P102" s="514">
        <f>+O102-M102</f>
        <v>0</v>
      </c>
      <c r="Q102" s="269"/>
    </row>
    <row r="103" spans="1:17">
      <c r="B103" s="195" t="str">
        <f t="shared" si="36"/>
        <v/>
      </c>
      <c r="C103" s="507">
        <f>IF(D93="","-",+C102+1)</f>
        <v>2017</v>
      </c>
      <c r="D103" s="629">
        <v>4630614.9781284612</v>
      </c>
      <c r="E103" s="630">
        <v>120203</v>
      </c>
      <c r="F103" s="631">
        <v>4510411.9781284612</v>
      </c>
      <c r="G103" s="631">
        <v>4570513.4781284612</v>
      </c>
      <c r="H103" s="633">
        <v>675389.93455255101</v>
      </c>
      <c r="I103" s="634">
        <v>675389.93455255101</v>
      </c>
      <c r="J103" s="514">
        <f t="shared" si="37"/>
        <v>0</v>
      </c>
      <c r="K103" s="514"/>
      <c r="L103" s="518">
        <f t="shared" si="33"/>
        <v>675389.93455255101</v>
      </c>
      <c r="M103" s="519">
        <f t="shared" si="34"/>
        <v>0</v>
      </c>
      <c r="N103" s="518">
        <f t="shared" si="35"/>
        <v>675389.93455255101</v>
      </c>
      <c r="O103" s="514">
        <f>IF(N103&lt;&gt;0,+I103-N103,0)</f>
        <v>0</v>
      </c>
      <c r="P103" s="514">
        <f>+O103-M103</f>
        <v>0</v>
      </c>
      <c r="Q103" s="269"/>
    </row>
    <row r="104" spans="1:17">
      <c r="B104" s="195" t="str">
        <f t="shared" si="36"/>
        <v/>
      </c>
      <c r="C104" s="507">
        <f>IF(D93="","-",+C103+1)</f>
        <v>2018</v>
      </c>
      <c r="D104" s="629">
        <v>4510411.9781284612</v>
      </c>
      <c r="E104" s="630">
        <v>120203</v>
      </c>
      <c r="F104" s="631">
        <v>4390208.9781284612</v>
      </c>
      <c r="G104" s="631">
        <v>4450310.4781284612</v>
      </c>
      <c r="H104" s="633">
        <v>590176.19481222471</v>
      </c>
      <c r="I104" s="634">
        <v>590176.19481222471</v>
      </c>
      <c r="J104" s="514">
        <f t="shared" si="37"/>
        <v>0</v>
      </c>
      <c r="K104" s="514"/>
      <c r="L104" s="518">
        <f t="shared" si="33"/>
        <v>590176.19481222471</v>
      </c>
      <c r="M104" s="519">
        <f t="shared" si="34"/>
        <v>0</v>
      </c>
      <c r="N104" s="518">
        <f t="shared" si="35"/>
        <v>590176.19481222471</v>
      </c>
      <c r="O104" s="514">
        <f t="shared" ref="O104:O130" si="38">IF(N104&lt;&gt;0,+I104-N104,0)</f>
        <v>0</v>
      </c>
      <c r="P104" s="514">
        <f t="shared" ref="P104:P130" si="39">+O104-M104</f>
        <v>0</v>
      </c>
      <c r="Q104" s="269"/>
    </row>
    <row r="105" spans="1:17">
      <c r="B105" s="195" t="str">
        <f t="shared" si="36"/>
        <v/>
      </c>
      <c r="C105" s="507">
        <f>IF(D93="","-",+C104+1)</f>
        <v>2019</v>
      </c>
      <c r="D105" s="629">
        <v>4390208.9781284612</v>
      </c>
      <c r="E105" s="630">
        <v>117407.58139534884</v>
      </c>
      <c r="F105" s="631">
        <v>4272801.3967331126</v>
      </c>
      <c r="G105" s="631">
        <v>4331505.1874307869</v>
      </c>
      <c r="H105" s="633">
        <v>581054.26400771562</v>
      </c>
      <c r="I105" s="634">
        <v>581054.26400771562</v>
      </c>
      <c r="J105" s="514">
        <f t="shared" si="37"/>
        <v>0</v>
      </c>
      <c r="K105" s="514"/>
      <c r="L105" s="518">
        <f t="shared" ref="L105:L106" si="40">H105</f>
        <v>581054.26400771562</v>
      </c>
      <c r="M105" s="519">
        <f t="shared" ref="M105:M106" si="41">IF(L105&lt;&gt;0,+H105-L105,0)</f>
        <v>0</v>
      </c>
      <c r="N105" s="518">
        <f t="shared" ref="N105:N106" si="42">I105</f>
        <v>581054.26400771562</v>
      </c>
      <c r="O105" s="514">
        <f t="shared" si="38"/>
        <v>0</v>
      </c>
      <c r="P105" s="514">
        <f t="shared" si="39"/>
        <v>0</v>
      </c>
      <c r="Q105" s="269"/>
    </row>
    <row r="106" spans="1:17">
      <c r="B106" s="195" t="str">
        <f t="shared" si="36"/>
        <v/>
      </c>
      <c r="C106" s="507">
        <f>IF(D93="","-",+C105+1)</f>
        <v>2020</v>
      </c>
      <c r="D106" s="629">
        <v>4272801.3967331126</v>
      </c>
      <c r="E106" s="630">
        <v>120203</v>
      </c>
      <c r="F106" s="631">
        <v>4152598.3967331126</v>
      </c>
      <c r="G106" s="631">
        <v>4212699.8967331126</v>
      </c>
      <c r="H106" s="633">
        <v>573379.27306704223</v>
      </c>
      <c r="I106" s="634">
        <v>573379.27306704223</v>
      </c>
      <c r="J106" s="514">
        <f t="shared" si="37"/>
        <v>0</v>
      </c>
      <c r="K106" s="514"/>
      <c r="L106" s="518">
        <f t="shared" si="40"/>
        <v>573379.27306704223</v>
      </c>
      <c r="M106" s="519">
        <f t="shared" si="41"/>
        <v>0</v>
      </c>
      <c r="N106" s="518">
        <f t="shared" si="42"/>
        <v>573379.27306704223</v>
      </c>
      <c r="O106" s="514">
        <f t="shared" si="38"/>
        <v>0</v>
      </c>
      <c r="P106" s="514">
        <f t="shared" si="39"/>
        <v>0</v>
      </c>
      <c r="Q106" s="269"/>
    </row>
    <row r="107" spans="1:17">
      <c r="B107" s="195" t="str">
        <f t="shared" si="36"/>
        <v/>
      </c>
      <c r="C107" s="507">
        <f>IF(D93="","-",+C106+1)</f>
        <v>2021</v>
      </c>
      <c r="D107" s="629">
        <v>4152598.3967331126</v>
      </c>
      <c r="E107" s="630">
        <v>123134.78048780488</v>
      </c>
      <c r="F107" s="631">
        <v>4029463.616245308</v>
      </c>
      <c r="G107" s="631">
        <v>4091031.0064892103</v>
      </c>
      <c r="H107" s="633">
        <v>587525.00025247002</v>
      </c>
      <c r="I107" s="634">
        <v>587525.00025247002</v>
      </c>
      <c r="J107" s="514">
        <f t="shared" si="37"/>
        <v>0</v>
      </c>
      <c r="K107" s="514"/>
      <c r="L107" s="518">
        <f t="shared" ref="L107" si="43">H107</f>
        <v>587525.00025247002</v>
      </c>
      <c r="M107" s="519">
        <f t="shared" ref="M107" si="44">IF(L107&lt;&gt;0,+H107-L107,0)</f>
        <v>0</v>
      </c>
      <c r="N107" s="518">
        <f t="shared" ref="N107" si="45">I107</f>
        <v>587525.00025247002</v>
      </c>
      <c r="O107" s="514">
        <f t="shared" ref="O107" si="46">IF(N107&lt;&gt;0,+I107-N107,0)</f>
        <v>0</v>
      </c>
      <c r="P107" s="514">
        <f t="shared" ref="P107" si="47">+O107-M107</f>
        <v>0</v>
      </c>
      <c r="Q107" s="269"/>
    </row>
    <row r="108" spans="1:17">
      <c r="B108" s="195" t="str">
        <f t="shared" si="36"/>
        <v/>
      </c>
      <c r="C108" s="673">
        <f>IF(D93="","-",+C107+1)</f>
        <v>2022</v>
      </c>
      <c r="D108" s="374">
        <v>4029463.616245308</v>
      </c>
      <c r="E108" s="522">
        <v>120203</v>
      </c>
      <c r="F108" s="523">
        <v>3909260.616245308</v>
      </c>
      <c r="G108" s="523">
        <v>3969362.116245308</v>
      </c>
      <c r="H108" s="526">
        <v>586435.71242843394</v>
      </c>
      <c r="I108" s="577">
        <v>586435.71242843394</v>
      </c>
      <c r="J108" s="514">
        <f t="shared" si="37"/>
        <v>0</v>
      </c>
      <c r="K108" s="514"/>
      <c r="L108" s="525"/>
      <c r="M108" s="514">
        <f t="shared" ref="M108:M130" si="48">IF(L108&lt;&gt;0,+H108-L108,0)</f>
        <v>0</v>
      </c>
      <c r="N108" s="525"/>
      <c r="O108" s="514">
        <f t="shared" si="38"/>
        <v>0</v>
      </c>
      <c r="P108" s="514">
        <f t="shared" si="39"/>
        <v>0</v>
      </c>
      <c r="Q108" s="269"/>
    </row>
    <row r="109" spans="1:17">
      <c r="B109" s="195" t="str">
        <f t="shared" si="36"/>
        <v/>
      </c>
      <c r="C109" s="507">
        <f>IF(D93="","-",+C108+1)</f>
        <v>2023</v>
      </c>
      <c r="D109" s="374">
        <f>IF(F108+SUM(E$99:E108)=D$92,F108,D$92-SUM(E$99:E108))</f>
        <v>3909260.616245308</v>
      </c>
      <c r="E109" s="522">
        <f t="shared" ref="E109:E154" si="49">IF(+$J$96&lt;F108,$J$96,D109)</f>
        <v>123134.78048780488</v>
      </c>
      <c r="F109" s="523">
        <f t="shared" ref="F109:F154" si="50">+D109-E109</f>
        <v>3786125.8357575033</v>
      </c>
      <c r="G109" s="523">
        <f t="shared" ref="G109:G154" si="51">+(F109+D109)/2</f>
        <v>3847693.2260014056</v>
      </c>
      <c r="H109" s="526">
        <f t="shared" ref="H109:H154" si="52">+J$94*G109+E109</f>
        <v>559902.70035336621</v>
      </c>
      <c r="I109" s="577">
        <f t="shared" ref="I109:I154" si="53">+J$95*G109+E109</f>
        <v>559902.70035336621</v>
      </c>
      <c r="J109" s="514">
        <f t="shared" si="37"/>
        <v>0</v>
      </c>
      <c r="K109" s="514"/>
      <c r="L109" s="525"/>
      <c r="M109" s="514">
        <f t="shared" si="48"/>
        <v>0</v>
      </c>
      <c r="N109" s="525"/>
      <c r="O109" s="514">
        <f t="shared" si="38"/>
        <v>0</v>
      </c>
      <c r="P109" s="514">
        <f t="shared" si="39"/>
        <v>0</v>
      </c>
      <c r="Q109" s="269"/>
    </row>
    <row r="110" spans="1:17">
      <c r="B110" s="195" t="str">
        <f t="shared" si="36"/>
        <v/>
      </c>
      <c r="C110" s="507">
        <f>IF(D93="","-",+C109+1)</f>
        <v>2024</v>
      </c>
      <c r="D110" s="374">
        <f>IF(F109+SUM(E$99:E109)=D$92,F109,D$92-SUM(E$99:E109))</f>
        <v>3786125.8357575033</v>
      </c>
      <c r="E110" s="522">
        <f t="shared" si="49"/>
        <v>123134.78048780488</v>
      </c>
      <c r="F110" s="523">
        <f t="shared" si="50"/>
        <v>3662991.0552696986</v>
      </c>
      <c r="G110" s="523">
        <f t="shared" si="51"/>
        <v>3724558.4455136009</v>
      </c>
      <c r="H110" s="526">
        <f t="shared" si="52"/>
        <v>545925.15100683179</v>
      </c>
      <c r="I110" s="577">
        <f t="shared" si="53"/>
        <v>545925.15100683179</v>
      </c>
      <c r="J110" s="514">
        <f t="shared" si="37"/>
        <v>0</v>
      </c>
      <c r="K110" s="514"/>
      <c r="L110" s="525"/>
      <c r="M110" s="514">
        <f t="shared" si="48"/>
        <v>0</v>
      </c>
      <c r="N110" s="525"/>
      <c r="O110" s="514">
        <f t="shared" si="38"/>
        <v>0</v>
      </c>
      <c r="P110" s="514">
        <f t="shared" si="39"/>
        <v>0</v>
      </c>
      <c r="Q110" s="269"/>
    </row>
    <row r="111" spans="1:17">
      <c r="B111" s="195" t="str">
        <f t="shared" si="36"/>
        <v/>
      </c>
      <c r="C111" s="507">
        <f>IF(D93="","-",+C110+1)</f>
        <v>2025</v>
      </c>
      <c r="D111" s="374">
        <f>IF(F110+SUM(E$99:E110)=D$92,F110,D$92-SUM(E$99:E110))</f>
        <v>3662991.0552696986</v>
      </c>
      <c r="E111" s="522">
        <f t="shared" si="49"/>
        <v>123134.78048780488</v>
      </c>
      <c r="F111" s="523">
        <f t="shared" si="50"/>
        <v>3539856.2747818939</v>
      </c>
      <c r="G111" s="523">
        <f t="shared" si="51"/>
        <v>3601423.6650257963</v>
      </c>
      <c r="H111" s="526">
        <f t="shared" si="52"/>
        <v>531947.60166029737</v>
      </c>
      <c r="I111" s="577">
        <f t="shared" si="53"/>
        <v>531947.60166029737</v>
      </c>
      <c r="J111" s="514">
        <f t="shared" si="37"/>
        <v>0</v>
      </c>
      <c r="K111" s="514"/>
      <c r="L111" s="525"/>
      <c r="M111" s="514">
        <f t="shared" si="48"/>
        <v>0</v>
      </c>
      <c r="N111" s="525"/>
      <c r="O111" s="514">
        <f t="shared" si="38"/>
        <v>0</v>
      </c>
      <c r="P111" s="514">
        <f t="shared" si="39"/>
        <v>0</v>
      </c>
      <c r="Q111" s="269"/>
    </row>
    <row r="112" spans="1:17">
      <c r="B112" s="195" t="str">
        <f t="shared" si="36"/>
        <v/>
      </c>
      <c r="C112" s="507">
        <f>IF(D93="","-",+C111+1)</f>
        <v>2026</v>
      </c>
      <c r="D112" s="374">
        <f>IF(F111+SUM(E$99:E111)=D$92,F111,D$92-SUM(E$99:E111))</f>
        <v>3539856.2747818939</v>
      </c>
      <c r="E112" s="522">
        <f t="shared" si="49"/>
        <v>123134.78048780488</v>
      </c>
      <c r="F112" s="523">
        <f t="shared" si="50"/>
        <v>3416721.4942940893</v>
      </c>
      <c r="G112" s="523">
        <f t="shared" si="51"/>
        <v>3478288.8845379916</v>
      </c>
      <c r="H112" s="526">
        <f t="shared" si="52"/>
        <v>517970.05231376295</v>
      </c>
      <c r="I112" s="577">
        <f t="shared" si="53"/>
        <v>517970.05231376295</v>
      </c>
      <c r="J112" s="514">
        <f t="shared" si="37"/>
        <v>0</v>
      </c>
      <c r="K112" s="514"/>
      <c r="L112" s="525"/>
      <c r="M112" s="514">
        <f t="shared" si="48"/>
        <v>0</v>
      </c>
      <c r="N112" s="525"/>
      <c r="O112" s="514">
        <f t="shared" si="38"/>
        <v>0</v>
      </c>
      <c r="P112" s="514">
        <f t="shared" si="39"/>
        <v>0</v>
      </c>
      <c r="Q112" s="269"/>
    </row>
    <row r="113" spans="2:17">
      <c r="B113" s="195" t="str">
        <f t="shared" si="36"/>
        <v/>
      </c>
      <c r="C113" s="507">
        <f>IF(D93="","-",+C112+1)</f>
        <v>2027</v>
      </c>
      <c r="D113" s="374">
        <f>IF(F112+SUM(E$99:E112)=D$92,F112,D$92-SUM(E$99:E112))</f>
        <v>3416721.4942940893</v>
      </c>
      <c r="E113" s="522">
        <f t="shared" si="49"/>
        <v>123134.78048780488</v>
      </c>
      <c r="F113" s="523">
        <f t="shared" si="50"/>
        <v>3293586.7138062846</v>
      </c>
      <c r="G113" s="523">
        <f t="shared" si="51"/>
        <v>3355154.1040501869</v>
      </c>
      <c r="H113" s="526">
        <f t="shared" si="52"/>
        <v>503992.50296722841</v>
      </c>
      <c r="I113" s="577">
        <f t="shared" si="53"/>
        <v>503992.50296722841</v>
      </c>
      <c r="J113" s="514">
        <f t="shared" si="37"/>
        <v>0</v>
      </c>
      <c r="K113" s="514"/>
      <c r="L113" s="525"/>
      <c r="M113" s="514">
        <f t="shared" si="48"/>
        <v>0</v>
      </c>
      <c r="N113" s="525"/>
      <c r="O113" s="514">
        <f t="shared" si="38"/>
        <v>0</v>
      </c>
      <c r="P113" s="514">
        <f t="shared" si="39"/>
        <v>0</v>
      </c>
      <c r="Q113" s="269"/>
    </row>
    <row r="114" spans="2:17">
      <c r="B114" s="195" t="str">
        <f t="shared" si="36"/>
        <v/>
      </c>
      <c r="C114" s="507">
        <f>IF(D93="","-",+C113+1)</f>
        <v>2028</v>
      </c>
      <c r="D114" s="374">
        <f>IF(F113+SUM(E$99:E113)=D$92,F113,D$92-SUM(E$99:E113))</f>
        <v>3293586.7138062846</v>
      </c>
      <c r="E114" s="522">
        <f t="shared" si="49"/>
        <v>123134.78048780488</v>
      </c>
      <c r="F114" s="523">
        <f t="shared" si="50"/>
        <v>3170451.9333184799</v>
      </c>
      <c r="G114" s="523">
        <f t="shared" si="51"/>
        <v>3232019.3235623823</v>
      </c>
      <c r="H114" s="526">
        <f t="shared" si="52"/>
        <v>490014.953620694</v>
      </c>
      <c r="I114" s="577">
        <f t="shared" si="53"/>
        <v>490014.953620694</v>
      </c>
      <c r="J114" s="514">
        <f t="shared" si="37"/>
        <v>0</v>
      </c>
      <c r="K114" s="514"/>
      <c r="L114" s="525"/>
      <c r="M114" s="514">
        <f t="shared" si="48"/>
        <v>0</v>
      </c>
      <c r="N114" s="525"/>
      <c r="O114" s="514">
        <f t="shared" si="38"/>
        <v>0</v>
      </c>
      <c r="P114" s="514">
        <f t="shared" si="39"/>
        <v>0</v>
      </c>
      <c r="Q114" s="269"/>
    </row>
    <row r="115" spans="2:17">
      <c r="B115" s="195" t="str">
        <f t="shared" si="36"/>
        <v/>
      </c>
      <c r="C115" s="507">
        <f>IF(D93="","-",+C114+1)</f>
        <v>2029</v>
      </c>
      <c r="D115" s="374">
        <f>IF(F114+SUM(E$99:E114)=D$92,F114,D$92-SUM(E$99:E114))</f>
        <v>3170451.9333184799</v>
      </c>
      <c r="E115" s="522">
        <f t="shared" si="49"/>
        <v>123134.78048780488</v>
      </c>
      <c r="F115" s="523">
        <f t="shared" si="50"/>
        <v>3047317.1528306752</v>
      </c>
      <c r="G115" s="523">
        <f t="shared" si="51"/>
        <v>3108884.5430745776</v>
      </c>
      <c r="H115" s="526">
        <f t="shared" si="52"/>
        <v>476037.40427415958</v>
      </c>
      <c r="I115" s="577">
        <f t="shared" si="53"/>
        <v>476037.40427415958</v>
      </c>
      <c r="J115" s="514">
        <f t="shared" si="37"/>
        <v>0</v>
      </c>
      <c r="K115" s="514"/>
      <c r="L115" s="525"/>
      <c r="M115" s="514">
        <f t="shared" si="48"/>
        <v>0</v>
      </c>
      <c r="N115" s="525"/>
      <c r="O115" s="514">
        <f t="shared" si="38"/>
        <v>0</v>
      </c>
      <c r="P115" s="514">
        <f t="shared" si="39"/>
        <v>0</v>
      </c>
      <c r="Q115" s="269"/>
    </row>
    <row r="116" spans="2:17">
      <c r="B116" s="195" t="str">
        <f t="shared" si="36"/>
        <v/>
      </c>
      <c r="C116" s="507">
        <f>IF(D93="","-",+C115+1)</f>
        <v>2030</v>
      </c>
      <c r="D116" s="374">
        <f>IF(F115+SUM(E$99:E115)=D$92,F115,D$92-SUM(E$99:E115))</f>
        <v>3047317.1528306752</v>
      </c>
      <c r="E116" s="522">
        <f t="shared" si="49"/>
        <v>123134.78048780488</v>
      </c>
      <c r="F116" s="523">
        <f t="shared" si="50"/>
        <v>2924182.3723428706</v>
      </c>
      <c r="G116" s="523">
        <f t="shared" si="51"/>
        <v>2985749.7625867729</v>
      </c>
      <c r="H116" s="526">
        <f t="shared" si="52"/>
        <v>462059.85492762516</v>
      </c>
      <c r="I116" s="577">
        <f t="shared" si="53"/>
        <v>462059.85492762516</v>
      </c>
      <c r="J116" s="514">
        <f t="shared" si="37"/>
        <v>0</v>
      </c>
      <c r="K116" s="514"/>
      <c r="L116" s="525"/>
      <c r="M116" s="514">
        <f t="shared" si="48"/>
        <v>0</v>
      </c>
      <c r="N116" s="525"/>
      <c r="O116" s="514">
        <f t="shared" si="38"/>
        <v>0</v>
      </c>
      <c r="P116" s="514">
        <f t="shared" si="39"/>
        <v>0</v>
      </c>
      <c r="Q116" s="269"/>
    </row>
    <row r="117" spans="2:17">
      <c r="B117" s="195" t="str">
        <f t="shared" si="36"/>
        <v/>
      </c>
      <c r="C117" s="507">
        <f>IF(D93="","-",+C116+1)</f>
        <v>2031</v>
      </c>
      <c r="D117" s="374">
        <f>IF(F116+SUM(E$99:E116)=D$92,F116,D$92-SUM(E$99:E116))</f>
        <v>2924182.3723428706</v>
      </c>
      <c r="E117" s="522">
        <f t="shared" si="49"/>
        <v>123134.78048780488</v>
      </c>
      <c r="F117" s="523">
        <f t="shared" si="50"/>
        <v>2801047.5918550659</v>
      </c>
      <c r="G117" s="523">
        <f t="shared" si="51"/>
        <v>2862614.9820989682</v>
      </c>
      <c r="H117" s="526">
        <f t="shared" si="52"/>
        <v>448082.30558109062</v>
      </c>
      <c r="I117" s="577">
        <f t="shared" si="53"/>
        <v>448082.30558109062</v>
      </c>
      <c r="J117" s="514">
        <f t="shared" si="37"/>
        <v>0</v>
      </c>
      <c r="K117" s="514"/>
      <c r="L117" s="525"/>
      <c r="M117" s="514">
        <f t="shared" si="48"/>
        <v>0</v>
      </c>
      <c r="N117" s="525"/>
      <c r="O117" s="514">
        <f t="shared" si="38"/>
        <v>0</v>
      </c>
      <c r="P117" s="514">
        <f t="shared" si="39"/>
        <v>0</v>
      </c>
      <c r="Q117" s="269"/>
    </row>
    <row r="118" spans="2:17">
      <c r="B118" s="195" t="str">
        <f t="shared" si="36"/>
        <v/>
      </c>
      <c r="C118" s="507">
        <f>IF(D93="","-",+C117+1)</f>
        <v>2032</v>
      </c>
      <c r="D118" s="374">
        <f>IF(F117+SUM(E$99:E117)=D$92,F117,D$92-SUM(E$99:E117))</f>
        <v>2801047.5918550659</v>
      </c>
      <c r="E118" s="522">
        <f t="shared" si="49"/>
        <v>123134.78048780488</v>
      </c>
      <c r="F118" s="523">
        <f t="shared" si="50"/>
        <v>2677912.8113672612</v>
      </c>
      <c r="G118" s="523">
        <f t="shared" si="51"/>
        <v>2739480.2016111636</v>
      </c>
      <c r="H118" s="526">
        <f t="shared" si="52"/>
        <v>434104.7562345562</v>
      </c>
      <c r="I118" s="577">
        <f t="shared" si="53"/>
        <v>434104.7562345562</v>
      </c>
      <c r="J118" s="514">
        <f t="shared" si="37"/>
        <v>0</v>
      </c>
      <c r="K118" s="514"/>
      <c r="L118" s="525"/>
      <c r="M118" s="514">
        <f t="shared" si="48"/>
        <v>0</v>
      </c>
      <c r="N118" s="525"/>
      <c r="O118" s="514">
        <f t="shared" si="38"/>
        <v>0</v>
      </c>
      <c r="P118" s="514">
        <f t="shared" si="39"/>
        <v>0</v>
      </c>
      <c r="Q118" s="269"/>
    </row>
    <row r="119" spans="2:17">
      <c r="B119" s="195" t="str">
        <f t="shared" si="36"/>
        <v/>
      </c>
      <c r="C119" s="507">
        <f>IF(D93="","-",+C118+1)</f>
        <v>2033</v>
      </c>
      <c r="D119" s="374">
        <f>IF(F118+SUM(E$99:E118)=D$92,F118,D$92-SUM(E$99:E118))</f>
        <v>2677912.8113672612</v>
      </c>
      <c r="E119" s="522">
        <f t="shared" si="49"/>
        <v>123134.78048780488</v>
      </c>
      <c r="F119" s="523">
        <f t="shared" si="50"/>
        <v>2554778.0308794565</v>
      </c>
      <c r="G119" s="523">
        <f t="shared" si="51"/>
        <v>2616345.4211233589</v>
      </c>
      <c r="H119" s="526">
        <f t="shared" si="52"/>
        <v>420127.20688802178</v>
      </c>
      <c r="I119" s="577">
        <f t="shared" si="53"/>
        <v>420127.20688802178</v>
      </c>
      <c r="J119" s="514">
        <f t="shared" si="37"/>
        <v>0</v>
      </c>
      <c r="K119" s="514"/>
      <c r="L119" s="525"/>
      <c r="M119" s="514">
        <f t="shared" si="48"/>
        <v>0</v>
      </c>
      <c r="N119" s="525"/>
      <c r="O119" s="514">
        <f t="shared" si="38"/>
        <v>0</v>
      </c>
      <c r="P119" s="514">
        <f t="shared" si="39"/>
        <v>0</v>
      </c>
      <c r="Q119" s="269"/>
    </row>
    <row r="120" spans="2:17">
      <c r="B120" s="195" t="str">
        <f t="shared" si="36"/>
        <v/>
      </c>
      <c r="C120" s="507">
        <f>IF(D93="","-",+C119+1)</f>
        <v>2034</v>
      </c>
      <c r="D120" s="374">
        <f>IF(F119+SUM(E$99:E119)=D$92,F119,D$92-SUM(E$99:E119))</f>
        <v>2554778.0308794565</v>
      </c>
      <c r="E120" s="522">
        <f t="shared" si="49"/>
        <v>123134.78048780488</v>
      </c>
      <c r="F120" s="523">
        <f t="shared" si="50"/>
        <v>2431643.2503916519</v>
      </c>
      <c r="G120" s="523">
        <f t="shared" si="51"/>
        <v>2493210.6406355542</v>
      </c>
      <c r="H120" s="526">
        <f t="shared" si="52"/>
        <v>406149.65754148737</v>
      </c>
      <c r="I120" s="577">
        <f t="shared" si="53"/>
        <v>406149.65754148737</v>
      </c>
      <c r="J120" s="514">
        <f t="shared" si="37"/>
        <v>0</v>
      </c>
      <c r="K120" s="514"/>
      <c r="L120" s="525"/>
      <c r="M120" s="514">
        <f t="shared" si="48"/>
        <v>0</v>
      </c>
      <c r="N120" s="525"/>
      <c r="O120" s="514">
        <f t="shared" si="38"/>
        <v>0</v>
      </c>
      <c r="P120" s="514">
        <f t="shared" si="39"/>
        <v>0</v>
      </c>
      <c r="Q120" s="269"/>
    </row>
    <row r="121" spans="2:17">
      <c r="B121" s="195" t="str">
        <f t="shared" si="36"/>
        <v/>
      </c>
      <c r="C121" s="507">
        <f>IF(D93="","-",+C120+1)</f>
        <v>2035</v>
      </c>
      <c r="D121" s="374">
        <f>IF(F120+SUM(E$99:E120)=D$92,F120,D$92-SUM(E$99:E120))</f>
        <v>2431643.2503916519</v>
      </c>
      <c r="E121" s="522">
        <f t="shared" si="49"/>
        <v>123134.78048780488</v>
      </c>
      <c r="F121" s="523">
        <f t="shared" si="50"/>
        <v>2308508.4699038472</v>
      </c>
      <c r="G121" s="523">
        <f t="shared" si="51"/>
        <v>2370075.8601477495</v>
      </c>
      <c r="H121" s="526">
        <f t="shared" si="52"/>
        <v>392172.10819495283</v>
      </c>
      <c r="I121" s="577">
        <f t="shared" si="53"/>
        <v>392172.10819495283</v>
      </c>
      <c r="J121" s="514">
        <f t="shared" si="37"/>
        <v>0</v>
      </c>
      <c r="K121" s="514"/>
      <c r="L121" s="525"/>
      <c r="M121" s="514">
        <f t="shared" si="48"/>
        <v>0</v>
      </c>
      <c r="N121" s="525"/>
      <c r="O121" s="514">
        <f t="shared" si="38"/>
        <v>0</v>
      </c>
      <c r="P121" s="514">
        <f t="shared" si="39"/>
        <v>0</v>
      </c>
      <c r="Q121" s="269"/>
    </row>
    <row r="122" spans="2:17">
      <c r="B122" s="195" t="str">
        <f t="shared" si="36"/>
        <v/>
      </c>
      <c r="C122" s="507">
        <f>IF(D93="","-",+C121+1)</f>
        <v>2036</v>
      </c>
      <c r="D122" s="374">
        <f>IF(F121+SUM(E$99:E121)=D$92,F121,D$92-SUM(E$99:E121))</f>
        <v>2308508.4699038472</v>
      </c>
      <c r="E122" s="522">
        <f t="shared" si="49"/>
        <v>123134.78048780488</v>
      </c>
      <c r="F122" s="523">
        <f t="shared" si="50"/>
        <v>2185373.6894160425</v>
      </c>
      <c r="G122" s="523">
        <f t="shared" si="51"/>
        <v>2246941.0796599449</v>
      </c>
      <c r="H122" s="526">
        <f t="shared" si="52"/>
        <v>378194.55884841841</v>
      </c>
      <c r="I122" s="577">
        <f t="shared" si="53"/>
        <v>378194.55884841841</v>
      </c>
      <c r="J122" s="514">
        <f t="shared" si="37"/>
        <v>0</v>
      </c>
      <c r="K122" s="514"/>
      <c r="L122" s="525"/>
      <c r="M122" s="514">
        <f t="shared" si="48"/>
        <v>0</v>
      </c>
      <c r="N122" s="525"/>
      <c r="O122" s="514">
        <f t="shared" si="38"/>
        <v>0</v>
      </c>
      <c r="P122" s="514">
        <f t="shared" si="39"/>
        <v>0</v>
      </c>
      <c r="Q122" s="269"/>
    </row>
    <row r="123" spans="2:17">
      <c r="B123" s="195" t="str">
        <f t="shared" si="36"/>
        <v/>
      </c>
      <c r="C123" s="507">
        <f>IF(D93="","-",+C122+1)</f>
        <v>2037</v>
      </c>
      <c r="D123" s="374">
        <f>IF(F122+SUM(E$99:E122)=D$92,F122,D$92-SUM(E$99:E122))</f>
        <v>2185373.6894160425</v>
      </c>
      <c r="E123" s="522">
        <f t="shared" si="49"/>
        <v>123134.78048780488</v>
      </c>
      <c r="F123" s="523">
        <f t="shared" si="50"/>
        <v>2062238.9089282376</v>
      </c>
      <c r="G123" s="523">
        <f t="shared" si="51"/>
        <v>2123806.2991721402</v>
      </c>
      <c r="H123" s="526">
        <f t="shared" si="52"/>
        <v>364217.00950188399</v>
      </c>
      <c r="I123" s="577">
        <f t="shared" si="53"/>
        <v>364217.00950188399</v>
      </c>
      <c r="J123" s="514">
        <f t="shared" si="37"/>
        <v>0</v>
      </c>
      <c r="K123" s="514"/>
      <c r="L123" s="525"/>
      <c r="M123" s="514">
        <f t="shared" si="48"/>
        <v>0</v>
      </c>
      <c r="N123" s="525"/>
      <c r="O123" s="514">
        <f t="shared" si="38"/>
        <v>0</v>
      </c>
      <c r="P123" s="514">
        <f t="shared" si="39"/>
        <v>0</v>
      </c>
      <c r="Q123" s="269"/>
    </row>
    <row r="124" spans="2:17">
      <c r="B124" s="195" t="str">
        <f t="shared" si="36"/>
        <v/>
      </c>
      <c r="C124" s="507">
        <f>IF(D93="","-",+C123+1)</f>
        <v>2038</v>
      </c>
      <c r="D124" s="374">
        <f>IF(F123+SUM(E$99:E123)=D$92,F123,D$92-SUM(E$99:E123))</f>
        <v>2062238.9089282376</v>
      </c>
      <c r="E124" s="522">
        <f t="shared" si="49"/>
        <v>123134.78048780488</v>
      </c>
      <c r="F124" s="523">
        <f t="shared" si="50"/>
        <v>1939104.1284404327</v>
      </c>
      <c r="G124" s="523">
        <f t="shared" si="51"/>
        <v>2000671.5186843351</v>
      </c>
      <c r="H124" s="526">
        <f t="shared" si="52"/>
        <v>350239.46015534946</v>
      </c>
      <c r="I124" s="577">
        <f t="shared" si="53"/>
        <v>350239.46015534946</v>
      </c>
      <c r="J124" s="514">
        <f t="shared" si="37"/>
        <v>0</v>
      </c>
      <c r="K124" s="514"/>
      <c r="L124" s="525"/>
      <c r="M124" s="514">
        <f t="shared" si="48"/>
        <v>0</v>
      </c>
      <c r="N124" s="525"/>
      <c r="O124" s="514">
        <f t="shared" si="38"/>
        <v>0</v>
      </c>
      <c r="P124" s="514">
        <f t="shared" si="39"/>
        <v>0</v>
      </c>
      <c r="Q124" s="269"/>
    </row>
    <row r="125" spans="2:17">
      <c r="B125" s="195" t="str">
        <f t="shared" si="36"/>
        <v/>
      </c>
      <c r="C125" s="507">
        <f>IF(D93="","-",+C124+1)</f>
        <v>2039</v>
      </c>
      <c r="D125" s="374">
        <f>IF(F124+SUM(E$99:E124)=D$92,F124,D$92-SUM(E$99:E124))</f>
        <v>1939104.1284404327</v>
      </c>
      <c r="E125" s="522">
        <f t="shared" si="49"/>
        <v>123134.78048780488</v>
      </c>
      <c r="F125" s="523">
        <f t="shared" si="50"/>
        <v>1815969.3479526278</v>
      </c>
      <c r="G125" s="523">
        <f t="shared" si="51"/>
        <v>1877536.7381965304</v>
      </c>
      <c r="H125" s="526">
        <f t="shared" si="52"/>
        <v>336261.91080881504</v>
      </c>
      <c r="I125" s="577">
        <f t="shared" si="53"/>
        <v>336261.91080881504</v>
      </c>
      <c r="J125" s="514">
        <f t="shared" si="37"/>
        <v>0</v>
      </c>
      <c r="K125" s="514"/>
      <c r="L125" s="525"/>
      <c r="M125" s="514">
        <f t="shared" si="48"/>
        <v>0</v>
      </c>
      <c r="N125" s="525"/>
      <c r="O125" s="514">
        <f t="shared" si="38"/>
        <v>0</v>
      </c>
      <c r="P125" s="514">
        <f t="shared" si="39"/>
        <v>0</v>
      </c>
      <c r="Q125" s="269"/>
    </row>
    <row r="126" spans="2:17">
      <c r="B126" s="195" t="str">
        <f t="shared" si="36"/>
        <v/>
      </c>
      <c r="C126" s="507">
        <f>IF(D93="","-",+C125+1)</f>
        <v>2040</v>
      </c>
      <c r="D126" s="374">
        <f>IF(F125+SUM(E$99:E125)=D$92,F125,D$92-SUM(E$99:E125))</f>
        <v>1815969.3479526278</v>
      </c>
      <c r="E126" s="522">
        <f t="shared" si="49"/>
        <v>123134.78048780488</v>
      </c>
      <c r="F126" s="523">
        <f t="shared" si="50"/>
        <v>1692834.5674648229</v>
      </c>
      <c r="G126" s="523">
        <f t="shared" si="51"/>
        <v>1754401.9577087252</v>
      </c>
      <c r="H126" s="526">
        <f t="shared" si="52"/>
        <v>322284.36146228056</v>
      </c>
      <c r="I126" s="577">
        <f t="shared" si="53"/>
        <v>322284.36146228056</v>
      </c>
      <c r="J126" s="514">
        <f t="shared" si="37"/>
        <v>0</v>
      </c>
      <c r="K126" s="514"/>
      <c r="L126" s="525"/>
      <c r="M126" s="514">
        <f t="shared" si="48"/>
        <v>0</v>
      </c>
      <c r="N126" s="525"/>
      <c r="O126" s="514">
        <f t="shared" si="38"/>
        <v>0</v>
      </c>
      <c r="P126" s="514">
        <f t="shared" si="39"/>
        <v>0</v>
      </c>
      <c r="Q126" s="269"/>
    </row>
    <row r="127" spans="2:17">
      <c r="B127" s="195" t="str">
        <f t="shared" si="36"/>
        <v/>
      </c>
      <c r="C127" s="507">
        <f>IF(D93="","-",+C126+1)</f>
        <v>2041</v>
      </c>
      <c r="D127" s="374">
        <f>IF(F126+SUM(E$99:E126)=D$92,F126,D$92-SUM(E$99:E126))</f>
        <v>1692834.5674648229</v>
      </c>
      <c r="E127" s="522">
        <f t="shared" si="49"/>
        <v>123134.78048780488</v>
      </c>
      <c r="F127" s="523">
        <f t="shared" si="50"/>
        <v>1569699.786977018</v>
      </c>
      <c r="G127" s="523">
        <f t="shared" si="51"/>
        <v>1631267.1772209206</v>
      </c>
      <c r="H127" s="526">
        <f t="shared" si="52"/>
        <v>308306.81211574608</v>
      </c>
      <c r="I127" s="577">
        <f t="shared" si="53"/>
        <v>308306.81211574608</v>
      </c>
      <c r="J127" s="514">
        <f t="shared" si="37"/>
        <v>0</v>
      </c>
      <c r="K127" s="514"/>
      <c r="L127" s="525"/>
      <c r="M127" s="514">
        <f t="shared" si="48"/>
        <v>0</v>
      </c>
      <c r="N127" s="525"/>
      <c r="O127" s="514">
        <f t="shared" si="38"/>
        <v>0</v>
      </c>
      <c r="P127" s="514">
        <f t="shared" si="39"/>
        <v>0</v>
      </c>
      <c r="Q127" s="269"/>
    </row>
    <row r="128" spans="2:17">
      <c r="B128" s="195" t="str">
        <f t="shared" si="36"/>
        <v/>
      </c>
      <c r="C128" s="507">
        <f>IF(D93="","-",+C127+1)</f>
        <v>2042</v>
      </c>
      <c r="D128" s="374">
        <f>IF(F127+SUM(E$99:E127)=D$92,F127,D$92-SUM(E$99:E127))</f>
        <v>1569699.786977018</v>
      </c>
      <c r="E128" s="522">
        <f t="shared" si="49"/>
        <v>123134.78048780488</v>
      </c>
      <c r="F128" s="523">
        <f t="shared" si="50"/>
        <v>1446565.0064892131</v>
      </c>
      <c r="G128" s="523">
        <f t="shared" si="51"/>
        <v>1508132.3967331154</v>
      </c>
      <c r="H128" s="526">
        <f t="shared" si="52"/>
        <v>294329.26276921161</v>
      </c>
      <c r="I128" s="577">
        <f t="shared" si="53"/>
        <v>294329.26276921161</v>
      </c>
      <c r="J128" s="514">
        <f t="shared" si="37"/>
        <v>0</v>
      </c>
      <c r="K128" s="514"/>
      <c r="L128" s="525"/>
      <c r="M128" s="514">
        <f t="shared" si="48"/>
        <v>0</v>
      </c>
      <c r="N128" s="525"/>
      <c r="O128" s="514">
        <f t="shared" si="38"/>
        <v>0</v>
      </c>
      <c r="P128" s="514">
        <f t="shared" si="39"/>
        <v>0</v>
      </c>
      <c r="Q128" s="269"/>
    </row>
    <row r="129" spans="2:17">
      <c r="B129" s="195" t="str">
        <f t="shared" si="36"/>
        <v/>
      </c>
      <c r="C129" s="507">
        <f>IF(D93="","-",+C128+1)</f>
        <v>2043</v>
      </c>
      <c r="D129" s="374">
        <f>IF(F128+SUM(E$99:E128)=D$92,F128,D$92-SUM(E$99:E128))</f>
        <v>1446565.0064892131</v>
      </c>
      <c r="E129" s="522">
        <f t="shared" si="49"/>
        <v>123134.78048780488</v>
      </c>
      <c r="F129" s="523">
        <f t="shared" si="50"/>
        <v>1323430.2260014082</v>
      </c>
      <c r="G129" s="523">
        <f t="shared" si="51"/>
        <v>1384997.6162453108</v>
      </c>
      <c r="H129" s="526">
        <f t="shared" si="52"/>
        <v>280351.71342267713</v>
      </c>
      <c r="I129" s="577">
        <f t="shared" si="53"/>
        <v>280351.71342267713</v>
      </c>
      <c r="J129" s="514">
        <f t="shared" si="37"/>
        <v>0</v>
      </c>
      <c r="K129" s="514"/>
      <c r="L129" s="525"/>
      <c r="M129" s="514">
        <f t="shared" si="48"/>
        <v>0</v>
      </c>
      <c r="N129" s="525"/>
      <c r="O129" s="514">
        <f t="shared" si="38"/>
        <v>0</v>
      </c>
      <c r="P129" s="514">
        <f t="shared" si="39"/>
        <v>0</v>
      </c>
      <c r="Q129" s="269"/>
    </row>
    <row r="130" spans="2:17">
      <c r="B130" s="195" t="str">
        <f t="shared" si="36"/>
        <v/>
      </c>
      <c r="C130" s="507">
        <f>IF(D93="","-",+C129+1)</f>
        <v>2044</v>
      </c>
      <c r="D130" s="374">
        <f>IF(F129+SUM(E$99:E129)=D$92,F129,D$92-SUM(E$99:E129))</f>
        <v>1323430.2260014082</v>
      </c>
      <c r="E130" s="522">
        <f t="shared" si="49"/>
        <v>123134.78048780488</v>
      </c>
      <c r="F130" s="523">
        <f t="shared" si="50"/>
        <v>1200295.4455136033</v>
      </c>
      <c r="G130" s="523">
        <f t="shared" si="51"/>
        <v>1261862.8357575056</v>
      </c>
      <c r="H130" s="526">
        <f t="shared" si="52"/>
        <v>266374.16407614265</v>
      </c>
      <c r="I130" s="577">
        <f t="shared" si="53"/>
        <v>266374.16407614265</v>
      </c>
      <c r="J130" s="514">
        <f t="shared" si="37"/>
        <v>0</v>
      </c>
      <c r="K130" s="514"/>
      <c r="L130" s="525"/>
      <c r="M130" s="514">
        <f t="shared" si="48"/>
        <v>0</v>
      </c>
      <c r="N130" s="525"/>
      <c r="O130" s="514">
        <f t="shared" si="38"/>
        <v>0</v>
      </c>
      <c r="P130" s="514">
        <f t="shared" si="39"/>
        <v>0</v>
      </c>
      <c r="Q130" s="269"/>
    </row>
    <row r="131" spans="2:17">
      <c r="B131" s="195" t="str">
        <f t="shared" si="36"/>
        <v/>
      </c>
      <c r="C131" s="507">
        <f>IF(D93="","-",+C130+1)</f>
        <v>2045</v>
      </c>
      <c r="D131" s="374">
        <f>IF(F130+SUM(E$99:E130)=D$92,F130,D$92-SUM(E$99:E130))</f>
        <v>1200295.4455136033</v>
      </c>
      <c r="E131" s="522">
        <f t="shared" si="49"/>
        <v>123134.78048780488</v>
      </c>
      <c r="F131" s="523">
        <f t="shared" si="50"/>
        <v>1077160.6650257984</v>
      </c>
      <c r="G131" s="523">
        <f t="shared" si="51"/>
        <v>1138728.0552697009</v>
      </c>
      <c r="H131" s="526">
        <f t="shared" si="52"/>
        <v>252396.61472960823</v>
      </c>
      <c r="I131" s="577">
        <f t="shared" si="53"/>
        <v>252396.61472960823</v>
      </c>
      <c r="J131" s="514">
        <f t="shared" si="37"/>
        <v>0</v>
      </c>
      <c r="K131" s="514"/>
      <c r="L131" s="525"/>
      <c r="M131" s="514">
        <f t="shared" ref="M131:M154" si="54">IF(L541&lt;&gt;0,+H541-L541,0)</f>
        <v>0</v>
      </c>
      <c r="N131" s="525"/>
      <c r="O131" s="514">
        <f t="shared" ref="O131:O154" si="55">IF(N541&lt;&gt;0,+I541-N541,0)</f>
        <v>0</v>
      </c>
      <c r="P131" s="514">
        <f t="shared" ref="P131:P154" si="56">+O541-M541</f>
        <v>0</v>
      </c>
      <c r="Q131" s="269"/>
    </row>
    <row r="132" spans="2:17">
      <c r="B132" s="195" t="str">
        <f t="shared" si="36"/>
        <v/>
      </c>
      <c r="C132" s="507">
        <f>IF(D93="","-",+C131+1)</f>
        <v>2046</v>
      </c>
      <c r="D132" s="374">
        <f>IF(F131+SUM(E$99:E131)=D$92,F131,D$92-SUM(E$99:E131))</f>
        <v>1077160.6650257984</v>
      </c>
      <c r="E132" s="522">
        <f t="shared" si="49"/>
        <v>123134.78048780488</v>
      </c>
      <c r="F132" s="523">
        <f t="shared" si="50"/>
        <v>954025.88453799346</v>
      </c>
      <c r="G132" s="523">
        <f t="shared" si="51"/>
        <v>1015593.2747818959</v>
      </c>
      <c r="H132" s="526">
        <f t="shared" si="52"/>
        <v>238419.06538307376</v>
      </c>
      <c r="I132" s="577">
        <f t="shared" si="53"/>
        <v>238419.06538307376</v>
      </c>
      <c r="J132" s="514">
        <f t="shared" si="37"/>
        <v>0</v>
      </c>
      <c r="K132" s="514"/>
      <c r="L132" s="525"/>
      <c r="M132" s="514">
        <f t="shared" si="54"/>
        <v>0</v>
      </c>
      <c r="N132" s="525"/>
      <c r="O132" s="514">
        <f t="shared" si="55"/>
        <v>0</v>
      </c>
      <c r="P132" s="514">
        <f t="shared" si="56"/>
        <v>0</v>
      </c>
      <c r="Q132" s="269"/>
    </row>
    <row r="133" spans="2:17">
      <c r="B133" s="195" t="str">
        <f t="shared" si="36"/>
        <v/>
      </c>
      <c r="C133" s="507">
        <f>IF(D93="","-",+C132+1)</f>
        <v>2047</v>
      </c>
      <c r="D133" s="374">
        <f>IF(F132+SUM(E$99:E132)=D$92,F132,D$92-SUM(E$99:E132))</f>
        <v>954025.88453799346</v>
      </c>
      <c r="E133" s="522">
        <f t="shared" si="49"/>
        <v>123134.78048780488</v>
      </c>
      <c r="F133" s="523">
        <f t="shared" si="50"/>
        <v>830891.10405018856</v>
      </c>
      <c r="G133" s="523">
        <f t="shared" si="51"/>
        <v>892458.49429409101</v>
      </c>
      <c r="H133" s="526">
        <f t="shared" si="52"/>
        <v>224441.51603653928</v>
      </c>
      <c r="I133" s="577">
        <f t="shared" si="53"/>
        <v>224441.51603653928</v>
      </c>
      <c r="J133" s="514">
        <f t="shared" si="37"/>
        <v>0</v>
      </c>
      <c r="K133" s="514"/>
      <c r="L133" s="525"/>
      <c r="M133" s="514">
        <f t="shared" si="54"/>
        <v>0</v>
      </c>
      <c r="N133" s="525"/>
      <c r="O133" s="514">
        <f t="shared" si="55"/>
        <v>0</v>
      </c>
      <c r="P133" s="514">
        <f t="shared" si="56"/>
        <v>0</v>
      </c>
      <c r="Q133" s="269"/>
    </row>
    <row r="134" spans="2:17">
      <c r="B134" s="195" t="str">
        <f t="shared" si="36"/>
        <v/>
      </c>
      <c r="C134" s="507">
        <f>IF(D93="","-",+C133+1)</f>
        <v>2048</v>
      </c>
      <c r="D134" s="374">
        <f>IF(F133+SUM(E$99:E133)=D$92,F133,D$92-SUM(E$99:E133))</f>
        <v>830891.10405018856</v>
      </c>
      <c r="E134" s="522">
        <f t="shared" si="49"/>
        <v>123134.78048780488</v>
      </c>
      <c r="F134" s="523">
        <f t="shared" si="50"/>
        <v>707756.32356238365</v>
      </c>
      <c r="G134" s="523">
        <f t="shared" si="51"/>
        <v>769323.7138062861</v>
      </c>
      <c r="H134" s="526">
        <f t="shared" si="52"/>
        <v>210463.9666900048</v>
      </c>
      <c r="I134" s="577">
        <f t="shared" si="53"/>
        <v>210463.9666900048</v>
      </c>
      <c r="J134" s="514">
        <f t="shared" si="37"/>
        <v>0</v>
      </c>
      <c r="K134" s="514"/>
      <c r="L134" s="525"/>
      <c r="M134" s="514">
        <f t="shared" si="54"/>
        <v>0</v>
      </c>
      <c r="N134" s="525"/>
      <c r="O134" s="514">
        <f t="shared" si="55"/>
        <v>0</v>
      </c>
      <c r="P134" s="514">
        <f t="shared" si="56"/>
        <v>0</v>
      </c>
      <c r="Q134" s="269"/>
    </row>
    <row r="135" spans="2:17">
      <c r="B135" s="195" t="str">
        <f t="shared" si="36"/>
        <v/>
      </c>
      <c r="C135" s="507">
        <f>IF(D93="","-",+C134+1)</f>
        <v>2049</v>
      </c>
      <c r="D135" s="374">
        <f>IF(F134+SUM(E$99:E134)=D$92,F134,D$92-SUM(E$99:E134))</f>
        <v>707756.32356238365</v>
      </c>
      <c r="E135" s="522">
        <f t="shared" si="49"/>
        <v>123134.78048780488</v>
      </c>
      <c r="F135" s="523">
        <f t="shared" si="50"/>
        <v>584621.54307457875</v>
      </c>
      <c r="G135" s="523">
        <f t="shared" si="51"/>
        <v>646188.9333184812</v>
      </c>
      <c r="H135" s="526">
        <f t="shared" si="52"/>
        <v>196486.41734347033</v>
      </c>
      <c r="I135" s="577">
        <f t="shared" si="53"/>
        <v>196486.41734347033</v>
      </c>
      <c r="J135" s="514">
        <f t="shared" si="37"/>
        <v>0</v>
      </c>
      <c r="K135" s="514"/>
      <c r="L135" s="525"/>
      <c r="M135" s="514">
        <f t="shared" si="54"/>
        <v>0</v>
      </c>
      <c r="N135" s="525"/>
      <c r="O135" s="514">
        <f t="shared" si="55"/>
        <v>0</v>
      </c>
      <c r="P135" s="514">
        <f t="shared" si="56"/>
        <v>0</v>
      </c>
      <c r="Q135" s="269"/>
    </row>
    <row r="136" spans="2:17">
      <c r="B136" s="195" t="str">
        <f t="shared" si="36"/>
        <v/>
      </c>
      <c r="C136" s="507">
        <f>IF(D93="","-",+C135+1)</f>
        <v>2050</v>
      </c>
      <c r="D136" s="374">
        <f>IF(F135+SUM(E$99:E135)=D$92,F135,D$92-SUM(E$99:E135))</f>
        <v>584621.54307457875</v>
      </c>
      <c r="E136" s="522">
        <f t="shared" si="49"/>
        <v>123134.78048780488</v>
      </c>
      <c r="F136" s="523">
        <f t="shared" si="50"/>
        <v>461486.76258677384</v>
      </c>
      <c r="G136" s="523">
        <f t="shared" si="51"/>
        <v>523054.15283067629</v>
      </c>
      <c r="H136" s="526">
        <f t="shared" si="52"/>
        <v>182508.86799693585</v>
      </c>
      <c r="I136" s="577">
        <f t="shared" si="53"/>
        <v>182508.86799693585</v>
      </c>
      <c r="J136" s="514">
        <f t="shared" si="37"/>
        <v>0</v>
      </c>
      <c r="K136" s="514"/>
      <c r="L136" s="525"/>
      <c r="M136" s="514">
        <f t="shared" si="54"/>
        <v>0</v>
      </c>
      <c r="N136" s="525"/>
      <c r="O136" s="514">
        <f t="shared" si="55"/>
        <v>0</v>
      </c>
      <c r="P136" s="514">
        <f t="shared" si="56"/>
        <v>0</v>
      </c>
      <c r="Q136" s="269"/>
    </row>
    <row r="137" spans="2:17">
      <c r="B137" s="195" t="str">
        <f t="shared" si="36"/>
        <v/>
      </c>
      <c r="C137" s="507">
        <f>IF(D93="","-",+C136+1)</f>
        <v>2051</v>
      </c>
      <c r="D137" s="374">
        <f>IF(F136+SUM(E$99:E136)=D$92,F136,D$92-SUM(E$99:E136))</f>
        <v>461486.76258677384</v>
      </c>
      <c r="E137" s="522">
        <f t="shared" si="49"/>
        <v>123134.78048780488</v>
      </c>
      <c r="F137" s="523">
        <f t="shared" si="50"/>
        <v>338351.98209896893</v>
      </c>
      <c r="G137" s="523">
        <f t="shared" si="51"/>
        <v>399919.37234287139</v>
      </c>
      <c r="H137" s="526">
        <f t="shared" si="52"/>
        <v>168531.31865040137</v>
      </c>
      <c r="I137" s="577">
        <f t="shared" si="53"/>
        <v>168531.31865040137</v>
      </c>
      <c r="J137" s="514">
        <f t="shared" si="37"/>
        <v>0</v>
      </c>
      <c r="K137" s="514"/>
      <c r="L137" s="525"/>
      <c r="M137" s="514">
        <f t="shared" si="54"/>
        <v>0</v>
      </c>
      <c r="N137" s="525"/>
      <c r="O137" s="514">
        <f t="shared" si="55"/>
        <v>0</v>
      </c>
      <c r="P137" s="514">
        <f t="shared" si="56"/>
        <v>0</v>
      </c>
      <c r="Q137" s="269"/>
    </row>
    <row r="138" spans="2:17">
      <c r="B138" s="195" t="str">
        <f t="shared" si="36"/>
        <v/>
      </c>
      <c r="C138" s="507">
        <f>IF(D93="","-",+C137+1)</f>
        <v>2052</v>
      </c>
      <c r="D138" s="374">
        <f>IF(F137+SUM(E$99:E137)=D$92,F137,D$92-SUM(E$99:E137))</f>
        <v>338351.98209896893</v>
      </c>
      <c r="E138" s="522">
        <f t="shared" si="49"/>
        <v>123134.78048780488</v>
      </c>
      <c r="F138" s="523">
        <f t="shared" si="50"/>
        <v>215217.20161116406</v>
      </c>
      <c r="G138" s="523">
        <f t="shared" si="51"/>
        <v>276784.59185506648</v>
      </c>
      <c r="H138" s="526">
        <f t="shared" si="52"/>
        <v>154553.76930386689</v>
      </c>
      <c r="I138" s="577">
        <f t="shared" si="53"/>
        <v>154553.76930386689</v>
      </c>
      <c r="J138" s="514">
        <f t="shared" si="37"/>
        <v>0</v>
      </c>
      <c r="K138" s="514"/>
      <c r="L138" s="525"/>
      <c r="M138" s="514">
        <f t="shared" si="54"/>
        <v>0</v>
      </c>
      <c r="N138" s="525"/>
      <c r="O138" s="514">
        <f t="shared" si="55"/>
        <v>0</v>
      </c>
      <c r="P138" s="514">
        <f t="shared" si="56"/>
        <v>0</v>
      </c>
      <c r="Q138" s="269"/>
    </row>
    <row r="139" spans="2:17">
      <c r="B139" s="195" t="str">
        <f t="shared" si="36"/>
        <v/>
      </c>
      <c r="C139" s="507">
        <f>IF(D93="","-",+C138+1)</f>
        <v>2053</v>
      </c>
      <c r="D139" s="374">
        <f>IF(F138+SUM(E$99:E138)=D$92,F138,D$92-SUM(E$99:E138))</f>
        <v>215217.20161116406</v>
      </c>
      <c r="E139" s="522">
        <f t="shared" si="49"/>
        <v>123134.78048780488</v>
      </c>
      <c r="F139" s="523">
        <f t="shared" si="50"/>
        <v>92082.421123359178</v>
      </c>
      <c r="G139" s="523">
        <f t="shared" si="51"/>
        <v>153649.81136726163</v>
      </c>
      <c r="H139" s="526">
        <f t="shared" si="52"/>
        <v>140576.21995733245</v>
      </c>
      <c r="I139" s="577">
        <f t="shared" si="53"/>
        <v>140576.21995733245</v>
      </c>
      <c r="J139" s="514">
        <f t="shared" si="37"/>
        <v>0</v>
      </c>
      <c r="K139" s="514"/>
      <c r="L139" s="525"/>
      <c r="M139" s="514">
        <f t="shared" si="54"/>
        <v>0</v>
      </c>
      <c r="N139" s="525"/>
      <c r="O139" s="514">
        <f t="shared" si="55"/>
        <v>0</v>
      </c>
      <c r="P139" s="514">
        <f t="shared" si="56"/>
        <v>0</v>
      </c>
      <c r="Q139" s="269"/>
    </row>
    <row r="140" spans="2:17">
      <c r="B140" s="195" t="str">
        <f t="shared" si="36"/>
        <v/>
      </c>
      <c r="C140" s="507">
        <f>IF(D93="","-",+C139+1)</f>
        <v>2054</v>
      </c>
      <c r="D140" s="374">
        <f>IF(F139+SUM(E$99:E139)=D$92,F139,D$92-SUM(E$99:E139))</f>
        <v>92082.421123359178</v>
      </c>
      <c r="E140" s="522">
        <f t="shared" si="49"/>
        <v>92082.421123359178</v>
      </c>
      <c r="F140" s="523">
        <f t="shared" si="50"/>
        <v>0</v>
      </c>
      <c r="G140" s="523">
        <f t="shared" si="51"/>
        <v>46041.210561679589</v>
      </c>
      <c r="H140" s="526">
        <f t="shared" si="52"/>
        <v>97308.753521489343</v>
      </c>
      <c r="I140" s="577">
        <f t="shared" si="53"/>
        <v>97308.753521489343</v>
      </c>
      <c r="J140" s="514">
        <f t="shared" si="37"/>
        <v>0</v>
      </c>
      <c r="K140" s="514"/>
      <c r="L140" s="525"/>
      <c r="M140" s="514">
        <f t="shared" si="54"/>
        <v>0</v>
      </c>
      <c r="N140" s="525"/>
      <c r="O140" s="514">
        <f t="shared" si="55"/>
        <v>0</v>
      </c>
      <c r="P140" s="514">
        <f t="shared" si="56"/>
        <v>0</v>
      </c>
      <c r="Q140" s="269"/>
    </row>
    <row r="141" spans="2:17">
      <c r="B141" s="195" t="str">
        <f t="shared" si="36"/>
        <v/>
      </c>
      <c r="C141" s="507">
        <f>IF(D93="","-",+C140+1)</f>
        <v>2055</v>
      </c>
      <c r="D141" s="374">
        <f>IF(F140+SUM(E$99:E140)=D$92,F140,D$92-SUM(E$99:E140))</f>
        <v>0</v>
      </c>
      <c r="E141" s="522">
        <f t="shared" si="49"/>
        <v>0</v>
      </c>
      <c r="F141" s="523">
        <f t="shared" si="50"/>
        <v>0</v>
      </c>
      <c r="G141" s="523">
        <f t="shared" si="51"/>
        <v>0</v>
      </c>
      <c r="H141" s="526">
        <f t="shared" si="52"/>
        <v>0</v>
      </c>
      <c r="I141" s="577">
        <f t="shared" si="53"/>
        <v>0</v>
      </c>
      <c r="J141" s="514">
        <f t="shared" si="37"/>
        <v>0</v>
      </c>
      <c r="K141" s="514"/>
      <c r="L141" s="525"/>
      <c r="M141" s="514">
        <f t="shared" si="54"/>
        <v>0</v>
      </c>
      <c r="N141" s="525"/>
      <c r="O141" s="514">
        <f t="shared" si="55"/>
        <v>0</v>
      </c>
      <c r="P141" s="514">
        <f t="shared" si="56"/>
        <v>0</v>
      </c>
      <c r="Q141" s="269"/>
    </row>
    <row r="142" spans="2:17">
      <c r="B142" s="195" t="str">
        <f t="shared" si="36"/>
        <v/>
      </c>
      <c r="C142" s="507">
        <f>IF(D93="","-",+C141+1)</f>
        <v>2056</v>
      </c>
      <c r="D142" s="374">
        <f>IF(F141+SUM(E$99:E141)=D$92,F141,D$92-SUM(E$99:E141))</f>
        <v>0</v>
      </c>
      <c r="E142" s="522">
        <f t="shared" si="49"/>
        <v>0</v>
      </c>
      <c r="F142" s="523">
        <f t="shared" si="50"/>
        <v>0</v>
      </c>
      <c r="G142" s="523">
        <f t="shared" si="51"/>
        <v>0</v>
      </c>
      <c r="H142" s="526">
        <f t="shared" si="52"/>
        <v>0</v>
      </c>
      <c r="I142" s="577">
        <f t="shared" si="53"/>
        <v>0</v>
      </c>
      <c r="J142" s="514">
        <f t="shared" si="37"/>
        <v>0</v>
      </c>
      <c r="K142" s="514"/>
      <c r="L142" s="525"/>
      <c r="M142" s="514">
        <f t="shared" si="54"/>
        <v>0</v>
      </c>
      <c r="N142" s="525"/>
      <c r="O142" s="514">
        <f t="shared" si="55"/>
        <v>0</v>
      </c>
      <c r="P142" s="514">
        <f t="shared" si="56"/>
        <v>0</v>
      </c>
      <c r="Q142" s="269"/>
    </row>
    <row r="143" spans="2:17">
      <c r="B143" s="195" t="str">
        <f t="shared" si="36"/>
        <v/>
      </c>
      <c r="C143" s="507">
        <f>IF(D93="","-",+C142+1)</f>
        <v>2057</v>
      </c>
      <c r="D143" s="374">
        <f>IF(F142+SUM(E$99:E142)=D$92,F142,D$92-SUM(E$99:E142))</f>
        <v>0</v>
      </c>
      <c r="E143" s="522">
        <f t="shared" si="49"/>
        <v>0</v>
      </c>
      <c r="F143" s="523">
        <f t="shared" si="50"/>
        <v>0</v>
      </c>
      <c r="G143" s="523">
        <f t="shared" si="51"/>
        <v>0</v>
      </c>
      <c r="H143" s="526">
        <f t="shared" si="52"/>
        <v>0</v>
      </c>
      <c r="I143" s="577">
        <f t="shared" si="53"/>
        <v>0</v>
      </c>
      <c r="J143" s="514">
        <f t="shared" si="37"/>
        <v>0</v>
      </c>
      <c r="K143" s="514"/>
      <c r="L143" s="525"/>
      <c r="M143" s="514">
        <f t="shared" si="54"/>
        <v>0</v>
      </c>
      <c r="N143" s="525"/>
      <c r="O143" s="514">
        <f t="shared" si="55"/>
        <v>0</v>
      </c>
      <c r="P143" s="514">
        <f t="shared" si="56"/>
        <v>0</v>
      </c>
      <c r="Q143" s="269"/>
    </row>
    <row r="144" spans="2:17">
      <c r="B144" s="195" t="str">
        <f t="shared" si="36"/>
        <v/>
      </c>
      <c r="C144" s="507">
        <f>IF(D93="","-",+C143+1)</f>
        <v>2058</v>
      </c>
      <c r="D144" s="374">
        <f>IF(F143+SUM(E$99:E143)=D$92,F143,D$92-SUM(E$99:E143))</f>
        <v>0</v>
      </c>
      <c r="E144" s="522">
        <f t="shared" si="49"/>
        <v>0</v>
      </c>
      <c r="F144" s="523">
        <f t="shared" si="50"/>
        <v>0</v>
      </c>
      <c r="G144" s="523">
        <f t="shared" si="51"/>
        <v>0</v>
      </c>
      <c r="H144" s="526">
        <f t="shared" si="52"/>
        <v>0</v>
      </c>
      <c r="I144" s="577">
        <f t="shared" si="53"/>
        <v>0</v>
      </c>
      <c r="J144" s="514">
        <f t="shared" si="37"/>
        <v>0</v>
      </c>
      <c r="K144" s="514"/>
      <c r="L144" s="525"/>
      <c r="M144" s="514">
        <f t="shared" si="54"/>
        <v>0</v>
      </c>
      <c r="N144" s="525"/>
      <c r="O144" s="514">
        <f t="shared" si="55"/>
        <v>0</v>
      </c>
      <c r="P144" s="514">
        <f t="shared" si="56"/>
        <v>0</v>
      </c>
      <c r="Q144" s="269"/>
    </row>
    <row r="145" spans="2:17">
      <c r="B145" s="195" t="str">
        <f t="shared" si="36"/>
        <v/>
      </c>
      <c r="C145" s="507">
        <f>IF(D93="","-",+C144+1)</f>
        <v>2059</v>
      </c>
      <c r="D145" s="374">
        <f>IF(F144+SUM(E$99:E144)=D$92,F144,D$92-SUM(E$99:E144))</f>
        <v>0</v>
      </c>
      <c r="E145" s="522">
        <f t="shared" si="49"/>
        <v>0</v>
      </c>
      <c r="F145" s="523">
        <f t="shared" si="50"/>
        <v>0</v>
      </c>
      <c r="G145" s="523">
        <f t="shared" si="51"/>
        <v>0</v>
      </c>
      <c r="H145" s="526">
        <f t="shared" si="52"/>
        <v>0</v>
      </c>
      <c r="I145" s="577">
        <f t="shared" si="53"/>
        <v>0</v>
      </c>
      <c r="J145" s="514">
        <f t="shared" si="37"/>
        <v>0</v>
      </c>
      <c r="K145" s="514"/>
      <c r="L145" s="525"/>
      <c r="M145" s="514">
        <f t="shared" si="54"/>
        <v>0</v>
      </c>
      <c r="N145" s="525"/>
      <c r="O145" s="514">
        <f t="shared" si="55"/>
        <v>0</v>
      </c>
      <c r="P145" s="514">
        <f t="shared" si="56"/>
        <v>0</v>
      </c>
      <c r="Q145" s="269"/>
    </row>
    <row r="146" spans="2:17">
      <c r="B146" s="195" t="str">
        <f t="shared" si="36"/>
        <v/>
      </c>
      <c r="C146" s="507">
        <f>IF(D93="","-",+C145+1)</f>
        <v>2060</v>
      </c>
      <c r="D146" s="374">
        <f>IF(F145+SUM(E$99:E145)=D$92,F145,D$92-SUM(E$99:E145))</f>
        <v>0</v>
      </c>
      <c r="E146" s="522">
        <f t="shared" si="49"/>
        <v>0</v>
      </c>
      <c r="F146" s="523">
        <f t="shared" si="50"/>
        <v>0</v>
      </c>
      <c r="G146" s="523">
        <f t="shared" si="51"/>
        <v>0</v>
      </c>
      <c r="H146" s="526">
        <f t="shared" si="52"/>
        <v>0</v>
      </c>
      <c r="I146" s="577">
        <f t="shared" si="53"/>
        <v>0</v>
      </c>
      <c r="J146" s="514">
        <f t="shared" si="37"/>
        <v>0</v>
      </c>
      <c r="K146" s="514"/>
      <c r="L146" s="525"/>
      <c r="M146" s="514">
        <f t="shared" si="54"/>
        <v>0</v>
      </c>
      <c r="N146" s="525"/>
      <c r="O146" s="514">
        <f t="shared" si="55"/>
        <v>0</v>
      </c>
      <c r="P146" s="514">
        <f t="shared" si="56"/>
        <v>0</v>
      </c>
      <c r="Q146" s="269"/>
    </row>
    <row r="147" spans="2:17">
      <c r="B147" s="195" t="str">
        <f t="shared" si="36"/>
        <v/>
      </c>
      <c r="C147" s="507">
        <f>IF(D93="","-",+C146+1)</f>
        <v>2061</v>
      </c>
      <c r="D147" s="374">
        <f>IF(F146+SUM(E$99:E146)=D$92,F146,D$92-SUM(E$99:E146))</f>
        <v>0</v>
      </c>
      <c r="E147" s="522">
        <f t="shared" si="49"/>
        <v>0</v>
      </c>
      <c r="F147" s="523">
        <f t="shared" si="50"/>
        <v>0</v>
      </c>
      <c r="G147" s="523">
        <f t="shared" si="51"/>
        <v>0</v>
      </c>
      <c r="H147" s="526">
        <f t="shared" si="52"/>
        <v>0</v>
      </c>
      <c r="I147" s="577">
        <f t="shared" si="53"/>
        <v>0</v>
      </c>
      <c r="J147" s="514">
        <f t="shared" si="37"/>
        <v>0</v>
      </c>
      <c r="K147" s="514"/>
      <c r="L147" s="525"/>
      <c r="M147" s="514">
        <f t="shared" si="54"/>
        <v>0</v>
      </c>
      <c r="N147" s="525"/>
      <c r="O147" s="514">
        <f t="shared" si="55"/>
        <v>0</v>
      </c>
      <c r="P147" s="514">
        <f t="shared" si="56"/>
        <v>0</v>
      </c>
      <c r="Q147" s="269"/>
    </row>
    <row r="148" spans="2:17">
      <c r="B148" s="195" t="str">
        <f t="shared" si="36"/>
        <v/>
      </c>
      <c r="C148" s="507">
        <f>IF(D93="","-",+C147+1)</f>
        <v>2062</v>
      </c>
      <c r="D148" s="374">
        <f>IF(F147+SUM(E$99:E147)=D$92,F147,D$92-SUM(E$99:E147))</f>
        <v>0</v>
      </c>
      <c r="E148" s="522">
        <f t="shared" si="49"/>
        <v>0</v>
      </c>
      <c r="F148" s="523">
        <f t="shared" si="50"/>
        <v>0</v>
      </c>
      <c r="G148" s="523">
        <f t="shared" si="51"/>
        <v>0</v>
      </c>
      <c r="H148" s="526">
        <f t="shared" si="52"/>
        <v>0</v>
      </c>
      <c r="I148" s="577">
        <f t="shared" si="53"/>
        <v>0</v>
      </c>
      <c r="J148" s="514">
        <f t="shared" si="37"/>
        <v>0</v>
      </c>
      <c r="K148" s="514"/>
      <c r="L148" s="525"/>
      <c r="M148" s="514">
        <f t="shared" si="54"/>
        <v>0</v>
      </c>
      <c r="N148" s="525"/>
      <c r="O148" s="514">
        <f t="shared" si="55"/>
        <v>0</v>
      </c>
      <c r="P148" s="514">
        <f t="shared" si="56"/>
        <v>0</v>
      </c>
      <c r="Q148" s="269"/>
    </row>
    <row r="149" spans="2:17">
      <c r="B149" s="195" t="str">
        <f t="shared" si="36"/>
        <v/>
      </c>
      <c r="C149" s="507">
        <f>IF(D93="","-",+C148+1)</f>
        <v>2063</v>
      </c>
      <c r="D149" s="374">
        <f>IF(F148+SUM(E$99:E148)=D$92,F148,D$92-SUM(E$99:E148))</f>
        <v>0</v>
      </c>
      <c r="E149" s="522">
        <f t="shared" si="49"/>
        <v>0</v>
      </c>
      <c r="F149" s="523">
        <f t="shared" si="50"/>
        <v>0</v>
      </c>
      <c r="G149" s="523">
        <f t="shared" si="51"/>
        <v>0</v>
      </c>
      <c r="H149" s="526">
        <f t="shared" si="52"/>
        <v>0</v>
      </c>
      <c r="I149" s="577">
        <f t="shared" si="53"/>
        <v>0</v>
      </c>
      <c r="J149" s="514">
        <f t="shared" si="37"/>
        <v>0</v>
      </c>
      <c r="K149" s="514"/>
      <c r="L149" s="525"/>
      <c r="M149" s="514">
        <f t="shared" si="54"/>
        <v>0</v>
      </c>
      <c r="N149" s="525"/>
      <c r="O149" s="514">
        <f t="shared" si="55"/>
        <v>0</v>
      </c>
      <c r="P149" s="514">
        <f t="shared" si="56"/>
        <v>0</v>
      </c>
      <c r="Q149" s="269"/>
    </row>
    <row r="150" spans="2:17">
      <c r="B150" s="195" t="str">
        <f t="shared" si="36"/>
        <v/>
      </c>
      <c r="C150" s="507">
        <f>IF(D93="","-",+C149+1)</f>
        <v>2064</v>
      </c>
      <c r="D150" s="374">
        <f>IF(F149+SUM(E$99:E149)=D$92,F149,D$92-SUM(E$99:E149))</f>
        <v>0</v>
      </c>
      <c r="E150" s="522">
        <f t="shared" si="49"/>
        <v>0</v>
      </c>
      <c r="F150" s="523">
        <f t="shared" si="50"/>
        <v>0</v>
      </c>
      <c r="G150" s="523">
        <f t="shared" si="51"/>
        <v>0</v>
      </c>
      <c r="H150" s="526">
        <f t="shared" si="52"/>
        <v>0</v>
      </c>
      <c r="I150" s="577">
        <f t="shared" si="53"/>
        <v>0</v>
      </c>
      <c r="J150" s="514">
        <f t="shared" si="37"/>
        <v>0</v>
      </c>
      <c r="K150" s="514"/>
      <c r="L150" s="525"/>
      <c r="M150" s="514">
        <f t="shared" si="54"/>
        <v>0</v>
      </c>
      <c r="N150" s="525"/>
      <c r="O150" s="514">
        <f t="shared" si="55"/>
        <v>0</v>
      </c>
      <c r="P150" s="514">
        <f t="shared" si="56"/>
        <v>0</v>
      </c>
      <c r="Q150" s="269"/>
    </row>
    <row r="151" spans="2:17">
      <c r="B151" s="195" t="str">
        <f t="shared" si="36"/>
        <v/>
      </c>
      <c r="C151" s="507">
        <f>IF(D93="","-",+C150+1)</f>
        <v>2065</v>
      </c>
      <c r="D151" s="374">
        <f>IF(F150+SUM(E$99:E150)=D$92,F150,D$92-SUM(E$99:E150))</f>
        <v>0</v>
      </c>
      <c r="E151" s="522">
        <f t="shared" si="49"/>
        <v>0</v>
      </c>
      <c r="F151" s="523">
        <f t="shared" si="50"/>
        <v>0</v>
      </c>
      <c r="G151" s="523">
        <f t="shared" si="51"/>
        <v>0</v>
      </c>
      <c r="H151" s="526">
        <f t="shared" si="52"/>
        <v>0</v>
      </c>
      <c r="I151" s="577">
        <f t="shared" si="53"/>
        <v>0</v>
      </c>
      <c r="J151" s="514">
        <f t="shared" si="37"/>
        <v>0</v>
      </c>
      <c r="K151" s="514"/>
      <c r="L151" s="525"/>
      <c r="M151" s="514">
        <f t="shared" si="54"/>
        <v>0</v>
      </c>
      <c r="N151" s="525"/>
      <c r="O151" s="514">
        <f t="shared" si="55"/>
        <v>0</v>
      </c>
      <c r="P151" s="514">
        <f t="shared" si="56"/>
        <v>0</v>
      </c>
      <c r="Q151" s="269"/>
    </row>
    <row r="152" spans="2:17">
      <c r="B152" s="195" t="str">
        <f t="shared" si="36"/>
        <v/>
      </c>
      <c r="C152" s="507">
        <f>IF(D93="","-",+C151+1)</f>
        <v>2066</v>
      </c>
      <c r="D152" s="374">
        <f>IF(F151+SUM(E$99:E151)=D$92,F151,D$92-SUM(E$99:E151))</f>
        <v>0</v>
      </c>
      <c r="E152" s="522">
        <f t="shared" si="49"/>
        <v>0</v>
      </c>
      <c r="F152" s="523">
        <f t="shared" si="50"/>
        <v>0</v>
      </c>
      <c r="G152" s="523">
        <f t="shared" si="51"/>
        <v>0</v>
      </c>
      <c r="H152" s="526">
        <f t="shared" si="52"/>
        <v>0</v>
      </c>
      <c r="I152" s="577">
        <f t="shared" si="53"/>
        <v>0</v>
      </c>
      <c r="J152" s="514">
        <f t="shared" si="37"/>
        <v>0</v>
      </c>
      <c r="K152" s="514"/>
      <c r="L152" s="525"/>
      <c r="M152" s="514">
        <f t="shared" si="54"/>
        <v>0</v>
      </c>
      <c r="N152" s="525"/>
      <c r="O152" s="514">
        <f t="shared" si="55"/>
        <v>0</v>
      </c>
      <c r="P152" s="514">
        <f t="shared" si="56"/>
        <v>0</v>
      </c>
      <c r="Q152" s="269"/>
    </row>
    <row r="153" spans="2:17">
      <c r="B153" s="195" t="str">
        <f t="shared" si="36"/>
        <v/>
      </c>
      <c r="C153" s="507">
        <f>IF(D93="","-",+C152+1)</f>
        <v>2067</v>
      </c>
      <c r="D153" s="374">
        <f>IF(F152+SUM(E$99:E152)=D$92,F152,D$92-SUM(E$99:E152))</f>
        <v>0</v>
      </c>
      <c r="E153" s="522">
        <f t="shared" si="49"/>
        <v>0</v>
      </c>
      <c r="F153" s="523">
        <f t="shared" si="50"/>
        <v>0</v>
      </c>
      <c r="G153" s="523">
        <f t="shared" si="51"/>
        <v>0</v>
      </c>
      <c r="H153" s="526">
        <f t="shared" si="52"/>
        <v>0</v>
      </c>
      <c r="I153" s="577">
        <f t="shared" si="53"/>
        <v>0</v>
      </c>
      <c r="J153" s="514">
        <f t="shared" si="37"/>
        <v>0</v>
      </c>
      <c r="K153" s="514"/>
      <c r="L153" s="525"/>
      <c r="M153" s="514">
        <f t="shared" si="54"/>
        <v>0</v>
      </c>
      <c r="N153" s="525"/>
      <c r="O153" s="514">
        <f t="shared" si="55"/>
        <v>0</v>
      </c>
      <c r="P153" s="514">
        <f t="shared" si="56"/>
        <v>0</v>
      </c>
      <c r="Q153" s="269"/>
    </row>
    <row r="154" spans="2:17" ht="13.5" thickBot="1">
      <c r="B154" s="195" t="str">
        <f t="shared" si="36"/>
        <v/>
      </c>
      <c r="C154" s="527">
        <f>IF(D93="","-",+C153+1)</f>
        <v>2068</v>
      </c>
      <c r="D154" s="374">
        <f>IF(F153+SUM(E$99:E153)=D$92,F153,D$92-SUM(E$99:E153))</f>
        <v>0</v>
      </c>
      <c r="E154" s="522">
        <f t="shared" si="49"/>
        <v>0</v>
      </c>
      <c r="F154" s="523">
        <f t="shared" si="50"/>
        <v>0</v>
      </c>
      <c r="G154" s="523">
        <f t="shared" si="51"/>
        <v>0</v>
      </c>
      <c r="H154" s="526">
        <f t="shared" si="52"/>
        <v>0</v>
      </c>
      <c r="I154" s="577">
        <f t="shared" si="53"/>
        <v>0</v>
      </c>
      <c r="J154" s="514">
        <f t="shared" si="37"/>
        <v>0</v>
      </c>
      <c r="K154" s="514"/>
      <c r="L154" s="532"/>
      <c r="M154" s="533">
        <f t="shared" si="54"/>
        <v>0</v>
      </c>
      <c r="N154" s="532"/>
      <c r="O154" s="533">
        <f t="shared" si="55"/>
        <v>0</v>
      </c>
      <c r="P154" s="533">
        <f t="shared" si="56"/>
        <v>0</v>
      </c>
      <c r="Q154" s="269"/>
    </row>
    <row r="155" spans="2:17">
      <c r="C155" s="374" t="s">
        <v>78</v>
      </c>
      <c r="D155" s="375"/>
      <c r="E155" s="375">
        <f>SUM(E99:E154)</f>
        <v>5048525.9999999991</v>
      </c>
      <c r="F155" s="375"/>
      <c r="G155" s="375"/>
      <c r="H155" s="375">
        <f>SUM(H99:H154)</f>
        <v>17202725.837599237</v>
      </c>
      <c r="I155" s="375">
        <f>SUM(I99:I154)</f>
        <v>17202725.837599237</v>
      </c>
      <c r="J155" s="375">
        <f>SUM(J99:J154)</f>
        <v>0</v>
      </c>
      <c r="K155" s="375"/>
      <c r="L155" s="375"/>
      <c r="M155" s="375"/>
      <c r="N155" s="375"/>
      <c r="O155" s="375"/>
      <c r="P155" s="269"/>
      <c r="Q155" s="269"/>
    </row>
    <row r="156" spans="2:17">
      <c r="C156" s="183" t="s">
        <v>92</v>
      </c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  <c r="Q156" s="269"/>
    </row>
    <row r="157" spans="2:17">
      <c r="C157" s="580"/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  <c r="Q157" s="269"/>
    </row>
    <row r="158" spans="2:17">
      <c r="C158" s="614" t="s">
        <v>132</v>
      </c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  <c r="Q158" s="269"/>
    </row>
    <row r="159" spans="2:17">
      <c r="C159" s="467" t="s">
        <v>79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  <c r="Q159" s="269"/>
    </row>
    <row r="160" spans="2:17">
      <c r="C160" s="581" t="s">
        <v>80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  <c r="Q160" s="269"/>
    </row>
    <row r="161" spans="3:17">
      <c r="C161" s="581"/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  <c r="Q161" s="269"/>
    </row>
    <row r="162" spans="3:17" ht="18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635" t="s">
        <v>131</v>
      </c>
      <c r="Q162" s="269"/>
    </row>
  </sheetData>
  <conditionalFormatting sqref="C17:C72">
    <cfRule type="cellIs" dxfId="88" priority="1" stopIfTrue="1" operator="equal">
      <formula>$I$10</formula>
    </cfRule>
  </conditionalFormatting>
  <conditionalFormatting sqref="C99:C154">
    <cfRule type="cellIs" dxfId="87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71"/>
  <dimension ref="A1:Q162"/>
  <sheetViews>
    <sheetView topLeftCell="A93" zoomScaleNormal="100" zoomScaleSheetLayoutView="75" workbookViewId="0">
      <selection activeCell="D99" sqref="D99:I108"/>
    </sheetView>
  </sheetViews>
  <sheetFormatPr defaultColWidth="8.7109375" defaultRowHeight="12.75" customHeight="1"/>
  <cols>
    <col min="1" max="1" width="4.7109375" style="183" customWidth="1"/>
    <col min="2" max="2" width="6.7109375" style="183" customWidth="1"/>
    <col min="3" max="3" width="23.28515625" style="183" customWidth="1"/>
    <col min="4" max="8" width="17.7109375" style="183" customWidth="1"/>
    <col min="9" max="9" width="20.42578125" style="183" customWidth="1"/>
    <col min="10" max="10" width="16.42578125" style="183" customWidth="1"/>
    <col min="11" max="11" width="17.7109375" style="183" customWidth="1"/>
    <col min="12" max="12" width="16.140625" style="183" customWidth="1"/>
    <col min="13" max="13" width="17.7109375" style="183" customWidth="1"/>
    <col min="14" max="14" width="16.7109375" style="183" customWidth="1"/>
    <col min="15" max="15" width="16.85546875" style="183" customWidth="1"/>
    <col min="16" max="16" width="24.42578125" style="183" customWidth="1"/>
    <col min="17" max="17" width="4.7109375" style="183" customWidth="1"/>
    <col min="18" max="22" width="8.7109375" style="183"/>
    <col min="23" max="23" width="9.140625" style="183" customWidth="1"/>
    <col min="24" max="16384" width="8.7109375" style="183"/>
  </cols>
  <sheetData>
    <row r="1" spans="1:17" ht="20.25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38 of 75</v>
      </c>
      <c r="Q1" s="453"/>
    </row>
    <row r="2" spans="1:17" ht="18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538" t="s">
        <v>129</v>
      </c>
    </row>
    <row r="3" spans="1:17" ht="18.75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/>
      <c r="P3" s="623">
        <v>1</v>
      </c>
    </row>
    <row r="4" spans="1:17" ht="15.75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7" ht="1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291633.10820049315</v>
      </c>
      <c r="P5" s="269"/>
    </row>
    <row r="6" spans="1:17" ht="15.7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291633.10820049315</v>
      </c>
      <c r="O6" s="269"/>
      <c r="P6" s="269"/>
    </row>
    <row r="7" spans="1:17" ht="13.5" thickBot="1">
      <c r="C7" s="467" t="s">
        <v>48</v>
      </c>
      <c r="D7" s="624" t="s">
        <v>303</v>
      </c>
      <c r="E7" s="587"/>
      <c r="F7" s="587"/>
      <c r="G7" s="587"/>
      <c r="H7" s="59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7" ht="13.5" thickBot="1">
      <c r="C8" s="472"/>
      <c r="D8" s="625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7" ht="13.5" thickBot="1">
      <c r="C9" s="476" t="s">
        <v>50</v>
      </c>
      <c r="D9" s="477" t="s">
        <v>302</v>
      </c>
      <c r="E9" s="666" t="s">
        <v>499</v>
      </c>
      <c r="F9" s="478"/>
      <c r="G9" s="478"/>
      <c r="H9" s="478"/>
      <c r="I9" s="479"/>
      <c r="J9" s="480"/>
      <c r="O9" s="481"/>
      <c r="P9" s="272"/>
    </row>
    <row r="10" spans="1:17">
      <c r="C10" s="482" t="s">
        <v>51</v>
      </c>
      <c r="D10" s="483">
        <v>2636239</v>
      </c>
      <c r="E10" s="353" t="s">
        <v>52</v>
      </c>
      <c r="F10" s="481"/>
      <c r="G10" s="484"/>
      <c r="H10" s="484"/>
      <c r="I10" s="485">
        <f>+'SWE.WS.F.BPU.ATRR.Projected'!L19</f>
        <v>2024</v>
      </c>
      <c r="J10" s="480"/>
      <c r="K10" s="375" t="s">
        <v>53</v>
      </c>
      <c r="O10" s="272"/>
      <c r="P10" s="272"/>
    </row>
    <row r="11" spans="1:17">
      <c r="C11" s="486" t="s">
        <v>54</v>
      </c>
      <c r="D11" s="487">
        <v>2013</v>
      </c>
      <c r="E11" s="486" t="s">
        <v>55</v>
      </c>
      <c r="F11" s="484"/>
      <c r="G11" s="233"/>
      <c r="H11" s="233"/>
      <c r="I11" s="488">
        <f>IF(G5="",0,'SWE.WS.F.BPU.ATRR.Projected'!F$13)</f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7">
      <c r="C12" s="486" t="s">
        <v>56</v>
      </c>
      <c r="D12" s="483">
        <v>6</v>
      </c>
      <c r="E12" s="486" t="s">
        <v>57</v>
      </c>
      <c r="F12" s="484"/>
      <c r="G12" s="233"/>
      <c r="H12" s="233"/>
      <c r="I12" s="490">
        <f>'SWE.WS.F.BPU.ATRR.Projected'!$F$81</f>
        <v>0.11952713165403545</v>
      </c>
      <c r="J12" s="425"/>
      <c r="K12" s="183" t="s">
        <v>58</v>
      </c>
      <c r="O12" s="272"/>
      <c r="P12" s="272"/>
    </row>
    <row r="13" spans="1:17">
      <c r="C13" s="486" t="s">
        <v>59</v>
      </c>
      <c r="D13" s="488">
        <f>+'SWE.WS.F.BPU.ATRR.Projected'!F$93</f>
        <v>44</v>
      </c>
      <c r="E13" s="486" t="s">
        <v>60</v>
      </c>
      <c r="F13" s="484"/>
      <c r="G13" s="233"/>
      <c r="H13" s="233"/>
      <c r="I13" s="490">
        <f>IF(G5="",I12,'SWE.WS.F.BPU.ATRR.Projected'!$F$80)</f>
        <v>0.11952713165403545</v>
      </c>
      <c r="J13" s="425"/>
      <c r="K13" s="375" t="s">
        <v>61</v>
      </c>
      <c r="L13" s="324"/>
      <c r="M13" s="324"/>
      <c r="N13" s="324"/>
      <c r="O13" s="272"/>
      <c r="P13" s="272"/>
    </row>
    <row r="14" spans="1:17" ht="13.5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59914.522727272728</v>
      </c>
      <c r="J14" s="375"/>
      <c r="K14" s="375"/>
      <c r="L14" s="375"/>
      <c r="M14" s="375"/>
      <c r="N14" s="375"/>
      <c r="O14" s="272"/>
      <c r="P14" s="272"/>
    </row>
    <row r="15" spans="1:17" ht="38.25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388</v>
      </c>
      <c r="H15" s="495" t="s">
        <v>389</v>
      </c>
      <c r="I15" s="492" t="s">
        <v>68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7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>
      <c r="C17" s="507">
        <f>IF(D11= "","-",D11)</f>
        <v>2013</v>
      </c>
      <c r="D17" s="626">
        <v>3095000</v>
      </c>
      <c r="E17" s="627">
        <v>36845.238095238092</v>
      </c>
      <c r="F17" s="626">
        <v>3058154.7619047621</v>
      </c>
      <c r="G17" s="627">
        <v>464947.39975050534</v>
      </c>
      <c r="H17" s="610">
        <v>464947.39975050534</v>
      </c>
      <c r="I17" s="616">
        <v>0</v>
      </c>
      <c r="J17" s="511"/>
      <c r="K17" s="512">
        <f t="shared" ref="K17:K22" si="0">G17</f>
        <v>464947.39975050534</v>
      </c>
      <c r="L17" s="597">
        <f t="shared" ref="L17:L22" si="1">IF(K17&lt;&gt;0,+G17-K17,0)</f>
        <v>0</v>
      </c>
      <c r="M17" s="512">
        <f t="shared" ref="M17:M22" si="2">H17</f>
        <v>464947.39975050534</v>
      </c>
      <c r="N17" s="513">
        <f t="shared" ref="N17:N22" si="3">IF(M17&lt;&gt;0,+H17-M17,0)</f>
        <v>0</v>
      </c>
      <c r="O17" s="514">
        <f t="shared" ref="O17:O22" si="4">+N17-L17</f>
        <v>0</v>
      </c>
      <c r="P17" s="272"/>
    </row>
    <row r="18" spans="2:16">
      <c r="B18" s="195" t="str">
        <f>IF(D18=F17,"","IU")</f>
        <v/>
      </c>
      <c r="C18" s="507">
        <f>IF(D11="","-",+C17+1)</f>
        <v>2014</v>
      </c>
      <c r="D18" s="626">
        <v>3058154.7619047621</v>
      </c>
      <c r="E18" s="609">
        <v>62767.595238095237</v>
      </c>
      <c r="F18" s="626">
        <v>2995387.166666667</v>
      </c>
      <c r="G18" s="609">
        <v>466876.80029860663</v>
      </c>
      <c r="H18" s="610">
        <v>466876.80029860663</v>
      </c>
      <c r="I18" s="616">
        <v>0</v>
      </c>
      <c r="J18" s="511"/>
      <c r="K18" s="518">
        <f t="shared" si="0"/>
        <v>466876.80029860663</v>
      </c>
      <c r="L18" s="519">
        <f t="shared" si="1"/>
        <v>0</v>
      </c>
      <c r="M18" s="518">
        <f t="shared" si="2"/>
        <v>466876.80029860663</v>
      </c>
      <c r="N18" s="514">
        <f t="shared" si="3"/>
        <v>0</v>
      </c>
      <c r="O18" s="514">
        <f t="shared" si="4"/>
        <v>0</v>
      </c>
      <c r="P18" s="272"/>
    </row>
    <row r="19" spans="2:16">
      <c r="B19" s="195" t="str">
        <f>IF(D19=F18,"","IU")</f>
        <v/>
      </c>
      <c r="C19" s="507">
        <f>IF(D11="","-",+C18+1)</f>
        <v>2015</v>
      </c>
      <c r="D19" s="626">
        <v>2995387.166666667</v>
      </c>
      <c r="E19" s="609">
        <v>62767.595238095237</v>
      </c>
      <c r="F19" s="626">
        <v>2932619.5714285718</v>
      </c>
      <c r="G19" s="609">
        <v>449007.67222881154</v>
      </c>
      <c r="H19" s="610">
        <v>449007.67222881154</v>
      </c>
      <c r="I19" s="511">
        <v>0</v>
      </c>
      <c r="J19" s="511"/>
      <c r="K19" s="518">
        <f t="shared" si="0"/>
        <v>449007.67222881154</v>
      </c>
      <c r="L19" s="519">
        <f t="shared" si="1"/>
        <v>0</v>
      </c>
      <c r="M19" s="518">
        <f t="shared" si="2"/>
        <v>449007.67222881154</v>
      </c>
      <c r="N19" s="514">
        <f t="shared" si="3"/>
        <v>0</v>
      </c>
      <c r="O19" s="514">
        <f t="shared" si="4"/>
        <v>0</v>
      </c>
      <c r="P19" s="272"/>
    </row>
    <row r="20" spans="2:16">
      <c r="B20" s="195" t="str">
        <f t="shared" ref="B20:B72" si="5">IF(D20=F19,"","IU")</f>
        <v>IU</v>
      </c>
      <c r="C20" s="507">
        <f>IF(D11="","-",+C19+1)</f>
        <v>2016</v>
      </c>
      <c r="D20" s="626">
        <v>2473858.5714285714</v>
      </c>
      <c r="E20" s="609">
        <v>62767.595238095237</v>
      </c>
      <c r="F20" s="626">
        <v>2411090.9761904762</v>
      </c>
      <c r="G20" s="609">
        <v>376402.24918929196</v>
      </c>
      <c r="H20" s="610">
        <v>376402.24918929196</v>
      </c>
      <c r="I20" s="511">
        <f>H20-G20</f>
        <v>0</v>
      </c>
      <c r="J20" s="511"/>
      <c r="K20" s="518">
        <f t="shared" si="0"/>
        <v>376402.24918929196</v>
      </c>
      <c r="L20" s="519">
        <f t="shared" si="1"/>
        <v>0</v>
      </c>
      <c r="M20" s="518">
        <f t="shared" si="2"/>
        <v>376402.24918929196</v>
      </c>
      <c r="N20" s="514">
        <f t="shared" si="3"/>
        <v>0</v>
      </c>
      <c r="O20" s="514">
        <f t="shared" si="4"/>
        <v>0</v>
      </c>
      <c r="P20" s="272"/>
    </row>
    <row r="21" spans="2:16">
      <c r="B21" s="195" t="str">
        <f t="shared" si="5"/>
        <v/>
      </c>
      <c r="C21" s="507">
        <f>IF(D11="","-",+C20+1)</f>
        <v>2017</v>
      </c>
      <c r="D21" s="626">
        <v>2411090.9761904762</v>
      </c>
      <c r="E21" s="609">
        <v>61307.883720930229</v>
      </c>
      <c r="F21" s="626">
        <v>2349783.092469546</v>
      </c>
      <c r="G21" s="609">
        <v>356226.25901842013</v>
      </c>
      <c r="H21" s="610">
        <v>356226.25901842013</v>
      </c>
      <c r="I21" s="511">
        <f t="shared" ref="I21:I72" si="6">H21-G21</f>
        <v>0</v>
      </c>
      <c r="J21" s="511"/>
      <c r="K21" s="518">
        <f t="shared" si="0"/>
        <v>356226.25901842013</v>
      </c>
      <c r="L21" s="519">
        <f t="shared" si="1"/>
        <v>0</v>
      </c>
      <c r="M21" s="518">
        <f t="shared" si="2"/>
        <v>356226.25901842013</v>
      </c>
      <c r="N21" s="514">
        <f t="shared" si="3"/>
        <v>0</v>
      </c>
      <c r="O21" s="514">
        <f t="shared" si="4"/>
        <v>0</v>
      </c>
      <c r="P21" s="272"/>
    </row>
    <row r="22" spans="2:16">
      <c r="B22" s="195" t="str">
        <f t="shared" si="5"/>
        <v/>
      </c>
      <c r="C22" s="507">
        <f>IF(D11="","-",+C21+1)</f>
        <v>2018</v>
      </c>
      <c r="D22" s="626">
        <v>2349783.092469546</v>
      </c>
      <c r="E22" s="609">
        <v>64298.512195121948</v>
      </c>
      <c r="F22" s="626">
        <v>2285484.5802744241</v>
      </c>
      <c r="G22" s="609">
        <v>358856.09627446433</v>
      </c>
      <c r="H22" s="610">
        <v>358856.09627446433</v>
      </c>
      <c r="I22" s="511">
        <f t="shared" si="6"/>
        <v>0</v>
      </c>
      <c r="J22" s="511"/>
      <c r="K22" s="518">
        <f t="shared" si="0"/>
        <v>358856.09627446433</v>
      </c>
      <c r="L22" s="519">
        <f t="shared" si="1"/>
        <v>0</v>
      </c>
      <c r="M22" s="518">
        <f t="shared" si="2"/>
        <v>358856.09627446433</v>
      </c>
      <c r="N22" s="514">
        <f t="shared" si="3"/>
        <v>0</v>
      </c>
      <c r="O22" s="514">
        <f t="shared" si="4"/>
        <v>0</v>
      </c>
      <c r="P22" s="272"/>
    </row>
    <row r="23" spans="2:16">
      <c r="B23" s="195" t="str">
        <f t="shared" si="5"/>
        <v/>
      </c>
      <c r="C23" s="507">
        <f>IF(D11="","-",+C22+1)</f>
        <v>2019</v>
      </c>
      <c r="D23" s="626">
        <v>2285484.5802744241</v>
      </c>
      <c r="E23" s="609">
        <v>64298.512195121948</v>
      </c>
      <c r="F23" s="626">
        <v>2221186.0680793021</v>
      </c>
      <c r="G23" s="609">
        <v>350684.13480459759</v>
      </c>
      <c r="H23" s="610">
        <v>350684.13480459759</v>
      </c>
      <c r="I23" s="511">
        <f t="shared" si="6"/>
        <v>0</v>
      </c>
      <c r="J23" s="511"/>
      <c r="K23" s="518">
        <f t="shared" ref="K23" si="7">G23</f>
        <v>350684.13480459759</v>
      </c>
      <c r="L23" s="519">
        <f t="shared" ref="L23" si="8">IF(K23&lt;&gt;0,+G23-K23,0)</f>
        <v>0</v>
      </c>
      <c r="M23" s="518">
        <f t="shared" ref="M23" si="9">H23</f>
        <v>350684.13480459759</v>
      </c>
      <c r="N23" s="514">
        <f t="shared" ref="N23:N72" si="10">IF(M23&lt;&gt;0,+H23-M23,0)</f>
        <v>0</v>
      </c>
      <c r="O23" s="514">
        <f t="shared" ref="O23:O72" si="11">+N23-L23</f>
        <v>0</v>
      </c>
      <c r="P23" s="272"/>
    </row>
    <row r="24" spans="2:16">
      <c r="B24" s="195" t="str">
        <f t="shared" si="5"/>
        <v/>
      </c>
      <c r="C24" s="507">
        <f>IF(D11="","-",+C23+1)</f>
        <v>2020</v>
      </c>
      <c r="D24" s="626">
        <v>2221186.0680793021</v>
      </c>
      <c r="E24" s="609">
        <v>64298.512195121948</v>
      </c>
      <c r="F24" s="626">
        <v>2156887.5558841801</v>
      </c>
      <c r="G24" s="609">
        <v>288314.59098884225</v>
      </c>
      <c r="H24" s="610">
        <v>288314.59098884225</v>
      </c>
      <c r="I24" s="511">
        <f t="shared" si="6"/>
        <v>0</v>
      </c>
      <c r="J24" s="511"/>
      <c r="K24" s="518">
        <f t="shared" ref="K24" si="12">G24</f>
        <v>288314.59098884225</v>
      </c>
      <c r="L24" s="519">
        <f t="shared" ref="L24" si="13">IF(K24&lt;&gt;0,+G24-K24,0)</f>
        <v>0</v>
      </c>
      <c r="M24" s="518">
        <f t="shared" ref="M24" si="14">H24</f>
        <v>288314.59098884225</v>
      </c>
      <c r="N24" s="514">
        <f t="shared" si="10"/>
        <v>0</v>
      </c>
      <c r="O24" s="514">
        <f t="shared" si="11"/>
        <v>0</v>
      </c>
      <c r="P24" s="272"/>
    </row>
    <row r="25" spans="2:16">
      <c r="B25" s="195" t="str">
        <f t="shared" si="5"/>
        <v>IU</v>
      </c>
      <c r="C25" s="507">
        <f>IF(D11="","-",+C24+1)</f>
        <v>2021</v>
      </c>
      <c r="D25" s="626">
        <v>2159878.1843583719</v>
      </c>
      <c r="E25" s="609">
        <v>62767.595238095237</v>
      </c>
      <c r="F25" s="626">
        <v>2097110.5891202767</v>
      </c>
      <c r="G25" s="609">
        <v>288397.67433017225</v>
      </c>
      <c r="H25" s="610">
        <v>288397.67433017225</v>
      </c>
      <c r="I25" s="511">
        <f t="shared" si="6"/>
        <v>0</v>
      </c>
      <c r="J25" s="511"/>
      <c r="K25" s="518">
        <f t="shared" ref="K25" si="15">G25</f>
        <v>288397.67433017225</v>
      </c>
      <c r="L25" s="519">
        <f t="shared" ref="L25" si="16">IF(K25&lt;&gt;0,+G25-K25,0)</f>
        <v>0</v>
      </c>
      <c r="M25" s="518">
        <f t="shared" ref="M25" si="17">H25</f>
        <v>288397.67433017225</v>
      </c>
      <c r="N25" s="514">
        <f t="shared" si="10"/>
        <v>0</v>
      </c>
      <c r="O25" s="514">
        <f t="shared" si="11"/>
        <v>0</v>
      </c>
      <c r="P25" s="272"/>
    </row>
    <row r="26" spans="2:16">
      <c r="B26" s="195" t="str">
        <f t="shared" si="5"/>
        <v>IU</v>
      </c>
      <c r="C26" s="507">
        <f>IF(D11="","-",+C25+1)</f>
        <v>2022</v>
      </c>
      <c r="D26" s="626">
        <v>2094119.960646085</v>
      </c>
      <c r="E26" s="609">
        <v>62767.595238095237</v>
      </c>
      <c r="F26" s="626">
        <v>2031352.3654079898</v>
      </c>
      <c r="G26" s="609">
        <v>294710.10019772034</v>
      </c>
      <c r="H26" s="610">
        <v>294710.10019772034</v>
      </c>
      <c r="I26" s="511">
        <f t="shared" si="6"/>
        <v>0</v>
      </c>
      <c r="J26" s="511"/>
      <c r="K26" s="518">
        <f t="shared" ref="K26" si="18">G26</f>
        <v>294710.10019772034</v>
      </c>
      <c r="L26" s="519">
        <f t="shared" ref="L26" si="19">IF(K26&lt;&gt;0,+G26-K26,0)</f>
        <v>0</v>
      </c>
      <c r="M26" s="518">
        <f t="shared" ref="M26" si="20">H26</f>
        <v>294710.10019772034</v>
      </c>
      <c r="N26" s="514">
        <f t="shared" si="10"/>
        <v>0</v>
      </c>
      <c r="O26" s="514">
        <f t="shared" si="11"/>
        <v>0</v>
      </c>
      <c r="P26" s="272"/>
    </row>
    <row r="27" spans="2:16">
      <c r="B27" s="195" t="str">
        <f t="shared" si="5"/>
        <v/>
      </c>
      <c r="C27" s="507">
        <f>IF(D11="","-",+C26+1)</f>
        <v>2023</v>
      </c>
      <c r="D27" s="626">
        <v>2031352.3654079898</v>
      </c>
      <c r="E27" s="609">
        <v>62767.595238095237</v>
      </c>
      <c r="F27" s="626">
        <v>1968584.7701698947</v>
      </c>
      <c r="G27" s="609">
        <v>315417.20046708721</v>
      </c>
      <c r="H27" s="610">
        <v>315417.20046708721</v>
      </c>
      <c r="I27" s="511">
        <f t="shared" si="6"/>
        <v>0</v>
      </c>
      <c r="J27" s="511"/>
      <c r="K27" s="518">
        <f t="shared" ref="K27" si="21">G27</f>
        <v>315417.20046708721</v>
      </c>
      <c r="L27" s="519">
        <f t="shared" ref="L27" si="22">IF(K27&lt;&gt;0,+G27-K27,0)</f>
        <v>0</v>
      </c>
      <c r="M27" s="518">
        <f t="shared" ref="M27" si="23">H27</f>
        <v>315417.20046708721</v>
      </c>
      <c r="N27" s="514">
        <f t="shared" ref="N27" si="24">IF(M27&lt;&gt;0,+H27-M27,0)</f>
        <v>0</v>
      </c>
      <c r="O27" s="514">
        <f t="shared" ref="O27" si="25">+N27-L27</f>
        <v>0</v>
      </c>
      <c r="P27" s="272"/>
    </row>
    <row r="28" spans="2:16">
      <c r="B28" s="195" t="str">
        <f t="shared" si="5"/>
        <v/>
      </c>
      <c r="C28" s="673">
        <f>IF(D11="","-",+C27+1)</f>
        <v>2024</v>
      </c>
      <c r="D28" s="523">
        <f>IF(F27+SUM(E$17:E27)=D$10,F27,D$10-SUM(E$17:E27))</f>
        <v>1968584.7701698947</v>
      </c>
      <c r="E28" s="522">
        <f t="shared" ref="E28:E72" si="26">IF(+$I$14&lt;F27,$I$14,D28)</f>
        <v>59914.522727272728</v>
      </c>
      <c r="F28" s="523">
        <f t="shared" ref="F28:F72" si="27">+D28-E28</f>
        <v>1908670.247442622</v>
      </c>
      <c r="G28" s="524">
        <f t="shared" ref="G28:G52" si="28">+I$12*((D28+F28)/2)+E28</f>
        <v>291633.10820049315</v>
      </c>
      <c r="H28" s="491">
        <f t="shared" ref="H28:H52" si="29">+I$13*((D28+F28)/2)+E28</f>
        <v>291633.10820049315</v>
      </c>
      <c r="I28" s="511">
        <f t="shared" si="6"/>
        <v>0</v>
      </c>
      <c r="J28" s="511"/>
      <c r="K28" s="525"/>
      <c r="L28" s="514">
        <f t="shared" ref="L28:L72" si="30">IF(K28&lt;&gt;0,+G28-K28,0)</f>
        <v>0</v>
      </c>
      <c r="M28" s="525"/>
      <c r="N28" s="514">
        <f t="shared" si="10"/>
        <v>0</v>
      </c>
      <c r="O28" s="514">
        <f t="shared" si="11"/>
        <v>0</v>
      </c>
      <c r="P28" s="272"/>
    </row>
    <row r="29" spans="2:16">
      <c r="B29" s="195" t="str">
        <f t="shared" si="5"/>
        <v/>
      </c>
      <c r="C29" s="507">
        <f>IF(D11="","-",+C28+1)</f>
        <v>2025</v>
      </c>
      <c r="D29" s="523">
        <f>IF(F28+SUM(E$17:E28)=D$10,F28,D$10-SUM(E$17:E28))</f>
        <v>1908670.247442622</v>
      </c>
      <c r="E29" s="522">
        <f t="shared" si="26"/>
        <v>59914.522727272728</v>
      </c>
      <c r="F29" s="523">
        <f t="shared" si="27"/>
        <v>1848755.7247153493</v>
      </c>
      <c r="G29" s="524">
        <f t="shared" si="28"/>
        <v>284471.69715448166</v>
      </c>
      <c r="H29" s="491">
        <f t="shared" si="29"/>
        <v>284471.69715448166</v>
      </c>
      <c r="I29" s="511">
        <f t="shared" si="6"/>
        <v>0</v>
      </c>
      <c r="J29" s="511"/>
      <c r="K29" s="525"/>
      <c r="L29" s="514">
        <f t="shared" si="30"/>
        <v>0</v>
      </c>
      <c r="M29" s="525"/>
      <c r="N29" s="514">
        <f t="shared" si="10"/>
        <v>0</v>
      </c>
      <c r="O29" s="514">
        <f t="shared" si="11"/>
        <v>0</v>
      </c>
      <c r="P29" s="272"/>
    </row>
    <row r="30" spans="2:16">
      <c r="B30" s="195" t="str">
        <f t="shared" si="5"/>
        <v/>
      </c>
      <c r="C30" s="507">
        <f>IF(D11="","-",+C29+1)</f>
        <v>2026</v>
      </c>
      <c r="D30" s="523">
        <f>IF(F29+SUM(E$17:E29)=D$10,F29,D$10-SUM(E$17:E29))</f>
        <v>1848755.7247153493</v>
      </c>
      <c r="E30" s="522">
        <f t="shared" si="26"/>
        <v>59914.522727272728</v>
      </c>
      <c r="F30" s="523">
        <f t="shared" si="27"/>
        <v>1788841.2019880766</v>
      </c>
      <c r="G30" s="524">
        <f t="shared" si="28"/>
        <v>277310.28610847029</v>
      </c>
      <c r="H30" s="491">
        <f t="shared" si="29"/>
        <v>277310.28610847029</v>
      </c>
      <c r="I30" s="511">
        <f t="shared" si="6"/>
        <v>0</v>
      </c>
      <c r="J30" s="511"/>
      <c r="K30" s="525"/>
      <c r="L30" s="514">
        <f t="shared" si="30"/>
        <v>0</v>
      </c>
      <c r="M30" s="525"/>
      <c r="N30" s="514">
        <f t="shared" si="10"/>
        <v>0</v>
      </c>
      <c r="O30" s="514">
        <f t="shared" si="11"/>
        <v>0</v>
      </c>
      <c r="P30" s="272"/>
    </row>
    <row r="31" spans="2:16">
      <c r="B31" s="195" t="str">
        <f t="shared" si="5"/>
        <v/>
      </c>
      <c r="C31" s="507">
        <f>IF(D11="","-",+C30+1)</f>
        <v>2027</v>
      </c>
      <c r="D31" s="523">
        <f>IF(F30+SUM(E$17:E30)=D$10,F30,D$10-SUM(E$17:E30))</f>
        <v>1788841.2019880766</v>
      </c>
      <c r="E31" s="522">
        <f t="shared" si="26"/>
        <v>59914.522727272728</v>
      </c>
      <c r="F31" s="523">
        <f t="shared" si="27"/>
        <v>1728926.6792608039</v>
      </c>
      <c r="G31" s="524">
        <f t="shared" si="28"/>
        <v>270148.87506245886</v>
      </c>
      <c r="H31" s="491">
        <f t="shared" si="29"/>
        <v>270148.87506245886</v>
      </c>
      <c r="I31" s="511">
        <f t="shared" si="6"/>
        <v>0</v>
      </c>
      <c r="J31" s="511"/>
      <c r="K31" s="525"/>
      <c r="L31" s="514">
        <f t="shared" si="30"/>
        <v>0</v>
      </c>
      <c r="M31" s="525"/>
      <c r="N31" s="514">
        <f t="shared" si="10"/>
        <v>0</v>
      </c>
      <c r="O31" s="514">
        <f t="shared" si="11"/>
        <v>0</v>
      </c>
      <c r="P31" s="272"/>
    </row>
    <row r="32" spans="2:16">
      <c r="B32" s="195" t="str">
        <f t="shared" si="5"/>
        <v/>
      </c>
      <c r="C32" s="507">
        <f>IF(D11="","-",+C31+1)</f>
        <v>2028</v>
      </c>
      <c r="D32" s="523">
        <f>IF(F31+SUM(E$17:E31)=D$10,F31,D$10-SUM(E$17:E31))</f>
        <v>1728926.6792608039</v>
      </c>
      <c r="E32" s="522">
        <f t="shared" si="26"/>
        <v>59914.522727272728</v>
      </c>
      <c r="F32" s="523">
        <f t="shared" si="27"/>
        <v>1669012.1565335311</v>
      </c>
      <c r="G32" s="524">
        <f t="shared" si="28"/>
        <v>262987.46401644743</v>
      </c>
      <c r="H32" s="491">
        <f t="shared" si="29"/>
        <v>262987.46401644743</v>
      </c>
      <c r="I32" s="511">
        <f t="shared" si="6"/>
        <v>0</v>
      </c>
      <c r="J32" s="511"/>
      <c r="K32" s="525"/>
      <c r="L32" s="514">
        <f t="shared" si="30"/>
        <v>0</v>
      </c>
      <c r="M32" s="525"/>
      <c r="N32" s="514">
        <f t="shared" si="10"/>
        <v>0</v>
      </c>
      <c r="O32" s="514">
        <f t="shared" si="11"/>
        <v>0</v>
      </c>
      <c r="P32" s="272"/>
    </row>
    <row r="33" spans="2:16">
      <c r="B33" s="195" t="str">
        <f t="shared" si="5"/>
        <v/>
      </c>
      <c r="C33" s="507">
        <f>IF(D11="","-",+C32+1)</f>
        <v>2029</v>
      </c>
      <c r="D33" s="523">
        <f>IF(F32+SUM(E$17:E32)=D$10,F32,D$10-SUM(E$17:E32))</f>
        <v>1669012.1565335311</v>
      </c>
      <c r="E33" s="522">
        <f t="shared" si="26"/>
        <v>59914.522727272728</v>
      </c>
      <c r="F33" s="523">
        <f t="shared" si="27"/>
        <v>1609097.6338062584</v>
      </c>
      <c r="G33" s="524">
        <f t="shared" si="28"/>
        <v>255826.05297043599</v>
      </c>
      <c r="H33" s="491">
        <f t="shared" si="29"/>
        <v>255826.05297043599</v>
      </c>
      <c r="I33" s="511">
        <f t="shared" si="6"/>
        <v>0</v>
      </c>
      <c r="J33" s="511"/>
      <c r="K33" s="525"/>
      <c r="L33" s="514">
        <f t="shared" si="30"/>
        <v>0</v>
      </c>
      <c r="M33" s="525"/>
      <c r="N33" s="514">
        <f t="shared" si="10"/>
        <v>0</v>
      </c>
      <c r="O33" s="514">
        <f t="shared" si="11"/>
        <v>0</v>
      </c>
      <c r="P33" s="272"/>
    </row>
    <row r="34" spans="2:16">
      <c r="B34" s="195" t="str">
        <f t="shared" si="5"/>
        <v/>
      </c>
      <c r="C34" s="507">
        <f>IF(D11="","-",+C33+1)</f>
        <v>2030</v>
      </c>
      <c r="D34" s="523">
        <f>IF(F33+SUM(E$17:E33)=D$10,F33,D$10-SUM(E$17:E33))</f>
        <v>1609097.6338062584</v>
      </c>
      <c r="E34" s="522">
        <f t="shared" si="26"/>
        <v>59914.522727272728</v>
      </c>
      <c r="F34" s="523">
        <f t="shared" si="27"/>
        <v>1549183.1110789857</v>
      </c>
      <c r="G34" s="524">
        <f t="shared" si="28"/>
        <v>248664.64192442462</v>
      </c>
      <c r="H34" s="491">
        <f t="shared" si="29"/>
        <v>248664.64192442462</v>
      </c>
      <c r="I34" s="511">
        <f t="shared" si="6"/>
        <v>0</v>
      </c>
      <c r="J34" s="511"/>
      <c r="K34" s="525"/>
      <c r="L34" s="514">
        <f t="shared" si="30"/>
        <v>0</v>
      </c>
      <c r="M34" s="525"/>
      <c r="N34" s="514">
        <f t="shared" si="10"/>
        <v>0</v>
      </c>
      <c r="O34" s="514">
        <f t="shared" si="11"/>
        <v>0</v>
      </c>
      <c r="P34" s="272"/>
    </row>
    <row r="35" spans="2:16">
      <c r="B35" s="195" t="str">
        <f t="shared" si="5"/>
        <v/>
      </c>
      <c r="C35" s="507">
        <f>IF(D11="","-",+C34+1)</f>
        <v>2031</v>
      </c>
      <c r="D35" s="523">
        <f>IF(F34+SUM(E$17:E34)=D$10,F34,D$10-SUM(E$17:E34))</f>
        <v>1549183.1110789857</v>
      </c>
      <c r="E35" s="522">
        <f t="shared" si="26"/>
        <v>59914.522727272728</v>
      </c>
      <c r="F35" s="523">
        <f t="shared" si="27"/>
        <v>1489268.588351713</v>
      </c>
      <c r="G35" s="524">
        <f t="shared" si="28"/>
        <v>241503.23087841316</v>
      </c>
      <c r="H35" s="491">
        <f t="shared" si="29"/>
        <v>241503.23087841316</v>
      </c>
      <c r="I35" s="511">
        <f t="shared" si="6"/>
        <v>0</v>
      </c>
      <c r="J35" s="511"/>
      <c r="K35" s="525"/>
      <c r="L35" s="514">
        <f t="shared" si="30"/>
        <v>0</v>
      </c>
      <c r="M35" s="525"/>
      <c r="N35" s="514">
        <f t="shared" si="10"/>
        <v>0</v>
      </c>
      <c r="O35" s="514">
        <f t="shared" si="11"/>
        <v>0</v>
      </c>
      <c r="P35" s="272"/>
    </row>
    <row r="36" spans="2:16">
      <c r="B36" s="195" t="str">
        <f t="shared" si="5"/>
        <v/>
      </c>
      <c r="C36" s="507">
        <f>IF(D11="","-",+C35+1)</f>
        <v>2032</v>
      </c>
      <c r="D36" s="523">
        <f>IF(F35+SUM(E$17:E35)=D$10,F35,D$10-SUM(E$17:E35))</f>
        <v>1489268.588351713</v>
      </c>
      <c r="E36" s="522">
        <f t="shared" si="26"/>
        <v>59914.522727272728</v>
      </c>
      <c r="F36" s="523">
        <f t="shared" si="27"/>
        <v>1429354.0656244403</v>
      </c>
      <c r="G36" s="524">
        <f t="shared" si="28"/>
        <v>234341.81983240176</v>
      </c>
      <c r="H36" s="491">
        <f t="shared" si="29"/>
        <v>234341.81983240176</v>
      </c>
      <c r="I36" s="511">
        <f t="shared" si="6"/>
        <v>0</v>
      </c>
      <c r="J36" s="511"/>
      <c r="K36" s="525"/>
      <c r="L36" s="514">
        <f t="shared" si="30"/>
        <v>0</v>
      </c>
      <c r="M36" s="525"/>
      <c r="N36" s="514">
        <f t="shared" si="10"/>
        <v>0</v>
      </c>
      <c r="O36" s="514">
        <f t="shared" si="11"/>
        <v>0</v>
      </c>
      <c r="P36" s="272"/>
    </row>
    <row r="37" spans="2:16">
      <c r="B37" s="195" t="str">
        <f t="shared" si="5"/>
        <v/>
      </c>
      <c r="C37" s="507">
        <f>IF(D11="","-",+C36+1)</f>
        <v>2033</v>
      </c>
      <c r="D37" s="523">
        <f>IF(F36+SUM(E$17:E36)=D$10,F36,D$10-SUM(E$17:E36))</f>
        <v>1429354.0656244403</v>
      </c>
      <c r="E37" s="522">
        <f t="shared" si="26"/>
        <v>59914.522727272728</v>
      </c>
      <c r="F37" s="523">
        <f t="shared" si="27"/>
        <v>1369439.5428971676</v>
      </c>
      <c r="G37" s="524">
        <f t="shared" si="28"/>
        <v>227180.4087863903</v>
      </c>
      <c r="H37" s="491">
        <f t="shared" si="29"/>
        <v>227180.4087863903</v>
      </c>
      <c r="I37" s="511">
        <f t="shared" si="6"/>
        <v>0</v>
      </c>
      <c r="J37" s="511"/>
      <c r="K37" s="525"/>
      <c r="L37" s="514">
        <f t="shared" si="30"/>
        <v>0</v>
      </c>
      <c r="M37" s="525"/>
      <c r="N37" s="514">
        <f t="shared" si="10"/>
        <v>0</v>
      </c>
      <c r="O37" s="514">
        <f t="shared" si="11"/>
        <v>0</v>
      </c>
      <c r="P37" s="272"/>
    </row>
    <row r="38" spans="2:16">
      <c r="B38" s="195" t="str">
        <f t="shared" si="5"/>
        <v/>
      </c>
      <c r="C38" s="507">
        <f>IF(D11="","-",+C37+1)</f>
        <v>2034</v>
      </c>
      <c r="D38" s="523">
        <f>IF(F37+SUM(E$17:E37)=D$10,F37,D$10-SUM(E$17:E37))</f>
        <v>1369439.5428971676</v>
      </c>
      <c r="E38" s="522">
        <f t="shared" si="26"/>
        <v>59914.522727272728</v>
      </c>
      <c r="F38" s="523">
        <f t="shared" si="27"/>
        <v>1309525.0201698949</v>
      </c>
      <c r="G38" s="524">
        <f t="shared" si="28"/>
        <v>220018.99774037892</v>
      </c>
      <c r="H38" s="491">
        <f t="shared" si="29"/>
        <v>220018.99774037892</v>
      </c>
      <c r="I38" s="511">
        <f t="shared" si="6"/>
        <v>0</v>
      </c>
      <c r="J38" s="511"/>
      <c r="K38" s="525"/>
      <c r="L38" s="514">
        <f t="shared" si="30"/>
        <v>0</v>
      </c>
      <c r="M38" s="525"/>
      <c r="N38" s="514">
        <f t="shared" si="10"/>
        <v>0</v>
      </c>
      <c r="O38" s="514">
        <f t="shared" si="11"/>
        <v>0</v>
      </c>
      <c r="P38" s="272"/>
    </row>
    <row r="39" spans="2:16">
      <c r="B39" s="195" t="str">
        <f t="shared" si="5"/>
        <v/>
      </c>
      <c r="C39" s="507">
        <f>IF(D11="","-",+C38+1)</f>
        <v>2035</v>
      </c>
      <c r="D39" s="523">
        <f>IF(F38+SUM(E$17:E38)=D$10,F38,D$10-SUM(E$17:E38))</f>
        <v>1309525.0201698949</v>
      </c>
      <c r="E39" s="522">
        <f t="shared" si="26"/>
        <v>59914.522727272728</v>
      </c>
      <c r="F39" s="523">
        <f t="shared" si="27"/>
        <v>1249610.4974426222</v>
      </c>
      <c r="G39" s="524">
        <f t="shared" si="28"/>
        <v>212857.58669436746</v>
      </c>
      <c r="H39" s="491">
        <f t="shared" si="29"/>
        <v>212857.58669436746</v>
      </c>
      <c r="I39" s="511">
        <f t="shared" si="6"/>
        <v>0</v>
      </c>
      <c r="J39" s="511"/>
      <c r="K39" s="525"/>
      <c r="L39" s="514">
        <f t="shared" si="30"/>
        <v>0</v>
      </c>
      <c r="M39" s="525"/>
      <c r="N39" s="514">
        <f t="shared" si="10"/>
        <v>0</v>
      </c>
      <c r="O39" s="514">
        <f t="shared" si="11"/>
        <v>0</v>
      </c>
      <c r="P39" s="272"/>
    </row>
    <row r="40" spans="2:16">
      <c r="B40" s="195" t="str">
        <f t="shared" si="5"/>
        <v/>
      </c>
      <c r="C40" s="507">
        <f>IF(D11="","-",+C39+1)</f>
        <v>2036</v>
      </c>
      <c r="D40" s="523">
        <f>IF(F39+SUM(E$17:E39)=D$10,F39,D$10-SUM(E$17:E39))</f>
        <v>1249610.4974426222</v>
      </c>
      <c r="E40" s="522">
        <f t="shared" si="26"/>
        <v>59914.522727272728</v>
      </c>
      <c r="F40" s="523">
        <f t="shared" si="27"/>
        <v>1189695.9747153495</v>
      </c>
      <c r="G40" s="524">
        <f t="shared" si="28"/>
        <v>205696.17564835606</v>
      </c>
      <c r="H40" s="491">
        <f t="shared" si="29"/>
        <v>205696.17564835606</v>
      </c>
      <c r="I40" s="511">
        <f t="shared" si="6"/>
        <v>0</v>
      </c>
      <c r="J40" s="511"/>
      <c r="K40" s="525"/>
      <c r="L40" s="514">
        <f t="shared" si="30"/>
        <v>0</v>
      </c>
      <c r="M40" s="525"/>
      <c r="N40" s="514">
        <f t="shared" si="10"/>
        <v>0</v>
      </c>
      <c r="O40" s="514">
        <f t="shared" si="11"/>
        <v>0</v>
      </c>
      <c r="P40" s="272"/>
    </row>
    <row r="41" spans="2:16">
      <c r="B41" s="195" t="str">
        <f t="shared" si="5"/>
        <v/>
      </c>
      <c r="C41" s="507">
        <f>IF(D11="","-",+C40+1)</f>
        <v>2037</v>
      </c>
      <c r="D41" s="523">
        <f>IF(F40+SUM(E$17:E40)=D$10,F40,D$10-SUM(E$17:E40))</f>
        <v>1189695.9747153495</v>
      </c>
      <c r="E41" s="522">
        <f t="shared" si="26"/>
        <v>59914.522727272728</v>
      </c>
      <c r="F41" s="523">
        <f t="shared" si="27"/>
        <v>1129781.4519880768</v>
      </c>
      <c r="G41" s="524">
        <f t="shared" si="28"/>
        <v>198534.7646023446</v>
      </c>
      <c r="H41" s="491">
        <f t="shared" si="29"/>
        <v>198534.7646023446</v>
      </c>
      <c r="I41" s="511">
        <f t="shared" si="6"/>
        <v>0</v>
      </c>
      <c r="J41" s="511"/>
      <c r="K41" s="525"/>
      <c r="L41" s="514">
        <f t="shared" si="30"/>
        <v>0</v>
      </c>
      <c r="M41" s="525"/>
      <c r="N41" s="514">
        <f t="shared" si="10"/>
        <v>0</v>
      </c>
      <c r="O41" s="514">
        <f t="shared" si="11"/>
        <v>0</v>
      </c>
      <c r="P41" s="272"/>
    </row>
    <row r="42" spans="2:16">
      <c r="B42" s="195" t="str">
        <f t="shared" si="5"/>
        <v/>
      </c>
      <c r="C42" s="507">
        <f>IF(D11="","-",+C41+1)</f>
        <v>2038</v>
      </c>
      <c r="D42" s="523">
        <f>IF(F41+SUM(E$17:E41)=D$10,F41,D$10-SUM(E$17:E41))</f>
        <v>1129781.4519880768</v>
      </c>
      <c r="E42" s="522">
        <f t="shared" si="26"/>
        <v>59914.522727272728</v>
      </c>
      <c r="F42" s="523">
        <f t="shared" si="27"/>
        <v>1069866.9292608041</v>
      </c>
      <c r="G42" s="524">
        <f t="shared" si="28"/>
        <v>191373.35355633323</v>
      </c>
      <c r="H42" s="491">
        <f t="shared" si="29"/>
        <v>191373.35355633323</v>
      </c>
      <c r="I42" s="511">
        <f t="shared" si="6"/>
        <v>0</v>
      </c>
      <c r="J42" s="511"/>
      <c r="K42" s="525"/>
      <c r="L42" s="514">
        <f t="shared" si="30"/>
        <v>0</v>
      </c>
      <c r="M42" s="525"/>
      <c r="N42" s="514">
        <f t="shared" si="10"/>
        <v>0</v>
      </c>
      <c r="O42" s="514">
        <f t="shared" si="11"/>
        <v>0</v>
      </c>
      <c r="P42" s="272"/>
    </row>
    <row r="43" spans="2:16">
      <c r="B43" s="195" t="str">
        <f t="shared" si="5"/>
        <v/>
      </c>
      <c r="C43" s="507">
        <f>IF(D11="","-",+C42+1)</f>
        <v>2039</v>
      </c>
      <c r="D43" s="523">
        <f>IF(F42+SUM(E$17:E42)=D$10,F42,D$10-SUM(E$17:E42))</f>
        <v>1069866.9292608041</v>
      </c>
      <c r="E43" s="522">
        <f t="shared" si="26"/>
        <v>59914.522727272728</v>
      </c>
      <c r="F43" s="523">
        <f t="shared" si="27"/>
        <v>1009952.4065335314</v>
      </c>
      <c r="G43" s="524">
        <f t="shared" si="28"/>
        <v>184211.94251032177</v>
      </c>
      <c r="H43" s="491">
        <f t="shared" si="29"/>
        <v>184211.94251032177</v>
      </c>
      <c r="I43" s="511">
        <f t="shared" si="6"/>
        <v>0</v>
      </c>
      <c r="J43" s="511"/>
      <c r="K43" s="525"/>
      <c r="L43" s="514">
        <f t="shared" si="30"/>
        <v>0</v>
      </c>
      <c r="M43" s="525"/>
      <c r="N43" s="514">
        <f t="shared" si="10"/>
        <v>0</v>
      </c>
      <c r="O43" s="514">
        <f t="shared" si="11"/>
        <v>0</v>
      </c>
      <c r="P43" s="272"/>
    </row>
    <row r="44" spans="2:16">
      <c r="B44" s="195" t="str">
        <f t="shared" si="5"/>
        <v/>
      </c>
      <c r="C44" s="507">
        <f>IF(D11="","-",+C43+1)</f>
        <v>2040</v>
      </c>
      <c r="D44" s="523">
        <f>IF(F43+SUM(E$17:E43)=D$10,F43,D$10-SUM(E$17:E43))</f>
        <v>1009952.4065335314</v>
      </c>
      <c r="E44" s="522">
        <f t="shared" si="26"/>
        <v>59914.522727272728</v>
      </c>
      <c r="F44" s="523">
        <f t="shared" si="27"/>
        <v>950037.88380625867</v>
      </c>
      <c r="G44" s="524">
        <f t="shared" si="28"/>
        <v>177050.53146431036</v>
      </c>
      <c r="H44" s="491">
        <f t="shared" si="29"/>
        <v>177050.53146431036</v>
      </c>
      <c r="I44" s="511">
        <f t="shared" si="6"/>
        <v>0</v>
      </c>
      <c r="J44" s="511"/>
      <c r="K44" s="525"/>
      <c r="L44" s="514">
        <f t="shared" si="30"/>
        <v>0</v>
      </c>
      <c r="M44" s="525"/>
      <c r="N44" s="514">
        <f t="shared" si="10"/>
        <v>0</v>
      </c>
      <c r="O44" s="514">
        <f t="shared" si="11"/>
        <v>0</v>
      </c>
      <c r="P44" s="272"/>
    </row>
    <row r="45" spans="2:16">
      <c r="B45" s="195" t="str">
        <f t="shared" si="5"/>
        <v/>
      </c>
      <c r="C45" s="507">
        <f>IF(D11="","-",+C44+1)</f>
        <v>2041</v>
      </c>
      <c r="D45" s="523">
        <f>IF(F44+SUM(E$17:E44)=D$10,F44,D$10-SUM(E$17:E44))</f>
        <v>950037.88380625867</v>
      </c>
      <c r="E45" s="522">
        <f t="shared" si="26"/>
        <v>59914.522727272728</v>
      </c>
      <c r="F45" s="523">
        <f t="shared" si="27"/>
        <v>890123.36107898597</v>
      </c>
      <c r="G45" s="524">
        <f t="shared" si="28"/>
        <v>169889.12041829893</v>
      </c>
      <c r="H45" s="491">
        <f t="shared" si="29"/>
        <v>169889.12041829893</v>
      </c>
      <c r="I45" s="511">
        <f t="shared" si="6"/>
        <v>0</v>
      </c>
      <c r="J45" s="511"/>
      <c r="K45" s="525"/>
      <c r="L45" s="514">
        <f t="shared" si="30"/>
        <v>0</v>
      </c>
      <c r="M45" s="525"/>
      <c r="N45" s="514">
        <f t="shared" si="10"/>
        <v>0</v>
      </c>
      <c r="O45" s="514">
        <f t="shared" si="11"/>
        <v>0</v>
      </c>
      <c r="P45" s="272"/>
    </row>
    <row r="46" spans="2:16">
      <c r="B46" s="195" t="str">
        <f t="shared" si="5"/>
        <v/>
      </c>
      <c r="C46" s="507">
        <f>IF(D11="","-",+C45+1)</f>
        <v>2042</v>
      </c>
      <c r="D46" s="523">
        <f>IF(F45+SUM(E$17:E45)=D$10,F45,D$10-SUM(E$17:E45))</f>
        <v>890123.36107898597</v>
      </c>
      <c r="E46" s="522">
        <f t="shared" si="26"/>
        <v>59914.522727272728</v>
      </c>
      <c r="F46" s="523">
        <f t="shared" si="27"/>
        <v>830208.83835171326</v>
      </c>
      <c r="G46" s="524">
        <f t="shared" si="28"/>
        <v>162727.7093722875</v>
      </c>
      <c r="H46" s="491">
        <f t="shared" si="29"/>
        <v>162727.7093722875</v>
      </c>
      <c r="I46" s="511">
        <f t="shared" si="6"/>
        <v>0</v>
      </c>
      <c r="J46" s="511"/>
      <c r="K46" s="525"/>
      <c r="L46" s="514">
        <f t="shared" si="30"/>
        <v>0</v>
      </c>
      <c r="M46" s="525"/>
      <c r="N46" s="514">
        <f t="shared" si="10"/>
        <v>0</v>
      </c>
      <c r="O46" s="514">
        <f t="shared" si="11"/>
        <v>0</v>
      </c>
      <c r="P46" s="272"/>
    </row>
    <row r="47" spans="2:16">
      <c r="B47" s="195" t="str">
        <f t="shared" si="5"/>
        <v/>
      </c>
      <c r="C47" s="507">
        <f>IF(D11="","-",+C46+1)</f>
        <v>2043</v>
      </c>
      <c r="D47" s="523">
        <f>IF(F46+SUM(E$17:E46)=D$10,F46,D$10-SUM(E$17:E46))</f>
        <v>830208.83835171326</v>
      </c>
      <c r="E47" s="522">
        <f t="shared" si="26"/>
        <v>59914.522727272728</v>
      </c>
      <c r="F47" s="523">
        <f t="shared" si="27"/>
        <v>770294.31562444055</v>
      </c>
      <c r="G47" s="524">
        <f t="shared" si="28"/>
        <v>155566.29832627607</v>
      </c>
      <c r="H47" s="491">
        <f t="shared" si="29"/>
        <v>155566.29832627607</v>
      </c>
      <c r="I47" s="511">
        <f t="shared" si="6"/>
        <v>0</v>
      </c>
      <c r="J47" s="511"/>
      <c r="K47" s="525"/>
      <c r="L47" s="514">
        <f t="shared" si="30"/>
        <v>0</v>
      </c>
      <c r="M47" s="525"/>
      <c r="N47" s="514">
        <f t="shared" si="10"/>
        <v>0</v>
      </c>
      <c r="O47" s="514">
        <f t="shared" si="11"/>
        <v>0</v>
      </c>
      <c r="P47" s="272"/>
    </row>
    <row r="48" spans="2:16">
      <c r="B48" s="195" t="str">
        <f t="shared" si="5"/>
        <v/>
      </c>
      <c r="C48" s="507">
        <f>IF(D11="","-",+C47+1)</f>
        <v>2044</v>
      </c>
      <c r="D48" s="523">
        <f>IF(F47+SUM(E$17:E47)=D$10,F47,D$10-SUM(E$17:E47))</f>
        <v>770294.31562444055</v>
      </c>
      <c r="E48" s="522">
        <f t="shared" si="26"/>
        <v>59914.522727272728</v>
      </c>
      <c r="F48" s="523">
        <f t="shared" si="27"/>
        <v>710379.79289716785</v>
      </c>
      <c r="G48" s="524">
        <f t="shared" si="28"/>
        <v>148404.88728026467</v>
      </c>
      <c r="H48" s="491">
        <f t="shared" si="29"/>
        <v>148404.88728026467</v>
      </c>
      <c r="I48" s="511">
        <f t="shared" si="6"/>
        <v>0</v>
      </c>
      <c r="J48" s="511"/>
      <c r="K48" s="525"/>
      <c r="L48" s="514">
        <f t="shared" si="30"/>
        <v>0</v>
      </c>
      <c r="M48" s="525"/>
      <c r="N48" s="514">
        <f t="shared" si="10"/>
        <v>0</v>
      </c>
      <c r="O48" s="514">
        <f t="shared" si="11"/>
        <v>0</v>
      </c>
      <c r="P48" s="272"/>
    </row>
    <row r="49" spans="2:17">
      <c r="B49" s="195" t="str">
        <f t="shared" si="5"/>
        <v/>
      </c>
      <c r="C49" s="507">
        <f>IF(D11="","-",+C48+1)</f>
        <v>2045</v>
      </c>
      <c r="D49" s="523">
        <f>IF(F48+SUM(E$17:E48)=D$10,F48,D$10-SUM(E$17:E48))</f>
        <v>710379.79289716785</v>
      </c>
      <c r="E49" s="522">
        <f t="shared" si="26"/>
        <v>59914.522727272728</v>
      </c>
      <c r="F49" s="523">
        <f t="shared" si="27"/>
        <v>650465.27016989514</v>
      </c>
      <c r="G49" s="524">
        <f t="shared" si="28"/>
        <v>141243.47623425323</v>
      </c>
      <c r="H49" s="491">
        <f t="shared" si="29"/>
        <v>141243.47623425323</v>
      </c>
      <c r="I49" s="511">
        <f t="shared" si="6"/>
        <v>0</v>
      </c>
      <c r="J49" s="511"/>
      <c r="K49" s="525"/>
      <c r="L49" s="514">
        <f t="shared" si="30"/>
        <v>0</v>
      </c>
      <c r="M49" s="525"/>
      <c r="N49" s="514">
        <f t="shared" si="10"/>
        <v>0</v>
      </c>
      <c r="O49" s="514">
        <f t="shared" si="11"/>
        <v>0</v>
      </c>
      <c r="P49" s="272"/>
    </row>
    <row r="50" spans="2:17">
      <c r="B50" s="195" t="str">
        <f t="shared" si="5"/>
        <v/>
      </c>
      <c r="C50" s="507">
        <f>IF(D11="","-",+C49+1)</f>
        <v>2046</v>
      </c>
      <c r="D50" s="523">
        <f>IF(F49+SUM(E$17:E49)=D$10,F49,D$10-SUM(E$17:E49))</f>
        <v>650465.27016989514</v>
      </c>
      <c r="E50" s="522">
        <f t="shared" si="26"/>
        <v>59914.522727272728</v>
      </c>
      <c r="F50" s="523">
        <f t="shared" si="27"/>
        <v>590550.74744262244</v>
      </c>
      <c r="G50" s="524">
        <f t="shared" si="28"/>
        <v>134082.0651882418</v>
      </c>
      <c r="H50" s="491">
        <f t="shared" si="29"/>
        <v>134082.0651882418</v>
      </c>
      <c r="I50" s="511">
        <f t="shared" si="6"/>
        <v>0</v>
      </c>
      <c r="J50" s="511"/>
      <c r="K50" s="525"/>
      <c r="L50" s="514">
        <f t="shared" si="30"/>
        <v>0</v>
      </c>
      <c r="M50" s="525"/>
      <c r="N50" s="514">
        <f t="shared" si="10"/>
        <v>0</v>
      </c>
      <c r="O50" s="514">
        <f t="shared" si="11"/>
        <v>0</v>
      </c>
      <c r="P50" s="272"/>
    </row>
    <row r="51" spans="2:17">
      <c r="B51" s="195" t="str">
        <f t="shared" si="5"/>
        <v/>
      </c>
      <c r="C51" s="507">
        <f>IF(D11="","-",+C50+1)</f>
        <v>2047</v>
      </c>
      <c r="D51" s="523">
        <f>IF(F50+SUM(E$17:E50)=D$10,F50,D$10-SUM(E$17:E50))</f>
        <v>590550.74744262244</v>
      </c>
      <c r="E51" s="522">
        <f t="shared" si="26"/>
        <v>59914.522727272728</v>
      </c>
      <c r="F51" s="523">
        <f t="shared" si="27"/>
        <v>530636.22471534973</v>
      </c>
      <c r="G51" s="524">
        <f t="shared" si="28"/>
        <v>126920.65414223037</v>
      </c>
      <c r="H51" s="491">
        <f t="shared" si="29"/>
        <v>126920.65414223037</v>
      </c>
      <c r="I51" s="511">
        <f t="shared" si="6"/>
        <v>0</v>
      </c>
      <c r="J51" s="511"/>
      <c r="K51" s="525"/>
      <c r="L51" s="514">
        <f t="shared" si="30"/>
        <v>0</v>
      </c>
      <c r="M51" s="525"/>
      <c r="N51" s="514">
        <f t="shared" si="10"/>
        <v>0</v>
      </c>
      <c r="O51" s="514">
        <f t="shared" si="11"/>
        <v>0</v>
      </c>
      <c r="P51" s="272"/>
    </row>
    <row r="52" spans="2:17">
      <c r="B52" s="195" t="str">
        <f t="shared" si="5"/>
        <v/>
      </c>
      <c r="C52" s="507">
        <f>IF(D11="","-",+C51+1)</f>
        <v>2048</v>
      </c>
      <c r="D52" s="523">
        <f>IF(F51+SUM(E$17:E51)=D$10,F51,D$10-SUM(E$17:E51))</f>
        <v>530636.22471534973</v>
      </c>
      <c r="E52" s="522">
        <f t="shared" si="26"/>
        <v>59914.522727272728</v>
      </c>
      <c r="F52" s="523">
        <f t="shared" si="27"/>
        <v>470721.70198807702</v>
      </c>
      <c r="G52" s="524">
        <f t="shared" si="28"/>
        <v>119759.24309621897</v>
      </c>
      <c r="H52" s="491">
        <f t="shared" si="29"/>
        <v>119759.24309621897</v>
      </c>
      <c r="I52" s="511">
        <f t="shared" si="6"/>
        <v>0</v>
      </c>
      <c r="J52" s="511"/>
      <c r="K52" s="525"/>
      <c r="L52" s="514">
        <f t="shared" si="30"/>
        <v>0</v>
      </c>
      <c r="M52" s="525"/>
      <c r="N52" s="514">
        <f t="shared" si="10"/>
        <v>0</v>
      </c>
      <c r="O52" s="514">
        <f t="shared" si="11"/>
        <v>0</v>
      </c>
      <c r="P52" s="272"/>
    </row>
    <row r="53" spans="2:17">
      <c r="B53" s="195" t="str">
        <f t="shared" si="5"/>
        <v/>
      </c>
      <c r="C53" s="507">
        <f>IF(D11="","-",+C52+1)</f>
        <v>2049</v>
      </c>
      <c r="D53" s="523">
        <f>IF(F52+SUM(E$17:E52)=D$10,F52,D$10-SUM(E$17:E52))</f>
        <v>470721.70198807702</v>
      </c>
      <c r="E53" s="522">
        <f t="shared" si="26"/>
        <v>59914.522727272728</v>
      </c>
      <c r="F53" s="523">
        <f t="shared" si="27"/>
        <v>410807.17926080432</v>
      </c>
      <c r="G53" s="524">
        <f t="shared" ref="G53:G72" si="31">+I$12*((D53+F53)/2)+E53</f>
        <v>112597.83205020754</v>
      </c>
      <c r="H53" s="491">
        <f t="shared" ref="H53:H72" si="32">+I$13*((D53+F53)/2)+E53</f>
        <v>112597.83205020754</v>
      </c>
      <c r="I53" s="511">
        <f t="shared" si="6"/>
        <v>0</v>
      </c>
      <c r="J53" s="511"/>
      <c r="K53" s="525"/>
      <c r="L53" s="514">
        <f t="shared" si="30"/>
        <v>0</v>
      </c>
      <c r="M53" s="525"/>
      <c r="N53" s="514">
        <f t="shared" si="10"/>
        <v>0</v>
      </c>
      <c r="O53" s="514">
        <f t="shared" si="11"/>
        <v>0</v>
      </c>
      <c r="P53" s="272"/>
    </row>
    <row r="54" spans="2:17">
      <c r="B54" s="195" t="str">
        <f t="shared" si="5"/>
        <v/>
      </c>
      <c r="C54" s="507">
        <f>IF(D11="","-",+C53+1)</f>
        <v>2050</v>
      </c>
      <c r="D54" s="523">
        <f>IF(F53+SUM(E$17:E53)=D$10,F53,D$10-SUM(E$17:E53))</f>
        <v>410807.17926080432</v>
      </c>
      <c r="E54" s="522">
        <f t="shared" si="26"/>
        <v>59914.522727272728</v>
      </c>
      <c r="F54" s="523">
        <f t="shared" si="27"/>
        <v>350892.65653353161</v>
      </c>
      <c r="G54" s="524">
        <f t="shared" si="31"/>
        <v>105436.42100419611</v>
      </c>
      <c r="H54" s="491">
        <f t="shared" si="32"/>
        <v>105436.42100419611</v>
      </c>
      <c r="I54" s="511">
        <f t="shared" si="6"/>
        <v>0</v>
      </c>
      <c r="J54" s="511"/>
      <c r="K54" s="525"/>
      <c r="L54" s="514">
        <f t="shared" si="30"/>
        <v>0</v>
      </c>
      <c r="M54" s="525"/>
      <c r="N54" s="514">
        <f t="shared" si="10"/>
        <v>0</v>
      </c>
      <c r="O54" s="514">
        <f t="shared" si="11"/>
        <v>0</v>
      </c>
      <c r="P54" s="272"/>
    </row>
    <row r="55" spans="2:17">
      <c r="B55" s="195" t="str">
        <f t="shared" si="5"/>
        <v/>
      </c>
      <c r="C55" s="507">
        <f>IF(D11="","-",+C54+1)</f>
        <v>2051</v>
      </c>
      <c r="D55" s="523">
        <f>IF(F54+SUM(E$17:E54)=D$10,F54,D$10-SUM(E$17:E54))</f>
        <v>350892.65653353161</v>
      </c>
      <c r="E55" s="522">
        <f t="shared" si="26"/>
        <v>59914.522727272728</v>
      </c>
      <c r="F55" s="523">
        <f t="shared" si="27"/>
        <v>290978.13380625891</v>
      </c>
      <c r="G55" s="524">
        <f t="shared" si="31"/>
        <v>98275.009958184688</v>
      </c>
      <c r="H55" s="491">
        <f t="shared" si="32"/>
        <v>98275.009958184688</v>
      </c>
      <c r="I55" s="511">
        <f t="shared" si="6"/>
        <v>0</v>
      </c>
      <c r="J55" s="511"/>
      <c r="K55" s="525"/>
      <c r="L55" s="514">
        <f t="shared" si="30"/>
        <v>0</v>
      </c>
      <c r="M55" s="525"/>
      <c r="N55" s="514">
        <f t="shared" si="10"/>
        <v>0</v>
      </c>
      <c r="O55" s="514">
        <f t="shared" si="11"/>
        <v>0</v>
      </c>
      <c r="P55" s="272"/>
    </row>
    <row r="56" spans="2:17">
      <c r="B56" s="195" t="str">
        <f t="shared" si="5"/>
        <v/>
      </c>
      <c r="C56" s="507">
        <f>IF(D11="","-",+C55+1)</f>
        <v>2052</v>
      </c>
      <c r="D56" s="523">
        <f>IF(F55+SUM(E$17:E55)=D$10,F55,D$10-SUM(E$17:E55))</f>
        <v>290978.13380625891</v>
      </c>
      <c r="E56" s="522">
        <f t="shared" si="26"/>
        <v>59914.522727272728</v>
      </c>
      <c r="F56" s="523">
        <f t="shared" si="27"/>
        <v>231063.61107898617</v>
      </c>
      <c r="G56" s="524">
        <f t="shared" si="31"/>
        <v>91113.598912173271</v>
      </c>
      <c r="H56" s="491">
        <f t="shared" si="32"/>
        <v>91113.598912173271</v>
      </c>
      <c r="I56" s="511">
        <f t="shared" si="6"/>
        <v>0</v>
      </c>
      <c r="J56" s="511"/>
      <c r="K56" s="525"/>
      <c r="L56" s="514">
        <f t="shared" si="30"/>
        <v>0</v>
      </c>
      <c r="M56" s="525"/>
      <c r="N56" s="514">
        <f t="shared" si="10"/>
        <v>0</v>
      </c>
      <c r="O56" s="514">
        <f t="shared" si="11"/>
        <v>0</v>
      </c>
      <c r="P56" s="272"/>
    </row>
    <row r="57" spans="2:17">
      <c r="B57" s="195" t="str">
        <f t="shared" si="5"/>
        <v/>
      </c>
      <c r="C57" s="507">
        <f>IF(D11="","-",+C56+1)</f>
        <v>2053</v>
      </c>
      <c r="D57" s="523">
        <f>IF(F56+SUM(E$17:E56)=D$10,F56,D$10-SUM(E$17:E56))</f>
        <v>231063.61107898617</v>
      </c>
      <c r="E57" s="522">
        <f t="shared" si="26"/>
        <v>59914.522727272728</v>
      </c>
      <c r="F57" s="523">
        <f t="shared" si="27"/>
        <v>171149.08835171344</v>
      </c>
      <c r="G57" s="524">
        <f t="shared" si="31"/>
        <v>83952.187866161839</v>
      </c>
      <c r="H57" s="491">
        <f t="shared" si="32"/>
        <v>83952.187866161839</v>
      </c>
      <c r="I57" s="511">
        <f t="shared" si="6"/>
        <v>0</v>
      </c>
      <c r="J57" s="511"/>
      <c r="K57" s="525"/>
      <c r="L57" s="514">
        <f t="shared" si="30"/>
        <v>0</v>
      </c>
      <c r="M57" s="525"/>
      <c r="N57" s="514">
        <f t="shared" si="10"/>
        <v>0</v>
      </c>
      <c r="O57" s="514">
        <f t="shared" si="11"/>
        <v>0</v>
      </c>
      <c r="P57" s="272"/>
    </row>
    <row r="58" spans="2:17">
      <c r="B58" s="195" t="str">
        <f t="shared" si="5"/>
        <v/>
      </c>
      <c r="C58" s="507">
        <f>IF(D11="","-",+C57+1)</f>
        <v>2054</v>
      </c>
      <c r="D58" s="523">
        <f>IF(F57+SUM(E$17:E57)=D$10,F57,D$10-SUM(E$17:E57))</f>
        <v>171149.08835171344</v>
      </c>
      <c r="E58" s="522">
        <f t="shared" si="26"/>
        <v>59914.522727272728</v>
      </c>
      <c r="F58" s="523">
        <f t="shared" si="27"/>
        <v>111234.5656244407</v>
      </c>
      <c r="G58" s="524">
        <f t="shared" si="31"/>
        <v>76790.776820150408</v>
      </c>
      <c r="H58" s="491">
        <f t="shared" si="32"/>
        <v>76790.776820150408</v>
      </c>
      <c r="I58" s="511">
        <f t="shared" si="6"/>
        <v>0</v>
      </c>
      <c r="J58" s="511"/>
      <c r="K58" s="525"/>
      <c r="L58" s="514">
        <f t="shared" si="30"/>
        <v>0</v>
      </c>
      <c r="M58" s="525"/>
      <c r="N58" s="514">
        <f t="shared" si="10"/>
        <v>0</v>
      </c>
      <c r="O58" s="514">
        <f t="shared" si="11"/>
        <v>0</v>
      </c>
      <c r="P58" s="272"/>
      <c r="Q58" s="183" t="str">
        <f>IF(ROUND(Q57,0)=ROUND(SUM(Q18:Q56),0),"","Error -- check allocations above).")</f>
        <v/>
      </c>
    </row>
    <row r="59" spans="2:17">
      <c r="B59" s="195" t="str">
        <f t="shared" si="5"/>
        <v/>
      </c>
      <c r="C59" s="507">
        <f>IF(D11="","-",+C58+1)</f>
        <v>2055</v>
      </c>
      <c r="D59" s="523">
        <f>IF(F58+SUM(E$17:E58)=D$10,F58,D$10-SUM(E$17:E58))</f>
        <v>111234.5656244407</v>
      </c>
      <c r="E59" s="522">
        <f t="shared" si="26"/>
        <v>59914.522727272728</v>
      </c>
      <c r="F59" s="523">
        <f t="shared" si="27"/>
        <v>51320.042897167972</v>
      </c>
      <c r="G59" s="524">
        <f t="shared" si="31"/>
        <v>69629.365774138976</v>
      </c>
      <c r="H59" s="491">
        <f t="shared" si="32"/>
        <v>69629.365774138976</v>
      </c>
      <c r="I59" s="511">
        <f t="shared" si="6"/>
        <v>0</v>
      </c>
      <c r="J59" s="511"/>
      <c r="K59" s="525"/>
      <c r="L59" s="514">
        <f t="shared" si="30"/>
        <v>0</v>
      </c>
      <c r="M59" s="525"/>
      <c r="N59" s="514">
        <f t="shared" si="10"/>
        <v>0</v>
      </c>
      <c r="O59" s="514">
        <f t="shared" si="11"/>
        <v>0</v>
      </c>
      <c r="P59" s="272"/>
    </row>
    <row r="60" spans="2:17">
      <c r="B60" s="195" t="str">
        <f t="shared" si="5"/>
        <v/>
      </c>
      <c r="C60" s="507">
        <f>IF(D11="","-",+C59+1)</f>
        <v>2056</v>
      </c>
      <c r="D60" s="523">
        <f>IF(F59+SUM(E$17:E59)=D$10,F59,D$10-SUM(E$17:E59))</f>
        <v>51320.042897167972</v>
      </c>
      <c r="E60" s="522">
        <f t="shared" si="26"/>
        <v>51320.042897167972</v>
      </c>
      <c r="F60" s="523">
        <f t="shared" si="27"/>
        <v>0</v>
      </c>
      <c r="G60" s="524">
        <f t="shared" si="31"/>
        <v>54387.111659098242</v>
      </c>
      <c r="H60" s="491">
        <f t="shared" si="32"/>
        <v>54387.111659098242</v>
      </c>
      <c r="I60" s="511">
        <f t="shared" si="6"/>
        <v>0</v>
      </c>
      <c r="J60" s="511"/>
      <c r="K60" s="525"/>
      <c r="L60" s="514">
        <f t="shared" si="30"/>
        <v>0</v>
      </c>
      <c r="M60" s="525"/>
      <c r="N60" s="514">
        <f t="shared" si="10"/>
        <v>0</v>
      </c>
      <c r="O60" s="514">
        <f t="shared" si="11"/>
        <v>0</v>
      </c>
      <c r="P60" s="272"/>
    </row>
    <row r="61" spans="2:17">
      <c r="B61" s="195" t="str">
        <f t="shared" si="5"/>
        <v/>
      </c>
      <c r="C61" s="507">
        <f>IF(D11="","-",+C60+1)</f>
        <v>2057</v>
      </c>
      <c r="D61" s="523">
        <f>IF(F60+SUM(E$17:E60)=D$10,F60,D$10-SUM(E$17:E60))</f>
        <v>0</v>
      </c>
      <c r="E61" s="522">
        <f t="shared" si="26"/>
        <v>0</v>
      </c>
      <c r="F61" s="523">
        <f t="shared" si="27"/>
        <v>0</v>
      </c>
      <c r="G61" s="524">
        <f t="shared" si="31"/>
        <v>0</v>
      </c>
      <c r="H61" s="491">
        <f t="shared" si="32"/>
        <v>0</v>
      </c>
      <c r="I61" s="511">
        <f t="shared" si="6"/>
        <v>0</v>
      </c>
      <c r="J61" s="511"/>
      <c r="K61" s="525"/>
      <c r="L61" s="514">
        <f t="shared" si="30"/>
        <v>0</v>
      </c>
      <c r="M61" s="525"/>
      <c r="N61" s="514">
        <f t="shared" si="10"/>
        <v>0</v>
      </c>
      <c r="O61" s="514">
        <f t="shared" si="11"/>
        <v>0</v>
      </c>
      <c r="P61" s="272"/>
    </row>
    <row r="62" spans="2:17">
      <c r="B62" s="195" t="str">
        <f t="shared" si="5"/>
        <v/>
      </c>
      <c r="C62" s="507">
        <f>IF(D11="","-",+C61+1)</f>
        <v>2058</v>
      </c>
      <c r="D62" s="523">
        <f>IF(F61+SUM(E$17:E61)=D$10,F61,D$10-SUM(E$17:E61))</f>
        <v>0</v>
      </c>
      <c r="E62" s="522">
        <f t="shared" si="26"/>
        <v>0</v>
      </c>
      <c r="F62" s="523">
        <f t="shared" si="27"/>
        <v>0</v>
      </c>
      <c r="G62" s="524">
        <f t="shared" si="31"/>
        <v>0</v>
      </c>
      <c r="H62" s="491">
        <f t="shared" si="32"/>
        <v>0</v>
      </c>
      <c r="I62" s="511">
        <f t="shared" si="6"/>
        <v>0</v>
      </c>
      <c r="J62" s="511"/>
      <c r="K62" s="525"/>
      <c r="L62" s="514">
        <f t="shared" si="30"/>
        <v>0</v>
      </c>
      <c r="M62" s="525"/>
      <c r="N62" s="514">
        <f t="shared" si="10"/>
        <v>0</v>
      </c>
      <c r="O62" s="514">
        <f t="shared" si="11"/>
        <v>0</v>
      </c>
      <c r="P62" s="272"/>
    </row>
    <row r="63" spans="2:17">
      <c r="B63" s="195" t="str">
        <f t="shared" si="5"/>
        <v/>
      </c>
      <c r="C63" s="507">
        <f>IF(D11="","-",+C62+1)</f>
        <v>2059</v>
      </c>
      <c r="D63" s="523">
        <f>IF(F62+SUM(E$17:E62)=D$10,F62,D$10-SUM(E$17:E62))</f>
        <v>0</v>
      </c>
      <c r="E63" s="522">
        <f t="shared" si="26"/>
        <v>0</v>
      </c>
      <c r="F63" s="523">
        <f t="shared" si="27"/>
        <v>0</v>
      </c>
      <c r="G63" s="524">
        <f t="shared" si="31"/>
        <v>0</v>
      </c>
      <c r="H63" s="491">
        <f t="shared" si="32"/>
        <v>0</v>
      </c>
      <c r="I63" s="511">
        <f t="shared" si="6"/>
        <v>0</v>
      </c>
      <c r="J63" s="511"/>
      <c r="K63" s="525"/>
      <c r="L63" s="514">
        <f t="shared" si="30"/>
        <v>0</v>
      </c>
      <c r="M63" s="525"/>
      <c r="N63" s="514">
        <f t="shared" si="10"/>
        <v>0</v>
      </c>
      <c r="O63" s="514">
        <f t="shared" si="11"/>
        <v>0</v>
      </c>
      <c r="P63" s="272"/>
    </row>
    <row r="64" spans="2:17">
      <c r="B64" s="195" t="str">
        <f t="shared" si="5"/>
        <v/>
      </c>
      <c r="C64" s="507">
        <f>IF(D11="","-",+C63+1)</f>
        <v>2060</v>
      </c>
      <c r="D64" s="523">
        <f>IF(F63+SUM(E$17:E63)=D$10,F63,D$10-SUM(E$17:E63))</f>
        <v>0</v>
      </c>
      <c r="E64" s="522">
        <f t="shared" si="26"/>
        <v>0</v>
      </c>
      <c r="F64" s="523">
        <f t="shared" si="27"/>
        <v>0</v>
      </c>
      <c r="G64" s="524">
        <f t="shared" si="31"/>
        <v>0</v>
      </c>
      <c r="H64" s="491">
        <f t="shared" si="32"/>
        <v>0</v>
      </c>
      <c r="I64" s="511">
        <f t="shared" si="6"/>
        <v>0</v>
      </c>
      <c r="J64" s="511"/>
      <c r="K64" s="525"/>
      <c r="L64" s="514">
        <f t="shared" si="30"/>
        <v>0</v>
      </c>
      <c r="M64" s="525"/>
      <c r="N64" s="514">
        <f t="shared" si="10"/>
        <v>0</v>
      </c>
      <c r="O64" s="514">
        <f t="shared" si="11"/>
        <v>0</v>
      </c>
      <c r="P64" s="272"/>
    </row>
    <row r="65" spans="2:16">
      <c r="B65" s="195" t="str">
        <f t="shared" si="5"/>
        <v/>
      </c>
      <c r="C65" s="507">
        <f>IF(D11="","-",+C64+1)</f>
        <v>2061</v>
      </c>
      <c r="D65" s="523">
        <f>IF(F64+SUM(E$17:E64)=D$10,F64,D$10-SUM(E$17:E64))</f>
        <v>0</v>
      </c>
      <c r="E65" s="522">
        <f t="shared" si="26"/>
        <v>0</v>
      </c>
      <c r="F65" s="523">
        <f t="shared" si="27"/>
        <v>0</v>
      </c>
      <c r="G65" s="524">
        <f t="shared" si="31"/>
        <v>0</v>
      </c>
      <c r="H65" s="491">
        <f t="shared" si="32"/>
        <v>0</v>
      </c>
      <c r="I65" s="511">
        <f t="shared" si="6"/>
        <v>0</v>
      </c>
      <c r="J65" s="511"/>
      <c r="K65" s="525"/>
      <c r="L65" s="514">
        <f t="shared" si="30"/>
        <v>0</v>
      </c>
      <c r="M65" s="525"/>
      <c r="N65" s="514">
        <f t="shared" si="10"/>
        <v>0</v>
      </c>
      <c r="O65" s="514">
        <f t="shared" si="11"/>
        <v>0</v>
      </c>
      <c r="P65" s="272"/>
    </row>
    <row r="66" spans="2:16">
      <c r="B66" s="195" t="str">
        <f t="shared" si="5"/>
        <v/>
      </c>
      <c r="C66" s="507">
        <f>IF(D11="","-",+C65+1)</f>
        <v>2062</v>
      </c>
      <c r="D66" s="523">
        <f>IF(F65+SUM(E$17:E65)=D$10,F65,D$10-SUM(E$17:E65))</f>
        <v>0</v>
      </c>
      <c r="E66" s="522">
        <f t="shared" si="26"/>
        <v>0</v>
      </c>
      <c r="F66" s="523">
        <f t="shared" si="27"/>
        <v>0</v>
      </c>
      <c r="G66" s="524">
        <f t="shared" si="31"/>
        <v>0</v>
      </c>
      <c r="H66" s="491">
        <f t="shared" si="32"/>
        <v>0</v>
      </c>
      <c r="I66" s="511">
        <f t="shared" si="6"/>
        <v>0</v>
      </c>
      <c r="J66" s="511"/>
      <c r="K66" s="525"/>
      <c r="L66" s="514">
        <f t="shared" si="30"/>
        <v>0</v>
      </c>
      <c r="M66" s="525"/>
      <c r="N66" s="514">
        <f t="shared" si="10"/>
        <v>0</v>
      </c>
      <c r="O66" s="514">
        <f t="shared" si="11"/>
        <v>0</v>
      </c>
      <c r="P66" s="272"/>
    </row>
    <row r="67" spans="2:16">
      <c r="B67" s="195" t="str">
        <f t="shared" si="5"/>
        <v/>
      </c>
      <c r="C67" s="507">
        <f>IF(D11="","-",+C66+1)</f>
        <v>2063</v>
      </c>
      <c r="D67" s="523">
        <f>IF(F66+SUM(E$17:E66)=D$10,F66,D$10-SUM(E$17:E66))</f>
        <v>0</v>
      </c>
      <c r="E67" s="522">
        <f t="shared" si="26"/>
        <v>0</v>
      </c>
      <c r="F67" s="523">
        <f t="shared" si="27"/>
        <v>0</v>
      </c>
      <c r="G67" s="524">
        <f t="shared" si="31"/>
        <v>0</v>
      </c>
      <c r="H67" s="491">
        <f t="shared" si="32"/>
        <v>0</v>
      </c>
      <c r="I67" s="511">
        <f t="shared" si="6"/>
        <v>0</v>
      </c>
      <c r="J67" s="511"/>
      <c r="K67" s="525"/>
      <c r="L67" s="514">
        <f t="shared" si="30"/>
        <v>0</v>
      </c>
      <c r="M67" s="525"/>
      <c r="N67" s="514">
        <f t="shared" si="10"/>
        <v>0</v>
      </c>
      <c r="O67" s="514">
        <f t="shared" si="11"/>
        <v>0</v>
      </c>
      <c r="P67" s="272"/>
    </row>
    <row r="68" spans="2:16">
      <c r="B68" s="195" t="str">
        <f t="shared" si="5"/>
        <v/>
      </c>
      <c r="C68" s="507">
        <f>IF(D11="","-",+C67+1)</f>
        <v>2064</v>
      </c>
      <c r="D68" s="523">
        <f>IF(F67+SUM(E$17:E67)=D$10,F67,D$10-SUM(E$17:E67))</f>
        <v>0</v>
      </c>
      <c r="E68" s="522">
        <f t="shared" si="26"/>
        <v>0</v>
      </c>
      <c r="F68" s="523">
        <f t="shared" si="27"/>
        <v>0</v>
      </c>
      <c r="G68" s="524">
        <f t="shared" si="31"/>
        <v>0</v>
      </c>
      <c r="H68" s="491">
        <f t="shared" si="32"/>
        <v>0</v>
      </c>
      <c r="I68" s="511">
        <f t="shared" si="6"/>
        <v>0</v>
      </c>
      <c r="J68" s="511"/>
      <c r="K68" s="525"/>
      <c r="L68" s="514">
        <f t="shared" si="30"/>
        <v>0</v>
      </c>
      <c r="M68" s="525"/>
      <c r="N68" s="514">
        <f t="shared" si="10"/>
        <v>0</v>
      </c>
      <c r="O68" s="514">
        <f t="shared" si="11"/>
        <v>0</v>
      </c>
      <c r="P68" s="272"/>
    </row>
    <row r="69" spans="2:16">
      <c r="B69" s="195" t="str">
        <f t="shared" si="5"/>
        <v/>
      </c>
      <c r="C69" s="507">
        <f>IF(D11="","-",+C68+1)</f>
        <v>2065</v>
      </c>
      <c r="D69" s="523">
        <f>IF(F68+SUM(E$17:E68)=D$10,F68,D$10-SUM(E$17:E68))</f>
        <v>0</v>
      </c>
      <c r="E69" s="522">
        <f t="shared" si="26"/>
        <v>0</v>
      </c>
      <c r="F69" s="523">
        <f t="shared" si="27"/>
        <v>0</v>
      </c>
      <c r="G69" s="524">
        <f t="shared" si="31"/>
        <v>0</v>
      </c>
      <c r="H69" s="491">
        <f t="shared" si="32"/>
        <v>0</v>
      </c>
      <c r="I69" s="511">
        <f t="shared" si="6"/>
        <v>0</v>
      </c>
      <c r="J69" s="511"/>
      <c r="K69" s="525"/>
      <c r="L69" s="514">
        <f t="shared" si="30"/>
        <v>0</v>
      </c>
      <c r="M69" s="525"/>
      <c r="N69" s="514">
        <f t="shared" si="10"/>
        <v>0</v>
      </c>
      <c r="O69" s="514">
        <f t="shared" si="11"/>
        <v>0</v>
      </c>
      <c r="P69" s="272"/>
    </row>
    <row r="70" spans="2:16">
      <c r="B70" s="195" t="str">
        <f t="shared" si="5"/>
        <v/>
      </c>
      <c r="C70" s="507">
        <f>IF(D11="","-",+C69+1)</f>
        <v>2066</v>
      </c>
      <c r="D70" s="523">
        <f>IF(F69+SUM(E$17:E69)=D$10,F69,D$10-SUM(E$17:E69))</f>
        <v>0</v>
      </c>
      <c r="E70" s="522">
        <f t="shared" si="26"/>
        <v>0</v>
      </c>
      <c r="F70" s="523">
        <f t="shared" si="27"/>
        <v>0</v>
      </c>
      <c r="G70" s="524">
        <f t="shared" si="31"/>
        <v>0</v>
      </c>
      <c r="H70" s="491">
        <f t="shared" si="32"/>
        <v>0</v>
      </c>
      <c r="I70" s="511">
        <f t="shared" si="6"/>
        <v>0</v>
      </c>
      <c r="J70" s="511"/>
      <c r="K70" s="525"/>
      <c r="L70" s="514">
        <f t="shared" si="30"/>
        <v>0</v>
      </c>
      <c r="M70" s="525"/>
      <c r="N70" s="514">
        <f t="shared" si="10"/>
        <v>0</v>
      </c>
      <c r="O70" s="514">
        <f t="shared" si="11"/>
        <v>0</v>
      </c>
      <c r="P70" s="272"/>
    </row>
    <row r="71" spans="2:16">
      <c r="B71" s="195" t="str">
        <f t="shared" si="5"/>
        <v/>
      </c>
      <c r="C71" s="507">
        <f>IF(D11="","-",+C70+1)</f>
        <v>2067</v>
      </c>
      <c r="D71" s="523">
        <f>IF(F70+SUM(E$17:E70)=D$10,F70,D$10-SUM(E$17:E70))</f>
        <v>0</v>
      </c>
      <c r="E71" s="522">
        <f t="shared" si="26"/>
        <v>0</v>
      </c>
      <c r="F71" s="523">
        <f t="shared" si="27"/>
        <v>0</v>
      </c>
      <c r="G71" s="524">
        <f t="shared" si="31"/>
        <v>0</v>
      </c>
      <c r="H71" s="491">
        <f t="shared" si="32"/>
        <v>0</v>
      </c>
      <c r="I71" s="511">
        <f t="shared" si="6"/>
        <v>0</v>
      </c>
      <c r="J71" s="511"/>
      <c r="K71" s="525"/>
      <c r="L71" s="514">
        <f t="shared" si="30"/>
        <v>0</v>
      </c>
      <c r="M71" s="525"/>
      <c r="N71" s="514">
        <f t="shared" si="10"/>
        <v>0</v>
      </c>
      <c r="O71" s="514">
        <f t="shared" si="11"/>
        <v>0</v>
      </c>
      <c r="P71" s="272"/>
    </row>
    <row r="72" spans="2:16" ht="13.5" thickBot="1">
      <c r="B72" s="195" t="str">
        <f t="shared" si="5"/>
        <v/>
      </c>
      <c r="C72" s="527">
        <f>IF(D11="","-",+C71+1)</f>
        <v>2068</v>
      </c>
      <c r="D72" s="523">
        <f>IF(F71+SUM(E$17:E71)=D$10,F71,D$10-SUM(E$17:E71))</f>
        <v>0</v>
      </c>
      <c r="E72" s="522">
        <f t="shared" si="26"/>
        <v>0</v>
      </c>
      <c r="F72" s="523">
        <f t="shared" si="27"/>
        <v>0</v>
      </c>
      <c r="G72" s="524">
        <f t="shared" si="31"/>
        <v>0</v>
      </c>
      <c r="H72" s="491">
        <f t="shared" si="32"/>
        <v>0</v>
      </c>
      <c r="I72" s="511">
        <f t="shared" si="6"/>
        <v>0</v>
      </c>
      <c r="J72" s="511"/>
      <c r="K72" s="532"/>
      <c r="L72" s="533">
        <f t="shared" si="30"/>
        <v>0</v>
      </c>
      <c r="M72" s="532"/>
      <c r="N72" s="533">
        <f t="shared" si="10"/>
        <v>0</v>
      </c>
      <c r="O72" s="533">
        <f t="shared" si="11"/>
        <v>0</v>
      </c>
      <c r="P72" s="272"/>
    </row>
    <row r="73" spans="2:16">
      <c r="C73" s="374" t="s">
        <v>78</v>
      </c>
      <c r="D73" s="375"/>
      <c r="E73" s="375">
        <f>SUM(E17:E72)</f>
        <v>2636239.0000000023</v>
      </c>
      <c r="F73" s="375"/>
      <c r="G73" s="375">
        <f>SUM(G17:G72)</f>
        <v>9844426.8728017379</v>
      </c>
      <c r="H73" s="375">
        <f>SUM(H17:H72)</f>
        <v>9844426.8728017379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2:16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2:16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2:16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2:16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272"/>
      <c r="P77" s="272"/>
    </row>
    <row r="78" spans="2:16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2:16"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  <c r="O79" s="269"/>
      <c r="P79" s="269"/>
    </row>
    <row r="80" spans="2:16" ht="18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7">
      <c r="B81" s="269"/>
      <c r="C81" s="340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7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  <c r="Q82" s="269"/>
    </row>
    <row r="83" spans="1:17" ht="20.25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451" t="str">
        <f ca="1">P1</f>
        <v>SWEPCO Project 38 of 75</v>
      </c>
      <c r="Q83" s="269"/>
    </row>
    <row r="84" spans="1:17" ht="18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538" t="s">
        <v>128</v>
      </c>
      <c r="Q84" s="269"/>
    </row>
    <row r="85" spans="1:17" ht="18.7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  <c r="Q85" s="269"/>
    </row>
    <row r="86" spans="1:17" ht="15.75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2022</v>
      </c>
      <c r="M86" s="541" t="s">
        <v>9</v>
      </c>
      <c r="N86" s="542" t="s">
        <v>159</v>
      </c>
      <c r="O86" s="543" t="s">
        <v>11</v>
      </c>
      <c r="P86" s="269"/>
      <c r="Q86" s="269"/>
    </row>
    <row r="87" spans="1:17" ht="1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391</v>
      </c>
      <c r="M87" s="546">
        <f>IF(J92&lt;D11,0,VLOOKUP(J92,C17:O72,9))</f>
        <v>294710.10019772034</v>
      </c>
      <c r="N87" s="546">
        <f>IF(J92&lt;D11,0,VLOOKUP(J92,C17:O72,11))</f>
        <v>294710.10019772034</v>
      </c>
      <c r="O87" s="547">
        <f>+N87-M87</f>
        <v>0</v>
      </c>
      <c r="P87" s="269"/>
      <c r="Q87" s="269"/>
    </row>
    <row r="88" spans="1:17" ht="15.7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392</v>
      </c>
      <c r="M88" s="550">
        <f>IF(J92&lt;D11,0,VLOOKUP(J92,C99:P154,6))</f>
        <v>306224.71570463729</v>
      </c>
      <c r="N88" s="550">
        <f>IF(J92&lt;D11,0,VLOOKUP(J92,C99:P154,7))</f>
        <v>306224.71570463729</v>
      </c>
      <c r="O88" s="551">
        <f>+N88-M88</f>
        <v>0</v>
      </c>
      <c r="P88" s="269"/>
      <c r="Q88" s="269"/>
    </row>
    <row r="89" spans="1:17" ht="13.5" thickBot="1">
      <c r="C89" s="467" t="s">
        <v>84</v>
      </c>
      <c r="D89" s="552" t="str">
        <f>+D7</f>
        <v>Eastex Switching Station - Whitney 138 kV Station - Rebuild 2.5 miles of 138 Kv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11514.615506916947</v>
      </c>
      <c r="N89" s="555">
        <f>+N88-N87</f>
        <v>11514.615506916947</v>
      </c>
      <c r="O89" s="556">
        <f>+O88-O87</f>
        <v>0</v>
      </c>
      <c r="P89" s="269"/>
      <c r="Q89" s="269"/>
    </row>
    <row r="90" spans="1:17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  <c r="Q90" s="269"/>
    </row>
    <row r="91" spans="1:17" ht="13.5" thickBot="1">
      <c r="A91" s="191"/>
      <c r="C91" s="558" t="s">
        <v>85</v>
      </c>
      <c r="D91" s="559" t="str">
        <f>+D9</f>
        <v>TP2010064</v>
      </c>
      <c r="E91" s="560"/>
      <c r="F91" s="560"/>
      <c r="G91" s="560"/>
      <c r="H91" s="560"/>
      <c r="I91" s="560"/>
      <c r="J91" s="560"/>
      <c r="K91" s="562"/>
      <c r="P91" s="481"/>
      <c r="Q91" s="269"/>
    </row>
    <row r="92" spans="1:17">
      <c r="C92" s="486" t="s">
        <v>51</v>
      </c>
      <c r="D92" s="483">
        <f>D10</f>
        <v>2636239</v>
      </c>
      <c r="E92" s="340" t="s">
        <v>86</v>
      </c>
      <c r="H92" s="484"/>
      <c r="I92" s="484"/>
      <c r="J92" s="485">
        <f>+'SWE.WS.G.BPU.ATRR.True-up'!M16</f>
        <v>2022</v>
      </c>
      <c r="K92" s="480"/>
      <c r="L92" s="375" t="s">
        <v>87</v>
      </c>
      <c r="P92" s="272"/>
      <c r="Q92" s="269"/>
    </row>
    <row r="93" spans="1:17">
      <c r="C93" s="486" t="s">
        <v>54</v>
      </c>
      <c r="D93" s="636" t="s">
        <v>369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  <c r="Q93" s="269"/>
    </row>
    <row r="94" spans="1:17">
      <c r="C94" s="486" t="s">
        <v>56</v>
      </c>
      <c r="D94" s="564">
        <f>D12</f>
        <v>6</v>
      </c>
      <c r="E94" s="486" t="s">
        <v>57</v>
      </c>
      <c r="F94" s="484"/>
      <c r="G94" s="484"/>
      <c r="J94" s="490">
        <f>'SWE.WS.G.BPU.ATRR.True-up'!$F$81</f>
        <v>0.11351422637179906</v>
      </c>
      <c r="K94" s="425"/>
      <c r="L94" s="183" t="s">
        <v>88</v>
      </c>
      <c r="P94" s="272"/>
      <c r="Q94" s="269"/>
    </row>
    <row r="95" spans="1:17">
      <c r="C95" s="486" t="s">
        <v>59</v>
      </c>
      <c r="D95" s="488">
        <f>'SWE.WS.G.BPU.ATRR.True-up'!F$93</f>
        <v>41</v>
      </c>
      <c r="E95" s="486" t="s">
        <v>60</v>
      </c>
      <c r="F95" s="484"/>
      <c r="G95" s="484"/>
      <c r="J95" s="490">
        <f>IF(H87="",J94,'SWE.WS.G.BPU.ATRR.True-up'!$F$80)</f>
        <v>0.11351422637179906</v>
      </c>
      <c r="K95" s="324"/>
      <c r="L95" s="375" t="s">
        <v>61</v>
      </c>
      <c r="M95" s="324"/>
      <c r="N95" s="324"/>
      <c r="O95" s="324"/>
      <c r="P95" s="272"/>
      <c r="Q95" s="269"/>
    </row>
    <row r="96" spans="1:17" ht="13.5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64298.512195121948</v>
      </c>
      <c r="K96" s="375"/>
      <c r="L96" s="375"/>
      <c r="M96" s="375"/>
      <c r="N96" s="375"/>
      <c r="O96" s="375"/>
      <c r="P96" s="272"/>
      <c r="Q96" s="269"/>
    </row>
    <row r="97" spans="1:17" ht="38.25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388</v>
      </c>
      <c r="I97" s="495" t="s">
        <v>389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  <c r="Q97" s="269"/>
    </row>
    <row r="98" spans="1:17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  <c r="Q98" s="269"/>
    </row>
    <row r="99" spans="1:17">
      <c r="C99" s="507" t="str">
        <f>IF(D93= "","-",D93)</f>
        <v>2013</v>
      </c>
      <c r="D99" s="629">
        <v>0</v>
      </c>
      <c r="E99" s="630">
        <v>31383.797619047618</v>
      </c>
      <c r="F99" s="631">
        <v>2604855.2023809524</v>
      </c>
      <c r="G99" s="632">
        <v>1302427.6011904762</v>
      </c>
      <c r="H99" s="633">
        <v>207591.44491891743</v>
      </c>
      <c r="I99" s="634">
        <v>207591.44491891743</v>
      </c>
      <c r="J99" s="613">
        <v>0</v>
      </c>
      <c r="K99" s="514"/>
      <c r="L99" s="518">
        <f t="shared" ref="L99:L104" si="33">H99</f>
        <v>207591.44491891743</v>
      </c>
      <c r="M99" s="519">
        <f t="shared" ref="M99:M104" si="34">IF(L99&lt;&gt;0,+H99-L99,0)</f>
        <v>0</v>
      </c>
      <c r="N99" s="518">
        <f t="shared" ref="N99:N104" si="35">I99</f>
        <v>207591.44491891743</v>
      </c>
      <c r="O99" s="514">
        <f>IF(N99&lt;&gt;0,+I99-N99,0)</f>
        <v>0</v>
      </c>
      <c r="P99" s="514">
        <f>+O99-M99</f>
        <v>0</v>
      </c>
      <c r="Q99" s="269"/>
    </row>
    <row r="100" spans="1:17">
      <c r="B100" s="195" t="str">
        <f>IF(D100=F99,"","IU")</f>
        <v/>
      </c>
      <c r="C100" s="507">
        <f>IF(D93="","-",+C99+1)</f>
        <v>2014</v>
      </c>
      <c r="D100" s="629">
        <v>2604855.2023809524</v>
      </c>
      <c r="E100" s="630">
        <v>62767.595238095237</v>
      </c>
      <c r="F100" s="631">
        <v>2542087.6071428573</v>
      </c>
      <c r="G100" s="631">
        <v>2573471.4047619049</v>
      </c>
      <c r="H100" s="633">
        <v>412562.73217828164</v>
      </c>
      <c r="I100" s="634">
        <v>412562.73217828164</v>
      </c>
      <c r="J100" s="514">
        <v>0</v>
      </c>
      <c r="K100" s="514"/>
      <c r="L100" s="518">
        <f t="shared" si="33"/>
        <v>412562.73217828164</v>
      </c>
      <c r="M100" s="519">
        <f t="shared" si="34"/>
        <v>0</v>
      </c>
      <c r="N100" s="518">
        <f t="shared" si="35"/>
        <v>412562.73217828164</v>
      </c>
      <c r="O100" s="514">
        <f>IF(N100&lt;&gt;0,+I100-N100,0)</f>
        <v>0</v>
      </c>
      <c r="P100" s="514">
        <f>+O100-M100</f>
        <v>0</v>
      </c>
      <c r="Q100" s="269"/>
    </row>
    <row r="101" spans="1:17">
      <c r="B101" s="195" t="str">
        <f t="shared" ref="B101:B154" si="36">IF(D101=F100,"","IU")</f>
        <v/>
      </c>
      <c r="C101" s="507">
        <f>IF(D93="","-",+C100+1)</f>
        <v>2015</v>
      </c>
      <c r="D101" s="629">
        <v>2542087.6071428573</v>
      </c>
      <c r="E101" s="630">
        <v>62767.595238095237</v>
      </c>
      <c r="F101" s="631">
        <v>2479320.0119047621</v>
      </c>
      <c r="G101" s="631">
        <v>2510703.8095238097</v>
      </c>
      <c r="H101" s="633">
        <v>393600.21889551368</v>
      </c>
      <c r="I101" s="634">
        <v>393600.21889551368</v>
      </c>
      <c r="J101" s="514">
        <f>+I101-H101</f>
        <v>0</v>
      </c>
      <c r="K101" s="514"/>
      <c r="L101" s="518">
        <f t="shared" si="33"/>
        <v>393600.21889551368</v>
      </c>
      <c r="M101" s="519">
        <f t="shared" si="34"/>
        <v>0</v>
      </c>
      <c r="N101" s="518">
        <f t="shared" si="35"/>
        <v>393600.21889551368</v>
      </c>
      <c r="O101" s="514">
        <f>IF(N101&lt;&gt;0,+I101-N101,0)</f>
        <v>0</v>
      </c>
      <c r="P101" s="514">
        <f>+O101-M101</f>
        <v>0</v>
      </c>
      <c r="Q101" s="269"/>
    </row>
    <row r="102" spans="1:17">
      <c r="B102" s="195" t="str">
        <f t="shared" si="36"/>
        <v/>
      </c>
      <c r="C102" s="507">
        <f>IF(D93="","-",+C101+1)</f>
        <v>2016</v>
      </c>
      <c r="D102" s="629">
        <v>2479320.0119047621</v>
      </c>
      <c r="E102" s="630">
        <v>61307.883720930229</v>
      </c>
      <c r="F102" s="631">
        <v>2418012.1281838319</v>
      </c>
      <c r="G102" s="631">
        <v>2448666.0700442968</v>
      </c>
      <c r="H102" s="633">
        <v>372166.01263516292</v>
      </c>
      <c r="I102" s="634">
        <v>372166.01263516292</v>
      </c>
      <c r="J102" s="514">
        <f t="shared" ref="J102:J154" si="37">+I102-H102</f>
        <v>0</v>
      </c>
      <c r="K102" s="514"/>
      <c r="L102" s="518">
        <f t="shared" si="33"/>
        <v>372166.01263516292</v>
      </c>
      <c r="M102" s="519">
        <f t="shared" si="34"/>
        <v>0</v>
      </c>
      <c r="N102" s="518">
        <f t="shared" si="35"/>
        <v>372166.01263516292</v>
      </c>
      <c r="O102" s="514">
        <f>IF(N102&lt;&gt;0,+I102-N102,0)</f>
        <v>0</v>
      </c>
      <c r="P102" s="514">
        <f>+O102-M102</f>
        <v>0</v>
      </c>
      <c r="Q102" s="269"/>
    </row>
    <row r="103" spans="1:17">
      <c r="B103" s="195" t="str">
        <f t="shared" si="36"/>
        <v/>
      </c>
      <c r="C103" s="507">
        <f>IF(D93="","-",+C102+1)</f>
        <v>2017</v>
      </c>
      <c r="D103" s="629">
        <v>2418012.1281838319</v>
      </c>
      <c r="E103" s="630">
        <v>62767.595238095237</v>
      </c>
      <c r="F103" s="631">
        <v>2355244.5329457368</v>
      </c>
      <c r="G103" s="631">
        <v>2386628.3305647844</v>
      </c>
      <c r="H103" s="633">
        <v>352674.81750168814</v>
      </c>
      <c r="I103" s="634">
        <v>352674.81750168814</v>
      </c>
      <c r="J103" s="514">
        <f t="shared" si="37"/>
        <v>0</v>
      </c>
      <c r="K103" s="514"/>
      <c r="L103" s="518">
        <f t="shared" si="33"/>
        <v>352674.81750168814</v>
      </c>
      <c r="M103" s="519">
        <f t="shared" si="34"/>
        <v>0</v>
      </c>
      <c r="N103" s="518">
        <f t="shared" si="35"/>
        <v>352674.81750168814</v>
      </c>
      <c r="O103" s="514">
        <f>IF(N103&lt;&gt;0,+I103-N103,0)</f>
        <v>0</v>
      </c>
      <c r="P103" s="514">
        <f>+O103-M103</f>
        <v>0</v>
      </c>
      <c r="Q103" s="269"/>
    </row>
    <row r="104" spans="1:17">
      <c r="B104" s="195" t="str">
        <f t="shared" si="36"/>
        <v/>
      </c>
      <c r="C104" s="507">
        <f>IF(D93="","-",+C103+1)</f>
        <v>2018</v>
      </c>
      <c r="D104" s="629">
        <v>2355244.5329457368</v>
      </c>
      <c r="E104" s="630">
        <v>62767.595238095237</v>
      </c>
      <c r="F104" s="631">
        <v>2292476.9377076416</v>
      </c>
      <c r="G104" s="631">
        <v>2323860.7353266892</v>
      </c>
      <c r="H104" s="633">
        <v>308177.94569514133</v>
      </c>
      <c r="I104" s="634">
        <v>308177.94569514133</v>
      </c>
      <c r="J104" s="514">
        <f t="shared" si="37"/>
        <v>0</v>
      </c>
      <c r="K104" s="514"/>
      <c r="L104" s="518">
        <f t="shared" si="33"/>
        <v>308177.94569514133</v>
      </c>
      <c r="M104" s="519">
        <f t="shared" si="34"/>
        <v>0</v>
      </c>
      <c r="N104" s="518">
        <f t="shared" si="35"/>
        <v>308177.94569514133</v>
      </c>
      <c r="O104" s="514">
        <f t="shared" ref="O104:O130" si="38">IF(N104&lt;&gt;0,+I104-N104,0)</f>
        <v>0</v>
      </c>
      <c r="P104" s="514">
        <f t="shared" ref="P104:P130" si="39">+O104-M104</f>
        <v>0</v>
      </c>
      <c r="Q104" s="269"/>
    </row>
    <row r="105" spans="1:17">
      <c r="B105" s="195" t="str">
        <f t="shared" si="36"/>
        <v/>
      </c>
      <c r="C105" s="507">
        <f>IF(D93="","-",+C104+1)</f>
        <v>2019</v>
      </c>
      <c r="D105" s="629">
        <v>2292476.9377076416</v>
      </c>
      <c r="E105" s="630">
        <v>61307.883720930229</v>
      </c>
      <c r="F105" s="631">
        <v>2231169.0539867114</v>
      </c>
      <c r="G105" s="631">
        <v>2261822.9958471768</v>
      </c>
      <c r="H105" s="633">
        <v>303414.65337781532</v>
      </c>
      <c r="I105" s="634">
        <v>303414.65337781532</v>
      </c>
      <c r="J105" s="514">
        <f t="shared" si="37"/>
        <v>0</v>
      </c>
      <c r="K105" s="514"/>
      <c r="L105" s="518">
        <f t="shared" ref="L105:L106" si="40">H105</f>
        <v>303414.65337781532</v>
      </c>
      <c r="M105" s="519">
        <f t="shared" ref="M105:M106" si="41">IF(L105&lt;&gt;0,+H105-L105,0)</f>
        <v>0</v>
      </c>
      <c r="N105" s="518">
        <f t="shared" ref="N105:N106" si="42">I105</f>
        <v>303414.65337781532</v>
      </c>
      <c r="O105" s="514">
        <f t="shared" si="38"/>
        <v>0</v>
      </c>
      <c r="P105" s="514">
        <f t="shared" si="39"/>
        <v>0</v>
      </c>
      <c r="Q105" s="269"/>
    </row>
    <row r="106" spans="1:17">
      <c r="B106" s="195" t="str">
        <f t="shared" si="36"/>
        <v/>
      </c>
      <c r="C106" s="507">
        <f>IF(D93="","-",+C105+1)</f>
        <v>2020</v>
      </c>
      <c r="D106" s="629">
        <v>2231169.0539867114</v>
      </c>
      <c r="E106" s="630">
        <v>62767.595238095237</v>
      </c>
      <c r="F106" s="631">
        <v>2168401.4587486163</v>
      </c>
      <c r="G106" s="631">
        <v>2199785.2563676639</v>
      </c>
      <c r="H106" s="633">
        <v>299406.92594418232</v>
      </c>
      <c r="I106" s="634">
        <v>299406.92594418232</v>
      </c>
      <c r="J106" s="514">
        <f t="shared" si="37"/>
        <v>0</v>
      </c>
      <c r="K106" s="514"/>
      <c r="L106" s="518">
        <f t="shared" si="40"/>
        <v>299406.92594418232</v>
      </c>
      <c r="M106" s="519">
        <f t="shared" si="41"/>
        <v>0</v>
      </c>
      <c r="N106" s="518">
        <f t="shared" si="42"/>
        <v>299406.92594418232</v>
      </c>
      <c r="O106" s="514">
        <f t="shared" si="38"/>
        <v>0</v>
      </c>
      <c r="P106" s="514">
        <f t="shared" si="39"/>
        <v>0</v>
      </c>
      <c r="Q106" s="269"/>
    </row>
    <row r="107" spans="1:17">
      <c r="B107" s="195" t="str">
        <f t="shared" si="36"/>
        <v/>
      </c>
      <c r="C107" s="507">
        <f>IF(D93="","-",+C106+1)</f>
        <v>2021</v>
      </c>
      <c r="D107" s="629">
        <v>2168401.4587486163</v>
      </c>
      <c r="E107" s="630">
        <v>64298.512195121948</v>
      </c>
      <c r="F107" s="631">
        <v>2104102.9465534943</v>
      </c>
      <c r="G107" s="631">
        <v>2136252.2026510555</v>
      </c>
      <c r="H107" s="633">
        <v>306793.5283141082</v>
      </c>
      <c r="I107" s="634">
        <v>306793.5283141082</v>
      </c>
      <c r="J107" s="514">
        <f t="shared" si="37"/>
        <v>0</v>
      </c>
      <c r="K107" s="514"/>
      <c r="L107" s="518">
        <f t="shared" ref="L107" si="43">H107</f>
        <v>306793.5283141082</v>
      </c>
      <c r="M107" s="519">
        <f t="shared" ref="M107" si="44">IF(L107&lt;&gt;0,+H107-L107,0)</f>
        <v>0</v>
      </c>
      <c r="N107" s="518">
        <f t="shared" ref="N107" si="45">I107</f>
        <v>306793.5283141082</v>
      </c>
      <c r="O107" s="514">
        <f t="shared" ref="O107" si="46">IF(N107&lt;&gt;0,+I107-N107,0)</f>
        <v>0</v>
      </c>
      <c r="P107" s="514">
        <f t="shared" ref="P107" si="47">+O107-M107</f>
        <v>0</v>
      </c>
      <c r="Q107" s="269"/>
    </row>
    <row r="108" spans="1:17">
      <c r="B108" s="195" t="str">
        <f t="shared" si="36"/>
        <v/>
      </c>
      <c r="C108" s="673">
        <f>IF(D93="","-",+C107+1)</f>
        <v>2022</v>
      </c>
      <c r="D108" s="374">
        <v>2104102.9465534943</v>
      </c>
      <c r="E108" s="522">
        <v>62767.595238095237</v>
      </c>
      <c r="F108" s="523">
        <v>2041335.3513153992</v>
      </c>
      <c r="G108" s="523">
        <v>2072719.1489344467</v>
      </c>
      <c r="H108" s="526">
        <v>306224.71570463729</v>
      </c>
      <c r="I108" s="577">
        <v>306224.71570463729</v>
      </c>
      <c r="J108" s="514">
        <f t="shared" si="37"/>
        <v>0</v>
      </c>
      <c r="K108" s="514"/>
      <c r="L108" s="525"/>
      <c r="M108" s="514">
        <f t="shared" ref="M108:M130" si="48">IF(L108&lt;&gt;0,+H108-L108,0)</f>
        <v>0</v>
      </c>
      <c r="N108" s="525"/>
      <c r="O108" s="514">
        <f t="shared" si="38"/>
        <v>0</v>
      </c>
      <c r="P108" s="514">
        <f t="shared" si="39"/>
        <v>0</v>
      </c>
      <c r="Q108" s="269"/>
    </row>
    <row r="109" spans="1:17">
      <c r="B109" s="195" t="str">
        <f t="shared" si="36"/>
        <v/>
      </c>
      <c r="C109" s="507">
        <f>IF(D93="","-",+C108+1)</f>
        <v>2023</v>
      </c>
      <c r="D109" s="374">
        <f>IF(F108+SUM(E$99:E108)=D$92,F108,D$92-SUM(E$99:E108))</f>
        <v>2041335.3513153992</v>
      </c>
      <c r="E109" s="522">
        <f t="shared" ref="E109:E154" si="49">IF(+$J$96&lt;F108,$J$96,D109)</f>
        <v>64298.512195121948</v>
      </c>
      <c r="F109" s="523">
        <f t="shared" ref="F109:F154" si="50">+D109-E109</f>
        <v>1977036.8391202772</v>
      </c>
      <c r="G109" s="523">
        <f t="shared" ref="G109:G154" si="51">+(F109+D109)/2</f>
        <v>2009186.0952178382</v>
      </c>
      <c r="H109" s="526">
        <f t="shared" ref="H109:H154" si="52">+J$94*G109+E109</f>
        <v>292369.71743075066</v>
      </c>
      <c r="I109" s="577">
        <f t="shared" ref="I109:I154" si="53">+J$95*G109+E109</f>
        <v>292369.71743075066</v>
      </c>
      <c r="J109" s="514">
        <f t="shared" si="37"/>
        <v>0</v>
      </c>
      <c r="K109" s="514"/>
      <c r="L109" s="525"/>
      <c r="M109" s="514">
        <f t="shared" si="48"/>
        <v>0</v>
      </c>
      <c r="N109" s="525"/>
      <c r="O109" s="514">
        <f t="shared" si="38"/>
        <v>0</v>
      </c>
      <c r="P109" s="514">
        <f t="shared" si="39"/>
        <v>0</v>
      </c>
      <c r="Q109" s="269"/>
    </row>
    <row r="110" spans="1:17">
      <c r="B110" s="195" t="str">
        <f t="shared" si="36"/>
        <v/>
      </c>
      <c r="C110" s="507">
        <f>IF(D93="","-",+C109+1)</f>
        <v>2024</v>
      </c>
      <c r="D110" s="374">
        <f>IF(F109+SUM(E$99:E109)=D$92,F109,D$92-SUM(E$99:E109))</f>
        <v>1977036.8391202772</v>
      </c>
      <c r="E110" s="522">
        <f t="shared" si="49"/>
        <v>64298.512195121948</v>
      </c>
      <c r="F110" s="523">
        <f t="shared" si="50"/>
        <v>1912738.3269251552</v>
      </c>
      <c r="G110" s="523">
        <f t="shared" si="51"/>
        <v>1944887.5830227162</v>
      </c>
      <c r="H110" s="526">
        <f t="shared" si="52"/>
        <v>285070.92156206368</v>
      </c>
      <c r="I110" s="577">
        <f t="shared" si="53"/>
        <v>285070.92156206368</v>
      </c>
      <c r="J110" s="514">
        <f t="shared" si="37"/>
        <v>0</v>
      </c>
      <c r="K110" s="514"/>
      <c r="L110" s="525"/>
      <c r="M110" s="514">
        <f t="shared" si="48"/>
        <v>0</v>
      </c>
      <c r="N110" s="525"/>
      <c r="O110" s="514">
        <f t="shared" si="38"/>
        <v>0</v>
      </c>
      <c r="P110" s="514">
        <f t="shared" si="39"/>
        <v>0</v>
      </c>
      <c r="Q110" s="269"/>
    </row>
    <row r="111" spans="1:17">
      <c r="B111" s="195" t="str">
        <f t="shared" si="36"/>
        <v/>
      </c>
      <c r="C111" s="507">
        <f>IF(D93="","-",+C110+1)</f>
        <v>2025</v>
      </c>
      <c r="D111" s="374">
        <f>IF(F110+SUM(E$99:E110)=D$92,F110,D$92-SUM(E$99:E110))</f>
        <v>1912738.3269251552</v>
      </c>
      <c r="E111" s="522">
        <f t="shared" si="49"/>
        <v>64298.512195121948</v>
      </c>
      <c r="F111" s="523">
        <f t="shared" si="50"/>
        <v>1848439.8147300333</v>
      </c>
      <c r="G111" s="523">
        <f t="shared" si="51"/>
        <v>1880589.0708275943</v>
      </c>
      <c r="H111" s="526">
        <f t="shared" si="52"/>
        <v>277772.12569337676</v>
      </c>
      <c r="I111" s="577">
        <f t="shared" si="53"/>
        <v>277772.12569337676</v>
      </c>
      <c r="J111" s="514">
        <f t="shared" si="37"/>
        <v>0</v>
      </c>
      <c r="K111" s="514"/>
      <c r="L111" s="525"/>
      <c r="M111" s="514">
        <f t="shared" si="48"/>
        <v>0</v>
      </c>
      <c r="N111" s="525"/>
      <c r="O111" s="514">
        <f t="shared" si="38"/>
        <v>0</v>
      </c>
      <c r="P111" s="514">
        <f t="shared" si="39"/>
        <v>0</v>
      </c>
      <c r="Q111" s="269"/>
    </row>
    <row r="112" spans="1:17">
      <c r="B112" s="195" t="str">
        <f t="shared" si="36"/>
        <v/>
      </c>
      <c r="C112" s="507">
        <f>IF(D93="","-",+C111+1)</f>
        <v>2026</v>
      </c>
      <c r="D112" s="374">
        <f>IF(F111+SUM(E$99:E111)=D$92,F111,D$92-SUM(E$99:E111))</f>
        <v>1848439.8147300333</v>
      </c>
      <c r="E112" s="522">
        <f t="shared" si="49"/>
        <v>64298.512195121948</v>
      </c>
      <c r="F112" s="523">
        <f t="shared" si="50"/>
        <v>1784141.3025349113</v>
      </c>
      <c r="G112" s="523">
        <f t="shared" si="51"/>
        <v>1816290.5586324723</v>
      </c>
      <c r="H112" s="526">
        <f t="shared" si="52"/>
        <v>270473.32982468978</v>
      </c>
      <c r="I112" s="577">
        <f t="shared" si="53"/>
        <v>270473.32982468978</v>
      </c>
      <c r="J112" s="514">
        <f t="shared" si="37"/>
        <v>0</v>
      </c>
      <c r="K112" s="514"/>
      <c r="L112" s="525"/>
      <c r="M112" s="514">
        <f t="shared" si="48"/>
        <v>0</v>
      </c>
      <c r="N112" s="525"/>
      <c r="O112" s="514">
        <f t="shared" si="38"/>
        <v>0</v>
      </c>
      <c r="P112" s="514">
        <f t="shared" si="39"/>
        <v>0</v>
      </c>
      <c r="Q112" s="269"/>
    </row>
    <row r="113" spans="2:17">
      <c r="B113" s="195" t="str">
        <f t="shared" si="36"/>
        <v/>
      </c>
      <c r="C113" s="507">
        <f>IF(D93="","-",+C112+1)</f>
        <v>2027</v>
      </c>
      <c r="D113" s="374">
        <f>IF(F112+SUM(E$99:E112)=D$92,F112,D$92-SUM(E$99:E112))</f>
        <v>1784141.3025349113</v>
      </c>
      <c r="E113" s="522">
        <f t="shared" si="49"/>
        <v>64298.512195121948</v>
      </c>
      <c r="F113" s="523">
        <f t="shared" si="50"/>
        <v>1719842.7903397894</v>
      </c>
      <c r="G113" s="523">
        <f t="shared" si="51"/>
        <v>1751992.0464373503</v>
      </c>
      <c r="H113" s="526">
        <f t="shared" si="52"/>
        <v>263174.53395600285</v>
      </c>
      <c r="I113" s="577">
        <f t="shared" si="53"/>
        <v>263174.53395600285</v>
      </c>
      <c r="J113" s="514">
        <f t="shared" si="37"/>
        <v>0</v>
      </c>
      <c r="K113" s="514"/>
      <c r="L113" s="525"/>
      <c r="M113" s="514">
        <f t="shared" si="48"/>
        <v>0</v>
      </c>
      <c r="N113" s="525"/>
      <c r="O113" s="514">
        <f t="shared" si="38"/>
        <v>0</v>
      </c>
      <c r="P113" s="514">
        <f t="shared" si="39"/>
        <v>0</v>
      </c>
      <c r="Q113" s="269"/>
    </row>
    <row r="114" spans="2:17">
      <c r="B114" s="195" t="str">
        <f t="shared" si="36"/>
        <v/>
      </c>
      <c r="C114" s="507">
        <f>IF(D93="","-",+C113+1)</f>
        <v>2028</v>
      </c>
      <c r="D114" s="374">
        <f>IF(F113+SUM(E$99:E113)=D$92,F113,D$92-SUM(E$99:E113))</f>
        <v>1719842.7903397894</v>
      </c>
      <c r="E114" s="522">
        <f t="shared" si="49"/>
        <v>64298.512195121948</v>
      </c>
      <c r="F114" s="523">
        <f t="shared" si="50"/>
        <v>1655544.2781446674</v>
      </c>
      <c r="G114" s="523">
        <f t="shared" si="51"/>
        <v>1687693.5342422284</v>
      </c>
      <c r="H114" s="526">
        <f t="shared" si="52"/>
        <v>255875.73808731587</v>
      </c>
      <c r="I114" s="577">
        <f t="shared" si="53"/>
        <v>255875.73808731587</v>
      </c>
      <c r="J114" s="514">
        <f t="shared" si="37"/>
        <v>0</v>
      </c>
      <c r="K114" s="514"/>
      <c r="L114" s="525"/>
      <c r="M114" s="514">
        <f t="shared" si="48"/>
        <v>0</v>
      </c>
      <c r="N114" s="525"/>
      <c r="O114" s="514">
        <f t="shared" si="38"/>
        <v>0</v>
      </c>
      <c r="P114" s="514">
        <f t="shared" si="39"/>
        <v>0</v>
      </c>
      <c r="Q114" s="269"/>
    </row>
    <row r="115" spans="2:17">
      <c r="B115" s="195" t="str">
        <f t="shared" si="36"/>
        <v/>
      </c>
      <c r="C115" s="507">
        <f>IF(D93="","-",+C114+1)</f>
        <v>2029</v>
      </c>
      <c r="D115" s="374">
        <f>IF(F114+SUM(E$99:E114)=D$92,F114,D$92-SUM(E$99:E114))</f>
        <v>1655544.2781446674</v>
      </c>
      <c r="E115" s="522">
        <f t="shared" si="49"/>
        <v>64298.512195121948</v>
      </c>
      <c r="F115" s="523">
        <f t="shared" si="50"/>
        <v>1591245.7659495454</v>
      </c>
      <c r="G115" s="523">
        <f t="shared" si="51"/>
        <v>1623395.0220471064</v>
      </c>
      <c r="H115" s="526">
        <f t="shared" si="52"/>
        <v>248576.94221862889</v>
      </c>
      <c r="I115" s="577">
        <f t="shared" si="53"/>
        <v>248576.94221862889</v>
      </c>
      <c r="J115" s="514">
        <f t="shared" si="37"/>
        <v>0</v>
      </c>
      <c r="K115" s="514"/>
      <c r="L115" s="525"/>
      <c r="M115" s="514">
        <f t="shared" si="48"/>
        <v>0</v>
      </c>
      <c r="N115" s="525"/>
      <c r="O115" s="514">
        <f t="shared" si="38"/>
        <v>0</v>
      </c>
      <c r="P115" s="514">
        <f t="shared" si="39"/>
        <v>0</v>
      </c>
      <c r="Q115" s="269"/>
    </row>
    <row r="116" spans="2:17">
      <c r="B116" s="195" t="str">
        <f t="shared" si="36"/>
        <v/>
      </c>
      <c r="C116" s="507">
        <f>IF(D93="","-",+C115+1)</f>
        <v>2030</v>
      </c>
      <c r="D116" s="374">
        <f>IF(F115+SUM(E$99:E115)=D$92,F115,D$92-SUM(E$99:E115))</f>
        <v>1591245.7659495454</v>
      </c>
      <c r="E116" s="522">
        <f t="shared" si="49"/>
        <v>64298.512195121948</v>
      </c>
      <c r="F116" s="523">
        <f t="shared" si="50"/>
        <v>1526947.2537544235</v>
      </c>
      <c r="G116" s="523">
        <f t="shared" si="51"/>
        <v>1559096.5098519844</v>
      </c>
      <c r="H116" s="526">
        <f t="shared" si="52"/>
        <v>241278.14634994196</v>
      </c>
      <c r="I116" s="577">
        <f t="shared" si="53"/>
        <v>241278.14634994196</v>
      </c>
      <c r="J116" s="514">
        <f t="shared" si="37"/>
        <v>0</v>
      </c>
      <c r="K116" s="514"/>
      <c r="L116" s="525"/>
      <c r="M116" s="514">
        <f t="shared" si="48"/>
        <v>0</v>
      </c>
      <c r="N116" s="525"/>
      <c r="O116" s="514">
        <f t="shared" si="38"/>
        <v>0</v>
      </c>
      <c r="P116" s="514">
        <f t="shared" si="39"/>
        <v>0</v>
      </c>
      <c r="Q116" s="269"/>
    </row>
    <row r="117" spans="2:17">
      <c r="B117" s="195" t="str">
        <f t="shared" si="36"/>
        <v/>
      </c>
      <c r="C117" s="507">
        <f>IF(D93="","-",+C116+1)</f>
        <v>2031</v>
      </c>
      <c r="D117" s="374">
        <f>IF(F116+SUM(E$99:E116)=D$92,F116,D$92-SUM(E$99:E116))</f>
        <v>1526947.2537544235</v>
      </c>
      <c r="E117" s="522">
        <f t="shared" si="49"/>
        <v>64298.512195121948</v>
      </c>
      <c r="F117" s="523">
        <f t="shared" si="50"/>
        <v>1462648.7415593015</v>
      </c>
      <c r="G117" s="523">
        <f t="shared" si="51"/>
        <v>1494797.9976568625</v>
      </c>
      <c r="H117" s="526">
        <f t="shared" si="52"/>
        <v>233979.35048125498</v>
      </c>
      <c r="I117" s="577">
        <f t="shared" si="53"/>
        <v>233979.35048125498</v>
      </c>
      <c r="J117" s="514">
        <f t="shared" si="37"/>
        <v>0</v>
      </c>
      <c r="K117" s="514"/>
      <c r="L117" s="525"/>
      <c r="M117" s="514">
        <f t="shared" si="48"/>
        <v>0</v>
      </c>
      <c r="N117" s="525"/>
      <c r="O117" s="514">
        <f t="shared" si="38"/>
        <v>0</v>
      </c>
      <c r="P117" s="514">
        <f t="shared" si="39"/>
        <v>0</v>
      </c>
      <c r="Q117" s="269"/>
    </row>
    <row r="118" spans="2:17">
      <c r="B118" s="195" t="str">
        <f t="shared" si="36"/>
        <v/>
      </c>
      <c r="C118" s="507">
        <f>IF(D93="","-",+C117+1)</f>
        <v>2032</v>
      </c>
      <c r="D118" s="374">
        <f>IF(F117+SUM(E$99:E117)=D$92,F117,D$92-SUM(E$99:E117))</f>
        <v>1462648.7415593015</v>
      </c>
      <c r="E118" s="522">
        <f t="shared" si="49"/>
        <v>64298.512195121948</v>
      </c>
      <c r="F118" s="523">
        <f t="shared" si="50"/>
        <v>1398350.2293641795</v>
      </c>
      <c r="G118" s="523">
        <f t="shared" si="51"/>
        <v>1430499.4854617405</v>
      </c>
      <c r="H118" s="526">
        <f t="shared" si="52"/>
        <v>226680.55461256806</v>
      </c>
      <c r="I118" s="577">
        <f t="shared" si="53"/>
        <v>226680.55461256806</v>
      </c>
      <c r="J118" s="514">
        <f t="shared" si="37"/>
        <v>0</v>
      </c>
      <c r="K118" s="514"/>
      <c r="L118" s="525"/>
      <c r="M118" s="514">
        <f t="shared" si="48"/>
        <v>0</v>
      </c>
      <c r="N118" s="525"/>
      <c r="O118" s="514">
        <f t="shared" si="38"/>
        <v>0</v>
      </c>
      <c r="P118" s="514">
        <f t="shared" si="39"/>
        <v>0</v>
      </c>
      <c r="Q118" s="269"/>
    </row>
    <row r="119" spans="2:17">
      <c r="B119" s="195" t="str">
        <f t="shared" si="36"/>
        <v/>
      </c>
      <c r="C119" s="507">
        <f>IF(D93="","-",+C118+1)</f>
        <v>2033</v>
      </c>
      <c r="D119" s="374">
        <f>IF(F118+SUM(E$99:E118)=D$92,F118,D$92-SUM(E$99:E118))</f>
        <v>1398350.2293641795</v>
      </c>
      <c r="E119" s="522">
        <f t="shared" si="49"/>
        <v>64298.512195121948</v>
      </c>
      <c r="F119" s="523">
        <f t="shared" si="50"/>
        <v>1334051.7171690576</v>
      </c>
      <c r="G119" s="523">
        <f t="shared" si="51"/>
        <v>1366200.9732666186</v>
      </c>
      <c r="H119" s="526">
        <f t="shared" si="52"/>
        <v>219381.75874388107</v>
      </c>
      <c r="I119" s="577">
        <f t="shared" si="53"/>
        <v>219381.75874388107</v>
      </c>
      <c r="J119" s="514">
        <f t="shared" si="37"/>
        <v>0</v>
      </c>
      <c r="K119" s="514"/>
      <c r="L119" s="525"/>
      <c r="M119" s="514">
        <f t="shared" si="48"/>
        <v>0</v>
      </c>
      <c r="N119" s="525"/>
      <c r="O119" s="514">
        <f t="shared" si="38"/>
        <v>0</v>
      </c>
      <c r="P119" s="514">
        <f t="shared" si="39"/>
        <v>0</v>
      </c>
      <c r="Q119" s="269"/>
    </row>
    <row r="120" spans="2:17">
      <c r="B120" s="195" t="str">
        <f t="shared" si="36"/>
        <v/>
      </c>
      <c r="C120" s="507">
        <f>IF(D93="","-",+C119+1)</f>
        <v>2034</v>
      </c>
      <c r="D120" s="374">
        <f>IF(F119+SUM(E$99:E119)=D$92,F119,D$92-SUM(E$99:E119))</f>
        <v>1334051.7171690576</v>
      </c>
      <c r="E120" s="522">
        <f t="shared" si="49"/>
        <v>64298.512195121948</v>
      </c>
      <c r="F120" s="523">
        <f t="shared" si="50"/>
        <v>1269753.2049739356</v>
      </c>
      <c r="G120" s="523">
        <f t="shared" si="51"/>
        <v>1301902.4610714966</v>
      </c>
      <c r="H120" s="526">
        <f t="shared" si="52"/>
        <v>212082.96287519415</v>
      </c>
      <c r="I120" s="577">
        <f t="shared" si="53"/>
        <v>212082.96287519415</v>
      </c>
      <c r="J120" s="514">
        <f t="shared" si="37"/>
        <v>0</v>
      </c>
      <c r="K120" s="514"/>
      <c r="L120" s="525"/>
      <c r="M120" s="514">
        <f t="shared" si="48"/>
        <v>0</v>
      </c>
      <c r="N120" s="525"/>
      <c r="O120" s="514">
        <f t="shared" si="38"/>
        <v>0</v>
      </c>
      <c r="P120" s="514">
        <f t="shared" si="39"/>
        <v>0</v>
      </c>
      <c r="Q120" s="269"/>
    </row>
    <row r="121" spans="2:17">
      <c r="B121" s="195" t="str">
        <f t="shared" si="36"/>
        <v/>
      </c>
      <c r="C121" s="507">
        <f>IF(D93="","-",+C120+1)</f>
        <v>2035</v>
      </c>
      <c r="D121" s="374">
        <f>IF(F120+SUM(E$99:E120)=D$92,F120,D$92-SUM(E$99:E120))</f>
        <v>1269753.2049739356</v>
      </c>
      <c r="E121" s="522">
        <f t="shared" si="49"/>
        <v>64298.512195121948</v>
      </c>
      <c r="F121" s="523">
        <f t="shared" si="50"/>
        <v>1205454.6927788137</v>
      </c>
      <c r="G121" s="523">
        <f t="shared" si="51"/>
        <v>1237603.9488763746</v>
      </c>
      <c r="H121" s="526">
        <f t="shared" si="52"/>
        <v>204784.16700650717</v>
      </c>
      <c r="I121" s="577">
        <f t="shared" si="53"/>
        <v>204784.16700650717</v>
      </c>
      <c r="J121" s="514">
        <f t="shared" si="37"/>
        <v>0</v>
      </c>
      <c r="K121" s="514"/>
      <c r="L121" s="525"/>
      <c r="M121" s="514">
        <f t="shared" si="48"/>
        <v>0</v>
      </c>
      <c r="N121" s="525"/>
      <c r="O121" s="514">
        <f t="shared" si="38"/>
        <v>0</v>
      </c>
      <c r="P121" s="514">
        <f t="shared" si="39"/>
        <v>0</v>
      </c>
      <c r="Q121" s="269"/>
    </row>
    <row r="122" spans="2:17">
      <c r="B122" s="195" t="str">
        <f t="shared" si="36"/>
        <v/>
      </c>
      <c r="C122" s="507">
        <f>IF(D93="","-",+C121+1)</f>
        <v>2036</v>
      </c>
      <c r="D122" s="374">
        <f>IF(F121+SUM(E$99:E121)=D$92,F121,D$92-SUM(E$99:E121))</f>
        <v>1205454.6927788137</v>
      </c>
      <c r="E122" s="522">
        <f t="shared" si="49"/>
        <v>64298.512195121948</v>
      </c>
      <c r="F122" s="523">
        <f t="shared" si="50"/>
        <v>1141156.1805836917</v>
      </c>
      <c r="G122" s="523">
        <f t="shared" si="51"/>
        <v>1173305.4366812527</v>
      </c>
      <c r="H122" s="526">
        <f t="shared" si="52"/>
        <v>197485.37113782018</v>
      </c>
      <c r="I122" s="577">
        <f t="shared" si="53"/>
        <v>197485.37113782018</v>
      </c>
      <c r="J122" s="514">
        <f t="shared" si="37"/>
        <v>0</v>
      </c>
      <c r="K122" s="514"/>
      <c r="L122" s="525"/>
      <c r="M122" s="514">
        <f t="shared" si="48"/>
        <v>0</v>
      </c>
      <c r="N122" s="525"/>
      <c r="O122" s="514">
        <f t="shared" si="38"/>
        <v>0</v>
      </c>
      <c r="P122" s="514">
        <f t="shared" si="39"/>
        <v>0</v>
      </c>
      <c r="Q122" s="269"/>
    </row>
    <row r="123" spans="2:17">
      <c r="B123" s="195" t="str">
        <f t="shared" si="36"/>
        <v/>
      </c>
      <c r="C123" s="507">
        <f>IF(D93="","-",+C122+1)</f>
        <v>2037</v>
      </c>
      <c r="D123" s="374">
        <f>IF(F122+SUM(E$99:E122)=D$92,F122,D$92-SUM(E$99:E122))</f>
        <v>1141156.1805836917</v>
      </c>
      <c r="E123" s="522">
        <f t="shared" si="49"/>
        <v>64298.512195121948</v>
      </c>
      <c r="F123" s="523">
        <f t="shared" si="50"/>
        <v>1076857.6683885697</v>
      </c>
      <c r="G123" s="523">
        <f t="shared" si="51"/>
        <v>1109006.9244861307</v>
      </c>
      <c r="H123" s="526">
        <f t="shared" si="52"/>
        <v>190186.57526913326</v>
      </c>
      <c r="I123" s="577">
        <f t="shared" si="53"/>
        <v>190186.57526913326</v>
      </c>
      <c r="J123" s="514">
        <f t="shared" si="37"/>
        <v>0</v>
      </c>
      <c r="K123" s="514"/>
      <c r="L123" s="525"/>
      <c r="M123" s="514">
        <f t="shared" si="48"/>
        <v>0</v>
      </c>
      <c r="N123" s="525"/>
      <c r="O123" s="514">
        <f t="shared" si="38"/>
        <v>0</v>
      </c>
      <c r="P123" s="514">
        <f t="shared" si="39"/>
        <v>0</v>
      </c>
      <c r="Q123" s="269"/>
    </row>
    <row r="124" spans="2:17">
      <c r="B124" s="195" t="str">
        <f t="shared" si="36"/>
        <v/>
      </c>
      <c r="C124" s="507">
        <f>IF(D93="","-",+C123+1)</f>
        <v>2038</v>
      </c>
      <c r="D124" s="374">
        <f>IF(F123+SUM(E$99:E123)=D$92,F123,D$92-SUM(E$99:E123))</f>
        <v>1076857.6683885697</v>
      </c>
      <c r="E124" s="522">
        <f t="shared" si="49"/>
        <v>64298.512195121948</v>
      </c>
      <c r="F124" s="523">
        <f t="shared" si="50"/>
        <v>1012559.1561934478</v>
      </c>
      <c r="G124" s="523">
        <f t="shared" si="51"/>
        <v>1044708.4122910087</v>
      </c>
      <c r="H124" s="526">
        <f t="shared" si="52"/>
        <v>182887.77940044628</v>
      </c>
      <c r="I124" s="577">
        <f t="shared" si="53"/>
        <v>182887.77940044628</v>
      </c>
      <c r="J124" s="514">
        <f t="shared" si="37"/>
        <v>0</v>
      </c>
      <c r="K124" s="514"/>
      <c r="L124" s="525"/>
      <c r="M124" s="514">
        <f t="shared" si="48"/>
        <v>0</v>
      </c>
      <c r="N124" s="525"/>
      <c r="O124" s="514">
        <f t="shared" si="38"/>
        <v>0</v>
      </c>
      <c r="P124" s="514">
        <f t="shared" si="39"/>
        <v>0</v>
      </c>
      <c r="Q124" s="269"/>
    </row>
    <row r="125" spans="2:17">
      <c r="B125" s="195" t="str">
        <f t="shared" si="36"/>
        <v/>
      </c>
      <c r="C125" s="507">
        <f>IF(D93="","-",+C124+1)</f>
        <v>2039</v>
      </c>
      <c r="D125" s="374">
        <f>IF(F124+SUM(E$99:E124)=D$92,F124,D$92-SUM(E$99:E124))</f>
        <v>1012559.1561934478</v>
      </c>
      <c r="E125" s="522">
        <f t="shared" si="49"/>
        <v>64298.512195121948</v>
      </c>
      <c r="F125" s="523">
        <f t="shared" si="50"/>
        <v>948260.6439983258</v>
      </c>
      <c r="G125" s="523">
        <f t="shared" si="51"/>
        <v>980409.90009588678</v>
      </c>
      <c r="H125" s="526">
        <f t="shared" si="52"/>
        <v>175588.98353175935</v>
      </c>
      <c r="I125" s="577">
        <f t="shared" si="53"/>
        <v>175588.98353175935</v>
      </c>
      <c r="J125" s="514">
        <f t="shared" si="37"/>
        <v>0</v>
      </c>
      <c r="K125" s="514"/>
      <c r="L125" s="525"/>
      <c r="M125" s="514">
        <f t="shared" si="48"/>
        <v>0</v>
      </c>
      <c r="N125" s="525"/>
      <c r="O125" s="514">
        <f t="shared" si="38"/>
        <v>0</v>
      </c>
      <c r="P125" s="514">
        <f t="shared" si="39"/>
        <v>0</v>
      </c>
      <c r="Q125" s="269"/>
    </row>
    <row r="126" spans="2:17">
      <c r="B126" s="195" t="str">
        <f t="shared" si="36"/>
        <v/>
      </c>
      <c r="C126" s="507">
        <f>IF(D93="","-",+C125+1)</f>
        <v>2040</v>
      </c>
      <c r="D126" s="374">
        <f>IF(F125+SUM(E$99:E125)=D$92,F125,D$92-SUM(E$99:E125))</f>
        <v>948260.6439983258</v>
      </c>
      <c r="E126" s="522">
        <f t="shared" si="49"/>
        <v>64298.512195121948</v>
      </c>
      <c r="F126" s="523">
        <f t="shared" si="50"/>
        <v>883962.13180320384</v>
      </c>
      <c r="G126" s="523">
        <f t="shared" si="51"/>
        <v>916111.38790076482</v>
      </c>
      <c r="H126" s="526">
        <f t="shared" si="52"/>
        <v>168290.18766307237</v>
      </c>
      <c r="I126" s="577">
        <f t="shared" si="53"/>
        <v>168290.18766307237</v>
      </c>
      <c r="J126" s="514">
        <f t="shared" si="37"/>
        <v>0</v>
      </c>
      <c r="K126" s="514"/>
      <c r="L126" s="525"/>
      <c r="M126" s="514">
        <f t="shared" si="48"/>
        <v>0</v>
      </c>
      <c r="N126" s="525"/>
      <c r="O126" s="514">
        <f t="shared" si="38"/>
        <v>0</v>
      </c>
      <c r="P126" s="514">
        <f t="shared" si="39"/>
        <v>0</v>
      </c>
      <c r="Q126" s="269"/>
    </row>
    <row r="127" spans="2:17">
      <c r="B127" s="195" t="str">
        <f t="shared" si="36"/>
        <v/>
      </c>
      <c r="C127" s="507">
        <f>IF(D93="","-",+C126+1)</f>
        <v>2041</v>
      </c>
      <c r="D127" s="374">
        <f>IF(F126+SUM(E$99:E126)=D$92,F126,D$92-SUM(E$99:E126))</f>
        <v>883962.13180320384</v>
      </c>
      <c r="E127" s="522">
        <f t="shared" si="49"/>
        <v>64298.512195121948</v>
      </c>
      <c r="F127" s="523">
        <f t="shared" si="50"/>
        <v>819663.61960808188</v>
      </c>
      <c r="G127" s="523">
        <f t="shared" si="51"/>
        <v>851812.87570564286</v>
      </c>
      <c r="H127" s="526">
        <f t="shared" si="52"/>
        <v>160991.39179438545</v>
      </c>
      <c r="I127" s="577">
        <f t="shared" si="53"/>
        <v>160991.39179438545</v>
      </c>
      <c r="J127" s="514">
        <f t="shared" si="37"/>
        <v>0</v>
      </c>
      <c r="K127" s="514"/>
      <c r="L127" s="525"/>
      <c r="M127" s="514">
        <f t="shared" si="48"/>
        <v>0</v>
      </c>
      <c r="N127" s="525"/>
      <c r="O127" s="514">
        <f t="shared" si="38"/>
        <v>0</v>
      </c>
      <c r="P127" s="514">
        <f t="shared" si="39"/>
        <v>0</v>
      </c>
      <c r="Q127" s="269"/>
    </row>
    <row r="128" spans="2:17">
      <c r="B128" s="195" t="str">
        <f t="shared" si="36"/>
        <v/>
      </c>
      <c r="C128" s="507">
        <f>IF(D93="","-",+C127+1)</f>
        <v>2042</v>
      </c>
      <c r="D128" s="374">
        <f>IF(F127+SUM(E$99:E127)=D$92,F127,D$92-SUM(E$99:E127))</f>
        <v>819663.61960808188</v>
      </c>
      <c r="E128" s="522">
        <f t="shared" si="49"/>
        <v>64298.512195121948</v>
      </c>
      <c r="F128" s="523">
        <f t="shared" si="50"/>
        <v>755365.10741295991</v>
      </c>
      <c r="G128" s="523">
        <f t="shared" si="51"/>
        <v>787514.3635105209</v>
      </c>
      <c r="H128" s="526">
        <f t="shared" si="52"/>
        <v>153692.59592569846</v>
      </c>
      <c r="I128" s="577">
        <f t="shared" si="53"/>
        <v>153692.59592569846</v>
      </c>
      <c r="J128" s="514">
        <f t="shared" si="37"/>
        <v>0</v>
      </c>
      <c r="K128" s="514"/>
      <c r="L128" s="525"/>
      <c r="M128" s="514">
        <f t="shared" si="48"/>
        <v>0</v>
      </c>
      <c r="N128" s="525"/>
      <c r="O128" s="514">
        <f t="shared" si="38"/>
        <v>0</v>
      </c>
      <c r="P128" s="514">
        <f t="shared" si="39"/>
        <v>0</v>
      </c>
      <c r="Q128" s="269"/>
    </row>
    <row r="129" spans="2:17">
      <c r="B129" s="195" t="str">
        <f t="shared" si="36"/>
        <v/>
      </c>
      <c r="C129" s="507">
        <f>IF(D93="","-",+C128+1)</f>
        <v>2043</v>
      </c>
      <c r="D129" s="374">
        <f>IF(F128+SUM(E$99:E128)=D$92,F128,D$92-SUM(E$99:E128))</f>
        <v>755365.10741295991</v>
      </c>
      <c r="E129" s="522">
        <f t="shared" si="49"/>
        <v>64298.512195121948</v>
      </c>
      <c r="F129" s="523">
        <f t="shared" si="50"/>
        <v>691066.59521783795</v>
      </c>
      <c r="G129" s="523">
        <f t="shared" si="51"/>
        <v>723215.85131539893</v>
      </c>
      <c r="H129" s="526">
        <f t="shared" si="52"/>
        <v>146393.80005701151</v>
      </c>
      <c r="I129" s="577">
        <f t="shared" si="53"/>
        <v>146393.80005701151</v>
      </c>
      <c r="J129" s="514">
        <f t="shared" si="37"/>
        <v>0</v>
      </c>
      <c r="K129" s="514"/>
      <c r="L129" s="525"/>
      <c r="M129" s="514">
        <f t="shared" si="48"/>
        <v>0</v>
      </c>
      <c r="N129" s="525"/>
      <c r="O129" s="514">
        <f t="shared" si="38"/>
        <v>0</v>
      </c>
      <c r="P129" s="514">
        <f t="shared" si="39"/>
        <v>0</v>
      </c>
      <c r="Q129" s="269"/>
    </row>
    <row r="130" spans="2:17">
      <c r="B130" s="195" t="str">
        <f t="shared" si="36"/>
        <v/>
      </c>
      <c r="C130" s="507">
        <f>IF(D93="","-",+C129+1)</f>
        <v>2044</v>
      </c>
      <c r="D130" s="374">
        <f>IF(F129+SUM(E$99:E129)=D$92,F129,D$92-SUM(E$99:E129))</f>
        <v>691066.59521783795</v>
      </c>
      <c r="E130" s="522">
        <f t="shared" si="49"/>
        <v>64298.512195121948</v>
      </c>
      <c r="F130" s="523">
        <f t="shared" si="50"/>
        <v>626768.08302271599</v>
      </c>
      <c r="G130" s="523">
        <f t="shared" si="51"/>
        <v>658917.33912027697</v>
      </c>
      <c r="H130" s="526">
        <f t="shared" si="52"/>
        <v>139095.00418832456</v>
      </c>
      <c r="I130" s="577">
        <f t="shared" si="53"/>
        <v>139095.00418832456</v>
      </c>
      <c r="J130" s="514">
        <f t="shared" si="37"/>
        <v>0</v>
      </c>
      <c r="K130" s="514"/>
      <c r="L130" s="525"/>
      <c r="M130" s="514">
        <f t="shared" si="48"/>
        <v>0</v>
      </c>
      <c r="N130" s="525"/>
      <c r="O130" s="514">
        <f t="shared" si="38"/>
        <v>0</v>
      </c>
      <c r="P130" s="514">
        <f t="shared" si="39"/>
        <v>0</v>
      </c>
      <c r="Q130" s="269"/>
    </row>
    <row r="131" spans="2:17">
      <c r="B131" s="195" t="str">
        <f t="shared" si="36"/>
        <v/>
      </c>
      <c r="C131" s="507">
        <f>IF(D93="","-",+C130+1)</f>
        <v>2045</v>
      </c>
      <c r="D131" s="374">
        <f>IF(F130+SUM(E$99:E130)=D$92,F130,D$92-SUM(E$99:E130))</f>
        <v>626768.08302271599</v>
      </c>
      <c r="E131" s="522">
        <f t="shared" si="49"/>
        <v>64298.512195121948</v>
      </c>
      <c r="F131" s="523">
        <f t="shared" si="50"/>
        <v>562469.57082759403</v>
      </c>
      <c r="G131" s="523">
        <f t="shared" si="51"/>
        <v>594618.82692515501</v>
      </c>
      <c r="H131" s="526">
        <f t="shared" si="52"/>
        <v>131796.2083196376</v>
      </c>
      <c r="I131" s="577">
        <f t="shared" si="53"/>
        <v>131796.2083196376</v>
      </c>
      <c r="J131" s="514">
        <f t="shared" si="37"/>
        <v>0</v>
      </c>
      <c r="K131" s="514"/>
      <c r="L131" s="525"/>
      <c r="M131" s="514">
        <f t="shared" ref="M131:M154" si="54">IF(L541&lt;&gt;0,+H541-L541,0)</f>
        <v>0</v>
      </c>
      <c r="N131" s="525"/>
      <c r="O131" s="514">
        <f t="shared" ref="O131:O154" si="55">IF(N541&lt;&gt;0,+I541-N541,0)</f>
        <v>0</v>
      </c>
      <c r="P131" s="514">
        <f t="shared" ref="P131:P154" si="56">+O541-M541</f>
        <v>0</v>
      </c>
      <c r="Q131" s="269"/>
    </row>
    <row r="132" spans="2:17">
      <c r="B132" s="195" t="str">
        <f t="shared" si="36"/>
        <v/>
      </c>
      <c r="C132" s="507">
        <f>IF(D93="","-",+C131+1)</f>
        <v>2046</v>
      </c>
      <c r="D132" s="374">
        <f>IF(F131+SUM(E$99:E131)=D$92,F131,D$92-SUM(E$99:E131))</f>
        <v>562469.57082759403</v>
      </c>
      <c r="E132" s="522">
        <f t="shared" si="49"/>
        <v>64298.512195121948</v>
      </c>
      <c r="F132" s="523">
        <f t="shared" si="50"/>
        <v>498171.05863247206</v>
      </c>
      <c r="G132" s="523">
        <f t="shared" si="51"/>
        <v>530320.31473003305</v>
      </c>
      <c r="H132" s="526">
        <f t="shared" si="52"/>
        <v>124497.41245095065</v>
      </c>
      <c r="I132" s="577">
        <f t="shared" si="53"/>
        <v>124497.41245095065</v>
      </c>
      <c r="J132" s="514">
        <f t="shared" si="37"/>
        <v>0</v>
      </c>
      <c r="K132" s="514"/>
      <c r="L132" s="525"/>
      <c r="M132" s="514">
        <f t="shared" si="54"/>
        <v>0</v>
      </c>
      <c r="N132" s="525"/>
      <c r="O132" s="514">
        <f t="shared" si="55"/>
        <v>0</v>
      </c>
      <c r="P132" s="514">
        <f t="shared" si="56"/>
        <v>0</v>
      </c>
      <c r="Q132" s="269"/>
    </row>
    <row r="133" spans="2:17">
      <c r="B133" s="195" t="str">
        <f t="shared" si="36"/>
        <v/>
      </c>
      <c r="C133" s="507">
        <f>IF(D93="","-",+C132+1)</f>
        <v>2047</v>
      </c>
      <c r="D133" s="374">
        <f>IF(F132+SUM(E$99:E132)=D$92,F132,D$92-SUM(E$99:E132))</f>
        <v>498171.05863247206</v>
      </c>
      <c r="E133" s="522">
        <f t="shared" si="49"/>
        <v>64298.512195121948</v>
      </c>
      <c r="F133" s="523">
        <f t="shared" si="50"/>
        <v>433872.5464373501</v>
      </c>
      <c r="G133" s="523">
        <f t="shared" si="51"/>
        <v>466021.80253491108</v>
      </c>
      <c r="H133" s="526">
        <f t="shared" si="52"/>
        <v>117198.61658226368</v>
      </c>
      <c r="I133" s="577">
        <f t="shared" si="53"/>
        <v>117198.61658226368</v>
      </c>
      <c r="J133" s="514">
        <f t="shared" si="37"/>
        <v>0</v>
      </c>
      <c r="K133" s="514"/>
      <c r="L133" s="525"/>
      <c r="M133" s="514">
        <f t="shared" si="54"/>
        <v>0</v>
      </c>
      <c r="N133" s="525"/>
      <c r="O133" s="514">
        <f t="shared" si="55"/>
        <v>0</v>
      </c>
      <c r="P133" s="514">
        <f t="shared" si="56"/>
        <v>0</v>
      </c>
      <c r="Q133" s="269"/>
    </row>
    <row r="134" spans="2:17">
      <c r="B134" s="195" t="str">
        <f t="shared" si="36"/>
        <v/>
      </c>
      <c r="C134" s="507">
        <f>IF(D93="","-",+C133+1)</f>
        <v>2048</v>
      </c>
      <c r="D134" s="374">
        <f>IF(F133+SUM(E$99:E133)=D$92,F133,D$92-SUM(E$99:E133))</f>
        <v>433872.5464373501</v>
      </c>
      <c r="E134" s="522">
        <f t="shared" si="49"/>
        <v>64298.512195121948</v>
      </c>
      <c r="F134" s="523">
        <f t="shared" si="50"/>
        <v>369574.03424222814</v>
      </c>
      <c r="G134" s="523">
        <f t="shared" si="51"/>
        <v>401723.29033978912</v>
      </c>
      <c r="H134" s="526">
        <f t="shared" si="52"/>
        <v>109899.82071357673</v>
      </c>
      <c r="I134" s="577">
        <f t="shared" si="53"/>
        <v>109899.82071357673</v>
      </c>
      <c r="J134" s="514">
        <f t="shared" si="37"/>
        <v>0</v>
      </c>
      <c r="K134" s="514"/>
      <c r="L134" s="525"/>
      <c r="M134" s="514">
        <f t="shared" si="54"/>
        <v>0</v>
      </c>
      <c r="N134" s="525"/>
      <c r="O134" s="514">
        <f t="shared" si="55"/>
        <v>0</v>
      </c>
      <c r="P134" s="514">
        <f t="shared" si="56"/>
        <v>0</v>
      </c>
      <c r="Q134" s="269"/>
    </row>
    <row r="135" spans="2:17">
      <c r="B135" s="195" t="str">
        <f t="shared" si="36"/>
        <v/>
      </c>
      <c r="C135" s="507">
        <f>IF(D93="","-",+C134+1)</f>
        <v>2049</v>
      </c>
      <c r="D135" s="374">
        <f>IF(F134+SUM(E$99:E134)=D$92,F134,D$92-SUM(E$99:E134))</f>
        <v>369574.03424222814</v>
      </c>
      <c r="E135" s="522">
        <f t="shared" si="49"/>
        <v>64298.512195121948</v>
      </c>
      <c r="F135" s="523">
        <f t="shared" si="50"/>
        <v>305275.52204710618</v>
      </c>
      <c r="G135" s="523">
        <f t="shared" si="51"/>
        <v>337424.77814466716</v>
      </c>
      <c r="H135" s="526">
        <f t="shared" si="52"/>
        <v>102601.02484488976</v>
      </c>
      <c r="I135" s="577">
        <f t="shared" si="53"/>
        <v>102601.02484488976</v>
      </c>
      <c r="J135" s="514">
        <f t="shared" si="37"/>
        <v>0</v>
      </c>
      <c r="K135" s="514"/>
      <c r="L135" s="525"/>
      <c r="M135" s="514">
        <f t="shared" si="54"/>
        <v>0</v>
      </c>
      <c r="N135" s="525"/>
      <c r="O135" s="514">
        <f t="shared" si="55"/>
        <v>0</v>
      </c>
      <c r="P135" s="514">
        <f t="shared" si="56"/>
        <v>0</v>
      </c>
      <c r="Q135" s="269"/>
    </row>
    <row r="136" spans="2:17">
      <c r="B136" s="195" t="str">
        <f t="shared" si="36"/>
        <v/>
      </c>
      <c r="C136" s="507">
        <f>IF(D93="","-",+C135+1)</f>
        <v>2050</v>
      </c>
      <c r="D136" s="374">
        <f>IF(F135+SUM(E$99:E135)=D$92,F135,D$92-SUM(E$99:E135))</f>
        <v>305275.52204710618</v>
      </c>
      <c r="E136" s="522">
        <f t="shared" si="49"/>
        <v>64298.512195121948</v>
      </c>
      <c r="F136" s="523">
        <f t="shared" si="50"/>
        <v>240977.00985198421</v>
      </c>
      <c r="G136" s="523">
        <f t="shared" si="51"/>
        <v>273126.2659495452</v>
      </c>
      <c r="H136" s="526">
        <f t="shared" si="52"/>
        <v>95302.228976202809</v>
      </c>
      <c r="I136" s="577">
        <f t="shared" si="53"/>
        <v>95302.228976202809</v>
      </c>
      <c r="J136" s="514">
        <f t="shared" si="37"/>
        <v>0</v>
      </c>
      <c r="K136" s="514"/>
      <c r="L136" s="525"/>
      <c r="M136" s="514">
        <f t="shared" si="54"/>
        <v>0</v>
      </c>
      <c r="N136" s="525"/>
      <c r="O136" s="514">
        <f t="shared" si="55"/>
        <v>0</v>
      </c>
      <c r="P136" s="514">
        <f t="shared" si="56"/>
        <v>0</v>
      </c>
      <c r="Q136" s="269"/>
    </row>
    <row r="137" spans="2:17">
      <c r="B137" s="195" t="str">
        <f t="shared" si="36"/>
        <v/>
      </c>
      <c r="C137" s="507">
        <f>IF(D93="","-",+C136+1)</f>
        <v>2051</v>
      </c>
      <c r="D137" s="374">
        <f>IF(F136+SUM(E$99:E136)=D$92,F136,D$92-SUM(E$99:E136))</f>
        <v>240977.00985198421</v>
      </c>
      <c r="E137" s="522">
        <f t="shared" si="49"/>
        <v>64298.512195121948</v>
      </c>
      <c r="F137" s="523">
        <f t="shared" si="50"/>
        <v>176678.49765686225</v>
      </c>
      <c r="G137" s="523">
        <f t="shared" si="51"/>
        <v>208827.75375442323</v>
      </c>
      <c r="H137" s="526">
        <f t="shared" si="52"/>
        <v>88003.433107515855</v>
      </c>
      <c r="I137" s="577">
        <f t="shared" si="53"/>
        <v>88003.433107515855</v>
      </c>
      <c r="J137" s="514">
        <f t="shared" si="37"/>
        <v>0</v>
      </c>
      <c r="K137" s="514"/>
      <c r="L137" s="525"/>
      <c r="M137" s="514">
        <f t="shared" si="54"/>
        <v>0</v>
      </c>
      <c r="N137" s="525"/>
      <c r="O137" s="514">
        <f t="shared" si="55"/>
        <v>0</v>
      </c>
      <c r="P137" s="514">
        <f t="shared" si="56"/>
        <v>0</v>
      </c>
      <c r="Q137" s="269"/>
    </row>
    <row r="138" spans="2:17">
      <c r="B138" s="195" t="str">
        <f t="shared" si="36"/>
        <v/>
      </c>
      <c r="C138" s="507">
        <f>IF(D93="","-",+C137+1)</f>
        <v>2052</v>
      </c>
      <c r="D138" s="374">
        <f>IF(F137+SUM(E$99:E137)=D$92,F137,D$92-SUM(E$99:E137))</f>
        <v>176678.49765686225</v>
      </c>
      <c r="E138" s="522">
        <f t="shared" si="49"/>
        <v>64298.512195121948</v>
      </c>
      <c r="F138" s="523">
        <f t="shared" si="50"/>
        <v>112379.9854617403</v>
      </c>
      <c r="G138" s="523">
        <f t="shared" si="51"/>
        <v>144529.24155930127</v>
      </c>
      <c r="H138" s="526">
        <f t="shared" si="52"/>
        <v>80704.637238828902</v>
      </c>
      <c r="I138" s="577">
        <f t="shared" si="53"/>
        <v>80704.637238828902</v>
      </c>
      <c r="J138" s="514">
        <f t="shared" si="37"/>
        <v>0</v>
      </c>
      <c r="K138" s="514"/>
      <c r="L138" s="525"/>
      <c r="M138" s="514">
        <f t="shared" si="54"/>
        <v>0</v>
      </c>
      <c r="N138" s="525"/>
      <c r="O138" s="514">
        <f t="shared" si="55"/>
        <v>0</v>
      </c>
      <c r="P138" s="514">
        <f t="shared" si="56"/>
        <v>0</v>
      </c>
      <c r="Q138" s="269"/>
    </row>
    <row r="139" spans="2:17">
      <c r="B139" s="195" t="str">
        <f t="shared" si="36"/>
        <v/>
      </c>
      <c r="C139" s="507">
        <f>IF(D93="","-",+C138+1)</f>
        <v>2053</v>
      </c>
      <c r="D139" s="374">
        <f>IF(F138+SUM(E$99:E138)=D$92,F138,D$92-SUM(E$99:E138))</f>
        <v>112379.9854617403</v>
      </c>
      <c r="E139" s="522">
        <f t="shared" si="49"/>
        <v>64298.512195121948</v>
      </c>
      <c r="F139" s="523">
        <f t="shared" si="50"/>
        <v>48081.473266618355</v>
      </c>
      <c r="G139" s="523">
        <f t="shared" si="51"/>
        <v>80230.729364179337</v>
      </c>
      <c r="H139" s="526">
        <f t="shared" si="52"/>
        <v>73405.841370141949</v>
      </c>
      <c r="I139" s="577">
        <f t="shared" si="53"/>
        <v>73405.841370141949</v>
      </c>
      <c r="J139" s="514">
        <f t="shared" si="37"/>
        <v>0</v>
      </c>
      <c r="K139" s="514"/>
      <c r="L139" s="525"/>
      <c r="M139" s="514">
        <f t="shared" si="54"/>
        <v>0</v>
      </c>
      <c r="N139" s="525"/>
      <c r="O139" s="514">
        <f t="shared" si="55"/>
        <v>0</v>
      </c>
      <c r="P139" s="514">
        <f t="shared" si="56"/>
        <v>0</v>
      </c>
      <c r="Q139" s="269"/>
    </row>
    <row r="140" spans="2:17">
      <c r="B140" s="195" t="str">
        <f t="shared" si="36"/>
        <v/>
      </c>
      <c r="C140" s="507">
        <f>IF(D93="","-",+C139+1)</f>
        <v>2054</v>
      </c>
      <c r="D140" s="374">
        <f>IF(F139+SUM(E$99:E139)=D$92,F139,D$92-SUM(E$99:E139))</f>
        <v>48081.473266618355</v>
      </c>
      <c r="E140" s="522">
        <f t="shared" si="49"/>
        <v>48081.473266618355</v>
      </c>
      <c r="F140" s="523">
        <f t="shared" si="50"/>
        <v>0</v>
      </c>
      <c r="G140" s="523">
        <f t="shared" si="51"/>
        <v>24040.736633309178</v>
      </c>
      <c r="H140" s="526">
        <f t="shared" si="52"/>
        <v>50810.438886956617</v>
      </c>
      <c r="I140" s="577">
        <f t="shared" si="53"/>
        <v>50810.438886956617</v>
      </c>
      <c r="J140" s="514">
        <f t="shared" si="37"/>
        <v>0</v>
      </c>
      <c r="K140" s="514"/>
      <c r="L140" s="525"/>
      <c r="M140" s="514">
        <f t="shared" si="54"/>
        <v>0</v>
      </c>
      <c r="N140" s="525"/>
      <c r="O140" s="514">
        <f t="shared" si="55"/>
        <v>0</v>
      </c>
      <c r="P140" s="514">
        <f t="shared" si="56"/>
        <v>0</v>
      </c>
      <c r="Q140" s="269"/>
    </row>
    <row r="141" spans="2:17">
      <c r="B141" s="195" t="str">
        <f t="shared" si="36"/>
        <v/>
      </c>
      <c r="C141" s="507">
        <f>IF(D93="","-",+C140+1)</f>
        <v>2055</v>
      </c>
      <c r="D141" s="374">
        <f>IF(F140+SUM(E$99:E140)=D$92,F140,D$92-SUM(E$99:E140))</f>
        <v>0</v>
      </c>
      <c r="E141" s="522">
        <f t="shared" si="49"/>
        <v>0</v>
      </c>
      <c r="F141" s="523">
        <f t="shared" si="50"/>
        <v>0</v>
      </c>
      <c r="G141" s="523">
        <f t="shared" si="51"/>
        <v>0</v>
      </c>
      <c r="H141" s="526">
        <f t="shared" si="52"/>
        <v>0</v>
      </c>
      <c r="I141" s="577">
        <f t="shared" si="53"/>
        <v>0</v>
      </c>
      <c r="J141" s="514">
        <f t="shared" si="37"/>
        <v>0</v>
      </c>
      <c r="K141" s="514"/>
      <c r="L141" s="525"/>
      <c r="M141" s="514">
        <f t="shared" si="54"/>
        <v>0</v>
      </c>
      <c r="N141" s="525"/>
      <c r="O141" s="514">
        <f t="shared" si="55"/>
        <v>0</v>
      </c>
      <c r="P141" s="514">
        <f t="shared" si="56"/>
        <v>0</v>
      </c>
      <c r="Q141" s="269"/>
    </row>
    <row r="142" spans="2:17">
      <c r="B142" s="195" t="str">
        <f t="shared" si="36"/>
        <v/>
      </c>
      <c r="C142" s="507">
        <f>IF(D93="","-",+C141+1)</f>
        <v>2056</v>
      </c>
      <c r="D142" s="374">
        <f>IF(F141+SUM(E$99:E141)=D$92,F141,D$92-SUM(E$99:E141))</f>
        <v>0</v>
      </c>
      <c r="E142" s="522">
        <f t="shared" si="49"/>
        <v>0</v>
      </c>
      <c r="F142" s="523">
        <f t="shared" si="50"/>
        <v>0</v>
      </c>
      <c r="G142" s="523">
        <f t="shared" si="51"/>
        <v>0</v>
      </c>
      <c r="H142" s="526">
        <f t="shared" si="52"/>
        <v>0</v>
      </c>
      <c r="I142" s="577">
        <f t="shared" si="53"/>
        <v>0</v>
      </c>
      <c r="J142" s="514">
        <f t="shared" si="37"/>
        <v>0</v>
      </c>
      <c r="K142" s="514"/>
      <c r="L142" s="525"/>
      <c r="M142" s="514">
        <f t="shared" si="54"/>
        <v>0</v>
      </c>
      <c r="N142" s="525"/>
      <c r="O142" s="514">
        <f t="shared" si="55"/>
        <v>0</v>
      </c>
      <c r="P142" s="514">
        <f t="shared" si="56"/>
        <v>0</v>
      </c>
      <c r="Q142" s="269"/>
    </row>
    <row r="143" spans="2:17">
      <c r="B143" s="195" t="str">
        <f t="shared" si="36"/>
        <v/>
      </c>
      <c r="C143" s="507">
        <f>IF(D93="","-",+C142+1)</f>
        <v>2057</v>
      </c>
      <c r="D143" s="374">
        <f>IF(F142+SUM(E$99:E142)=D$92,F142,D$92-SUM(E$99:E142))</f>
        <v>0</v>
      </c>
      <c r="E143" s="522">
        <f t="shared" si="49"/>
        <v>0</v>
      </c>
      <c r="F143" s="523">
        <f t="shared" si="50"/>
        <v>0</v>
      </c>
      <c r="G143" s="523">
        <f t="shared" si="51"/>
        <v>0</v>
      </c>
      <c r="H143" s="526">
        <f t="shared" si="52"/>
        <v>0</v>
      </c>
      <c r="I143" s="577">
        <f t="shared" si="53"/>
        <v>0</v>
      </c>
      <c r="J143" s="514">
        <f t="shared" si="37"/>
        <v>0</v>
      </c>
      <c r="K143" s="514"/>
      <c r="L143" s="525"/>
      <c r="M143" s="514">
        <f t="shared" si="54"/>
        <v>0</v>
      </c>
      <c r="N143" s="525"/>
      <c r="O143" s="514">
        <f t="shared" si="55"/>
        <v>0</v>
      </c>
      <c r="P143" s="514">
        <f t="shared" si="56"/>
        <v>0</v>
      </c>
      <c r="Q143" s="269"/>
    </row>
    <row r="144" spans="2:17">
      <c r="B144" s="195" t="str">
        <f t="shared" si="36"/>
        <v/>
      </c>
      <c r="C144" s="507">
        <f>IF(D93="","-",+C143+1)</f>
        <v>2058</v>
      </c>
      <c r="D144" s="374">
        <f>IF(F143+SUM(E$99:E143)=D$92,F143,D$92-SUM(E$99:E143))</f>
        <v>0</v>
      </c>
      <c r="E144" s="522">
        <f t="shared" si="49"/>
        <v>0</v>
      </c>
      <c r="F144" s="523">
        <f t="shared" si="50"/>
        <v>0</v>
      </c>
      <c r="G144" s="523">
        <f t="shared" si="51"/>
        <v>0</v>
      </c>
      <c r="H144" s="526">
        <f t="shared" si="52"/>
        <v>0</v>
      </c>
      <c r="I144" s="577">
        <f t="shared" si="53"/>
        <v>0</v>
      </c>
      <c r="J144" s="514">
        <f t="shared" si="37"/>
        <v>0</v>
      </c>
      <c r="K144" s="514"/>
      <c r="L144" s="525"/>
      <c r="M144" s="514">
        <f t="shared" si="54"/>
        <v>0</v>
      </c>
      <c r="N144" s="525"/>
      <c r="O144" s="514">
        <f t="shared" si="55"/>
        <v>0</v>
      </c>
      <c r="P144" s="514">
        <f t="shared" si="56"/>
        <v>0</v>
      </c>
      <c r="Q144" s="269"/>
    </row>
    <row r="145" spans="2:17">
      <c r="B145" s="195" t="str">
        <f t="shared" si="36"/>
        <v/>
      </c>
      <c r="C145" s="507">
        <f>IF(D93="","-",+C144+1)</f>
        <v>2059</v>
      </c>
      <c r="D145" s="374">
        <f>IF(F144+SUM(E$99:E144)=D$92,F144,D$92-SUM(E$99:E144))</f>
        <v>0</v>
      </c>
      <c r="E145" s="522">
        <f t="shared" si="49"/>
        <v>0</v>
      </c>
      <c r="F145" s="523">
        <f t="shared" si="50"/>
        <v>0</v>
      </c>
      <c r="G145" s="523">
        <f t="shared" si="51"/>
        <v>0</v>
      </c>
      <c r="H145" s="526">
        <f t="shared" si="52"/>
        <v>0</v>
      </c>
      <c r="I145" s="577">
        <f t="shared" si="53"/>
        <v>0</v>
      </c>
      <c r="J145" s="514">
        <f t="shared" si="37"/>
        <v>0</v>
      </c>
      <c r="K145" s="514"/>
      <c r="L145" s="525"/>
      <c r="M145" s="514">
        <f t="shared" si="54"/>
        <v>0</v>
      </c>
      <c r="N145" s="525"/>
      <c r="O145" s="514">
        <f t="shared" si="55"/>
        <v>0</v>
      </c>
      <c r="P145" s="514">
        <f t="shared" si="56"/>
        <v>0</v>
      </c>
      <c r="Q145" s="269"/>
    </row>
    <row r="146" spans="2:17">
      <c r="B146" s="195" t="str">
        <f t="shared" si="36"/>
        <v/>
      </c>
      <c r="C146" s="507">
        <f>IF(D93="","-",+C145+1)</f>
        <v>2060</v>
      </c>
      <c r="D146" s="374">
        <f>IF(F145+SUM(E$99:E145)=D$92,F145,D$92-SUM(E$99:E145))</f>
        <v>0</v>
      </c>
      <c r="E146" s="522">
        <f t="shared" si="49"/>
        <v>0</v>
      </c>
      <c r="F146" s="523">
        <f t="shared" si="50"/>
        <v>0</v>
      </c>
      <c r="G146" s="523">
        <f t="shared" si="51"/>
        <v>0</v>
      </c>
      <c r="H146" s="526">
        <f t="shared" si="52"/>
        <v>0</v>
      </c>
      <c r="I146" s="577">
        <f t="shared" si="53"/>
        <v>0</v>
      </c>
      <c r="J146" s="514">
        <f t="shared" si="37"/>
        <v>0</v>
      </c>
      <c r="K146" s="514"/>
      <c r="L146" s="525"/>
      <c r="M146" s="514">
        <f t="shared" si="54"/>
        <v>0</v>
      </c>
      <c r="N146" s="525"/>
      <c r="O146" s="514">
        <f t="shared" si="55"/>
        <v>0</v>
      </c>
      <c r="P146" s="514">
        <f t="shared" si="56"/>
        <v>0</v>
      </c>
      <c r="Q146" s="269"/>
    </row>
    <row r="147" spans="2:17">
      <c r="B147" s="195" t="str">
        <f t="shared" si="36"/>
        <v/>
      </c>
      <c r="C147" s="507">
        <f>IF(D93="","-",+C146+1)</f>
        <v>2061</v>
      </c>
      <c r="D147" s="374">
        <f>IF(F146+SUM(E$99:E146)=D$92,F146,D$92-SUM(E$99:E146))</f>
        <v>0</v>
      </c>
      <c r="E147" s="522">
        <f t="shared" si="49"/>
        <v>0</v>
      </c>
      <c r="F147" s="523">
        <f t="shared" si="50"/>
        <v>0</v>
      </c>
      <c r="G147" s="523">
        <f t="shared" si="51"/>
        <v>0</v>
      </c>
      <c r="H147" s="526">
        <f t="shared" si="52"/>
        <v>0</v>
      </c>
      <c r="I147" s="577">
        <f t="shared" si="53"/>
        <v>0</v>
      </c>
      <c r="J147" s="514">
        <f t="shared" si="37"/>
        <v>0</v>
      </c>
      <c r="K147" s="514"/>
      <c r="L147" s="525"/>
      <c r="M147" s="514">
        <f t="shared" si="54"/>
        <v>0</v>
      </c>
      <c r="N147" s="525"/>
      <c r="O147" s="514">
        <f t="shared" si="55"/>
        <v>0</v>
      </c>
      <c r="P147" s="514">
        <f t="shared" si="56"/>
        <v>0</v>
      </c>
      <c r="Q147" s="269"/>
    </row>
    <row r="148" spans="2:17">
      <c r="B148" s="195" t="str">
        <f t="shared" si="36"/>
        <v/>
      </c>
      <c r="C148" s="507">
        <f>IF(D93="","-",+C147+1)</f>
        <v>2062</v>
      </c>
      <c r="D148" s="374">
        <f>IF(F147+SUM(E$99:E147)=D$92,F147,D$92-SUM(E$99:E147))</f>
        <v>0</v>
      </c>
      <c r="E148" s="522">
        <f t="shared" si="49"/>
        <v>0</v>
      </c>
      <c r="F148" s="523">
        <f t="shared" si="50"/>
        <v>0</v>
      </c>
      <c r="G148" s="523">
        <f t="shared" si="51"/>
        <v>0</v>
      </c>
      <c r="H148" s="526">
        <f t="shared" si="52"/>
        <v>0</v>
      </c>
      <c r="I148" s="577">
        <f t="shared" si="53"/>
        <v>0</v>
      </c>
      <c r="J148" s="514">
        <f t="shared" si="37"/>
        <v>0</v>
      </c>
      <c r="K148" s="514"/>
      <c r="L148" s="525"/>
      <c r="M148" s="514">
        <f t="shared" si="54"/>
        <v>0</v>
      </c>
      <c r="N148" s="525"/>
      <c r="O148" s="514">
        <f t="shared" si="55"/>
        <v>0</v>
      </c>
      <c r="P148" s="514">
        <f t="shared" si="56"/>
        <v>0</v>
      </c>
      <c r="Q148" s="269"/>
    </row>
    <row r="149" spans="2:17">
      <c r="B149" s="195" t="str">
        <f t="shared" si="36"/>
        <v/>
      </c>
      <c r="C149" s="507">
        <f>IF(D93="","-",+C148+1)</f>
        <v>2063</v>
      </c>
      <c r="D149" s="374">
        <f>IF(F148+SUM(E$99:E148)=D$92,F148,D$92-SUM(E$99:E148))</f>
        <v>0</v>
      </c>
      <c r="E149" s="522">
        <f t="shared" si="49"/>
        <v>0</v>
      </c>
      <c r="F149" s="523">
        <f t="shared" si="50"/>
        <v>0</v>
      </c>
      <c r="G149" s="523">
        <f t="shared" si="51"/>
        <v>0</v>
      </c>
      <c r="H149" s="526">
        <f t="shared" si="52"/>
        <v>0</v>
      </c>
      <c r="I149" s="577">
        <f t="shared" si="53"/>
        <v>0</v>
      </c>
      <c r="J149" s="514">
        <f t="shared" si="37"/>
        <v>0</v>
      </c>
      <c r="K149" s="514"/>
      <c r="L149" s="525"/>
      <c r="M149" s="514">
        <f t="shared" si="54"/>
        <v>0</v>
      </c>
      <c r="N149" s="525"/>
      <c r="O149" s="514">
        <f t="shared" si="55"/>
        <v>0</v>
      </c>
      <c r="P149" s="514">
        <f t="shared" si="56"/>
        <v>0</v>
      </c>
      <c r="Q149" s="269"/>
    </row>
    <row r="150" spans="2:17">
      <c r="B150" s="195" t="str">
        <f t="shared" si="36"/>
        <v/>
      </c>
      <c r="C150" s="507">
        <f>IF(D93="","-",+C149+1)</f>
        <v>2064</v>
      </c>
      <c r="D150" s="374">
        <f>IF(F149+SUM(E$99:E149)=D$92,F149,D$92-SUM(E$99:E149))</f>
        <v>0</v>
      </c>
      <c r="E150" s="522">
        <f t="shared" si="49"/>
        <v>0</v>
      </c>
      <c r="F150" s="523">
        <f t="shared" si="50"/>
        <v>0</v>
      </c>
      <c r="G150" s="523">
        <f t="shared" si="51"/>
        <v>0</v>
      </c>
      <c r="H150" s="526">
        <f t="shared" si="52"/>
        <v>0</v>
      </c>
      <c r="I150" s="577">
        <f t="shared" si="53"/>
        <v>0</v>
      </c>
      <c r="J150" s="514">
        <f t="shared" si="37"/>
        <v>0</v>
      </c>
      <c r="K150" s="514"/>
      <c r="L150" s="525"/>
      <c r="M150" s="514">
        <f t="shared" si="54"/>
        <v>0</v>
      </c>
      <c r="N150" s="525"/>
      <c r="O150" s="514">
        <f t="shared" si="55"/>
        <v>0</v>
      </c>
      <c r="P150" s="514">
        <f t="shared" si="56"/>
        <v>0</v>
      </c>
      <c r="Q150" s="269"/>
    </row>
    <row r="151" spans="2:17">
      <c r="B151" s="195" t="str">
        <f t="shared" si="36"/>
        <v/>
      </c>
      <c r="C151" s="507">
        <f>IF(D93="","-",+C150+1)</f>
        <v>2065</v>
      </c>
      <c r="D151" s="374">
        <f>IF(F150+SUM(E$99:E150)=D$92,F150,D$92-SUM(E$99:E150))</f>
        <v>0</v>
      </c>
      <c r="E151" s="522">
        <f t="shared" si="49"/>
        <v>0</v>
      </c>
      <c r="F151" s="523">
        <f t="shared" si="50"/>
        <v>0</v>
      </c>
      <c r="G151" s="523">
        <f t="shared" si="51"/>
        <v>0</v>
      </c>
      <c r="H151" s="526">
        <f t="shared" si="52"/>
        <v>0</v>
      </c>
      <c r="I151" s="577">
        <f t="shared" si="53"/>
        <v>0</v>
      </c>
      <c r="J151" s="514">
        <f t="shared" si="37"/>
        <v>0</v>
      </c>
      <c r="K151" s="514"/>
      <c r="L151" s="525"/>
      <c r="M151" s="514">
        <f t="shared" si="54"/>
        <v>0</v>
      </c>
      <c r="N151" s="525"/>
      <c r="O151" s="514">
        <f t="shared" si="55"/>
        <v>0</v>
      </c>
      <c r="P151" s="514">
        <f t="shared" si="56"/>
        <v>0</v>
      </c>
      <c r="Q151" s="269"/>
    </row>
    <row r="152" spans="2:17">
      <c r="B152" s="195" t="str">
        <f t="shared" si="36"/>
        <v/>
      </c>
      <c r="C152" s="507">
        <f>IF(D93="","-",+C151+1)</f>
        <v>2066</v>
      </c>
      <c r="D152" s="374">
        <f>IF(F151+SUM(E$99:E151)=D$92,F151,D$92-SUM(E$99:E151))</f>
        <v>0</v>
      </c>
      <c r="E152" s="522">
        <f t="shared" si="49"/>
        <v>0</v>
      </c>
      <c r="F152" s="523">
        <f t="shared" si="50"/>
        <v>0</v>
      </c>
      <c r="G152" s="523">
        <f t="shared" si="51"/>
        <v>0</v>
      </c>
      <c r="H152" s="526">
        <f t="shared" si="52"/>
        <v>0</v>
      </c>
      <c r="I152" s="577">
        <f t="shared" si="53"/>
        <v>0</v>
      </c>
      <c r="J152" s="514">
        <f t="shared" si="37"/>
        <v>0</v>
      </c>
      <c r="K152" s="514"/>
      <c r="L152" s="525"/>
      <c r="M152" s="514">
        <f t="shared" si="54"/>
        <v>0</v>
      </c>
      <c r="N152" s="525"/>
      <c r="O152" s="514">
        <f t="shared" si="55"/>
        <v>0</v>
      </c>
      <c r="P152" s="514">
        <f t="shared" si="56"/>
        <v>0</v>
      </c>
      <c r="Q152" s="269"/>
    </row>
    <row r="153" spans="2:17">
      <c r="B153" s="195" t="str">
        <f t="shared" si="36"/>
        <v/>
      </c>
      <c r="C153" s="507">
        <f>IF(D93="","-",+C152+1)</f>
        <v>2067</v>
      </c>
      <c r="D153" s="374">
        <f>IF(F152+SUM(E$99:E152)=D$92,F152,D$92-SUM(E$99:E152))</f>
        <v>0</v>
      </c>
      <c r="E153" s="522">
        <f t="shared" si="49"/>
        <v>0</v>
      </c>
      <c r="F153" s="523">
        <f t="shared" si="50"/>
        <v>0</v>
      </c>
      <c r="G153" s="523">
        <f t="shared" si="51"/>
        <v>0</v>
      </c>
      <c r="H153" s="526">
        <f t="shared" si="52"/>
        <v>0</v>
      </c>
      <c r="I153" s="577">
        <f t="shared" si="53"/>
        <v>0</v>
      </c>
      <c r="J153" s="514">
        <f t="shared" si="37"/>
        <v>0</v>
      </c>
      <c r="K153" s="514"/>
      <c r="L153" s="525"/>
      <c r="M153" s="514">
        <f t="shared" si="54"/>
        <v>0</v>
      </c>
      <c r="N153" s="525"/>
      <c r="O153" s="514">
        <f t="shared" si="55"/>
        <v>0</v>
      </c>
      <c r="P153" s="514">
        <f t="shared" si="56"/>
        <v>0</v>
      </c>
      <c r="Q153" s="269"/>
    </row>
    <row r="154" spans="2:17" ht="13.5" thickBot="1">
      <c r="B154" s="195" t="str">
        <f t="shared" si="36"/>
        <v/>
      </c>
      <c r="C154" s="527">
        <f>IF(D93="","-",+C153+1)</f>
        <v>2068</v>
      </c>
      <c r="D154" s="374">
        <f>IF(F153+SUM(E$99:E153)=D$92,F153,D$92-SUM(E$99:E153))</f>
        <v>0</v>
      </c>
      <c r="E154" s="522">
        <f t="shared" si="49"/>
        <v>0</v>
      </c>
      <c r="F154" s="523">
        <f t="shared" si="50"/>
        <v>0</v>
      </c>
      <c r="G154" s="523">
        <f t="shared" si="51"/>
        <v>0</v>
      </c>
      <c r="H154" s="526">
        <f t="shared" si="52"/>
        <v>0</v>
      </c>
      <c r="I154" s="577">
        <f t="shared" si="53"/>
        <v>0</v>
      </c>
      <c r="J154" s="514">
        <f t="shared" si="37"/>
        <v>0</v>
      </c>
      <c r="K154" s="514"/>
      <c r="L154" s="532"/>
      <c r="M154" s="533">
        <f t="shared" si="54"/>
        <v>0</v>
      </c>
      <c r="N154" s="532"/>
      <c r="O154" s="533">
        <f t="shared" si="55"/>
        <v>0</v>
      </c>
      <c r="P154" s="533">
        <f t="shared" si="56"/>
        <v>0</v>
      </c>
      <c r="Q154" s="269"/>
    </row>
    <row r="155" spans="2:17">
      <c r="C155" s="374" t="s">
        <v>78</v>
      </c>
      <c r="D155" s="375"/>
      <c r="E155" s="375">
        <f>SUM(E99:E154)</f>
        <v>2636239.0000000005</v>
      </c>
      <c r="F155" s="375"/>
      <c r="G155" s="375"/>
      <c r="H155" s="375">
        <f>SUM(H99:H154)</f>
        <v>8982944.5954662394</v>
      </c>
      <c r="I155" s="375">
        <f>SUM(I99:I154)</f>
        <v>8982944.5954662394</v>
      </c>
      <c r="J155" s="375">
        <f>SUM(J99:J154)</f>
        <v>0</v>
      </c>
      <c r="K155" s="375"/>
      <c r="L155" s="375"/>
      <c r="M155" s="375"/>
      <c r="N155" s="375"/>
      <c r="O155" s="375"/>
      <c r="P155" s="269"/>
      <c r="Q155" s="269"/>
    </row>
    <row r="156" spans="2:17">
      <c r="C156" s="183" t="s">
        <v>92</v>
      </c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  <c r="Q156" s="269"/>
    </row>
    <row r="157" spans="2:17">
      <c r="C157" s="580"/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  <c r="Q157" s="269"/>
    </row>
    <row r="158" spans="2:17">
      <c r="C158" s="614" t="s">
        <v>132</v>
      </c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  <c r="Q158" s="269"/>
    </row>
    <row r="159" spans="2:17">
      <c r="C159" s="467" t="s">
        <v>79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  <c r="Q159" s="269"/>
    </row>
    <row r="160" spans="2:17">
      <c r="C160" s="581" t="s">
        <v>80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  <c r="Q160" s="269"/>
    </row>
    <row r="161" spans="3:17">
      <c r="C161" s="581"/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  <c r="Q161" s="269"/>
    </row>
    <row r="162" spans="3:17" ht="18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635" t="s">
        <v>131</v>
      </c>
      <c r="Q162" s="269"/>
    </row>
  </sheetData>
  <conditionalFormatting sqref="C17:C72">
    <cfRule type="cellIs" dxfId="86" priority="1" stopIfTrue="1" operator="equal">
      <formula>$I$10</formula>
    </cfRule>
  </conditionalFormatting>
  <conditionalFormatting sqref="C99:C154">
    <cfRule type="cellIs" dxfId="85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88"/>
  <dimension ref="A1:P162"/>
  <sheetViews>
    <sheetView topLeftCell="A93" zoomScaleNormal="100" zoomScaleSheetLayoutView="80" workbookViewId="0">
      <selection activeCell="D99" sqref="D99:I108"/>
    </sheetView>
  </sheetViews>
  <sheetFormatPr defaultColWidth="8.7109375" defaultRowHeight="12.75" customHeight="1"/>
  <cols>
    <col min="1" max="1" width="4.7109375" style="183" customWidth="1"/>
    <col min="2" max="2" width="6.7109375" style="183" customWidth="1"/>
    <col min="3" max="3" width="23.28515625" style="183" customWidth="1"/>
    <col min="4" max="8" width="17.7109375" style="183" customWidth="1"/>
    <col min="9" max="9" width="20.42578125" style="183" customWidth="1"/>
    <col min="10" max="10" width="16.42578125" style="183" customWidth="1"/>
    <col min="11" max="11" width="17.7109375" style="183" customWidth="1"/>
    <col min="12" max="12" width="16.140625" style="183" customWidth="1"/>
    <col min="13" max="13" width="17.7109375" style="183" customWidth="1"/>
    <col min="14" max="14" width="16.7109375" style="183" customWidth="1"/>
    <col min="15" max="15" width="16.85546875" style="183" customWidth="1"/>
    <col min="16" max="16" width="24.42578125" style="183" customWidth="1"/>
    <col min="17" max="17" width="9.140625" style="183" customWidth="1"/>
    <col min="18" max="22" width="8.7109375" style="183"/>
    <col min="23" max="23" width="9.140625" style="183" customWidth="1"/>
    <col min="24" max="16384" width="8.7109375" style="183"/>
  </cols>
  <sheetData>
    <row r="1" spans="1:16" ht="20.25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39 of 75</v>
      </c>
    </row>
    <row r="2" spans="1:16" ht="18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538" t="s">
        <v>129</v>
      </c>
    </row>
    <row r="3" spans="1:16" ht="18.75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/>
      <c r="P3" s="623">
        <v>1</v>
      </c>
    </row>
    <row r="4" spans="1:16" ht="15.75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6" ht="1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474506.84810459183</v>
      </c>
      <c r="P5" s="269"/>
    </row>
    <row r="6" spans="1:16" ht="15.7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474506.84810459183</v>
      </c>
      <c r="O6" s="269"/>
      <c r="P6" s="269"/>
    </row>
    <row r="7" spans="1:16" ht="13.5" thickBot="1">
      <c r="C7" s="467" t="s">
        <v>48</v>
      </c>
      <c r="D7" s="624" t="s">
        <v>326</v>
      </c>
      <c r="E7" s="587"/>
      <c r="F7" s="587"/>
      <c r="G7" s="269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6" ht="13.5" thickBot="1">
      <c r="C8" s="472"/>
      <c r="D8" s="625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6" ht="13.5" thickBot="1">
      <c r="C9" s="476" t="s">
        <v>50</v>
      </c>
      <c r="D9" s="477" t="s">
        <v>309</v>
      </c>
      <c r="E9" s="637" t="s">
        <v>325</v>
      </c>
      <c r="F9" s="478"/>
      <c r="G9" s="478"/>
      <c r="H9" s="478"/>
      <c r="I9" s="479"/>
      <c r="J9" s="480"/>
      <c r="O9" s="481"/>
      <c r="P9" s="272"/>
    </row>
    <row r="10" spans="1:16">
      <c r="C10" s="482" t="s">
        <v>51</v>
      </c>
      <c r="D10" s="483">
        <v>4316668</v>
      </c>
      <c r="E10" s="353" t="s">
        <v>52</v>
      </c>
      <c r="F10" s="481"/>
      <c r="G10" s="484"/>
      <c r="H10" s="484"/>
      <c r="I10" s="485">
        <f>+'SWE.WS.F.BPU.ATRR.Projected'!L19</f>
        <v>2024</v>
      </c>
      <c r="J10" s="480"/>
      <c r="K10" s="375" t="s">
        <v>53</v>
      </c>
      <c r="O10" s="272"/>
      <c r="P10" s="272"/>
    </row>
    <row r="11" spans="1:16">
      <c r="C11" s="486" t="s">
        <v>54</v>
      </c>
      <c r="D11" s="487">
        <v>2013</v>
      </c>
      <c r="E11" s="486" t="s">
        <v>55</v>
      </c>
      <c r="F11" s="484"/>
      <c r="G11" s="233"/>
      <c r="H11" s="233"/>
      <c r="I11" s="488">
        <f>IF(G5="",0,'SWE.WS.F.BPU.ATRR.Projected'!F$13)</f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6">
      <c r="C12" s="486" t="s">
        <v>56</v>
      </c>
      <c r="D12" s="483">
        <v>2</v>
      </c>
      <c r="E12" s="486" t="s">
        <v>57</v>
      </c>
      <c r="F12" s="484"/>
      <c r="G12" s="233"/>
      <c r="H12" s="233"/>
      <c r="I12" s="490">
        <f>'SWE.WS.F.BPU.ATRR.Projected'!$F$81</f>
        <v>0.11952713165403545</v>
      </c>
      <c r="J12" s="425"/>
      <c r="K12" s="183" t="s">
        <v>58</v>
      </c>
      <c r="O12" s="272"/>
      <c r="P12" s="272"/>
    </row>
    <row r="13" spans="1:16">
      <c r="C13" s="486" t="s">
        <v>59</v>
      </c>
      <c r="D13" s="488">
        <f>+'SWE.WS.F.BPU.ATRR.Projected'!F$93</f>
        <v>44</v>
      </c>
      <c r="E13" s="486" t="s">
        <v>60</v>
      </c>
      <c r="F13" s="484"/>
      <c r="G13" s="233"/>
      <c r="H13" s="233"/>
      <c r="I13" s="490">
        <f>IF(G5="",I12,'SWE.WS.F.BPU.ATRR.Projected'!$F$80)</f>
        <v>0.11952713165403545</v>
      </c>
      <c r="J13" s="425"/>
      <c r="K13" s="375" t="s">
        <v>61</v>
      </c>
      <c r="L13" s="324"/>
      <c r="M13" s="324"/>
      <c r="N13" s="324"/>
      <c r="O13" s="272"/>
      <c r="P13" s="272"/>
    </row>
    <row r="14" spans="1:16" ht="13.5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98106.090909090912</v>
      </c>
      <c r="J14" s="375"/>
      <c r="K14" s="375"/>
      <c r="L14" s="375"/>
      <c r="M14" s="375"/>
      <c r="N14" s="375"/>
      <c r="O14" s="272"/>
      <c r="P14" s="272"/>
    </row>
    <row r="15" spans="1:16" ht="38.25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388</v>
      </c>
      <c r="H15" s="495" t="s">
        <v>389</v>
      </c>
      <c r="I15" s="492" t="s">
        <v>68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6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>
      <c r="C17" s="507">
        <f>IF(D11= "","-",D11)</f>
        <v>2013</v>
      </c>
      <c r="D17" s="629">
        <v>4316127</v>
      </c>
      <c r="E17" s="638">
        <v>85637.440476190473</v>
      </c>
      <c r="F17" s="629">
        <v>4230489.5595238097</v>
      </c>
      <c r="G17" s="638">
        <v>656374.9370978435</v>
      </c>
      <c r="H17" s="639">
        <v>656374.9370978435</v>
      </c>
      <c r="I17" s="616">
        <v>0</v>
      </c>
      <c r="J17" s="511"/>
      <c r="K17" s="512">
        <f t="shared" ref="K17:K22" si="0">G17</f>
        <v>656374.9370978435</v>
      </c>
      <c r="L17" s="597">
        <f t="shared" ref="L17:L22" si="1">IF(K17&lt;&gt;0,+G17-K17,0)</f>
        <v>0</v>
      </c>
      <c r="M17" s="512">
        <f t="shared" ref="M17:M22" si="2">H17</f>
        <v>656374.9370978435</v>
      </c>
      <c r="N17" s="513">
        <f t="shared" ref="N17:N22" si="3">IF(M17&lt;&gt;0,+H17-M17,0)</f>
        <v>0</v>
      </c>
      <c r="O17" s="514">
        <f t="shared" ref="O17:O22" si="4">+N17-L17</f>
        <v>0</v>
      </c>
      <c r="P17" s="272"/>
    </row>
    <row r="18" spans="2:16">
      <c r="B18" s="195" t="str">
        <f>IF(D18=F17,"","IU")</f>
        <v/>
      </c>
      <c r="C18" s="507">
        <f>IF(D11="","-",+C17+1)</f>
        <v>2014</v>
      </c>
      <c r="D18" s="631">
        <v>4230489.5595238097</v>
      </c>
      <c r="E18" s="630">
        <v>102764.92857142857</v>
      </c>
      <c r="F18" s="631">
        <v>4127724.6309523811</v>
      </c>
      <c r="G18" s="630">
        <v>659638.3564492357</v>
      </c>
      <c r="H18" s="639">
        <v>659638.3564492357</v>
      </c>
      <c r="I18" s="616">
        <v>0</v>
      </c>
      <c r="J18" s="511"/>
      <c r="K18" s="518">
        <f t="shared" si="0"/>
        <v>659638.3564492357</v>
      </c>
      <c r="L18" s="519">
        <f t="shared" si="1"/>
        <v>0</v>
      </c>
      <c r="M18" s="518">
        <f t="shared" si="2"/>
        <v>659638.3564492357</v>
      </c>
      <c r="N18" s="514">
        <f t="shared" si="3"/>
        <v>0</v>
      </c>
      <c r="O18" s="514">
        <f t="shared" si="4"/>
        <v>0</v>
      </c>
      <c r="P18" s="272"/>
    </row>
    <row r="19" spans="2:16">
      <c r="B19" s="195" t="str">
        <f>IF(D19=F18,"","IU")</f>
        <v/>
      </c>
      <c r="C19" s="507">
        <f>IF(D11="","-",+C18+1)</f>
        <v>2015</v>
      </c>
      <c r="D19" s="631">
        <v>4127724.6309523811</v>
      </c>
      <c r="E19" s="630">
        <v>102777.80952380953</v>
      </c>
      <c r="F19" s="631">
        <v>4024946.8214285714</v>
      </c>
      <c r="G19" s="630">
        <v>632882.6295754665</v>
      </c>
      <c r="H19" s="639">
        <v>632882.6295754665</v>
      </c>
      <c r="I19" s="511">
        <v>0</v>
      </c>
      <c r="J19" s="511"/>
      <c r="K19" s="518">
        <f t="shared" si="0"/>
        <v>632882.6295754665</v>
      </c>
      <c r="L19" s="519">
        <f t="shared" si="1"/>
        <v>0</v>
      </c>
      <c r="M19" s="518">
        <f t="shared" si="2"/>
        <v>632882.6295754665</v>
      </c>
      <c r="N19" s="514">
        <f t="shared" si="3"/>
        <v>0</v>
      </c>
      <c r="O19" s="514">
        <f t="shared" si="4"/>
        <v>0</v>
      </c>
      <c r="P19" s="272"/>
    </row>
    <row r="20" spans="2:16">
      <c r="B20" s="195" t="str">
        <f t="shared" ref="B20:B72" si="5">IF(D20=F19,"","IU")</f>
        <v>IU</v>
      </c>
      <c r="C20" s="507">
        <f>IF(D11="","-",+C19+1)</f>
        <v>2016</v>
      </c>
      <c r="D20" s="631">
        <v>4025487.8214285714</v>
      </c>
      <c r="E20" s="630">
        <v>102777.80952380953</v>
      </c>
      <c r="F20" s="631">
        <v>3922710.0119047617</v>
      </c>
      <c r="G20" s="630">
        <v>613043.82987884199</v>
      </c>
      <c r="H20" s="639">
        <v>613043.82987884199</v>
      </c>
      <c r="I20" s="511">
        <f>H20-G20</f>
        <v>0</v>
      </c>
      <c r="J20" s="511"/>
      <c r="K20" s="518">
        <f t="shared" si="0"/>
        <v>613043.82987884199</v>
      </c>
      <c r="L20" s="519">
        <f t="shared" si="1"/>
        <v>0</v>
      </c>
      <c r="M20" s="518">
        <f t="shared" si="2"/>
        <v>613043.82987884199</v>
      </c>
      <c r="N20" s="514">
        <f t="shared" si="3"/>
        <v>0</v>
      </c>
      <c r="O20" s="514">
        <f t="shared" si="4"/>
        <v>0</v>
      </c>
      <c r="P20" s="272"/>
    </row>
    <row r="21" spans="2:16">
      <c r="B21" s="195" t="str">
        <f t="shared" si="5"/>
        <v/>
      </c>
      <c r="C21" s="507">
        <f>IF(D11="","-",+C20+1)</f>
        <v>2017</v>
      </c>
      <c r="D21" s="631">
        <v>3922710.0119047617</v>
      </c>
      <c r="E21" s="630">
        <v>100387.62790697675</v>
      </c>
      <c r="F21" s="631">
        <v>3822322.3839977849</v>
      </c>
      <c r="G21" s="630">
        <v>580163.47114176606</v>
      </c>
      <c r="H21" s="639">
        <v>580163.47114176606</v>
      </c>
      <c r="I21" s="511">
        <f t="shared" ref="I21:I72" si="6">H21-G21</f>
        <v>0</v>
      </c>
      <c r="J21" s="511"/>
      <c r="K21" s="518">
        <f t="shared" si="0"/>
        <v>580163.47114176606</v>
      </c>
      <c r="L21" s="519">
        <f t="shared" si="1"/>
        <v>0</v>
      </c>
      <c r="M21" s="518">
        <f t="shared" si="2"/>
        <v>580163.47114176606</v>
      </c>
      <c r="N21" s="514">
        <f t="shared" si="3"/>
        <v>0</v>
      </c>
      <c r="O21" s="514">
        <f t="shared" si="4"/>
        <v>0</v>
      </c>
      <c r="P21" s="272"/>
    </row>
    <row r="22" spans="2:16">
      <c r="B22" s="195" t="str">
        <f t="shared" si="5"/>
        <v/>
      </c>
      <c r="C22" s="507">
        <f>IF(D11="","-",+C21+1)</f>
        <v>2018</v>
      </c>
      <c r="D22" s="631">
        <v>3822322.3839977849</v>
      </c>
      <c r="E22" s="630">
        <v>105284.58536585367</v>
      </c>
      <c r="F22" s="631">
        <v>3717037.7986319312</v>
      </c>
      <c r="G22" s="630">
        <v>584388.67981931404</v>
      </c>
      <c r="H22" s="639">
        <v>584388.67981931404</v>
      </c>
      <c r="I22" s="511">
        <f t="shared" si="6"/>
        <v>0</v>
      </c>
      <c r="J22" s="511"/>
      <c r="K22" s="518">
        <f t="shared" si="0"/>
        <v>584388.67981931404</v>
      </c>
      <c r="L22" s="519">
        <f t="shared" si="1"/>
        <v>0</v>
      </c>
      <c r="M22" s="518">
        <f t="shared" si="2"/>
        <v>584388.67981931404</v>
      </c>
      <c r="N22" s="514">
        <f t="shared" si="3"/>
        <v>0</v>
      </c>
      <c r="O22" s="514">
        <f t="shared" si="4"/>
        <v>0</v>
      </c>
      <c r="P22" s="272"/>
    </row>
    <row r="23" spans="2:16">
      <c r="B23" s="195" t="str">
        <f t="shared" si="5"/>
        <v/>
      </c>
      <c r="C23" s="507">
        <f>IF(D11="","-",+C22+1)</f>
        <v>2019</v>
      </c>
      <c r="D23" s="631">
        <v>3717037.7986319312</v>
      </c>
      <c r="E23" s="630">
        <v>105284.58536585367</v>
      </c>
      <c r="F23" s="631">
        <v>3611753.2132660775</v>
      </c>
      <c r="G23" s="630">
        <v>571007.63031120552</v>
      </c>
      <c r="H23" s="639">
        <v>571007.63031120552</v>
      </c>
      <c r="I23" s="511">
        <f t="shared" si="6"/>
        <v>0</v>
      </c>
      <c r="J23" s="511"/>
      <c r="K23" s="518">
        <f t="shared" ref="K23" si="7">G23</f>
        <v>571007.63031120552</v>
      </c>
      <c r="L23" s="519">
        <f t="shared" ref="L23" si="8">IF(K23&lt;&gt;0,+G23-K23,0)</f>
        <v>0</v>
      </c>
      <c r="M23" s="518">
        <f t="shared" ref="M23" si="9">H23</f>
        <v>571007.63031120552</v>
      </c>
      <c r="N23" s="514">
        <f t="shared" ref="N23:N72" si="10">IF(M23&lt;&gt;0,+H23-M23,0)</f>
        <v>0</v>
      </c>
      <c r="O23" s="514">
        <f t="shared" ref="O23:O72" si="11">+N23-L23</f>
        <v>0</v>
      </c>
      <c r="P23" s="272"/>
    </row>
    <row r="24" spans="2:16">
      <c r="B24" s="195" t="str">
        <f t="shared" si="5"/>
        <v/>
      </c>
      <c r="C24" s="507">
        <f>IF(D11="","-",+C23+1)</f>
        <v>2020</v>
      </c>
      <c r="D24" s="631">
        <v>3611753.2132660775</v>
      </c>
      <c r="E24" s="630">
        <v>105284.58536585367</v>
      </c>
      <c r="F24" s="631">
        <v>3506468.6279002237</v>
      </c>
      <c r="G24" s="630">
        <v>469507.82183995802</v>
      </c>
      <c r="H24" s="639">
        <v>469507.82183995802</v>
      </c>
      <c r="I24" s="511">
        <f t="shared" si="6"/>
        <v>0</v>
      </c>
      <c r="J24" s="511"/>
      <c r="K24" s="518">
        <f t="shared" ref="K24" si="12">G24</f>
        <v>469507.82183995802</v>
      </c>
      <c r="L24" s="519">
        <f t="shared" ref="L24" si="13">IF(K24&lt;&gt;0,+G24-K24,0)</f>
        <v>0</v>
      </c>
      <c r="M24" s="518">
        <f t="shared" ref="M24" si="14">H24</f>
        <v>469507.82183995802</v>
      </c>
      <c r="N24" s="514">
        <f t="shared" si="10"/>
        <v>0</v>
      </c>
      <c r="O24" s="514">
        <f t="shared" si="11"/>
        <v>0</v>
      </c>
      <c r="P24" s="272"/>
    </row>
    <row r="25" spans="2:16">
      <c r="B25" s="195" t="str">
        <f t="shared" si="5"/>
        <v>IU</v>
      </c>
      <c r="C25" s="507">
        <f>IF(D11="","-",+C24+1)</f>
        <v>2021</v>
      </c>
      <c r="D25" s="631">
        <v>3511365.5853591012</v>
      </c>
      <c r="E25" s="630">
        <v>102777.80952380953</v>
      </c>
      <c r="F25" s="631">
        <v>3408587.7758352915</v>
      </c>
      <c r="G25" s="630">
        <v>469551.06340859708</v>
      </c>
      <c r="H25" s="639">
        <v>469551.06340859708</v>
      </c>
      <c r="I25" s="511">
        <f t="shared" si="6"/>
        <v>0</v>
      </c>
      <c r="J25" s="511"/>
      <c r="K25" s="518">
        <f t="shared" ref="K25" si="15">G25</f>
        <v>469551.06340859708</v>
      </c>
      <c r="L25" s="519">
        <f t="shared" ref="L25" si="16">IF(K25&lt;&gt;0,+G25-K25,0)</f>
        <v>0</v>
      </c>
      <c r="M25" s="518">
        <f t="shared" ref="M25" si="17">H25</f>
        <v>469551.06340859708</v>
      </c>
      <c r="N25" s="514">
        <f t="shared" si="10"/>
        <v>0</v>
      </c>
      <c r="O25" s="514">
        <f t="shared" si="11"/>
        <v>0</v>
      </c>
      <c r="P25" s="272"/>
    </row>
    <row r="26" spans="2:16">
      <c r="B26" s="195" t="str">
        <f t="shared" si="5"/>
        <v>IU</v>
      </c>
      <c r="C26" s="507">
        <f>IF(D11="","-",+C25+1)</f>
        <v>2022</v>
      </c>
      <c r="D26" s="631">
        <v>3403690.8183764145</v>
      </c>
      <c r="E26" s="630">
        <v>102777.80952380953</v>
      </c>
      <c r="F26" s="631">
        <v>3300913.0088526048</v>
      </c>
      <c r="G26" s="630">
        <v>479724.37067958177</v>
      </c>
      <c r="H26" s="639">
        <v>479724.37067958177</v>
      </c>
      <c r="I26" s="511">
        <f t="shared" si="6"/>
        <v>0</v>
      </c>
      <c r="J26" s="511"/>
      <c r="K26" s="518">
        <f t="shared" ref="K26" si="18">G26</f>
        <v>479724.37067958177</v>
      </c>
      <c r="L26" s="519">
        <f t="shared" ref="L26" si="19">IF(K26&lt;&gt;0,+G26-K26,0)</f>
        <v>0</v>
      </c>
      <c r="M26" s="518">
        <f t="shared" ref="M26" si="20">H26</f>
        <v>479724.37067958177</v>
      </c>
      <c r="N26" s="514">
        <f t="shared" si="10"/>
        <v>0</v>
      </c>
      <c r="O26" s="514">
        <f t="shared" si="11"/>
        <v>0</v>
      </c>
      <c r="P26" s="272"/>
    </row>
    <row r="27" spans="2:16">
      <c r="B27" s="195" t="str">
        <f t="shared" si="5"/>
        <v/>
      </c>
      <c r="C27" s="507">
        <f>IF(D11="","-",+C26+1)</f>
        <v>2023</v>
      </c>
      <c r="D27" s="631">
        <v>3300913.0088526048</v>
      </c>
      <c r="E27" s="630">
        <v>102777.80952380953</v>
      </c>
      <c r="F27" s="631">
        <v>3198135.1993287951</v>
      </c>
      <c r="G27" s="630">
        <v>513279.7520559628</v>
      </c>
      <c r="H27" s="639">
        <v>513279.7520559628</v>
      </c>
      <c r="I27" s="511">
        <f t="shared" si="6"/>
        <v>0</v>
      </c>
      <c r="J27" s="511"/>
      <c r="K27" s="518">
        <f t="shared" ref="K27" si="21">G27</f>
        <v>513279.7520559628</v>
      </c>
      <c r="L27" s="519">
        <f t="shared" ref="L27" si="22">IF(K27&lt;&gt;0,+G27-K27,0)</f>
        <v>0</v>
      </c>
      <c r="M27" s="518">
        <f t="shared" ref="M27" si="23">H27</f>
        <v>513279.7520559628</v>
      </c>
      <c r="N27" s="514">
        <f t="shared" ref="N27" si="24">IF(M27&lt;&gt;0,+H27-M27,0)</f>
        <v>0</v>
      </c>
      <c r="O27" s="514">
        <f t="shared" ref="O27" si="25">+N27-L27</f>
        <v>0</v>
      </c>
      <c r="P27" s="272"/>
    </row>
    <row r="28" spans="2:16">
      <c r="B28" s="195" t="str">
        <f t="shared" si="5"/>
        <v/>
      </c>
      <c r="C28" s="673">
        <f>IF(D11="","-",+C27+1)</f>
        <v>2024</v>
      </c>
      <c r="D28" s="523">
        <f>IF(F27+SUM(E$17:E27)=D$10,F27,D$10-SUM(E$17:E27))</f>
        <v>3198135.1993287951</v>
      </c>
      <c r="E28" s="522">
        <f t="shared" ref="E28:E72" si="26">IF(+$I$14&lt;F27,$I$14,D28)</f>
        <v>98106.090909090912</v>
      </c>
      <c r="F28" s="523">
        <f t="shared" ref="F28:F72" si="27">+D28-E28</f>
        <v>3100029.1084197043</v>
      </c>
      <c r="G28" s="524">
        <f t="shared" ref="G28:G52" si="28">+I$12*((D28+F28)/2)+E28</f>
        <v>474506.84810459183</v>
      </c>
      <c r="H28" s="491">
        <f t="shared" ref="H28:H52" si="29">+I$13*((D28+F28)/2)+E28</f>
        <v>474506.84810459183</v>
      </c>
      <c r="I28" s="511">
        <f t="shared" si="6"/>
        <v>0</v>
      </c>
      <c r="J28" s="511"/>
      <c r="K28" s="525"/>
      <c r="L28" s="514">
        <f t="shared" ref="L28:L72" si="30">IF(K28&lt;&gt;0,+G28-K28,0)</f>
        <v>0</v>
      </c>
      <c r="M28" s="525"/>
      <c r="N28" s="514">
        <f t="shared" si="10"/>
        <v>0</v>
      </c>
      <c r="O28" s="514">
        <f t="shared" si="11"/>
        <v>0</v>
      </c>
      <c r="P28" s="272"/>
    </row>
    <row r="29" spans="2:16">
      <c r="B29" s="195" t="str">
        <f t="shared" si="5"/>
        <v/>
      </c>
      <c r="C29" s="507">
        <f>IF(D11="","-",+C28+1)</f>
        <v>2025</v>
      </c>
      <c r="D29" s="523">
        <f>IF(F28+SUM(E$17:E28)=D$10,F28,D$10-SUM(E$17:E28))</f>
        <v>3100029.1084197043</v>
      </c>
      <c r="E29" s="522">
        <f t="shared" si="26"/>
        <v>98106.090909090912</v>
      </c>
      <c r="F29" s="523">
        <f t="shared" si="27"/>
        <v>3001923.0175106134</v>
      </c>
      <c r="G29" s="524">
        <f t="shared" si="28"/>
        <v>462780.50846043823</v>
      </c>
      <c r="H29" s="491">
        <f t="shared" si="29"/>
        <v>462780.50846043823</v>
      </c>
      <c r="I29" s="511">
        <f t="shared" si="6"/>
        <v>0</v>
      </c>
      <c r="J29" s="511"/>
      <c r="K29" s="525"/>
      <c r="L29" s="514">
        <f t="shared" si="30"/>
        <v>0</v>
      </c>
      <c r="M29" s="525"/>
      <c r="N29" s="514">
        <f t="shared" si="10"/>
        <v>0</v>
      </c>
      <c r="O29" s="514">
        <f t="shared" si="11"/>
        <v>0</v>
      </c>
      <c r="P29" s="272"/>
    </row>
    <row r="30" spans="2:16">
      <c r="B30" s="195" t="str">
        <f t="shared" si="5"/>
        <v/>
      </c>
      <c r="C30" s="507">
        <f>IF(D11="","-",+C29+1)</f>
        <v>2026</v>
      </c>
      <c r="D30" s="523">
        <f>IF(F29+SUM(E$17:E29)=D$10,F29,D$10-SUM(E$17:E29))</f>
        <v>3001923.0175106134</v>
      </c>
      <c r="E30" s="522">
        <f t="shared" si="26"/>
        <v>98106.090909090912</v>
      </c>
      <c r="F30" s="523">
        <f t="shared" si="27"/>
        <v>2903816.9266015226</v>
      </c>
      <c r="G30" s="524">
        <f t="shared" si="28"/>
        <v>451054.16881628451</v>
      </c>
      <c r="H30" s="491">
        <f t="shared" si="29"/>
        <v>451054.16881628451</v>
      </c>
      <c r="I30" s="511">
        <f t="shared" si="6"/>
        <v>0</v>
      </c>
      <c r="J30" s="511"/>
      <c r="K30" s="525"/>
      <c r="L30" s="514">
        <f t="shared" si="30"/>
        <v>0</v>
      </c>
      <c r="M30" s="525"/>
      <c r="N30" s="514">
        <f t="shared" si="10"/>
        <v>0</v>
      </c>
      <c r="O30" s="514">
        <f t="shared" si="11"/>
        <v>0</v>
      </c>
      <c r="P30" s="272"/>
    </row>
    <row r="31" spans="2:16">
      <c r="B31" s="195" t="str">
        <f t="shared" si="5"/>
        <v/>
      </c>
      <c r="C31" s="507">
        <f>IF(D11="","-",+C30+1)</f>
        <v>2027</v>
      </c>
      <c r="D31" s="523">
        <f>IF(F30+SUM(E$17:E30)=D$10,F30,D$10-SUM(E$17:E30))</f>
        <v>2903816.9266015226</v>
      </c>
      <c r="E31" s="522">
        <f t="shared" si="26"/>
        <v>98106.090909090912</v>
      </c>
      <c r="F31" s="523">
        <f t="shared" si="27"/>
        <v>2805710.8356924318</v>
      </c>
      <c r="G31" s="524">
        <f t="shared" si="28"/>
        <v>439327.82917213091</v>
      </c>
      <c r="H31" s="491">
        <f t="shared" si="29"/>
        <v>439327.82917213091</v>
      </c>
      <c r="I31" s="511">
        <f t="shared" si="6"/>
        <v>0</v>
      </c>
      <c r="J31" s="511"/>
      <c r="K31" s="525"/>
      <c r="L31" s="514">
        <f t="shared" si="30"/>
        <v>0</v>
      </c>
      <c r="M31" s="525"/>
      <c r="N31" s="514">
        <f t="shared" si="10"/>
        <v>0</v>
      </c>
      <c r="O31" s="514">
        <f t="shared" si="11"/>
        <v>0</v>
      </c>
      <c r="P31" s="272"/>
    </row>
    <row r="32" spans="2:16">
      <c r="B32" s="195" t="str">
        <f t="shared" si="5"/>
        <v/>
      </c>
      <c r="C32" s="507">
        <f>IF(D11="","-",+C31+1)</f>
        <v>2028</v>
      </c>
      <c r="D32" s="523">
        <f>IF(F31+SUM(E$17:E31)=D$10,F31,D$10-SUM(E$17:E31))</f>
        <v>2805710.8356924318</v>
      </c>
      <c r="E32" s="522">
        <f t="shared" si="26"/>
        <v>98106.090909090912</v>
      </c>
      <c r="F32" s="523">
        <f t="shared" si="27"/>
        <v>2707604.744783341</v>
      </c>
      <c r="G32" s="524">
        <f t="shared" si="28"/>
        <v>427601.48952797719</v>
      </c>
      <c r="H32" s="491">
        <f t="shared" si="29"/>
        <v>427601.48952797719</v>
      </c>
      <c r="I32" s="511">
        <f t="shared" si="6"/>
        <v>0</v>
      </c>
      <c r="J32" s="511"/>
      <c r="K32" s="525"/>
      <c r="L32" s="514">
        <f t="shared" si="30"/>
        <v>0</v>
      </c>
      <c r="M32" s="525"/>
      <c r="N32" s="514">
        <f t="shared" si="10"/>
        <v>0</v>
      </c>
      <c r="O32" s="514">
        <f t="shared" si="11"/>
        <v>0</v>
      </c>
      <c r="P32" s="272"/>
    </row>
    <row r="33" spans="2:16">
      <c r="B33" s="195" t="str">
        <f t="shared" si="5"/>
        <v/>
      </c>
      <c r="C33" s="507">
        <f>IF(D11="","-",+C32+1)</f>
        <v>2029</v>
      </c>
      <c r="D33" s="523">
        <f>IF(F32+SUM(E$17:E32)=D$10,F32,D$10-SUM(E$17:E32))</f>
        <v>2707604.744783341</v>
      </c>
      <c r="E33" s="522">
        <f t="shared" si="26"/>
        <v>98106.090909090912</v>
      </c>
      <c r="F33" s="523">
        <f t="shared" si="27"/>
        <v>2609498.6538742501</v>
      </c>
      <c r="G33" s="524">
        <f t="shared" si="28"/>
        <v>415875.14988382347</v>
      </c>
      <c r="H33" s="491">
        <f t="shared" si="29"/>
        <v>415875.14988382347</v>
      </c>
      <c r="I33" s="511">
        <f t="shared" si="6"/>
        <v>0</v>
      </c>
      <c r="J33" s="511"/>
      <c r="K33" s="525"/>
      <c r="L33" s="514">
        <f t="shared" si="30"/>
        <v>0</v>
      </c>
      <c r="M33" s="525"/>
      <c r="N33" s="514">
        <f t="shared" si="10"/>
        <v>0</v>
      </c>
      <c r="O33" s="514">
        <f t="shared" si="11"/>
        <v>0</v>
      </c>
      <c r="P33" s="272"/>
    </row>
    <row r="34" spans="2:16">
      <c r="B34" s="195" t="str">
        <f t="shared" si="5"/>
        <v/>
      </c>
      <c r="C34" s="507">
        <f>IF(D11="","-",+C33+1)</f>
        <v>2030</v>
      </c>
      <c r="D34" s="523">
        <f>IF(F33+SUM(E$17:E33)=D$10,F33,D$10-SUM(E$17:E33))</f>
        <v>2609498.6538742501</v>
      </c>
      <c r="E34" s="522">
        <f t="shared" si="26"/>
        <v>98106.090909090912</v>
      </c>
      <c r="F34" s="523">
        <f t="shared" si="27"/>
        <v>2511392.5629651593</v>
      </c>
      <c r="G34" s="524">
        <f t="shared" si="28"/>
        <v>404148.81023966987</v>
      </c>
      <c r="H34" s="491">
        <f t="shared" si="29"/>
        <v>404148.81023966987</v>
      </c>
      <c r="I34" s="511">
        <f t="shared" si="6"/>
        <v>0</v>
      </c>
      <c r="J34" s="511"/>
      <c r="K34" s="525"/>
      <c r="L34" s="514">
        <f t="shared" si="30"/>
        <v>0</v>
      </c>
      <c r="M34" s="525"/>
      <c r="N34" s="514">
        <f t="shared" si="10"/>
        <v>0</v>
      </c>
      <c r="O34" s="514">
        <f t="shared" si="11"/>
        <v>0</v>
      </c>
      <c r="P34" s="272"/>
    </row>
    <row r="35" spans="2:16">
      <c r="B35" s="195" t="str">
        <f t="shared" si="5"/>
        <v/>
      </c>
      <c r="C35" s="507">
        <f>IF(D11="","-",+C34+1)</f>
        <v>2031</v>
      </c>
      <c r="D35" s="523">
        <f>IF(F34+SUM(E$17:E34)=D$10,F34,D$10-SUM(E$17:E34))</f>
        <v>2511392.5629651593</v>
      </c>
      <c r="E35" s="522">
        <f t="shared" si="26"/>
        <v>98106.090909090912</v>
      </c>
      <c r="F35" s="523">
        <f t="shared" si="27"/>
        <v>2413286.4720560685</v>
      </c>
      <c r="G35" s="524">
        <f t="shared" si="28"/>
        <v>392422.47059551615</v>
      </c>
      <c r="H35" s="491">
        <f t="shared" si="29"/>
        <v>392422.47059551615</v>
      </c>
      <c r="I35" s="511">
        <f t="shared" si="6"/>
        <v>0</v>
      </c>
      <c r="J35" s="511"/>
      <c r="K35" s="525"/>
      <c r="L35" s="514">
        <f t="shared" si="30"/>
        <v>0</v>
      </c>
      <c r="M35" s="525"/>
      <c r="N35" s="514">
        <f t="shared" si="10"/>
        <v>0</v>
      </c>
      <c r="O35" s="514">
        <f t="shared" si="11"/>
        <v>0</v>
      </c>
      <c r="P35" s="272"/>
    </row>
    <row r="36" spans="2:16">
      <c r="B36" s="195" t="str">
        <f t="shared" si="5"/>
        <v/>
      </c>
      <c r="C36" s="507">
        <f>IF(D11="","-",+C35+1)</f>
        <v>2032</v>
      </c>
      <c r="D36" s="523">
        <f>IF(F35+SUM(E$17:E35)=D$10,F35,D$10-SUM(E$17:E35))</f>
        <v>2413286.4720560685</v>
      </c>
      <c r="E36" s="522">
        <f t="shared" si="26"/>
        <v>98106.090909090912</v>
      </c>
      <c r="F36" s="523">
        <f t="shared" si="27"/>
        <v>2315180.3811469777</v>
      </c>
      <c r="G36" s="524">
        <f t="shared" si="28"/>
        <v>380696.13095136255</v>
      </c>
      <c r="H36" s="491">
        <f t="shared" si="29"/>
        <v>380696.13095136255</v>
      </c>
      <c r="I36" s="511">
        <f t="shared" si="6"/>
        <v>0</v>
      </c>
      <c r="J36" s="511"/>
      <c r="K36" s="525"/>
      <c r="L36" s="514">
        <f t="shared" si="30"/>
        <v>0</v>
      </c>
      <c r="M36" s="525"/>
      <c r="N36" s="514">
        <f t="shared" si="10"/>
        <v>0</v>
      </c>
      <c r="O36" s="514">
        <f t="shared" si="11"/>
        <v>0</v>
      </c>
      <c r="P36" s="272"/>
    </row>
    <row r="37" spans="2:16">
      <c r="B37" s="195" t="str">
        <f t="shared" si="5"/>
        <v/>
      </c>
      <c r="C37" s="507">
        <f>IF(D11="","-",+C36+1)</f>
        <v>2033</v>
      </c>
      <c r="D37" s="523">
        <f>IF(F36+SUM(E$17:E36)=D$10,F36,D$10-SUM(E$17:E36))</f>
        <v>2315180.3811469777</v>
      </c>
      <c r="E37" s="522">
        <f t="shared" si="26"/>
        <v>98106.090909090912</v>
      </c>
      <c r="F37" s="523">
        <f t="shared" si="27"/>
        <v>2217074.2902378868</v>
      </c>
      <c r="G37" s="524">
        <f t="shared" si="28"/>
        <v>368969.79130720883</v>
      </c>
      <c r="H37" s="491">
        <f t="shared" si="29"/>
        <v>368969.79130720883</v>
      </c>
      <c r="I37" s="511">
        <f t="shared" si="6"/>
        <v>0</v>
      </c>
      <c r="J37" s="511"/>
      <c r="K37" s="525"/>
      <c r="L37" s="514">
        <f t="shared" si="30"/>
        <v>0</v>
      </c>
      <c r="M37" s="525"/>
      <c r="N37" s="514">
        <f t="shared" si="10"/>
        <v>0</v>
      </c>
      <c r="O37" s="514">
        <f t="shared" si="11"/>
        <v>0</v>
      </c>
      <c r="P37" s="272"/>
    </row>
    <row r="38" spans="2:16">
      <c r="B38" s="195" t="str">
        <f t="shared" si="5"/>
        <v/>
      </c>
      <c r="C38" s="507">
        <f>IF(D11="","-",+C37+1)</f>
        <v>2034</v>
      </c>
      <c r="D38" s="523">
        <f>IF(F37+SUM(E$17:E37)=D$10,F37,D$10-SUM(E$17:E37))</f>
        <v>2217074.2902378868</v>
      </c>
      <c r="E38" s="522">
        <f t="shared" si="26"/>
        <v>98106.090909090912</v>
      </c>
      <c r="F38" s="523">
        <f t="shared" si="27"/>
        <v>2118968.199328796</v>
      </c>
      <c r="G38" s="524">
        <f t="shared" si="28"/>
        <v>357243.45166305517</v>
      </c>
      <c r="H38" s="491">
        <f t="shared" si="29"/>
        <v>357243.45166305517</v>
      </c>
      <c r="I38" s="511">
        <f t="shared" si="6"/>
        <v>0</v>
      </c>
      <c r="J38" s="511"/>
      <c r="K38" s="525"/>
      <c r="L38" s="514">
        <f t="shared" si="30"/>
        <v>0</v>
      </c>
      <c r="M38" s="525"/>
      <c r="N38" s="514">
        <f t="shared" si="10"/>
        <v>0</v>
      </c>
      <c r="O38" s="514">
        <f t="shared" si="11"/>
        <v>0</v>
      </c>
      <c r="P38" s="272"/>
    </row>
    <row r="39" spans="2:16">
      <c r="B39" s="195" t="str">
        <f t="shared" si="5"/>
        <v/>
      </c>
      <c r="C39" s="507">
        <f>IF(D11="","-",+C38+1)</f>
        <v>2035</v>
      </c>
      <c r="D39" s="523">
        <f>IF(F38+SUM(E$17:E38)=D$10,F38,D$10-SUM(E$17:E38))</f>
        <v>2118968.199328796</v>
      </c>
      <c r="E39" s="522">
        <f t="shared" si="26"/>
        <v>98106.090909090912</v>
      </c>
      <c r="F39" s="523">
        <f t="shared" si="27"/>
        <v>2020862.1084197052</v>
      </c>
      <c r="G39" s="524">
        <f t="shared" si="28"/>
        <v>345517.11201890151</v>
      </c>
      <c r="H39" s="491">
        <f t="shared" si="29"/>
        <v>345517.11201890151</v>
      </c>
      <c r="I39" s="511">
        <f t="shared" si="6"/>
        <v>0</v>
      </c>
      <c r="J39" s="511"/>
      <c r="K39" s="525"/>
      <c r="L39" s="514">
        <f t="shared" si="30"/>
        <v>0</v>
      </c>
      <c r="M39" s="525"/>
      <c r="N39" s="514">
        <f t="shared" si="10"/>
        <v>0</v>
      </c>
      <c r="O39" s="514">
        <f t="shared" si="11"/>
        <v>0</v>
      </c>
      <c r="P39" s="272"/>
    </row>
    <row r="40" spans="2:16">
      <c r="B40" s="195" t="str">
        <f t="shared" si="5"/>
        <v/>
      </c>
      <c r="C40" s="507">
        <f>IF(D11="","-",+C39+1)</f>
        <v>2036</v>
      </c>
      <c r="D40" s="523">
        <f>IF(F39+SUM(E$17:E39)=D$10,F39,D$10-SUM(E$17:E39))</f>
        <v>2020862.1084197052</v>
      </c>
      <c r="E40" s="522">
        <f t="shared" si="26"/>
        <v>98106.090909090912</v>
      </c>
      <c r="F40" s="523">
        <f t="shared" si="27"/>
        <v>1922756.0175106144</v>
      </c>
      <c r="G40" s="524">
        <f t="shared" si="28"/>
        <v>333790.77237474784</v>
      </c>
      <c r="H40" s="491">
        <f t="shared" si="29"/>
        <v>333790.77237474784</v>
      </c>
      <c r="I40" s="511">
        <f t="shared" si="6"/>
        <v>0</v>
      </c>
      <c r="J40" s="511"/>
      <c r="K40" s="525"/>
      <c r="L40" s="514">
        <f t="shared" si="30"/>
        <v>0</v>
      </c>
      <c r="M40" s="525"/>
      <c r="N40" s="514">
        <f t="shared" si="10"/>
        <v>0</v>
      </c>
      <c r="O40" s="514">
        <f t="shared" si="11"/>
        <v>0</v>
      </c>
      <c r="P40" s="272"/>
    </row>
    <row r="41" spans="2:16">
      <c r="B41" s="195" t="str">
        <f t="shared" si="5"/>
        <v/>
      </c>
      <c r="C41" s="507">
        <f>IF(D11="","-",+C40+1)</f>
        <v>2037</v>
      </c>
      <c r="D41" s="523">
        <f>IF(F40+SUM(E$17:E40)=D$10,F40,D$10-SUM(E$17:E40))</f>
        <v>1922756.0175106144</v>
      </c>
      <c r="E41" s="522">
        <f t="shared" si="26"/>
        <v>98106.090909090912</v>
      </c>
      <c r="F41" s="523">
        <f t="shared" si="27"/>
        <v>1824649.9266015235</v>
      </c>
      <c r="G41" s="524">
        <f t="shared" si="28"/>
        <v>322064.43273059418</v>
      </c>
      <c r="H41" s="491">
        <f t="shared" si="29"/>
        <v>322064.43273059418</v>
      </c>
      <c r="I41" s="511">
        <f t="shared" si="6"/>
        <v>0</v>
      </c>
      <c r="J41" s="511"/>
      <c r="K41" s="525"/>
      <c r="L41" s="514">
        <f t="shared" si="30"/>
        <v>0</v>
      </c>
      <c r="M41" s="525"/>
      <c r="N41" s="514">
        <f t="shared" si="10"/>
        <v>0</v>
      </c>
      <c r="O41" s="514">
        <f t="shared" si="11"/>
        <v>0</v>
      </c>
      <c r="P41" s="272"/>
    </row>
    <row r="42" spans="2:16">
      <c r="B42" s="195" t="str">
        <f t="shared" si="5"/>
        <v/>
      </c>
      <c r="C42" s="507">
        <f>IF(D11="","-",+C41+1)</f>
        <v>2038</v>
      </c>
      <c r="D42" s="523">
        <f>IF(F41+SUM(E$17:E41)=D$10,F41,D$10-SUM(E$17:E41))</f>
        <v>1824649.9266015235</v>
      </c>
      <c r="E42" s="522">
        <f t="shared" si="26"/>
        <v>98106.090909090912</v>
      </c>
      <c r="F42" s="523">
        <f t="shared" si="27"/>
        <v>1726543.8356924327</v>
      </c>
      <c r="G42" s="524">
        <f t="shared" si="28"/>
        <v>310338.09308644047</v>
      </c>
      <c r="H42" s="491">
        <f t="shared" si="29"/>
        <v>310338.09308644047</v>
      </c>
      <c r="I42" s="511">
        <f t="shared" si="6"/>
        <v>0</v>
      </c>
      <c r="J42" s="511"/>
      <c r="K42" s="525"/>
      <c r="L42" s="514">
        <f t="shared" si="30"/>
        <v>0</v>
      </c>
      <c r="M42" s="525"/>
      <c r="N42" s="514">
        <f t="shared" si="10"/>
        <v>0</v>
      </c>
      <c r="O42" s="514">
        <f t="shared" si="11"/>
        <v>0</v>
      </c>
      <c r="P42" s="272"/>
    </row>
    <row r="43" spans="2:16">
      <c r="B43" s="195" t="str">
        <f t="shared" si="5"/>
        <v/>
      </c>
      <c r="C43" s="507">
        <f>IF(D11="","-",+C42+1)</f>
        <v>2039</v>
      </c>
      <c r="D43" s="523">
        <f>IF(F42+SUM(E$17:E42)=D$10,F42,D$10-SUM(E$17:E42))</f>
        <v>1726543.8356924327</v>
      </c>
      <c r="E43" s="522">
        <f t="shared" si="26"/>
        <v>98106.090909090912</v>
      </c>
      <c r="F43" s="523">
        <f t="shared" si="27"/>
        <v>1628437.7447833419</v>
      </c>
      <c r="G43" s="524">
        <f t="shared" si="28"/>
        <v>298611.75344228686</v>
      </c>
      <c r="H43" s="491">
        <f t="shared" si="29"/>
        <v>298611.75344228686</v>
      </c>
      <c r="I43" s="511">
        <f t="shared" si="6"/>
        <v>0</v>
      </c>
      <c r="J43" s="511"/>
      <c r="K43" s="525"/>
      <c r="L43" s="514">
        <f t="shared" si="30"/>
        <v>0</v>
      </c>
      <c r="M43" s="525"/>
      <c r="N43" s="514">
        <f t="shared" si="10"/>
        <v>0</v>
      </c>
      <c r="O43" s="514">
        <f t="shared" si="11"/>
        <v>0</v>
      </c>
      <c r="P43" s="272"/>
    </row>
    <row r="44" spans="2:16">
      <c r="B44" s="195" t="str">
        <f t="shared" si="5"/>
        <v/>
      </c>
      <c r="C44" s="507">
        <f>IF(D11="","-",+C43+1)</f>
        <v>2040</v>
      </c>
      <c r="D44" s="523">
        <f>IF(F43+SUM(E$17:E43)=D$10,F43,D$10-SUM(E$17:E43))</f>
        <v>1628437.7447833419</v>
      </c>
      <c r="E44" s="522">
        <f t="shared" si="26"/>
        <v>98106.090909090912</v>
      </c>
      <c r="F44" s="523">
        <f t="shared" si="27"/>
        <v>1530331.6538742511</v>
      </c>
      <c r="G44" s="524">
        <f t="shared" si="28"/>
        <v>286885.41379813314</v>
      </c>
      <c r="H44" s="491">
        <f t="shared" si="29"/>
        <v>286885.41379813314</v>
      </c>
      <c r="I44" s="511">
        <f t="shared" si="6"/>
        <v>0</v>
      </c>
      <c r="J44" s="511"/>
      <c r="K44" s="525"/>
      <c r="L44" s="514">
        <f t="shared" si="30"/>
        <v>0</v>
      </c>
      <c r="M44" s="525"/>
      <c r="N44" s="514">
        <f t="shared" si="10"/>
        <v>0</v>
      </c>
      <c r="O44" s="514">
        <f t="shared" si="11"/>
        <v>0</v>
      </c>
      <c r="P44" s="272"/>
    </row>
    <row r="45" spans="2:16">
      <c r="B45" s="195" t="str">
        <f t="shared" si="5"/>
        <v/>
      </c>
      <c r="C45" s="507">
        <f>IF(D11="","-",+C44+1)</f>
        <v>2041</v>
      </c>
      <c r="D45" s="523">
        <f>IF(F44+SUM(E$17:E44)=D$10,F44,D$10-SUM(E$17:E44))</f>
        <v>1530331.6538742511</v>
      </c>
      <c r="E45" s="522">
        <f t="shared" si="26"/>
        <v>98106.090909090912</v>
      </c>
      <c r="F45" s="523">
        <f t="shared" si="27"/>
        <v>1432225.5629651602</v>
      </c>
      <c r="G45" s="524">
        <f t="shared" si="28"/>
        <v>275159.07415397948</v>
      </c>
      <c r="H45" s="491">
        <f t="shared" si="29"/>
        <v>275159.07415397948</v>
      </c>
      <c r="I45" s="511">
        <f t="shared" si="6"/>
        <v>0</v>
      </c>
      <c r="J45" s="511"/>
      <c r="K45" s="525"/>
      <c r="L45" s="514">
        <f t="shared" si="30"/>
        <v>0</v>
      </c>
      <c r="M45" s="525"/>
      <c r="N45" s="514">
        <f t="shared" si="10"/>
        <v>0</v>
      </c>
      <c r="O45" s="514">
        <f t="shared" si="11"/>
        <v>0</v>
      </c>
      <c r="P45" s="272"/>
    </row>
    <row r="46" spans="2:16">
      <c r="B46" s="195" t="str">
        <f t="shared" si="5"/>
        <v/>
      </c>
      <c r="C46" s="507">
        <f>IF(D11="","-",+C45+1)</f>
        <v>2042</v>
      </c>
      <c r="D46" s="523">
        <f>IF(F45+SUM(E$17:E45)=D$10,F45,D$10-SUM(E$17:E45))</f>
        <v>1432225.5629651602</v>
      </c>
      <c r="E46" s="522">
        <f t="shared" si="26"/>
        <v>98106.090909090912</v>
      </c>
      <c r="F46" s="523">
        <f t="shared" si="27"/>
        <v>1334119.4720560694</v>
      </c>
      <c r="G46" s="524">
        <f t="shared" si="28"/>
        <v>263432.73450982582</v>
      </c>
      <c r="H46" s="491">
        <f t="shared" si="29"/>
        <v>263432.73450982582</v>
      </c>
      <c r="I46" s="511">
        <f t="shared" si="6"/>
        <v>0</v>
      </c>
      <c r="J46" s="511"/>
      <c r="K46" s="525"/>
      <c r="L46" s="514">
        <f t="shared" si="30"/>
        <v>0</v>
      </c>
      <c r="M46" s="525"/>
      <c r="N46" s="514">
        <f t="shared" si="10"/>
        <v>0</v>
      </c>
      <c r="O46" s="514">
        <f t="shared" si="11"/>
        <v>0</v>
      </c>
      <c r="P46" s="272"/>
    </row>
    <row r="47" spans="2:16">
      <c r="B47" s="195" t="str">
        <f t="shared" si="5"/>
        <v/>
      </c>
      <c r="C47" s="507">
        <f>IF(D11="","-",+C46+1)</f>
        <v>2043</v>
      </c>
      <c r="D47" s="523">
        <f>IF(F46+SUM(E$17:E46)=D$10,F46,D$10-SUM(E$17:E46))</f>
        <v>1334119.4720560694</v>
      </c>
      <c r="E47" s="522">
        <f t="shared" si="26"/>
        <v>98106.090909090912</v>
      </c>
      <c r="F47" s="523">
        <f t="shared" si="27"/>
        <v>1236013.3811469786</v>
      </c>
      <c r="G47" s="524">
        <f t="shared" si="28"/>
        <v>251706.39486567216</v>
      </c>
      <c r="H47" s="491">
        <f t="shared" si="29"/>
        <v>251706.39486567216</v>
      </c>
      <c r="I47" s="511">
        <f t="shared" si="6"/>
        <v>0</v>
      </c>
      <c r="J47" s="511"/>
      <c r="K47" s="525"/>
      <c r="L47" s="514">
        <f t="shared" si="30"/>
        <v>0</v>
      </c>
      <c r="M47" s="525"/>
      <c r="N47" s="514">
        <f t="shared" si="10"/>
        <v>0</v>
      </c>
      <c r="O47" s="514">
        <f t="shared" si="11"/>
        <v>0</v>
      </c>
      <c r="P47" s="272"/>
    </row>
    <row r="48" spans="2:16">
      <c r="B48" s="195" t="str">
        <f t="shared" si="5"/>
        <v/>
      </c>
      <c r="C48" s="507">
        <f>IF(D11="","-",+C47+1)</f>
        <v>2044</v>
      </c>
      <c r="D48" s="523">
        <f>IF(F47+SUM(E$17:E47)=D$10,F47,D$10-SUM(E$17:E47))</f>
        <v>1236013.3811469786</v>
      </c>
      <c r="E48" s="522">
        <f t="shared" si="26"/>
        <v>98106.090909090912</v>
      </c>
      <c r="F48" s="523">
        <f t="shared" si="27"/>
        <v>1137907.2902378878</v>
      </c>
      <c r="G48" s="524">
        <f t="shared" si="28"/>
        <v>239980.05522151847</v>
      </c>
      <c r="H48" s="491">
        <f t="shared" si="29"/>
        <v>239980.05522151847</v>
      </c>
      <c r="I48" s="511">
        <f t="shared" si="6"/>
        <v>0</v>
      </c>
      <c r="J48" s="511"/>
      <c r="K48" s="525"/>
      <c r="L48" s="514">
        <f t="shared" si="30"/>
        <v>0</v>
      </c>
      <c r="M48" s="525"/>
      <c r="N48" s="514">
        <f t="shared" si="10"/>
        <v>0</v>
      </c>
      <c r="O48" s="514">
        <f t="shared" si="11"/>
        <v>0</v>
      </c>
      <c r="P48" s="272"/>
    </row>
    <row r="49" spans="2:16">
      <c r="B49" s="195" t="str">
        <f t="shared" si="5"/>
        <v/>
      </c>
      <c r="C49" s="507">
        <f>IF(D11="","-",+C48+1)</f>
        <v>2045</v>
      </c>
      <c r="D49" s="523">
        <f>IF(F48+SUM(E$17:E48)=D$10,F48,D$10-SUM(E$17:E48))</f>
        <v>1137907.2902378878</v>
      </c>
      <c r="E49" s="522">
        <f t="shared" si="26"/>
        <v>98106.090909090912</v>
      </c>
      <c r="F49" s="523">
        <f t="shared" si="27"/>
        <v>1039801.1993287968</v>
      </c>
      <c r="G49" s="524">
        <f t="shared" si="28"/>
        <v>228253.71557736481</v>
      </c>
      <c r="H49" s="491">
        <f t="shared" si="29"/>
        <v>228253.71557736481</v>
      </c>
      <c r="I49" s="511">
        <f t="shared" si="6"/>
        <v>0</v>
      </c>
      <c r="J49" s="511"/>
      <c r="K49" s="525"/>
      <c r="L49" s="514">
        <f t="shared" si="30"/>
        <v>0</v>
      </c>
      <c r="M49" s="525"/>
      <c r="N49" s="514">
        <f t="shared" si="10"/>
        <v>0</v>
      </c>
      <c r="O49" s="514">
        <f t="shared" si="11"/>
        <v>0</v>
      </c>
      <c r="P49" s="272"/>
    </row>
    <row r="50" spans="2:16">
      <c r="B50" s="195" t="str">
        <f t="shared" si="5"/>
        <v/>
      </c>
      <c r="C50" s="507">
        <f>IF(D11="","-",+C49+1)</f>
        <v>2046</v>
      </c>
      <c r="D50" s="523">
        <f>IF(F49+SUM(E$17:E49)=D$10,F49,D$10-SUM(E$17:E49))</f>
        <v>1039801.1993287968</v>
      </c>
      <c r="E50" s="522">
        <f t="shared" si="26"/>
        <v>98106.090909090912</v>
      </c>
      <c r="F50" s="523">
        <f t="shared" si="27"/>
        <v>941695.10841970588</v>
      </c>
      <c r="G50" s="524">
        <f t="shared" si="28"/>
        <v>216527.37593321112</v>
      </c>
      <c r="H50" s="491">
        <f t="shared" si="29"/>
        <v>216527.37593321112</v>
      </c>
      <c r="I50" s="511">
        <f t="shared" si="6"/>
        <v>0</v>
      </c>
      <c r="J50" s="511"/>
      <c r="K50" s="525"/>
      <c r="L50" s="514">
        <f t="shared" si="30"/>
        <v>0</v>
      </c>
      <c r="M50" s="525"/>
      <c r="N50" s="514">
        <f t="shared" si="10"/>
        <v>0</v>
      </c>
      <c r="O50" s="514">
        <f t="shared" si="11"/>
        <v>0</v>
      </c>
      <c r="P50" s="272"/>
    </row>
    <row r="51" spans="2:16">
      <c r="B51" s="195" t="str">
        <f t="shared" si="5"/>
        <v/>
      </c>
      <c r="C51" s="507">
        <f>IF(D11="","-",+C50+1)</f>
        <v>2047</v>
      </c>
      <c r="D51" s="523">
        <f>IF(F50+SUM(E$17:E50)=D$10,F50,D$10-SUM(E$17:E50))</f>
        <v>941695.10841970588</v>
      </c>
      <c r="E51" s="522">
        <f t="shared" si="26"/>
        <v>98106.090909090912</v>
      </c>
      <c r="F51" s="523">
        <f t="shared" si="27"/>
        <v>843589.01751061494</v>
      </c>
      <c r="G51" s="524">
        <f t="shared" si="28"/>
        <v>204801.03628905746</v>
      </c>
      <c r="H51" s="491">
        <f t="shared" si="29"/>
        <v>204801.03628905746</v>
      </c>
      <c r="I51" s="511">
        <f t="shared" si="6"/>
        <v>0</v>
      </c>
      <c r="J51" s="511"/>
      <c r="K51" s="525"/>
      <c r="L51" s="514">
        <f t="shared" si="30"/>
        <v>0</v>
      </c>
      <c r="M51" s="525"/>
      <c r="N51" s="514">
        <f t="shared" si="10"/>
        <v>0</v>
      </c>
      <c r="O51" s="514">
        <f t="shared" si="11"/>
        <v>0</v>
      </c>
      <c r="P51" s="272"/>
    </row>
    <row r="52" spans="2:16">
      <c r="B52" s="195" t="str">
        <f t="shared" si="5"/>
        <v/>
      </c>
      <c r="C52" s="507">
        <f>IF(D11="","-",+C51+1)</f>
        <v>2048</v>
      </c>
      <c r="D52" s="523">
        <f>IF(F51+SUM(E$17:E51)=D$10,F51,D$10-SUM(E$17:E51))</f>
        <v>843589.01751061494</v>
      </c>
      <c r="E52" s="522">
        <f t="shared" si="26"/>
        <v>98106.090909090912</v>
      </c>
      <c r="F52" s="523">
        <f t="shared" si="27"/>
        <v>745482.926601524</v>
      </c>
      <c r="G52" s="524">
        <f t="shared" si="28"/>
        <v>193074.69664490374</v>
      </c>
      <c r="H52" s="491">
        <f t="shared" si="29"/>
        <v>193074.69664490374</v>
      </c>
      <c r="I52" s="511">
        <f t="shared" si="6"/>
        <v>0</v>
      </c>
      <c r="J52" s="511"/>
      <c r="K52" s="525"/>
      <c r="L52" s="514">
        <f t="shared" si="30"/>
        <v>0</v>
      </c>
      <c r="M52" s="525"/>
      <c r="N52" s="514">
        <f t="shared" si="10"/>
        <v>0</v>
      </c>
      <c r="O52" s="514">
        <f t="shared" si="11"/>
        <v>0</v>
      </c>
      <c r="P52" s="272"/>
    </row>
    <row r="53" spans="2:16">
      <c r="B53" s="195" t="str">
        <f t="shared" si="5"/>
        <v/>
      </c>
      <c r="C53" s="507">
        <f>IF(D11="","-",+C52+1)</f>
        <v>2049</v>
      </c>
      <c r="D53" s="523">
        <f>IF(F52+SUM(E$17:E52)=D$10,F52,D$10-SUM(E$17:E52))</f>
        <v>745482.926601524</v>
      </c>
      <c r="E53" s="522">
        <f t="shared" si="26"/>
        <v>98106.090909090912</v>
      </c>
      <c r="F53" s="523">
        <f t="shared" si="27"/>
        <v>647376.83569243306</v>
      </c>
      <c r="G53" s="524">
        <f t="shared" ref="G53:G72" si="31">+I$12*((D53+F53)/2)+E53</f>
        <v>181348.35700075008</v>
      </c>
      <c r="H53" s="491">
        <f t="shared" ref="H53:H72" si="32">+I$13*((D53+F53)/2)+E53</f>
        <v>181348.35700075008</v>
      </c>
      <c r="I53" s="511">
        <f t="shared" si="6"/>
        <v>0</v>
      </c>
      <c r="J53" s="511"/>
      <c r="K53" s="525"/>
      <c r="L53" s="514">
        <f t="shared" si="30"/>
        <v>0</v>
      </c>
      <c r="M53" s="525"/>
      <c r="N53" s="514">
        <f t="shared" si="10"/>
        <v>0</v>
      </c>
      <c r="O53" s="514">
        <f t="shared" si="11"/>
        <v>0</v>
      </c>
      <c r="P53" s="272"/>
    </row>
    <row r="54" spans="2:16">
      <c r="B54" s="195" t="str">
        <f t="shared" si="5"/>
        <v/>
      </c>
      <c r="C54" s="507">
        <f>IF(D11="","-",+C53+1)</f>
        <v>2050</v>
      </c>
      <c r="D54" s="523">
        <f>IF(F53+SUM(E$17:E53)=D$10,F53,D$10-SUM(E$17:E53))</f>
        <v>647376.83569243306</v>
      </c>
      <c r="E54" s="522">
        <f t="shared" si="26"/>
        <v>98106.090909090912</v>
      </c>
      <c r="F54" s="523">
        <f t="shared" si="27"/>
        <v>549270.74478334212</v>
      </c>
      <c r="G54" s="524">
        <f t="shared" si="31"/>
        <v>169622.01735659636</v>
      </c>
      <c r="H54" s="491">
        <f t="shared" si="32"/>
        <v>169622.01735659636</v>
      </c>
      <c r="I54" s="511">
        <f t="shared" si="6"/>
        <v>0</v>
      </c>
      <c r="J54" s="511"/>
      <c r="K54" s="525"/>
      <c r="L54" s="514">
        <f t="shared" si="30"/>
        <v>0</v>
      </c>
      <c r="M54" s="525"/>
      <c r="N54" s="514">
        <f t="shared" si="10"/>
        <v>0</v>
      </c>
      <c r="O54" s="514">
        <f t="shared" si="11"/>
        <v>0</v>
      </c>
      <c r="P54" s="272"/>
    </row>
    <row r="55" spans="2:16">
      <c r="B55" s="195" t="str">
        <f t="shared" si="5"/>
        <v/>
      </c>
      <c r="C55" s="507">
        <f>IF(D11="","-",+C54+1)</f>
        <v>2051</v>
      </c>
      <c r="D55" s="523">
        <f>IF(F54+SUM(E$17:E54)=D$10,F54,D$10-SUM(E$17:E54))</f>
        <v>549270.74478334212</v>
      </c>
      <c r="E55" s="522">
        <f t="shared" si="26"/>
        <v>98106.090909090912</v>
      </c>
      <c r="F55" s="523">
        <f t="shared" si="27"/>
        <v>451164.65387425118</v>
      </c>
      <c r="G55" s="524">
        <f t="shared" si="31"/>
        <v>157895.6777124427</v>
      </c>
      <c r="H55" s="491">
        <f t="shared" si="32"/>
        <v>157895.6777124427</v>
      </c>
      <c r="I55" s="511">
        <f t="shared" si="6"/>
        <v>0</v>
      </c>
      <c r="J55" s="511"/>
      <c r="K55" s="525"/>
      <c r="L55" s="514">
        <f t="shared" si="30"/>
        <v>0</v>
      </c>
      <c r="M55" s="525"/>
      <c r="N55" s="514">
        <f t="shared" si="10"/>
        <v>0</v>
      </c>
      <c r="O55" s="514">
        <f t="shared" si="11"/>
        <v>0</v>
      </c>
      <c r="P55" s="272"/>
    </row>
    <row r="56" spans="2:16">
      <c r="B56" s="195" t="str">
        <f t="shared" si="5"/>
        <v/>
      </c>
      <c r="C56" s="507">
        <f>IF(D11="","-",+C55+1)</f>
        <v>2052</v>
      </c>
      <c r="D56" s="523">
        <f>IF(F55+SUM(E$17:E55)=D$10,F55,D$10-SUM(E$17:E55))</f>
        <v>451164.65387425118</v>
      </c>
      <c r="E56" s="522">
        <f t="shared" si="26"/>
        <v>98106.090909090912</v>
      </c>
      <c r="F56" s="523">
        <f t="shared" si="27"/>
        <v>353058.56296516024</v>
      </c>
      <c r="G56" s="524">
        <f t="shared" si="31"/>
        <v>146169.33806828901</v>
      </c>
      <c r="H56" s="491">
        <f t="shared" si="32"/>
        <v>146169.33806828901</v>
      </c>
      <c r="I56" s="511">
        <f t="shared" si="6"/>
        <v>0</v>
      </c>
      <c r="J56" s="511"/>
      <c r="K56" s="525"/>
      <c r="L56" s="514">
        <f t="shared" si="30"/>
        <v>0</v>
      </c>
      <c r="M56" s="525"/>
      <c r="N56" s="514">
        <f t="shared" si="10"/>
        <v>0</v>
      </c>
      <c r="O56" s="514">
        <f t="shared" si="11"/>
        <v>0</v>
      </c>
      <c r="P56" s="272"/>
    </row>
    <row r="57" spans="2:16">
      <c r="B57" s="195" t="str">
        <f t="shared" si="5"/>
        <v/>
      </c>
      <c r="C57" s="507">
        <f>IF(D11="","-",+C56+1)</f>
        <v>2053</v>
      </c>
      <c r="D57" s="523">
        <f>IF(F56+SUM(E$17:E56)=D$10,F56,D$10-SUM(E$17:E56))</f>
        <v>353058.56296516024</v>
      </c>
      <c r="E57" s="522">
        <f t="shared" si="26"/>
        <v>98106.090909090912</v>
      </c>
      <c r="F57" s="523">
        <f t="shared" si="27"/>
        <v>254952.47205606932</v>
      </c>
      <c r="G57" s="524">
        <f t="shared" si="31"/>
        <v>134442.99842413532</v>
      </c>
      <c r="H57" s="491">
        <f t="shared" si="32"/>
        <v>134442.99842413532</v>
      </c>
      <c r="I57" s="511">
        <f t="shared" si="6"/>
        <v>0</v>
      </c>
      <c r="J57" s="511"/>
      <c r="K57" s="525"/>
      <c r="L57" s="514">
        <f t="shared" si="30"/>
        <v>0</v>
      </c>
      <c r="M57" s="525"/>
      <c r="N57" s="514">
        <f t="shared" si="10"/>
        <v>0</v>
      </c>
      <c r="O57" s="514">
        <f t="shared" si="11"/>
        <v>0</v>
      </c>
      <c r="P57" s="272"/>
    </row>
    <row r="58" spans="2:16">
      <c r="B58" s="195" t="str">
        <f t="shared" si="5"/>
        <v/>
      </c>
      <c r="C58" s="507">
        <f>IF(D11="","-",+C57+1)</f>
        <v>2054</v>
      </c>
      <c r="D58" s="523">
        <f>IF(F57+SUM(E$17:E57)=D$10,F57,D$10-SUM(E$17:E57))</f>
        <v>254952.47205606932</v>
      </c>
      <c r="E58" s="522">
        <f t="shared" si="26"/>
        <v>98106.090909090912</v>
      </c>
      <c r="F58" s="523">
        <f t="shared" si="27"/>
        <v>156846.38114697841</v>
      </c>
      <c r="G58" s="524">
        <f t="shared" si="31"/>
        <v>122716.65877998166</v>
      </c>
      <c r="H58" s="491">
        <f t="shared" si="32"/>
        <v>122716.65877998166</v>
      </c>
      <c r="I58" s="511">
        <f t="shared" si="6"/>
        <v>0</v>
      </c>
      <c r="J58" s="511"/>
      <c r="K58" s="525"/>
      <c r="L58" s="514">
        <f t="shared" si="30"/>
        <v>0</v>
      </c>
      <c r="M58" s="525"/>
      <c r="N58" s="514">
        <f t="shared" si="10"/>
        <v>0</v>
      </c>
      <c r="O58" s="514">
        <f t="shared" si="11"/>
        <v>0</v>
      </c>
      <c r="P58" s="272"/>
    </row>
    <row r="59" spans="2:16">
      <c r="B59" s="195" t="str">
        <f t="shared" si="5"/>
        <v/>
      </c>
      <c r="C59" s="507">
        <f>IF(D11="","-",+C58+1)</f>
        <v>2055</v>
      </c>
      <c r="D59" s="523">
        <f>IF(F58+SUM(E$17:E58)=D$10,F58,D$10-SUM(E$17:E58))</f>
        <v>156846.38114697841</v>
      </c>
      <c r="E59" s="522">
        <f t="shared" si="26"/>
        <v>98106.090909090912</v>
      </c>
      <c r="F59" s="523">
        <f t="shared" si="27"/>
        <v>58740.290237887501</v>
      </c>
      <c r="G59" s="524">
        <f t="shared" si="31"/>
        <v>110990.31913582799</v>
      </c>
      <c r="H59" s="491">
        <f t="shared" si="32"/>
        <v>110990.31913582799</v>
      </c>
      <c r="I59" s="511">
        <f t="shared" si="6"/>
        <v>0</v>
      </c>
      <c r="J59" s="511"/>
      <c r="K59" s="525"/>
      <c r="L59" s="514">
        <f t="shared" si="30"/>
        <v>0</v>
      </c>
      <c r="M59" s="525"/>
      <c r="N59" s="514">
        <f t="shared" si="10"/>
        <v>0</v>
      </c>
      <c r="O59" s="514">
        <f t="shared" si="11"/>
        <v>0</v>
      </c>
      <c r="P59" s="272"/>
    </row>
    <row r="60" spans="2:16">
      <c r="B60" s="195" t="str">
        <f t="shared" si="5"/>
        <v/>
      </c>
      <c r="C60" s="507">
        <f>IF(D11="","-",+C59+1)</f>
        <v>2056</v>
      </c>
      <c r="D60" s="523">
        <f>IF(F59+SUM(E$17:E59)=D$10,F59,D$10-SUM(E$17:E59))</f>
        <v>58740.290237887501</v>
      </c>
      <c r="E60" s="522">
        <f t="shared" si="26"/>
        <v>58740.290237887501</v>
      </c>
      <c r="F60" s="523">
        <f t="shared" si="27"/>
        <v>0</v>
      </c>
      <c r="G60" s="524">
        <f t="shared" si="31"/>
        <v>62250.819440217616</v>
      </c>
      <c r="H60" s="491">
        <f t="shared" si="32"/>
        <v>62250.819440217616</v>
      </c>
      <c r="I60" s="511">
        <f t="shared" si="6"/>
        <v>0</v>
      </c>
      <c r="J60" s="511"/>
      <c r="K60" s="525"/>
      <c r="L60" s="514">
        <f t="shared" si="30"/>
        <v>0</v>
      </c>
      <c r="M60" s="525"/>
      <c r="N60" s="514">
        <f t="shared" si="10"/>
        <v>0</v>
      </c>
      <c r="O60" s="514">
        <f t="shared" si="11"/>
        <v>0</v>
      </c>
      <c r="P60" s="272"/>
    </row>
    <row r="61" spans="2:16">
      <c r="B61" s="195" t="str">
        <f t="shared" si="5"/>
        <v/>
      </c>
      <c r="C61" s="507">
        <f>IF(D11="","-",+C60+1)</f>
        <v>2057</v>
      </c>
      <c r="D61" s="523">
        <f>IF(F60+SUM(E$17:E60)=D$10,F60,D$10-SUM(E$17:E60))</f>
        <v>0</v>
      </c>
      <c r="E61" s="522">
        <f t="shared" si="26"/>
        <v>0</v>
      </c>
      <c r="F61" s="523">
        <f t="shared" si="27"/>
        <v>0</v>
      </c>
      <c r="G61" s="524">
        <f t="shared" si="31"/>
        <v>0</v>
      </c>
      <c r="H61" s="491">
        <f t="shared" si="32"/>
        <v>0</v>
      </c>
      <c r="I61" s="511">
        <f t="shared" si="6"/>
        <v>0</v>
      </c>
      <c r="J61" s="511"/>
      <c r="K61" s="525"/>
      <c r="L61" s="514">
        <f t="shared" si="30"/>
        <v>0</v>
      </c>
      <c r="M61" s="525"/>
      <c r="N61" s="514">
        <f t="shared" si="10"/>
        <v>0</v>
      </c>
      <c r="O61" s="514">
        <f t="shared" si="11"/>
        <v>0</v>
      </c>
      <c r="P61" s="272"/>
    </row>
    <row r="62" spans="2:16">
      <c r="B62" s="195" t="str">
        <f t="shared" si="5"/>
        <v/>
      </c>
      <c r="C62" s="507">
        <f>IF(D11="","-",+C61+1)</f>
        <v>2058</v>
      </c>
      <c r="D62" s="523">
        <f>IF(F61+SUM(E$17:E61)=D$10,F61,D$10-SUM(E$17:E61))</f>
        <v>0</v>
      </c>
      <c r="E62" s="522">
        <f t="shared" si="26"/>
        <v>0</v>
      </c>
      <c r="F62" s="523">
        <f t="shared" si="27"/>
        <v>0</v>
      </c>
      <c r="G62" s="524">
        <f t="shared" si="31"/>
        <v>0</v>
      </c>
      <c r="H62" s="491">
        <f t="shared" si="32"/>
        <v>0</v>
      </c>
      <c r="I62" s="511">
        <f t="shared" si="6"/>
        <v>0</v>
      </c>
      <c r="J62" s="511"/>
      <c r="K62" s="525"/>
      <c r="L62" s="514">
        <f t="shared" si="30"/>
        <v>0</v>
      </c>
      <c r="M62" s="525"/>
      <c r="N62" s="514">
        <f t="shared" si="10"/>
        <v>0</v>
      </c>
      <c r="O62" s="514">
        <f t="shared" si="11"/>
        <v>0</v>
      </c>
      <c r="P62" s="272"/>
    </row>
    <row r="63" spans="2:16">
      <c r="B63" s="195" t="str">
        <f t="shared" si="5"/>
        <v/>
      </c>
      <c r="C63" s="507">
        <f>IF(D11="","-",+C62+1)</f>
        <v>2059</v>
      </c>
      <c r="D63" s="523">
        <f>IF(F62+SUM(E$17:E62)=D$10,F62,D$10-SUM(E$17:E62))</f>
        <v>0</v>
      </c>
      <c r="E63" s="522">
        <f t="shared" si="26"/>
        <v>0</v>
      </c>
      <c r="F63" s="523">
        <f t="shared" si="27"/>
        <v>0</v>
      </c>
      <c r="G63" s="524">
        <f t="shared" si="31"/>
        <v>0</v>
      </c>
      <c r="H63" s="491">
        <f t="shared" si="32"/>
        <v>0</v>
      </c>
      <c r="I63" s="511">
        <f t="shared" si="6"/>
        <v>0</v>
      </c>
      <c r="J63" s="511"/>
      <c r="K63" s="525"/>
      <c r="L63" s="514">
        <f t="shared" si="30"/>
        <v>0</v>
      </c>
      <c r="M63" s="525"/>
      <c r="N63" s="514">
        <f t="shared" si="10"/>
        <v>0</v>
      </c>
      <c r="O63" s="514">
        <f t="shared" si="11"/>
        <v>0</v>
      </c>
      <c r="P63" s="272"/>
    </row>
    <row r="64" spans="2:16">
      <c r="B64" s="195" t="str">
        <f t="shared" si="5"/>
        <v/>
      </c>
      <c r="C64" s="507">
        <f>IF(D11="","-",+C63+1)</f>
        <v>2060</v>
      </c>
      <c r="D64" s="523">
        <f>IF(F63+SUM(E$17:E63)=D$10,F63,D$10-SUM(E$17:E63))</f>
        <v>0</v>
      </c>
      <c r="E64" s="522">
        <f t="shared" si="26"/>
        <v>0</v>
      </c>
      <c r="F64" s="523">
        <f t="shared" si="27"/>
        <v>0</v>
      </c>
      <c r="G64" s="524">
        <f t="shared" si="31"/>
        <v>0</v>
      </c>
      <c r="H64" s="491">
        <f t="shared" si="32"/>
        <v>0</v>
      </c>
      <c r="I64" s="511">
        <f t="shared" si="6"/>
        <v>0</v>
      </c>
      <c r="J64" s="511"/>
      <c r="K64" s="525"/>
      <c r="L64" s="514">
        <f t="shared" si="30"/>
        <v>0</v>
      </c>
      <c r="M64" s="525"/>
      <c r="N64" s="514">
        <f t="shared" si="10"/>
        <v>0</v>
      </c>
      <c r="O64" s="514">
        <f t="shared" si="11"/>
        <v>0</v>
      </c>
      <c r="P64" s="272"/>
    </row>
    <row r="65" spans="2:16">
      <c r="B65" s="195" t="str">
        <f t="shared" si="5"/>
        <v/>
      </c>
      <c r="C65" s="507">
        <f>IF(D11="","-",+C64+1)</f>
        <v>2061</v>
      </c>
      <c r="D65" s="523">
        <f>IF(F64+SUM(E$17:E64)=D$10,F64,D$10-SUM(E$17:E64))</f>
        <v>0</v>
      </c>
      <c r="E65" s="522">
        <f t="shared" si="26"/>
        <v>0</v>
      </c>
      <c r="F65" s="523">
        <f t="shared" si="27"/>
        <v>0</v>
      </c>
      <c r="G65" s="524">
        <f t="shared" si="31"/>
        <v>0</v>
      </c>
      <c r="H65" s="491">
        <f t="shared" si="32"/>
        <v>0</v>
      </c>
      <c r="I65" s="511">
        <f t="shared" si="6"/>
        <v>0</v>
      </c>
      <c r="J65" s="511"/>
      <c r="K65" s="525"/>
      <c r="L65" s="514">
        <f t="shared" si="30"/>
        <v>0</v>
      </c>
      <c r="M65" s="525"/>
      <c r="N65" s="514">
        <f t="shared" si="10"/>
        <v>0</v>
      </c>
      <c r="O65" s="514">
        <f t="shared" si="11"/>
        <v>0</v>
      </c>
      <c r="P65" s="272"/>
    </row>
    <row r="66" spans="2:16">
      <c r="B66" s="195" t="str">
        <f t="shared" si="5"/>
        <v/>
      </c>
      <c r="C66" s="507">
        <f>IF(D11="","-",+C65+1)</f>
        <v>2062</v>
      </c>
      <c r="D66" s="523">
        <f>IF(F65+SUM(E$17:E65)=D$10,F65,D$10-SUM(E$17:E65))</f>
        <v>0</v>
      </c>
      <c r="E66" s="522">
        <f t="shared" si="26"/>
        <v>0</v>
      </c>
      <c r="F66" s="523">
        <f t="shared" si="27"/>
        <v>0</v>
      </c>
      <c r="G66" s="524">
        <f t="shared" si="31"/>
        <v>0</v>
      </c>
      <c r="H66" s="491">
        <f t="shared" si="32"/>
        <v>0</v>
      </c>
      <c r="I66" s="511">
        <f t="shared" si="6"/>
        <v>0</v>
      </c>
      <c r="J66" s="511"/>
      <c r="K66" s="525"/>
      <c r="L66" s="514">
        <f t="shared" si="30"/>
        <v>0</v>
      </c>
      <c r="M66" s="525"/>
      <c r="N66" s="514">
        <f t="shared" si="10"/>
        <v>0</v>
      </c>
      <c r="O66" s="514">
        <f t="shared" si="11"/>
        <v>0</v>
      </c>
      <c r="P66" s="272"/>
    </row>
    <row r="67" spans="2:16">
      <c r="B67" s="195" t="str">
        <f t="shared" si="5"/>
        <v/>
      </c>
      <c r="C67" s="507">
        <f>IF(D11="","-",+C66+1)</f>
        <v>2063</v>
      </c>
      <c r="D67" s="523">
        <f>IF(F66+SUM(E$17:E66)=D$10,F66,D$10-SUM(E$17:E66))</f>
        <v>0</v>
      </c>
      <c r="E67" s="522">
        <f t="shared" si="26"/>
        <v>0</v>
      </c>
      <c r="F67" s="523">
        <f t="shared" si="27"/>
        <v>0</v>
      </c>
      <c r="G67" s="524">
        <f t="shared" si="31"/>
        <v>0</v>
      </c>
      <c r="H67" s="491">
        <f t="shared" si="32"/>
        <v>0</v>
      </c>
      <c r="I67" s="511">
        <f t="shared" si="6"/>
        <v>0</v>
      </c>
      <c r="J67" s="511"/>
      <c r="K67" s="525"/>
      <c r="L67" s="514">
        <f t="shared" si="30"/>
        <v>0</v>
      </c>
      <c r="M67" s="525"/>
      <c r="N67" s="514">
        <f t="shared" si="10"/>
        <v>0</v>
      </c>
      <c r="O67" s="514">
        <f t="shared" si="11"/>
        <v>0</v>
      </c>
      <c r="P67" s="272"/>
    </row>
    <row r="68" spans="2:16">
      <c r="B68" s="195" t="str">
        <f t="shared" si="5"/>
        <v/>
      </c>
      <c r="C68" s="507">
        <f>IF(D11="","-",+C67+1)</f>
        <v>2064</v>
      </c>
      <c r="D68" s="523">
        <f>IF(F67+SUM(E$17:E67)=D$10,F67,D$10-SUM(E$17:E67))</f>
        <v>0</v>
      </c>
      <c r="E68" s="522">
        <f t="shared" si="26"/>
        <v>0</v>
      </c>
      <c r="F68" s="523">
        <f t="shared" si="27"/>
        <v>0</v>
      </c>
      <c r="G68" s="524">
        <f t="shared" si="31"/>
        <v>0</v>
      </c>
      <c r="H68" s="491">
        <f t="shared" si="32"/>
        <v>0</v>
      </c>
      <c r="I68" s="511">
        <f t="shared" si="6"/>
        <v>0</v>
      </c>
      <c r="J68" s="511"/>
      <c r="K68" s="525"/>
      <c r="L68" s="514">
        <f t="shared" si="30"/>
        <v>0</v>
      </c>
      <c r="M68" s="525"/>
      <c r="N68" s="514">
        <f t="shared" si="10"/>
        <v>0</v>
      </c>
      <c r="O68" s="514">
        <f t="shared" si="11"/>
        <v>0</v>
      </c>
      <c r="P68" s="272"/>
    </row>
    <row r="69" spans="2:16">
      <c r="B69" s="195" t="str">
        <f t="shared" si="5"/>
        <v/>
      </c>
      <c r="C69" s="507">
        <f>IF(D11="","-",+C68+1)</f>
        <v>2065</v>
      </c>
      <c r="D69" s="523">
        <f>IF(F68+SUM(E$17:E68)=D$10,F68,D$10-SUM(E$17:E68))</f>
        <v>0</v>
      </c>
      <c r="E69" s="522">
        <f t="shared" si="26"/>
        <v>0</v>
      </c>
      <c r="F69" s="523">
        <f t="shared" si="27"/>
        <v>0</v>
      </c>
      <c r="G69" s="524">
        <f t="shared" si="31"/>
        <v>0</v>
      </c>
      <c r="H69" s="491">
        <f t="shared" si="32"/>
        <v>0</v>
      </c>
      <c r="I69" s="511">
        <f t="shared" si="6"/>
        <v>0</v>
      </c>
      <c r="J69" s="511"/>
      <c r="K69" s="525"/>
      <c r="L69" s="514">
        <f t="shared" si="30"/>
        <v>0</v>
      </c>
      <c r="M69" s="525"/>
      <c r="N69" s="514">
        <f t="shared" si="10"/>
        <v>0</v>
      </c>
      <c r="O69" s="514">
        <f t="shared" si="11"/>
        <v>0</v>
      </c>
      <c r="P69" s="272"/>
    </row>
    <row r="70" spans="2:16">
      <c r="B70" s="195" t="str">
        <f t="shared" si="5"/>
        <v/>
      </c>
      <c r="C70" s="507">
        <f>IF(D11="","-",+C69+1)</f>
        <v>2066</v>
      </c>
      <c r="D70" s="523">
        <f>IF(F69+SUM(E$17:E69)=D$10,F69,D$10-SUM(E$17:E69))</f>
        <v>0</v>
      </c>
      <c r="E70" s="522">
        <f t="shared" si="26"/>
        <v>0</v>
      </c>
      <c r="F70" s="523">
        <f t="shared" si="27"/>
        <v>0</v>
      </c>
      <c r="G70" s="524">
        <f t="shared" si="31"/>
        <v>0</v>
      </c>
      <c r="H70" s="491">
        <f t="shared" si="32"/>
        <v>0</v>
      </c>
      <c r="I70" s="511">
        <f t="shared" si="6"/>
        <v>0</v>
      </c>
      <c r="J70" s="511"/>
      <c r="K70" s="525"/>
      <c r="L70" s="514">
        <f t="shared" si="30"/>
        <v>0</v>
      </c>
      <c r="M70" s="525"/>
      <c r="N70" s="514">
        <f t="shared" si="10"/>
        <v>0</v>
      </c>
      <c r="O70" s="514">
        <f t="shared" si="11"/>
        <v>0</v>
      </c>
      <c r="P70" s="272"/>
    </row>
    <row r="71" spans="2:16">
      <c r="B71" s="195" t="str">
        <f t="shared" si="5"/>
        <v/>
      </c>
      <c r="C71" s="507">
        <f>IF(D11="","-",+C70+1)</f>
        <v>2067</v>
      </c>
      <c r="D71" s="523">
        <f>IF(F70+SUM(E$17:E70)=D$10,F70,D$10-SUM(E$17:E70))</f>
        <v>0</v>
      </c>
      <c r="E71" s="522">
        <f t="shared" si="26"/>
        <v>0</v>
      </c>
      <c r="F71" s="523">
        <f t="shared" si="27"/>
        <v>0</v>
      </c>
      <c r="G71" s="524">
        <f t="shared" si="31"/>
        <v>0</v>
      </c>
      <c r="H71" s="491">
        <f t="shared" si="32"/>
        <v>0</v>
      </c>
      <c r="I71" s="511">
        <f t="shared" si="6"/>
        <v>0</v>
      </c>
      <c r="J71" s="511"/>
      <c r="K71" s="525"/>
      <c r="L71" s="514">
        <f t="shared" si="30"/>
        <v>0</v>
      </c>
      <c r="M71" s="525"/>
      <c r="N71" s="514">
        <f t="shared" si="10"/>
        <v>0</v>
      </c>
      <c r="O71" s="514">
        <f t="shared" si="11"/>
        <v>0</v>
      </c>
      <c r="P71" s="272"/>
    </row>
    <row r="72" spans="2:16" ht="13.5" thickBot="1">
      <c r="B72" s="195" t="str">
        <f t="shared" si="5"/>
        <v/>
      </c>
      <c r="C72" s="527">
        <f>IF(D11="","-",+C71+1)</f>
        <v>2068</v>
      </c>
      <c r="D72" s="523">
        <f>IF(F71+SUM(E$17:E71)=D$10,F71,D$10-SUM(E$17:E71))</f>
        <v>0</v>
      </c>
      <c r="E72" s="522">
        <f t="shared" si="26"/>
        <v>0</v>
      </c>
      <c r="F72" s="523">
        <f t="shared" si="27"/>
        <v>0</v>
      </c>
      <c r="G72" s="524">
        <f t="shared" si="31"/>
        <v>0</v>
      </c>
      <c r="H72" s="491">
        <f t="shared" si="32"/>
        <v>0</v>
      </c>
      <c r="I72" s="511">
        <f t="shared" si="6"/>
        <v>0</v>
      </c>
      <c r="J72" s="511"/>
      <c r="K72" s="532"/>
      <c r="L72" s="533">
        <f t="shared" si="30"/>
        <v>0</v>
      </c>
      <c r="M72" s="532"/>
      <c r="N72" s="533">
        <f t="shared" si="10"/>
        <v>0</v>
      </c>
      <c r="O72" s="533">
        <f t="shared" si="11"/>
        <v>0</v>
      </c>
      <c r="P72" s="272"/>
    </row>
    <row r="73" spans="2:16">
      <c r="C73" s="374" t="s">
        <v>78</v>
      </c>
      <c r="D73" s="375"/>
      <c r="E73" s="375">
        <f>SUM(E17:E72)</f>
        <v>4316667.9999999991</v>
      </c>
      <c r="F73" s="375"/>
      <c r="G73" s="375">
        <f>SUM(G17:G72)</f>
        <v>15659768.037544711</v>
      </c>
      <c r="H73" s="375">
        <f>SUM(H17:H72)</f>
        <v>15659768.037544711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2:16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2:16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2:16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2:16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272"/>
      <c r="P77" s="272"/>
    </row>
    <row r="78" spans="2:16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2:16"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  <c r="O79" s="269"/>
      <c r="P79" s="269"/>
    </row>
    <row r="80" spans="2:16" ht="18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6">
      <c r="B81" s="269"/>
      <c r="C81" s="340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6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</row>
    <row r="83" spans="1:16" ht="20.25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451" t="str">
        <f ca="1">P1</f>
        <v>SWEPCO Project 39 of 75</v>
      </c>
    </row>
    <row r="84" spans="1:16" ht="18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538" t="s">
        <v>128</v>
      </c>
    </row>
    <row r="85" spans="1:16" ht="18.7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</row>
    <row r="86" spans="1:16" ht="15.75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2022</v>
      </c>
      <c r="M86" s="541" t="s">
        <v>9</v>
      </c>
      <c r="N86" s="542" t="s">
        <v>159</v>
      </c>
      <c r="O86" s="543" t="s">
        <v>11</v>
      </c>
      <c r="P86" s="269"/>
    </row>
    <row r="87" spans="1:16" ht="1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391</v>
      </c>
      <c r="M87" s="546">
        <f>IF(J92&lt;D11,0,VLOOKUP(J92,C17:O72,9))</f>
        <v>479724.37067958177</v>
      </c>
      <c r="N87" s="546">
        <f>IF(J92&lt;D11,0,VLOOKUP(J92,C17:O72,11))</f>
        <v>479724.37067958177</v>
      </c>
      <c r="O87" s="547">
        <f>+N87-M87</f>
        <v>0</v>
      </c>
      <c r="P87" s="269"/>
    </row>
    <row r="88" spans="1:16" ht="15.7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392</v>
      </c>
      <c r="M88" s="550">
        <f>IF(J92&lt;D11,0,VLOOKUP(J92,C99:P154,6))</f>
        <v>497400.0750990212</v>
      </c>
      <c r="N88" s="550">
        <f>IF(J92&lt;D11,0,VLOOKUP(J92,C99:P154,7))</f>
        <v>497400.0750990212</v>
      </c>
      <c r="O88" s="551">
        <f>+N88-M88</f>
        <v>0</v>
      </c>
      <c r="P88" s="269"/>
    </row>
    <row r="89" spans="1:16" ht="13.5" thickBot="1">
      <c r="C89" s="467" t="s">
        <v>84</v>
      </c>
      <c r="D89" s="552" t="str">
        <f>+D7</f>
        <v>Ashdown West - Craig Junction 138KV Rebuild (tie w/PSO)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17675.704419439426</v>
      </c>
      <c r="N89" s="555">
        <f>+N88-N87</f>
        <v>17675.704419439426</v>
      </c>
      <c r="O89" s="556">
        <f>+O88-O87</f>
        <v>0</v>
      </c>
      <c r="P89" s="269"/>
    </row>
    <row r="90" spans="1:16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</row>
    <row r="91" spans="1:16" ht="13.5" thickBot="1">
      <c r="A91" s="191"/>
      <c r="C91" s="558" t="s">
        <v>85</v>
      </c>
      <c r="D91" s="559" t="str">
        <f>+D9</f>
        <v>TP2009092</v>
      </c>
      <c r="E91" s="560"/>
      <c r="F91" s="560"/>
      <c r="G91" s="560"/>
      <c r="H91" s="560"/>
      <c r="I91" s="560"/>
      <c r="J91" s="560"/>
      <c r="K91" s="562"/>
      <c r="P91" s="481"/>
    </row>
    <row r="92" spans="1:16">
      <c r="C92" s="486" t="s">
        <v>51</v>
      </c>
      <c r="D92" s="628">
        <f>D10</f>
        <v>4316668</v>
      </c>
      <c r="E92" s="340" t="s">
        <v>86</v>
      </c>
      <c r="H92" s="484"/>
      <c r="I92" s="484"/>
      <c r="J92" s="485">
        <f>+'SWE.WS.G.BPU.ATRR.True-up'!M16</f>
        <v>2022</v>
      </c>
      <c r="K92" s="480"/>
      <c r="L92" s="375" t="s">
        <v>87</v>
      </c>
      <c r="P92" s="272"/>
    </row>
    <row r="93" spans="1:16">
      <c r="C93" s="486" t="s">
        <v>54</v>
      </c>
      <c r="D93" s="563">
        <f>IF(D11=I10,"",D11)</f>
        <v>2013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</row>
    <row r="94" spans="1:16">
      <c r="C94" s="486" t="s">
        <v>56</v>
      </c>
      <c r="D94" s="564">
        <f>IF(D11=I10,"",D12)</f>
        <v>2</v>
      </c>
      <c r="E94" s="486" t="s">
        <v>57</v>
      </c>
      <c r="F94" s="484"/>
      <c r="G94" s="484"/>
      <c r="J94" s="490">
        <f>'SWE.WS.G.BPU.ATRR.True-up'!$F$81</f>
        <v>0.11351422637179906</v>
      </c>
      <c r="K94" s="425"/>
      <c r="L94" s="183" t="s">
        <v>88</v>
      </c>
      <c r="P94" s="272"/>
    </row>
    <row r="95" spans="1:16">
      <c r="C95" s="486" t="s">
        <v>59</v>
      </c>
      <c r="D95" s="488">
        <f>'SWE.WS.G.BPU.ATRR.True-up'!F$93</f>
        <v>41</v>
      </c>
      <c r="E95" s="486" t="s">
        <v>60</v>
      </c>
      <c r="F95" s="484"/>
      <c r="G95" s="484"/>
      <c r="J95" s="490">
        <f>IF(H87="",J94,'SWE.WS.G.BPU.ATRR.True-up'!$F$80)</f>
        <v>0.11351422637179906</v>
      </c>
      <c r="K95" s="324"/>
      <c r="L95" s="375" t="s">
        <v>61</v>
      </c>
      <c r="M95" s="324"/>
      <c r="N95" s="324"/>
      <c r="O95" s="324"/>
      <c r="P95" s="272"/>
    </row>
    <row r="96" spans="1:16" ht="13.5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105284.58536585367</v>
      </c>
      <c r="K96" s="375"/>
      <c r="L96" s="375"/>
      <c r="M96" s="375"/>
      <c r="N96" s="375"/>
      <c r="O96" s="375"/>
      <c r="P96" s="272"/>
    </row>
    <row r="97" spans="1:16" ht="38.25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388</v>
      </c>
      <c r="I97" s="495" t="s">
        <v>389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</row>
    <row r="98" spans="1:16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602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</row>
    <row r="99" spans="1:16">
      <c r="C99" s="507">
        <f>IF(D93= "","-",D93)</f>
        <v>2013</v>
      </c>
      <c r="D99" s="629">
        <v>0</v>
      </c>
      <c r="E99" s="630">
        <v>85637.440476190473</v>
      </c>
      <c r="F99" s="631">
        <v>4230489.5595238097</v>
      </c>
      <c r="G99" s="632">
        <v>2115244.7797619049</v>
      </c>
      <c r="H99" s="633">
        <v>371812.50753135112</v>
      </c>
      <c r="I99" s="634">
        <v>371812.50753135112</v>
      </c>
      <c r="J99" s="613">
        <v>0</v>
      </c>
      <c r="K99" s="514"/>
      <c r="L99" s="518">
        <f t="shared" ref="L99:L104" si="33">H99</f>
        <v>371812.50753135112</v>
      </c>
      <c r="M99" s="519">
        <f t="shared" ref="M99:M104" si="34">IF(L99&lt;&gt;0,+H99-L99,0)</f>
        <v>0</v>
      </c>
      <c r="N99" s="518">
        <f t="shared" ref="N99:N104" si="35">I99</f>
        <v>371812.50753135112</v>
      </c>
      <c r="O99" s="514">
        <f>IF(N99&lt;&gt;0,+I99-N99,0)</f>
        <v>0</v>
      </c>
      <c r="P99" s="514">
        <f>+O99-M99</f>
        <v>0</v>
      </c>
    </row>
    <row r="100" spans="1:16">
      <c r="B100" s="195" t="str">
        <f>IF(D100=F99,"","IU")</f>
        <v/>
      </c>
      <c r="C100" s="507">
        <f>IF(D93="","-",+C99+1)</f>
        <v>2014</v>
      </c>
      <c r="D100" s="629">
        <v>4230489.5595238097</v>
      </c>
      <c r="E100" s="630">
        <v>102777.80952380953</v>
      </c>
      <c r="F100" s="631">
        <v>4127711.75</v>
      </c>
      <c r="G100" s="631">
        <v>4179100.6547619049</v>
      </c>
      <c r="H100" s="633">
        <v>670815.62922303798</v>
      </c>
      <c r="I100" s="634">
        <v>670815.62922303798</v>
      </c>
      <c r="J100" s="514">
        <f>+I100-H100</f>
        <v>0</v>
      </c>
      <c r="K100" s="514"/>
      <c r="L100" s="518">
        <f t="shared" si="33"/>
        <v>670815.62922303798</v>
      </c>
      <c r="M100" s="519">
        <f t="shared" si="34"/>
        <v>0</v>
      </c>
      <c r="N100" s="518">
        <f t="shared" si="35"/>
        <v>670815.62922303798</v>
      </c>
      <c r="O100" s="514">
        <f>IF(N100&lt;&gt;0,+I100-N100,0)</f>
        <v>0</v>
      </c>
      <c r="P100" s="514">
        <f>+O100-M100</f>
        <v>0</v>
      </c>
    </row>
    <row r="101" spans="1:16">
      <c r="B101" s="195" t="str">
        <f t="shared" ref="B101:B154" si="36">IF(D101=F100,"","IU")</f>
        <v>IU</v>
      </c>
      <c r="C101" s="507">
        <f>IF(D93="","-",+C100+1)</f>
        <v>2015</v>
      </c>
      <c r="D101" s="629">
        <v>4128252.75</v>
      </c>
      <c r="E101" s="630">
        <v>102777.80952380953</v>
      </c>
      <c r="F101" s="631">
        <v>4025474.9404761903</v>
      </c>
      <c r="G101" s="631">
        <v>4076863.8452380951</v>
      </c>
      <c r="H101" s="633">
        <v>639981.58365995577</v>
      </c>
      <c r="I101" s="634">
        <v>639981.58365995577</v>
      </c>
      <c r="J101" s="514">
        <f>+I101-H101</f>
        <v>0</v>
      </c>
      <c r="K101" s="514"/>
      <c r="L101" s="518">
        <f t="shared" si="33"/>
        <v>639981.58365995577</v>
      </c>
      <c r="M101" s="519">
        <f t="shared" si="34"/>
        <v>0</v>
      </c>
      <c r="N101" s="518">
        <f t="shared" si="35"/>
        <v>639981.58365995577</v>
      </c>
      <c r="O101" s="514">
        <f>IF(N101&lt;&gt;0,+I101-N101,0)</f>
        <v>0</v>
      </c>
      <c r="P101" s="514">
        <f>+O101-M101</f>
        <v>0</v>
      </c>
    </row>
    <row r="102" spans="1:16">
      <c r="B102" s="195" t="str">
        <f t="shared" si="36"/>
        <v/>
      </c>
      <c r="C102" s="507">
        <f>IF(D93="","-",+C101+1)</f>
        <v>2016</v>
      </c>
      <c r="D102" s="629">
        <v>4025474.9404761903</v>
      </c>
      <c r="E102" s="630">
        <v>100387.62790697675</v>
      </c>
      <c r="F102" s="631">
        <v>3925087.3125692136</v>
      </c>
      <c r="G102" s="631">
        <v>3975281.1265227022</v>
      </c>
      <c r="H102" s="633">
        <v>605049.52036198007</v>
      </c>
      <c r="I102" s="634">
        <v>605049.52036198007</v>
      </c>
      <c r="J102" s="514">
        <f t="shared" ref="J102:J154" si="37">+I102-H102</f>
        <v>0</v>
      </c>
      <c r="K102" s="514"/>
      <c r="L102" s="518">
        <f t="shared" si="33"/>
        <v>605049.52036198007</v>
      </c>
      <c r="M102" s="519">
        <f t="shared" si="34"/>
        <v>0</v>
      </c>
      <c r="N102" s="518">
        <f t="shared" si="35"/>
        <v>605049.52036198007</v>
      </c>
      <c r="O102" s="514">
        <f>IF(N102&lt;&gt;0,+I102-N102,0)</f>
        <v>0</v>
      </c>
      <c r="P102" s="514">
        <f>+O102-M102</f>
        <v>0</v>
      </c>
    </row>
    <row r="103" spans="1:16">
      <c r="B103" s="195" t="str">
        <f t="shared" si="36"/>
        <v/>
      </c>
      <c r="C103" s="507">
        <f>IF(D93="","-",+C102+1)</f>
        <v>2017</v>
      </c>
      <c r="D103" s="629">
        <v>3925087.3125692136</v>
      </c>
      <c r="E103" s="630">
        <v>102777.80952380953</v>
      </c>
      <c r="F103" s="631">
        <v>3822309.5030454039</v>
      </c>
      <c r="G103" s="631">
        <v>3873698.4078073087</v>
      </c>
      <c r="H103" s="633">
        <v>573321.60174828372</v>
      </c>
      <c r="I103" s="634">
        <v>573321.60174828372</v>
      </c>
      <c r="J103" s="514">
        <f t="shared" si="37"/>
        <v>0</v>
      </c>
      <c r="K103" s="514"/>
      <c r="L103" s="518">
        <f t="shared" si="33"/>
        <v>573321.60174828372</v>
      </c>
      <c r="M103" s="519">
        <f t="shared" si="34"/>
        <v>0</v>
      </c>
      <c r="N103" s="518">
        <f t="shared" si="35"/>
        <v>573321.60174828372</v>
      </c>
      <c r="O103" s="514">
        <f>IF(N103&lt;&gt;0,+I103-N103,0)</f>
        <v>0</v>
      </c>
      <c r="P103" s="514">
        <f>+O103-M103</f>
        <v>0</v>
      </c>
    </row>
    <row r="104" spans="1:16">
      <c r="B104" s="195" t="str">
        <f t="shared" si="36"/>
        <v/>
      </c>
      <c r="C104" s="507">
        <f>IF(D93="","-",+C103+1)</f>
        <v>2018</v>
      </c>
      <c r="D104" s="629">
        <v>3822309.5030454039</v>
      </c>
      <c r="E104" s="630">
        <v>102777.80952380953</v>
      </c>
      <c r="F104" s="631">
        <v>3719531.6935215942</v>
      </c>
      <c r="G104" s="631">
        <v>3770920.598283499</v>
      </c>
      <c r="H104" s="633">
        <v>501004.31746485061</v>
      </c>
      <c r="I104" s="634">
        <v>501004.31746485061</v>
      </c>
      <c r="J104" s="514">
        <f t="shared" si="37"/>
        <v>0</v>
      </c>
      <c r="K104" s="514"/>
      <c r="L104" s="518">
        <f t="shared" si="33"/>
        <v>501004.31746485061</v>
      </c>
      <c r="M104" s="519">
        <f t="shared" si="34"/>
        <v>0</v>
      </c>
      <c r="N104" s="518">
        <f t="shared" si="35"/>
        <v>501004.31746485061</v>
      </c>
      <c r="O104" s="514">
        <f t="shared" ref="O104:O130" si="38">IF(N104&lt;&gt;0,+I104-N104,0)</f>
        <v>0</v>
      </c>
      <c r="P104" s="514">
        <f t="shared" ref="P104:P130" si="39">+O104-M104</f>
        <v>0</v>
      </c>
    </row>
    <row r="105" spans="1:16">
      <c r="B105" s="195" t="str">
        <f t="shared" si="36"/>
        <v/>
      </c>
      <c r="C105" s="507">
        <f>IF(D93="","-",+C104+1)</f>
        <v>2019</v>
      </c>
      <c r="D105" s="629">
        <v>3719531.6935215942</v>
      </c>
      <c r="E105" s="630">
        <v>100387.62790697675</v>
      </c>
      <c r="F105" s="631">
        <v>3619144.0656146174</v>
      </c>
      <c r="G105" s="631">
        <v>3669337.8795681056</v>
      </c>
      <c r="H105" s="633">
        <v>493155.55998343643</v>
      </c>
      <c r="I105" s="634">
        <v>493155.55998343643</v>
      </c>
      <c r="J105" s="514">
        <f t="shared" si="37"/>
        <v>0</v>
      </c>
      <c r="K105" s="514"/>
      <c r="L105" s="518">
        <f t="shared" ref="L105:L106" si="40">H105</f>
        <v>493155.55998343643</v>
      </c>
      <c r="M105" s="519">
        <f t="shared" ref="M105:M106" si="41">IF(L105&lt;&gt;0,+H105-L105,0)</f>
        <v>0</v>
      </c>
      <c r="N105" s="518">
        <f t="shared" ref="N105:N106" si="42">I105</f>
        <v>493155.55998343643</v>
      </c>
      <c r="O105" s="514">
        <f t="shared" si="38"/>
        <v>0</v>
      </c>
      <c r="P105" s="514">
        <f t="shared" si="39"/>
        <v>0</v>
      </c>
    </row>
    <row r="106" spans="1:16">
      <c r="B106" s="195" t="str">
        <f t="shared" si="36"/>
        <v/>
      </c>
      <c r="C106" s="507">
        <f>IF(D93="","-",+C105+1)</f>
        <v>2020</v>
      </c>
      <c r="D106" s="629">
        <v>3619144.0656146174</v>
      </c>
      <c r="E106" s="630">
        <v>102777.80952380953</v>
      </c>
      <c r="F106" s="631">
        <v>3516366.2560908077</v>
      </c>
      <c r="G106" s="631">
        <v>3567755.1608527126</v>
      </c>
      <c r="H106" s="633">
        <v>486574.90560102114</v>
      </c>
      <c r="I106" s="634">
        <v>486574.90560102114</v>
      </c>
      <c r="J106" s="514">
        <f t="shared" si="37"/>
        <v>0</v>
      </c>
      <c r="K106" s="514"/>
      <c r="L106" s="518">
        <f t="shared" si="40"/>
        <v>486574.90560102114</v>
      </c>
      <c r="M106" s="519">
        <f t="shared" si="41"/>
        <v>0</v>
      </c>
      <c r="N106" s="518">
        <f t="shared" si="42"/>
        <v>486574.90560102114</v>
      </c>
      <c r="O106" s="514">
        <f t="shared" si="38"/>
        <v>0</v>
      </c>
      <c r="P106" s="514">
        <f t="shared" si="39"/>
        <v>0</v>
      </c>
    </row>
    <row r="107" spans="1:16">
      <c r="B107" s="195" t="str">
        <f t="shared" si="36"/>
        <v/>
      </c>
      <c r="C107" s="507">
        <f>IF(D93="","-",+C106+1)</f>
        <v>2021</v>
      </c>
      <c r="D107" s="629">
        <v>3516366.2560908077</v>
      </c>
      <c r="E107" s="630">
        <v>105284.58536585367</v>
      </c>
      <c r="F107" s="631">
        <v>3411081.670724954</v>
      </c>
      <c r="G107" s="631">
        <v>3463723.9634078806</v>
      </c>
      <c r="H107" s="633">
        <v>498466.53143756086</v>
      </c>
      <c r="I107" s="634">
        <v>498466.53143756086</v>
      </c>
      <c r="J107" s="514">
        <f t="shared" si="37"/>
        <v>0</v>
      </c>
      <c r="K107" s="514"/>
      <c r="L107" s="518">
        <f t="shared" ref="L107" si="43">H107</f>
        <v>498466.53143756086</v>
      </c>
      <c r="M107" s="519">
        <f t="shared" ref="M107" si="44">IF(L107&lt;&gt;0,+H107-L107,0)</f>
        <v>0</v>
      </c>
      <c r="N107" s="518">
        <f t="shared" ref="N107" si="45">I107</f>
        <v>498466.53143756086</v>
      </c>
      <c r="O107" s="514">
        <f t="shared" ref="O107" si="46">IF(N107&lt;&gt;0,+I107-N107,0)</f>
        <v>0</v>
      </c>
      <c r="P107" s="514">
        <f t="shared" ref="P107" si="47">+O107-M107</f>
        <v>0</v>
      </c>
    </row>
    <row r="108" spans="1:16">
      <c r="B108" s="195" t="str">
        <f t="shared" si="36"/>
        <v/>
      </c>
      <c r="C108" s="673">
        <f>IF(D93="","-",+C107+1)</f>
        <v>2022</v>
      </c>
      <c r="D108" s="374">
        <v>3411081.670724954</v>
      </c>
      <c r="E108" s="522">
        <v>102777.80952380953</v>
      </c>
      <c r="F108" s="523">
        <v>3308303.8612011443</v>
      </c>
      <c r="G108" s="523">
        <v>3359692.7659630491</v>
      </c>
      <c r="H108" s="526">
        <v>497400.0750990212</v>
      </c>
      <c r="I108" s="577">
        <v>497400.0750990212</v>
      </c>
      <c r="J108" s="514">
        <f t="shared" si="37"/>
        <v>0</v>
      </c>
      <c r="K108" s="514"/>
      <c r="L108" s="525"/>
      <c r="M108" s="514">
        <f t="shared" ref="M108:M130" si="48">IF(L108&lt;&gt;0,+H108-L108,0)</f>
        <v>0</v>
      </c>
      <c r="N108" s="525"/>
      <c r="O108" s="514">
        <f t="shared" si="38"/>
        <v>0</v>
      </c>
      <c r="P108" s="514">
        <f t="shared" si="39"/>
        <v>0</v>
      </c>
    </row>
    <row r="109" spans="1:16">
      <c r="B109" s="195" t="str">
        <f t="shared" si="36"/>
        <v/>
      </c>
      <c r="C109" s="507">
        <f>IF(D93="","-",+C108+1)</f>
        <v>2023</v>
      </c>
      <c r="D109" s="374">
        <f>IF(F108+SUM(E$99:E108)=D$92,F108,D$92-SUM(E$99:E108))</f>
        <v>3308303.8612011443</v>
      </c>
      <c r="E109" s="522">
        <f t="shared" ref="E109:E154" si="49">IF(+$J$96&lt;F108,$J$96,D109)</f>
        <v>105284.58536585367</v>
      </c>
      <c r="F109" s="523">
        <f t="shared" ref="F109:F154" si="50">+D109-E109</f>
        <v>3203019.2758352906</v>
      </c>
      <c r="G109" s="523">
        <f t="shared" ref="G109:G154" si="51">+(F109+D109)/2</f>
        <v>3255661.5685182177</v>
      </c>
      <c r="H109" s="526">
        <f t="shared" ref="H109:H154" si="52">+J$94*G109+E109</f>
        <v>474848.48964459705</v>
      </c>
      <c r="I109" s="577">
        <f t="shared" ref="I109:I154" si="53">+J$95*G109+E109</f>
        <v>474848.48964459705</v>
      </c>
      <c r="J109" s="514">
        <f t="shared" si="37"/>
        <v>0</v>
      </c>
      <c r="K109" s="514"/>
      <c r="L109" s="525"/>
      <c r="M109" s="514">
        <f t="shared" si="48"/>
        <v>0</v>
      </c>
      <c r="N109" s="525"/>
      <c r="O109" s="514">
        <f t="shared" si="38"/>
        <v>0</v>
      </c>
      <c r="P109" s="514">
        <f t="shared" si="39"/>
        <v>0</v>
      </c>
    </row>
    <row r="110" spans="1:16">
      <c r="B110" s="195" t="str">
        <f t="shared" si="36"/>
        <v/>
      </c>
      <c r="C110" s="507">
        <f>IF(D93="","-",+C109+1)</f>
        <v>2024</v>
      </c>
      <c r="D110" s="374">
        <f>IF(F109+SUM(E$99:E109)=D$92,F109,D$92-SUM(E$99:E109))</f>
        <v>3203019.2758352906</v>
      </c>
      <c r="E110" s="522">
        <f t="shared" si="49"/>
        <v>105284.58536585367</v>
      </c>
      <c r="F110" s="523">
        <f t="shared" si="50"/>
        <v>3097734.6904694368</v>
      </c>
      <c r="G110" s="523">
        <f t="shared" si="51"/>
        <v>3150376.9831523634</v>
      </c>
      <c r="H110" s="526">
        <f t="shared" si="52"/>
        <v>462897.19138791645</v>
      </c>
      <c r="I110" s="577">
        <f t="shared" si="53"/>
        <v>462897.19138791645</v>
      </c>
      <c r="J110" s="514">
        <f t="shared" si="37"/>
        <v>0</v>
      </c>
      <c r="K110" s="514"/>
      <c r="L110" s="525"/>
      <c r="M110" s="514">
        <f t="shared" si="48"/>
        <v>0</v>
      </c>
      <c r="N110" s="525"/>
      <c r="O110" s="514">
        <f t="shared" si="38"/>
        <v>0</v>
      </c>
      <c r="P110" s="514">
        <f t="shared" si="39"/>
        <v>0</v>
      </c>
    </row>
    <row r="111" spans="1:16">
      <c r="B111" s="195" t="str">
        <f t="shared" si="36"/>
        <v/>
      </c>
      <c r="C111" s="507">
        <f>IF(D93="","-",+C110+1)</f>
        <v>2025</v>
      </c>
      <c r="D111" s="374">
        <f>IF(F110+SUM(E$99:E110)=D$92,F110,D$92-SUM(E$99:E110))</f>
        <v>3097734.6904694368</v>
      </c>
      <c r="E111" s="522">
        <f t="shared" si="49"/>
        <v>105284.58536585367</v>
      </c>
      <c r="F111" s="523">
        <f t="shared" si="50"/>
        <v>2992450.1051035831</v>
      </c>
      <c r="G111" s="523">
        <f t="shared" si="51"/>
        <v>3045092.3977865102</v>
      </c>
      <c r="H111" s="526">
        <f t="shared" si="52"/>
        <v>450945.89313123596</v>
      </c>
      <c r="I111" s="577">
        <f t="shared" si="53"/>
        <v>450945.89313123596</v>
      </c>
      <c r="J111" s="514">
        <f t="shared" si="37"/>
        <v>0</v>
      </c>
      <c r="K111" s="514"/>
      <c r="L111" s="525"/>
      <c r="M111" s="514">
        <f t="shared" si="48"/>
        <v>0</v>
      </c>
      <c r="N111" s="525"/>
      <c r="O111" s="514">
        <f t="shared" si="38"/>
        <v>0</v>
      </c>
      <c r="P111" s="514">
        <f t="shared" si="39"/>
        <v>0</v>
      </c>
    </row>
    <row r="112" spans="1:16">
      <c r="B112" s="195" t="str">
        <f t="shared" si="36"/>
        <v/>
      </c>
      <c r="C112" s="507">
        <f>IF(D93="","-",+C111+1)</f>
        <v>2026</v>
      </c>
      <c r="D112" s="374">
        <f>IF(F111+SUM(E$99:E111)=D$92,F111,D$92-SUM(E$99:E111))</f>
        <v>2992450.1051035831</v>
      </c>
      <c r="E112" s="522">
        <f t="shared" si="49"/>
        <v>105284.58536585367</v>
      </c>
      <c r="F112" s="523">
        <f t="shared" si="50"/>
        <v>2887165.5197377293</v>
      </c>
      <c r="G112" s="523">
        <f t="shared" si="51"/>
        <v>2939807.812420656</v>
      </c>
      <c r="H112" s="526">
        <f t="shared" si="52"/>
        <v>438994.59487455542</v>
      </c>
      <c r="I112" s="577">
        <f t="shared" si="53"/>
        <v>438994.59487455542</v>
      </c>
      <c r="J112" s="514">
        <f t="shared" si="37"/>
        <v>0</v>
      </c>
      <c r="K112" s="514"/>
      <c r="L112" s="525"/>
      <c r="M112" s="514">
        <f t="shared" si="48"/>
        <v>0</v>
      </c>
      <c r="N112" s="525"/>
      <c r="O112" s="514">
        <f t="shared" si="38"/>
        <v>0</v>
      </c>
      <c r="P112" s="514">
        <f t="shared" si="39"/>
        <v>0</v>
      </c>
    </row>
    <row r="113" spans="2:16">
      <c r="B113" s="195" t="str">
        <f t="shared" si="36"/>
        <v/>
      </c>
      <c r="C113" s="507">
        <f>IF(D93="","-",+C112+1)</f>
        <v>2027</v>
      </c>
      <c r="D113" s="374">
        <f>IF(F112+SUM(E$99:E112)=D$92,F112,D$92-SUM(E$99:E112))</f>
        <v>2887165.5197377293</v>
      </c>
      <c r="E113" s="522">
        <f t="shared" si="49"/>
        <v>105284.58536585367</v>
      </c>
      <c r="F113" s="523">
        <f t="shared" si="50"/>
        <v>2781880.9343718756</v>
      </c>
      <c r="G113" s="523">
        <f t="shared" si="51"/>
        <v>2834523.2270548027</v>
      </c>
      <c r="H113" s="526">
        <f t="shared" si="52"/>
        <v>427043.29661787493</v>
      </c>
      <c r="I113" s="577">
        <f t="shared" si="53"/>
        <v>427043.29661787493</v>
      </c>
      <c r="J113" s="514">
        <f t="shared" si="37"/>
        <v>0</v>
      </c>
      <c r="K113" s="514"/>
      <c r="L113" s="525"/>
      <c r="M113" s="514">
        <f t="shared" si="48"/>
        <v>0</v>
      </c>
      <c r="N113" s="525"/>
      <c r="O113" s="514">
        <f t="shared" si="38"/>
        <v>0</v>
      </c>
      <c r="P113" s="514">
        <f t="shared" si="39"/>
        <v>0</v>
      </c>
    </row>
    <row r="114" spans="2:16">
      <c r="B114" s="195" t="str">
        <f t="shared" si="36"/>
        <v/>
      </c>
      <c r="C114" s="507">
        <f>IF(D93="","-",+C113+1)</f>
        <v>2028</v>
      </c>
      <c r="D114" s="374">
        <f>IF(F113+SUM(E$99:E113)=D$92,F113,D$92-SUM(E$99:E113))</f>
        <v>2781880.9343718756</v>
      </c>
      <c r="E114" s="522">
        <f t="shared" si="49"/>
        <v>105284.58536585367</v>
      </c>
      <c r="F114" s="523">
        <f t="shared" si="50"/>
        <v>2676596.3490060219</v>
      </c>
      <c r="G114" s="523">
        <f t="shared" si="51"/>
        <v>2729238.6416889485</v>
      </c>
      <c r="H114" s="526">
        <f t="shared" si="52"/>
        <v>415091.99836119439</v>
      </c>
      <c r="I114" s="577">
        <f t="shared" si="53"/>
        <v>415091.99836119439</v>
      </c>
      <c r="J114" s="514">
        <f t="shared" si="37"/>
        <v>0</v>
      </c>
      <c r="K114" s="514"/>
      <c r="L114" s="525"/>
      <c r="M114" s="514">
        <f t="shared" si="48"/>
        <v>0</v>
      </c>
      <c r="N114" s="525"/>
      <c r="O114" s="514">
        <f t="shared" si="38"/>
        <v>0</v>
      </c>
      <c r="P114" s="514">
        <f t="shared" si="39"/>
        <v>0</v>
      </c>
    </row>
    <row r="115" spans="2:16">
      <c r="B115" s="195" t="str">
        <f t="shared" si="36"/>
        <v/>
      </c>
      <c r="C115" s="507">
        <f>IF(D93="","-",+C114+1)</f>
        <v>2029</v>
      </c>
      <c r="D115" s="374">
        <f>IF(F114+SUM(E$99:E114)=D$92,F114,D$92-SUM(E$99:E114))</f>
        <v>2676596.3490060219</v>
      </c>
      <c r="E115" s="522">
        <f t="shared" si="49"/>
        <v>105284.58536585367</v>
      </c>
      <c r="F115" s="523">
        <f t="shared" si="50"/>
        <v>2571311.7636401681</v>
      </c>
      <c r="G115" s="523">
        <f t="shared" si="51"/>
        <v>2623954.0563230952</v>
      </c>
      <c r="H115" s="526">
        <f t="shared" si="52"/>
        <v>403140.7001045139</v>
      </c>
      <c r="I115" s="577">
        <f t="shared" si="53"/>
        <v>403140.7001045139</v>
      </c>
      <c r="J115" s="514">
        <f t="shared" si="37"/>
        <v>0</v>
      </c>
      <c r="K115" s="514"/>
      <c r="L115" s="525"/>
      <c r="M115" s="514">
        <f t="shared" si="48"/>
        <v>0</v>
      </c>
      <c r="N115" s="525"/>
      <c r="O115" s="514">
        <f t="shared" si="38"/>
        <v>0</v>
      </c>
      <c r="P115" s="514">
        <f t="shared" si="39"/>
        <v>0</v>
      </c>
    </row>
    <row r="116" spans="2:16">
      <c r="B116" s="195" t="str">
        <f t="shared" si="36"/>
        <v/>
      </c>
      <c r="C116" s="507">
        <f>IF(D93="","-",+C115+1)</f>
        <v>2030</v>
      </c>
      <c r="D116" s="374">
        <f>IF(F115+SUM(E$99:E115)=D$92,F115,D$92-SUM(E$99:E115))</f>
        <v>2571311.7636401681</v>
      </c>
      <c r="E116" s="522">
        <f t="shared" si="49"/>
        <v>105284.58536585367</v>
      </c>
      <c r="F116" s="523">
        <f t="shared" si="50"/>
        <v>2466027.1782743144</v>
      </c>
      <c r="G116" s="523">
        <f t="shared" si="51"/>
        <v>2518669.470957241</v>
      </c>
      <c r="H116" s="526">
        <f t="shared" si="52"/>
        <v>391189.4018478333</v>
      </c>
      <c r="I116" s="577">
        <f t="shared" si="53"/>
        <v>391189.4018478333</v>
      </c>
      <c r="J116" s="514">
        <f t="shared" si="37"/>
        <v>0</v>
      </c>
      <c r="K116" s="514"/>
      <c r="L116" s="525"/>
      <c r="M116" s="514">
        <f t="shared" si="48"/>
        <v>0</v>
      </c>
      <c r="N116" s="525"/>
      <c r="O116" s="514">
        <f t="shared" si="38"/>
        <v>0</v>
      </c>
      <c r="P116" s="514">
        <f t="shared" si="39"/>
        <v>0</v>
      </c>
    </row>
    <row r="117" spans="2:16">
      <c r="B117" s="195" t="str">
        <f t="shared" si="36"/>
        <v/>
      </c>
      <c r="C117" s="507">
        <f>IF(D93="","-",+C116+1)</f>
        <v>2031</v>
      </c>
      <c r="D117" s="374">
        <f>IF(F116+SUM(E$99:E116)=D$92,F116,D$92-SUM(E$99:E116))</f>
        <v>2466027.1782743144</v>
      </c>
      <c r="E117" s="522">
        <f t="shared" si="49"/>
        <v>105284.58536585367</v>
      </c>
      <c r="F117" s="523">
        <f t="shared" si="50"/>
        <v>2360742.5929084606</v>
      </c>
      <c r="G117" s="523">
        <f t="shared" si="51"/>
        <v>2413384.8855913877</v>
      </c>
      <c r="H117" s="526">
        <f t="shared" si="52"/>
        <v>379238.10359115282</v>
      </c>
      <c r="I117" s="577">
        <f t="shared" si="53"/>
        <v>379238.10359115282</v>
      </c>
      <c r="J117" s="514">
        <f t="shared" si="37"/>
        <v>0</v>
      </c>
      <c r="K117" s="514"/>
      <c r="L117" s="525"/>
      <c r="M117" s="514">
        <f t="shared" si="48"/>
        <v>0</v>
      </c>
      <c r="N117" s="525"/>
      <c r="O117" s="514">
        <f t="shared" si="38"/>
        <v>0</v>
      </c>
      <c r="P117" s="514">
        <f t="shared" si="39"/>
        <v>0</v>
      </c>
    </row>
    <row r="118" spans="2:16">
      <c r="B118" s="195" t="str">
        <f t="shared" si="36"/>
        <v/>
      </c>
      <c r="C118" s="507">
        <f>IF(D93="","-",+C117+1)</f>
        <v>2032</v>
      </c>
      <c r="D118" s="374">
        <f>IF(F117+SUM(E$99:E117)=D$92,F117,D$92-SUM(E$99:E117))</f>
        <v>2360742.5929084606</v>
      </c>
      <c r="E118" s="522">
        <f t="shared" si="49"/>
        <v>105284.58536585367</v>
      </c>
      <c r="F118" s="523">
        <f t="shared" si="50"/>
        <v>2255458.0075426069</v>
      </c>
      <c r="G118" s="523">
        <f t="shared" si="51"/>
        <v>2308100.3002255335</v>
      </c>
      <c r="H118" s="526">
        <f t="shared" si="52"/>
        <v>367286.80533447227</v>
      </c>
      <c r="I118" s="577">
        <f t="shared" si="53"/>
        <v>367286.80533447227</v>
      </c>
      <c r="J118" s="514">
        <f t="shared" si="37"/>
        <v>0</v>
      </c>
      <c r="K118" s="514"/>
      <c r="L118" s="525"/>
      <c r="M118" s="514">
        <f t="shared" si="48"/>
        <v>0</v>
      </c>
      <c r="N118" s="525"/>
      <c r="O118" s="514">
        <f t="shared" si="38"/>
        <v>0</v>
      </c>
      <c r="P118" s="514">
        <f t="shared" si="39"/>
        <v>0</v>
      </c>
    </row>
    <row r="119" spans="2:16">
      <c r="B119" s="195" t="str">
        <f t="shared" si="36"/>
        <v/>
      </c>
      <c r="C119" s="507">
        <f>IF(D93="","-",+C118+1)</f>
        <v>2033</v>
      </c>
      <c r="D119" s="374">
        <f>IF(F118+SUM(E$99:E118)=D$92,F118,D$92-SUM(E$99:E118))</f>
        <v>2255458.0075426069</v>
      </c>
      <c r="E119" s="522">
        <f t="shared" si="49"/>
        <v>105284.58536585367</v>
      </c>
      <c r="F119" s="523">
        <f t="shared" si="50"/>
        <v>2150173.4221767532</v>
      </c>
      <c r="G119" s="523">
        <f t="shared" si="51"/>
        <v>2202815.7148596803</v>
      </c>
      <c r="H119" s="526">
        <f t="shared" si="52"/>
        <v>355335.50707779179</v>
      </c>
      <c r="I119" s="577">
        <f t="shared" si="53"/>
        <v>355335.50707779179</v>
      </c>
      <c r="J119" s="514">
        <f t="shared" si="37"/>
        <v>0</v>
      </c>
      <c r="K119" s="514"/>
      <c r="L119" s="525"/>
      <c r="M119" s="514">
        <f t="shared" si="48"/>
        <v>0</v>
      </c>
      <c r="N119" s="525"/>
      <c r="O119" s="514">
        <f t="shared" si="38"/>
        <v>0</v>
      </c>
      <c r="P119" s="514">
        <f t="shared" si="39"/>
        <v>0</v>
      </c>
    </row>
    <row r="120" spans="2:16">
      <c r="B120" s="195" t="str">
        <f t="shared" si="36"/>
        <v/>
      </c>
      <c r="C120" s="507">
        <f>IF(D93="","-",+C119+1)</f>
        <v>2034</v>
      </c>
      <c r="D120" s="374">
        <f>IF(F119+SUM(E$99:E119)=D$92,F119,D$92-SUM(E$99:E119))</f>
        <v>2150173.4221767532</v>
      </c>
      <c r="E120" s="522">
        <f t="shared" si="49"/>
        <v>105284.58536585367</v>
      </c>
      <c r="F120" s="523">
        <f t="shared" si="50"/>
        <v>2044888.8368108994</v>
      </c>
      <c r="G120" s="523">
        <f t="shared" si="51"/>
        <v>2097531.1294938261</v>
      </c>
      <c r="H120" s="526">
        <f t="shared" si="52"/>
        <v>343384.20882111118</v>
      </c>
      <c r="I120" s="577">
        <f t="shared" si="53"/>
        <v>343384.20882111118</v>
      </c>
      <c r="J120" s="514">
        <f t="shared" si="37"/>
        <v>0</v>
      </c>
      <c r="K120" s="514"/>
      <c r="L120" s="525"/>
      <c r="M120" s="514">
        <f t="shared" si="48"/>
        <v>0</v>
      </c>
      <c r="N120" s="525"/>
      <c r="O120" s="514">
        <f t="shared" si="38"/>
        <v>0</v>
      </c>
      <c r="P120" s="514">
        <f t="shared" si="39"/>
        <v>0</v>
      </c>
    </row>
    <row r="121" spans="2:16">
      <c r="B121" s="195" t="str">
        <f t="shared" si="36"/>
        <v/>
      </c>
      <c r="C121" s="507">
        <f>IF(D93="","-",+C120+1)</f>
        <v>2035</v>
      </c>
      <c r="D121" s="374">
        <f>IF(F120+SUM(E$99:E120)=D$92,F120,D$92-SUM(E$99:E120))</f>
        <v>2044888.8368108994</v>
      </c>
      <c r="E121" s="522">
        <f t="shared" si="49"/>
        <v>105284.58536585367</v>
      </c>
      <c r="F121" s="523">
        <f t="shared" si="50"/>
        <v>1939604.2514450457</v>
      </c>
      <c r="G121" s="523">
        <f t="shared" si="51"/>
        <v>1992246.5441279726</v>
      </c>
      <c r="H121" s="526">
        <f t="shared" si="52"/>
        <v>331432.9105644307</v>
      </c>
      <c r="I121" s="577">
        <f t="shared" si="53"/>
        <v>331432.9105644307</v>
      </c>
      <c r="J121" s="514">
        <f t="shared" si="37"/>
        <v>0</v>
      </c>
      <c r="K121" s="514"/>
      <c r="L121" s="525"/>
      <c r="M121" s="514">
        <f t="shared" si="48"/>
        <v>0</v>
      </c>
      <c r="N121" s="525"/>
      <c r="O121" s="514">
        <f t="shared" si="38"/>
        <v>0</v>
      </c>
      <c r="P121" s="514">
        <f t="shared" si="39"/>
        <v>0</v>
      </c>
    </row>
    <row r="122" spans="2:16">
      <c r="B122" s="195" t="str">
        <f t="shared" si="36"/>
        <v/>
      </c>
      <c r="C122" s="507">
        <f>IF(D93="","-",+C121+1)</f>
        <v>2036</v>
      </c>
      <c r="D122" s="374">
        <f>IF(F121+SUM(E$99:E121)=D$92,F121,D$92-SUM(E$99:E121))</f>
        <v>1939604.2514450457</v>
      </c>
      <c r="E122" s="522">
        <f t="shared" si="49"/>
        <v>105284.58536585367</v>
      </c>
      <c r="F122" s="523">
        <f t="shared" si="50"/>
        <v>1834319.666079192</v>
      </c>
      <c r="G122" s="523">
        <f t="shared" si="51"/>
        <v>1886961.9587621188</v>
      </c>
      <c r="H122" s="526">
        <f t="shared" si="52"/>
        <v>319481.61230775021</v>
      </c>
      <c r="I122" s="577">
        <f t="shared" si="53"/>
        <v>319481.61230775021</v>
      </c>
      <c r="J122" s="514">
        <f t="shared" si="37"/>
        <v>0</v>
      </c>
      <c r="K122" s="514"/>
      <c r="L122" s="525"/>
      <c r="M122" s="514">
        <f t="shared" si="48"/>
        <v>0</v>
      </c>
      <c r="N122" s="525"/>
      <c r="O122" s="514">
        <f t="shared" si="38"/>
        <v>0</v>
      </c>
      <c r="P122" s="514">
        <f t="shared" si="39"/>
        <v>0</v>
      </c>
    </row>
    <row r="123" spans="2:16">
      <c r="B123" s="195" t="str">
        <f t="shared" si="36"/>
        <v/>
      </c>
      <c r="C123" s="507">
        <f>IF(D93="","-",+C122+1)</f>
        <v>2037</v>
      </c>
      <c r="D123" s="374">
        <f>IF(F122+SUM(E$99:E122)=D$92,F122,D$92-SUM(E$99:E122))</f>
        <v>1834319.666079192</v>
      </c>
      <c r="E123" s="522">
        <f t="shared" si="49"/>
        <v>105284.58536585367</v>
      </c>
      <c r="F123" s="523">
        <f t="shared" si="50"/>
        <v>1729035.0807133382</v>
      </c>
      <c r="G123" s="523">
        <f t="shared" si="51"/>
        <v>1781677.3733962651</v>
      </c>
      <c r="H123" s="526">
        <f t="shared" si="52"/>
        <v>307530.31405106967</v>
      </c>
      <c r="I123" s="577">
        <f t="shared" si="53"/>
        <v>307530.31405106967</v>
      </c>
      <c r="J123" s="514">
        <f t="shared" si="37"/>
        <v>0</v>
      </c>
      <c r="K123" s="514"/>
      <c r="L123" s="525"/>
      <c r="M123" s="514">
        <f t="shared" si="48"/>
        <v>0</v>
      </c>
      <c r="N123" s="525"/>
      <c r="O123" s="514">
        <f t="shared" si="38"/>
        <v>0</v>
      </c>
      <c r="P123" s="514">
        <f t="shared" si="39"/>
        <v>0</v>
      </c>
    </row>
    <row r="124" spans="2:16">
      <c r="B124" s="195" t="str">
        <f t="shared" si="36"/>
        <v/>
      </c>
      <c r="C124" s="507">
        <f>IF(D93="","-",+C123+1)</f>
        <v>2038</v>
      </c>
      <c r="D124" s="374">
        <f>IF(F123+SUM(E$99:E123)=D$92,F123,D$92-SUM(E$99:E123))</f>
        <v>1729035.0807133382</v>
      </c>
      <c r="E124" s="522">
        <f t="shared" si="49"/>
        <v>105284.58536585367</v>
      </c>
      <c r="F124" s="523">
        <f t="shared" si="50"/>
        <v>1623750.4953474845</v>
      </c>
      <c r="G124" s="523">
        <f t="shared" si="51"/>
        <v>1676392.7880304113</v>
      </c>
      <c r="H124" s="526">
        <f t="shared" si="52"/>
        <v>295579.01579438912</v>
      </c>
      <c r="I124" s="577">
        <f t="shared" si="53"/>
        <v>295579.01579438912</v>
      </c>
      <c r="J124" s="514">
        <f t="shared" si="37"/>
        <v>0</v>
      </c>
      <c r="K124" s="514"/>
      <c r="L124" s="525"/>
      <c r="M124" s="514">
        <f t="shared" si="48"/>
        <v>0</v>
      </c>
      <c r="N124" s="525"/>
      <c r="O124" s="514">
        <f t="shared" si="38"/>
        <v>0</v>
      </c>
      <c r="P124" s="514">
        <f t="shared" si="39"/>
        <v>0</v>
      </c>
    </row>
    <row r="125" spans="2:16">
      <c r="B125" s="195" t="str">
        <f t="shared" si="36"/>
        <v/>
      </c>
      <c r="C125" s="507">
        <f>IF(D93="","-",+C124+1)</f>
        <v>2039</v>
      </c>
      <c r="D125" s="374">
        <f>IF(F124+SUM(E$99:E124)=D$92,F124,D$92-SUM(E$99:E124))</f>
        <v>1623750.4953474845</v>
      </c>
      <c r="E125" s="522">
        <f t="shared" si="49"/>
        <v>105284.58536585367</v>
      </c>
      <c r="F125" s="523">
        <f t="shared" si="50"/>
        <v>1518465.9099816307</v>
      </c>
      <c r="G125" s="523">
        <f t="shared" si="51"/>
        <v>1571108.2026645576</v>
      </c>
      <c r="H125" s="526">
        <f t="shared" si="52"/>
        <v>283627.71753770864</v>
      </c>
      <c r="I125" s="577">
        <f t="shared" si="53"/>
        <v>283627.71753770864</v>
      </c>
      <c r="J125" s="514">
        <f t="shared" si="37"/>
        <v>0</v>
      </c>
      <c r="K125" s="514"/>
      <c r="L125" s="525"/>
      <c r="M125" s="514">
        <f t="shared" si="48"/>
        <v>0</v>
      </c>
      <c r="N125" s="525"/>
      <c r="O125" s="514">
        <f t="shared" si="38"/>
        <v>0</v>
      </c>
      <c r="P125" s="514">
        <f t="shared" si="39"/>
        <v>0</v>
      </c>
    </row>
    <row r="126" spans="2:16">
      <c r="B126" s="195" t="str">
        <f t="shared" si="36"/>
        <v/>
      </c>
      <c r="C126" s="507">
        <f>IF(D93="","-",+C125+1)</f>
        <v>2040</v>
      </c>
      <c r="D126" s="374">
        <f>IF(F125+SUM(E$99:E125)=D$92,F125,D$92-SUM(E$99:E125))</f>
        <v>1518465.9099816307</v>
      </c>
      <c r="E126" s="522">
        <f t="shared" si="49"/>
        <v>105284.58536585367</v>
      </c>
      <c r="F126" s="523">
        <f t="shared" si="50"/>
        <v>1413181.324615777</v>
      </c>
      <c r="G126" s="523">
        <f t="shared" si="51"/>
        <v>1465823.6172987039</v>
      </c>
      <c r="H126" s="526">
        <f t="shared" si="52"/>
        <v>271676.41928102809</v>
      </c>
      <c r="I126" s="577">
        <f t="shared" si="53"/>
        <v>271676.41928102809</v>
      </c>
      <c r="J126" s="514">
        <f t="shared" si="37"/>
        <v>0</v>
      </c>
      <c r="K126" s="514"/>
      <c r="L126" s="525"/>
      <c r="M126" s="514">
        <f t="shared" si="48"/>
        <v>0</v>
      </c>
      <c r="N126" s="525"/>
      <c r="O126" s="514">
        <f t="shared" si="38"/>
        <v>0</v>
      </c>
      <c r="P126" s="514">
        <f t="shared" si="39"/>
        <v>0</v>
      </c>
    </row>
    <row r="127" spans="2:16">
      <c r="B127" s="195" t="str">
        <f t="shared" si="36"/>
        <v/>
      </c>
      <c r="C127" s="507">
        <f>IF(D93="","-",+C126+1)</f>
        <v>2041</v>
      </c>
      <c r="D127" s="374">
        <f>IF(F126+SUM(E$99:E126)=D$92,F126,D$92-SUM(E$99:E126))</f>
        <v>1413181.324615777</v>
      </c>
      <c r="E127" s="522">
        <f t="shared" si="49"/>
        <v>105284.58536585367</v>
      </c>
      <c r="F127" s="523">
        <f t="shared" si="50"/>
        <v>1307896.7392499233</v>
      </c>
      <c r="G127" s="523">
        <f t="shared" si="51"/>
        <v>1360539.0319328501</v>
      </c>
      <c r="H127" s="526">
        <f t="shared" si="52"/>
        <v>259725.12102434755</v>
      </c>
      <c r="I127" s="577">
        <f t="shared" si="53"/>
        <v>259725.12102434755</v>
      </c>
      <c r="J127" s="514">
        <f t="shared" si="37"/>
        <v>0</v>
      </c>
      <c r="K127" s="514"/>
      <c r="L127" s="525"/>
      <c r="M127" s="514">
        <f t="shared" si="48"/>
        <v>0</v>
      </c>
      <c r="N127" s="525"/>
      <c r="O127" s="514">
        <f t="shared" si="38"/>
        <v>0</v>
      </c>
      <c r="P127" s="514">
        <f t="shared" si="39"/>
        <v>0</v>
      </c>
    </row>
    <row r="128" spans="2:16">
      <c r="B128" s="195" t="str">
        <f t="shared" si="36"/>
        <v/>
      </c>
      <c r="C128" s="507">
        <f>IF(D93="","-",+C127+1)</f>
        <v>2042</v>
      </c>
      <c r="D128" s="374">
        <f>IF(F127+SUM(E$99:E127)=D$92,F127,D$92-SUM(E$99:E127))</f>
        <v>1307896.7392499233</v>
      </c>
      <c r="E128" s="522">
        <f t="shared" si="49"/>
        <v>105284.58536585367</v>
      </c>
      <c r="F128" s="523">
        <f t="shared" si="50"/>
        <v>1202612.1538840695</v>
      </c>
      <c r="G128" s="523">
        <f t="shared" si="51"/>
        <v>1255254.4465669964</v>
      </c>
      <c r="H128" s="526">
        <f t="shared" si="52"/>
        <v>247773.82276766706</v>
      </c>
      <c r="I128" s="577">
        <f t="shared" si="53"/>
        <v>247773.82276766706</v>
      </c>
      <c r="J128" s="514">
        <f t="shared" si="37"/>
        <v>0</v>
      </c>
      <c r="K128" s="514"/>
      <c r="L128" s="525"/>
      <c r="M128" s="514">
        <f t="shared" si="48"/>
        <v>0</v>
      </c>
      <c r="N128" s="525"/>
      <c r="O128" s="514">
        <f t="shared" si="38"/>
        <v>0</v>
      </c>
      <c r="P128" s="514">
        <f t="shared" si="39"/>
        <v>0</v>
      </c>
    </row>
    <row r="129" spans="2:16">
      <c r="B129" s="195" t="str">
        <f t="shared" si="36"/>
        <v/>
      </c>
      <c r="C129" s="507">
        <f>IF(D93="","-",+C128+1)</f>
        <v>2043</v>
      </c>
      <c r="D129" s="374">
        <f>IF(F128+SUM(E$99:E128)=D$92,F128,D$92-SUM(E$99:E128))</f>
        <v>1202612.1538840695</v>
      </c>
      <c r="E129" s="522">
        <f t="shared" si="49"/>
        <v>105284.58536585367</v>
      </c>
      <c r="F129" s="523">
        <f t="shared" si="50"/>
        <v>1097327.5685182158</v>
      </c>
      <c r="G129" s="523">
        <f t="shared" si="51"/>
        <v>1149969.8612011427</v>
      </c>
      <c r="H129" s="526">
        <f t="shared" si="52"/>
        <v>235822.52451098652</v>
      </c>
      <c r="I129" s="577">
        <f t="shared" si="53"/>
        <v>235822.52451098652</v>
      </c>
      <c r="J129" s="514">
        <f t="shared" si="37"/>
        <v>0</v>
      </c>
      <c r="K129" s="514"/>
      <c r="L129" s="525"/>
      <c r="M129" s="514">
        <f t="shared" si="48"/>
        <v>0</v>
      </c>
      <c r="N129" s="525"/>
      <c r="O129" s="514">
        <f t="shared" si="38"/>
        <v>0</v>
      </c>
      <c r="P129" s="514">
        <f t="shared" si="39"/>
        <v>0</v>
      </c>
    </row>
    <row r="130" spans="2:16">
      <c r="B130" s="195" t="str">
        <f t="shared" si="36"/>
        <v/>
      </c>
      <c r="C130" s="507">
        <f>IF(D93="","-",+C129+1)</f>
        <v>2044</v>
      </c>
      <c r="D130" s="374">
        <f>IF(F129+SUM(E$99:E129)=D$92,F129,D$92-SUM(E$99:E129))</f>
        <v>1097327.5685182158</v>
      </c>
      <c r="E130" s="522">
        <f t="shared" si="49"/>
        <v>105284.58536585367</v>
      </c>
      <c r="F130" s="523">
        <f t="shared" si="50"/>
        <v>992042.98315236217</v>
      </c>
      <c r="G130" s="523">
        <f t="shared" si="51"/>
        <v>1044685.2758352889</v>
      </c>
      <c r="H130" s="526">
        <f t="shared" si="52"/>
        <v>223871.22625430598</v>
      </c>
      <c r="I130" s="577">
        <f t="shared" si="53"/>
        <v>223871.22625430598</v>
      </c>
      <c r="J130" s="514">
        <f t="shared" si="37"/>
        <v>0</v>
      </c>
      <c r="K130" s="514"/>
      <c r="L130" s="525"/>
      <c r="M130" s="514">
        <f t="shared" si="48"/>
        <v>0</v>
      </c>
      <c r="N130" s="525"/>
      <c r="O130" s="514">
        <f t="shared" si="38"/>
        <v>0</v>
      </c>
      <c r="P130" s="514">
        <f t="shared" si="39"/>
        <v>0</v>
      </c>
    </row>
    <row r="131" spans="2:16">
      <c r="B131" s="195" t="str">
        <f t="shared" si="36"/>
        <v/>
      </c>
      <c r="C131" s="507">
        <f>IF(D93="","-",+C130+1)</f>
        <v>2045</v>
      </c>
      <c r="D131" s="374">
        <f>IF(F130+SUM(E$99:E130)=D$92,F130,D$92-SUM(E$99:E130))</f>
        <v>992042.98315236217</v>
      </c>
      <c r="E131" s="522">
        <f t="shared" si="49"/>
        <v>105284.58536585367</v>
      </c>
      <c r="F131" s="523">
        <f t="shared" si="50"/>
        <v>886758.39778650855</v>
      </c>
      <c r="G131" s="523">
        <f t="shared" si="51"/>
        <v>939400.69046943542</v>
      </c>
      <c r="H131" s="526">
        <f t="shared" si="52"/>
        <v>211919.92799762549</v>
      </c>
      <c r="I131" s="577">
        <f t="shared" si="53"/>
        <v>211919.92799762549</v>
      </c>
      <c r="J131" s="514">
        <f t="shared" si="37"/>
        <v>0</v>
      </c>
      <c r="K131" s="514"/>
      <c r="L131" s="525"/>
      <c r="M131" s="514">
        <f t="shared" ref="M131:M154" si="54">IF(L541&lt;&gt;0,+H541-L541,0)</f>
        <v>0</v>
      </c>
      <c r="N131" s="525"/>
      <c r="O131" s="514">
        <f t="shared" ref="O131:O154" si="55">IF(N541&lt;&gt;0,+I541-N541,0)</f>
        <v>0</v>
      </c>
      <c r="P131" s="514">
        <f t="shared" ref="P131:P154" si="56">+O541-M541</f>
        <v>0</v>
      </c>
    </row>
    <row r="132" spans="2:16">
      <c r="B132" s="195" t="str">
        <f t="shared" si="36"/>
        <v/>
      </c>
      <c r="C132" s="507">
        <f>IF(D93="","-",+C131+1)</f>
        <v>2046</v>
      </c>
      <c r="D132" s="374">
        <f>IF(F131+SUM(E$99:E131)=D$92,F131,D$92-SUM(E$99:E131))</f>
        <v>886758.39778650855</v>
      </c>
      <c r="E132" s="522">
        <f t="shared" si="49"/>
        <v>105284.58536585367</v>
      </c>
      <c r="F132" s="523">
        <f t="shared" si="50"/>
        <v>781473.81242065493</v>
      </c>
      <c r="G132" s="523">
        <f t="shared" si="51"/>
        <v>834116.10510358168</v>
      </c>
      <c r="H132" s="526">
        <f t="shared" si="52"/>
        <v>199968.62974094498</v>
      </c>
      <c r="I132" s="577">
        <f t="shared" si="53"/>
        <v>199968.62974094498</v>
      </c>
      <c r="J132" s="514">
        <f t="shared" si="37"/>
        <v>0</v>
      </c>
      <c r="K132" s="514"/>
      <c r="L132" s="525"/>
      <c r="M132" s="514">
        <f t="shared" si="54"/>
        <v>0</v>
      </c>
      <c r="N132" s="525"/>
      <c r="O132" s="514">
        <f t="shared" si="55"/>
        <v>0</v>
      </c>
      <c r="P132" s="514">
        <f t="shared" si="56"/>
        <v>0</v>
      </c>
    </row>
    <row r="133" spans="2:16">
      <c r="B133" s="195" t="str">
        <f t="shared" si="36"/>
        <v/>
      </c>
      <c r="C133" s="507">
        <f>IF(D93="","-",+C132+1)</f>
        <v>2047</v>
      </c>
      <c r="D133" s="374">
        <f>IF(F132+SUM(E$99:E132)=D$92,F132,D$92-SUM(E$99:E132))</f>
        <v>781473.81242065493</v>
      </c>
      <c r="E133" s="522">
        <f t="shared" si="49"/>
        <v>105284.58536585367</v>
      </c>
      <c r="F133" s="523">
        <f t="shared" si="50"/>
        <v>676189.2270548013</v>
      </c>
      <c r="G133" s="523">
        <f t="shared" si="51"/>
        <v>728831.51973772817</v>
      </c>
      <c r="H133" s="526">
        <f t="shared" si="52"/>
        <v>188017.33148426446</v>
      </c>
      <c r="I133" s="577">
        <f t="shared" si="53"/>
        <v>188017.33148426446</v>
      </c>
      <c r="J133" s="514">
        <f t="shared" si="37"/>
        <v>0</v>
      </c>
      <c r="K133" s="514"/>
      <c r="L133" s="525"/>
      <c r="M133" s="514">
        <f t="shared" si="54"/>
        <v>0</v>
      </c>
      <c r="N133" s="525"/>
      <c r="O133" s="514">
        <f t="shared" si="55"/>
        <v>0</v>
      </c>
      <c r="P133" s="514">
        <f t="shared" si="56"/>
        <v>0</v>
      </c>
    </row>
    <row r="134" spans="2:16">
      <c r="B134" s="195" t="str">
        <f t="shared" si="36"/>
        <v/>
      </c>
      <c r="C134" s="507">
        <f>IF(D93="","-",+C133+1)</f>
        <v>2048</v>
      </c>
      <c r="D134" s="374">
        <f>IF(F133+SUM(E$99:E133)=D$92,F133,D$92-SUM(E$99:E133))</f>
        <v>676189.2270548013</v>
      </c>
      <c r="E134" s="522">
        <f t="shared" si="49"/>
        <v>105284.58536585367</v>
      </c>
      <c r="F134" s="523">
        <f t="shared" si="50"/>
        <v>570904.64168894768</v>
      </c>
      <c r="G134" s="523">
        <f t="shared" si="51"/>
        <v>623546.93437187443</v>
      </c>
      <c r="H134" s="526">
        <f t="shared" si="52"/>
        <v>176066.03322758395</v>
      </c>
      <c r="I134" s="577">
        <f t="shared" si="53"/>
        <v>176066.03322758395</v>
      </c>
      <c r="J134" s="514">
        <f t="shared" si="37"/>
        <v>0</v>
      </c>
      <c r="K134" s="514"/>
      <c r="L134" s="525"/>
      <c r="M134" s="514">
        <f t="shared" si="54"/>
        <v>0</v>
      </c>
      <c r="N134" s="525"/>
      <c r="O134" s="514">
        <f t="shared" si="55"/>
        <v>0</v>
      </c>
      <c r="P134" s="514">
        <f t="shared" si="56"/>
        <v>0</v>
      </c>
    </row>
    <row r="135" spans="2:16">
      <c r="B135" s="195" t="str">
        <f t="shared" si="36"/>
        <v/>
      </c>
      <c r="C135" s="507">
        <f>IF(D93="","-",+C134+1)</f>
        <v>2049</v>
      </c>
      <c r="D135" s="374">
        <f>IF(F134+SUM(E$99:E134)=D$92,F134,D$92-SUM(E$99:E134))</f>
        <v>570904.64168894768</v>
      </c>
      <c r="E135" s="522">
        <f t="shared" si="49"/>
        <v>105284.58536585367</v>
      </c>
      <c r="F135" s="523">
        <f t="shared" si="50"/>
        <v>465620.056323094</v>
      </c>
      <c r="G135" s="523">
        <f t="shared" si="51"/>
        <v>518262.34900602081</v>
      </c>
      <c r="H135" s="526">
        <f t="shared" si="52"/>
        <v>164114.73497090343</v>
      </c>
      <c r="I135" s="577">
        <f t="shared" si="53"/>
        <v>164114.73497090343</v>
      </c>
      <c r="J135" s="514">
        <f t="shared" si="37"/>
        <v>0</v>
      </c>
      <c r="K135" s="514"/>
      <c r="L135" s="525"/>
      <c r="M135" s="514">
        <f t="shared" si="54"/>
        <v>0</v>
      </c>
      <c r="N135" s="525"/>
      <c r="O135" s="514">
        <f t="shared" si="55"/>
        <v>0</v>
      </c>
      <c r="P135" s="514">
        <f t="shared" si="56"/>
        <v>0</v>
      </c>
    </row>
    <row r="136" spans="2:16">
      <c r="B136" s="195" t="str">
        <f t="shared" si="36"/>
        <v/>
      </c>
      <c r="C136" s="507">
        <f>IF(D93="","-",+C135+1)</f>
        <v>2050</v>
      </c>
      <c r="D136" s="374">
        <f>IF(F135+SUM(E$99:E135)=D$92,F135,D$92-SUM(E$99:E135))</f>
        <v>465620.056323094</v>
      </c>
      <c r="E136" s="522">
        <f t="shared" si="49"/>
        <v>105284.58536585367</v>
      </c>
      <c r="F136" s="523">
        <f t="shared" si="50"/>
        <v>360335.47095724032</v>
      </c>
      <c r="G136" s="523">
        <f t="shared" si="51"/>
        <v>412977.76364016719</v>
      </c>
      <c r="H136" s="526">
        <f t="shared" si="52"/>
        <v>152163.43671422295</v>
      </c>
      <c r="I136" s="577">
        <f t="shared" si="53"/>
        <v>152163.43671422295</v>
      </c>
      <c r="J136" s="514">
        <f t="shared" si="37"/>
        <v>0</v>
      </c>
      <c r="K136" s="514"/>
      <c r="L136" s="525"/>
      <c r="M136" s="514">
        <f t="shared" si="54"/>
        <v>0</v>
      </c>
      <c r="N136" s="525"/>
      <c r="O136" s="514">
        <f t="shared" si="55"/>
        <v>0</v>
      </c>
      <c r="P136" s="514">
        <f t="shared" si="56"/>
        <v>0</v>
      </c>
    </row>
    <row r="137" spans="2:16">
      <c r="B137" s="195" t="str">
        <f t="shared" si="36"/>
        <v/>
      </c>
      <c r="C137" s="507">
        <f>IF(D93="","-",+C136+1)</f>
        <v>2051</v>
      </c>
      <c r="D137" s="374">
        <f>IF(F136+SUM(E$99:E136)=D$92,F136,D$92-SUM(E$99:E136))</f>
        <v>360335.47095724032</v>
      </c>
      <c r="E137" s="522">
        <f t="shared" si="49"/>
        <v>105284.58536585367</v>
      </c>
      <c r="F137" s="523">
        <f t="shared" si="50"/>
        <v>255050.88559138664</v>
      </c>
      <c r="G137" s="523">
        <f t="shared" si="51"/>
        <v>307693.17827431345</v>
      </c>
      <c r="H137" s="526">
        <f t="shared" si="52"/>
        <v>140212.1384575424</v>
      </c>
      <c r="I137" s="577">
        <f t="shared" si="53"/>
        <v>140212.1384575424</v>
      </c>
      <c r="J137" s="514">
        <f t="shared" si="37"/>
        <v>0</v>
      </c>
      <c r="K137" s="514"/>
      <c r="L137" s="525"/>
      <c r="M137" s="514">
        <f t="shared" si="54"/>
        <v>0</v>
      </c>
      <c r="N137" s="525"/>
      <c r="O137" s="514">
        <f t="shared" si="55"/>
        <v>0</v>
      </c>
      <c r="P137" s="514">
        <f t="shared" si="56"/>
        <v>0</v>
      </c>
    </row>
    <row r="138" spans="2:16">
      <c r="B138" s="195" t="str">
        <f t="shared" si="36"/>
        <v/>
      </c>
      <c r="C138" s="507">
        <f>IF(D93="","-",+C137+1)</f>
        <v>2052</v>
      </c>
      <c r="D138" s="374">
        <f>IF(F137+SUM(E$99:E137)=D$92,F137,D$92-SUM(E$99:E137))</f>
        <v>255050.88559138664</v>
      </c>
      <c r="E138" s="522">
        <f t="shared" si="49"/>
        <v>105284.58536585367</v>
      </c>
      <c r="F138" s="523">
        <f t="shared" si="50"/>
        <v>149766.30022553296</v>
      </c>
      <c r="G138" s="523">
        <f t="shared" si="51"/>
        <v>202408.5929084598</v>
      </c>
      <c r="H138" s="526">
        <f t="shared" si="52"/>
        <v>128260.84020086189</v>
      </c>
      <c r="I138" s="577">
        <f t="shared" si="53"/>
        <v>128260.84020086189</v>
      </c>
      <c r="J138" s="514">
        <f t="shared" si="37"/>
        <v>0</v>
      </c>
      <c r="K138" s="514"/>
      <c r="L138" s="525"/>
      <c r="M138" s="514">
        <f t="shared" si="54"/>
        <v>0</v>
      </c>
      <c r="N138" s="525"/>
      <c r="O138" s="514">
        <f t="shared" si="55"/>
        <v>0</v>
      </c>
      <c r="P138" s="514">
        <f t="shared" si="56"/>
        <v>0</v>
      </c>
    </row>
    <row r="139" spans="2:16">
      <c r="B139" s="195" t="str">
        <f t="shared" si="36"/>
        <v/>
      </c>
      <c r="C139" s="507">
        <f>IF(D93="","-",+C138+1)</f>
        <v>2053</v>
      </c>
      <c r="D139" s="374">
        <f>IF(F138+SUM(E$99:E138)=D$92,F138,D$92-SUM(E$99:E138))</f>
        <v>149766.30022553296</v>
      </c>
      <c r="E139" s="522">
        <f t="shared" si="49"/>
        <v>105284.58536585367</v>
      </c>
      <c r="F139" s="523">
        <f t="shared" si="50"/>
        <v>44481.714859679298</v>
      </c>
      <c r="G139" s="523">
        <f t="shared" si="51"/>
        <v>97124.007542606123</v>
      </c>
      <c r="H139" s="526">
        <f t="shared" si="52"/>
        <v>116309.54194418137</v>
      </c>
      <c r="I139" s="577">
        <f t="shared" si="53"/>
        <v>116309.54194418137</v>
      </c>
      <c r="J139" s="514">
        <f t="shared" si="37"/>
        <v>0</v>
      </c>
      <c r="K139" s="514"/>
      <c r="L139" s="525"/>
      <c r="M139" s="514">
        <f t="shared" si="54"/>
        <v>0</v>
      </c>
      <c r="N139" s="525"/>
      <c r="O139" s="514">
        <f t="shared" si="55"/>
        <v>0</v>
      </c>
      <c r="P139" s="514">
        <f t="shared" si="56"/>
        <v>0</v>
      </c>
    </row>
    <row r="140" spans="2:16">
      <c r="B140" s="195" t="str">
        <f t="shared" si="36"/>
        <v/>
      </c>
      <c r="C140" s="507">
        <f>IF(D93="","-",+C139+1)</f>
        <v>2054</v>
      </c>
      <c r="D140" s="374">
        <f>IF(F139+SUM(E$99:E139)=D$92,F139,D$92-SUM(E$99:E139))</f>
        <v>44481.714859679298</v>
      </c>
      <c r="E140" s="522">
        <f t="shared" si="49"/>
        <v>44481.714859679298</v>
      </c>
      <c r="F140" s="523">
        <f t="shared" si="50"/>
        <v>0</v>
      </c>
      <c r="G140" s="523">
        <f t="shared" si="51"/>
        <v>22240.857429839649</v>
      </c>
      <c r="H140" s="526">
        <f t="shared" si="52"/>
        <v>47006.368584673022</v>
      </c>
      <c r="I140" s="577">
        <f t="shared" si="53"/>
        <v>47006.368584673022</v>
      </c>
      <c r="J140" s="514">
        <f t="shared" si="37"/>
        <v>0</v>
      </c>
      <c r="K140" s="514"/>
      <c r="L140" s="525"/>
      <c r="M140" s="514">
        <f t="shared" si="54"/>
        <v>0</v>
      </c>
      <c r="N140" s="525"/>
      <c r="O140" s="514">
        <f t="shared" si="55"/>
        <v>0</v>
      </c>
      <c r="P140" s="514">
        <f t="shared" si="56"/>
        <v>0</v>
      </c>
    </row>
    <row r="141" spans="2:16">
      <c r="B141" s="195" t="str">
        <f t="shared" si="36"/>
        <v/>
      </c>
      <c r="C141" s="507">
        <f>IF(D93="","-",+C140+1)</f>
        <v>2055</v>
      </c>
      <c r="D141" s="374">
        <f>IF(F140+SUM(E$99:E140)=D$92,F140,D$92-SUM(E$99:E140))</f>
        <v>0</v>
      </c>
      <c r="E141" s="522">
        <f t="shared" si="49"/>
        <v>0</v>
      </c>
      <c r="F141" s="523">
        <f t="shared" si="50"/>
        <v>0</v>
      </c>
      <c r="G141" s="523">
        <f t="shared" si="51"/>
        <v>0</v>
      </c>
      <c r="H141" s="526">
        <f t="shared" si="52"/>
        <v>0</v>
      </c>
      <c r="I141" s="577">
        <f t="shared" si="53"/>
        <v>0</v>
      </c>
      <c r="J141" s="514">
        <f t="shared" si="37"/>
        <v>0</v>
      </c>
      <c r="K141" s="514"/>
      <c r="L141" s="525"/>
      <c r="M141" s="514">
        <f t="shared" si="54"/>
        <v>0</v>
      </c>
      <c r="N141" s="525"/>
      <c r="O141" s="514">
        <f t="shared" si="55"/>
        <v>0</v>
      </c>
      <c r="P141" s="514">
        <f t="shared" si="56"/>
        <v>0</v>
      </c>
    </row>
    <row r="142" spans="2:16">
      <c r="B142" s="195" t="str">
        <f t="shared" si="36"/>
        <v/>
      </c>
      <c r="C142" s="507">
        <f>IF(D93="","-",+C141+1)</f>
        <v>2056</v>
      </c>
      <c r="D142" s="374">
        <f>IF(F141+SUM(E$99:E141)=D$92,F141,D$92-SUM(E$99:E141))</f>
        <v>0</v>
      </c>
      <c r="E142" s="522">
        <f t="shared" si="49"/>
        <v>0</v>
      </c>
      <c r="F142" s="523">
        <f t="shared" si="50"/>
        <v>0</v>
      </c>
      <c r="G142" s="523">
        <f t="shared" si="51"/>
        <v>0</v>
      </c>
      <c r="H142" s="526">
        <f t="shared" si="52"/>
        <v>0</v>
      </c>
      <c r="I142" s="577">
        <f t="shared" si="53"/>
        <v>0</v>
      </c>
      <c r="J142" s="514">
        <f t="shared" si="37"/>
        <v>0</v>
      </c>
      <c r="K142" s="514"/>
      <c r="L142" s="525"/>
      <c r="M142" s="514">
        <f t="shared" si="54"/>
        <v>0</v>
      </c>
      <c r="N142" s="525"/>
      <c r="O142" s="514">
        <f t="shared" si="55"/>
        <v>0</v>
      </c>
      <c r="P142" s="514">
        <f t="shared" si="56"/>
        <v>0</v>
      </c>
    </row>
    <row r="143" spans="2:16">
      <c r="B143" s="195" t="str">
        <f t="shared" si="36"/>
        <v/>
      </c>
      <c r="C143" s="507">
        <f>IF(D93="","-",+C142+1)</f>
        <v>2057</v>
      </c>
      <c r="D143" s="374">
        <f>IF(F142+SUM(E$99:E142)=D$92,F142,D$92-SUM(E$99:E142))</f>
        <v>0</v>
      </c>
      <c r="E143" s="522">
        <f t="shared" si="49"/>
        <v>0</v>
      </c>
      <c r="F143" s="523">
        <f t="shared" si="50"/>
        <v>0</v>
      </c>
      <c r="G143" s="523">
        <f t="shared" si="51"/>
        <v>0</v>
      </c>
      <c r="H143" s="526">
        <f t="shared" si="52"/>
        <v>0</v>
      </c>
      <c r="I143" s="577">
        <f t="shared" si="53"/>
        <v>0</v>
      </c>
      <c r="J143" s="514">
        <f t="shared" si="37"/>
        <v>0</v>
      </c>
      <c r="K143" s="514"/>
      <c r="L143" s="525"/>
      <c r="M143" s="514">
        <f t="shared" si="54"/>
        <v>0</v>
      </c>
      <c r="N143" s="525"/>
      <c r="O143" s="514">
        <f t="shared" si="55"/>
        <v>0</v>
      </c>
      <c r="P143" s="514">
        <f t="shared" si="56"/>
        <v>0</v>
      </c>
    </row>
    <row r="144" spans="2:16">
      <c r="B144" s="195" t="str">
        <f t="shared" si="36"/>
        <v/>
      </c>
      <c r="C144" s="507">
        <f>IF(D93="","-",+C143+1)</f>
        <v>2058</v>
      </c>
      <c r="D144" s="374">
        <f>IF(F143+SUM(E$99:E143)=D$92,F143,D$92-SUM(E$99:E143))</f>
        <v>0</v>
      </c>
      <c r="E144" s="522">
        <f t="shared" si="49"/>
        <v>0</v>
      </c>
      <c r="F144" s="523">
        <f t="shared" si="50"/>
        <v>0</v>
      </c>
      <c r="G144" s="523">
        <f t="shared" si="51"/>
        <v>0</v>
      </c>
      <c r="H144" s="526">
        <f t="shared" si="52"/>
        <v>0</v>
      </c>
      <c r="I144" s="577">
        <f t="shared" si="53"/>
        <v>0</v>
      </c>
      <c r="J144" s="514">
        <f t="shared" si="37"/>
        <v>0</v>
      </c>
      <c r="K144" s="514"/>
      <c r="L144" s="525"/>
      <c r="M144" s="514">
        <f t="shared" si="54"/>
        <v>0</v>
      </c>
      <c r="N144" s="525"/>
      <c r="O144" s="514">
        <f t="shared" si="55"/>
        <v>0</v>
      </c>
      <c r="P144" s="514">
        <f t="shared" si="56"/>
        <v>0</v>
      </c>
    </row>
    <row r="145" spans="2:16">
      <c r="B145" s="195" t="str">
        <f t="shared" si="36"/>
        <v/>
      </c>
      <c r="C145" s="507">
        <f>IF(D93="","-",+C144+1)</f>
        <v>2059</v>
      </c>
      <c r="D145" s="374">
        <f>IF(F144+SUM(E$99:E144)=D$92,F144,D$92-SUM(E$99:E144))</f>
        <v>0</v>
      </c>
      <c r="E145" s="522">
        <f t="shared" si="49"/>
        <v>0</v>
      </c>
      <c r="F145" s="523">
        <f t="shared" si="50"/>
        <v>0</v>
      </c>
      <c r="G145" s="523">
        <f t="shared" si="51"/>
        <v>0</v>
      </c>
      <c r="H145" s="526">
        <f t="shared" si="52"/>
        <v>0</v>
      </c>
      <c r="I145" s="577">
        <f t="shared" si="53"/>
        <v>0</v>
      </c>
      <c r="J145" s="514">
        <f t="shared" si="37"/>
        <v>0</v>
      </c>
      <c r="K145" s="514"/>
      <c r="L145" s="525"/>
      <c r="M145" s="514">
        <f t="shared" si="54"/>
        <v>0</v>
      </c>
      <c r="N145" s="525"/>
      <c r="O145" s="514">
        <f t="shared" si="55"/>
        <v>0</v>
      </c>
      <c r="P145" s="514">
        <f t="shared" si="56"/>
        <v>0</v>
      </c>
    </row>
    <row r="146" spans="2:16">
      <c r="B146" s="195" t="str">
        <f t="shared" si="36"/>
        <v/>
      </c>
      <c r="C146" s="507">
        <f>IF(D93="","-",+C145+1)</f>
        <v>2060</v>
      </c>
      <c r="D146" s="374">
        <f>IF(F145+SUM(E$99:E145)=D$92,F145,D$92-SUM(E$99:E145))</f>
        <v>0</v>
      </c>
      <c r="E146" s="522">
        <f t="shared" si="49"/>
        <v>0</v>
      </c>
      <c r="F146" s="523">
        <f t="shared" si="50"/>
        <v>0</v>
      </c>
      <c r="G146" s="523">
        <f t="shared" si="51"/>
        <v>0</v>
      </c>
      <c r="H146" s="526">
        <f t="shared" si="52"/>
        <v>0</v>
      </c>
      <c r="I146" s="577">
        <f t="shared" si="53"/>
        <v>0</v>
      </c>
      <c r="J146" s="514">
        <f t="shared" si="37"/>
        <v>0</v>
      </c>
      <c r="K146" s="514"/>
      <c r="L146" s="525"/>
      <c r="M146" s="514">
        <f t="shared" si="54"/>
        <v>0</v>
      </c>
      <c r="N146" s="525"/>
      <c r="O146" s="514">
        <f t="shared" si="55"/>
        <v>0</v>
      </c>
      <c r="P146" s="514">
        <f t="shared" si="56"/>
        <v>0</v>
      </c>
    </row>
    <row r="147" spans="2:16">
      <c r="B147" s="195" t="str">
        <f t="shared" si="36"/>
        <v/>
      </c>
      <c r="C147" s="507">
        <f>IF(D93="","-",+C146+1)</f>
        <v>2061</v>
      </c>
      <c r="D147" s="374">
        <f>IF(F146+SUM(E$99:E146)=D$92,F146,D$92-SUM(E$99:E146))</f>
        <v>0</v>
      </c>
      <c r="E147" s="522">
        <f t="shared" si="49"/>
        <v>0</v>
      </c>
      <c r="F147" s="523">
        <f t="shared" si="50"/>
        <v>0</v>
      </c>
      <c r="G147" s="523">
        <f t="shared" si="51"/>
        <v>0</v>
      </c>
      <c r="H147" s="526">
        <f t="shared" si="52"/>
        <v>0</v>
      </c>
      <c r="I147" s="577">
        <f t="shared" si="53"/>
        <v>0</v>
      </c>
      <c r="J147" s="514">
        <f t="shared" si="37"/>
        <v>0</v>
      </c>
      <c r="K147" s="514"/>
      <c r="L147" s="525"/>
      <c r="M147" s="514">
        <f t="shared" si="54"/>
        <v>0</v>
      </c>
      <c r="N147" s="525"/>
      <c r="O147" s="514">
        <f t="shared" si="55"/>
        <v>0</v>
      </c>
      <c r="P147" s="514">
        <f t="shared" si="56"/>
        <v>0</v>
      </c>
    </row>
    <row r="148" spans="2:16">
      <c r="B148" s="195" t="str">
        <f t="shared" si="36"/>
        <v/>
      </c>
      <c r="C148" s="507">
        <f>IF(D93="","-",+C147+1)</f>
        <v>2062</v>
      </c>
      <c r="D148" s="374">
        <f>IF(F147+SUM(E$99:E147)=D$92,F147,D$92-SUM(E$99:E147))</f>
        <v>0</v>
      </c>
      <c r="E148" s="522">
        <f t="shared" si="49"/>
        <v>0</v>
      </c>
      <c r="F148" s="523">
        <f t="shared" si="50"/>
        <v>0</v>
      </c>
      <c r="G148" s="523">
        <f t="shared" si="51"/>
        <v>0</v>
      </c>
      <c r="H148" s="526">
        <f t="shared" si="52"/>
        <v>0</v>
      </c>
      <c r="I148" s="577">
        <f t="shared" si="53"/>
        <v>0</v>
      </c>
      <c r="J148" s="514">
        <f t="shared" si="37"/>
        <v>0</v>
      </c>
      <c r="K148" s="514"/>
      <c r="L148" s="525"/>
      <c r="M148" s="514">
        <f t="shared" si="54"/>
        <v>0</v>
      </c>
      <c r="N148" s="525"/>
      <c r="O148" s="514">
        <f t="shared" si="55"/>
        <v>0</v>
      </c>
      <c r="P148" s="514">
        <f t="shared" si="56"/>
        <v>0</v>
      </c>
    </row>
    <row r="149" spans="2:16">
      <c r="B149" s="195" t="str">
        <f t="shared" si="36"/>
        <v/>
      </c>
      <c r="C149" s="507">
        <f>IF(D93="","-",+C148+1)</f>
        <v>2063</v>
      </c>
      <c r="D149" s="374">
        <f>IF(F148+SUM(E$99:E148)=D$92,F148,D$92-SUM(E$99:E148))</f>
        <v>0</v>
      </c>
      <c r="E149" s="522">
        <f t="shared" si="49"/>
        <v>0</v>
      </c>
      <c r="F149" s="523">
        <f t="shared" si="50"/>
        <v>0</v>
      </c>
      <c r="G149" s="523">
        <f t="shared" si="51"/>
        <v>0</v>
      </c>
      <c r="H149" s="526">
        <f t="shared" si="52"/>
        <v>0</v>
      </c>
      <c r="I149" s="577">
        <f t="shared" si="53"/>
        <v>0</v>
      </c>
      <c r="J149" s="514">
        <f t="shared" si="37"/>
        <v>0</v>
      </c>
      <c r="K149" s="514"/>
      <c r="L149" s="525"/>
      <c r="M149" s="514">
        <f t="shared" si="54"/>
        <v>0</v>
      </c>
      <c r="N149" s="525"/>
      <c r="O149" s="514">
        <f t="shared" si="55"/>
        <v>0</v>
      </c>
      <c r="P149" s="514">
        <f t="shared" si="56"/>
        <v>0</v>
      </c>
    </row>
    <row r="150" spans="2:16">
      <c r="B150" s="195" t="str">
        <f t="shared" si="36"/>
        <v/>
      </c>
      <c r="C150" s="507">
        <f>IF(D93="","-",+C149+1)</f>
        <v>2064</v>
      </c>
      <c r="D150" s="374">
        <f>IF(F149+SUM(E$99:E149)=D$92,F149,D$92-SUM(E$99:E149))</f>
        <v>0</v>
      </c>
      <c r="E150" s="522">
        <f t="shared" si="49"/>
        <v>0</v>
      </c>
      <c r="F150" s="523">
        <f t="shared" si="50"/>
        <v>0</v>
      </c>
      <c r="G150" s="523">
        <f t="shared" si="51"/>
        <v>0</v>
      </c>
      <c r="H150" s="526">
        <f t="shared" si="52"/>
        <v>0</v>
      </c>
      <c r="I150" s="577">
        <f t="shared" si="53"/>
        <v>0</v>
      </c>
      <c r="J150" s="514">
        <f t="shared" si="37"/>
        <v>0</v>
      </c>
      <c r="K150" s="514"/>
      <c r="L150" s="525"/>
      <c r="M150" s="514">
        <f t="shared" si="54"/>
        <v>0</v>
      </c>
      <c r="N150" s="525"/>
      <c r="O150" s="514">
        <f t="shared" si="55"/>
        <v>0</v>
      </c>
      <c r="P150" s="514">
        <f t="shared" si="56"/>
        <v>0</v>
      </c>
    </row>
    <row r="151" spans="2:16">
      <c r="B151" s="195" t="str">
        <f t="shared" si="36"/>
        <v/>
      </c>
      <c r="C151" s="507">
        <f>IF(D93="","-",+C150+1)</f>
        <v>2065</v>
      </c>
      <c r="D151" s="374">
        <f>IF(F150+SUM(E$99:E150)=D$92,F150,D$92-SUM(E$99:E150))</f>
        <v>0</v>
      </c>
      <c r="E151" s="522">
        <f t="shared" si="49"/>
        <v>0</v>
      </c>
      <c r="F151" s="523">
        <f t="shared" si="50"/>
        <v>0</v>
      </c>
      <c r="G151" s="523">
        <f t="shared" si="51"/>
        <v>0</v>
      </c>
      <c r="H151" s="526">
        <f t="shared" si="52"/>
        <v>0</v>
      </c>
      <c r="I151" s="577">
        <f t="shared" si="53"/>
        <v>0</v>
      </c>
      <c r="J151" s="514">
        <f t="shared" si="37"/>
        <v>0</v>
      </c>
      <c r="K151" s="514"/>
      <c r="L151" s="525"/>
      <c r="M151" s="514">
        <f t="shared" si="54"/>
        <v>0</v>
      </c>
      <c r="N151" s="525"/>
      <c r="O151" s="514">
        <f t="shared" si="55"/>
        <v>0</v>
      </c>
      <c r="P151" s="514">
        <f t="shared" si="56"/>
        <v>0</v>
      </c>
    </row>
    <row r="152" spans="2:16">
      <c r="B152" s="195" t="str">
        <f t="shared" si="36"/>
        <v/>
      </c>
      <c r="C152" s="507">
        <f>IF(D93="","-",+C151+1)</f>
        <v>2066</v>
      </c>
      <c r="D152" s="374">
        <f>IF(F151+SUM(E$99:E151)=D$92,F151,D$92-SUM(E$99:E151))</f>
        <v>0</v>
      </c>
      <c r="E152" s="522">
        <f t="shared" si="49"/>
        <v>0</v>
      </c>
      <c r="F152" s="523">
        <f t="shared" si="50"/>
        <v>0</v>
      </c>
      <c r="G152" s="523">
        <f t="shared" si="51"/>
        <v>0</v>
      </c>
      <c r="H152" s="526">
        <f t="shared" si="52"/>
        <v>0</v>
      </c>
      <c r="I152" s="577">
        <f t="shared" si="53"/>
        <v>0</v>
      </c>
      <c r="J152" s="514">
        <f t="shared" si="37"/>
        <v>0</v>
      </c>
      <c r="K152" s="514"/>
      <c r="L152" s="525"/>
      <c r="M152" s="514">
        <f t="shared" si="54"/>
        <v>0</v>
      </c>
      <c r="N152" s="525"/>
      <c r="O152" s="514">
        <f t="shared" si="55"/>
        <v>0</v>
      </c>
      <c r="P152" s="514">
        <f t="shared" si="56"/>
        <v>0</v>
      </c>
    </row>
    <row r="153" spans="2:16">
      <c r="B153" s="195" t="str">
        <f t="shared" si="36"/>
        <v/>
      </c>
      <c r="C153" s="507">
        <f>IF(D93="","-",+C152+1)</f>
        <v>2067</v>
      </c>
      <c r="D153" s="374">
        <f>IF(F152+SUM(E$99:E152)=D$92,F152,D$92-SUM(E$99:E152))</f>
        <v>0</v>
      </c>
      <c r="E153" s="522">
        <f t="shared" si="49"/>
        <v>0</v>
      </c>
      <c r="F153" s="523">
        <f t="shared" si="50"/>
        <v>0</v>
      </c>
      <c r="G153" s="523">
        <f t="shared" si="51"/>
        <v>0</v>
      </c>
      <c r="H153" s="526">
        <f t="shared" si="52"/>
        <v>0</v>
      </c>
      <c r="I153" s="577">
        <f t="shared" si="53"/>
        <v>0</v>
      </c>
      <c r="J153" s="514">
        <f t="shared" si="37"/>
        <v>0</v>
      </c>
      <c r="K153" s="514"/>
      <c r="L153" s="525"/>
      <c r="M153" s="514">
        <f t="shared" si="54"/>
        <v>0</v>
      </c>
      <c r="N153" s="525"/>
      <c r="O153" s="514">
        <f t="shared" si="55"/>
        <v>0</v>
      </c>
      <c r="P153" s="514">
        <f t="shared" si="56"/>
        <v>0</v>
      </c>
    </row>
    <row r="154" spans="2:16" ht="13.5" thickBot="1">
      <c r="B154" s="195" t="str">
        <f t="shared" si="36"/>
        <v/>
      </c>
      <c r="C154" s="527">
        <f>IF(D93="","-",+C153+1)</f>
        <v>2068</v>
      </c>
      <c r="D154" s="374">
        <f>IF(F153+SUM(E$99:E153)=D$92,F153,D$92-SUM(E$99:E153))</f>
        <v>0</v>
      </c>
      <c r="E154" s="522">
        <f t="shared" si="49"/>
        <v>0</v>
      </c>
      <c r="F154" s="523">
        <f t="shared" si="50"/>
        <v>0</v>
      </c>
      <c r="G154" s="523">
        <f t="shared" si="51"/>
        <v>0</v>
      </c>
      <c r="H154" s="526">
        <f t="shared" si="52"/>
        <v>0</v>
      </c>
      <c r="I154" s="577">
        <f t="shared" si="53"/>
        <v>0</v>
      </c>
      <c r="J154" s="514">
        <f t="shared" si="37"/>
        <v>0</v>
      </c>
      <c r="K154" s="514"/>
      <c r="L154" s="532"/>
      <c r="M154" s="533">
        <f t="shared" si="54"/>
        <v>0</v>
      </c>
      <c r="N154" s="532"/>
      <c r="O154" s="533">
        <f t="shared" si="55"/>
        <v>0</v>
      </c>
      <c r="P154" s="533">
        <f t="shared" si="56"/>
        <v>0</v>
      </c>
    </row>
    <row r="155" spans="2:16">
      <c r="C155" s="374" t="s">
        <v>78</v>
      </c>
      <c r="D155" s="375"/>
      <c r="E155" s="375">
        <f>SUM(E99:E154)</f>
        <v>4316668</v>
      </c>
      <c r="F155" s="375"/>
      <c r="G155" s="375"/>
      <c r="H155" s="375">
        <f>SUM(H99:H154)</f>
        <v>14547538.090321237</v>
      </c>
      <c r="I155" s="375">
        <f>SUM(I99:I154)</f>
        <v>14547538.090321237</v>
      </c>
      <c r="J155" s="375">
        <f>SUM(J99:J154)</f>
        <v>0</v>
      </c>
      <c r="K155" s="375"/>
      <c r="L155" s="375"/>
      <c r="M155" s="375"/>
      <c r="N155" s="375"/>
      <c r="O155" s="375"/>
      <c r="P155" s="269"/>
    </row>
    <row r="156" spans="2:16">
      <c r="C156" s="183" t="s">
        <v>92</v>
      </c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</row>
    <row r="157" spans="2:16">
      <c r="C157" s="580"/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</row>
    <row r="158" spans="2:16">
      <c r="C158" s="614" t="s">
        <v>132</v>
      </c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</row>
    <row r="159" spans="2:16">
      <c r="C159" s="467" t="s">
        <v>79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</row>
    <row r="160" spans="2:16">
      <c r="C160" s="581" t="s">
        <v>80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</row>
    <row r="161" spans="3:16">
      <c r="C161" s="581"/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</row>
    <row r="162" spans="3:16" ht="18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635" t="s">
        <v>131</v>
      </c>
    </row>
  </sheetData>
  <conditionalFormatting sqref="C17:C72">
    <cfRule type="cellIs" dxfId="84" priority="1" stopIfTrue="1" operator="equal">
      <formula>$I$10</formula>
    </cfRule>
  </conditionalFormatting>
  <conditionalFormatting sqref="C99:C154">
    <cfRule type="cellIs" dxfId="83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89"/>
  <dimension ref="A1:P162"/>
  <sheetViews>
    <sheetView topLeftCell="A93" zoomScaleNormal="100" zoomScaleSheetLayoutView="80" workbookViewId="0">
      <selection activeCell="D99" sqref="D99:I107"/>
    </sheetView>
  </sheetViews>
  <sheetFormatPr defaultColWidth="8.7109375" defaultRowHeight="12.75" customHeight="1"/>
  <cols>
    <col min="1" max="1" width="4.7109375" style="183" customWidth="1"/>
    <col min="2" max="2" width="6.7109375" style="183" customWidth="1"/>
    <col min="3" max="3" width="23.28515625" style="183" customWidth="1"/>
    <col min="4" max="8" width="17.7109375" style="183" customWidth="1"/>
    <col min="9" max="9" width="20.42578125" style="183" customWidth="1"/>
    <col min="10" max="10" width="16.42578125" style="183" customWidth="1"/>
    <col min="11" max="11" width="17.7109375" style="183" customWidth="1"/>
    <col min="12" max="12" width="16.140625" style="183" customWidth="1"/>
    <col min="13" max="13" width="17.7109375" style="183" customWidth="1"/>
    <col min="14" max="14" width="16.7109375" style="183" customWidth="1"/>
    <col min="15" max="15" width="16.85546875" style="183" customWidth="1"/>
    <col min="16" max="16" width="24.42578125" style="183" customWidth="1"/>
    <col min="17" max="17" width="9.140625" style="183" customWidth="1"/>
    <col min="18" max="22" width="8.7109375" style="183"/>
    <col min="23" max="23" width="9.140625" style="183" customWidth="1"/>
    <col min="24" max="16384" width="8.7109375" style="183"/>
  </cols>
  <sheetData>
    <row r="1" spans="1:16" ht="20.25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40 of 75</v>
      </c>
    </row>
    <row r="2" spans="1:16" ht="18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538" t="s">
        <v>129</v>
      </c>
    </row>
    <row r="3" spans="1:16" ht="18.75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/>
      <c r="P3" s="623">
        <v>1</v>
      </c>
    </row>
    <row r="4" spans="1:16" ht="15.75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6" ht="1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1091500.1809427028</v>
      </c>
      <c r="P5" s="269"/>
    </row>
    <row r="6" spans="1:16" ht="15.7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1091500.1809427028</v>
      </c>
      <c r="O6" s="269"/>
      <c r="P6" s="269"/>
    </row>
    <row r="7" spans="1:16" ht="13.5" thickBot="1">
      <c r="C7" s="467" t="s">
        <v>48</v>
      </c>
      <c r="D7" s="624" t="s">
        <v>310</v>
      </c>
      <c r="E7" s="587"/>
      <c r="F7" s="587"/>
      <c r="G7" s="269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6" ht="13.5" thickBot="1">
      <c r="C8" s="472"/>
      <c r="D8" s="625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6" ht="13.5" thickBot="1">
      <c r="C9" s="476" t="s">
        <v>50</v>
      </c>
      <c r="D9" s="477" t="s">
        <v>464</v>
      </c>
      <c r="E9" s="637" t="s">
        <v>324</v>
      </c>
      <c r="F9" s="478"/>
      <c r="G9" s="478"/>
      <c r="H9" s="478"/>
      <c r="I9" s="479"/>
      <c r="J9" s="480"/>
      <c r="O9" s="481"/>
      <c r="P9" s="272"/>
    </row>
    <row r="10" spans="1:16">
      <c r="C10" s="482" t="s">
        <v>51</v>
      </c>
      <c r="D10" s="483">
        <v>9637037</v>
      </c>
      <c r="E10" s="353" t="s">
        <v>52</v>
      </c>
      <c r="F10" s="481"/>
      <c r="G10" s="484"/>
      <c r="H10" s="484"/>
      <c r="I10" s="485">
        <f>+'SWE.WS.F.BPU.ATRR.Projected'!L19</f>
        <v>2024</v>
      </c>
      <c r="J10" s="480"/>
      <c r="K10" s="375" t="s">
        <v>53</v>
      </c>
      <c r="O10" s="272"/>
      <c r="P10" s="272"/>
    </row>
    <row r="11" spans="1:16">
      <c r="C11" s="486" t="s">
        <v>54</v>
      </c>
      <c r="D11" s="487">
        <v>2014</v>
      </c>
      <c r="E11" s="486" t="s">
        <v>55</v>
      </c>
      <c r="F11" s="484"/>
      <c r="G11" s="233"/>
      <c r="H11" s="233"/>
      <c r="I11" s="488">
        <f>IF(G5="",0,'SWE.WS.F.BPU.ATRR.Projected'!F$13)</f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6">
      <c r="C12" s="486" t="s">
        <v>56</v>
      </c>
      <c r="D12" s="483">
        <v>6</v>
      </c>
      <c r="E12" s="486" t="s">
        <v>57</v>
      </c>
      <c r="F12" s="484"/>
      <c r="G12" s="233"/>
      <c r="H12" s="233"/>
      <c r="I12" s="490">
        <f>'SWE.WS.F.BPU.ATRR.Projected'!$F$81</f>
        <v>0.11952713165403545</v>
      </c>
      <c r="J12" s="425"/>
      <c r="K12" s="183" t="s">
        <v>58</v>
      </c>
      <c r="O12" s="272"/>
      <c r="P12" s="272"/>
    </row>
    <row r="13" spans="1:16">
      <c r="C13" s="486" t="s">
        <v>59</v>
      </c>
      <c r="D13" s="488">
        <f>+'SWE.WS.F.BPU.ATRR.Projected'!F$93</f>
        <v>44</v>
      </c>
      <c r="E13" s="486" t="s">
        <v>60</v>
      </c>
      <c r="F13" s="484"/>
      <c r="G13" s="233"/>
      <c r="H13" s="233"/>
      <c r="I13" s="490">
        <f>IF(G5="",I12,'SWE.WS.F.BPU.ATRR.Projected'!$F$80)</f>
        <v>0.11952713165403545</v>
      </c>
      <c r="J13" s="425"/>
      <c r="K13" s="375" t="s">
        <v>61</v>
      </c>
      <c r="L13" s="324"/>
      <c r="M13" s="324"/>
      <c r="N13" s="324"/>
      <c r="O13" s="272"/>
      <c r="P13" s="272"/>
    </row>
    <row r="14" spans="1:16" ht="13.5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219023.56818181818</v>
      </c>
      <c r="J14" s="375"/>
      <c r="K14" s="375"/>
      <c r="L14" s="375"/>
      <c r="M14" s="375"/>
      <c r="N14" s="375"/>
      <c r="O14" s="272"/>
      <c r="P14" s="272"/>
    </row>
    <row r="15" spans="1:16" ht="38.25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388</v>
      </c>
      <c r="H15" s="495" t="s">
        <v>389</v>
      </c>
      <c r="I15" s="492" t="s">
        <v>68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6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>
      <c r="C17" s="507">
        <f>IF(D11= "","-",D11)</f>
        <v>2014</v>
      </c>
      <c r="D17" s="629">
        <v>9550200</v>
      </c>
      <c r="E17" s="638">
        <v>151590.47619047618</v>
      </c>
      <c r="F17" s="629">
        <v>9398609.5238095243</v>
      </c>
      <c r="G17" s="638">
        <v>1419561.6638908591</v>
      </c>
      <c r="H17" s="639">
        <v>1419561.6638908591</v>
      </c>
      <c r="I17" s="616">
        <v>0</v>
      </c>
      <c r="J17" s="511"/>
      <c r="K17" s="512">
        <f t="shared" ref="K17:K22" si="0">G17</f>
        <v>1419561.6638908591</v>
      </c>
      <c r="L17" s="597">
        <f t="shared" ref="L17:L22" si="1">IF(K17&lt;&gt;0,+G17-K17,0)</f>
        <v>0</v>
      </c>
      <c r="M17" s="512">
        <f t="shared" ref="M17:M22" si="2">H17</f>
        <v>1419561.6638908591</v>
      </c>
      <c r="N17" s="513">
        <f>IF(M17&lt;&gt;0,+H17-M17,0)</f>
        <v>0</v>
      </c>
      <c r="O17" s="514">
        <f>+N17-L17</f>
        <v>0</v>
      </c>
      <c r="P17" s="272"/>
    </row>
    <row r="18" spans="2:16">
      <c r="B18" s="195" t="str">
        <f>IF(D18=F17,"","IU")</f>
        <v/>
      </c>
      <c r="C18" s="507">
        <f>IF(D11="","-",+C17+1)</f>
        <v>2015</v>
      </c>
      <c r="D18" s="629">
        <v>9398609.5238095243</v>
      </c>
      <c r="E18" s="630">
        <v>229453.26190476189</v>
      </c>
      <c r="F18" s="629">
        <v>9169156.2619047631</v>
      </c>
      <c r="G18" s="630">
        <v>1437075.1624886242</v>
      </c>
      <c r="H18" s="639">
        <v>1437075.1624886242</v>
      </c>
      <c r="I18" s="511">
        <v>0</v>
      </c>
      <c r="J18" s="511"/>
      <c r="K18" s="518">
        <f t="shared" si="0"/>
        <v>1437075.1624886242</v>
      </c>
      <c r="L18" s="519">
        <f t="shared" si="1"/>
        <v>0</v>
      </c>
      <c r="M18" s="518">
        <f t="shared" si="2"/>
        <v>1437075.1624886242</v>
      </c>
      <c r="N18" s="514">
        <f>IF(M18&lt;&gt;0,+H18-M18,0)</f>
        <v>0</v>
      </c>
      <c r="O18" s="514">
        <f>+N18-L18</f>
        <v>0</v>
      </c>
      <c r="P18" s="272"/>
    </row>
    <row r="19" spans="2:16">
      <c r="B19" s="195" t="str">
        <f>IF(D19=F18,"","IU")</f>
        <v>IU</v>
      </c>
      <c r="C19" s="507">
        <f>IF(D11="","-",+C18+1)</f>
        <v>2016</v>
      </c>
      <c r="D19" s="629">
        <v>9255993.2619047612</v>
      </c>
      <c r="E19" s="630">
        <v>229453.26190476189</v>
      </c>
      <c r="F19" s="629">
        <v>9026540</v>
      </c>
      <c r="G19" s="630">
        <v>1403625.3596120297</v>
      </c>
      <c r="H19" s="639">
        <v>1403625.3596120297</v>
      </c>
      <c r="I19" s="511">
        <f>H19-G19</f>
        <v>0</v>
      </c>
      <c r="J19" s="511"/>
      <c r="K19" s="518">
        <f t="shared" si="0"/>
        <v>1403625.3596120297</v>
      </c>
      <c r="L19" s="519">
        <f t="shared" si="1"/>
        <v>0</v>
      </c>
      <c r="M19" s="518">
        <f t="shared" si="2"/>
        <v>1403625.3596120297</v>
      </c>
      <c r="N19" s="514">
        <f>IF(M19&lt;&gt;0,+H19-M19,0)</f>
        <v>0</v>
      </c>
      <c r="O19" s="514">
        <f>+N19-L19</f>
        <v>0</v>
      </c>
      <c r="P19" s="272"/>
    </row>
    <row r="20" spans="2:16">
      <c r="B20" s="195" t="str">
        <f t="shared" ref="B20:B72" si="3">IF(D20=F19,"","IU")</f>
        <v/>
      </c>
      <c r="C20" s="507">
        <f>IF(D11="","-",+C19+1)</f>
        <v>2017</v>
      </c>
      <c r="D20" s="629">
        <v>9026540</v>
      </c>
      <c r="E20" s="630">
        <v>224117.13953488372</v>
      </c>
      <c r="F20" s="629">
        <v>8802422.8604651168</v>
      </c>
      <c r="G20" s="630">
        <v>1328554.8298028773</v>
      </c>
      <c r="H20" s="639">
        <v>1328554.8298028773</v>
      </c>
      <c r="I20" s="511">
        <f t="shared" ref="I20:I72" si="4">H20-G20</f>
        <v>0</v>
      </c>
      <c r="J20" s="511"/>
      <c r="K20" s="518">
        <f t="shared" si="0"/>
        <v>1328554.8298028773</v>
      </c>
      <c r="L20" s="519">
        <f t="shared" si="1"/>
        <v>0</v>
      </c>
      <c r="M20" s="518">
        <f t="shared" si="2"/>
        <v>1328554.8298028773</v>
      </c>
      <c r="N20" s="514">
        <f>IF(M20&lt;&gt;0,+H20-M20,0)</f>
        <v>0</v>
      </c>
      <c r="O20" s="514">
        <f>+N20-L20</f>
        <v>0</v>
      </c>
      <c r="P20" s="272"/>
    </row>
    <row r="21" spans="2:16">
      <c r="B21" s="195" t="str">
        <f t="shared" si="3"/>
        <v/>
      </c>
      <c r="C21" s="507">
        <f>IF(D11="","-",+C20+1)</f>
        <v>2018</v>
      </c>
      <c r="D21" s="629">
        <v>8802422.8604651168</v>
      </c>
      <c r="E21" s="630">
        <v>235049.68292682926</v>
      </c>
      <c r="F21" s="629">
        <v>8567373.1775382869</v>
      </c>
      <c r="G21" s="630">
        <v>1338848.9709356753</v>
      </c>
      <c r="H21" s="639">
        <v>1338848.9709356753</v>
      </c>
      <c r="I21" s="511">
        <f t="shared" si="4"/>
        <v>0</v>
      </c>
      <c r="J21" s="511"/>
      <c r="K21" s="518">
        <f t="shared" si="0"/>
        <v>1338848.9709356753</v>
      </c>
      <c r="L21" s="519">
        <f t="shared" si="1"/>
        <v>0</v>
      </c>
      <c r="M21" s="518">
        <f t="shared" si="2"/>
        <v>1338848.9709356753</v>
      </c>
      <c r="N21" s="514">
        <f>IF(M21&lt;&gt;0,+H21-M21,0)</f>
        <v>0</v>
      </c>
      <c r="O21" s="514">
        <f>+N21-L21</f>
        <v>0</v>
      </c>
      <c r="P21" s="272"/>
    </row>
    <row r="22" spans="2:16">
      <c r="B22" s="195" t="str">
        <f t="shared" si="3"/>
        <v/>
      </c>
      <c r="C22" s="507">
        <f>IF(D11="","-",+C21+1)</f>
        <v>2019</v>
      </c>
      <c r="D22" s="629">
        <v>8567373.1775382869</v>
      </c>
      <c r="E22" s="630">
        <v>235049.68292682926</v>
      </c>
      <c r="F22" s="629">
        <v>8332323.4946114579</v>
      </c>
      <c r="G22" s="630">
        <v>1308975.5432807168</v>
      </c>
      <c r="H22" s="639">
        <v>1308975.5432807168</v>
      </c>
      <c r="I22" s="511">
        <f t="shared" si="4"/>
        <v>0</v>
      </c>
      <c r="J22" s="511"/>
      <c r="K22" s="518">
        <f t="shared" si="0"/>
        <v>1308975.5432807168</v>
      </c>
      <c r="L22" s="519">
        <f t="shared" si="1"/>
        <v>0</v>
      </c>
      <c r="M22" s="518">
        <f t="shared" si="2"/>
        <v>1308975.5432807168</v>
      </c>
      <c r="N22" s="514">
        <f t="shared" ref="N22:N72" si="5">IF(M22&lt;&gt;0,+H22-M22,0)</f>
        <v>0</v>
      </c>
      <c r="O22" s="514">
        <f t="shared" ref="O22:O72" si="6">+N22-L22</f>
        <v>0</v>
      </c>
      <c r="P22" s="272"/>
    </row>
    <row r="23" spans="2:16">
      <c r="B23" s="195" t="str">
        <f t="shared" si="3"/>
        <v/>
      </c>
      <c r="C23" s="507">
        <f>IF(D11="","-",+C22+1)</f>
        <v>2020</v>
      </c>
      <c r="D23" s="629">
        <v>8332323.4946114579</v>
      </c>
      <c r="E23" s="630">
        <v>235049.68292682926</v>
      </c>
      <c r="F23" s="629">
        <v>8097273.8116846289</v>
      </c>
      <c r="G23" s="630">
        <v>1075714.8431861391</v>
      </c>
      <c r="H23" s="639">
        <v>1075714.8431861391</v>
      </c>
      <c r="I23" s="511">
        <f t="shared" si="4"/>
        <v>0</v>
      </c>
      <c r="J23" s="511"/>
      <c r="K23" s="518">
        <f t="shared" ref="K23" si="7">G23</f>
        <v>1075714.8431861391</v>
      </c>
      <c r="L23" s="519">
        <f t="shared" ref="L23" si="8">IF(K23&lt;&gt;0,+G23-K23,0)</f>
        <v>0</v>
      </c>
      <c r="M23" s="518">
        <f t="shared" ref="M23" si="9">H23</f>
        <v>1075714.8431861391</v>
      </c>
      <c r="N23" s="514">
        <f t="shared" si="5"/>
        <v>0</v>
      </c>
      <c r="O23" s="514">
        <f t="shared" si="6"/>
        <v>0</v>
      </c>
      <c r="P23" s="272"/>
    </row>
    <row r="24" spans="2:16">
      <c r="B24" s="195" t="str">
        <f t="shared" si="3"/>
        <v>IU</v>
      </c>
      <c r="C24" s="507">
        <f>IF(D11="","-",+C23+1)</f>
        <v>2021</v>
      </c>
      <c r="D24" s="629">
        <v>8108206.3550765738</v>
      </c>
      <c r="E24" s="630">
        <v>229453.26190476189</v>
      </c>
      <c r="F24" s="629">
        <v>7878753.0931718117</v>
      </c>
      <c r="G24" s="630">
        <v>1076798.4433679713</v>
      </c>
      <c r="H24" s="639">
        <v>1076798.4433679713</v>
      </c>
      <c r="I24" s="511">
        <f t="shared" si="4"/>
        <v>0</v>
      </c>
      <c r="J24" s="511"/>
      <c r="K24" s="518">
        <f t="shared" ref="K24" si="10">G24</f>
        <v>1076798.4433679713</v>
      </c>
      <c r="L24" s="519">
        <f t="shared" ref="L24" si="11">IF(K24&lt;&gt;0,+G24-K24,0)</f>
        <v>0</v>
      </c>
      <c r="M24" s="518">
        <f t="shared" ref="M24" si="12">H24</f>
        <v>1076798.4433679713</v>
      </c>
      <c r="N24" s="514">
        <f t="shared" si="5"/>
        <v>0</v>
      </c>
      <c r="O24" s="514">
        <f t="shared" si="6"/>
        <v>0</v>
      </c>
      <c r="P24" s="272"/>
    </row>
    <row r="25" spans="2:16">
      <c r="B25" s="195" t="str">
        <f t="shared" si="3"/>
        <v>IU</v>
      </c>
      <c r="C25" s="507">
        <f>IF(D11="","-",+C24+1)</f>
        <v>2022</v>
      </c>
      <c r="D25" s="629">
        <v>7867820.5497798668</v>
      </c>
      <c r="E25" s="630">
        <v>229453.26190476189</v>
      </c>
      <c r="F25" s="629">
        <v>7638367.2878751047</v>
      </c>
      <c r="G25" s="630">
        <v>1101242.9056569436</v>
      </c>
      <c r="H25" s="639">
        <v>1101242.9056569436</v>
      </c>
      <c r="I25" s="511">
        <f t="shared" si="4"/>
        <v>0</v>
      </c>
      <c r="J25" s="511"/>
      <c r="K25" s="518">
        <f t="shared" ref="K25" si="13">G25</f>
        <v>1101242.9056569436</v>
      </c>
      <c r="L25" s="519">
        <f t="shared" ref="L25" si="14">IF(K25&lt;&gt;0,+G25-K25,0)</f>
        <v>0</v>
      </c>
      <c r="M25" s="518">
        <f t="shared" ref="M25" si="15">H25</f>
        <v>1101242.9056569436</v>
      </c>
      <c r="N25" s="514">
        <f t="shared" si="5"/>
        <v>0</v>
      </c>
      <c r="O25" s="514">
        <f t="shared" si="6"/>
        <v>0</v>
      </c>
      <c r="P25" s="272"/>
    </row>
    <row r="26" spans="2:16">
      <c r="B26" s="195" t="str">
        <f t="shared" si="3"/>
        <v/>
      </c>
      <c r="C26" s="507">
        <f>IF(D11="","-",+C25+1)</f>
        <v>2023</v>
      </c>
      <c r="D26" s="629">
        <v>7638367.2878751047</v>
      </c>
      <c r="E26" s="630">
        <v>229453.26190476189</v>
      </c>
      <c r="F26" s="629">
        <v>7408914.0259703426</v>
      </c>
      <c r="G26" s="630">
        <v>1179890.6200067406</v>
      </c>
      <c r="H26" s="639">
        <v>1179890.6200067406</v>
      </c>
      <c r="I26" s="511">
        <f t="shared" si="4"/>
        <v>0</v>
      </c>
      <c r="J26" s="511"/>
      <c r="K26" s="518">
        <f t="shared" ref="K26" si="16">G26</f>
        <v>1179890.6200067406</v>
      </c>
      <c r="L26" s="519">
        <f t="shared" ref="L26" si="17">IF(K26&lt;&gt;0,+G26-K26,0)</f>
        <v>0</v>
      </c>
      <c r="M26" s="518">
        <f t="shared" ref="M26" si="18">H26</f>
        <v>1179890.6200067406</v>
      </c>
      <c r="N26" s="514">
        <f t="shared" ref="N26" si="19">IF(M26&lt;&gt;0,+H26-M26,0)</f>
        <v>0</v>
      </c>
      <c r="O26" s="514">
        <f t="shared" ref="O26" si="20">+N26-L26</f>
        <v>0</v>
      </c>
      <c r="P26" s="272"/>
    </row>
    <row r="27" spans="2:16">
      <c r="B27" s="195" t="str">
        <f t="shared" si="3"/>
        <v/>
      </c>
      <c r="C27" s="673">
        <f>IF(D11="","-",+C26+1)</f>
        <v>2024</v>
      </c>
      <c r="D27" s="523">
        <f>IF(F26+SUM(E$17:E26)=D$10,F26,D$10-SUM(E$17:E26))</f>
        <v>7408914.0259703426</v>
      </c>
      <c r="E27" s="522">
        <f t="shared" ref="E27:E72" si="21">IF(+$I$14&lt;F26,$I$14,D27)</f>
        <v>219023.56818181818</v>
      </c>
      <c r="F27" s="523">
        <f t="shared" ref="F27:F72" si="22">+D27-E27</f>
        <v>7189890.4577885242</v>
      </c>
      <c r="G27" s="524">
        <f t="shared" ref="G27:G51" si="23">+I$12*((D27+F27)/2)+E27</f>
        <v>1091500.1809427028</v>
      </c>
      <c r="H27" s="491">
        <f t="shared" ref="H27:H51" si="24">+I$13*((D27+F27)/2)+E27</f>
        <v>1091500.1809427028</v>
      </c>
      <c r="I27" s="511">
        <f t="shared" si="4"/>
        <v>0</v>
      </c>
      <c r="J27" s="511"/>
      <c r="K27" s="525"/>
      <c r="L27" s="514">
        <f t="shared" ref="L27:L72" si="25">IF(K27&lt;&gt;0,+G27-K27,0)</f>
        <v>0</v>
      </c>
      <c r="M27" s="525"/>
      <c r="N27" s="514">
        <f t="shared" si="5"/>
        <v>0</v>
      </c>
      <c r="O27" s="514">
        <f t="shared" si="6"/>
        <v>0</v>
      </c>
      <c r="P27" s="272"/>
    </row>
    <row r="28" spans="2:16">
      <c r="B28" s="195" t="str">
        <f t="shared" si="3"/>
        <v/>
      </c>
      <c r="C28" s="507">
        <f>IF(D11="","-",+C27+1)</f>
        <v>2025</v>
      </c>
      <c r="D28" s="523">
        <f>IF(F27+SUM(E$17:E27)=D$10,F27,D$10-SUM(E$17:E27))</f>
        <v>7189890.4577885242</v>
      </c>
      <c r="E28" s="522">
        <f t="shared" si="21"/>
        <v>219023.56818181818</v>
      </c>
      <c r="F28" s="523">
        <f t="shared" si="22"/>
        <v>6970866.8896067059</v>
      </c>
      <c r="G28" s="524">
        <f t="shared" si="23"/>
        <v>1065320.9220732979</v>
      </c>
      <c r="H28" s="491">
        <f t="shared" si="24"/>
        <v>1065320.9220732979</v>
      </c>
      <c r="I28" s="511">
        <f t="shared" si="4"/>
        <v>0</v>
      </c>
      <c r="J28" s="511"/>
      <c r="K28" s="525"/>
      <c r="L28" s="514">
        <f t="shared" si="25"/>
        <v>0</v>
      </c>
      <c r="M28" s="525"/>
      <c r="N28" s="514">
        <f t="shared" si="5"/>
        <v>0</v>
      </c>
      <c r="O28" s="514">
        <f t="shared" si="6"/>
        <v>0</v>
      </c>
      <c r="P28" s="272"/>
    </row>
    <row r="29" spans="2:16">
      <c r="B29" s="195" t="str">
        <f t="shared" si="3"/>
        <v/>
      </c>
      <c r="C29" s="507">
        <f>IF(D11="","-",+C28+1)</f>
        <v>2026</v>
      </c>
      <c r="D29" s="523">
        <f>IF(F28+SUM(E$17:E28)=D$10,F28,D$10-SUM(E$17:E28))</f>
        <v>6970866.8896067059</v>
      </c>
      <c r="E29" s="522">
        <f t="shared" si="21"/>
        <v>219023.56818181818</v>
      </c>
      <c r="F29" s="523">
        <f t="shared" si="22"/>
        <v>6751843.3214248875</v>
      </c>
      <c r="G29" s="524">
        <f t="shared" si="23"/>
        <v>1039141.663203893</v>
      </c>
      <c r="H29" s="491">
        <f t="shared" si="24"/>
        <v>1039141.663203893</v>
      </c>
      <c r="I29" s="511">
        <f t="shared" si="4"/>
        <v>0</v>
      </c>
      <c r="J29" s="511"/>
      <c r="K29" s="525"/>
      <c r="L29" s="514">
        <f t="shared" si="25"/>
        <v>0</v>
      </c>
      <c r="M29" s="525"/>
      <c r="N29" s="514">
        <f t="shared" si="5"/>
        <v>0</v>
      </c>
      <c r="O29" s="514">
        <f t="shared" si="6"/>
        <v>0</v>
      </c>
      <c r="P29" s="272"/>
    </row>
    <row r="30" spans="2:16">
      <c r="B30" s="195" t="str">
        <f t="shared" si="3"/>
        <v/>
      </c>
      <c r="C30" s="507">
        <f>IF(D11="","-",+C29+1)</f>
        <v>2027</v>
      </c>
      <c r="D30" s="523">
        <f>IF(F29+SUM(E$17:E29)=D$10,F29,D$10-SUM(E$17:E29))</f>
        <v>6751843.3214248875</v>
      </c>
      <c r="E30" s="522">
        <f t="shared" si="21"/>
        <v>219023.56818181818</v>
      </c>
      <c r="F30" s="523">
        <f t="shared" si="22"/>
        <v>6532819.7532430692</v>
      </c>
      <c r="G30" s="524">
        <f t="shared" si="23"/>
        <v>1012962.4043344883</v>
      </c>
      <c r="H30" s="491">
        <f t="shared" si="24"/>
        <v>1012962.4043344883</v>
      </c>
      <c r="I30" s="511">
        <f t="shared" si="4"/>
        <v>0</v>
      </c>
      <c r="J30" s="511"/>
      <c r="K30" s="525"/>
      <c r="L30" s="514">
        <f t="shared" si="25"/>
        <v>0</v>
      </c>
      <c r="M30" s="525"/>
      <c r="N30" s="514">
        <f t="shared" si="5"/>
        <v>0</v>
      </c>
      <c r="O30" s="514">
        <f t="shared" si="6"/>
        <v>0</v>
      </c>
      <c r="P30" s="272"/>
    </row>
    <row r="31" spans="2:16">
      <c r="B31" s="195" t="str">
        <f t="shared" si="3"/>
        <v/>
      </c>
      <c r="C31" s="507">
        <f>IF(D11="","-",+C30+1)</f>
        <v>2028</v>
      </c>
      <c r="D31" s="523">
        <f>IF(F30+SUM(E$17:E30)=D$10,F30,D$10-SUM(E$17:E30))</f>
        <v>6532819.7532430692</v>
      </c>
      <c r="E31" s="522">
        <f t="shared" si="21"/>
        <v>219023.56818181818</v>
      </c>
      <c r="F31" s="523">
        <f t="shared" si="22"/>
        <v>6313796.1850612508</v>
      </c>
      <c r="G31" s="524">
        <f t="shared" si="23"/>
        <v>986783.14546508342</v>
      </c>
      <c r="H31" s="491">
        <f t="shared" si="24"/>
        <v>986783.14546508342</v>
      </c>
      <c r="I31" s="511">
        <f t="shared" si="4"/>
        <v>0</v>
      </c>
      <c r="J31" s="511"/>
      <c r="K31" s="525"/>
      <c r="L31" s="514">
        <f t="shared" si="25"/>
        <v>0</v>
      </c>
      <c r="M31" s="525"/>
      <c r="N31" s="514">
        <f t="shared" si="5"/>
        <v>0</v>
      </c>
      <c r="O31" s="514">
        <f t="shared" si="6"/>
        <v>0</v>
      </c>
      <c r="P31" s="272"/>
    </row>
    <row r="32" spans="2:16">
      <c r="B32" s="195" t="str">
        <f t="shared" si="3"/>
        <v/>
      </c>
      <c r="C32" s="507">
        <f>IF(D11="","-",+C31+1)</f>
        <v>2029</v>
      </c>
      <c r="D32" s="523">
        <f>IF(F31+SUM(E$17:E31)=D$10,F31,D$10-SUM(E$17:E31))</f>
        <v>6313796.1850612508</v>
      </c>
      <c r="E32" s="522">
        <f t="shared" si="21"/>
        <v>219023.56818181818</v>
      </c>
      <c r="F32" s="523">
        <f t="shared" si="22"/>
        <v>6094772.6168794325</v>
      </c>
      <c r="G32" s="524">
        <f t="shared" si="23"/>
        <v>960603.88659567875</v>
      </c>
      <c r="H32" s="491">
        <f t="shared" si="24"/>
        <v>960603.88659567875</v>
      </c>
      <c r="I32" s="511">
        <f t="shared" si="4"/>
        <v>0</v>
      </c>
      <c r="J32" s="511"/>
      <c r="K32" s="525"/>
      <c r="L32" s="514">
        <f t="shared" si="25"/>
        <v>0</v>
      </c>
      <c r="M32" s="525"/>
      <c r="N32" s="514">
        <f t="shared" si="5"/>
        <v>0</v>
      </c>
      <c r="O32" s="514">
        <f t="shared" si="6"/>
        <v>0</v>
      </c>
      <c r="P32" s="272"/>
    </row>
    <row r="33" spans="2:16">
      <c r="B33" s="195" t="str">
        <f t="shared" si="3"/>
        <v/>
      </c>
      <c r="C33" s="507">
        <f>IF(D11="","-",+C32+1)</f>
        <v>2030</v>
      </c>
      <c r="D33" s="523">
        <f>IF(F32+SUM(E$17:E32)=D$10,F32,D$10-SUM(E$17:E32))</f>
        <v>6094772.6168794325</v>
      </c>
      <c r="E33" s="522">
        <f t="shared" si="21"/>
        <v>219023.56818181818</v>
      </c>
      <c r="F33" s="523">
        <f t="shared" si="22"/>
        <v>5875749.0486976141</v>
      </c>
      <c r="G33" s="524">
        <f t="shared" si="23"/>
        <v>934424.62772627384</v>
      </c>
      <c r="H33" s="491">
        <f t="shared" si="24"/>
        <v>934424.62772627384</v>
      </c>
      <c r="I33" s="511">
        <f t="shared" si="4"/>
        <v>0</v>
      </c>
      <c r="J33" s="511"/>
      <c r="K33" s="525"/>
      <c r="L33" s="514">
        <f t="shared" si="25"/>
        <v>0</v>
      </c>
      <c r="M33" s="525"/>
      <c r="N33" s="514">
        <f t="shared" si="5"/>
        <v>0</v>
      </c>
      <c r="O33" s="514">
        <f t="shared" si="6"/>
        <v>0</v>
      </c>
      <c r="P33" s="272"/>
    </row>
    <row r="34" spans="2:16">
      <c r="B34" s="195" t="str">
        <f t="shared" si="3"/>
        <v/>
      </c>
      <c r="C34" s="507">
        <f>IF(D11="","-",+C33+1)</f>
        <v>2031</v>
      </c>
      <c r="D34" s="523">
        <f>IF(F33+SUM(E$17:E33)=D$10,F33,D$10-SUM(E$17:E33))</f>
        <v>5875749.0486976141</v>
      </c>
      <c r="E34" s="522">
        <f t="shared" si="21"/>
        <v>219023.56818181818</v>
      </c>
      <c r="F34" s="523">
        <f t="shared" si="22"/>
        <v>5656725.4805157958</v>
      </c>
      <c r="G34" s="524">
        <f t="shared" si="23"/>
        <v>908245.36885686894</v>
      </c>
      <c r="H34" s="491">
        <f t="shared" si="24"/>
        <v>908245.36885686894</v>
      </c>
      <c r="I34" s="511">
        <f t="shared" si="4"/>
        <v>0</v>
      </c>
      <c r="J34" s="511"/>
      <c r="K34" s="525"/>
      <c r="L34" s="514">
        <f t="shared" si="25"/>
        <v>0</v>
      </c>
      <c r="M34" s="525"/>
      <c r="N34" s="514">
        <f t="shared" si="5"/>
        <v>0</v>
      </c>
      <c r="O34" s="514">
        <f t="shared" si="6"/>
        <v>0</v>
      </c>
      <c r="P34" s="272"/>
    </row>
    <row r="35" spans="2:16">
      <c r="B35" s="195" t="str">
        <f t="shared" si="3"/>
        <v/>
      </c>
      <c r="C35" s="507">
        <f>IF(D11="","-",+C34+1)</f>
        <v>2032</v>
      </c>
      <c r="D35" s="523">
        <f>IF(F34+SUM(E$17:E34)=D$10,F34,D$10-SUM(E$17:E34))</f>
        <v>5656725.4805157958</v>
      </c>
      <c r="E35" s="522">
        <f t="shared" si="21"/>
        <v>219023.56818181818</v>
      </c>
      <c r="F35" s="523">
        <f t="shared" si="22"/>
        <v>5437701.9123339774</v>
      </c>
      <c r="G35" s="524">
        <f t="shared" si="23"/>
        <v>882066.10998746427</v>
      </c>
      <c r="H35" s="491">
        <f t="shared" si="24"/>
        <v>882066.10998746427</v>
      </c>
      <c r="I35" s="511">
        <f t="shared" si="4"/>
        <v>0</v>
      </c>
      <c r="J35" s="511"/>
      <c r="K35" s="525"/>
      <c r="L35" s="514">
        <f t="shared" si="25"/>
        <v>0</v>
      </c>
      <c r="M35" s="525"/>
      <c r="N35" s="514">
        <f t="shared" si="5"/>
        <v>0</v>
      </c>
      <c r="O35" s="514">
        <f t="shared" si="6"/>
        <v>0</v>
      </c>
      <c r="P35" s="272"/>
    </row>
    <row r="36" spans="2:16">
      <c r="B36" s="195" t="str">
        <f t="shared" si="3"/>
        <v/>
      </c>
      <c r="C36" s="507">
        <f>IF(D11="","-",+C35+1)</f>
        <v>2033</v>
      </c>
      <c r="D36" s="523">
        <f>IF(F35+SUM(E$17:E35)=D$10,F35,D$10-SUM(E$17:E35))</f>
        <v>5437701.9123339774</v>
      </c>
      <c r="E36" s="522">
        <f t="shared" si="21"/>
        <v>219023.56818181818</v>
      </c>
      <c r="F36" s="523">
        <f t="shared" si="22"/>
        <v>5218678.3441521591</v>
      </c>
      <c r="G36" s="524">
        <f t="shared" si="23"/>
        <v>855886.85111805936</v>
      </c>
      <c r="H36" s="491">
        <f t="shared" si="24"/>
        <v>855886.85111805936</v>
      </c>
      <c r="I36" s="511">
        <f t="shared" si="4"/>
        <v>0</v>
      </c>
      <c r="J36" s="511"/>
      <c r="K36" s="525"/>
      <c r="L36" s="514">
        <f t="shared" si="25"/>
        <v>0</v>
      </c>
      <c r="M36" s="525"/>
      <c r="N36" s="514">
        <f t="shared" si="5"/>
        <v>0</v>
      </c>
      <c r="O36" s="514">
        <f t="shared" si="6"/>
        <v>0</v>
      </c>
      <c r="P36" s="272"/>
    </row>
    <row r="37" spans="2:16">
      <c r="B37" s="195" t="str">
        <f t="shared" si="3"/>
        <v/>
      </c>
      <c r="C37" s="507">
        <f>IF(D11="","-",+C36+1)</f>
        <v>2034</v>
      </c>
      <c r="D37" s="523">
        <f>IF(F36+SUM(E$17:E36)=D$10,F36,D$10-SUM(E$17:E36))</f>
        <v>5218678.3441521591</v>
      </c>
      <c r="E37" s="522">
        <f t="shared" si="21"/>
        <v>219023.56818181818</v>
      </c>
      <c r="F37" s="523">
        <f t="shared" si="22"/>
        <v>4999654.7759703407</v>
      </c>
      <c r="G37" s="524">
        <f t="shared" si="23"/>
        <v>829707.59224865469</v>
      </c>
      <c r="H37" s="491">
        <f t="shared" si="24"/>
        <v>829707.59224865469</v>
      </c>
      <c r="I37" s="511">
        <f t="shared" si="4"/>
        <v>0</v>
      </c>
      <c r="J37" s="511"/>
      <c r="K37" s="525"/>
      <c r="L37" s="514">
        <f t="shared" si="25"/>
        <v>0</v>
      </c>
      <c r="M37" s="525"/>
      <c r="N37" s="514">
        <f t="shared" si="5"/>
        <v>0</v>
      </c>
      <c r="O37" s="514">
        <f t="shared" si="6"/>
        <v>0</v>
      </c>
      <c r="P37" s="272"/>
    </row>
    <row r="38" spans="2:16">
      <c r="B38" s="195" t="str">
        <f t="shared" si="3"/>
        <v/>
      </c>
      <c r="C38" s="507">
        <f>IF(D11="","-",+C37+1)</f>
        <v>2035</v>
      </c>
      <c r="D38" s="523">
        <f>IF(F37+SUM(E$17:E37)=D$10,F37,D$10-SUM(E$17:E37))</f>
        <v>4999654.7759703407</v>
      </c>
      <c r="E38" s="522">
        <f t="shared" si="21"/>
        <v>219023.56818181818</v>
      </c>
      <c r="F38" s="523">
        <f t="shared" si="22"/>
        <v>4780631.2077885224</v>
      </c>
      <c r="G38" s="524">
        <f t="shared" si="23"/>
        <v>803528.33337924979</v>
      </c>
      <c r="H38" s="491">
        <f t="shared" si="24"/>
        <v>803528.33337924979</v>
      </c>
      <c r="I38" s="511">
        <f t="shared" si="4"/>
        <v>0</v>
      </c>
      <c r="J38" s="511"/>
      <c r="K38" s="525"/>
      <c r="L38" s="514">
        <f t="shared" si="25"/>
        <v>0</v>
      </c>
      <c r="M38" s="525"/>
      <c r="N38" s="514">
        <f t="shared" si="5"/>
        <v>0</v>
      </c>
      <c r="O38" s="514">
        <f t="shared" si="6"/>
        <v>0</v>
      </c>
      <c r="P38" s="272"/>
    </row>
    <row r="39" spans="2:16">
      <c r="B39" s="195" t="str">
        <f t="shared" si="3"/>
        <v/>
      </c>
      <c r="C39" s="507">
        <f>IF(D11="","-",+C38+1)</f>
        <v>2036</v>
      </c>
      <c r="D39" s="523">
        <f>IF(F38+SUM(E$17:E38)=D$10,F38,D$10-SUM(E$17:E38))</f>
        <v>4780631.2077885224</v>
      </c>
      <c r="E39" s="522">
        <f t="shared" si="21"/>
        <v>219023.56818181818</v>
      </c>
      <c r="F39" s="523">
        <f t="shared" si="22"/>
        <v>4561607.639606704</v>
      </c>
      <c r="G39" s="524">
        <f t="shared" si="23"/>
        <v>777349.07450984488</v>
      </c>
      <c r="H39" s="491">
        <f t="shared" si="24"/>
        <v>777349.07450984488</v>
      </c>
      <c r="I39" s="511">
        <f t="shared" si="4"/>
        <v>0</v>
      </c>
      <c r="J39" s="511"/>
      <c r="K39" s="525"/>
      <c r="L39" s="514">
        <f t="shared" si="25"/>
        <v>0</v>
      </c>
      <c r="M39" s="525"/>
      <c r="N39" s="514">
        <f t="shared" si="5"/>
        <v>0</v>
      </c>
      <c r="O39" s="514">
        <f t="shared" si="6"/>
        <v>0</v>
      </c>
      <c r="P39" s="272"/>
    </row>
    <row r="40" spans="2:16">
      <c r="B40" s="195" t="str">
        <f t="shared" si="3"/>
        <v/>
      </c>
      <c r="C40" s="507">
        <f>IF(D11="","-",+C39+1)</f>
        <v>2037</v>
      </c>
      <c r="D40" s="523">
        <f>IF(F39+SUM(E$17:E39)=D$10,F39,D$10-SUM(E$17:E39))</f>
        <v>4561607.639606704</v>
      </c>
      <c r="E40" s="522">
        <f t="shared" si="21"/>
        <v>219023.56818181818</v>
      </c>
      <c r="F40" s="523">
        <f t="shared" si="22"/>
        <v>4342584.0714248857</v>
      </c>
      <c r="G40" s="524">
        <f t="shared" si="23"/>
        <v>751169.81564044021</v>
      </c>
      <c r="H40" s="491">
        <f t="shared" si="24"/>
        <v>751169.81564044021</v>
      </c>
      <c r="I40" s="511">
        <f t="shared" si="4"/>
        <v>0</v>
      </c>
      <c r="J40" s="511"/>
      <c r="K40" s="525"/>
      <c r="L40" s="514">
        <f t="shared" si="25"/>
        <v>0</v>
      </c>
      <c r="M40" s="525"/>
      <c r="N40" s="514">
        <f t="shared" si="5"/>
        <v>0</v>
      </c>
      <c r="O40" s="514">
        <f t="shared" si="6"/>
        <v>0</v>
      </c>
      <c r="P40" s="272"/>
    </row>
    <row r="41" spans="2:16">
      <c r="B41" s="195" t="str">
        <f t="shared" si="3"/>
        <v/>
      </c>
      <c r="C41" s="507">
        <f>IF(D11="","-",+C40+1)</f>
        <v>2038</v>
      </c>
      <c r="D41" s="523">
        <f>IF(F40+SUM(E$17:E40)=D$10,F40,D$10-SUM(E$17:E40))</f>
        <v>4342584.0714248857</v>
      </c>
      <c r="E41" s="522">
        <f t="shared" si="21"/>
        <v>219023.56818181818</v>
      </c>
      <c r="F41" s="523">
        <f t="shared" si="22"/>
        <v>4123560.5032430673</v>
      </c>
      <c r="G41" s="524">
        <f t="shared" si="23"/>
        <v>724990.55677103531</v>
      </c>
      <c r="H41" s="491">
        <f t="shared" si="24"/>
        <v>724990.55677103531</v>
      </c>
      <c r="I41" s="511">
        <f t="shared" si="4"/>
        <v>0</v>
      </c>
      <c r="J41" s="511"/>
      <c r="K41" s="525"/>
      <c r="L41" s="514">
        <f t="shared" si="25"/>
        <v>0</v>
      </c>
      <c r="M41" s="525"/>
      <c r="N41" s="514">
        <f t="shared" si="5"/>
        <v>0</v>
      </c>
      <c r="O41" s="514">
        <f t="shared" si="6"/>
        <v>0</v>
      </c>
      <c r="P41" s="272"/>
    </row>
    <row r="42" spans="2:16">
      <c r="B42" s="195" t="str">
        <f t="shared" si="3"/>
        <v/>
      </c>
      <c r="C42" s="507">
        <f>IF(D11="","-",+C41+1)</f>
        <v>2039</v>
      </c>
      <c r="D42" s="523">
        <f>IF(F41+SUM(E$17:E41)=D$10,F41,D$10-SUM(E$17:E41))</f>
        <v>4123560.5032430673</v>
      </c>
      <c r="E42" s="522">
        <f t="shared" si="21"/>
        <v>219023.56818181818</v>
      </c>
      <c r="F42" s="523">
        <f t="shared" si="22"/>
        <v>3904536.935061249</v>
      </c>
      <c r="G42" s="524">
        <f t="shared" si="23"/>
        <v>698811.29790163052</v>
      </c>
      <c r="H42" s="491">
        <f t="shared" si="24"/>
        <v>698811.29790163052</v>
      </c>
      <c r="I42" s="511">
        <f t="shared" si="4"/>
        <v>0</v>
      </c>
      <c r="J42" s="511"/>
      <c r="K42" s="525"/>
      <c r="L42" s="514">
        <f t="shared" si="25"/>
        <v>0</v>
      </c>
      <c r="M42" s="525"/>
      <c r="N42" s="514">
        <f t="shared" si="5"/>
        <v>0</v>
      </c>
      <c r="O42" s="514">
        <f t="shared" si="6"/>
        <v>0</v>
      </c>
      <c r="P42" s="272"/>
    </row>
    <row r="43" spans="2:16">
      <c r="B43" s="195" t="str">
        <f t="shared" si="3"/>
        <v/>
      </c>
      <c r="C43" s="507">
        <f>IF(D11="","-",+C42+1)</f>
        <v>2040</v>
      </c>
      <c r="D43" s="523">
        <f>IF(F42+SUM(E$17:E42)=D$10,F42,D$10-SUM(E$17:E42))</f>
        <v>3904536.935061249</v>
      </c>
      <c r="E43" s="522">
        <f t="shared" si="21"/>
        <v>219023.56818181818</v>
      </c>
      <c r="F43" s="523">
        <f t="shared" si="22"/>
        <v>3685513.3668794306</v>
      </c>
      <c r="G43" s="524">
        <f t="shared" si="23"/>
        <v>672632.03903222573</v>
      </c>
      <c r="H43" s="491">
        <f t="shared" si="24"/>
        <v>672632.03903222573</v>
      </c>
      <c r="I43" s="511">
        <f t="shared" si="4"/>
        <v>0</v>
      </c>
      <c r="J43" s="511"/>
      <c r="K43" s="525"/>
      <c r="L43" s="514">
        <f t="shared" si="25"/>
        <v>0</v>
      </c>
      <c r="M43" s="525"/>
      <c r="N43" s="514">
        <f t="shared" si="5"/>
        <v>0</v>
      </c>
      <c r="O43" s="514">
        <f t="shared" si="6"/>
        <v>0</v>
      </c>
      <c r="P43" s="272"/>
    </row>
    <row r="44" spans="2:16">
      <c r="B44" s="195" t="str">
        <f t="shared" si="3"/>
        <v/>
      </c>
      <c r="C44" s="507">
        <f>IF(D11="","-",+C43+1)</f>
        <v>2041</v>
      </c>
      <c r="D44" s="523">
        <f>IF(F43+SUM(E$17:E43)=D$10,F43,D$10-SUM(E$17:E43))</f>
        <v>3685513.3668794306</v>
      </c>
      <c r="E44" s="522">
        <f t="shared" si="21"/>
        <v>219023.56818181818</v>
      </c>
      <c r="F44" s="523">
        <f t="shared" si="22"/>
        <v>3466489.7986976122</v>
      </c>
      <c r="G44" s="524">
        <f t="shared" si="23"/>
        <v>646452.78016282083</v>
      </c>
      <c r="H44" s="491">
        <f t="shared" si="24"/>
        <v>646452.78016282083</v>
      </c>
      <c r="I44" s="511">
        <f t="shared" si="4"/>
        <v>0</v>
      </c>
      <c r="J44" s="511"/>
      <c r="K44" s="525"/>
      <c r="L44" s="514">
        <f t="shared" si="25"/>
        <v>0</v>
      </c>
      <c r="M44" s="525"/>
      <c r="N44" s="514">
        <f t="shared" si="5"/>
        <v>0</v>
      </c>
      <c r="O44" s="514">
        <f t="shared" si="6"/>
        <v>0</v>
      </c>
      <c r="P44" s="272"/>
    </row>
    <row r="45" spans="2:16">
      <c r="B45" s="195" t="str">
        <f t="shared" si="3"/>
        <v/>
      </c>
      <c r="C45" s="507">
        <f>IF(D11="","-",+C44+1)</f>
        <v>2042</v>
      </c>
      <c r="D45" s="523">
        <f>IF(F44+SUM(E$17:E44)=D$10,F44,D$10-SUM(E$17:E44))</f>
        <v>3466489.7986976122</v>
      </c>
      <c r="E45" s="522">
        <f t="shared" si="21"/>
        <v>219023.56818181818</v>
      </c>
      <c r="F45" s="523">
        <f t="shared" si="22"/>
        <v>3247466.2305157939</v>
      </c>
      <c r="G45" s="524">
        <f t="shared" si="23"/>
        <v>620273.52129341615</v>
      </c>
      <c r="H45" s="491">
        <f t="shared" si="24"/>
        <v>620273.52129341615</v>
      </c>
      <c r="I45" s="511">
        <f t="shared" si="4"/>
        <v>0</v>
      </c>
      <c r="J45" s="511"/>
      <c r="K45" s="525"/>
      <c r="L45" s="514">
        <f t="shared" si="25"/>
        <v>0</v>
      </c>
      <c r="M45" s="525"/>
      <c r="N45" s="514">
        <f t="shared" si="5"/>
        <v>0</v>
      </c>
      <c r="O45" s="514">
        <f t="shared" si="6"/>
        <v>0</v>
      </c>
      <c r="P45" s="272"/>
    </row>
    <row r="46" spans="2:16">
      <c r="B46" s="195" t="str">
        <f t="shared" si="3"/>
        <v/>
      </c>
      <c r="C46" s="507">
        <f>IF(D11="","-",+C45+1)</f>
        <v>2043</v>
      </c>
      <c r="D46" s="523">
        <f>IF(F45+SUM(E$17:E45)=D$10,F45,D$10-SUM(E$17:E45))</f>
        <v>3247466.2305157939</v>
      </c>
      <c r="E46" s="522">
        <f t="shared" si="21"/>
        <v>219023.56818181818</v>
      </c>
      <c r="F46" s="523">
        <f t="shared" si="22"/>
        <v>3028442.6623339755</v>
      </c>
      <c r="G46" s="524">
        <f t="shared" si="23"/>
        <v>594094.26242401125</v>
      </c>
      <c r="H46" s="491">
        <f t="shared" si="24"/>
        <v>594094.26242401125</v>
      </c>
      <c r="I46" s="511">
        <f t="shared" si="4"/>
        <v>0</v>
      </c>
      <c r="J46" s="511"/>
      <c r="K46" s="525"/>
      <c r="L46" s="514">
        <f t="shared" si="25"/>
        <v>0</v>
      </c>
      <c r="M46" s="525"/>
      <c r="N46" s="514">
        <f t="shared" si="5"/>
        <v>0</v>
      </c>
      <c r="O46" s="514">
        <f t="shared" si="6"/>
        <v>0</v>
      </c>
      <c r="P46" s="272"/>
    </row>
    <row r="47" spans="2:16">
      <c r="B47" s="195" t="str">
        <f t="shared" si="3"/>
        <v/>
      </c>
      <c r="C47" s="507">
        <f>IF(D11="","-",+C46+1)</f>
        <v>2044</v>
      </c>
      <c r="D47" s="523">
        <f>IF(F46+SUM(E$17:E46)=D$10,F46,D$10-SUM(E$17:E46))</f>
        <v>3028442.6623339755</v>
      </c>
      <c r="E47" s="522">
        <f t="shared" si="21"/>
        <v>219023.56818181818</v>
      </c>
      <c r="F47" s="523">
        <f t="shared" si="22"/>
        <v>2809419.0941521572</v>
      </c>
      <c r="G47" s="524">
        <f t="shared" si="23"/>
        <v>567915.00355460646</v>
      </c>
      <c r="H47" s="491">
        <f t="shared" si="24"/>
        <v>567915.00355460646</v>
      </c>
      <c r="I47" s="511">
        <f t="shared" si="4"/>
        <v>0</v>
      </c>
      <c r="J47" s="511"/>
      <c r="K47" s="525"/>
      <c r="L47" s="514">
        <f t="shared" si="25"/>
        <v>0</v>
      </c>
      <c r="M47" s="525"/>
      <c r="N47" s="514">
        <f t="shared" si="5"/>
        <v>0</v>
      </c>
      <c r="O47" s="514">
        <f t="shared" si="6"/>
        <v>0</v>
      </c>
      <c r="P47" s="272"/>
    </row>
    <row r="48" spans="2:16">
      <c r="B48" s="195" t="str">
        <f t="shared" si="3"/>
        <v/>
      </c>
      <c r="C48" s="507">
        <f>IF(D11="","-",+C47+1)</f>
        <v>2045</v>
      </c>
      <c r="D48" s="523">
        <f>IF(F47+SUM(E$17:E47)=D$10,F47,D$10-SUM(E$17:E47))</f>
        <v>2809419.0941521572</v>
      </c>
      <c r="E48" s="522">
        <f t="shared" si="21"/>
        <v>219023.56818181818</v>
      </c>
      <c r="F48" s="523">
        <f t="shared" si="22"/>
        <v>2590395.5259703388</v>
      </c>
      <c r="G48" s="524">
        <f t="shared" si="23"/>
        <v>541735.74468520167</v>
      </c>
      <c r="H48" s="491">
        <f t="shared" si="24"/>
        <v>541735.74468520167</v>
      </c>
      <c r="I48" s="511">
        <f t="shared" si="4"/>
        <v>0</v>
      </c>
      <c r="J48" s="511"/>
      <c r="K48" s="525"/>
      <c r="L48" s="514">
        <f t="shared" si="25"/>
        <v>0</v>
      </c>
      <c r="M48" s="525"/>
      <c r="N48" s="514">
        <f t="shared" si="5"/>
        <v>0</v>
      </c>
      <c r="O48" s="514">
        <f t="shared" si="6"/>
        <v>0</v>
      </c>
      <c r="P48" s="272"/>
    </row>
    <row r="49" spans="2:16">
      <c r="B49" s="195" t="str">
        <f t="shared" si="3"/>
        <v/>
      </c>
      <c r="C49" s="507">
        <f>IF(D11="","-",+C48+1)</f>
        <v>2046</v>
      </c>
      <c r="D49" s="523">
        <f>IF(F48+SUM(E$17:E48)=D$10,F48,D$10-SUM(E$17:E48))</f>
        <v>2590395.5259703388</v>
      </c>
      <c r="E49" s="522">
        <f t="shared" si="21"/>
        <v>219023.56818181818</v>
      </c>
      <c r="F49" s="523">
        <f t="shared" si="22"/>
        <v>2371371.9577885205</v>
      </c>
      <c r="G49" s="524">
        <f t="shared" si="23"/>
        <v>515556.48581579688</v>
      </c>
      <c r="H49" s="491">
        <f t="shared" si="24"/>
        <v>515556.48581579688</v>
      </c>
      <c r="I49" s="511">
        <f t="shared" si="4"/>
        <v>0</v>
      </c>
      <c r="J49" s="511"/>
      <c r="K49" s="525"/>
      <c r="L49" s="514">
        <f t="shared" si="25"/>
        <v>0</v>
      </c>
      <c r="M49" s="525"/>
      <c r="N49" s="514">
        <f t="shared" si="5"/>
        <v>0</v>
      </c>
      <c r="O49" s="514">
        <f t="shared" si="6"/>
        <v>0</v>
      </c>
      <c r="P49" s="272"/>
    </row>
    <row r="50" spans="2:16">
      <c r="B50" s="195" t="str">
        <f t="shared" si="3"/>
        <v/>
      </c>
      <c r="C50" s="507">
        <f>IF(D11="","-",+C49+1)</f>
        <v>2047</v>
      </c>
      <c r="D50" s="523">
        <f>IF(F49+SUM(E$17:E49)=D$10,F49,D$10-SUM(E$17:E49))</f>
        <v>2371371.9577885205</v>
      </c>
      <c r="E50" s="522">
        <f t="shared" si="21"/>
        <v>219023.56818181818</v>
      </c>
      <c r="F50" s="523">
        <f t="shared" si="22"/>
        <v>2152348.3896067021</v>
      </c>
      <c r="G50" s="524">
        <f t="shared" si="23"/>
        <v>489377.22694639204</v>
      </c>
      <c r="H50" s="491">
        <f t="shared" si="24"/>
        <v>489377.22694639204</v>
      </c>
      <c r="I50" s="511">
        <f t="shared" si="4"/>
        <v>0</v>
      </c>
      <c r="J50" s="511"/>
      <c r="K50" s="525"/>
      <c r="L50" s="514">
        <f t="shared" si="25"/>
        <v>0</v>
      </c>
      <c r="M50" s="525"/>
      <c r="N50" s="514">
        <f t="shared" si="5"/>
        <v>0</v>
      </c>
      <c r="O50" s="514">
        <f t="shared" si="6"/>
        <v>0</v>
      </c>
      <c r="P50" s="272"/>
    </row>
    <row r="51" spans="2:16">
      <c r="B51" s="195" t="str">
        <f t="shared" si="3"/>
        <v/>
      </c>
      <c r="C51" s="507">
        <f>IF(D11="","-",+C50+1)</f>
        <v>2048</v>
      </c>
      <c r="D51" s="523">
        <f>IF(F50+SUM(E$17:E50)=D$10,F50,D$10-SUM(E$17:E50))</f>
        <v>2152348.3896067021</v>
      </c>
      <c r="E51" s="522">
        <f t="shared" si="21"/>
        <v>219023.56818181818</v>
      </c>
      <c r="F51" s="523">
        <f t="shared" si="22"/>
        <v>1933324.821424884</v>
      </c>
      <c r="G51" s="524">
        <f t="shared" si="23"/>
        <v>463197.96807698719</v>
      </c>
      <c r="H51" s="491">
        <f t="shared" si="24"/>
        <v>463197.96807698719</v>
      </c>
      <c r="I51" s="511">
        <f t="shared" si="4"/>
        <v>0</v>
      </c>
      <c r="J51" s="511"/>
      <c r="K51" s="525"/>
      <c r="L51" s="514">
        <f t="shared" si="25"/>
        <v>0</v>
      </c>
      <c r="M51" s="525"/>
      <c r="N51" s="514">
        <f t="shared" si="5"/>
        <v>0</v>
      </c>
      <c r="O51" s="514">
        <f t="shared" si="6"/>
        <v>0</v>
      </c>
      <c r="P51" s="272"/>
    </row>
    <row r="52" spans="2:16">
      <c r="B52" s="195" t="str">
        <f t="shared" si="3"/>
        <v/>
      </c>
      <c r="C52" s="507">
        <f>IF(D11="","-",+C51+1)</f>
        <v>2049</v>
      </c>
      <c r="D52" s="523">
        <f>IF(F51+SUM(E$17:E51)=D$10,F51,D$10-SUM(E$17:E51))</f>
        <v>1933324.821424884</v>
      </c>
      <c r="E52" s="522">
        <f t="shared" si="21"/>
        <v>219023.56818181818</v>
      </c>
      <c r="F52" s="523">
        <f t="shared" si="22"/>
        <v>1714301.2532430659</v>
      </c>
      <c r="G52" s="524">
        <f t="shared" ref="G52:G72" si="26">+I$12*((D52+F52)/2)+E52</f>
        <v>437018.70920758252</v>
      </c>
      <c r="H52" s="491">
        <f t="shared" ref="H52:H72" si="27">+I$13*((D52+F52)/2)+E52</f>
        <v>437018.70920758252</v>
      </c>
      <c r="I52" s="511">
        <f t="shared" si="4"/>
        <v>0</v>
      </c>
      <c r="J52" s="511"/>
      <c r="K52" s="525"/>
      <c r="L52" s="514">
        <f t="shared" si="25"/>
        <v>0</v>
      </c>
      <c r="M52" s="525"/>
      <c r="N52" s="514">
        <f t="shared" si="5"/>
        <v>0</v>
      </c>
      <c r="O52" s="514">
        <f t="shared" si="6"/>
        <v>0</v>
      </c>
      <c r="P52" s="272"/>
    </row>
    <row r="53" spans="2:16">
      <c r="B53" s="195" t="str">
        <f t="shared" si="3"/>
        <v/>
      </c>
      <c r="C53" s="507">
        <f>IF(D11="","-",+C52+1)</f>
        <v>2050</v>
      </c>
      <c r="D53" s="523">
        <f>IF(F52+SUM(E$17:E52)=D$10,F52,D$10-SUM(E$17:E52))</f>
        <v>1714301.2532430659</v>
      </c>
      <c r="E53" s="522">
        <f t="shared" si="21"/>
        <v>219023.56818181818</v>
      </c>
      <c r="F53" s="523">
        <f t="shared" si="22"/>
        <v>1495277.6850612478</v>
      </c>
      <c r="G53" s="524">
        <f t="shared" si="26"/>
        <v>410839.45033817767</v>
      </c>
      <c r="H53" s="491">
        <f t="shared" si="27"/>
        <v>410839.45033817767</v>
      </c>
      <c r="I53" s="511">
        <f t="shared" si="4"/>
        <v>0</v>
      </c>
      <c r="J53" s="511"/>
      <c r="K53" s="525"/>
      <c r="L53" s="514">
        <f t="shared" si="25"/>
        <v>0</v>
      </c>
      <c r="M53" s="525"/>
      <c r="N53" s="514">
        <f t="shared" si="5"/>
        <v>0</v>
      </c>
      <c r="O53" s="514">
        <f t="shared" si="6"/>
        <v>0</v>
      </c>
      <c r="P53" s="272"/>
    </row>
    <row r="54" spans="2:16">
      <c r="B54" s="195" t="str">
        <f t="shared" si="3"/>
        <v/>
      </c>
      <c r="C54" s="507">
        <f>IF(D11="","-",+C53+1)</f>
        <v>2051</v>
      </c>
      <c r="D54" s="523">
        <f>IF(F53+SUM(E$17:E53)=D$10,F53,D$10-SUM(E$17:E53))</f>
        <v>1495277.6850612478</v>
      </c>
      <c r="E54" s="522">
        <f t="shared" si="21"/>
        <v>219023.56818181818</v>
      </c>
      <c r="F54" s="523">
        <f t="shared" si="22"/>
        <v>1276254.1168794297</v>
      </c>
      <c r="G54" s="524">
        <f t="shared" si="26"/>
        <v>384660.19146877294</v>
      </c>
      <c r="H54" s="491">
        <f t="shared" si="27"/>
        <v>384660.19146877294</v>
      </c>
      <c r="I54" s="511">
        <f t="shared" si="4"/>
        <v>0</v>
      </c>
      <c r="J54" s="511"/>
      <c r="K54" s="525"/>
      <c r="L54" s="514">
        <f t="shared" si="25"/>
        <v>0</v>
      </c>
      <c r="M54" s="525"/>
      <c r="N54" s="514">
        <f t="shared" si="5"/>
        <v>0</v>
      </c>
      <c r="O54" s="514">
        <f t="shared" si="6"/>
        <v>0</v>
      </c>
      <c r="P54" s="272"/>
    </row>
    <row r="55" spans="2:16">
      <c r="B55" s="195" t="str">
        <f t="shared" si="3"/>
        <v/>
      </c>
      <c r="C55" s="507">
        <f>IF(D11="","-",+C54+1)</f>
        <v>2052</v>
      </c>
      <c r="D55" s="523">
        <f>IF(F54+SUM(E$17:E54)=D$10,F54,D$10-SUM(E$17:E54))</f>
        <v>1276254.1168794297</v>
      </c>
      <c r="E55" s="522">
        <f t="shared" si="21"/>
        <v>219023.56818181818</v>
      </c>
      <c r="F55" s="523">
        <f t="shared" si="22"/>
        <v>1057230.5486976115</v>
      </c>
      <c r="G55" s="524">
        <f t="shared" si="26"/>
        <v>358480.9325993681</v>
      </c>
      <c r="H55" s="491">
        <f t="shared" si="27"/>
        <v>358480.9325993681</v>
      </c>
      <c r="I55" s="511">
        <f t="shared" si="4"/>
        <v>0</v>
      </c>
      <c r="J55" s="511"/>
      <c r="K55" s="525"/>
      <c r="L55" s="514">
        <f t="shared" si="25"/>
        <v>0</v>
      </c>
      <c r="M55" s="525"/>
      <c r="N55" s="514">
        <f t="shared" si="5"/>
        <v>0</v>
      </c>
      <c r="O55" s="514">
        <f t="shared" si="6"/>
        <v>0</v>
      </c>
      <c r="P55" s="272"/>
    </row>
    <row r="56" spans="2:16">
      <c r="B56" s="195" t="str">
        <f t="shared" si="3"/>
        <v/>
      </c>
      <c r="C56" s="507">
        <f>IF(D11="","-",+C55+1)</f>
        <v>2053</v>
      </c>
      <c r="D56" s="523">
        <f>IF(F55+SUM(E$17:E55)=D$10,F55,D$10-SUM(E$17:E55))</f>
        <v>1057230.5486976115</v>
      </c>
      <c r="E56" s="522">
        <f t="shared" si="21"/>
        <v>219023.56818181818</v>
      </c>
      <c r="F56" s="523">
        <f t="shared" si="22"/>
        <v>838206.98051579343</v>
      </c>
      <c r="G56" s="524">
        <f t="shared" si="26"/>
        <v>332301.67372996337</v>
      </c>
      <c r="H56" s="491">
        <f t="shared" si="27"/>
        <v>332301.67372996337</v>
      </c>
      <c r="I56" s="511">
        <f t="shared" si="4"/>
        <v>0</v>
      </c>
      <c r="J56" s="511"/>
      <c r="K56" s="525"/>
      <c r="L56" s="514">
        <f t="shared" si="25"/>
        <v>0</v>
      </c>
      <c r="M56" s="525"/>
      <c r="N56" s="514">
        <f t="shared" si="5"/>
        <v>0</v>
      </c>
      <c r="O56" s="514">
        <f t="shared" si="6"/>
        <v>0</v>
      </c>
      <c r="P56" s="272"/>
    </row>
    <row r="57" spans="2:16">
      <c r="B57" s="195" t="str">
        <f t="shared" si="3"/>
        <v/>
      </c>
      <c r="C57" s="507">
        <f>IF(D11="","-",+C56+1)</f>
        <v>2054</v>
      </c>
      <c r="D57" s="523">
        <f>IF(F56+SUM(E$17:E56)=D$10,F56,D$10-SUM(E$17:E56))</f>
        <v>838206.98051579343</v>
      </c>
      <c r="E57" s="522">
        <f t="shared" si="21"/>
        <v>219023.56818181818</v>
      </c>
      <c r="F57" s="523">
        <f t="shared" si="22"/>
        <v>619183.41233397531</v>
      </c>
      <c r="G57" s="524">
        <f t="shared" si="26"/>
        <v>306122.41486055858</v>
      </c>
      <c r="H57" s="491">
        <f t="shared" si="27"/>
        <v>306122.41486055858</v>
      </c>
      <c r="I57" s="511">
        <f t="shared" si="4"/>
        <v>0</v>
      </c>
      <c r="J57" s="511"/>
      <c r="K57" s="525"/>
      <c r="L57" s="514">
        <f t="shared" si="25"/>
        <v>0</v>
      </c>
      <c r="M57" s="525"/>
      <c r="N57" s="514">
        <f t="shared" si="5"/>
        <v>0</v>
      </c>
      <c r="O57" s="514">
        <f t="shared" si="6"/>
        <v>0</v>
      </c>
      <c r="P57" s="272"/>
    </row>
    <row r="58" spans="2:16">
      <c r="B58" s="195" t="str">
        <f t="shared" si="3"/>
        <v/>
      </c>
      <c r="C58" s="507">
        <f>IF(D11="","-",+C57+1)</f>
        <v>2055</v>
      </c>
      <c r="D58" s="523">
        <f>IF(F57+SUM(E$17:E57)=D$10,F57,D$10-SUM(E$17:E57))</f>
        <v>619183.41233397531</v>
      </c>
      <c r="E58" s="522">
        <f t="shared" si="21"/>
        <v>219023.56818181818</v>
      </c>
      <c r="F58" s="523">
        <f t="shared" si="22"/>
        <v>400159.84415215714</v>
      </c>
      <c r="G58" s="524">
        <f t="shared" si="26"/>
        <v>279943.15599115379</v>
      </c>
      <c r="H58" s="491">
        <f t="shared" si="27"/>
        <v>279943.15599115379</v>
      </c>
      <c r="I58" s="511">
        <f t="shared" si="4"/>
        <v>0</v>
      </c>
      <c r="J58" s="511"/>
      <c r="K58" s="525"/>
      <c r="L58" s="514">
        <f t="shared" si="25"/>
        <v>0</v>
      </c>
      <c r="M58" s="525"/>
      <c r="N58" s="514">
        <f t="shared" si="5"/>
        <v>0</v>
      </c>
      <c r="O58" s="514">
        <f t="shared" si="6"/>
        <v>0</v>
      </c>
      <c r="P58" s="272"/>
    </row>
    <row r="59" spans="2:16">
      <c r="B59" s="195" t="str">
        <f t="shared" si="3"/>
        <v/>
      </c>
      <c r="C59" s="507">
        <f>IF(D11="","-",+C58+1)</f>
        <v>2056</v>
      </c>
      <c r="D59" s="523">
        <f>IF(F58+SUM(E$17:E58)=D$10,F58,D$10-SUM(E$17:E58))</f>
        <v>400159.84415215714</v>
      </c>
      <c r="E59" s="522">
        <f t="shared" si="21"/>
        <v>219023.56818181818</v>
      </c>
      <c r="F59" s="523">
        <f t="shared" si="22"/>
        <v>181136.27597033896</v>
      </c>
      <c r="G59" s="524">
        <f t="shared" si="26"/>
        <v>253763.89712174897</v>
      </c>
      <c r="H59" s="491">
        <f t="shared" si="27"/>
        <v>253763.89712174897</v>
      </c>
      <c r="I59" s="511">
        <f t="shared" si="4"/>
        <v>0</v>
      </c>
      <c r="J59" s="511"/>
      <c r="K59" s="525"/>
      <c r="L59" s="514">
        <f t="shared" si="25"/>
        <v>0</v>
      </c>
      <c r="M59" s="525"/>
      <c r="N59" s="514">
        <f t="shared" si="5"/>
        <v>0</v>
      </c>
      <c r="O59" s="514">
        <f t="shared" si="6"/>
        <v>0</v>
      </c>
      <c r="P59" s="272"/>
    </row>
    <row r="60" spans="2:16">
      <c r="B60" s="195" t="str">
        <f t="shared" si="3"/>
        <v/>
      </c>
      <c r="C60" s="507">
        <f>IF(D11="","-",+C59+1)</f>
        <v>2057</v>
      </c>
      <c r="D60" s="523">
        <f>IF(F59+SUM(E$17:E59)=D$10,F59,D$10-SUM(E$17:E59))</f>
        <v>181136.27597033896</v>
      </c>
      <c r="E60" s="522">
        <f t="shared" si="21"/>
        <v>181136.27597033896</v>
      </c>
      <c r="F60" s="523">
        <f t="shared" si="22"/>
        <v>0</v>
      </c>
      <c r="G60" s="524">
        <f t="shared" si="26"/>
        <v>191961.62572295318</v>
      </c>
      <c r="H60" s="491">
        <f t="shared" si="27"/>
        <v>191961.62572295318</v>
      </c>
      <c r="I60" s="511">
        <f t="shared" si="4"/>
        <v>0</v>
      </c>
      <c r="J60" s="511"/>
      <c r="K60" s="525"/>
      <c r="L60" s="514">
        <f t="shared" si="25"/>
        <v>0</v>
      </c>
      <c r="M60" s="525"/>
      <c r="N60" s="514">
        <f t="shared" si="5"/>
        <v>0</v>
      </c>
      <c r="O60" s="514">
        <f t="shared" si="6"/>
        <v>0</v>
      </c>
      <c r="P60" s="272"/>
    </row>
    <row r="61" spans="2:16">
      <c r="B61" s="195" t="str">
        <f t="shared" si="3"/>
        <v/>
      </c>
      <c r="C61" s="507">
        <f>IF(D11="","-",+C60+1)</f>
        <v>2058</v>
      </c>
      <c r="D61" s="523">
        <f>IF(F60+SUM(E$17:E60)=D$10,F60,D$10-SUM(E$17:E60))</f>
        <v>0</v>
      </c>
      <c r="E61" s="522">
        <f t="shared" si="21"/>
        <v>0</v>
      </c>
      <c r="F61" s="523">
        <f t="shared" si="22"/>
        <v>0</v>
      </c>
      <c r="G61" s="524">
        <f t="shared" si="26"/>
        <v>0</v>
      </c>
      <c r="H61" s="491">
        <f t="shared" si="27"/>
        <v>0</v>
      </c>
      <c r="I61" s="511">
        <f t="shared" si="4"/>
        <v>0</v>
      </c>
      <c r="J61" s="511"/>
      <c r="K61" s="525"/>
      <c r="L61" s="514">
        <f t="shared" si="25"/>
        <v>0</v>
      </c>
      <c r="M61" s="525"/>
      <c r="N61" s="514">
        <f t="shared" si="5"/>
        <v>0</v>
      </c>
      <c r="O61" s="514">
        <f t="shared" si="6"/>
        <v>0</v>
      </c>
      <c r="P61" s="272"/>
    </row>
    <row r="62" spans="2:16">
      <c r="B62" s="195" t="str">
        <f t="shared" si="3"/>
        <v/>
      </c>
      <c r="C62" s="507">
        <f>IF(D11="","-",+C61+1)</f>
        <v>2059</v>
      </c>
      <c r="D62" s="523">
        <f>IF(F61+SUM(E$17:E61)=D$10,F61,D$10-SUM(E$17:E61))</f>
        <v>0</v>
      </c>
      <c r="E62" s="522">
        <f t="shared" si="21"/>
        <v>0</v>
      </c>
      <c r="F62" s="523">
        <f t="shared" si="22"/>
        <v>0</v>
      </c>
      <c r="G62" s="524">
        <f t="shared" si="26"/>
        <v>0</v>
      </c>
      <c r="H62" s="491">
        <f t="shared" si="27"/>
        <v>0</v>
      </c>
      <c r="I62" s="511">
        <f t="shared" si="4"/>
        <v>0</v>
      </c>
      <c r="J62" s="511"/>
      <c r="K62" s="525"/>
      <c r="L62" s="514">
        <f t="shared" si="25"/>
        <v>0</v>
      </c>
      <c r="M62" s="525"/>
      <c r="N62" s="514">
        <f t="shared" si="5"/>
        <v>0</v>
      </c>
      <c r="O62" s="514">
        <f t="shared" si="6"/>
        <v>0</v>
      </c>
      <c r="P62" s="272"/>
    </row>
    <row r="63" spans="2:16">
      <c r="B63" s="195" t="str">
        <f t="shared" si="3"/>
        <v/>
      </c>
      <c r="C63" s="507">
        <f>IF(D11="","-",+C62+1)</f>
        <v>2060</v>
      </c>
      <c r="D63" s="523">
        <f>IF(F62+SUM(E$17:E62)=D$10,F62,D$10-SUM(E$17:E62))</f>
        <v>0</v>
      </c>
      <c r="E63" s="522">
        <f t="shared" si="21"/>
        <v>0</v>
      </c>
      <c r="F63" s="523">
        <f t="shared" si="22"/>
        <v>0</v>
      </c>
      <c r="G63" s="524">
        <f t="shared" si="26"/>
        <v>0</v>
      </c>
      <c r="H63" s="491">
        <f t="shared" si="27"/>
        <v>0</v>
      </c>
      <c r="I63" s="511">
        <f t="shared" si="4"/>
        <v>0</v>
      </c>
      <c r="J63" s="511"/>
      <c r="K63" s="525"/>
      <c r="L63" s="514">
        <f t="shared" si="25"/>
        <v>0</v>
      </c>
      <c r="M63" s="525"/>
      <c r="N63" s="514">
        <f t="shared" si="5"/>
        <v>0</v>
      </c>
      <c r="O63" s="514">
        <f t="shared" si="6"/>
        <v>0</v>
      </c>
      <c r="P63" s="272"/>
    </row>
    <row r="64" spans="2:16">
      <c r="B64" s="195" t="str">
        <f t="shared" si="3"/>
        <v/>
      </c>
      <c r="C64" s="507">
        <f>IF(D11="","-",+C63+1)</f>
        <v>2061</v>
      </c>
      <c r="D64" s="523">
        <f>IF(F63+SUM(E$17:E63)=D$10,F63,D$10-SUM(E$17:E63))</f>
        <v>0</v>
      </c>
      <c r="E64" s="522">
        <f t="shared" si="21"/>
        <v>0</v>
      </c>
      <c r="F64" s="523">
        <f t="shared" si="22"/>
        <v>0</v>
      </c>
      <c r="G64" s="524">
        <f t="shared" si="26"/>
        <v>0</v>
      </c>
      <c r="H64" s="491">
        <f t="shared" si="27"/>
        <v>0</v>
      </c>
      <c r="I64" s="511">
        <f t="shared" si="4"/>
        <v>0</v>
      </c>
      <c r="J64" s="511"/>
      <c r="K64" s="525"/>
      <c r="L64" s="514">
        <f t="shared" si="25"/>
        <v>0</v>
      </c>
      <c r="M64" s="525"/>
      <c r="N64" s="514">
        <f t="shared" si="5"/>
        <v>0</v>
      </c>
      <c r="O64" s="514">
        <f t="shared" si="6"/>
        <v>0</v>
      </c>
      <c r="P64" s="272"/>
    </row>
    <row r="65" spans="2:16">
      <c r="B65" s="195" t="str">
        <f t="shared" si="3"/>
        <v/>
      </c>
      <c r="C65" s="507">
        <f>IF(D11="","-",+C64+1)</f>
        <v>2062</v>
      </c>
      <c r="D65" s="523">
        <f>IF(F64+SUM(E$17:E64)=D$10,F64,D$10-SUM(E$17:E64))</f>
        <v>0</v>
      </c>
      <c r="E65" s="522">
        <f t="shared" si="21"/>
        <v>0</v>
      </c>
      <c r="F65" s="523">
        <f t="shared" si="22"/>
        <v>0</v>
      </c>
      <c r="G65" s="524">
        <f t="shared" si="26"/>
        <v>0</v>
      </c>
      <c r="H65" s="491">
        <f t="shared" si="27"/>
        <v>0</v>
      </c>
      <c r="I65" s="511">
        <f t="shared" si="4"/>
        <v>0</v>
      </c>
      <c r="J65" s="511"/>
      <c r="K65" s="525"/>
      <c r="L65" s="514">
        <f t="shared" si="25"/>
        <v>0</v>
      </c>
      <c r="M65" s="525"/>
      <c r="N65" s="514">
        <f t="shared" si="5"/>
        <v>0</v>
      </c>
      <c r="O65" s="514">
        <f t="shared" si="6"/>
        <v>0</v>
      </c>
      <c r="P65" s="272"/>
    </row>
    <row r="66" spans="2:16">
      <c r="B66" s="195" t="str">
        <f t="shared" si="3"/>
        <v/>
      </c>
      <c r="C66" s="507">
        <f>IF(D11="","-",+C65+1)</f>
        <v>2063</v>
      </c>
      <c r="D66" s="523">
        <f>IF(F65+SUM(E$17:E65)=D$10,F65,D$10-SUM(E$17:E65))</f>
        <v>0</v>
      </c>
      <c r="E66" s="522">
        <f t="shared" si="21"/>
        <v>0</v>
      </c>
      <c r="F66" s="523">
        <f t="shared" si="22"/>
        <v>0</v>
      </c>
      <c r="G66" s="524">
        <f t="shared" si="26"/>
        <v>0</v>
      </c>
      <c r="H66" s="491">
        <f t="shared" si="27"/>
        <v>0</v>
      </c>
      <c r="I66" s="511">
        <f t="shared" si="4"/>
        <v>0</v>
      </c>
      <c r="J66" s="511"/>
      <c r="K66" s="525"/>
      <c r="L66" s="514">
        <f t="shared" si="25"/>
        <v>0</v>
      </c>
      <c r="M66" s="525"/>
      <c r="N66" s="514">
        <f t="shared" si="5"/>
        <v>0</v>
      </c>
      <c r="O66" s="514">
        <f t="shared" si="6"/>
        <v>0</v>
      </c>
      <c r="P66" s="272"/>
    </row>
    <row r="67" spans="2:16">
      <c r="B67" s="195" t="str">
        <f t="shared" si="3"/>
        <v/>
      </c>
      <c r="C67" s="507">
        <f>IF(D11="","-",+C66+1)</f>
        <v>2064</v>
      </c>
      <c r="D67" s="523">
        <f>IF(F66+SUM(E$17:E66)=D$10,F66,D$10-SUM(E$17:E66))</f>
        <v>0</v>
      </c>
      <c r="E67" s="522">
        <f t="shared" si="21"/>
        <v>0</v>
      </c>
      <c r="F67" s="523">
        <f t="shared" si="22"/>
        <v>0</v>
      </c>
      <c r="G67" s="524">
        <f t="shared" si="26"/>
        <v>0</v>
      </c>
      <c r="H67" s="491">
        <f t="shared" si="27"/>
        <v>0</v>
      </c>
      <c r="I67" s="511">
        <f t="shared" si="4"/>
        <v>0</v>
      </c>
      <c r="J67" s="511"/>
      <c r="K67" s="525"/>
      <c r="L67" s="514">
        <f t="shared" si="25"/>
        <v>0</v>
      </c>
      <c r="M67" s="525"/>
      <c r="N67" s="514">
        <f t="shared" si="5"/>
        <v>0</v>
      </c>
      <c r="O67" s="514">
        <f t="shared" si="6"/>
        <v>0</v>
      </c>
      <c r="P67" s="272"/>
    </row>
    <row r="68" spans="2:16">
      <c r="B68" s="195" t="str">
        <f t="shared" si="3"/>
        <v/>
      </c>
      <c r="C68" s="507">
        <f>IF(D11="","-",+C67+1)</f>
        <v>2065</v>
      </c>
      <c r="D68" s="523">
        <f>IF(F67+SUM(E$17:E67)=D$10,F67,D$10-SUM(E$17:E67))</f>
        <v>0</v>
      </c>
      <c r="E68" s="522">
        <f t="shared" si="21"/>
        <v>0</v>
      </c>
      <c r="F68" s="523">
        <f t="shared" si="22"/>
        <v>0</v>
      </c>
      <c r="G68" s="524">
        <f t="shared" si="26"/>
        <v>0</v>
      </c>
      <c r="H68" s="491">
        <f t="shared" si="27"/>
        <v>0</v>
      </c>
      <c r="I68" s="511">
        <f t="shared" si="4"/>
        <v>0</v>
      </c>
      <c r="J68" s="511"/>
      <c r="K68" s="525"/>
      <c r="L68" s="514">
        <f t="shared" si="25"/>
        <v>0</v>
      </c>
      <c r="M68" s="525"/>
      <c r="N68" s="514">
        <f t="shared" si="5"/>
        <v>0</v>
      </c>
      <c r="O68" s="514">
        <f t="shared" si="6"/>
        <v>0</v>
      </c>
      <c r="P68" s="272"/>
    </row>
    <row r="69" spans="2:16">
      <c r="B69" s="195" t="str">
        <f t="shared" si="3"/>
        <v/>
      </c>
      <c r="C69" s="507">
        <f>IF(D11="","-",+C68+1)</f>
        <v>2066</v>
      </c>
      <c r="D69" s="523">
        <f>IF(F68+SUM(E$17:E68)=D$10,F68,D$10-SUM(E$17:E68))</f>
        <v>0</v>
      </c>
      <c r="E69" s="522">
        <f t="shared" si="21"/>
        <v>0</v>
      </c>
      <c r="F69" s="523">
        <f t="shared" si="22"/>
        <v>0</v>
      </c>
      <c r="G69" s="524">
        <f t="shared" si="26"/>
        <v>0</v>
      </c>
      <c r="H69" s="491">
        <f t="shared" si="27"/>
        <v>0</v>
      </c>
      <c r="I69" s="511">
        <f t="shared" si="4"/>
        <v>0</v>
      </c>
      <c r="J69" s="511"/>
      <c r="K69" s="525"/>
      <c r="L69" s="514">
        <f t="shared" si="25"/>
        <v>0</v>
      </c>
      <c r="M69" s="525"/>
      <c r="N69" s="514">
        <f t="shared" si="5"/>
        <v>0</v>
      </c>
      <c r="O69" s="514">
        <f t="shared" si="6"/>
        <v>0</v>
      </c>
      <c r="P69" s="272"/>
    </row>
    <row r="70" spans="2:16">
      <c r="B70" s="195" t="str">
        <f t="shared" si="3"/>
        <v/>
      </c>
      <c r="C70" s="507">
        <f>IF(D11="","-",+C69+1)</f>
        <v>2067</v>
      </c>
      <c r="D70" s="523">
        <f>IF(F69+SUM(E$17:E69)=D$10,F69,D$10-SUM(E$17:E69))</f>
        <v>0</v>
      </c>
      <c r="E70" s="522">
        <f t="shared" si="21"/>
        <v>0</v>
      </c>
      <c r="F70" s="523">
        <f t="shared" si="22"/>
        <v>0</v>
      </c>
      <c r="G70" s="524">
        <f t="shared" si="26"/>
        <v>0</v>
      </c>
      <c r="H70" s="491">
        <f t="shared" si="27"/>
        <v>0</v>
      </c>
      <c r="I70" s="511">
        <f t="shared" si="4"/>
        <v>0</v>
      </c>
      <c r="J70" s="511"/>
      <c r="K70" s="525"/>
      <c r="L70" s="514">
        <f t="shared" si="25"/>
        <v>0</v>
      </c>
      <c r="M70" s="525"/>
      <c r="N70" s="514">
        <f t="shared" si="5"/>
        <v>0</v>
      </c>
      <c r="O70" s="514">
        <f t="shared" si="6"/>
        <v>0</v>
      </c>
      <c r="P70" s="272"/>
    </row>
    <row r="71" spans="2:16">
      <c r="B71" s="195" t="str">
        <f t="shared" si="3"/>
        <v/>
      </c>
      <c r="C71" s="507">
        <f>IF(D11="","-",+C70+1)</f>
        <v>2068</v>
      </c>
      <c r="D71" s="523">
        <f>IF(F70+SUM(E$17:E70)=D$10,F70,D$10-SUM(E$17:E70))</f>
        <v>0</v>
      </c>
      <c r="E71" s="522">
        <f t="shared" si="21"/>
        <v>0</v>
      </c>
      <c r="F71" s="523">
        <f t="shared" si="22"/>
        <v>0</v>
      </c>
      <c r="G71" s="524">
        <f t="shared" si="26"/>
        <v>0</v>
      </c>
      <c r="H71" s="491">
        <f t="shared" si="27"/>
        <v>0</v>
      </c>
      <c r="I71" s="511">
        <f t="shared" si="4"/>
        <v>0</v>
      </c>
      <c r="J71" s="511"/>
      <c r="K71" s="525"/>
      <c r="L71" s="514">
        <f t="shared" si="25"/>
        <v>0</v>
      </c>
      <c r="M71" s="525"/>
      <c r="N71" s="514">
        <f t="shared" si="5"/>
        <v>0</v>
      </c>
      <c r="O71" s="514">
        <f t="shared" si="6"/>
        <v>0</v>
      </c>
      <c r="P71" s="272"/>
    </row>
    <row r="72" spans="2:16" ht="13.5" thickBot="1">
      <c r="B72" s="195" t="str">
        <f t="shared" si="3"/>
        <v/>
      </c>
      <c r="C72" s="527">
        <f>IF(D11="","-",+C71+1)</f>
        <v>2069</v>
      </c>
      <c r="D72" s="523">
        <f>IF(F71+SUM(E$17:E71)=D$10,F71,D$10-SUM(E$17:E71))</f>
        <v>0</v>
      </c>
      <c r="E72" s="522">
        <f t="shared" si="21"/>
        <v>0</v>
      </c>
      <c r="F72" s="523">
        <f t="shared" si="22"/>
        <v>0</v>
      </c>
      <c r="G72" s="524">
        <f t="shared" si="26"/>
        <v>0</v>
      </c>
      <c r="H72" s="491">
        <f t="shared" si="27"/>
        <v>0</v>
      </c>
      <c r="I72" s="511">
        <f t="shared" si="4"/>
        <v>0</v>
      </c>
      <c r="J72" s="511"/>
      <c r="K72" s="532"/>
      <c r="L72" s="533">
        <f t="shared" si="25"/>
        <v>0</v>
      </c>
      <c r="M72" s="532"/>
      <c r="N72" s="533">
        <f t="shared" si="5"/>
        <v>0</v>
      </c>
      <c r="O72" s="533">
        <f t="shared" si="6"/>
        <v>0</v>
      </c>
      <c r="P72" s="272"/>
    </row>
    <row r="73" spans="2:16">
      <c r="C73" s="374" t="s">
        <v>78</v>
      </c>
      <c r="D73" s="375"/>
      <c r="E73" s="375">
        <f>SUM(E17:E72)</f>
        <v>9637037.0000000019</v>
      </c>
      <c r="F73" s="375"/>
      <c r="G73" s="375">
        <f>SUM(G17:G72)</f>
        <v>35059107.256014973</v>
      </c>
      <c r="H73" s="375">
        <f>SUM(H17:H72)</f>
        <v>35059107.256014973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2:16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2:16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2:16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2:16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272"/>
      <c r="P77" s="272"/>
    </row>
    <row r="78" spans="2:16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2:16"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  <c r="O79" s="269"/>
      <c r="P79" s="269"/>
    </row>
    <row r="80" spans="2:16" ht="18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6">
      <c r="B81" s="269"/>
      <c r="C81" s="340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6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</row>
    <row r="83" spans="1:16" ht="20.25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451" t="str">
        <f ca="1">P1</f>
        <v>SWEPCO Project 40 of 75</v>
      </c>
    </row>
    <row r="84" spans="1:16" ht="18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538" t="s">
        <v>128</v>
      </c>
    </row>
    <row r="85" spans="1:16" ht="18.7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</row>
    <row r="86" spans="1:16" ht="15.75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2022</v>
      </c>
      <c r="M86" s="541" t="s">
        <v>9</v>
      </c>
      <c r="N86" s="542" t="s">
        <v>159</v>
      </c>
      <c r="O86" s="543" t="s">
        <v>11</v>
      </c>
      <c r="P86" s="269"/>
    </row>
    <row r="87" spans="1:16" ht="1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391</v>
      </c>
      <c r="M87" s="546">
        <f>IF(J92&lt;D11,0,VLOOKUP(J92,C17:O72,9))</f>
        <v>1101242.9056569436</v>
      </c>
      <c r="N87" s="546">
        <f>IF(J92&lt;D11,0,VLOOKUP(J92,C17:O72,11))</f>
        <v>1101242.9056569436</v>
      </c>
      <c r="O87" s="547">
        <f>+N87-M87</f>
        <v>0</v>
      </c>
      <c r="P87" s="269"/>
    </row>
    <row r="88" spans="1:16" ht="15.7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392</v>
      </c>
      <c r="M88" s="550">
        <f>IF(J92&lt;D11,0,VLOOKUP(J92,C99:P154,6))</f>
        <v>1141894.50723412</v>
      </c>
      <c r="N88" s="550">
        <f>IF(J92&lt;D11,0,VLOOKUP(J92,C99:P154,7))</f>
        <v>1141894.50723412</v>
      </c>
      <c r="O88" s="551">
        <f>+N88-M88</f>
        <v>0</v>
      </c>
      <c r="P88" s="269"/>
    </row>
    <row r="89" spans="1:16" ht="13.5" thickBot="1">
      <c r="C89" s="467" t="s">
        <v>84</v>
      </c>
      <c r="D89" s="552" t="str">
        <f>+D7</f>
        <v xml:space="preserve">Rock Hill to Carthage 69 kV Rebuild 11.4 Miles 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40651.60157717648</v>
      </c>
      <c r="N89" s="555">
        <f>+N88-N87</f>
        <v>40651.60157717648</v>
      </c>
      <c r="O89" s="556">
        <f>+O88-O87</f>
        <v>0</v>
      </c>
      <c r="P89" s="269"/>
    </row>
    <row r="90" spans="1:16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</row>
    <row r="91" spans="1:16" ht="13.5" thickBot="1">
      <c r="A91" s="191"/>
      <c r="C91" s="558" t="s">
        <v>85</v>
      </c>
      <c r="D91" s="559" t="str">
        <f>+D9</f>
        <v>TP2010102</v>
      </c>
      <c r="E91" s="560"/>
      <c r="F91" s="560"/>
      <c r="G91" s="560"/>
      <c r="H91" s="560"/>
      <c r="I91" s="560"/>
      <c r="J91" s="560"/>
      <c r="K91" s="562"/>
      <c r="P91" s="481"/>
    </row>
    <row r="92" spans="1:16">
      <c r="C92" s="486" t="s">
        <v>51</v>
      </c>
      <c r="D92" s="483">
        <f>IF(D11=I10,0,D10)</f>
        <v>9637037</v>
      </c>
      <c r="E92" s="340" t="s">
        <v>86</v>
      </c>
      <c r="H92" s="484"/>
      <c r="I92" s="484"/>
      <c r="J92" s="485">
        <f>+'SWE.WS.G.BPU.ATRR.True-up'!M16</f>
        <v>2022</v>
      </c>
      <c r="K92" s="480"/>
      <c r="L92" s="375" t="s">
        <v>87</v>
      </c>
      <c r="P92" s="272"/>
    </row>
    <row r="93" spans="1:16">
      <c r="C93" s="486" t="s">
        <v>54</v>
      </c>
      <c r="D93" s="563">
        <f>IF(D11=I10,"",D11)</f>
        <v>2014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</row>
    <row r="94" spans="1:16">
      <c r="C94" s="486" t="s">
        <v>56</v>
      </c>
      <c r="D94" s="564">
        <f>IF(D11=I10,"",D12)</f>
        <v>6</v>
      </c>
      <c r="E94" s="486" t="s">
        <v>57</v>
      </c>
      <c r="F94" s="484"/>
      <c r="G94" s="484"/>
      <c r="J94" s="490">
        <f>'SWE.WS.G.BPU.ATRR.True-up'!$F$81</f>
        <v>0.11351422637179906</v>
      </c>
      <c r="K94" s="425"/>
      <c r="L94" s="183" t="s">
        <v>88</v>
      </c>
      <c r="P94" s="272"/>
    </row>
    <row r="95" spans="1:16">
      <c r="C95" s="486" t="s">
        <v>59</v>
      </c>
      <c r="D95" s="488">
        <f>'SWE.WS.G.BPU.ATRR.True-up'!F$93</f>
        <v>41</v>
      </c>
      <c r="E95" s="486" t="s">
        <v>60</v>
      </c>
      <c r="F95" s="484"/>
      <c r="G95" s="484"/>
      <c r="J95" s="490">
        <f>IF(H87="",J94,'SWE.WS.G.BPU.ATRR.True-up'!$F$80)</f>
        <v>0.11351422637179906</v>
      </c>
      <c r="K95" s="324"/>
      <c r="L95" s="375" t="s">
        <v>61</v>
      </c>
      <c r="M95" s="324"/>
      <c r="N95" s="324"/>
      <c r="O95" s="324"/>
      <c r="P95" s="272"/>
    </row>
    <row r="96" spans="1:16" ht="13.5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235049.68292682926</v>
      </c>
      <c r="K96" s="375"/>
      <c r="L96" s="375"/>
      <c r="M96" s="375"/>
      <c r="N96" s="375"/>
      <c r="O96" s="375"/>
      <c r="P96" s="272"/>
    </row>
    <row r="97" spans="1:16" ht="38.25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388</v>
      </c>
      <c r="I97" s="495" t="s">
        <v>389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</row>
    <row r="98" spans="1:16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</row>
    <row r="99" spans="1:16">
      <c r="C99" s="507">
        <f>IF(D93= "","-",D93)</f>
        <v>2014</v>
      </c>
      <c r="D99" s="629">
        <v>0</v>
      </c>
      <c r="E99" s="630">
        <v>152968.84126984127</v>
      </c>
      <c r="F99" s="631">
        <v>9484068.1587301586</v>
      </c>
      <c r="G99" s="632">
        <v>4742034.0793650793</v>
      </c>
      <c r="H99" s="633">
        <v>797522.51965819846</v>
      </c>
      <c r="I99" s="634">
        <v>797522.51965819846</v>
      </c>
      <c r="J99" s="640">
        <v>0</v>
      </c>
      <c r="K99" s="514"/>
      <c r="L99" s="518">
        <f t="shared" ref="L99:L105" si="28">H99</f>
        <v>797522.51965819846</v>
      </c>
      <c r="M99" s="519">
        <f t="shared" ref="M99:M105" si="29">IF(L99&lt;&gt;0,+H99-L99,0)</f>
        <v>0</v>
      </c>
      <c r="N99" s="518">
        <f t="shared" ref="N99:N105" si="30">I99</f>
        <v>797522.51965819846</v>
      </c>
      <c r="O99" s="514">
        <f>IF(N99&lt;&gt;0,+I99-N99,0)</f>
        <v>0</v>
      </c>
      <c r="P99" s="514">
        <f>+O99-M99</f>
        <v>0</v>
      </c>
    </row>
    <row r="100" spans="1:16">
      <c r="B100" s="195" t="str">
        <f>IF(D100=F99,"","IU")</f>
        <v/>
      </c>
      <c r="C100" s="507">
        <f>IF(D93="","-",+C99+1)</f>
        <v>2015</v>
      </c>
      <c r="D100" s="629">
        <v>9484068.1587301586</v>
      </c>
      <c r="E100" s="630">
        <v>229453.26190476189</v>
      </c>
      <c r="F100" s="631">
        <v>9254614.8968253974</v>
      </c>
      <c r="G100" s="631">
        <v>9369341.527777778</v>
      </c>
      <c r="H100" s="633">
        <v>1464040.8814475967</v>
      </c>
      <c r="I100" s="634">
        <v>1464040.8814475967</v>
      </c>
      <c r="J100" s="514">
        <f>+I100-H100</f>
        <v>0</v>
      </c>
      <c r="K100" s="514"/>
      <c r="L100" s="518">
        <f t="shared" si="28"/>
        <v>1464040.8814475967</v>
      </c>
      <c r="M100" s="519">
        <f t="shared" si="29"/>
        <v>0</v>
      </c>
      <c r="N100" s="518">
        <f t="shared" si="30"/>
        <v>1464040.8814475967</v>
      </c>
      <c r="O100" s="514">
        <f>IF(N100&lt;&gt;0,+I100-N100,0)</f>
        <v>0</v>
      </c>
      <c r="P100" s="514">
        <f>+O100-M100</f>
        <v>0</v>
      </c>
    </row>
    <row r="101" spans="1:16">
      <c r="B101" s="195" t="str">
        <f t="shared" ref="B101:B154" si="31">IF(D101=F100,"","IU")</f>
        <v/>
      </c>
      <c r="C101" s="507">
        <f>IF(D93="","-",+C100+1)</f>
        <v>2016</v>
      </c>
      <c r="D101" s="629">
        <v>9254614.8968253974</v>
      </c>
      <c r="E101" s="630">
        <v>224117.13953488372</v>
      </c>
      <c r="F101" s="631">
        <v>9030497.7572905142</v>
      </c>
      <c r="G101" s="631">
        <v>9142556.3270579558</v>
      </c>
      <c r="H101" s="633">
        <v>1384764.5581805804</v>
      </c>
      <c r="I101" s="634">
        <v>1384764.5581805804</v>
      </c>
      <c r="J101" s="514">
        <f t="shared" ref="J101:J154" si="32">+I101-H101</f>
        <v>0</v>
      </c>
      <c r="K101" s="514"/>
      <c r="L101" s="518">
        <f t="shared" si="28"/>
        <v>1384764.5581805804</v>
      </c>
      <c r="M101" s="519">
        <f t="shared" si="29"/>
        <v>0</v>
      </c>
      <c r="N101" s="518">
        <f t="shared" si="30"/>
        <v>1384764.5581805804</v>
      </c>
      <c r="O101" s="514">
        <f>IF(N101&lt;&gt;0,+I101-N101,0)</f>
        <v>0</v>
      </c>
      <c r="P101" s="514">
        <f>+O101-M101</f>
        <v>0</v>
      </c>
    </row>
    <row r="102" spans="1:16">
      <c r="B102" s="195" t="str">
        <f t="shared" si="31"/>
        <v/>
      </c>
      <c r="C102" s="507">
        <f>IF(D93="","-",+C101+1)</f>
        <v>2017</v>
      </c>
      <c r="D102" s="629">
        <v>9030497.7572905142</v>
      </c>
      <c r="E102" s="630">
        <v>229453.26190476189</v>
      </c>
      <c r="F102" s="631">
        <v>8801044.495385753</v>
      </c>
      <c r="G102" s="631">
        <v>8915771.1263381336</v>
      </c>
      <c r="H102" s="633">
        <v>1312464.9769978134</v>
      </c>
      <c r="I102" s="634">
        <v>1312464.9769978134</v>
      </c>
      <c r="J102" s="514">
        <f t="shared" si="32"/>
        <v>0</v>
      </c>
      <c r="K102" s="514"/>
      <c r="L102" s="518">
        <f t="shared" si="28"/>
        <v>1312464.9769978134</v>
      </c>
      <c r="M102" s="519">
        <f t="shared" si="29"/>
        <v>0</v>
      </c>
      <c r="N102" s="518">
        <f t="shared" si="30"/>
        <v>1312464.9769978134</v>
      </c>
      <c r="O102" s="514">
        <f>IF(N102&lt;&gt;0,+I102-N102,0)</f>
        <v>0</v>
      </c>
      <c r="P102" s="514">
        <f>+O102-M102</f>
        <v>0</v>
      </c>
    </row>
    <row r="103" spans="1:16">
      <c r="B103" s="195" t="str">
        <f t="shared" si="31"/>
        <v/>
      </c>
      <c r="C103" s="507">
        <f>IF(D93="","-",+C102+1)</f>
        <v>2018</v>
      </c>
      <c r="D103" s="629">
        <v>8801044.495385753</v>
      </c>
      <c r="E103" s="630">
        <v>229453.26190476189</v>
      </c>
      <c r="F103" s="631">
        <v>8571591.2334809918</v>
      </c>
      <c r="G103" s="631">
        <v>8686317.8644333724</v>
      </c>
      <c r="H103" s="633">
        <v>1146768.2622772851</v>
      </c>
      <c r="I103" s="634">
        <v>1146768.2622772851</v>
      </c>
      <c r="J103" s="514">
        <f t="shared" si="32"/>
        <v>0</v>
      </c>
      <c r="K103" s="514"/>
      <c r="L103" s="518">
        <f t="shared" si="28"/>
        <v>1146768.2622772851</v>
      </c>
      <c r="M103" s="519">
        <f t="shared" si="29"/>
        <v>0</v>
      </c>
      <c r="N103" s="518">
        <f t="shared" si="30"/>
        <v>1146768.2622772851</v>
      </c>
      <c r="O103" s="514">
        <f>IF(N103&lt;&gt;0,+I103-N103,0)</f>
        <v>0</v>
      </c>
      <c r="P103" s="514">
        <f>+O103-M103</f>
        <v>0</v>
      </c>
    </row>
    <row r="104" spans="1:16">
      <c r="B104" s="195" t="str">
        <f t="shared" si="31"/>
        <v/>
      </c>
      <c r="C104" s="507">
        <f>IF(D93="","-",+C103+1)</f>
        <v>2019</v>
      </c>
      <c r="D104" s="629">
        <v>8571591.2334809918</v>
      </c>
      <c r="E104" s="630">
        <v>224117.13953488372</v>
      </c>
      <c r="F104" s="631">
        <v>8347474.0939461077</v>
      </c>
      <c r="G104" s="631">
        <v>8459532.6637135502</v>
      </c>
      <c r="H104" s="633">
        <v>1129630.139349205</v>
      </c>
      <c r="I104" s="634">
        <v>1129630.139349205</v>
      </c>
      <c r="J104" s="514">
        <f t="shared" si="32"/>
        <v>0</v>
      </c>
      <c r="K104" s="514"/>
      <c r="L104" s="518">
        <f t="shared" si="28"/>
        <v>1129630.139349205</v>
      </c>
      <c r="M104" s="519">
        <f t="shared" si="29"/>
        <v>0</v>
      </c>
      <c r="N104" s="518">
        <f t="shared" si="30"/>
        <v>1129630.139349205</v>
      </c>
      <c r="O104" s="514">
        <f t="shared" ref="O104:O130" si="33">IF(N104&lt;&gt;0,+I104-N104,0)</f>
        <v>0</v>
      </c>
      <c r="P104" s="514">
        <f t="shared" ref="P104:P130" si="34">+O104-M104</f>
        <v>0</v>
      </c>
    </row>
    <row r="105" spans="1:16">
      <c r="B105" s="195" t="str">
        <f t="shared" si="31"/>
        <v/>
      </c>
      <c r="C105" s="507">
        <f>IF(D93="","-",+C104+1)</f>
        <v>2020</v>
      </c>
      <c r="D105" s="629">
        <v>8347474.0939461077</v>
      </c>
      <c r="E105" s="630">
        <v>229453.26190476189</v>
      </c>
      <c r="F105" s="631">
        <v>8118020.8320413455</v>
      </c>
      <c r="G105" s="631">
        <v>8232747.4629937261</v>
      </c>
      <c r="H105" s="633">
        <v>1115081.4585097209</v>
      </c>
      <c r="I105" s="634">
        <v>1115081.4585097209</v>
      </c>
      <c r="J105" s="514">
        <f t="shared" si="32"/>
        <v>0</v>
      </c>
      <c r="K105" s="514"/>
      <c r="L105" s="518">
        <f t="shared" si="28"/>
        <v>1115081.4585097209</v>
      </c>
      <c r="M105" s="519">
        <f t="shared" si="29"/>
        <v>0</v>
      </c>
      <c r="N105" s="518">
        <f t="shared" si="30"/>
        <v>1115081.4585097209</v>
      </c>
      <c r="O105" s="514">
        <f t="shared" si="33"/>
        <v>0</v>
      </c>
      <c r="P105" s="514">
        <f t="shared" si="34"/>
        <v>0</v>
      </c>
    </row>
    <row r="106" spans="1:16">
      <c r="B106" s="195" t="str">
        <f t="shared" si="31"/>
        <v/>
      </c>
      <c r="C106" s="507">
        <f>IF(D93="","-",+C105+1)</f>
        <v>2021</v>
      </c>
      <c r="D106" s="629">
        <v>8118020.8320413455</v>
      </c>
      <c r="E106" s="630">
        <v>235049.68292682926</v>
      </c>
      <c r="F106" s="631">
        <v>7882971.1491145166</v>
      </c>
      <c r="G106" s="631">
        <v>8000495.9905779306</v>
      </c>
      <c r="H106" s="633">
        <v>1143219.7958879631</v>
      </c>
      <c r="I106" s="634">
        <v>1143219.7958879631</v>
      </c>
      <c r="J106" s="514">
        <f t="shared" si="32"/>
        <v>0</v>
      </c>
      <c r="K106" s="514"/>
      <c r="L106" s="518">
        <f t="shared" ref="L106" si="35">H106</f>
        <v>1143219.7958879631</v>
      </c>
      <c r="M106" s="519">
        <f t="shared" ref="M106" si="36">IF(L106&lt;&gt;0,+H106-L106,0)</f>
        <v>0</v>
      </c>
      <c r="N106" s="518">
        <f t="shared" ref="N106" si="37">I106</f>
        <v>1143219.7958879631</v>
      </c>
      <c r="O106" s="514">
        <f t="shared" ref="O106" si="38">IF(N106&lt;&gt;0,+I106-N106,0)</f>
        <v>0</v>
      </c>
      <c r="P106" s="514">
        <f t="shared" ref="P106" si="39">+O106-M106</f>
        <v>0</v>
      </c>
    </row>
    <row r="107" spans="1:16">
      <c r="B107" s="195" t="str">
        <f t="shared" si="31"/>
        <v/>
      </c>
      <c r="C107" s="673">
        <f>IF(D93="","-",+C106+1)</f>
        <v>2022</v>
      </c>
      <c r="D107" s="374">
        <v>7882971.1491145166</v>
      </c>
      <c r="E107" s="522">
        <v>229453.26190476189</v>
      </c>
      <c r="F107" s="523">
        <v>7653517.8872097544</v>
      </c>
      <c r="G107" s="523">
        <v>7768244.518162135</v>
      </c>
      <c r="H107" s="526">
        <v>1141894.50723412</v>
      </c>
      <c r="I107" s="577">
        <v>1141894.50723412</v>
      </c>
      <c r="J107" s="514">
        <f t="shared" si="32"/>
        <v>0</v>
      </c>
      <c r="K107" s="514"/>
      <c r="L107" s="525"/>
      <c r="M107" s="514">
        <f t="shared" ref="M107:M130" si="40">IF(L107&lt;&gt;0,+H107-L107,0)</f>
        <v>0</v>
      </c>
      <c r="N107" s="525"/>
      <c r="O107" s="514">
        <f t="shared" si="33"/>
        <v>0</v>
      </c>
      <c r="P107" s="514">
        <f t="shared" si="34"/>
        <v>0</v>
      </c>
    </row>
    <row r="108" spans="1:16">
      <c r="B108" s="195" t="str">
        <f t="shared" si="31"/>
        <v/>
      </c>
      <c r="C108" s="507">
        <f>IF(D93="","-",+C107+1)</f>
        <v>2023</v>
      </c>
      <c r="D108" s="374">
        <f>IF(F107+SUM(E$99:E107)=D$92,F107,D$92-SUM(E$99:E107))</f>
        <v>7653517.8872097544</v>
      </c>
      <c r="E108" s="522">
        <f t="shared" ref="E108:E154" si="41">IF(+$J$96&lt;F107,$J$96,D108)</f>
        <v>235049.68292682926</v>
      </c>
      <c r="F108" s="523">
        <f t="shared" ref="F108:F154" si="42">+D108-E108</f>
        <v>7418468.2042829255</v>
      </c>
      <c r="G108" s="523">
        <f t="shared" ref="G108:G154" si="43">+(F108+D108)/2</f>
        <v>7535993.0457463395</v>
      </c>
      <c r="H108" s="526">
        <f t="shared" ref="H108:H154" si="44">+J$94*G108+E108</f>
        <v>1090492.1034579827</v>
      </c>
      <c r="I108" s="577">
        <f t="shared" ref="I108:I154" si="45">+J$95*G108+E108</f>
        <v>1090492.1034579827</v>
      </c>
      <c r="J108" s="514">
        <f t="shared" si="32"/>
        <v>0</v>
      </c>
      <c r="K108" s="514"/>
      <c r="L108" s="525"/>
      <c r="M108" s="514">
        <f t="shared" si="40"/>
        <v>0</v>
      </c>
      <c r="N108" s="525"/>
      <c r="O108" s="514">
        <f t="shared" si="33"/>
        <v>0</v>
      </c>
      <c r="P108" s="514">
        <f t="shared" si="34"/>
        <v>0</v>
      </c>
    </row>
    <row r="109" spans="1:16">
      <c r="B109" s="195" t="str">
        <f t="shared" si="31"/>
        <v/>
      </c>
      <c r="C109" s="507">
        <f>IF(D93="","-",+C108+1)</f>
        <v>2024</v>
      </c>
      <c r="D109" s="374">
        <f>IF(F108+SUM(E$99:E108)=D$92,F108,D$92-SUM(E$99:E108))</f>
        <v>7418468.2042829255</v>
      </c>
      <c r="E109" s="522">
        <f t="shared" si="41"/>
        <v>235049.68292682926</v>
      </c>
      <c r="F109" s="523">
        <f t="shared" si="42"/>
        <v>7183418.5213560965</v>
      </c>
      <c r="G109" s="523">
        <f t="shared" si="43"/>
        <v>7300943.3628195114</v>
      </c>
      <c r="H109" s="526">
        <f t="shared" si="44"/>
        <v>1063810.6205416073</v>
      </c>
      <c r="I109" s="577">
        <f t="shared" si="45"/>
        <v>1063810.6205416073</v>
      </c>
      <c r="J109" s="514">
        <f t="shared" si="32"/>
        <v>0</v>
      </c>
      <c r="K109" s="514"/>
      <c r="L109" s="525"/>
      <c r="M109" s="514">
        <f t="shared" si="40"/>
        <v>0</v>
      </c>
      <c r="N109" s="525"/>
      <c r="O109" s="514">
        <f t="shared" si="33"/>
        <v>0</v>
      </c>
      <c r="P109" s="514">
        <f t="shared" si="34"/>
        <v>0</v>
      </c>
    </row>
    <row r="110" spans="1:16">
      <c r="B110" s="195" t="str">
        <f t="shared" si="31"/>
        <v/>
      </c>
      <c r="C110" s="507">
        <f>IF(D93="","-",+C109+1)</f>
        <v>2025</v>
      </c>
      <c r="D110" s="374">
        <f>IF(F109+SUM(E$99:E109)=D$92,F109,D$92-SUM(E$99:E109))</f>
        <v>7183418.5213560965</v>
      </c>
      <c r="E110" s="522">
        <f t="shared" si="41"/>
        <v>235049.68292682926</v>
      </c>
      <c r="F110" s="523">
        <f t="shared" si="42"/>
        <v>6948368.8384292675</v>
      </c>
      <c r="G110" s="523">
        <f t="shared" si="43"/>
        <v>7065893.6798926815</v>
      </c>
      <c r="H110" s="526">
        <f t="shared" si="44"/>
        <v>1037129.1376252314</v>
      </c>
      <c r="I110" s="577">
        <f t="shared" si="45"/>
        <v>1037129.1376252314</v>
      </c>
      <c r="J110" s="514">
        <f t="shared" si="32"/>
        <v>0</v>
      </c>
      <c r="K110" s="514"/>
      <c r="L110" s="525"/>
      <c r="M110" s="514">
        <f t="shared" si="40"/>
        <v>0</v>
      </c>
      <c r="N110" s="525"/>
      <c r="O110" s="514">
        <f t="shared" si="33"/>
        <v>0</v>
      </c>
      <c r="P110" s="514">
        <f t="shared" si="34"/>
        <v>0</v>
      </c>
    </row>
    <row r="111" spans="1:16">
      <c r="B111" s="195" t="str">
        <f t="shared" si="31"/>
        <v/>
      </c>
      <c r="C111" s="507">
        <f>IF(D93="","-",+C110+1)</f>
        <v>2026</v>
      </c>
      <c r="D111" s="374">
        <f>IF(F110+SUM(E$99:E110)=D$92,F110,D$92-SUM(E$99:E110))</f>
        <v>6948368.8384292675</v>
      </c>
      <c r="E111" s="522">
        <f t="shared" si="41"/>
        <v>235049.68292682926</v>
      </c>
      <c r="F111" s="523">
        <f t="shared" si="42"/>
        <v>6713319.1555024385</v>
      </c>
      <c r="G111" s="523">
        <f t="shared" si="43"/>
        <v>6830843.9969658535</v>
      </c>
      <c r="H111" s="526">
        <f t="shared" si="44"/>
        <v>1010447.6547088558</v>
      </c>
      <c r="I111" s="577">
        <f t="shared" si="45"/>
        <v>1010447.6547088558</v>
      </c>
      <c r="J111" s="514">
        <f t="shared" si="32"/>
        <v>0</v>
      </c>
      <c r="K111" s="514"/>
      <c r="L111" s="525"/>
      <c r="M111" s="514">
        <f t="shared" si="40"/>
        <v>0</v>
      </c>
      <c r="N111" s="525"/>
      <c r="O111" s="514">
        <f t="shared" si="33"/>
        <v>0</v>
      </c>
      <c r="P111" s="514">
        <f t="shared" si="34"/>
        <v>0</v>
      </c>
    </row>
    <row r="112" spans="1:16">
      <c r="B112" s="195" t="str">
        <f t="shared" si="31"/>
        <v/>
      </c>
      <c r="C112" s="507">
        <f>IF(D93="","-",+C111+1)</f>
        <v>2027</v>
      </c>
      <c r="D112" s="374">
        <f>IF(F111+SUM(E$99:E111)=D$92,F111,D$92-SUM(E$99:E111))</f>
        <v>6713319.1555024385</v>
      </c>
      <c r="E112" s="522">
        <f t="shared" si="41"/>
        <v>235049.68292682926</v>
      </c>
      <c r="F112" s="523">
        <f t="shared" si="42"/>
        <v>6478269.4725756096</v>
      </c>
      <c r="G112" s="523">
        <f t="shared" si="43"/>
        <v>6595794.3140390236</v>
      </c>
      <c r="H112" s="526">
        <f t="shared" si="44"/>
        <v>983766.17179248016</v>
      </c>
      <c r="I112" s="577">
        <f t="shared" si="45"/>
        <v>983766.17179248016</v>
      </c>
      <c r="J112" s="514">
        <f t="shared" si="32"/>
        <v>0</v>
      </c>
      <c r="K112" s="514"/>
      <c r="L112" s="525"/>
      <c r="M112" s="514">
        <f t="shared" si="40"/>
        <v>0</v>
      </c>
      <c r="N112" s="525"/>
      <c r="O112" s="514">
        <f t="shared" si="33"/>
        <v>0</v>
      </c>
      <c r="P112" s="514">
        <f t="shared" si="34"/>
        <v>0</v>
      </c>
    </row>
    <row r="113" spans="2:16">
      <c r="B113" s="195" t="str">
        <f t="shared" si="31"/>
        <v/>
      </c>
      <c r="C113" s="507">
        <f>IF(D93="","-",+C112+1)</f>
        <v>2028</v>
      </c>
      <c r="D113" s="374">
        <f>IF(F112+SUM(E$99:E112)=D$92,F112,D$92-SUM(E$99:E112))</f>
        <v>6478269.4725756096</v>
      </c>
      <c r="E113" s="522">
        <f t="shared" si="41"/>
        <v>235049.68292682926</v>
      </c>
      <c r="F113" s="523">
        <f t="shared" si="42"/>
        <v>6243219.7896487806</v>
      </c>
      <c r="G113" s="523">
        <f t="shared" si="43"/>
        <v>6360744.6311121956</v>
      </c>
      <c r="H113" s="526">
        <f t="shared" si="44"/>
        <v>957084.68887610454</v>
      </c>
      <c r="I113" s="577">
        <f t="shared" si="45"/>
        <v>957084.68887610454</v>
      </c>
      <c r="J113" s="514">
        <f t="shared" si="32"/>
        <v>0</v>
      </c>
      <c r="K113" s="514"/>
      <c r="L113" s="525"/>
      <c r="M113" s="514">
        <f t="shared" si="40"/>
        <v>0</v>
      </c>
      <c r="N113" s="525"/>
      <c r="O113" s="514">
        <f t="shared" si="33"/>
        <v>0</v>
      </c>
      <c r="P113" s="514">
        <f t="shared" si="34"/>
        <v>0</v>
      </c>
    </row>
    <row r="114" spans="2:16">
      <c r="B114" s="195" t="str">
        <f t="shared" si="31"/>
        <v/>
      </c>
      <c r="C114" s="507">
        <f>IF(D93="","-",+C113+1)</f>
        <v>2029</v>
      </c>
      <c r="D114" s="374">
        <f>IF(F113+SUM(E$99:E113)=D$92,F113,D$92-SUM(E$99:E113))</f>
        <v>6243219.7896487806</v>
      </c>
      <c r="E114" s="522">
        <f t="shared" si="41"/>
        <v>235049.68292682926</v>
      </c>
      <c r="F114" s="523">
        <f t="shared" si="42"/>
        <v>6008170.1067219516</v>
      </c>
      <c r="G114" s="523">
        <f t="shared" si="43"/>
        <v>6125694.9481853656</v>
      </c>
      <c r="H114" s="526">
        <f t="shared" si="44"/>
        <v>930403.20595972869</v>
      </c>
      <c r="I114" s="577">
        <f t="shared" si="45"/>
        <v>930403.20595972869</v>
      </c>
      <c r="J114" s="514">
        <f t="shared" si="32"/>
        <v>0</v>
      </c>
      <c r="K114" s="514"/>
      <c r="L114" s="525"/>
      <c r="M114" s="514">
        <f t="shared" si="40"/>
        <v>0</v>
      </c>
      <c r="N114" s="525"/>
      <c r="O114" s="514">
        <f t="shared" si="33"/>
        <v>0</v>
      </c>
      <c r="P114" s="514">
        <f t="shared" si="34"/>
        <v>0</v>
      </c>
    </row>
    <row r="115" spans="2:16">
      <c r="B115" s="195" t="str">
        <f t="shared" si="31"/>
        <v/>
      </c>
      <c r="C115" s="507">
        <f>IF(D93="","-",+C114+1)</f>
        <v>2030</v>
      </c>
      <c r="D115" s="374">
        <f>IF(F114+SUM(E$99:E114)=D$92,F114,D$92-SUM(E$99:E114))</f>
        <v>6008170.106721947</v>
      </c>
      <c r="E115" s="522">
        <f t="shared" si="41"/>
        <v>235049.68292682926</v>
      </c>
      <c r="F115" s="523">
        <f t="shared" si="42"/>
        <v>5773120.423795118</v>
      </c>
      <c r="G115" s="523">
        <f t="shared" si="43"/>
        <v>5890645.265258532</v>
      </c>
      <c r="H115" s="526">
        <f t="shared" si="44"/>
        <v>903721.7230433526</v>
      </c>
      <c r="I115" s="577">
        <f t="shared" si="45"/>
        <v>903721.7230433526</v>
      </c>
      <c r="J115" s="514">
        <f t="shared" si="32"/>
        <v>0</v>
      </c>
      <c r="K115" s="514"/>
      <c r="L115" s="525"/>
      <c r="M115" s="514">
        <f t="shared" si="40"/>
        <v>0</v>
      </c>
      <c r="N115" s="525"/>
      <c r="O115" s="514">
        <f t="shared" si="33"/>
        <v>0</v>
      </c>
      <c r="P115" s="514">
        <f t="shared" si="34"/>
        <v>0</v>
      </c>
    </row>
    <row r="116" spans="2:16">
      <c r="B116" s="195" t="str">
        <f t="shared" si="31"/>
        <v/>
      </c>
      <c r="C116" s="507">
        <f>IF(D93="","-",+C115+1)</f>
        <v>2031</v>
      </c>
      <c r="D116" s="374">
        <f>IF(F115+SUM(E$99:E115)=D$92,F115,D$92-SUM(E$99:E115))</f>
        <v>5773120.423795118</v>
      </c>
      <c r="E116" s="522">
        <f t="shared" si="41"/>
        <v>235049.68292682926</v>
      </c>
      <c r="F116" s="523">
        <f t="shared" si="42"/>
        <v>5538070.740868289</v>
      </c>
      <c r="G116" s="523">
        <f t="shared" si="43"/>
        <v>5655595.582331704</v>
      </c>
      <c r="H116" s="526">
        <f t="shared" si="44"/>
        <v>877040.24012697698</v>
      </c>
      <c r="I116" s="577">
        <f t="shared" si="45"/>
        <v>877040.24012697698</v>
      </c>
      <c r="J116" s="514">
        <f t="shared" si="32"/>
        <v>0</v>
      </c>
      <c r="K116" s="514"/>
      <c r="L116" s="525"/>
      <c r="M116" s="514">
        <f t="shared" si="40"/>
        <v>0</v>
      </c>
      <c r="N116" s="525"/>
      <c r="O116" s="514">
        <f t="shared" si="33"/>
        <v>0</v>
      </c>
      <c r="P116" s="514">
        <f t="shared" si="34"/>
        <v>0</v>
      </c>
    </row>
    <row r="117" spans="2:16">
      <c r="B117" s="195" t="str">
        <f t="shared" si="31"/>
        <v/>
      </c>
      <c r="C117" s="507">
        <f>IF(D93="","-",+C116+1)</f>
        <v>2032</v>
      </c>
      <c r="D117" s="374">
        <f>IF(F116+SUM(E$99:E116)=D$92,F116,D$92-SUM(E$99:E116))</f>
        <v>5538070.740868289</v>
      </c>
      <c r="E117" s="522">
        <f t="shared" si="41"/>
        <v>235049.68292682926</v>
      </c>
      <c r="F117" s="523">
        <f t="shared" si="42"/>
        <v>5303021.0579414601</v>
      </c>
      <c r="G117" s="523">
        <f t="shared" si="43"/>
        <v>5420545.8994048741</v>
      </c>
      <c r="H117" s="526">
        <f t="shared" si="44"/>
        <v>850358.75721060135</v>
      </c>
      <c r="I117" s="577">
        <f t="shared" si="45"/>
        <v>850358.75721060135</v>
      </c>
      <c r="J117" s="514">
        <f t="shared" si="32"/>
        <v>0</v>
      </c>
      <c r="K117" s="514"/>
      <c r="L117" s="525"/>
      <c r="M117" s="514">
        <f t="shared" si="40"/>
        <v>0</v>
      </c>
      <c r="N117" s="525"/>
      <c r="O117" s="514">
        <f t="shared" si="33"/>
        <v>0</v>
      </c>
      <c r="P117" s="514">
        <f t="shared" si="34"/>
        <v>0</v>
      </c>
    </row>
    <row r="118" spans="2:16">
      <c r="B118" s="195" t="str">
        <f t="shared" si="31"/>
        <v/>
      </c>
      <c r="C118" s="507">
        <f>IF(D93="","-",+C117+1)</f>
        <v>2033</v>
      </c>
      <c r="D118" s="374">
        <f>IF(F117+SUM(E$99:E117)=D$92,F117,D$92-SUM(E$99:E117))</f>
        <v>5303021.0579414601</v>
      </c>
      <c r="E118" s="522">
        <f t="shared" si="41"/>
        <v>235049.68292682926</v>
      </c>
      <c r="F118" s="523">
        <f t="shared" si="42"/>
        <v>5067971.3750146311</v>
      </c>
      <c r="G118" s="523">
        <f t="shared" si="43"/>
        <v>5185496.216478046</v>
      </c>
      <c r="H118" s="526">
        <f t="shared" si="44"/>
        <v>823677.27429422573</v>
      </c>
      <c r="I118" s="577">
        <f t="shared" si="45"/>
        <v>823677.27429422573</v>
      </c>
      <c r="J118" s="514">
        <f t="shared" si="32"/>
        <v>0</v>
      </c>
      <c r="K118" s="514"/>
      <c r="L118" s="525"/>
      <c r="M118" s="514">
        <f t="shared" si="40"/>
        <v>0</v>
      </c>
      <c r="N118" s="525"/>
      <c r="O118" s="514">
        <f t="shared" si="33"/>
        <v>0</v>
      </c>
      <c r="P118" s="514">
        <f t="shared" si="34"/>
        <v>0</v>
      </c>
    </row>
    <row r="119" spans="2:16">
      <c r="B119" s="195" t="str">
        <f t="shared" si="31"/>
        <v/>
      </c>
      <c r="C119" s="507">
        <f>IF(D93="","-",+C118+1)</f>
        <v>2034</v>
      </c>
      <c r="D119" s="374">
        <f>IF(F118+SUM(E$99:E118)=D$92,F118,D$92-SUM(E$99:E118))</f>
        <v>5067971.3750146311</v>
      </c>
      <c r="E119" s="522">
        <f t="shared" si="41"/>
        <v>235049.68292682926</v>
      </c>
      <c r="F119" s="523">
        <f t="shared" si="42"/>
        <v>4832921.6920878021</v>
      </c>
      <c r="G119" s="523">
        <f t="shared" si="43"/>
        <v>4950446.5335512161</v>
      </c>
      <c r="H119" s="526">
        <f t="shared" si="44"/>
        <v>796995.79137784988</v>
      </c>
      <c r="I119" s="577">
        <f t="shared" si="45"/>
        <v>796995.79137784988</v>
      </c>
      <c r="J119" s="514">
        <f t="shared" si="32"/>
        <v>0</v>
      </c>
      <c r="K119" s="514"/>
      <c r="L119" s="525"/>
      <c r="M119" s="514">
        <f t="shared" si="40"/>
        <v>0</v>
      </c>
      <c r="N119" s="525"/>
      <c r="O119" s="514">
        <f t="shared" si="33"/>
        <v>0</v>
      </c>
      <c r="P119" s="514">
        <f t="shared" si="34"/>
        <v>0</v>
      </c>
    </row>
    <row r="120" spans="2:16">
      <c r="B120" s="195" t="str">
        <f t="shared" si="31"/>
        <v/>
      </c>
      <c r="C120" s="507">
        <f>IF(D93="","-",+C119+1)</f>
        <v>2035</v>
      </c>
      <c r="D120" s="374">
        <f>IF(F119+SUM(E$99:E119)=D$92,F119,D$92-SUM(E$99:E119))</f>
        <v>4832921.6920878021</v>
      </c>
      <c r="E120" s="522">
        <f t="shared" si="41"/>
        <v>235049.68292682926</v>
      </c>
      <c r="F120" s="523">
        <f t="shared" si="42"/>
        <v>4597872.0091609731</v>
      </c>
      <c r="G120" s="523">
        <f t="shared" si="43"/>
        <v>4715396.8506243881</v>
      </c>
      <c r="H120" s="526">
        <f t="shared" si="44"/>
        <v>770314.30846147449</v>
      </c>
      <c r="I120" s="577">
        <f t="shared" si="45"/>
        <v>770314.30846147449</v>
      </c>
      <c r="J120" s="514">
        <f t="shared" si="32"/>
        <v>0</v>
      </c>
      <c r="K120" s="514"/>
      <c r="L120" s="525"/>
      <c r="M120" s="514">
        <f t="shared" si="40"/>
        <v>0</v>
      </c>
      <c r="N120" s="525"/>
      <c r="O120" s="514">
        <f t="shared" si="33"/>
        <v>0</v>
      </c>
      <c r="P120" s="514">
        <f t="shared" si="34"/>
        <v>0</v>
      </c>
    </row>
    <row r="121" spans="2:16">
      <c r="B121" s="195" t="str">
        <f t="shared" si="31"/>
        <v/>
      </c>
      <c r="C121" s="507">
        <f>IF(D93="","-",+C120+1)</f>
        <v>2036</v>
      </c>
      <c r="D121" s="374">
        <f>IF(F120+SUM(E$99:E120)=D$92,F120,D$92-SUM(E$99:E120))</f>
        <v>4597872.0091609731</v>
      </c>
      <c r="E121" s="522">
        <f t="shared" si="41"/>
        <v>235049.68292682926</v>
      </c>
      <c r="F121" s="523">
        <f t="shared" si="42"/>
        <v>4362822.3262341442</v>
      </c>
      <c r="G121" s="523">
        <f t="shared" si="43"/>
        <v>4480347.1676975582</v>
      </c>
      <c r="H121" s="526">
        <f t="shared" si="44"/>
        <v>743632.82554509863</v>
      </c>
      <c r="I121" s="577">
        <f t="shared" si="45"/>
        <v>743632.82554509863</v>
      </c>
      <c r="J121" s="514">
        <f t="shared" si="32"/>
        <v>0</v>
      </c>
      <c r="K121" s="514"/>
      <c r="L121" s="525"/>
      <c r="M121" s="514">
        <f t="shared" si="40"/>
        <v>0</v>
      </c>
      <c r="N121" s="525"/>
      <c r="O121" s="514">
        <f t="shared" si="33"/>
        <v>0</v>
      </c>
      <c r="P121" s="514">
        <f t="shared" si="34"/>
        <v>0</v>
      </c>
    </row>
    <row r="122" spans="2:16">
      <c r="B122" s="195" t="str">
        <f t="shared" si="31"/>
        <v/>
      </c>
      <c r="C122" s="507">
        <f>IF(D93="","-",+C121+1)</f>
        <v>2037</v>
      </c>
      <c r="D122" s="374">
        <f>IF(F121+SUM(E$99:E121)=D$92,F121,D$92-SUM(E$99:E121))</f>
        <v>4362822.3262341442</v>
      </c>
      <c r="E122" s="522">
        <f t="shared" si="41"/>
        <v>235049.68292682926</v>
      </c>
      <c r="F122" s="523">
        <f t="shared" si="42"/>
        <v>4127772.6433073147</v>
      </c>
      <c r="G122" s="523">
        <f t="shared" si="43"/>
        <v>4245297.4847707292</v>
      </c>
      <c r="H122" s="526">
        <f t="shared" si="44"/>
        <v>716951.34262872301</v>
      </c>
      <c r="I122" s="577">
        <f t="shared" si="45"/>
        <v>716951.34262872301</v>
      </c>
      <c r="J122" s="514">
        <f t="shared" si="32"/>
        <v>0</v>
      </c>
      <c r="K122" s="514"/>
      <c r="L122" s="525"/>
      <c r="M122" s="514">
        <f t="shared" si="40"/>
        <v>0</v>
      </c>
      <c r="N122" s="525"/>
      <c r="O122" s="514">
        <f t="shared" si="33"/>
        <v>0</v>
      </c>
      <c r="P122" s="514">
        <f t="shared" si="34"/>
        <v>0</v>
      </c>
    </row>
    <row r="123" spans="2:16">
      <c r="B123" s="195" t="str">
        <f t="shared" si="31"/>
        <v/>
      </c>
      <c r="C123" s="507">
        <f>IF(D93="","-",+C122+1)</f>
        <v>2038</v>
      </c>
      <c r="D123" s="374">
        <f>IF(F122+SUM(E$99:E122)=D$92,F122,D$92-SUM(E$99:E122))</f>
        <v>4127772.6433073147</v>
      </c>
      <c r="E123" s="522">
        <f t="shared" si="41"/>
        <v>235049.68292682926</v>
      </c>
      <c r="F123" s="523">
        <f t="shared" si="42"/>
        <v>3892722.9603804853</v>
      </c>
      <c r="G123" s="523">
        <f t="shared" si="43"/>
        <v>4010247.8018439002</v>
      </c>
      <c r="H123" s="526">
        <f t="shared" si="44"/>
        <v>690269.85971234739</v>
      </c>
      <c r="I123" s="577">
        <f t="shared" si="45"/>
        <v>690269.85971234739</v>
      </c>
      <c r="J123" s="514">
        <f t="shared" si="32"/>
        <v>0</v>
      </c>
      <c r="K123" s="514"/>
      <c r="L123" s="525"/>
      <c r="M123" s="514">
        <f t="shared" si="40"/>
        <v>0</v>
      </c>
      <c r="N123" s="525"/>
      <c r="O123" s="514">
        <f t="shared" si="33"/>
        <v>0</v>
      </c>
      <c r="P123" s="514">
        <f t="shared" si="34"/>
        <v>0</v>
      </c>
    </row>
    <row r="124" spans="2:16">
      <c r="B124" s="195" t="str">
        <f t="shared" si="31"/>
        <v/>
      </c>
      <c r="C124" s="507">
        <f>IF(D93="","-",+C123+1)</f>
        <v>2039</v>
      </c>
      <c r="D124" s="374">
        <f>IF(F123+SUM(E$99:E123)=D$92,F123,D$92-SUM(E$99:E123))</f>
        <v>3892722.9603804853</v>
      </c>
      <c r="E124" s="522">
        <f t="shared" si="41"/>
        <v>235049.68292682926</v>
      </c>
      <c r="F124" s="523">
        <f t="shared" si="42"/>
        <v>3657673.2774536558</v>
      </c>
      <c r="G124" s="523">
        <f t="shared" si="43"/>
        <v>3775198.1189170703</v>
      </c>
      <c r="H124" s="526">
        <f t="shared" si="44"/>
        <v>663588.37679597153</v>
      </c>
      <c r="I124" s="577">
        <f t="shared" si="45"/>
        <v>663588.37679597153</v>
      </c>
      <c r="J124" s="514">
        <f t="shared" si="32"/>
        <v>0</v>
      </c>
      <c r="K124" s="514"/>
      <c r="L124" s="525"/>
      <c r="M124" s="514">
        <f t="shared" si="40"/>
        <v>0</v>
      </c>
      <c r="N124" s="525"/>
      <c r="O124" s="514">
        <f t="shared" si="33"/>
        <v>0</v>
      </c>
      <c r="P124" s="514">
        <f t="shared" si="34"/>
        <v>0</v>
      </c>
    </row>
    <row r="125" spans="2:16">
      <c r="B125" s="195" t="str">
        <f t="shared" si="31"/>
        <v/>
      </c>
      <c r="C125" s="507">
        <f>IF(D93="","-",+C124+1)</f>
        <v>2040</v>
      </c>
      <c r="D125" s="374">
        <f>IF(F124+SUM(E$99:E124)=D$92,F124,D$92-SUM(E$99:E124))</f>
        <v>3657673.2774536558</v>
      </c>
      <c r="E125" s="522">
        <f t="shared" si="41"/>
        <v>235049.68292682926</v>
      </c>
      <c r="F125" s="523">
        <f t="shared" si="42"/>
        <v>3422623.5945268264</v>
      </c>
      <c r="G125" s="523">
        <f t="shared" si="43"/>
        <v>3540148.4359902414</v>
      </c>
      <c r="H125" s="526">
        <f t="shared" si="44"/>
        <v>636906.89387959591</v>
      </c>
      <c r="I125" s="577">
        <f t="shared" si="45"/>
        <v>636906.89387959591</v>
      </c>
      <c r="J125" s="514">
        <f t="shared" si="32"/>
        <v>0</v>
      </c>
      <c r="K125" s="514"/>
      <c r="L125" s="525"/>
      <c r="M125" s="514">
        <f t="shared" si="40"/>
        <v>0</v>
      </c>
      <c r="N125" s="525"/>
      <c r="O125" s="514">
        <f t="shared" si="33"/>
        <v>0</v>
      </c>
      <c r="P125" s="514">
        <f t="shared" si="34"/>
        <v>0</v>
      </c>
    </row>
    <row r="126" spans="2:16">
      <c r="B126" s="195" t="str">
        <f t="shared" si="31"/>
        <v/>
      </c>
      <c r="C126" s="507">
        <f>IF(D93="","-",+C125+1)</f>
        <v>2041</v>
      </c>
      <c r="D126" s="374">
        <f>IF(F125+SUM(E$99:E125)=D$92,F125,D$92-SUM(E$99:E125))</f>
        <v>3422623.5945268264</v>
      </c>
      <c r="E126" s="522">
        <f t="shared" si="41"/>
        <v>235049.68292682926</v>
      </c>
      <c r="F126" s="523">
        <f t="shared" si="42"/>
        <v>3187573.911599997</v>
      </c>
      <c r="G126" s="523">
        <f t="shared" si="43"/>
        <v>3305098.7530634115</v>
      </c>
      <c r="H126" s="526">
        <f t="shared" si="44"/>
        <v>610225.41096322017</v>
      </c>
      <c r="I126" s="577">
        <f t="shared" si="45"/>
        <v>610225.41096322017</v>
      </c>
      <c r="J126" s="514">
        <f t="shared" si="32"/>
        <v>0</v>
      </c>
      <c r="K126" s="514"/>
      <c r="L126" s="525"/>
      <c r="M126" s="514">
        <f t="shared" si="40"/>
        <v>0</v>
      </c>
      <c r="N126" s="525"/>
      <c r="O126" s="514">
        <f t="shared" si="33"/>
        <v>0</v>
      </c>
      <c r="P126" s="514">
        <f t="shared" si="34"/>
        <v>0</v>
      </c>
    </row>
    <row r="127" spans="2:16">
      <c r="B127" s="195" t="str">
        <f t="shared" si="31"/>
        <v/>
      </c>
      <c r="C127" s="507">
        <f>IF(D93="","-",+C126+1)</f>
        <v>2042</v>
      </c>
      <c r="D127" s="374">
        <f>IF(F126+SUM(E$99:E126)=D$92,F126,D$92-SUM(E$99:E126))</f>
        <v>3187573.911599997</v>
      </c>
      <c r="E127" s="522">
        <f t="shared" si="41"/>
        <v>235049.68292682926</v>
      </c>
      <c r="F127" s="523">
        <f t="shared" si="42"/>
        <v>2952524.2286731675</v>
      </c>
      <c r="G127" s="523">
        <f t="shared" si="43"/>
        <v>3070049.0701365825</v>
      </c>
      <c r="H127" s="526">
        <f t="shared" si="44"/>
        <v>583543.92804684443</v>
      </c>
      <c r="I127" s="577">
        <f t="shared" si="45"/>
        <v>583543.92804684443</v>
      </c>
      <c r="J127" s="514">
        <f t="shared" si="32"/>
        <v>0</v>
      </c>
      <c r="K127" s="514"/>
      <c r="L127" s="525"/>
      <c r="M127" s="514">
        <f t="shared" si="40"/>
        <v>0</v>
      </c>
      <c r="N127" s="525"/>
      <c r="O127" s="514">
        <f t="shared" si="33"/>
        <v>0</v>
      </c>
      <c r="P127" s="514">
        <f t="shared" si="34"/>
        <v>0</v>
      </c>
    </row>
    <row r="128" spans="2:16">
      <c r="B128" s="195" t="str">
        <f t="shared" si="31"/>
        <v/>
      </c>
      <c r="C128" s="507">
        <f>IF(D93="","-",+C127+1)</f>
        <v>2043</v>
      </c>
      <c r="D128" s="374">
        <f>IF(F127+SUM(E$99:E127)=D$92,F127,D$92-SUM(E$99:E127))</f>
        <v>2952524.2286731675</v>
      </c>
      <c r="E128" s="522">
        <f t="shared" si="41"/>
        <v>235049.68292682926</v>
      </c>
      <c r="F128" s="523">
        <f t="shared" si="42"/>
        <v>2717474.5457463381</v>
      </c>
      <c r="G128" s="523">
        <f t="shared" si="43"/>
        <v>2834999.3872097526</v>
      </c>
      <c r="H128" s="526">
        <f t="shared" si="44"/>
        <v>556862.44513046881</v>
      </c>
      <c r="I128" s="577">
        <f t="shared" si="45"/>
        <v>556862.44513046881</v>
      </c>
      <c r="J128" s="514">
        <f t="shared" si="32"/>
        <v>0</v>
      </c>
      <c r="K128" s="514"/>
      <c r="L128" s="525"/>
      <c r="M128" s="514">
        <f t="shared" si="40"/>
        <v>0</v>
      </c>
      <c r="N128" s="525"/>
      <c r="O128" s="514">
        <f t="shared" si="33"/>
        <v>0</v>
      </c>
      <c r="P128" s="514">
        <f t="shared" si="34"/>
        <v>0</v>
      </c>
    </row>
    <row r="129" spans="2:16">
      <c r="B129" s="195" t="str">
        <f t="shared" si="31"/>
        <v/>
      </c>
      <c r="C129" s="507">
        <f>IF(D93="","-",+C128+1)</f>
        <v>2044</v>
      </c>
      <c r="D129" s="374">
        <f>IF(F128+SUM(E$99:E128)=D$92,F128,D$92-SUM(E$99:E128))</f>
        <v>2717474.5457463381</v>
      </c>
      <c r="E129" s="522">
        <f t="shared" si="41"/>
        <v>235049.68292682926</v>
      </c>
      <c r="F129" s="523">
        <f t="shared" si="42"/>
        <v>2482424.8628195086</v>
      </c>
      <c r="G129" s="523">
        <f t="shared" si="43"/>
        <v>2599949.7042829236</v>
      </c>
      <c r="H129" s="526">
        <f t="shared" si="44"/>
        <v>530180.96221409307</v>
      </c>
      <c r="I129" s="577">
        <f t="shared" si="45"/>
        <v>530180.96221409307</v>
      </c>
      <c r="J129" s="514">
        <f t="shared" si="32"/>
        <v>0</v>
      </c>
      <c r="K129" s="514"/>
      <c r="L129" s="525"/>
      <c r="M129" s="514">
        <f t="shared" si="40"/>
        <v>0</v>
      </c>
      <c r="N129" s="525"/>
      <c r="O129" s="514">
        <f t="shared" si="33"/>
        <v>0</v>
      </c>
      <c r="P129" s="514">
        <f t="shared" si="34"/>
        <v>0</v>
      </c>
    </row>
    <row r="130" spans="2:16">
      <c r="B130" s="195" t="str">
        <f t="shared" si="31"/>
        <v/>
      </c>
      <c r="C130" s="507">
        <f>IF(D93="","-",+C129+1)</f>
        <v>2045</v>
      </c>
      <c r="D130" s="374">
        <f>IF(F129+SUM(E$99:E129)=D$92,F129,D$92-SUM(E$99:E129))</f>
        <v>2482424.8628195086</v>
      </c>
      <c r="E130" s="522">
        <f t="shared" si="41"/>
        <v>235049.68292682926</v>
      </c>
      <c r="F130" s="523">
        <f t="shared" si="42"/>
        <v>2247375.1798926792</v>
      </c>
      <c r="G130" s="523">
        <f t="shared" si="43"/>
        <v>2364900.0213560937</v>
      </c>
      <c r="H130" s="526">
        <f t="shared" si="44"/>
        <v>503499.47929771733</v>
      </c>
      <c r="I130" s="577">
        <f t="shared" si="45"/>
        <v>503499.47929771733</v>
      </c>
      <c r="J130" s="514">
        <f t="shared" si="32"/>
        <v>0</v>
      </c>
      <c r="K130" s="514"/>
      <c r="L130" s="525"/>
      <c r="M130" s="514">
        <f t="shared" si="40"/>
        <v>0</v>
      </c>
      <c r="N130" s="525"/>
      <c r="O130" s="514">
        <f t="shared" si="33"/>
        <v>0</v>
      </c>
      <c r="P130" s="514">
        <f t="shared" si="34"/>
        <v>0</v>
      </c>
    </row>
    <row r="131" spans="2:16">
      <c r="B131" s="195" t="str">
        <f t="shared" si="31"/>
        <v/>
      </c>
      <c r="C131" s="507">
        <f>IF(D93="","-",+C130+1)</f>
        <v>2046</v>
      </c>
      <c r="D131" s="374">
        <f>IF(F130+SUM(E$99:E130)=D$92,F130,D$92-SUM(E$99:E130))</f>
        <v>2247375.1798926792</v>
      </c>
      <c r="E131" s="522">
        <f t="shared" si="41"/>
        <v>235049.68292682926</v>
      </c>
      <c r="F131" s="523">
        <f t="shared" si="42"/>
        <v>2012325.49696585</v>
      </c>
      <c r="G131" s="523">
        <f t="shared" si="43"/>
        <v>2129850.3384292647</v>
      </c>
      <c r="H131" s="526">
        <f t="shared" si="44"/>
        <v>476817.99638134165</v>
      </c>
      <c r="I131" s="577">
        <f t="shared" si="45"/>
        <v>476817.99638134165</v>
      </c>
      <c r="J131" s="514">
        <f t="shared" si="32"/>
        <v>0</v>
      </c>
      <c r="K131" s="514"/>
      <c r="L131" s="525"/>
      <c r="M131" s="514">
        <f t="shared" ref="M131:M154" si="46">IF(L541&lt;&gt;0,+H541-L541,0)</f>
        <v>0</v>
      </c>
      <c r="N131" s="525"/>
      <c r="O131" s="514">
        <f t="shared" ref="O131:O154" si="47">IF(N541&lt;&gt;0,+I541-N541,0)</f>
        <v>0</v>
      </c>
      <c r="P131" s="514">
        <f t="shared" ref="P131:P154" si="48">+O541-M541</f>
        <v>0</v>
      </c>
    </row>
    <row r="132" spans="2:16">
      <c r="B132" s="195" t="str">
        <f t="shared" si="31"/>
        <v/>
      </c>
      <c r="C132" s="507">
        <f>IF(D93="","-",+C131+1)</f>
        <v>2047</v>
      </c>
      <c r="D132" s="374">
        <f>IF(F131+SUM(E$99:E131)=D$92,F131,D$92-SUM(E$99:E131))</f>
        <v>2012325.49696585</v>
      </c>
      <c r="E132" s="522">
        <f t="shared" si="41"/>
        <v>235049.68292682926</v>
      </c>
      <c r="F132" s="523">
        <f t="shared" si="42"/>
        <v>1777275.8140390208</v>
      </c>
      <c r="G132" s="523">
        <f t="shared" si="43"/>
        <v>1894800.6555024353</v>
      </c>
      <c r="H132" s="526">
        <f t="shared" si="44"/>
        <v>450136.51346496597</v>
      </c>
      <c r="I132" s="577">
        <f t="shared" si="45"/>
        <v>450136.51346496597</v>
      </c>
      <c r="J132" s="514">
        <f t="shared" si="32"/>
        <v>0</v>
      </c>
      <c r="K132" s="514"/>
      <c r="L132" s="525"/>
      <c r="M132" s="514">
        <f t="shared" si="46"/>
        <v>0</v>
      </c>
      <c r="N132" s="525"/>
      <c r="O132" s="514">
        <f t="shared" si="47"/>
        <v>0</v>
      </c>
      <c r="P132" s="514">
        <f t="shared" si="48"/>
        <v>0</v>
      </c>
    </row>
    <row r="133" spans="2:16">
      <c r="B133" s="195" t="str">
        <f t="shared" si="31"/>
        <v/>
      </c>
      <c r="C133" s="507">
        <f>IF(D93="","-",+C132+1)</f>
        <v>2048</v>
      </c>
      <c r="D133" s="374">
        <f>IF(F132+SUM(E$99:E132)=D$92,F132,D$92-SUM(E$99:E132))</f>
        <v>1777275.8140390208</v>
      </c>
      <c r="E133" s="522">
        <f t="shared" si="41"/>
        <v>235049.68292682926</v>
      </c>
      <c r="F133" s="523">
        <f t="shared" si="42"/>
        <v>1542226.1311121916</v>
      </c>
      <c r="G133" s="523">
        <f t="shared" si="43"/>
        <v>1659750.9725756063</v>
      </c>
      <c r="H133" s="526">
        <f t="shared" si="44"/>
        <v>423455.03054859029</v>
      </c>
      <c r="I133" s="577">
        <f t="shared" si="45"/>
        <v>423455.03054859029</v>
      </c>
      <c r="J133" s="514">
        <f t="shared" si="32"/>
        <v>0</v>
      </c>
      <c r="K133" s="514"/>
      <c r="L133" s="525"/>
      <c r="M133" s="514">
        <f t="shared" si="46"/>
        <v>0</v>
      </c>
      <c r="N133" s="525"/>
      <c r="O133" s="514">
        <f t="shared" si="47"/>
        <v>0</v>
      </c>
      <c r="P133" s="514">
        <f t="shared" si="48"/>
        <v>0</v>
      </c>
    </row>
    <row r="134" spans="2:16">
      <c r="B134" s="195" t="str">
        <f t="shared" si="31"/>
        <v/>
      </c>
      <c r="C134" s="507">
        <f>IF(D93="","-",+C133+1)</f>
        <v>2049</v>
      </c>
      <c r="D134" s="374">
        <f>IF(F133+SUM(E$99:E133)=D$92,F133,D$92-SUM(E$99:E133))</f>
        <v>1542226.1311121916</v>
      </c>
      <c r="E134" s="522">
        <f t="shared" si="41"/>
        <v>235049.68292682926</v>
      </c>
      <c r="F134" s="523">
        <f t="shared" si="42"/>
        <v>1307176.4481853624</v>
      </c>
      <c r="G134" s="523">
        <f t="shared" si="43"/>
        <v>1424701.2896487769</v>
      </c>
      <c r="H134" s="526">
        <f t="shared" si="44"/>
        <v>396773.54763221461</v>
      </c>
      <c r="I134" s="577">
        <f t="shared" si="45"/>
        <v>396773.54763221461</v>
      </c>
      <c r="J134" s="514">
        <f t="shared" si="32"/>
        <v>0</v>
      </c>
      <c r="K134" s="514"/>
      <c r="L134" s="525"/>
      <c r="M134" s="514">
        <f t="shared" si="46"/>
        <v>0</v>
      </c>
      <c r="N134" s="525"/>
      <c r="O134" s="514">
        <f t="shared" si="47"/>
        <v>0</v>
      </c>
      <c r="P134" s="514">
        <f t="shared" si="48"/>
        <v>0</v>
      </c>
    </row>
    <row r="135" spans="2:16">
      <c r="B135" s="195" t="str">
        <f t="shared" si="31"/>
        <v/>
      </c>
      <c r="C135" s="507">
        <f>IF(D93="","-",+C134+1)</f>
        <v>2050</v>
      </c>
      <c r="D135" s="374">
        <f>IF(F134+SUM(E$99:E134)=D$92,F134,D$92-SUM(E$99:E134))</f>
        <v>1307176.4481853624</v>
      </c>
      <c r="E135" s="522">
        <f t="shared" si="41"/>
        <v>235049.68292682926</v>
      </c>
      <c r="F135" s="523">
        <f t="shared" si="42"/>
        <v>1072126.7652585332</v>
      </c>
      <c r="G135" s="523">
        <f t="shared" si="43"/>
        <v>1189651.6067219479</v>
      </c>
      <c r="H135" s="526">
        <f t="shared" si="44"/>
        <v>370092.06471583893</v>
      </c>
      <c r="I135" s="577">
        <f t="shared" si="45"/>
        <v>370092.06471583893</v>
      </c>
      <c r="J135" s="514">
        <f t="shared" si="32"/>
        <v>0</v>
      </c>
      <c r="K135" s="514"/>
      <c r="L135" s="525"/>
      <c r="M135" s="514">
        <f t="shared" si="46"/>
        <v>0</v>
      </c>
      <c r="N135" s="525"/>
      <c r="O135" s="514">
        <f t="shared" si="47"/>
        <v>0</v>
      </c>
      <c r="P135" s="514">
        <f t="shared" si="48"/>
        <v>0</v>
      </c>
    </row>
    <row r="136" spans="2:16">
      <c r="B136" s="195" t="str">
        <f t="shared" si="31"/>
        <v/>
      </c>
      <c r="C136" s="507">
        <f>IF(D93="","-",+C135+1)</f>
        <v>2051</v>
      </c>
      <c r="D136" s="374">
        <f>IF(F135+SUM(E$99:E135)=D$92,F135,D$92-SUM(E$99:E135))</f>
        <v>1072126.7652585332</v>
      </c>
      <c r="E136" s="522">
        <f t="shared" si="41"/>
        <v>235049.68292682926</v>
      </c>
      <c r="F136" s="523">
        <f t="shared" si="42"/>
        <v>837077.08233170398</v>
      </c>
      <c r="G136" s="523">
        <f t="shared" si="43"/>
        <v>954601.92379511858</v>
      </c>
      <c r="H136" s="526">
        <f t="shared" si="44"/>
        <v>343410.58179946325</v>
      </c>
      <c r="I136" s="577">
        <f t="shared" si="45"/>
        <v>343410.58179946325</v>
      </c>
      <c r="J136" s="514">
        <f t="shared" si="32"/>
        <v>0</v>
      </c>
      <c r="K136" s="514"/>
      <c r="L136" s="525"/>
      <c r="M136" s="514">
        <f t="shared" si="46"/>
        <v>0</v>
      </c>
      <c r="N136" s="525"/>
      <c r="O136" s="514">
        <f t="shared" si="47"/>
        <v>0</v>
      </c>
      <c r="P136" s="514">
        <f t="shared" si="48"/>
        <v>0</v>
      </c>
    </row>
    <row r="137" spans="2:16">
      <c r="B137" s="195" t="str">
        <f t="shared" si="31"/>
        <v/>
      </c>
      <c r="C137" s="507">
        <f>IF(D93="","-",+C136+1)</f>
        <v>2052</v>
      </c>
      <c r="D137" s="374">
        <f>IF(F136+SUM(E$99:E136)=D$92,F136,D$92-SUM(E$99:E136))</f>
        <v>837077.08233170398</v>
      </c>
      <c r="E137" s="522">
        <f t="shared" si="41"/>
        <v>235049.68292682926</v>
      </c>
      <c r="F137" s="523">
        <f t="shared" si="42"/>
        <v>602027.39940487477</v>
      </c>
      <c r="G137" s="523">
        <f t="shared" si="43"/>
        <v>719552.24086828937</v>
      </c>
      <c r="H137" s="526">
        <f t="shared" si="44"/>
        <v>316729.09888308751</v>
      </c>
      <c r="I137" s="577">
        <f t="shared" si="45"/>
        <v>316729.09888308751</v>
      </c>
      <c r="J137" s="514">
        <f t="shared" si="32"/>
        <v>0</v>
      </c>
      <c r="K137" s="514"/>
      <c r="L137" s="525"/>
      <c r="M137" s="514">
        <f t="shared" si="46"/>
        <v>0</v>
      </c>
      <c r="N137" s="525"/>
      <c r="O137" s="514">
        <f t="shared" si="47"/>
        <v>0</v>
      </c>
      <c r="P137" s="514">
        <f t="shared" si="48"/>
        <v>0</v>
      </c>
    </row>
    <row r="138" spans="2:16">
      <c r="B138" s="195" t="str">
        <f t="shared" si="31"/>
        <v/>
      </c>
      <c r="C138" s="507">
        <f>IF(D93="","-",+C137+1)</f>
        <v>2053</v>
      </c>
      <c r="D138" s="374">
        <f>IF(F137+SUM(E$99:E137)=D$92,F137,D$92-SUM(E$99:E137))</f>
        <v>602027.39940487477</v>
      </c>
      <c r="E138" s="522">
        <f t="shared" si="41"/>
        <v>235049.68292682926</v>
      </c>
      <c r="F138" s="523">
        <f t="shared" si="42"/>
        <v>366977.71647804551</v>
      </c>
      <c r="G138" s="523">
        <f t="shared" si="43"/>
        <v>484502.55794146017</v>
      </c>
      <c r="H138" s="526">
        <f t="shared" si="44"/>
        <v>290047.61596671189</v>
      </c>
      <c r="I138" s="577">
        <f t="shared" si="45"/>
        <v>290047.61596671189</v>
      </c>
      <c r="J138" s="514">
        <f t="shared" si="32"/>
        <v>0</v>
      </c>
      <c r="K138" s="514"/>
      <c r="L138" s="525"/>
      <c r="M138" s="514">
        <f t="shared" si="46"/>
        <v>0</v>
      </c>
      <c r="N138" s="525"/>
      <c r="O138" s="514">
        <f t="shared" si="47"/>
        <v>0</v>
      </c>
      <c r="P138" s="514">
        <f t="shared" si="48"/>
        <v>0</v>
      </c>
    </row>
    <row r="139" spans="2:16">
      <c r="B139" s="195" t="str">
        <f t="shared" si="31"/>
        <v/>
      </c>
      <c r="C139" s="507">
        <f>IF(D93="","-",+C138+1)</f>
        <v>2054</v>
      </c>
      <c r="D139" s="374">
        <f>IF(F138+SUM(E$99:E138)=D$92,F138,D$92-SUM(E$99:E138))</f>
        <v>366977.71647804551</v>
      </c>
      <c r="E139" s="522">
        <f t="shared" si="41"/>
        <v>235049.68292682926</v>
      </c>
      <c r="F139" s="523">
        <f t="shared" si="42"/>
        <v>131928.03355121624</v>
      </c>
      <c r="G139" s="523">
        <f t="shared" si="43"/>
        <v>249452.87501463087</v>
      </c>
      <c r="H139" s="526">
        <f t="shared" si="44"/>
        <v>263366.13305033615</v>
      </c>
      <c r="I139" s="577">
        <f t="shared" si="45"/>
        <v>263366.13305033615</v>
      </c>
      <c r="J139" s="514">
        <f t="shared" si="32"/>
        <v>0</v>
      </c>
      <c r="K139" s="514"/>
      <c r="L139" s="525"/>
      <c r="M139" s="514">
        <f t="shared" si="46"/>
        <v>0</v>
      </c>
      <c r="N139" s="525"/>
      <c r="O139" s="514">
        <f t="shared" si="47"/>
        <v>0</v>
      </c>
      <c r="P139" s="514">
        <f t="shared" si="48"/>
        <v>0</v>
      </c>
    </row>
    <row r="140" spans="2:16">
      <c r="B140" s="195" t="str">
        <f t="shared" si="31"/>
        <v/>
      </c>
      <c r="C140" s="507">
        <f>IF(D93="","-",+C139+1)</f>
        <v>2055</v>
      </c>
      <c r="D140" s="374">
        <f>IF(F139+SUM(E$99:E139)=D$92,F139,D$92-SUM(E$99:E139))</f>
        <v>131928.03355121624</v>
      </c>
      <c r="E140" s="522">
        <f t="shared" si="41"/>
        <v>131928.03355121624</v>
      </c>
      <c r="F140" s="523">
        <f t="shared" si="42"/>
        <v>0</v>
      </c>
      <c r="G140" s="523">
        <f t="shared" si="43"/>
        <v>65964.016775608121</v>
      </c>
      <c r="H140" s="526">
        <f t="shared" si="44"/>
        <v>139415.88788387578</v>
      </c>
      <c r="I140" s="577">
        <f t="shared" si="45"/>
        <v>139415.88788387578</v>
      </c>
      <c r="J140" s="514">
        <f t="shared" si="32"/>
        <v>0</v>
      </c>
      <c r="K140" s="514"/>
      <c r="L140" s="525"/>
      <c r="M140" s="514">
        <f t="shared" si="46"/>
        <v>0</v>
      </c>
      <c r="N140" s="525"/>
      <c r="O140" s="514">
        <f t="shared" si="47"/>
        <v>0</v>
      </c>
      <c r="P140" s="514">
        <f t="shared" si="48"/>
        <v>0</v>
      </c>
    </row>
    <row r="141" spans="2:16">
      <c r="B141" s="195" t="str">
        <f t="shared" si="31"/>
        <v/>
      </c>
      <c r="C141" s="507">
        <f>IF(D93="","-",+C140+1)</f>
        <v>2056</v>
      </c>
      <c r="D141" s="374">
        <f>IF(F140+SUM(E$99:E140)=D$92,F140,D$92-SUM(E$99:E140))</f>
        <v>0</v>
      </c>
      <c r="E141" s="522">
        <f t="shared" si="41"/>
        <v>0</v>
      </c>
      <c r="F141" s="523">
        <f t="shared" si="42"/>
        <v>0</v>
      </c>
      <c r="G141" s="523">
        <f t="shared" si="43"/>
        <v>0</v>
      </c>
      <c r="H141" s="526">
        <f t="shared" si="44"/>
        <v>0</v>
      </c>
      <c r="I141" s="577">
        <f t="shared" si="45"/>
        <v>0</v>
      </c>
      <c r="J141" s="514">
        <f t="shared" si="32"/>
        <v>0</v>
      </c>
      <c r="K141" s="514"/>
      <c r="L141" s="525"/>
      <c r="M141" s="514">
        <f t="shared" si="46"/>
        <v>0</v>
      </c>
      <c r="N141" s="525"/>
      <c r="O141" s="514">
        <f t="shared" si="47"/>
        <v>0</v>
      </c>
      <c r="P141" s="514">
        <f t="shared" si="48"/>
        <v>0</v>
      </c>
    </row>
    <row r="142" spans="2:16">
      <c r="B142" s="195" t="str">
        <f t="shared" si="31"/>
        <v/>
      </c>
      <c r="C142" s="507">
        <f>IF(D93="","-",+C141+1)</f>
        <v>2057</v>
      </c>
      <c r="D142" s="374">
        <f>IF(F141+SUM(E$99:E141)=D$92,F141,D$92-SUM(E$99:E141))</f>
        <v>0</v>
      </c>
      <c r="E142" s="522">
        <f t="shared" si="41"/>
        <v>0</v>
      </c>
      <c r="F142" s="523">
        <f t="shared" si="42"/>
        <v>0</v>
      </c>
      <c r="G142" s="523">
        <f t="shared" si="43"/>
        <v>0</v>
      </c>
      <c r="H142" s="526">
        <f t="shared" si="44"/>
        <v>0</v>
      </c>
      <c r="I142" s="577">
        <f t="shared" si="45"/>
        <v>0</v>
      </c>
      <c r="J142" s="514">
        <f t="shared" si="32"/>
        <v>0</v>
      </c>
      <c r="K142" s="514"/>
      <c r="L142" s="525"/>
      <c r="M142" s="514">
        <f t="shared" si="46"/>
        <v>0</v>
      </c>
      <c r="N142" s="525"/>
      <c r="O142" s="514">
        <f t="shared" si="47"/>
        <v>0</v>
      </c>
      <c r="P142" s="514">
        <f t="shared" si="48"/>
        <v>0</v>
      </c>
    </row>
    <row r="143" spans="2:16">
      <c r="B143" s="195" t="str">
        <f t="shared" si="31"/>
        <v/>
      </c>
      <c r="C143" s="507">
        <f>IF(D93="","-",+C142+1)</f>
        <v>2058</v>
      </c>
      <c r="D143" s="374">
        <f>IF(F142+SUM(E$99:E142)=D$92,F142,D$92-SUM(E$99:E142))</f>
        <v>0</v>
      </c>
      <c r="E143" s="522">
        <f t="shared" si="41"/>
        <v>0</v>
      </c>
      <c r="F143" s="523">
        <f t="shared" si="42"/>
        <v>0</v>
      </c>
      <c r="G143" s="523">
        <f t="shared" si="43"/>
        <v>0</v>
      </c>
      <c r="H143" s="526">
        <f t="shared" si="44"/>
        <v>0</v>
      </c>
      <c r="I143" s="577">
        <f t="shared" si="45"/>
        <v>0</v>
      </c>
      <c r="J143" s="514">
        <f t="shared" si="32"/>
        <v>0</v>
      </c>
      <c r="K143" s="514"/>
      <c r="L143" s="525"/>
      <c r="M143" s="514">
        <f t="shared" si="46"/>
        <v>0</v>
      </c>
      <c r="N143" s="525"/>
      <c r="O143" s="514">
        <f t="shared" si="47"/>
        <v>0</v>
      </c>
      <c r="P143" s="514">
        <f t="shared" si="48"/>
        <v>0</v>
      </c>
    </row>
    <row r="144" spans="2:16">
      <c r="B144" s="195" t="str">
        <f t="shared" si="31"/>
        <v/>
      </c>
      <c r="C144" s="507">
        <f>IF(D93="","-",+C143+1)</f>
        <v>2059</v>
      </c>
      <c r="D144" s="374">
        <f>IF(F143+SUM(E$99:E143)=D$92,F143,D$92-SUM(E$99:E143))</f>
        <v>0</v>
      </c>
      <c r="E144" s="522">
        <f t="shared" si="41"/>
        <v>0</v>
      </c>
      <c r="F144" s="523">
        <f t="shared" si="42"/>
        <v>0</v>
      </c>
      <c r="G144" s="523">
        <f t="shared" si="43"/>
        <v>0</v>
      </c>
      <c r="H144" s="526">
        <f t="shared" si="44"/>
        <v>0</v>
      </c>
      <c r="I144" s="577">
        <f t="shared" si="45"/>
        <v>0</v>
      </c>
      <c r="J144" s="514">
        <f t="shared" si="32"/>
        <v>0</v>
      </c>
      <c r="K144" s="514"/>
      <c r="L144" s="525"/>
      <c r="M144" s="514">
        <f t="shared" si="46"/>
        <v>0</v>
      </c>
      <c r="N144" s="525"/>
      <c r="O144" s="514">
        <f t="shared" si="47"/>
        <v>0</v>
      </c>
      <c r="P144" s="514">
        <f t="shared" si="48"/>
        <v>0</v>
      </c>
    </row>
    <row r="145" spans="2:16">
      <c r="B145" s="195" t="str">
        <f t="shared" si="31"/>
        <v/>
      </c>
      <c r="C145" s="507">
        <f>IF(D93="","-",+C144+1)</f>
        <v>2060</v>
      </c>
      <c r="D145" s="374">
        <f>IF(F144+SUM(E$99:E144)=D$92,F144,D$92-SUM(E$99:E144))</f>
        <v>0</v>
      </c>
      <c r="E145" s="522">
        <f t="shared" si="41"/>
        <v>0</v>
      </c>
      <c r="F145" s="523">
        <f t="shared" si="42"/>
        <v>0</v>
      </c>
      <c r="G145" s="523">
        <f t="shared" si="43"/>
        <v>0</v>
      </c>
      <c r="H145" s="526">
        <f t="shared" si="44"/>
        <v>0</v>
      </c>
      <c r="I145" s="577">
        <f t="shared" si="45"/>
        <v>0</v>
      </c>
      <c r="J145" s="514">
        <f t="shared" si="32"/>
        <v>0</v>
      </c>
      <c r="K145" s="514"/>
      <c r="L145" s="525"/>
      <c r="M145" s="514">
        <f t="shared" si="46"/>
        <v>0</v>
      </c>
      <c r="N145" s="525"/>
      <c r="O145" s="514">
        <f t="shared" si="47"/>
        <v>0</v>
      </c>
      <c r="P145" s="514">
        <f t="shared" si="48"/>
        <v>0</v>
      </c>
    </row>
    <row r="146" spans="2:16">
      <c r="B146" s="195" t="str">
        <f t="shared" si="31"/>
        <v/>
      </c>
      <c r="C146" s="507">
        <f>IF(D93="","-",+C145+1)</f>
        <v>2061</v>
      </c>
      <c r="D146" s="374">
        <f>IF(F145+SUM(E$99:E145)=D$92,F145,D$92-SUM(E$99:E145))</f>
        <v>0</v>
      </c>
      <c r="E146" s="522">
        <f t="shared" si="41"/>
        <v>0</v>
      </c>
      <c r="F146" s="523">
        <f t="shared" si="42"/>
        <v>0</v>
      </c>
      <c r="G146" s="523">
        <f t="shared" si="43"/>
        <v>0</v>
      </c>
      <c r="H146" s="526">
        <f t="shared" si="44"/>
        <v>0</v>
      </c>
      <c r="I146" s="577">
        <f t="shared" si="45"/>
        <v>0</v>
      </c>
      <c r="J146" s="514">
        <f t="shared" si="32"/>
        <v>0</v>
      </c>
      <c r="K146" s="514"/>
      <c r="L146" s="525"/>
      <c r="M146" s="514">
        <f t="shared" si="46"/>
        <v>0</v>
      </c>
      <c r="N146" s="525"/>
      <c r="O146" s="514">
        <f t="shared" si="47"/>
        <v>0</v>
      </c>
      <c r="P146" s="514">
        <f t="shared" si="48"/>
        <v>0</v>
      </c>
    </row>
    <row r="147" spans="2:16">
      <c r="B147" s="195" t="str">
        <f t="shared" si="31"/>
        <v/>
      </c>
      <c r="C147" s="507">
        <f>IF(D93="","-",+C146+1)</f>
        <v>2062</v>
      </c>
      <c r="D147" s="374">
        <f>IF(F146+SUM(E$99:E146)=D$92,F146,D$92-SUM(E$99:E146))</f>
        <v>0</v>
      </c>
      <c r="E147" s="522">
        <f t="shared" si="41"/>
        <v>0</v>
      </c>
      <c r="F147" s="523">
        <f t="shared" si="42"/>
        <v>0</v>
      </c>
      <c r="G147" s="523">
        <f t="shared" si="43"/>
        <v>0</v>
      </c>
      <c r="H147" s="526">
        <f t="shared" si="44"/>
        <v>0</v>
      </c>
      <c r="I147" s="577">
        <f t="shared" si="45"/>
        <v>0</v>
      </c>
      <c r="J147" s="514">
        <f t="shared" si="32"/>
        <v>0</v>
      </c>
      <c r="K147" s="514"/>
      <c r="L147" s="525"/>
      <c r="M147" s="514">
        <f t="shared" si="46"/>
        <v>0</v>
      </c>
      <c r="N147" s="525"/>
      <c r="O147" s="514">
        <f t="shared" si="47"/>
        <v>0</v>
      </c>
      <c r="P147" s="514">
        <f t="shared" si="48"/>
        <v>0</v>
      </c>
    </row>
    <row r="148" spans="2:16">
      <c r="B148" s="195" t="str">
        <f t="shared" si="31"/>
        <v/>
      </c>
      <c r="C148" s="507">
        <f>IF(D93="","-",+C147+1)</f>
        <v>2063</v>
      </c>
      <c r="D148" s="374">
        <f>IF(F147+SUM(E$99:E147)=D$92,F147,D$92-SUM(E$99:E147))</f>
        <v>0</v>
      </c>
      <c r="E148" s="522">
        <f t="shared" si="41"/>
        <v>0</v>
      </c>
      <c r="F148" s="523">
        <f t="shared" si="42"/>
        <v>0</v>
      </c>
      <c r="G148" s="523">
        <f t="shared" si="43"/>
        <v>0</v>
      </c>
      <c r="H148" s="526">
        <f t="shared" si="44"/>
        <v>0</v>
      </c>
      <c r="I148" s="577">
        <f t="shared" si="45"/>
        <v>0</v>
      </c>
      <c r="J148" s="514">
        <f t="shared" si="32"/>
        <v>0</v>
      </c>
      <c r="K148" s="514"/>
      <c r="L148" s="525"/>
      <c r="M148" s="514">
        <f t="shared" si="46"/>
        <v>0</v>
      </c>
      <c r="N148" s="525"/>
      <c r="O148" s="514">
        <f t="shared" si="47"/>
        <v>0</v>
      </c>
      <c r="P148" s="514">
        <f t="shared" si="48"/>
        <v>0</v>
      </c>
    </row>
    <row r="149" spans="2:16">
      <c r="B149" s="195" t="str">
        <f t="shared" si="31"/>
        <v/>
      </c>
      <c r="C149" s="507">
        <f>IF(D93="","-",+C148+1)</f>
        <v>2064</v>
      </c>
      <c r="D149" s="374">
        <f>IF(F148+SUM(E$99:E148)=D$92,F148,D$92-SUM(E$99:E148))</f>
        <v>0</v>
      </c>
      <c r="E149" s="522">
        <f t="shared" si="41"/>
        <v>0</v>
      </c>
      <c r="F149" s="523">
        <f t="shared" si="42"/>
        <v>0</v>
      </c>
      <c r="G149" s="523">
        <f t="shared" si="43"/>
        <v>0</v>
      </c>
      <c r="H149" s="526">
        <f t="shared" si="44"/>
        <v>0</v>
      </c>
      <c r="I149" s="577">
        <f t="shared" si="45"/>
        <v>0</v>
      </c>
      <c r="J149" s="514">
        <f t="shared" si="32"/>
        <v>0</v>
      </c>
      <c r="K149" s="514"/>
      <c r="L149" s="525"/>
      <c r="M149" s="514">
        <f t="shared" si="46"/>
        <v>0</v>
      </c>
      <c r="N149" s="525"/>
      <c r="O149" s="514">
        <f t="shared" si="47"/>
        <v>0</v>
      </c>
      <c r="P149" s="514">
        <f t="shared" si="48"/>
        <v>0</v>
      </c>
    </row>
    <row r="150" spans="2:16">
      <c r="B150" s="195" t="str">
        <f t="shared" si="31"/>
        <v/>
      </c>
      <c r="C150" s="507">
        <f>IF(D93="","-",+C149+1)</f>
        <v>2065</v>
      </c>
      <c r="D150" s="374">
        <f>IF(F149+SUM(E$99:E149)=D$92,F149,D$92-SUM(E$99:E149))</f>
        <v>0</v>
      </c>
      <c r="E150" s="522">
        <f t="shared" si="41"/>
        <v>0</v>
      </c>
      <c r="F150" s="523">
        <f t="shared" si="42"/>
        <v>0</v>
      </c>
      <c r="G150" s="523">
        <f t="shared" si="43"/>
        <v>0</v>
      </c>
      <c r="H150" s="526">
        <f t="shared" si="44"/>
        <v>0</v>
      </c>
      <c r="I150" s="577">
        <f t="shared" si="45"/>
        <v>0</v>
      </c>
      <c r="J150" s="514">
        <f t="shared" si="32"/>
        <v>0</v>
      </c>
      <c r="K150" s="514"/>
      <c r="L150" s="525"/>
      <c r="M150" s="514">
        <f t="shared" si="46"/>
        <v>0</v>
      </c>
      <c r="N150" s="525"/>
      <c r="O150" s="514">
        <f t="shared" si="47"/>
        <v>0</v>
      </c>
      <c r="P150" s="514">
        <f t="shared" si="48"/>
        <v>0</v>
      </c>
    </row>
    <row r="151" spans="2:16">
      <c r="B151" s="195" t="str">
        <f t="shared" si="31"/>
        <v/>
      </c>
      <c r="C151" s="507">
        <f>IF(D93="","-",+C150+1)</f>
        <v>2066</v>
      </c>
      <c r="D151" s="374">
        <f>IF(F150+SUM(E$99:E150)=D$92,F150,D$92-SUM(E$99:E150))</f>
        <v>0</v>
      </c>
      <c r="E151" s="522">
        <f t="shared" si="41"/>
        <v>0</v>
      </c>
      <c r="F151" s="523">
        <f t="shared" si="42"/>
        <v>0</v>
      </c>
      <c r="G151" s="523">
        <f t="shared" si="43"/>
        <v>0</v>
      </c>
      <c r="H151" s="526">
        <f t="shared" si="44"/>
        <v>0</v>
      </c>
      <c r="I151" s="577">
        <f t="shared" si="45"/>
        <v>0</v>
      </c>
      <c r="J151" s="514">
        <f t="shared" si="32"/>
        <v>0</v>
      </c>
      <c r="K151" s="514"/>
      <c r="L151" s="525"/>
      <c r="M151" s="514">
        <f t="shared" si="46"/>
        <v>0</v>
      </c>
      <c r="N151" s="525"/>
      <c r="O151" s="514">
        <f t="shared" si="47"/>
        <v>0</v>
      </c>
      <c r="P151" s="514">
        <f t="shared" si="48"/>
        <v>0</v>
      </c>
    </row>
    <row r="152" spans="2:16">
      <c r="B152" s="195" t="str">
        <f t="shared" si="31"/>
        <v/>
      </c>
      <c r="C152" s="507">
        <f>IF(D93="","-",+C151+1)</f>
        <v>2067</v>
      </c>
      <c r="D152" s="374">
        <f>IF(F151+SUM(E$99:E151)=D$92,F151,D$92-SUM(E$99:E151))</f>
        <v>0</v>
      </c>
      <c r="E152" s="522">
        <f t="shared" si="41"/>
        <v>0</v>
      </c>
      <c r="F152" s="523">
        <f t="shared" si="42"/>
        <v>0</v>
      </c>
      <c r="G152" s="523">
        <f t="shared" si="43"/>
        <v>0</v>
      </c>
      <c r="H152" s="526">
        <f t="shared" si="44"/>
        <v>0</v>
      </c>
      <c r="I152" s="577">
        <f t="shared" si="45"/>
        <v>0</v>
      </c>
      <c r="J152" s="514">
        <f t="shared" si="32"/>
        <v>0</v>
      </c>
      <c r="K152" s="514"/>
      <c r="L152" s="525"/>
      <c r="M152" s="514">
        <f t="shared" si="46"/>
        <v>0</v>
      </c>
      <c r="N152" s="525"/>
      <c r="O152" s="514">
        <f t="shared" si="47"/>
        <v>0</v>
      </c>
      <c r="P152" s="514">
        <f t="shared" si="48"/>
        <v>0</v>
      </c>
    </row>
    <row r="153" spans="2:16">
      <c r="B153" s="195" t="str">
        <f t="shared" si="31"/>
        <v/>
      </c>
      <c r="C153" s="507">
        <f>IF(D93="","-",+C152+1)</f>
        <v>2068</v>
      </c>
      <c r="D153" s="374">
        <f>IF(F152+SUM(E$99:E152)=D$92,F152,D$92-SUM(E$99:E152))</f>
        <v>0</v>
      </c>
      <c r="E153" s="522">
        <f t="shared" si="41"/>
        <v>0</v>
      </c>
      <c r="F153" s="523">
        <f t="shared" si="42"/>
        <v>0</v>
      </c>
      <c r="G153" s="523">
        <f t="shared" si="43"/>
        <v>0</v>
      </c>
      <c r="H153" s="526">
        <f t="shared" si="44"/>
        <v>0</v>
      </c>
      <c r="I153" s="577">
        <f t="shared" si="45"/>
        <v>0</v>
      </c>
      <c r="J153" s="514">
        <f t="shared" si="32"/>
        <v>0</v>
      </c>
      <c r="K153" s="514"/>
      <c r="L153" s="525"/>
      <c r="M153" s="514">
        <f t="shared" si="46"/>
        <v>0</v>
      </c>
      <c r="N153" s="525"/>
      <c r="O153" s="514">
        <f t="shared" si="47"/>
        <v>0</v>
      </c>
      <c r="P153" s="514">
        <f t="shared" si="48"/>
        <v>0</v>
      </c>
    </row>
    <row r="154" spans="2:16" ht="13.5" thickBot="1">
      <c r="B154" s="195" t="str">
        <f t="shared" si="31"/>
        <v/>
      </c>
      <c r="C154" s="527">
        <f>IF(D93="","-",+C153+1)</f>
        <v>2069</v>
      </c>
      <c r="D154" s="374">
        <f>IF(F153+SUM(E$99:E153)=D$92,F153,D$92-SUM(E$99:E153))</f>
        <v>0</v>
      </c>
      <c r="E154" s="522">
        <f t="shared" si="41"/>
        <v>0</v>
      </c>
      <c r="F154" s="523">
        <f t="shared" si="42"/>
        <v>0</v>
      </c>
      <c r="G154" s="523">
        <f t="shared" si="43"/>
        <v>0</v>
      </c>
      <c r="H154" s="526">
        <f t="shared" si="44"/>
        <v>0</v>
      </c>
      <c r="I154" s="577">
        <f t="shared" si="45"/>
        <v>0</v>
      </c>
      <c r="J154" s="514">
        <f t="shared" si="32"/>
        <v>0</v>
      </c>
      <c r="K154" s="514"/>
      <c r="L154" s="532"/>
      <c r="M154" s="533">
        <f t="shared" si="46"/>
        <v>0</v>
      </c>
      <c r="N154" s="532"/>
      <c r="O154" s="533">
        <f t="shared" si="47"/>
        <v>0</v>
      </c>
      <c r="P154" s="533">
        <f t="shared" si="48"/>
        <v>0</v>
      </c>
    </row>
    <row r="155" spans="2:16">
      <c r="C155" s="374" t="s">
        <v>78</v>
      </c>
      <c r="D155" s="375"/>
      <c r="E155" s="375">
        <f>SUM(E99:E154)</f>
        <v>9637037</v>
      </c>
      <c r="F155" s="375"/>
      <c r="G155" s="375"/>
      <c r="H155" s="375">
        <f>SUM(H99:H154)</f>
        <v>32436534.771559466</v>
      </c>
      <c r="I155" s="375">
        <f>SUM(I99:I154)</f>
        <v>32436534.771559466</v>
      </c>
      <c r="J155" s="375">
        <f>SUM(J99:J154)</f>
        <v>0</v>
      </c>
      <c r="K155" s="375"/>
      <c r="L155" s="375"/>
      <c r="M155" s="375"/>
      <c r="N155" s="375"/>
      <c r="O155" s="375"/>
      <c r="P155" s="269"/>
    </row>
    <row r="156" spans="2:16">
      <c r="C156" s="183" t="s">
        <v>92</v>
      </c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</row>
    <row r="157" spans="2:16">
      <c r="C157" s="580"/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</row>
    <row r="158" spans="2:16">
      <c r="C158" s="614" t="s">
        <v>132</v>
      </c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</row>
    <row r="159" spans="2:16">
      <c r="C159" s="467" t="s">
        <v>79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</row>
    <row r="160" spans="2:16">
      <c r="C160" s="581" t="s">
        <v>80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</row>
    <row r="161" spans="3:16">
      <c r="C161" s="581"/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</row>
    <row r="162" spans="3:16" ht="18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635" t="s">
        <v>131</v>
      </c>
    </row>
  </sheetData>
  <conditionalFormatting sqref="C17:C72">
    <cfRule type="cellIs" dxfId="82" priority="1" stopIfTrue="1" operator="equal">
      <formula>$I$10</formula>
    </cfRule>
  </conditionalFormatting>
  <conditionalFormatting sqref="C99:C154">
    <cfRule type="cellIs" dxfId="81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90"/>
  <dimension ref="A1:P162"/>
  <sheetViews>
    <sheetView topLeftCell="A93" zoomScaleNormal="100" zoomScaleSheetLayoutView="81" workbookViewId="0">
      <selection activeCell="D99" sqref="D99:I107"/>
    </sheetView>
  </sheetViews>
  <sheetFormatPr defaultColWidth="8.7109375" defaultRowHeight="12.75" customHeight="1"/>
  <cols>
    <col min="1" max="1" width="4.7109375" style="183" customWidth="1"/>
    <col min="2" max="2" width="6.7109375" style="183" customWidth="1"/>
    <col min="3" max="3" width="23.28515625" style="183" customWidth="1"/>
    <col min="4" max="8" width="17.7109375" style="183" customWidth="1"/>
    <col min="9" max="9" width="20.42578125" style="183" customWidth="1"/>
    <col min="10" max="10" width="16.42578125" style="183" customWidth="1"/>
    <col min="11" max="11" width="17.7109375" style="183" customWidth="1"/>
    <col min="12" max="12" width="16.140625" style="183" customWidth="1"/>
    <col min="13" max="13" width="17.7109375" style="183" customWidth="1"/>
    <col min="14" max="14" width="16.7109375" style="183" customWidth="1"/>
    <col min="15" max="15" width="16.85546875" style="183" customWidth="1"/>
    <col min="16" max="16" width="24.42578125" style="183" customWidth="1"/>
    <col min="17" max="17" width="9.140625" style="183" customWidth="1"/>
    <col min="18" max="22" width="8.7109375" style="183"/>
    <col min="23" max="23" width="9.140625" style="183" customWidth="1"/>
    <col min="24" max="16384" width="8.7109375" style="183"/>
  </cols>
  <sheetData>
    <row r="1" spans="1:16" ht="20.25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41 of 75</v>
      </c>
    </row>
    <row r="2" spans="1:16" ht="18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538" t="s">
        <v>129</v>
      </c>
    </row>
    <row r="3" spans="1:16" ht="18.75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/>
      <c r="P3" s="623">
        <v>1</v>
      </c>
    </row>
    <row r="4" spans="1:16" ht="15.75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6" ht="1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560684.29322186462</v>
      </c>
      <c r="P5" s="269"/>
    </row>
    <row r="6" spans="1:16" ht="15.7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560684.29322186462</v>
      </c>
      <c r="O6" s="269"/>
      <c r="P6" s="269"/>
    </row>
    <row r="7" spans="1:16" ht="13.5" thickBot="1">
      <c r="C7" s="467" t="s">
        <v>48</v>
      </c>
      <c r="D7" s="624" t="s">
        <v>312</v>
      </c>
      <c r="E7" s="587"/>
      <c r="F7" s="587"/>
      <c r="G7" s="269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6" ht="13.5" thickBot="1">
      <c r="C8" s="472"/>
      <c r="D8" s="625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6" ht="13.5" thickBot="1">
      <c r="C9" s="476" t="s">
        <v>50</v>
      </c>
      <c r="D9" s="477" t="s">
        <v>311</v>
      </c>
      <c r="E9" s="637" t="s">
        <v>322</v>
      </c>
      <c r="F9" s="478"/>
      <c r="G9" s="478"/>
      <c r="H9" s="478"/>
      <c r="I9" s="479"/>
      <c r="J9" s="480"/>
      <c r="O9" s="481"/>
      <c r="P9" s="272"/>
    </row>
    <row r="10" spans="1:16">
      <c r="C10" s="482" t="s">
        <v>51</v>
      </c>
      <c r="D10" s="483">
        <v>4866028.3099999996</v>
      </c>
      <c r="E10" s="353" t="s">
        <v>52</v>
      </c>
      <c r="F10" s="481"/>
      <c r="G10" s="484"/>
      <c r="H10" s="484"/>
      <c r="I10" s="485">
        <f>+'SWE.WS.F.BPU.ATRR.Projected'!L19</f>
        <v>2024</v>
      </c>
      <c r="J10" s="480"/>
      <c r="K10" s="375" t="s">
        <v>53</v>
      </c>
      <c r="O10" s="272"/>
      <c r="P10" s="272"/>
    </row>
    <row r="11" spans="1:16">
      <c r="C11" s="486" t="s">
        <v>54</v>
      </c>
      <c r="D11" s="487">
        <v>2014</v>
      </c>
      <c r="E11" s="486" t="s">
        <v>55</v>
      </c>
      <c r="F11" s="484"/>
      <c r="G11" s="233"/>
      <c r="H11" s="233"/>
      <c r="I11" s="488">
        <f>IF(G5="",0,'SWE.WS.F.BPU.ATRR.Projected'!F$13)</f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6">
      <c r="C12" s="486" t="s">
        <v>56</v>
      </c>
      <c r="D12" s="483">
        <v>12</v>
      </c>
      <c r="E12" s="486" t="s">
        <v>57</v>
      </c>
      <c r="F12" s="484"/>
      <c r="G12" s="233"/>
      <c r="H12" s="233"/>
      <c r="I12" s="490">
        <f>'SWE.WS.F.BPU.ATRR.Projected'!$F$81</f>
        <v>0.11952713165403545</v>
      </c>
      <c r="J12" s="425"/>
      <c r="K12" s="183" t="s">
        <v>58</v>
      </c>
      <c r="O12" s="272"/>
      <c r="P12" s="272"/>
    </row>
    <row r="13" spans="1:16">
      <c r="C13" s="486" t="s">
        <v>59</v>
      </c>
      <c r="D13" s="488">
        <f>+'SWE.WS.F.BPU.ATRR.Projected'!F$93</f>
        <v>44</v>
      </c>
      <c r="E13" s="486" t="s">
        <v>60</v>
      </c>
      <c r="F13" s="484"/>
      <c r="G13" s="233"/>
      <c r="H13" s="233"/>
      <c r="I13" s="490">
        <f>IF(G5="",I12,'SWE.WS.F.BPU.ATRR.Projected'!$F$80)</f>
        <v>0.11952713165403545</v>
      </c>
      <c r="J13" s="425"/>
      <c r="K13" s="375" t="s">
        <v>61</v>
      </c>
      <c r="L13" s="324"/>
      <c r="M13" s="324"/>
      <c r="N13" s="324"/>
      <c r="O13" s="272"/>
      <c r="P13" s="272"/>
    </row>
    <row r="14" spans="1:16" ht="13.5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110591.55249999999</v>
      </c>
      <c r="J14" s="375"/>
      <c r="K14" s="375"/>
      <c r="L14" s="375"/>
      <c r="M14" s="375"/>
      <c r="N14" s="375"/>
      <c r="O14" s="272"/>
      <c r="P14" s="272"/>
    </row>
    <row r="15" spans="1:16" ht="38.25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388</v>
      </c>
      <c r="H15" s="495" t="s">
        <v>389</v>
      </c>
      <c r="I15" s="492" t="s">
        <v>68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6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>
      <c r="C17" s="507">
        <f>IF(D11= "","-",D11)</f>
        <v>2014</v>
      </c>
      <c r="D17" s="629">
        <v>3846600</v>
      </c>
      <c r="E17" s="638">
        <v>0</v>
      </c>
      <c r="F17" s="629">
        <v>3846600</v>
      </c>
      <c r="G17" s="638">
        <v>518946.76103442931</v>
      </c>
      <c r="H17" s="639">
        <v>518946.76103442931</v>
      </c>
      <c r="I17" s="616">
        <v>0</v>
      </c>
      <c r="J17" s="511"/>
      <c r="K17" s="512">
        <f t="shared" ref="K17:K22" si="0">G17</f>
        <v>518946.76103442931</v>
      </c>
      <c r="L17" s="597">
        <f t="shared" ref="L17:L22" si="1">IF(K17&lt;&gt;0,+G17-K17,0)</f>
        <v>0</v>
      </c>
      <c r="M17" s="512">
        <f t="shared" ref="M17:M22" si="2">H17</f>
        <v>518946.76103442931</v>
      </c>
      <c r="N17" s="513">
        <f>IF(M17&lt;&gt;0,+H17-M17,0)</f>
        <v>0</v>
      </c>
      <c r="O17" s="514">
        <f>+N17-L17</f>
        <v>0</v>
      </c>
      <c r="P17" s="272"/>
    </row>
    <row r="18" spans="2:16">
      <c r="B18" s="195" t="str">
        <f>IF(D18=F17,"","IU")</f>
        <v/>
      </c>
      <c r="C18" s="507">
        <f>IF(D11="","-",+C17+1)</f>
        <v>2015</v>
      </c>
      <c r="D18" s="629">
        <v>3846600</v>
      </c>
      <c r="E18" s="630">
        <v>114166.66666666667</v>
      </c>
      <c r="F18" s="629">
        <v>3732433.3333333335</v>
      </c>
      <c r="G18" s="630">
        <v>605746.05598620465</v>
      </c>
      <c r="H18" s="639">
        <v>605746.05598620465</v>
      </c>
      <c r="I18" s="511">
        <v>0</v>
      </c>
      <c r="J18" s="511"/>
      <c r="K18" s="518">
        <f t="shared" si="0"/>
        <v>605746.05598620465</v>
      </c>
      <c r="L18" s="519">
        <f t="shared" si="1"/>
        <v>0</v>
      </c>
      <c r="M18" s="518">
        <f t="shared" si="2"/>
        <v>605746.05598620465</v>
      </c>
      <c r="N18" s="514">
        <f>IF(M18&lt;&gt;0,+H18-M18,0)</f>
        <v>0</v>
      </c>
      <c r="O18" s="514">
        <f>+N18-L18</f>
        <v>0</v>
      </c>
      <c r="P18" s="272"/>
    </row>
    <row r="19" spans="2:16">
      <c r="B19" s="195" t="str">
        <f>IF(D19=F18,"","IU")</f>
        <v>IU</v>
      </c>
      <c r="C19" s="507">
        <f>IF(D11="","-",+C18+1)</f>
        <v>2016</v>
      </c>
      <c r="D19" s="629">
        <v>4680833.333333333</v>
      </c>
      <c r="E19" s="630">
        <v>114166.66666666667</v>
      </c>
      <c r="F19" s="629">
        <v>4566666.666666666</v>
      </c>
      <c r="G19" s="630">
        <v>708198.5525863939</v>
      </c>
      <c r="H19" s="639">
        <v>708198.5525863939</v>
      </c>
      <c r="I19" s="511">
        <f>H19-G19</f>
        <v>0</v>
      </c>
      <c r="J19" s="511"/>
      <c r="K19" s="518">
        <f t="shared" si="0"/>
        <v>708198.5525863939</v>
      </c>
      <c r="L19" s="519">
        <f t="shared" si="1"/>
        <v>0</v>
      </c>
      <c r="M19" s="518">
        <f t="shared" si="2"/>
        <v>708198.5525863939</v>
      </c>
      <c r="N19" s="514">
        <f>IF(M19&lt;&gt;0,+H19-M19,0)</f>
        <v>0</v>
      </c>
      <c r="O19" s="514">
        <f>+N19-L19</f>
        <v>0</v>
      </c>
      <c r="P19" s="272"/>
    </row>
    <row r="20" spans="2:16">
      <c r="B20" s="195" t="str">
        <f t="shared" ref="B20:B72" si="3">IF(D20=F19,"","IU")</f>
        <v>IU</v>
      </c>
      <c r="C20" s="507">
        <f>IF(D11="","-",+C19+1)</f>
        <v>2017</v>
      </c>
      <c r="D20" s="629">
        <v>4637694.666666667</v>
      </c>
      <c r="E20" s="630">
        <v>113163.44186046511</v>
      </c>
      <c r="F20" s="629">
        <v>4524531.2248062016</v>
      </c>
      <c r="G20" s="630">
        <v>680729.13149070973</v>
      </c>
      <c r="H20" s="639">
        <v>680729.13149070973</v>
      </c>
      <c r="I20" s="511">
        <f t="shared" ref="I20:I72" si="4">H20-G20</f>
        <v>0</v>
      </c>
      <c r="J20" s="511"/>
      <c r="K20" s="518">
        <f t="shared" si="0"/>
        <v>680729.13149070973</v>
      </c>
      <c r="L20" s="519">
        <f t="shared" si="1"/>
        <v>0</v>
      </c>
      <c r="M20" s="518">
        <f t="shared" si="2"/>
        <v>680729.13149070973</v>
      </c>
      <c r="N20" s="514">
        <f>IF(M20&lt;&gt;0,+H20-M20,0)</f>
        <v>0</v>
      </c>
      <c r="O20" s="514">
        <f>+N20-L20</f>
        <v>0</v>
      </c>
      <c r="P20" s="272"/>
    </row>
    <row r="21" spans="2:16">
      <c r="B21" s="195" t="str">
        <f t="shared" si="3"/>
        <v/>
      </c>
      <c r="C21" s="507">
        <f>IF(D11="","-",+C20+1)</f>
        <v>2018</v>
      </c>
      <c r="D21" s="629">
        <v>4524531.2248062016</v>
      </c>
      <c r="E21" s="630">
        <v>118683.60975609756</v>
      </c>
      <c r="F21" s="629">
        <v>4405847.6150501044</v>
      </c>
      <c r="G21" s="630">
        <v>686182.83562586328</v>
      </c>
      <c r="H21" s="639">
        <v>686182.83562586328</v>
      </c>
      <c r="I21" s="511">
        <f t="shared" si="4"/>
        <v>0</v>
      </c>
      <c r="J21" s="511"/>
      <c r="K21" s="518">
        <f t="shared" si="0"/>
        <v>686182.83562586328</v>
      </c>
      <c r="L21" s="519">
        <f t="shared" si="1"/>
        <v>0</v>
      </c>
      <c r="M21" s="518">
        <f t="shared" si="2"/>
        <v>686182.83562586328</v>
      </c>
      <c r="N21" s="514">
        <f>IF(M21&lt;&gt;0,+H21-M21,0)</f>
        <v>0</v>
      </c>
      <c r="O21" s="514">
        <f>+N21-L21</f>
        <v>0</v>
      </c>
      <c r="P21" s="272"/>
    </row>
    <row r="22" spans="2:16">
      <c r="B22" s="195" t="str">
        <f t="shared" si="3"/>
        <v/>
      </c>
      <c r="C22" s="507">
        <f>IF(D11="","-",+C21+1)</f>
        <v>2019</v>
      </c>
      <c r="D22" s="629">
        <v>4405847.6150501044</v>
      </c>
      <c r="E22" s="630">
        <v>118683.60975609756</v>
      </c>
      <c r="F22" s="629">
        <v>4287164.0052940072</v>
      </c>
      <c r="G22" s="630">
        <v>671098.84918635897</v>
      </c>
      <c r="H22" s="639">
        <v>671098.84918635897</v>
      </c>
      <c r="I22" s="511">
        <f t="shared" si="4"/>
        <v>0</v>
      </c>
      <c r="J22" s="511"/>
      <c r="K22" s="518">
        <f t="shared" si="0"/>
        <v>671098.84918635897</v>
      </c>
      <c r="L22" s="519">
        <f t="shared" si="1"/>
        <v>0</v>
      </c>
      <c r="M22" s="518">
        <f t="shared" si="2"/>
        <v>671098.84918635897</v>
      </c>
      <c r="N22" s="514">
        <f t="shared" ref="N22:N72" si="5">IF(M22&lt;&gt;0,+H22-M22,0)</f>
        <v>0</v>
      </c>
      <c r="O22" s="514">
        <f t="shared" ref="O22:O72" si="6">+N22-L22</f>
        <v>0</v>
      </c>
      <c r="P22" s="272"/>
    </row>
    <row r="23" spans="2:16">
      <c r="B23" s="195" t="str">
        <f t="shared" si="3"/>
        <v/>
      </c>
      <c r="C23" s="507">
        <f>IF(D11="","-",+C22+1)</f>
        <v>2020</v>
      </c>
      <c r="D23" s="629">
        <v>4287164.0052940072</v>
      </c>
      <c r="E23" s="630">
        <v>118683.60975609756</v>
      </c>
      <c r="F23" s="629">
        <v>4168480.3955379096</v>
      </c>
      <c r="G23" s="630">
        <v>551339.71950731217</v>
      </c>
      <c r="H23" s="639">
        <v>551339.71950731217</v>
      </c>
      <c r="I23" s="511">
        <f t="shared" si="4"/>
        <v>0</v>
      </c>
      <c r="J23" s="511"/>
      <c r="K23" s="518">
        <f t="shared" ref="K23" si="7">G23</f>
        <v>551339.71950731217</v>
      </c>
      <c r="L23" s="519">
        <f t="shared" ref="L23" si="8">IF(K23&lt;&gt;0,+G23-K23,0)</f>
        <v>0</v>
      </c>
      <c r="M23" s="518">
        <f t="shared" ref="M23" si="9">H23</f>
        <v>551339.71950731217</v>
      </c>
      <c r="N23" s="514">
        <f t="shared" si="5"/>
        <v>0</v>
      </c>
      <c r="O23" s="514">
        <f t="shared" si="6"/>
        <v>0</v>
      </c>
      <c r="P23" s="272"/>
    </row>
    <row r="24" spans="2:16">
      <c r="B24" s="195" t="str">
        <f t="shared" si="3"/>
        <v>IU</v>
      </c>
      <c r="C24" s="507">
        <f>IF(D11="","-",+C23+1)</f>
        <v>2021</v>
      </c>
      <c r="D24" s="629">
        <v>4174000.5634335415</v>
      </c>
      <c r="E24" s="630">
        <v>115857.80952380953</v>
      </c>
      <c r="F24" s="629">
        <v>4058142.7539097317</v>
      </c>
      <c r="G24" s="630">
        <v>552180.11306412728</v>
      </c>
      <c r="H24" s="639">
        <v>552180.11306412728</v>
      </c>
      <c r="I24" s="511">
        <f t="shared" si="4"/>
        <v>0</v>
      </c>
      <c r="J24" s="511"/>
      <c r="K24" s="518">
        <f t="shared" ref="K24" si="10">G24</f>
        <v>552180.11306412728</v>
      </c>
      <c r="L24" s="519">
        <f t="shared" ref="L24" si="11">IF(K24&lt;&gt;0,+G24-K24,0)</f>
        <v>0</v>
      </c>
      <c r="M24" s="518">
        <f t="shared" ref="M24" si="12">H24</f>
        <v>552180.11306412728</v>
      </c>
      <c r="N24" s="514">
        <f t="shared" si="5"/>
        <v>0</v>
      </c>
      <c r="O24" s="514">
        <f t="shared" si="6"/>
        <v>0</v>
      </c>
      <c r="P24" s="272"/>
    </row>
    <row r="25" spans="2:16">
      <c r="B25" s="195" t="str">
        <f t="shared" si="3"/>
        <v>IU</v>
      </c>
      <c r="C25" s="507">
        <f>IF(D11="","-",+C24+1)</f>
        <v>2022</v>
      </c>
      <c r="D25" s="629">
        <v>4052622.5860140994</v>
      </c>
      <c r="E25" s="630">
        <v>115857.80952380953</v>
      </c>
      <c r="F25" s="629">
        <v>3936764.7764902897</v>
      </c>
      <c r="G25" s="630">
        <v>565037.53283672058</v>
      </c>
      <c r="H25" s="639">
        <v>565037.53283672058</v>
      </c>
      <c r="I25" s="511">
        <f t="shared" si="4"/>
        <v>0</v>
      </c>
      <c r="J25" s="511"/>
      <c r="K25" s="518">
        <f t="shared" ref="K25" si="13">G25</f>
        <v>565037.53283672058</v>
      </c>
      <c r="L25" s="519">
        <f t="shared" ref="L25" si="14">IF(K25&lt;&gt;0,+G25-K25,0)</f>
        <v>0</v>
      </c>
      <c r="M25" s="518">
        <f t="shared" ref="M25" si="15">H25</f>
        <v>565037.53283672058</v>
      </c>
      <c r="N25" s="514">
        <f t="shared" si="5"/>
        <v>0</v>
      </c>
      <c r="O25" s="514">
        <f t="shared" si="6"/>
        <v>0</v>
      </c>
      <c r="P25" s="272"/>
    </row>
    <row r="26" spans="2:16">
      <c r="B26" s="195" t="str">
        <f t="shared" si="3"/>
        <v>IU</v>
      </c>
      <c r="C26" s="507">
        <f>IF(D11="","-",+C25+1)</f>
        <v>2023</v>
      </c>
      <c r="D26" s="629">
        <v>3936765.0864902893</v>
      </c>
      <c r="E26" s="630">
        <v>115857.8169047619</v>
      </c>
      <c r="F26" s="629">
        <v>3820907.2695855275</v>
      </c>
      <c r="G26" s="630">
        <v>605858.73237546359</v>
      </c>
      <c r="H26" s="639">
        <v>605858.73237546359</v>
      </c>
      <c r="I26" s="511">
        <f t="shared" si="4"/>
        <v>0</v>
      </c>
      <c r="J26" s="511"/>
      <c r="K26" s="518">
        <f t="shared" ref="K26" si="16">G26</f>
        <v>605858.73237546359</v>
      </c>
      <c r="L26" s="519">
        <f t="shared" ref="L26" si="17">IF(K26&lt;&gt;0,+G26-K26,0)</f>
        <v>0</v>
      </c>
      <c r="M26" s="518">
        <f t="shared" ref="M26" si="18">H26</f>
        <v>605858.73237546359</v>
      </c>
      <c r="N26" s="514">
        <f t="shared" ref="N26" si="19">IF(M26&lt;&gt;0,+H26-M26,0)</f>
        <v>0</v>
      </c>
      <c r="O26" s="514">
        <f t="shared" ref="O26" si="20">+N26-L26</f>
        <v>0</v>
      </c>
      <c r="P26" s="272"/>
    </row>
    <row r="27" spans="2:16">
      <c r="B27" s="195" t="str">
        <f t="shared" si="3"/>
        <v/>
      </c>
      <c r="C27" s="673">
        <f>IF(D11="","-",+C26+1)</f>
        <v>2024</v>
      </c>
      <c r="D27" s="523">
        <f>IF(F26+SUM(E$17:E26)=D$10,F26,D$10-SUM(E$17:E26))</f>
        <v>3820907.2695855275</v>
      </c>
      <c r="E27" s="522">
        <f t="shared" ref="E27:E72" si="21">IF(+$I$14&lt;F26,$I$14,D27)</f>
        <v>110591.55249999999</v>
      </c>
      <c r="F27" s="523">
        <f t="shared" ref="F27:F72" si="22">+D27-E27</f>
        <v>3710315.7170855273</v>
      </c>
      <c r="G27" s="524">
        <f t="shared" ref="G27:G51" si="23">+I$12*((D27+F27)/2)+E27</f>
        <v>560684.29322186462</v>
      </c>
      <c r="H27" s="491">
        <f t="shared" ref="H27:H51" si="24">+I$13*((D27+F27)/2)+E27</f>
        <v>560684.29322186462</v>
      </c>
      <c r="I27" s="511">
        <f t="shared" si="4"/>
        <v>0</v>
      </c>
      <c r="J27" s="511"/>
      <c r="K27" s="525"/>
      <c r="L27" s="514">
        <f t="shared" ref="L27:L72" si="25">IF(K27&lt;&gt;0,+G27-K27,0)</f>
        <v>0</v>
      </c>
      <c r="M27" s="525"/>
      <c r="N27" s="514">
        <f t="shared" si="5"/>
        <v>0</v>
      </c>
      <c r="O27" s="514">
        <f t="shared" si="6"/>
        <v>0</v>
      </c>
      <c r="P27" s="272"/>
    </row>
    <row r="28" spans="2:16">
      <c r="B28" s="195" t="str">
        <f t="shared" si="3"/>
        <v/>
      </c>
      <c r="C28" s="507">
        <f>IF(D11="","-",+C27+1)</f>
        <v>2025</v>
      </c>
      <c r="D28" s="523">
        <f>IF(F27+SUM(E$17:E27)=D$10,F27,D$10-SUM(E$17:E27))</f>
        <v>3710315.7170855273</v>
      </c>
      <c r="E28" s="522">
        <f t="shared" si="21"/>
        <v>110591.55249999999</v>
      </c>
      <c r="F28" s="523">
        <f t="shared" si="22"/>
        <v>3599724.164585527</v>
      </c>
      <c r="G28" s="524">
        <f t="shared" si="23"/>
        <v>547465.60216637282</v>
      </c>
      <c r="H28" s="491">
        <f t="shared" si="24"/>
        <v>547465.60216637282</v>
      </c>
      <c r="I28" s="511">
        <f t="shared" si="4"/>
        <v>0</v>
      </c>
      <c r="J28" s="511"/>
      <c r="K28" s="525"/>
      <c r="L28" s="514">
        <f t="shared" si="25"/>
        <v>0</v>
      </c>
      <c r="M28" s="525"/>
      <c r="N28" s="514">
        <f t="shared" si="5"/>
        <v>0</v>
      </c>
      <c r="O28" s="514">
        <f t="shared" si="6"/>
        <v>0</v>
      </c>
      <c r="P28" s="272"/>
    </row>
    <row r="29" spans="2:16">
      <c r="B29" s="195" t="str">
        <f t="shared" si="3"/>
        <v/>
      </c>
      <c r="C29" s="507">
        <f>IF(D11="","-",+C28+1)</f>
        <v>2026</v>
      </c>
      <c r="D29" s="523">
        <f>IF(F28+SUM(E$17:E28)=D$10,F28,D$10-SUM(E$17:E28))</f>
        <v>3599724.164585527</v>
      </c>
      <c r="E29" s="522">
        <f t="shared" si="21"/>
        <v>110591.55249999999</v>
      </c>
      <c r="F29" s="523">
        <f t="shared" si="22"/>
        <v>3489132.6120855268</v>
      </c>
      <c r="G29" s="524">
        <f t="shared" si="23"/>
        <v>534246.91111088125</v>
      </c>
      <c r="H29" s="491">
        <f t="shared" si="24"/>
        <v>534246.91111088125</v>
      </c>
      <c r="I29" s="511">
        <f t="shared" si="4"/>
        <v>0</v>
      </c>
      <c r="J29" s="511"/>
      <c r="K29" s="525"/>
      <c r="L29" s="514">
        <f t="shared" si="25"/>
        <v>0</v>
      </c>
      <c r="M29" s="525"/>
      <c r="N29" s="514">
        <f t="shared" si="5"/>
        <v>0</v>
      </c>
      <c r="O29" s="514">
        <f t="shared" si="6"/>
        <v>0</v>
      </c>
      <c r="P29" s="272"/>
    </row>
    <row r="30" spans="2:16">
      <c r="B30" s="195" t="str">
        <f t="shared" si="3"/>
        <v/>
      </c>
      <c r="C30" s="507">
        <f>IF(D11="","-",+C29+1)</f>
        <v>2027</v>
      </c>
      <c r="D30" s="523">
        <f>IF(F29+SUM(E$17:E29)=D$10,F29,D$10-SUM(E$17:E29))</f>
        <v>3489132.6120855268</v>
      </c>
      <c r="E30" s="522">
        <f t="shared" si="21"/>
        <v>110591.55249999999</v>
      </c>
      <c r="F30" s="523">
        <f t="shared" si="22"/>
        <v>3378541.0595855266</v>
      </c>
      <c r="G30" s="524">
        <f t="shared" si="23"/>
        <v>521028.22005538951</v>
      </c>
      <c r="H30" s="491">
        <f t="shared" si="24"/>
        <v>521028.22005538951</v>
      </c>
      <c r="I30" s="511">
        <f t="shared" si="4"/>
        <v>0</v>
      </c>
      <c r="J30" s="511"/>
      <c r="K30" s="525"/>
      <c r="L30" s="514">
        <f t="shared" si="25"/>
        <v>0</v>
      </c>
      <c r="M30" s="525"/>
      <c r="N30" s="514">
        <f t="shared" si="5"/>
        <v>0</v>
      </c>
      <c r="O30" s="514">
        <f t="shared" si="6"/>
        <v>0</v>
      </c>
      <c r="P30" s="272"/>
    </row>
    <row r="31" spans="2:16">
      <c r="B31" s="195" t="str">
        <f t="shared" si="3"/>
        <v/>
      </c>
      <c r="C31" s="507">
        <f>IF(D11="","-",+C30+1)</f>
        <v>2028</v>
      </c>
      <c r="D31" s="523">
        <f>IF(F30+SUM(E$17:E30)=D$10,F30,D$10-SUM(E$17:E30))</f>
        <v>3378541.0595855266</v>
      </c>
      <c r="E31" s="522">
        <f t="shared" si="21"/>
        <v>110591.55249999999</v>
      </c>
      <c r="F31" s="523">
        <f t="shared" si="22"/>
        <v>3267949.5070855264</v>
      </c>
      <c r="G31" s="524">
        <f t="shared" si="23"/>
        <v>507809.52899989777</v>
      </c>
      <c r="H31" s="491">
        <f t="shared" si="24"/>
        <v>507809.52899989777</v>
      </c>
      <c r="I31" s="511">
        <f t="shared" si="4"/>
        <v>0</v>
      </c>
      <c r="J31" s="511"/>
      <c r="K31" s="525"/>
      <c r="L31" s="514">
        <f t="shared" si="25"/>
        <v>0</v>
      </c>
      <c r="M31" s="525"/>
      <c r="N31" s="514">
        <f t="shared" si="5"/>
        <v>0</v>
      </c>
      <c r="O31" s="514">
        <f t="shared" si="6"/>
        <v>0</v>
      </c>
      <c r="P31" s="272"/>
    </row>
    <row r="32" spans="2:16">
      <c r="B32" s="195" t="str">
        <f t="shared" si="3"/>
        <v/>
      </c>
      <c r="C32" s="507">
        <f>IF(D11="","-",+C31+1)</f>
        <v>2029</v>
      </c>
      <c r="D32" s="523">
        <f>IF(F31+SUM(E$17:E31)=D$10,F31,D$10-SUM(E$17:E31))</f>
        <v>3267949.5070855264</v>
      </c>
      <c r="E32" s="522">
        <f t="shared" si="21"/>
        <v>110591.55249999999</v>
      </c>
      <c r="F32" s="523">
        <f t="shared" si="22"/>
        <v>3157357.9545855261</v>
      </c>
      <c r="G32" s="524">
        <f t="shared" si="23"/>
        <v>494590.83794440608</v>
      </c>
      <c r="H32" s="491">
        <f t="shared" si="24"/>
        <v>494590.83794440608</v>
      </c>
      <c r="I32" s="511">
        <f t="shared" si="4"/>
        <v>0</v>
      </c>
      <c r="J32" s="511"/>
      <c r="K32" s="525"/>
      <c r="L32" s="514">
        <f t="shared" si="25"/>
        <v>0</v>
      </c>
      <c r="M32" s="525"/>
      <c r="N32" s="514">
        <f t="shared" si="5"/>
        <v>0</v>
      </c>
      <c r="O32" s="514">
        <f t="shared" si="6"/>
        <v>0</v>
      </c>
      <c r="P32" s="272"/>
    </row>
    <row r="33" spans="2:16">
      <c r="B33" s="195" t="str">
        <f t="shared" si="3"/>
        <v/>
      </c>
      <c r="C33" s="507">
        <f>IF(D11="","-",+C32+1)</f>
        <v>2030</v>
      </c>
      <c r="D33" s="523">
        <f>IF(F32+SUM(E$17:E32)=D$10,F32,D$10-SUM(E$17:E32))</f>
        <v>3157357.9545855261</v>
      </c>
      <c r="E33" s="522">
        <f t="shared" si="21"/>
        <v>110591.55249999999</v>
      </c>
      <c r="F33" s="523">
        <f t="shared" si="22"/>
        <v>3046766.4020855259</v>
      </c>
      <c r="G33" s="524">
        <f t="shared" si="23"/>
        <v>481372.1468889144</v>
      </c>
      <c r="H33" s="491">
        <f t="shared" si="24"/>
        <v>481372.1468889144</v>
      </c>
      <c r="I33" s="511">
        <f t="shared" si="4"/>
        <v>0</v>
      </c>
      <c r="J33" s="511"/>
      <c r="K33" s="525"/>
      <c r="L33" s="514">
        <f t="shared" si="25"/>
        <v>0</v>
      </c>
      <c r="M33" s="525"/>
      <c r="N33" s="514">
        <f t="shared" si="5"/>
        <v>0</v>
      </c>
      <c r="O33" s="514">
        <f t="shared" si="6"/>
        <v>0</v>
      </c>
      <c r="P33" s="272"/>
    </row>
    <row r="34" spans="2:16">
      <c r="B34" s="195" t="str">
        <f t="shared" si="3"/>
        <v/>
      </c>
      <c r="C34" s="507">
        <f>IF(D11="","-",+C33+1)</f>
        <v>2031</v>
      </c>
      <c r="D34" s="523">
        <f>IF(F33+SUM(E$17:E33)=D$10,F33,D$10-SUM(E$17:E33))</f>
        <v>3046766.4020855259</v>
      </c>
      <c r="E34" s="522">
        <f t="shared" si="21"/>
        <v>110591.55249999999</v>
      </c>
      <c r="F34" s="523">
        <f t="shared" si="22"/>
        <v>2936174.8495855257</v>
      </c>
      <c r="G34" s="524">
        <f t="shared" si="23"/>
        <v>468153.45583342272</v>
      </c>
      <c r="H34" s="491">
        <f t="shared" si="24"/>
        <v>468153.45583342272</v>
      </c>
      <c r="I34" s="511">
        <f t="shared" si="4"/>
        <v>0</v>
      </c>
      <c r="J34" s="511"/>
      <c r="K34" s="525"/>
      <c r="L34" s="514">
        <f t="shared" si="25"/>
        <v>0</v>
      </c>
      <c r="M34" s="525"/>
      <c r="N34" s="514">
        <f t="shared" si="5"/>
        <v>0</v>
      </c>
      <c r="O34" s="514">
        <f t="shared" si="6"/>
        <v>0</v>
      </c>
      <c r="P34" s="272"/>
    </row>
    <row r="35" spans="2:16">
      <c r="B35" s="195" t="str">
        <f t="shared" si="3"/>
        <v/>
      </c>
      <c r="C35" s="507">
        <f>IF(D11="","-",+C34+1)</f>
        <v>2032</v>
      </c>
      <c r="D35" s="523">
        <f>IF(F34+SUM(E$17:E34)=D$10,F34,D$10-SUM(E$17:E34))</f>
        <v>2936174.8495855257</v>
      </c>
      <c r="E35" s="522">
        <f t="shared" si="21"/>
        <v>110591.55249999999</v>
      </c>
      <c r="F35" s="523">
        <f t="shared" si="22"/>
        <v>2825583.2970855255</v>
      </c>
      <c r="G35" s="524">
        <f t="shared" si="23"/>
        <v>454934.76477793098</v>
      </c>
      <c r="H35" s="491">
        <f t="shared" si="24"/>
        <v>454934.76477793098</v>
      </c>
      <c r="I35" s="511">
        <f t="shared" si="4"/>
        <v>0</v>
      </c>
      <c r="J35" s="511"/>
      <c r="K35" s="525"/>
      <c r="L35" s="514">
        <f t="shared" si="25"/>
        <v>0</v>
      </c>
      <c r="M35" s="525"/>
      <c r="N35" s="514">
        <f t="shared" si="5"/>
        <v>0</v>
      </c>
      <c r="O35" s="514">
        <f t="shared" si="6"/>
        <v>0</v>
      </c>
      <c r="P35" s="272"/>
    </row>
    <row r="36" spans="2:16">
      <c r="B36" s="195" t="str">
        <f t="shared" si="3"/>
        <v/>
      </c>
      <c r="C36" s="507">
        <f>IF(D11="","-",+C35+1)</f>
        <v>2033</v>
      </c>
      <c r="D36" s="523">
        <f>IF(F35+SUM(E$17:E35)=D$10,F35,D$10-SUM(E$17:E35))</f>
        <v>2825583.2970855255</v>
      </c>
      <c r="E36" s="522">
        <f t="shared" si="21"/>
        <v>110591.55249999999</v>
      </c>
      <c r="F36" s="523">
        <f t="shared" si="22"/>
        <v>2714991.7445855252</v>
      </c>
      <c r="G36" s="524">
        <f t="shared" si="23"/>
        <v>441716.07372243929</v>
      </c>
      <c r="H36" s="491">
        <f t="shared" si="24"/>
        <v>441716.07372243929</v>
      </c>
      <c r="I36" s="511">
        <f t="shared" si="4"/>
        <v>0</v>
      </c>
      <c r="J36" s="511"/>
      <c r="K36" s="525"/>
      <c r="L36" s="514">
        <f t="shared" si="25"/>
        <v>0</v>
      </c>
      <c r="M36" s="525"/>
      <c r="N36" s="514">
        <f t="shared" si="5"/>
        <v>0</v>
      </c>
      <c r="O36" s="514">
        <f t="shared" si="6"/>
        <v>0</v>
      </c>
      <c r="P36" s="272"/>
    </row>
    <row r="37" spans="2:16">
      <c r="B37" s="195" t="str">
        <f t="shared" si="3"/>
        <v/>
      </c>
      <c r="C37" s="507">
        <f>IF(D11="","-",+C36+1)</f>
        <v>2034</v>
      </c>
      <c r="D37" s="523">
        <f>IF(F36+SUM(E$17:E36)=D$10,F36,D$10-SUM(E$17:E36))</f>
        <v>2714991.7445855252</v>
      </c>
      <c r="E37" s="522">
        <f t="shared" si="21"/>
        <v>110591.55249999999</v>
      </c>
      <c r="F37" s="523">
        <f t="shared" si="22"/>
        <v>2604400.192085525</v>
      </c>
      <c r="G37" s="524">
        <f t="shared" si="23"/>
        <v>428497.38266694761</v>
      </c>
      <c r="H37" s="491">
        <f t="shared" si="24"/>
        <v>428497.38266694761</v>
      </c>
      <c r="I37" s="511">
        <f t="shared" si="4"/>
        <v>0</v>
      </c>
      <c r="J37" s="511"/>
      <c r="K37" s="525"/>
      <c r="L37" s="514">
        <f t="shared" si="25"/>
        <v>0</v>
      </c>
      <c r="M37" s="525"/>
      <c r="N37" s="514">
        <f t="shared" si="5"/>
        <v>0</v>
      </c>
      <c r="O37" s="514">
        <f t="shared" si="6"/>
        <v>0</v>
      </c>
      <c r="P37" s="272"/>
    </row>
    <row r="38" spans="2:16">
      <c r="B38" s="195" t="str">
        <f t="shared" si="3"/>
        <v/>
      </c>
      <c r="C38" s="507">
        <f>IF(D11="","-",+C37+1)</f>
        <v>2035</v>
      </c>
      <c r="D38" s="523">
        <f>IF(F37+SUM(E$17:E37)=D$10,F37,D$10-SUM(E$17:E37))</f>
        <v>2604400.192085525</v>
      </c>
      <c r="E38" s="522">
        <f t="shared" si="21"/>
        <v>110591.55249999999</v>
      </c>
      <c r="F38" s="523">
        <f t="shared" si="22"/>
        <v>2493808.6395855248</v>
      </c>
      <c r="G38" s="524">
        <f t="shared" si="23"/>
        <v>415278.69161145587</v>
      </c>
      <c r="H38" s="491">
        <f t="shared" si="24"/>
        <v>415278.69161145587</v>
      </c>
      <c r="I38" s="511">
        <f t="shared" si="4"/>
        <v>0</v>
      </c>
      <c r="J38" s="511"/>
      <c r="K38" s="525"/>
      <c r="L38" s="514">
        <f t="shared" si="25"/>
        <v>0</v>
      </c>
      <c r="M38" s="525"/>
      <c r="N38" s="514">
        <f t="shared" si="5"/>
        <v>0</v>
      </c>
      <c r="O38" s="514">
        <f t="shared" si="6"/>
        <v>0</v>
      </c>
      <c r="P38" s="272"/>
    </row>
    <row r="39" spans="2:16">
      <c r="B39" s="195" t="str">
        <f t="shared" si="3"/>
        <v/>
      </c>
      <c r="C39" s="507">
        <f>IF(D11="","-",+C38+1)</f>
        <v>2036</v>
      </c>
      <c r="D39" s="523">
        <f>IF(F38+SUM(E$17:E38)=D$10,F38,D$10-SUM(E$17:E38))</f>
        <v>2493808.6395855248</v>
      </c>
      <c r="E39" s="522">
        <f t="shared" si="21"/>
        <v>110591.55249999999</v>
      </c>
      <c r="F39" s="523">
        <f t="shared" si="22"/>
        <v>2383217.0870855246</v>
      </c>
      <c r="G39" s="524">
        <f t="shared" si="23"/>
        <v>402060.00055596419</v>
      </c>
      <c r="H39" s="491">
        <f t="shared" si="24"/>
        <v>402060.00055596419</v>
      </c>
      <c r="I39" s="511">
        <f t="shared" si="4"/>
        <v>0</v>
      </c>
      <c r="J39" s="511"/>
      <c r="K39" s="525"/>
      <c r="L39" s="514">
        <f t="shared" si="25"/>
        <v>0</v>
      </c>
      <c r="M39" s="525"/>
      <c r="N39" s="514">
        <f t="shared" si="5"/>
        <v>0</v>
      </c>
      <c r="O39" s="514">
        <f t="shared" si="6"/>
        <v>0</v>
      </c>
      <c r="P39" s="272"/>
    </row>
    <row r="40" spans="2:16">
      <c r="B40" s="195" t="str">
        <f t="shared" si="3"/>
        <v/>
      </c>
      <c r="C40" s="507">
        <f>IF(D11="","-",+C39+1)</f>
        <v>2037</v>
      </c>
      <c r="D40" s="523">
        <f>IF(F39+SUM(E$17:E39)=D$10,F39,D$10-SUM(E$17:E39))</f>
        <v>2383217.0870855246</v>
      </c>
      <c r="E40" s="522">
        <f t="shared" si="21"/>
        <v>110591.55249999999</v>
      </c>
      <c r="F40" s="523">
        <f t="shared" si="22"/>
        <v>2272625.5345855244</v>
      </c>
      <c r="G40" s="524">
        <f t="shared" si="23"/>
        <v>388841.3095004725</v>
      </c>
      <c r="H40" s="491">
        <f t="shared" si="24"/>
        <v>388841.3095004725</v>
      </c>
      <c r="I40" s="511">
        <f t="shared" si="4"/>
        <v>0</v>
      </c>
      <c r="J40" s="511"/>
      <c r="K40" s="525"/>
      <c r="L40" s="514">
        <f t="shared" si="25"/>
        <v>0</v>
      </c>
      <c r="M40" s="525"/>
      <c r="N40" s="514">
        <f t="shared" si="5"/>
        <v>0</v>
      </c>
      <c r="O40" s="514">
        <f t="shared" si="6"/>
        <v>0</v>
      </c>
      <c r="P40" s="272"/>
    </row>
    <row r="41" spans="2:16">
      <c r="B41" s="195" t="str">
        <f t="shared" si="3"/>
        <v/>
      </c>
      <c r="C41" s="507">
        <f>IF(D11="","-",+C40+1)</f>
        <v>2038</v>
      </c>
      <c r="D41" s="523">
        <f>IF(F40+SUM(E$17:E40)=D$10,F40,D$10-SUM(E$17:E40))</f>
        <v>2272625.5345855244</v>
      </c>
      <c r="E41" s="522">
        <f t="shared" si="21"/>
        <v>110591.55249999999</v>
      </c>
      <c r="F41" s="523">
        <f t="shared" si="22"/>
        <v>2162033.9820855241</v>
      </c>
      <c r="G41" s="524">
        <f t="shared" si="23"/>
        <v>375622.61844498082</v>
      </c>
      <c r="H41" s="491">
        <f t="shared" si="24"/>
        <v>375622.61844498082</v>
      </c>
      <c r="I41" s="511">
        <f t="shared" si="4"/>
        <v>0</v>
      </c>
      <c r="J41" s="511"/>
      <c r="K41" s="525"/>
      <c r="L41" s="514">
        <f t="shared" si="25"/>
        <v>0</v>
      </c>
      <c r="M41" s="525"/>
      <c r="N41" s="514">
        <f t="shared" si="5"/>
        <v>0</v>
      </c>
      <c r="O41" s="514">
        <f t="shared" si="6"/>
        <v>0</v>
      </c>
      <c r="P41" s="272"/>
    </row>
    <row r="42" spans="2:16">
      <c r="B42" s="195" t="str">
        <f t="shared" si="3"/>
        <v/>
      </c>
      <c r="C42" s="507">
        <f>IF(D11="","-",+C41+1)</f>
        <v>2039</v>
      </c>
      <c r="D42" s="523">
        <f>IF(F41+SUM(E$17:E41)=D$10,F41,D$10-SUM(E$17:E41))</f>
        <v>2162033.9820855241</v>
      </c>
      <c r="E42" s="522">
        <f t="shared" si="21"/>
        <v>110591.55249999999</v>
      </c>
      <c r="F42" s="523">
        <f t="shared" si="22"/>
        <v>2051442.4295855241</v>
      </c>
      <c r="G42" s="524">
        <f t="shared" si="23"/>
        <v>362403.92738948914</v>
      </c>
      <c r="H42" s="491">
        <f t="shared" si="24"/>
        <v>362403.92738948914</v>
      </c>
      <c r="I42" s="511">
        <f t="shared" si="4"/>
        <v>0</v>
      </c>
      <c r="J42" s="511"/>
      <c r="K42" s="525"/>
      <c r="L42" s="514">
        <f t="shared" si="25"/>
        <v>0</v>
      </c>
      <c r="M42" s="525"/>
      <c r="N42" s="514">
        <f t="shared" si="5"/>
        <v>0</v>
      </c>
      <c r="O42" s="514">
        <f t="shared" si="6"/>
        <v>0</v>
      </c>
      <c r="P42" s="272"/>
    </row>
    <row r="43" spans="2:16">
      <c r="B43" s="195" t="str">
        <f t="shared" si="3"/>
        <v/>
      </c>
      <c r="C43" s="507">
        <f>IF(D11="","-",+C42+1)</f>
        <v>2040</v>
      </c>
      <c r="D43" s="523">
        <f>IF(F42+SUM(E$17:E42)=D$10,F42,D$10-SUM(E$17:E42))</f>
        <v>2051442.4295855241</v>
      </c>
      <c r="E43" s="522">
        <f t="shared" si="21"/>
        <v>110591.55249999999</v>
      </c>
      <c r="F43" s="523">
        <f t="shared" si="22"/>
        <v>1940850.8770855241</v>
      </c>
      <c r="G43" s="524">
        <f t="shared" si="23"/>
        <v>349185.23633399745</v>
      </c>
      <c r="H43" s="491">
        <f t="shared" si="24"/>
        <v>349185.23633399745</v>
      </c>
      <c r="I43" s="511">
        <f t="shared" si="4"/>
        <v>0</v>
      </c>
      <c r="J43" s="511"/>
      <c r="K43" s="525"/>
      <c r="L43" s="514">
        <f t="shared" si="25"/>
        <v>0</v>
      </c>
      <c r="M43" s="525"/>
      <c r="N43" s="514">
        <f t="shared" si="5"/>
        <v>0</v>
      </c>
      <c r="O43" s="514">
        <f t="shared" si="6"/>
        <v>0</v>
      </c>
      <c r="P43" s="272"/>
    </row>
    <row r="44" spans="2:16">
      <c r="B44" s="195" t="str">
        <f t="shared" si="3"/>
        <v/>
      </c>
      <c r="C44" s="507">
        <f>IF(D11="","-",+C43+1)</f>
        <v>2041</v>
      </c>
      <c r="D44" s="523">
        <f>IF(F43+SUM(E$17:E43)=D$10,F43,D$10-SUM(E$17:E43))</f>
        <v>1940850.8770855241</v>
      </c>
      <c r="E44" s="522">
        <f t="shared" si="21"/>
        <v>110591.55249999999</v>
      </c>
      <c r="F44" s="523">
        <f t="shared" si="22"/>
        <v>1830259.3245855242</v>
      </c>
      <c r="G44" s="524">
        <f t="shared" si="23"/>
        <v>335966.54527850577</v>
      </c>
      <c r="H44" s="491">
        <f t="shared" si="24"/>
        <v>335966.54527850577</v>
      </c>
      <c r="I44" s="511">
        <f t="shared" si="4"/>
        <v>0</v>
      </c>
      <c r="J44" s="511"/>
      <c r="K44" s="525"/>
      <c r="L44" s="514">
        <f t="shared" si="25"/>
        <v>0</v>
      </c>
      <c r="M44" s="525"/>
      <c r="N44" s="514">
        <f t="shared" si="5"/>
        <v>0</v>
      </c>
      <c r="O44" s="514">
        <f t="shared" si="6"/>
        <v>0</v>
      </c>
      <c r="P44" s="272"/>
    </row>
    <row r="45" spans="2:16">
      <c r="B45" s="195" t="str">
        <f t="shared" si="3"/>
        <v/>
      </c>
      <c r="C45" s="507">
        <f>IF(D11="","-",+C44+1)</f>
        <v>2042</v>
      </c>
      <c r="D45" s="523">
        <f>IF(F44+SUM(E$17:E44)=D$10,F44,D$10-SUM(E$17:E44))</f>
        <v>1830259.3245855242</v>
      </c>
      <c r="E45" s="522">
        <f t="shared" si="21"/>
        <v>110591.55249999999</v>
      </c>
      <c r="F45" s="523">
        <f t="shared" si="22"/>
        <v>1719667.7720855242</v>
      </c>
      <c r="G45" s="524">
        <f t="shared" si="23"/>
        <v>322747.85422301409</v>
      </c>
      <c r="H45" s="491">
        <f t="shared" si="24"/>
        <v>322747.85422301409</v>
      </c>
      <c r="I45" s="511">
        <f t="shared" si="4"/>
        <v>0</v>
      </c>
      <c r="J45" s="511"/>
      <c r="K45" s="525"/>
      <c r="L45" s="514">
        <f t="shared" si="25"/>
        <v>0</v>
      </c>
      <c r="M45" s="525"/>
      <c r="N45" s="514">
        <f t="shared" si="5"/>
        <v>0</v>
      </c>
      <c r="O45" s="514">
        <f t="shared" si="6"/>
        <v>0</v>
      </c>
      <c r="P45" s="272"/>
    </row>
    <row r="46" spans="2:16">
      <c r="B46" s="195" t="str">
        <f t="shared" si="3"/>
        <v/>
      </c>
      <c r="C46" s="507">
        <f>IF(D11="","-",+C45+1)</f>
        <v>2043</v>
      </c>
      <c r="D46" s="523">
        <f>IF(F45+SUM(E$17:E45)=D$10,F45,D$10-SUM(E$17:E45))</f>
        <v>1719667.7720855242</v>
      </c>
      <c r="E46" s="522">
        <f t="shared" si="21"/>
        <v>110591.55249999999</v>
      </c>
      <c r="F46" s="523">
        <f t="shared" si="22"/>
        <v>1609076.2195855242</v>
      </c>
      <c r="G46" s="524">
        <f t="shared" si="23"/>
        <v>309529.16316752241</v>
      </c>
      <c r="H46" s="491">
        <f t="shared" si="24"/>
        <v>309529.16316752241</v>
      </c>
      <c r="I46" s="511">
        <f t="shared" si="4"/>
        <v>0</v>
      </c>
      <c r="J46" s="511"/>
      <c r="K46" s="525"/>
      <c r="L46" s="514">
        <f t="shared" si="25"/>
        <v>0</v>
      </c>
      <c r="M46" s="525"/>
      <c r="N46" s="514">
        <f t="shared" si="5"/>
        <v>0</v>
      </c>
      <c r="O46" s="514">
        <f t="shared" si="6"/>
        <v>0</v>
      </c>
      <c r="P46" s="272"/>
    </row>
    <row r="47" spans="2:16">
      <c r="B47" s="195" t="str">
        <f t="shared" si="3"/>
        <v/>
      </c>
      <c r="C47" s="507">
        <f>IF(D11="","-",+C46+1)</f>
        <v>2044</v>
      </c>
      <c r="D47" s="523">
        <f>IF(F46+SUM(E$17:E46)=D$10,F46,D$10-SUM(E$17:E46))</f>
        <v>1609076.2195855242</v>
      </c>
      <c r="E47" s="522">
        <f t="shared" si="21"/>
        <v>110591.55249999999</v>
      </c>
      <c r="F47" s="523">
        <f t="shared" si="22"/>
        <v>1498484.6670855242</v>
      </c>
      <c r="G47" s="524">
        <f t="shared" si="23"/>
        <v>296310.47211203072</v>
      </c>
      <c r="H47" s="491">
        <f t="shared" si="24"/>
        <v>296310.47211203072</v>
      </c>
      <c r="I47" s="511">
        <f t="shared" si="4"/>
        <v>0</v>
      </c>
      <c r="J47" s="511"/>
      <c r="K47" s="525"/>
      <c r="L47" s="514">
        <f t="shared" si="25"/>
        <v>0</v>
      </c>
      <c r="M47" s="525"/>
      <c r="N47" s="514">
        <f t="shared" si="5"/>
        <v>0</v>
      </c>
      <c r="O47" s="514">
        <f t="shared" si="6"/>
        <v>0</v>
      </c>
      <c r="P47" s="272"/>
    </row>
    <row r="48" spans="2:16">
      <c r="B48" s="195" t="str">
        <f t="shared" si="3"/>
        <v/>
      </c>
      <c r="C48" s="507">
        <f>IF(D11="","-",+C47+1)</f>
        <v>2045</v>
      </c>
      <c r="D48" s="523">
        <f>IF(F47+SUM(E$17:E47)=D$10,F47,D$10-SUM(E$17:E47))</f>
        <v>1498484.6670855242</v>
      </c>
      <c r="E48" s="522">
        <f t="shared" si="21"/>
        <v>110591.55249999999</v>
      </c>
      <c r="F48" s="523">
        <f t="shared" si="22"/>
        <v>1387893.1145855242</v>
      </c>
      <c r="G48" s="524">
        <f t="shared" si="23"/>
        <v>283091.78105653904</v>
      </c>
      <c r="H48" s="491">
        <f t="shared" si="24"/>
        <v>283091.78105653904</v>
      </c>
      <c r="I48" s="511">
        <f t="shared" si="4"/>
        <v>0</v>
      </c>
      <c r="J48" s="511"/>
      <c r="K48" s="525"/>
      <c r="L48" s="514">
        <f t="shared" si="25"/>
        <v>0</v>
      </c>
      <c r="M48" s="525"/>
      <c r="N48" s="514">
        <f t="shared" si="5"/>
        <v>0</v>
      </c>
      <c r="O48" s="514">
        <f t="shared" si="6"/>
        <v>0</v>
      </c>
      <c r="P48" s="272"/>
    </row>
    <row r="49" spans="2:16">
      <c r="B49" s="195" t="str">
        <f t="shared" si="3"/>
        <v/>
      </c>
      <c r="C49" s="507">
        <f>IF(D11="","-",+C48+1)</f>
        <v>2046</v>
      </c>
      <c r="D49" s="523">
        <f>IF(F48+SUM(E$17:E48)=D$10,F48,D$10-SUM(E$17:E48))</f>
        <v>1387893.1145855242</v>
      </c>
      <c r="E49" s="522">
        <f t="shared" si="21"/>
        <v>110591.55249999999</v>
      </c>
      <c r="F49" s="523">
        <f t="shared" si="22"/>
        <v>1277301.5620855242</v>
      </c>
      <c r="G49" s="524">
        <f t="shared" si="23"/>
        <v>269873.09000104741</v>
      </c>
      <c r="H49" s="491">
        <f t="shared" si="24"/>
        <v>269873.09000104741</v>
      </c>
      <c r="I49" s="511">
        <f t="shared" si="4"/>
        <v>0</v>
      </c>
      <c r="J49" s="511"/>
      <c r="K49" s="525"/>
      <c r="L49" s="514">
        <f t="shared" si="25"/>
        <v>0</v>
      </c>
      <c r="M49" s="525"/>
      <c r="N49" s="514">
        <f t="shared" si="5"/>
        <v>0</v>
      </c>
      <c r="O49" s="514">
        <f t="shared" si="6"/>
        <v>0</v>
      </c>
      <c r="P49" s="272"/>
    </row>
    <row r="50" spans="2:16">
      <c r="B50" s="195" t="str">
        <f t="shared" si="3"/>
        <v/>
      </c>
      <c r="C50" s="507">
        <f>IF(D11="","-",+C49+1)</f>
        <v>2047</v>
      </c>
      <c r="D50" s="523">
        <f>IF(F49+SUM(E$17:E49)=D$10,F49,D$10-SUM(E$17:E49))</f>
        <v>1277301.5620855242</v>
      </c>
      <c r="E50" s="522">
        <f t="shared" si="21"/>
        <v>110591.55249999999</v>
      </c>
      <c r="F50" s="523">
        <f t="shared" si="22"/>
        <v>1166710.0095855242</v>
      </c>
      <c r="G50" s="524">
        <f t="shared" si="23"/>
        <v>256654.39894555573</v>
      </c>
      <c r="H50" s="491">
        <f t="shared" si="24"/>
        <v>256654.39894555573</v>
      </c>
      <c r="I50" s="511">
        <f t="shared" si="4"/>
        <v>0</v>
      </c>
      <c r="J50" s="511"/>
      <c r="K50" s="525"/>
      <c r="L50" s="514">
        <f t="shared" si="25"/>
        <v>0</v>
      </c>
      <c r="M50" s="525"/>
      <c r="N50" s="514">
        <f t="shared" si="5"/>
        <v>0</v>
      </c>
      <c r="O50" s="514">
        <f t="shared" si="6"/>
        <v>0</v>
      </c>
      <c r="P50" s="272"/>
    </row>
    <row r="51" spans="2:16">
      <c r="B51" s="195" t="str">
        <f t="shared" si="3"/>
        <v/>
      </c>
      <c r="C51" s="507">
        <f>IF(D11="","-",+C50+1)</f>
        <v>2048</v>
      </c>
      <c r="D51" s="523">
        <f>IF(F50+SUM(E$17:E50)=D$10,F50,D$10-SUM(E$17:E50))</f>
        <v>1166710.0095855242</v>
      </c>
      <c r="E51" s="522">
        <f t="shared" si="21"/>
        <v>110591.55249999999</v>
      </c>
      <c r="F51" s="523">
        <f t="shared" si="22"/>
        <v>1056118.4570855242</v>
      </c>
      <c r="G51" s="524">
        <f t="shared" si="23"/>
        <v>243435.70789006408</v>
      </c>
      <c r="H51" s="491">
        <f t="shared" si="24"/>
        <v>243435.70789006408</v>
      </c>
      <c r="I51" s="511">
        <f t="shared" si="4"/>
        <v>0</v>
      </c>
      <c r="J51" s="511"/>
      <c r="K51" s="525"/>
      <c r="L51" s="514">
        <f t="shared" si="25"/>
        <v>0</v>
      </c>
      <c r="M51" s="525"/>
      <c r="N51" s="514">
        <f t="shared" si="5"/>
        <v>0</v>
      </c>
      <c r="O51" s="514">
        <f t="shared" si="6"/>
        <v>0</v>
      </c>
      <c r="P51" s="272"/>
    </row>
    <row r="52" spans="2:16">
      <c r="B52" s="195" t="str">
        <f t="shared" si="3"/>
        <v/>
      </c>
      <c r="C52" s="507">
        <f>IF(D11="","-",+C51+1)</f>
        <v>2049</v>
      </c>
      <c r="D52" s="523">
        <f>IF(F51+SUM(E$17:E51)=D$10,F51,D$10-SUM(E$17:E51))</f>
        <v>1056118.4570855242</v>
      </c>
      <c r="E52" s="522">
        <f t="shared" si="21"/>
        <v>110591.55249999999</v>
      </c>
      <c r="F52" s="523">
        <f t="shared" si="22"/>
        <v>945526.90458552423</v>
      </c>
      <c r="G52" s="524">
        <f t="shared" ref="G52:G72" si="26">+I$12*((D52+F52)/2)+E52</f>
        <v>230217.01683457239</v>
      </c>
      <c r="H52" s="491">
        <f t="shared" ref="H52:H72" si="27">+I$13*((D52+F52)/2)+E52</f>
        <v>230217.01683457239</v>
      </c>
      <c r="I52" s="511">
        <f t="shared" si="4"/>
        <v>0</v>
      </c>
      <c r="J52" s="511"/>
      <c r="K52" s="525"/>
      <c r="L52" s="514">
        <f t="shared" si="25"/>
        <v>0</v>
      </c>
      <c r="M52" s="525"/>
      <c r="N52" s="514">
        <f t="shared" si="5"/>
        <v>0</v>
      </c>
      <c r="O52" s="514">
        <f t="shared" si="6"/>
        <v>0</v>
      </c>
      <c r="P52" s="272"/>
    </row>
    <row r="53" spans="2:16">
      <c r="B53" s="195" t="str">
        <f t="shared" si="3"/>
        <v/>
      </c>
      <c r="C53" s="507">
        <f>IF(D11="","-",+C52+1)</f>
        <v>2050</v>
      </c>
      <c r="D53" s="523">
        <f>IF(F52+SUM(E$17:E52)=D$10,F52,D$10-SUM(E$17:E52))</f>
        <v>945526.90458552423</v>
      </c>
      <c r="E53" s="522">
        <f t="shared" si="21"/>
        <v>110591.55249999999</v>
      </c>
      <c r="F53" s="523">
        <f t="shared" si="22"/>
        <v>834935.35208552424</v>
      </c>
      <c r="G53" s="524">
        <f t="shared" si="26"/>
        <v>216998.32577908074</v>
      </c>
      <c r="H53" s="491">
        <f t="shared" si="27"/>
        <v>216998.32577908074</v>
      </c>
      <c r="I53" s="511">
        <f t="shared" si="4"/>
        <v>0</v>
      </c>
      <c r="J53" s="511"/>
      <c r="K53" s="525"/>
      <c r="L53" s="514">
        <f t="shared" si="25"/>
        <v>0</v>
      </c>
      <c r="M53" s="525"/>
      <c r="N53" s="514">
        <f t="shared" si="5"/>
        <v>0</v>
      </c>
      <c r="O53" s="514">
        <f t="shared" si="6"/>
        <v>0</v>
      </c>
      <c r="P53" s="272"/>
    </row>
    <row r="54" spans="2:16">
      <c r="B54" s="195" t="str">
        <f t="shared" si="3"/>
        <v/>
      </c>
      <c r="C54" s="507">
        <f>IF(D11="","-",+C53+1)</f>
        <v>2051</v>
      </c>
      <c r="D54" s="523">
        <f>IF(F53+SUM(E$17:E53)=D$10,F53,D$10-SUM(E$17:E53))</f>
        <v>834935.35208552424</v>
      </c>
      <c r="E54" s="522">
        <f t="shared" si="21"/>
        <v>110591.55249999999</v>
      </c>
      <c r="F54" s="523">
        <f t="shared" si="22"/>
        <v>724343.79958552425</v>
      </c>
      <c r="G54" s="524">
        <f t="shared" si="26"/>
        <v>203779.63472358906</v>
      </c>
      <c r="H54" s="491">
        <f t="shared" si="27"/>
        <v>203779.63472358906</v>
      </c>
      <c r="I54" s="511">
        <f t="shared" si="4"/>
        <v>0</v>
      </c>
      <c r="J54" s="511"/>
      <c r="K54" s="525"/>
      <c r="L54" s="514">
        <f t="shared" si="25"/>
        <v>0</v>
      </c>
      <c r="M54" s="525"/>
      <c r="N54" s="514">
        <f t="shared" si="5"/>
        <v>0</v>
      </c>
      <c r="O54" s="514">
        <f t="shared" si="6"/>
        <v>0</v>
      </c>
      <c r="P54" s="272"/>
    </row>
    <row r="55" spans="2:16">
      <c r="B55" s="195" t="str">
        <f t="shared" si="3"/>
        <v/>
      </c>
      <c r="C55" s="507">
        <f>IF(D11="","-",+C54+1)</f>
        <v>2052</v>
      </c>
      <c r="D55" s="523">
        <f>IF(F54+SUM(E$17:E54)=D$10,F54,D$10-SUM(E$17:E54))</f>
        <v>724343.79958552425</v>
      </c>
      <c r="E55" s="522">
        <f t="shared" si="21"/>
        <v>110591.55249999999</v>
      </c>
      <c r="F55" s="523">
        <f t="shared" si="22"/>
        <v>613752.24708552426</v>
      </c>
      <c r="G55" s="524">
        <f t="shared" si="26"/>
        <v>190560.94366809737</v>
      </c>
      <c r="H55" s="491">
        <f t="shared" si="27"/>
        <v>190560.94366809737</v>
      </c>
      <c r="I55" s="511">
        <f t="shared" si="4"/>
        <v>0</v>
      </c>
      <c r="J55" s="511"/>
      <c r="K55" s="525"/>
      <c r="L55" s="514">
        <f t="shared" si="25"/>
        <v>0</v>
      </c>
      <c r="M55" s="525"/>
      <c r="N55" s="514">
        <f t="shared" si="5"/>
        <v>0</v>
      </c>
      <c r="O55" s="514">
        <f t="shared" si="6"/>
        <v>0</v>
      </c>
      <c r="P55" s="272"/>
    </row>
    <row r="56" spans="2:16">
      <c r="B56" s="195" t="str">
        <f t="shared" si="3"/>
        <v/>
      </c>
      <c r="C56" s="507">
        <f>IF(D11="","-",+C55+1)</f>
        <v>2053</v>
      </c>
      <c r="D56" s="523">
        <f>IF(F55+SUM(E$17:E55)=D$10,F55,D$10-SUM(E$17:E55))</f>
        <v>613752.24708552426</v>
      </c>
      <c r="E56" s="522">
        <f t="shared" si="21"/>
        <v>110591.55249999999</v>
      </c>
      <c r="F56" s="523">
        <f t="shared" si="22"/>
        <v>503160.69458552427</v>
      </c>
      <c r="G56" s="524">
        <f t="shared" si="26"/>
        <v>177342.25261260569</v>
      </c>
      <c r="H56" s="491">
        <f t="shared" si="27"/>
        <v>177342.25261260569</v>
      </c>
      <c r="I56" s="511">
        <f t="shared" si="4"/>
        <v>0</v>
      </c>
      <c r="J56" s="511"/>
      <c r="K56" s="525"/>
      <c r="L56" s="514">
        <f t="shared" si="25"/>
        <v>0</v>
      </c>
      <c r="M56" s="525"/>
      <c r="N56" s="514">
        <f t="shared" si="5"/>
        <v>0</v>
      </c>
      <c r="O56" s="514">
        <f t="shared" si="6"/>
        <v>0</v>
      </c>
      <c r="P56" s="272"/>
    </row>
    <row r="57" spans="2:16">
      <c r="B57" s="195" t="str">
        <f t="shared" si="3"/>
        <v/>
      </c>
      <c r="C57" s="507">
        <f>IF(D11="","-",+C56+1)</f>
        <v>2054</v>
      </c>
      <c r="D57" s="523">
        <f>IF(F56+SUM(E$17:E56)=D$10,F56,D$10-SUM(E$17:E56))</f>
        <v>503160.69458552427</v>
      </c>
      <c r="E57" s="522">
        <f t="shared" si="21"/>
        <v>110591.55249999999</v>
      </c>
      <c r="F57" s="523">
        <f t="shared" si="22"/>
        <v>392569.14208552428</v>
      </c>
      <c r="G57" s="524">
        <f t="shared" si="26"/>
        <v>164123.56155711404</v>
      </c>
      <c r="H57" s="491">
        <f t="shared" si="27"/>
        <v>164123.56155711404</v>
      </c>
      <c r="I57" s="511">
        <f t="shared" si="4"/>
        <v>0</v>
      </c>
      <c r="J57" s="511"/>
      <c r="K57" s="525"/>
      <c r="L57" s="514">
        <f t="shared" si="25"/>
        <v>0</v>
      </c>
      <c r="M57" s="525"/>
      <c r="N57" s="514">
        <f t="shared" si="5"/>
        <v>0</v>
      </c>
      <c r="O57" s="514">
        <f t="shared" si="6"/>
        <v>0</v>
      </c>
      <c r="P57" s="272"/>
    </row>
    <row r="58" spans="2:16">
      <c r="B58" s="195" t="str">
        <f t="shared" si="3"/>
        <v/>
      </c>
      <c r="C58" s="507">
        <f>IF(D11="","-",+C57+1)</f>
        <v>2055</v>
      </c>
      <c r="D58" s="523">
        <f>IF(F57+SUM(E$17:E57)=D$10,F57,D$10-SUM(E$17:E57))</f>
        <v>392569.14208552428</v>
      </c>
      <c r="E58" s="522">
        <f t="shared" si="21"/>
        <v>110591.55249999999</v>
      </c>
      <c r="F58" s="523">
        <f t="shared" si="22"/>
        <v>281977.58958552429</v>
      </c>
      <c r="G58" s="524">
        <f t="shared" si="26"/>
        <v>150904.87050162235</v>
      </c>
      <c r="H58" s="491">
        <f t="shared" si="27"/>
        <v>150904.87050162235</v>
      </c>
      <c r="I58" s="511">
        <f t="shared" si="4"/>
        <v>0</v>
      </c>
      <c r="J58" s="511"/>
      <c r="K58" s="525"/>
      <c r="L58" s="514">
        <f t="shared" si="25"/>
        <v>0</v>
      </c>
      <c r="M58" s="525"/>
      <c r="N58" s="514">
        <f t="shared" si="5"/>
        <v>0</v>
      </c>
      <c r="O58" s="514">
        <f t="shared" si="6"/>
        <v>0</v>
      </c>
      <c r="P58" s="272"/>
    </row>
    <row r="59" spans="2:16">
      <c r="B59" s="195" t="str">
        <f t="shared" si="3"/>
        <v/>
      </c>
      <c r="C59" s="507">
        <f>IF(D11="","-",+C58+1)</f>
        <v>2056</v>
      </c>
      <c r="D59" s="523">
        <f>IF(F58+SUM(E$17:E58)=D$10,F58,D$10-SUM(E$17:E58))</f>
        <v>281977.58958552429</v>
      </c>
      <c r="E59" s="522">
        <f t="shared" si="21"/>
        <v>110591.55249999999</v>
      </c>
      <c r="F59" s="523">
        <f t="shared" si="22"/>
        <v>171386.03708552429</v>
      </c>
      <c r="G59" s="524">
        <f t="shared" si="26"/>
        <v>137686.1794461307</v>
      </c>
      <c r="H59" s="491">
        <f t="shared" si="27"/>
        <v>137686.1794461307</v>
      </c>
      <c r="I59" s="511">
        <f t="shared" si="4"/>
        <v>0</v>
      </c>
      <c r="J59" s="511"/>
      <c r="K59" s="525"/>
      <c r="L59" s="514">
        <f t="shared" si="25"/>
        <v>0</v>
      </c>
      <c r="M59" s="525"/>
      <c r="N59" s="514">
        <f t="shared" si="5"/>
        <v>0</v>
      </c>
      <c r="O59" s="514">
        <f t="shared" si="6"/>
        <v>0</v>
      </c>
      <c r="P59" s="272"/>
    </row>
    <row r="60" spans="2:16">
      <c r="B60" s="195" t="str">
        <f t="shared" si="3"/>
        <v/>
      </c>
      <c r="C60" s="507">
        <f>IF(D11="","-",+C59+1)</f>
        <v>2057</v>
      </c>
      <c r="D60" s="523">
        <f>IF(F59+SUM(E$17:E59)=D$10,F59,D$10-SUM(E$17:E59))</f>
        <v>171386.03708552429</v>
      </c>
      <c r="E60" s="522">
        <f t="shared" si="21"/>
        <v>110591.55249999999</v>
      </c>
      <c r="F60" s="523">
        <f t="shared" si="22"/>
        <v>60794.484585524304</v>
      </c>
      <c r="G60" s="524">
        <f t="shared" si="26"/>
        <v>124467.48839063902</v>
      </c>
      <c r="H60" s="491">
        <f t="shared" si="27"/>
        <v>124467.48839063902</v>
      </c>
      <c r="I60" s="511">
        <f t="shared" si="4"/>
        <v>0</v>
      </c>
      <c r="J60" s="511"/>
      <c r="K60" s="525"/>
      <c r="L60" s="514">
        <f t="shared" si="25"/>
        <v>0</v>
      </c>
      <c r="M60" s="525"/>
      <c r="N60" s="514">
        <f t="shared" si="5"/>
        <v>0</v>
      </c>
      <c r="O60" s="514">
        <f t="shared" si="6"/>
        <v>0</v>
      </c>
      <c r="P60" s="272"/>
    </row>
    <row r="61" spans="2:16">
      <c r="B61" s="195" t="str">
        <f t="shared" si="3"/>
        <v/>
      </c>
      <c r="C61" s="507">
        <f>IF(D11="","-",+C60+1)</f>
        <v>2058</v>
      </c>
      <c r="D61" s="523">
        <f>IF(F60+SUM(E$17:E60)=D$10,F60,D$10-SUM(E$17:E60))</f>
        <v>60794.484585524304</v>
      </c>
      <c r="E61" s="522">
        <f t="shared" si="21"/>
        <v>60794.484585524304</v>
      </c>
      <c r="F61" s="523">
        <f t="shared" si="22"/>
        <v>0</v>
      </c>
      <c r="G61" s="524">
        <f t="shared" si="26"/>
        <v>64427.779766970896</v>
      </c>
      <c r="H61" s="491">
        <f t="shared" si="27"/>
        <v>64427.779766970896</v>
      </c>
      <c r="I61" s="511">
        <f t="shared" si="4"/>
        <v>0</v>
      </c>
      <c r="J61" s="511"/>
      <c r="K61" s="525"/>
      <c r="L61" s="514">
        <f t="shared" si="25"/>
        <v>0</v>
      </c>
      <c r="M61" s="525"/>
      <c r="N61" s="514">
        <f t="shared" si="5"/>
        <v>0</v>
      </c>
      <c r="O61" s="514">
        <f t="shared" si="6"/>
        <v>0</v>
      </c>
      <c r="P61" s="272"/>
    </row>
    <row r="62" spans="2:16">
      <c r="B62" s="195" t="str">
        <f t="shared" si="3"/>
        <v/>
      </c>
      <c r="C62" s="507">
        <f>IF(D11="","-",+C61+1)</f>
        <v>2059</v>
      </c>
      <c r="D62" s="523">
        <f>IF(F61+SUM(E$17:E61)=D$10,F61,D$10-SUM(E$17:E61))</f>
        <v>0</v>
      </c>
      <c r="E62" s="522">
        <f t="shared" si="21"/>
        <v>0</v>
      </c>
      <c r="F62" s="523">
        <f t="shared" si="22"/>
        <v>0</v>
      </c>
      <c r="G62" s="524">
        <f t="shared" si="26"/>
        <v>0</v>
      </c>
      <c r="H62" s="491">
        <f t="shared" si="27"/>
        <v>0</v>
      </c>
      <c r="I62" s="511">
        <f t="shared" si="4"/>
        <v>0</v>
      </c>
      <c r="J62" s="511"/>
      <c r="K62" s="525"/>
      <c r="L62" s="514">
        <f t="shared" si="25"/>
        <v>0</v>
      </c>
      <c r="M62" s="525"/>
      <c r="N62" s="514">
        <f t="shared" si="5"/>
        <v>0</v>
      </c>
      <c r="O62" s="514">
        <f t="shared" si="6"/>
        <v>0</v>
      </c>
      <c r="P62" s="272"/>
    </row>
    <row r="63" spans="2:16">
      <c r="B63" s="195" t="str">
        <f t="shared" si="3"/>
        <v/>
      </c>
      <c r="C63" s="507">
        <f>IF(D11="","-",+C62+1)</f>
        <v>2060</v>
      </c>
      <c r="D63" s="523">
        <f>IF(F62+SUM(E$17:E62)=D$10,F62,D$10-SUM(E$17:E62))</f>
        <v>0</v>
      </c>
      <c r="E63" s="522">
        <f t="shared" si="21"/>
        <v>0</v>
      </c>
      <c r="F63" s="523">
        <f t="shared" si="22"/>
        <v>0</v>
      </c>
      <c r="G63" s="524">
        <f t="shared" si="26"/>
        <v>0</v>
      </c>
      <c r="H63" s="491">
        <f t="shared" si="27"/>
        <v>0</v>
      </c>
      <c r="I63" s="511">
        <f t="shared" si="4"/>
        <v>0</v>
      </c>
      <c r="J63" s="511"/>
      <c r="K63" s="525"/>
      <c r="L63" s="514">
        <f t="shared" si="25"/>
        <v>0</v>
      </c>
      <c r="M63" s="525"/>
      <c r="N63" s="514">
        <f t="shared" si="5"/>
        <v>0</v>
      </c>
      <c r="O63" s="514">
        <f t="shared" si="6"/>
        <v>0</v>
      </c>
      <c r="P63" s="272"/>
    </row>
    <row r="64" spans="2:16">
      <c r="B64" s="195" t="str">
        <f t="shared" si="3"/>
        <v/>
      </c>
      <c r="C64" s="507">
        <f>IF(D11="","-",+C63+1)</f>
        <v>2061</v>
      </c>
      <c r="D64" s="523">
        <f>IF(F63+SUM(E$17:E63)=D$10,F63,D$10-SUM(E$17:E63))</f>
        <v>0</v>
      </c>
      <c r="E64" s="522">
        <f t="shared" si="21"/>
        <v>0</v>
      </c>
      <c r="F64" s="523">
        <f t="shared" si="22"/>
        <v>0</v>
      </c>
      <c r="G64" s="524">
        <f t="shared" si="26"/>
        <v>0</v>
      </c>
      <c r="H64" s="491">
        <f t="shared" si="27"/>
        <v>0</v>
      </c>
      <c r="I64" s="511">
        <f t="shared" si="4"/>
        <v>0</v>
      </c>
      <c r="J64" s="511"/>
      <c r="K64" s="525"/>
      <c r="L64" s="514">
        <f t="shared" si="25"/>
        <v>0</v>
      </c>
      <c r="M64" s="525"/>
      <c r="N64" s="514">
        <f t="shared" si="5"/>
        <v>0</v>
      </c>
      <c r="O64" s="514">
        <f t="shared" si="6"/>
        <v>0</v>
      </c>
      <c r="P64" s="272"/>
    </row>
    <row r="65" spans="2:16">
      <c r="B65" s="195" t="str">
        <f t="shared" si="3"/>
        <v/>
      </c>
      <c r="C65" s="507">
        <f>IF(D11="","-",+C64+1)</f>
        <v>2062</v>
      </c>
      <c r="D65" s="523">
        <f>IF(F64+SUM(E$17:E64)=D$10,F64,D$10-SUM(E$17:E64))</f>
        <v>0</v>
      </c>
      <c r="E65" s="522">
        <f t="shared" si="21"/>
        <v>0</v>
      </c>
      <c r="F65" s="523">
        <f t="shared" si="22"/>
        <v>0</v>
      </c>
      <c r="G65" s="524">
        <f t="shared" si="26"/>
        <v>0</v>
      </c>
      <c r="H65" s="491">
        <f t="shared" si="27"/>
        <v>0</v>
      </c>
      <c r="I65" s="511">
        <f t="shared" si="4"/>
        <v>0</v>
      </c>
      <c r="J65" s="511"/>
      <c r="K65" s="525"/>
      <c r="L65" s="514">
        <f t="shared" si="25"/>
        <v>0</v>
      </c>
      <c r="M65" s="525"/>
      <c r="N65" s="514">
        <f t="shared" si="5"/>
        <v>0</v>
      </c>
      <c r="O65" s="514">
        <f t="shared" si="6"/>
        <v>0</v>
      </c>
      <c r="P65" s="272"/>
    </row>
    <row r="66" spans="2:16">
      <c r="B66" s="195" t="str">
        <f t="shared" si="3"/>
        <v/>
      </c>
      <c r="C66" s="507">
        <f>IF(D11="","-",+C65+1)</f>
        <v>2063</v>
      </c>
      <c r="D66" s="523">
        <f>IF(F65+SUM(E$17:E65)=D$10,F65,D$10-SUM(E$17:E65))</f>
        <v>0</v>
      </c>
      <c r="E66" s="522">
        <f t="shared" si="21"/>
        <v>0</v>
      </c>
      <c r="F66" s="523">
        <f t="shared" si="22"/>
        <v>0</v>
      </c>
      <c r="G66" s="524">
        <f t="shared" si="26"/>
        <v>0</v>
      </c>
      <c r="H66" s="491">
        <f t="shared" si="27"/>
        <v>0</v>
      </c>
      <c r="I66" s="511">
        <f t="shared" si="4"/>
        <v>0</v>
      </c>
      <c r="J66" s="511"/>
      <c r="K66" s="525"/>
      <c r="L66" s="514">
        <f t="shared" si="25"/>
        <v>0</v>
      </c>
      <c r="M66" s="525"/>
      <c r="N66" s="514">
        <f t="shared" si="5"/>
        <v>0</v>
      </c>
      <c r="O66" s="514">
        <f t="shared" si="6"/>
        <v>0</v>
      </c>
      <c r="P66" s="272"/>
    </row>
    <row r="67" spans="2:16">
      <c r="B67" s="195" t="str">
        <f t="shared" si="3"/>
        <v/>
      </c>
      <c r="C67" s="507">
        <f>IF(D11="","-",+C66+1)</f>
        <v>2064</v>
      </c>
      <c r="D67" s="523">
        <f>IF(F66+SUM(E$17:E66)=D$10,F66,D$10-SUM(E$17:E66))</f>
        <v>0</v>
      </c>
      <c r="E67" s="522">
        <f t="shared" si="21"/>
        <v>0</v>
      </c>
      <c r="F67" s="523">
        <f t="shared" si="22"/>
        <v>0</v>
      </c>
      <c r="G67" s="524">
        <f t="shared" si="26"/>
        <v>0</v>
      </c>
      <c r="H67" s="491">
        <f t="shared" si="27"/>
        <v>0</v>
      </c>
      <c r="I67" s="511">
        <f t="shared" si="4"/>
        <v>0</v>
      </c>
      <c r="J67" s="511"/>
      <c r="K67" s="525"/>
      <c r="L67" s="514">
        <f t="shared" si="25"/>
        <v>0</v>
      </c>
      <c r="M67" s="525"/>
      <c r="N67" s="514">
        <f t="shared" si="5"/>
        <v>0</v>
      </c>
      <c r="O67" s="514">
        <f t="shared" si="6"/>
        <v>0</v>
      </c>
      <c r="P67" s="272"/>
    </row>
    <row r="68" spans="2:16">
      <c r="B68" s="195" t="str">
        <f t="shared" si="3"/>
        <v/>
      </c>
      <c r="C68" s="507">
        <f>IF(D11="","-",+C67+1)</f>
        <v>2065</v>
      </c>
      <c r="D68" s="523">
        <f>IF(F67+SUM(E$17:E67)=D$10,F67,D$10-SUM(E$17:E67))</f>
        <v>0</v>
      </c>
      <c r="E68" s="522">
        <f t="shared" si="21"/>
        <v>0</v>
      </c>
      <c r="F68" s="523">
        <f t="shared" si="22"/>
        <v>0</v>
      </c>
      <c r="G68" s="524">
        <f t="shared" si="26"/>
        <v>0</v>
      </c>
      <c r="H68" s="491">
        <f t="shared" si="27"/>
        <v>0</v>
      </c>
      <c r="I68" s="511">
        <f t="shared" si="4"/>
        <v>0</v>
      </c>
      <c r="J68" s="511"/>
      <c r="K68" s="525"/>
      <c r="L68" s="514">
        <f t="shared" si="25"/>
        <v>0</v>
      </c>
      <c r="M68" s="525"/>
      <c r="N68" s="514">
        <f t="shared" si="5"/>
        <v>0</v>
      </c>
      <c r="O68" s="514">
        <f t="shared" si="6"/>
        <v>0</v>
      </c>
      <c r="P68" s="272"/>
    </row>
    <row r="69" spans="2:16">
      <c r="B69" s="195" t="str">
        <f t="shared" si="3"/>
        <v/>
      </c>
      <c r="C69" s="507">
        <f>IF(D11="","-",+C68+1)</f>
        <v>2066</v>
      </c>
      <c r="D69" s="523">
        <f>IF(F68+SUM(E$17:E68)=D$10,F68,D$10-SUM(E$17:E68))</f>
        <v>0</v>
      </c>
      <c r="E69" s="522">
        <f t="shared" si="21"/>
        <v>0</v>
      </c>
      <c r="F69" s="523">
        <f t="shared" si="22"/>
        <v>0</v>
      </c>
      <c r="G69" s="524">
        <f t="shared" si="26"/>
        <v>0</v>
      </c>
      <c r="H69" s="491">
        <f t="shared" si="27"/>
        <v>0</v>
      </c>
      <c r="I69" s="511">
        <f t="shared" si="4"/>
        <v>0</v>
      </c>
      <c r="J69" s="511"/>
      <c r="K69" s="525"/>
      <c r="L69" s="514">
        <f t="shared" si="25"/>
        <v>0</v>
      </c>
      <c r="M69" s="525"/>
      <c r="N69" s="514">
        <f t="shared" si="5"/>
        <v>0</v>
      </c>
      <c r="O69" s="514">
        <f t="shared" si="6"/>
        <v>0</v>
      </c>
      <c r="P69" s="272"/>
    </row>
    <row r="70" spans="2:16">
      <c r="B70" s="195" t="str">
        <f t="shared" si="3"/>
        <v/>
      </c>
      <c r="C70" s="507">
        <f>IF(D11="","-",+C69+1)</f>
        <v>2067</v>
      </c>
      <c r="D70" s="523">
        <f>IF(F69+SUM(E$17:E69)=D$10,F69,D$10-SUM(E$17:E69))</f>
        <v>0</v>
      </c>
      <c r="E70" s="522">
        <f t="shared" si="21"/>
        <v>0</v>
      </c>
      <c r="F70" s="523">
        <f t="shared" si="22"/>
        <v>0</v>
      </c>
      <c r="G70" s="524">
        <f t="shared" si="26"/>
        <v>0</v>
      </c>
      <c r="H70" s="491">
        <f t="shared" si="27"/>
        <v>0</v>
      </c>
      <c r="I70" s="511">
        <f t="shared" si="4"/>
        <v>0</v>
      </c>
      <c r="J70" s="511"/>
      <c r="K70" s="525"/>
      <c r="L70" s="514">
        <f t="shared" si="25"/>
        <v>0</v>
      </c>
      <c r="M70" s="525"/>
      <c r="N70" s="514">
        <f t="shared" si="5"/>
        <v>0</v>
      </c>
      <c r="O70" s="514">
        <f t="shared" si="6"/>
        <v>0</v>
      </c>
      <c r="P70" s="272"/>
    </row>
    <row r="71" spans="2:16">
      <c r="B71" s="195" t="str">
        <f t="shared" si="3"/>
        <v/>
      </c>
      <c r="C71" s="507">
        <f>IF(D11="","-",+C70+1)</f>
        <v>2068</v>
      </c>
      <c r="D71" s="523">
        <f>IF(F70+SUM(E$17:E70)=D$10,F70,D$10-SUM(E$17:E70))</f>
        <v>0</v>
      </c>
      <c r="E71" s="522">
        <f t="shared" si="21"/>
        <v>0</v>
      </c>
      <c r="F71" s="523">
        <f t="shared" si="22"/>
        <v>0</v>
      </c>
      <c r="G71" s="524">
        <f t="shared" si="26"/>
        <v>0</v>
      </c>
      <c r="H71" s="491">
        <f t="shared" si="27"/>
        <v>0</v>
      </c>
      <c r="I71" s="511">
        <f t="shared" si="4"/>
        <v>0</v>
      </c>
      <c r="J71" s="511"/>
      <c r="K71" s="525"/>
      <c r="L71" s="514">
        <f t="shared" si="25"/>
        <v>0</v>
      </c>
      <c r="M71" s="525"/>
      <c r="N71" s="514">
        <f t="shared" si="5"/>
        <v>0</v>
      </c>
      <c r="O71" s="514">
        <f t="shared" si="6"/>
        <v>0</v>
      </c>
      <c r="P71" s="272"/>
    </row>
    <row r="72" spans="2:16" ht="13.5" thickBot="1">
      <c r="B72" s="195" t="str">
        <f t="shared" si="3"/>
        <v/>
      </c>
      <c r="C72" s="527">
        <f>IF(D11="","-",+C71+1)</f>
        <v>2069</v>
      </c>
      <c r="D72" s="523">
        <f>IF(F71+SUM(E$17:E71)=D$10,F71,D$10-SUM(E$17:E71))</f>
        <v>0</v>
      </c>
      <c r="E72" s="522">
        <f t="shared" si="21"/>
        <v>0</v>
      </c>
      <c r="F72" s="523">
        <f t="shared" si="22"/>
        <v>0</v>
      </c>
      <c r="G72" s="524">
        <f t="shared" si="26"/>
        <v>0</v>
      </c>
      <c r="H72" s="491">
        <f t="shared" si="27"/>
        <v>0</v>
      </c>
      <c r="I72" s="511">
        <f t="shared" si="4"/>
        <v>0</v>
      </c>
      <c r="J72" s="511"/>
      <c r="K72" s="532"/>
      <c r="L72" s="533">
        <f t="shared" si="25"/>
        <v>0</v>
      </c>
      <c r="M72" s="532"/>
      <c r="N72" s="533">
        <f t="shared" si="5"/>
        <v>0</v>
      </c>
      <c r="O72" s="533">
        <f t="shared" si="6"/>
        <v>0</v>
      </c>
      <c r="P72" s="272"/>
    </row>
    <row r="73" spans="2:16">
      <c r="C73" s="374" t="s">
        <v>78</v>
      </c>
      <c r="D73" s="375"/>
      <c r="E73" s="375">
        <f>SUM(E17:E72)</f>
        <v>4866028.3100000015</v>
      </c>
      <c r="F73" s="375"/>
      <c r="G73" s="375">
        <f>SUM(G17:G72)</f>
        <v>17857326.350873105</v>
      </c>
      <c r="H73" s="375">
        <f>SUM(H17:H72)</f>
        <v>17857326.350873105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2:16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2:16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2:16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2:16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272"/>
      <c r="P77" s="272"/>
    </row>
    <row r="78" spans="2:16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2:16"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  <c r="O79" s="269"/>
      <c r="P79" s="269"/>
    </row>
    <row r="80" spans="2:16" ht="18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6">
      <c r="B81" s="269"/>
      <c r="C81" s="340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6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</row>
    <row r="83" spans="1:16" ht="20.25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451" t="str">
        <f ca="1">P1</f>
        <v>SWEPCO Project 41 of 75</v>
      </c>
    </row>
    <row r="84" spans="1:16" ht="18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538" t="s">
        <v>128</v>
      </c>
    </row>
    <row r="85" spans="1:16" ht="18.7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</row>
    <row r="86" spans="1:16" ht="15.75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2022</v>
      </c>
      <c r="M86" s="541" t="s">
        <v>9</v>
      </c>
      <c r="N86" s="542" t="s">
        <v>159</v>
      </c>
      <c r="O86" s="543" t="s">
        <v>11</v>
      </c>
      <c r="P86" s="269"/>
    </row>
    <row r="87" spans="1:16" ht="1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391</v>
      </c>
      <c r="M87" s="546">
        <f>IF(J92&lt;D11,0,VLOOKUP(J92,C17:O72,9))</f>
        <v>565037.53283672058</v>
      </c>
      <c r="N87" s="546">
        <f>IF(J92&lt;D11,0,VLOOKUP(J92,C17:O72,11))</f>
        <v>565037.53283672058</v>
      </c>
      <c r="O87" s="547">
        <f>+N87-M87</f>
        <v>0</v>
      </c>
      <c r="P87" s="269"/>
    </row>
    <row r="88" spans="1:16" ht="15.7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392</v>
      </c>
      <c r="M88" s="550">
        <f>IF(J92&lt;D11,0,VLOOKUP(J92,C99:P154,6))</f>
        <v>586181.1826013641</v>
      </c>
      <c r="N88" s="550">
        <f>IF(J92&lt;D11,0,VLOOKUP(J92,C99:P154,7))</f>
        <v>586181.1826013641</v>
      </c>
      <c r="O88" s="551">
        <f>+N88-M88</f>
        <v>0</v>
      </c>
      <c r="P88" s="269"/>
    </row>
    <row r="89" spans="1:16" ht="13.5" thickBot="1">
      <c r="C89" s="467" t="s">
        <v>84</v>
      </c>
      <c r="D89" s="552" t="str">
        <f>+D7</f>
        <v>Broadmoor to Fern Street 69 kV Rebuild 1 mile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21143.649764643516</v>
      </c>
      <c r="N89" s="555">
        <f>+N88-N87</f>
        <v>21143.649764643516</v>
      </c>
      <c r="O89" s="556">
        <f>+O88-O87</f>
        <v>0</v>
      </c>
      <c r="P89" s="269"/>
    </row>
    <row r="90" spans="1:16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</row>
    <row r="91" spans="1:16" ht="13.5" thickBot="1">
      <c r="A91" s="191"/>
      <c r="C91" s="558" t="s">
        <v>85</v>
      </c>
      <c r="D91" s="559" t="str">
        <f>+D9</f>
        <v>TP2010103</v>
      </c>
      <c r="E91" s="560"/>
      <c r="F91" s="560"/>
      <c r="G91" s="560"/>
      <c r="H91" s="560"/>
      <c r="I91" s="560"/>
      <c r="J91" s="560"/>
      <c r="K91" s="562"/>
      <c r="P91" s="481"/>
    </row>
    <row r="92" spans="1:16">
      <c r="C92" s="486" t="s">
        <v>51</v>
      </c>
      <c r="D92" s="628">
        <v>4866028</v>
      </c>
      <c r="E92" s="340" t="s">
        <v>86</v>
      </c>
      <c r="H92" s="484"/>
      <c r="I92" s="484"/>
      <c r="J92" s="485">
        <f>+'SWE.WS.G.BPU.ATRR.True-up'!M16</f>
        <v>2022</v>
      </c>
      <c r="K92" s="480"/>
      <c r="L92" s="375" t="s">
        <v>87</v>
      </c>
      <c r="P92" s="272"/>
    </row>
    <row r="93" spans="1:16">
      <c r="C93" s="486" t="s">
        <v>54</v>
      </c>
      <c r="D93" s="563">
        <f>IF(D11=I10,"",D11)</f>
        <v>2014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</row>
    <row r="94" spans="1:16">
      <c r="C94" s="486" t="s">
        <v>56</v>
      </c>
      <c r="D94" s="564">
        <f>IF(D11=I10,"",D12)</f>
        <v>12</v>
      </c>
      <c r="E94" s="486" t="s">
        <v>57</v>
      </c>
      <c r="F94" s="484"/>
      <c r="G94" s="484"/>
      <c r="J94" s="490">
        <f>'SWE.WS.G.BPU.ATRR.True-up'!$F$81</f>
        <v>0.11351422637179906</v>
      </c>
      <c r="K94" s="425"/>
      <c r="L94" s="183" t="s">
        <v>88</v>
      </c>
      <c r="P94" s="272"/>
    </row>
    <row r="95" spans="1:16">
      <c r="C95" s="486" t="s">
        <v>59</v>
      </c>
      <c r="D95" s="488">
        <f>'SWE.WS.G.BPU.ATRR.True-up'!F$93</f>
        <v>41</v>
      </c>
      <c r="E95" s="486" t="s">
        <v>60</v>
      </c>
      <c r="F95" s="484"/>
      <c r="G95" s="484"/>
      <c r="J95" s="490">
        <f>IF(H87="",J94,'SWE.WS.G.BPU.ATRR.True-up'!$F$80)</f>
        <v>0.11351422637179906</v>
      </c>
      <c r="K95" s="324"/>
      <c r="L95" s="375" t="s">
        <v>61</v>
      </c>
      <c r="M95" s="324"/>
      <c r="N95" s="324"/>
      <c r="O95" s="324"/>
      <c r="P95" s="272"/>
    </row>
    <row r="96" spans="1:16" ht="13.5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118683.60975609756</v>
      </c>
      <c r="K96" s="375"/>
      <c r="L96" s="375"/>
      <c r="M96" s="375"/>
      <c r="N96" s="375"/>
      <c r="O96" s="375"/>
      <c r="P96" s="272"/>
    </row>
    <row r="97" spans="1:16" ht="38.25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388</v>
      </c>
      <c r="I97" s="495" t="s">
        <v>389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</row>
    <row r="98" spans="1:16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</row>
    <row r="99" spans="1:16">
      <c r="C99" s="507">
        <f>IF(D93= "","-",D93)</f>
        <v>2014</v>
      </c>
      <c r="D99" s="629">
        <v>0</v>
      </c>
      <c r="E99" s="630">
        <v>0</v>
      </c>
      <c r="F99" s="631">
        <v>4675710</v>
      </c>
      <c r="G99" s="632">
        <v>2337855</v>
      </c>
      <c r="H99" s="633">
        <v>317769.34002768091</v>
      </c>
      <c r="I99" s="634">
        <v>317769.34002768091</v>
      </c>
      <c r="J99" s="640">
        <v>0</v>
      </c>
      <c r="K99" s="514"/>
      <c r="L99" s="518">
        <f t="shared" ref="L99:L105" si="28">H99</f>
        <v>317769.34002768091</v>
      </c>
      <c r="M99" s="519">
        <f t="shared" ref="M99:M105" si="29">IF(L99&lt;&gt;0,+H99-L99,0)</f>
        <v>0</v>
      </c>
      <c r="N99" s="518">
        <f t="shared" ref="N99:N105" si="30">I99</f>
        <v>317769.34002768091</v>
      </c>
      <c r="O99" s="514">
        <f>IF(N99&lt;&gt;0,+I99-N99,0)</f>
        <v>0</v>
      </c>
      <c r="P99" s="514">
        <f>+O99-M99</f>
        <v>0</v>
      </c>
    </row>
    <row r="100" spans="1:16">
      <c r="B100" s="195" t="str">
        <f>IF(D100=F99,"","IU")</f>
        <v/>
      </c>
      <c r="C100" s="507">
        <f>IF(D93="","-",+C99+1)</f>
        <v>2015</v>
      </c>
      <c r="D100" s="629">
        <v>4675710</v>
      </c>
      <c r="E100" s="630">
        <v>111326.42857142857</v>
      </c>
      <c r="F100" s="631">
        <v>4564383.5714285718</v>
      </c>
      <c r="G100" s="631">
        <v>4620046.7857142854</v>
      </c>
      <c r="H100" s="633">
        <v>720104.80925496051</v>
      </c>
      <c r="I100" s="634">
        <v>720104.80925496051</v>
      </c>
      <c r="J100" s="514">
        <f>+I100-H100</f>
        <v>0</v>
      </c>
      <c r="K100" s="514"/>
      <c r="L100" s="518">
        <f t="shared" si="28"/>
        <v>720104.80925496051</v>
      </c>
      <c r="M100" s="519">
        <f t="shared" si="29"/>
        <v>0</v>
      </c>
      <c r="N100" s="518">
        <f t="shared" si="30"/>
        <v>720104.80925496051</v>
      </c>
      <c r="O100" s="514">
        <f>IF(N100&lt;&gt;0,+I100-N100,0)</f>
        <v>0</v>
      </c>
      <c r="P100" s="514">
        <f>+O100-M100</f>
        <v>0</v>
      </c>
    </row>
    <row r="101" spans="1:16">
      <c r="B101" s="195" t="str">
        <f t="shared" ref="B101:B154" si="31">IF(D101=F100,"","IU")</f>
        <v>IU</v>
      </c>
      <c r="C101" s="507">
        <f>IF(D93="","-",+C100+1)</f>
        <v>2016</v>
      </c>
      <c r="D101" s="629">
        <v>4754701.5714285718</v>
      </c>
      <c r="E101" s="630">
        <v>113163.44186046511</v>
      </c>
      <c r="F101" s="631">
        <v>4641538.1295681065</v>
      </c>
      <c r="G101" s="631">
        <v>4698119.8504983392</v>
      </c>
      <c r="H101" s="633">
        <v>709589.70185854996</v>
      </c>
      <c r="I101" s="634">
        <v>709589.70185854996</v>
      </c>
      <c r="J101" s="514">
        <f t="shared" ref="J101:J154" si="32">+I101-H101</f>
        <v>0</v>
      </c>
      <c r="K101" s="514"/>
      <c r="L101" s="518">
        <f t="shared" si="28"/>
        <v>709589.70185854996</v>
      </c>
      <c r="M101" s="519">
        <f t="shared" si="29"/>
        <v>0</v>
      </c>
      <c r="N101" s="518">
        <f t="shared" si="30"/>
        <v>709589.70185854996</v>
      </c>
      <c r="O101" s="514">
        <f>IF(N101&lt;&gt;0,+I101-N101,0)</f>
        <v>0</v>
      </c>
      <c r="P101" s="514">
        <f>+O101-M101</f>
        <v>0</v>
      </c>
    </row>
    <row r="102" spans="1:16">
      <c r="B102" s="195" t="str">
        <f t="shared" si="31"/>
        <v/>
      </c>
      <c r="C102" s="507">
        <f>IF(D93="","-",+C101+1)</f>
        <v>2017</v>
      </c>
      <c r="D102" s="629">
        <v>4641538.1295681065</v>
      </c>
      <c r="E102" s="630">
        <v>115857.80952380953</v>
      </c>
      <c r="F102" s="631">
        <v>4525680.3200442968</v>
      </c>
      <c r="G102" s="631">
        <v>4583609.2248062016</v>
      </c>
      <c r="H102" s="633">
        <v>672635.50351476576</v>
      </c>
      <c r="I102" s="634">
        <v>672635.50351476576</v>
      </c>
      <c r="J102" s="514">
        <f t="shared" si="32"/>
        <v>0</v>
      </c>
      <c r="K102" s="514"/>
      <c r="L102" s="518">
        <f t="shared" si="28"/>
        <v>672635.50351476576</v>
      </c>
      <c r="M102" s="519">
        <f t="shared" si="29"/>
        <v>0</v>
      </c>
      <c r="N102" s="518">
        <f t="shared" si="30"/>
        <v>672635.50351476576</v>
      </c>
      <c r="O102" s="514">
        <f>IF(N102&lt;&gt;0,+I102-N102,0)</f>
        <v>0</v>
      </c>
      <c r="P102" s="514">
        <f>+O102-M102</f>
        <v>0</v>
      </c>
    </row>
    <row r="103" spans="1:16">
      <c r="B103" s="195" t="str">
        <f t="shared" si="31"/>
        <v/>
      </c>
      <c r="C103" s="507">
        <f>IF(D93="","-",+C102+1)</f>
        <v>2018</v>
      </c>
      <c r="D103" s="629">
        <v>4525680.3200442968</v>
      </c>
      <c r="E103" s="630">
        <v>115857.80952380953</v>
      </c>
      <c r="F103" s="631">
        <v>4409822.5105204871</v>
      </c>
      <c r="G103" s="631">
        <v>4467751.4152823919</v>
      </c>
      <c r="H103" s="633">
        <v>587672.84728048416</v>
      </c>
      <c r="I103" s="634">
        <v>587672.84728048416</v>
      </c>
      <c r="J103" s="514">
        <f t="shared" si="32"/>
        <v>0</v>
      </c>
      <c r="K103" s="514"/>
      <c r="L103" s="518">
        <f t="shared" si="28"/>
        <v>587672.84728048416</v>
      </c>
      <c r="M103" s="519">
        <f t="shared" si="29"/>
        <v>0</v>
      </c>
      <c r="N103" s="518">
        <f t="shared" si="30"/>
        <v>587672.84728048416</v>
      </c>
      <c r="O103" s="514">
        <f>IF(N103&lt;&gt;0,+I103-N103,0)</f>
        <v>0</v>
      </c>
      <c r="P103" s="514">
        <f>+O103-M103</f>
        <v>0</v>
      </c>
    </row>
    <row r="104" spans="1:16">
      <c r="B104" s="195" t="str">
        <f t="shared" si="31"/>
        <v/>
      </c>
      <c r="C104" s="507">
        <f>IF(D93="","-",+C103+1)</f>
        <v>2019</v>
      </c>
      <c r="D104" s="629">
        <v>4409822.5105204871</v>
      </c>
      <c r="E104" s="630">
        <v>113163.44186046511</v>
      </c>
      <c r="F104" s="631">
        <v>4296659.0686600218</v>
      </c>
      <c r="G104" s="631">
        <v>4353240.7895902544</v>
      </c>
      <c r="H104" s="633">
        <v>579136.71520740201</v>
      </c>
      <c r="I104" s="634">
        <v>579136.71520740201</v>
      </c>
      <c r="J104" s="514">
        <f t="shared" si="32"/>
        <v>0</v>
      </c>
      <c r="K104" s="514"/>
      <c r="L104" s="518">
        <f t="shared" si="28"/>
        <v>579136.71520740201</v>
      </c>
      <c r="M104" s="519">
        <f t="shared" si="29"/>
        <v>0</v>
      </c>
      <c r="N104" s="518">
        <f t="shared" si="30"/>
        <v>579136.71520740201</v>
      </c>
      <c r="O104" s="514">
        <f t="shared" ref="O104:O130" si="33">IF(N104&lt;&gt;0,+I104-N104,0)</f>
        <v>0</v>
      </c>
      <c r="P104" s="514">
        <f t="shared" ref="P104:P130" si="34">+O104-M104</f>
        <v>0</v>
      </c>
    </row>
    <row r="105" spans="1:16">
      <c r="B105" s="195" t="str">
        <f t="shared" si="31"/>
        <v/>
      </c>
      <c r="C105" s="507">
        <f>IF(D93="","-",+C104+1)</f>
        <v>2020</v>
      </c>
      <c r="D105" s="629">
        <v>4296659.0686600218</v>
      </c>
      <c r="E105" s="630">
        <v>115857.80952380953</v>
      </c>
      <c r="F105" s="631">
        <v>4180801.2591362121</v>
      </c>
      <c r="G105" s="631">
        <v>4238730.1638981169</v>
      </c>
      <c r="H105" s="633">
        <v>571834.25819080928</v>
      </c>
      <c r="I105" s="634">
        <v>571834.25819080928</v>
      </c>
      <c r="J105" s="514">
        <f t="shared" si="32"/>
        <v>0</v>
      </c>
      <c r="K105" s="514"/>
      <c r="L105" s="518">
        <f t="shared" si="28"/>
        <v>571834.25819080928</v>
      </c>
      <c r="M105" s="519">
        <f t="shared" si="29"/>
        <v>0</v>
      </c>
      <c r="N105" s="518">
        <f t="shared" si="30"/>
        <v>571834.25819080928</v>
      </c>
      <c r="O105" s="514">
        <f t="shared" si="33"/>
        <v>0</v>
      </c>
      <c r="P105" s="514">
        <f t="shared" si="34"/>
        <v>0</v>
      </c>
    </row>
    <row r="106" spans="1:16">
      <c r="B106" s="195" t="str">
        <f t="shared" si="31"/>
        <v/>
      </c>
      <c r="C106" s="507">
        <f>IF(D93="","-",+C105+1)</f>
        <v>2021</v>
      </c>
      <c r="D106" s="629">
        <v>4180801.2591362121</v>
      </c>
      <c r="E106" s="630">
        <v>118683.60975609756</v>
      </c>
      <c r="F106" s="631">
        <v>4062117.6493801144</v>
      </c>
      <c r="G106" s="631">
        <v>4121459.4542581635</v>
      </c>
      <c r="H106" s="633">
        <v>586527.89122895012</v>
      </c>
      <c r="I106" s="634">
        <v>586527.89122895012</v>
      </c>
      <c r="J106" s="514">
        <f t="shared" si="32"/>
        <v>0</v>
      </c>
      <c r="K106" s="514"/>
      <c r="L106" s="518">
        <f t="shared" ref="L106" si="35">H106</f>
        <v>586527.89122895012</v>
      </c>
      <c r="M106" s="519">
        <f t="shared" ref="M106" si="36">IF(L106&lt;&gt;0,+H106-L106,0)</f>
        <v>0</v>
      </c>
      <c r="N106" s="518">
        <f t="shared" ref="N106" si="37">I106</f>
        <v>586527.89122895012</v>
      </c>
      <c r="O106" s="514">
        <f t="shared" ref="O106" si="38">IF(N106&lt;&gt;0,+I106-N106,0)</f>
        <v>0</v>
      </c>
      <c r="P106" s="514">
        <f t="shared" ref="P106" si="39">+O106-M106</f>
        <v>0</v>
      </c>
    </row>
    <row r="107" spans="1:16">
      <c r="B107" s="195" t="str">
        <f t="shared" si="31"/>
        <v/>
      </c>
      <c r="C107" s="673">
        <f>IF(D93="","-",+C106+1)</f>
        <v>2022</v>
      </c>
      <c r="D107" s="374">
        <v>4062117.6493801144</v>
      </c>
      <c r="E107" s="522">
        <v>115857.80952380953</v>
      </c>
      <c r="F107" s="523">
        <v>3946259.8398563047</v>
      </c>
      <c r="G107" s="523">
        <v>4004188.7446182095</v>
      </c>
      <c r="H107" s="526">
        <v>586181.1826013641</v>
      </c>
      <c r="I107" s="577">
        <v>586181.1826013641</v>
      </c>
      <c r="J107" s="514">
        <f t="shared" si="32"/>
        <v>0</v>
      </c>
      <c r="K107" s="514"/>
      <c r="L107" s="525"/>
      <c r="M107" s="514">
        <f t="shared" ref="M107:M130" si="40">IF(L107&lt;&gt;0,+H107-L107,0)</f>
        <v>0</v>
      </c>
      <c r="N107" s="525"/>
      <c r="O107" s="514">
        <f t="shared" si="33"/>
        <v>0</v>
      </c>
      <c r="P107" s="514">
        <f t="shared" si="34"/>
        <v>0</v>
      </c>
    </row>
    <row r="108" spans="1:16">
      <c r="B108" s="195" t="str">
        <f t="shared" si="31"/>
        <v/>
      </c>
      <c r="C108" s="507">
        <f>IF(D93="","-",+C107+1)</f>
        <v>2023</v>
      </c>
      <c r="D108" s="374">
        <f>IF(F107+SUM(E$99:E107)=D$92,F107,D$92-SUM(E$99:E107))</f>
        <v>3946259.8398563047</v>
      </c>
      <c r="E108" s="522">
        <f t="shared" ref="E108:E154" si="41">IF(+$J$96&lt;F107,$J$96,D108)</f>
        <v>118683.60975609756</v>
      </c>
      <c r="F108" s="523">
        <f t="shared" ref="F108:F154" si="42">+D108-E108</f>
        <v>3827576.230100207</v>
      </c>
      <c r="G108" s="523">
        <f t="shared" ref="G108:G154" si="43">+(F108+D108)/2</f>
        <v>3886918.0349782556</v>
      </c>
      <c r="H108" s="526">
        <f t="shared" ref="H108:H154" si="44">+J$94*G108+E108</f>
        <v>559904.10346724768</v>
      </c>
      <c r="I108" s="577">
        <f t="shared" ref="I108:I154" si="45">+J$95*G108+E108</f>
        <v>559904.10346724768</v>
      </c>
      <c r="J108" s="514">
        <f t="shared" si="32"/>
        <v>0</v>
      </c>
      <c r="K108" s="514"/>
      <c r="L108" s="525"/>
      <c r="M108" s="514">
        <f t="shared" si="40"/>
        <v>0</v>
      </c>
      <c r="N108" s="525"/>
      <c r="O108" s="514">
        <f t="shared" si="33"/>
        <v>0</v>
      </c>
      <c r="P108" s="514">
        <f t="shared" si="34"/>
        <v>0</v>
      </c>
    </row>
    <row r="109" spans="1:16">
      <c r="B109" s="195" t="str">
        <f t="shared" si="31"/>
        <v/>
      </c>
      <c r="C109" s="507">
        <f>IF(D93="","-",+C108+1)</f>
        <v>2024</v>
      </c>
      <c r="D109" s="374">
        <f>IF(F108+SUM(E$99:E108)=D$92,F108,D$92-SUM(E$99:E108))</f>
        <v>3827576.230100207</v>
      </c>
      <c r="E109" s="522">
        <f t="shared" si="41"/>
        <v>118683.60975609756</v>
      </c>
      <c r="F109" s="523">
        <f t="shared" si="42"/>
        <v>3708892.6203441094</v>
      </c>
      <c r="G109" s="523">
        <f t="shared" si="43"/>
        <v>3768234.4252221584</v>
      </c>
      <c r="H109" s="526">
        <f t="shared" si="44"/>
        <v>546431.82532277179</v>
      </c>
      <c r="I109" s="577">
        <f t="shared" si="45"/>
        <v>546431.82532277179</v>
      </c>
      <c r="J109" s="514">
        <f t="shared" si="32"/>
        <v>0</v>
      </c>
      <c r="K109" s="514"/>
      <c r="L109" s="525"/>
      <c r="M109" s="514">
        <f t="shared" si="40"/>
        <v>0</v>
      </c>
      <c r="N109" s="525"/>
      <c r="O109" s="514">
        <f t="shared" si="33"/>
        <v>0</v>
      </c>
      <c r="P109" s="514">
        <f t="shared" si="34"/>
        <v>0</v>
      </c>
    </row>
    <row r="110" spans="1:16">
      <c r="B110" s="195" t="str">
        <f t="shared" si="31"/>
        <v/>
      </c>
      <c r="C110" s="507">
        <f>IF(D93="","-",+C109+1)</f>
        <v>2025</v>
      </c>
      <c r="D110" s="374">
        <f>IF(F109+SUM(E$99:E109)=D$92,F109,D$92-SUM(E$99:E109))</f>
        <v>3708892.6203441094</v>
      </c>
      <c r="E110" s="522">
        <f t="shared" si="41"/>
        <v>118683.60975609756</v>
      </c>
      <c r="F110" s="523">
        <f t="shared" si="42"/>
        <v>3590209.0105880117</v>
      </c>
      <c r="G110" s="523">
        <f t="shared" si="43"/>
        <v>3649550.8154660603</v>
      </c>
      <c r="H110" s="526">
        <f t="shared" si="44"/>
        <v>532959.54717829579</v>
      </c>
      <c r="I110" s="577">
        <f t="shared" si="45"/>
        <v>532959.54717829579</v>
      </c>
      <c r="J110" s="514">
        <f t="shared" si="32"/>
        <v>0</v>
      </c>
      <c r="K110" s="514"/>
      <c r="L110" s="525"/>
      <c r="M110" s="514">
        <f t="shared" si="40"/>
        <v>0</v>
      </c>
      <c r="N110" s="525"/>
      <c r="O110" s="514">
        <f t="shared" si="33"/>
        <v>0</v>
      </c>
      <c r="P110" s="514">
        <f t="shared" si="34"/>
        <v>0</v>
      </c>
    </row>
    <row r="111" spans="1:16">
      <c r="B111" s="195" t="str">
        <f t="shared" si="31"/>
        <v/>
      </c>
      <c r="C111" s="507">
        <f>IF(D93="","-",+C110+1)</f>
        <v>2026</v>
      </c>
      <c r="D111" s="374">
        <f>IF(F110+SUM(E$99:E110)=D$92,F110,D$92-SUM(E$99:E110))</f>
        <v>3590209.0105880117</v>
      </c>
      <c r="E111" s="522">
        <f t="shared" si="41"/>
        <v>118683.60975609756</v>
      </c>
      <c r="F111" s="523">
        <f t="shared" si="42"/>
        <v>3471525.400831914</v>
      </c>
      <c r="G111" s="523">
        <f t="shared" si="43"/>
        <v>3530867.2057099631</v>
      </c>
      <c r="H111" s="526">
        <f t="shared" si="44"/>
        <v>519487.2690338199</v>
      </c>
      <c r="I111" s="577">
        <f t="shared" si="45"/>
        <v>519487.2690338199</v>
      </c>
      <c r="J111" s="514">
        <f t="shared" si="32"/>
        <v>0</v>
      </c>
      <c r="K111" s="514"/>
      <c r="L111" s="525"/>
      <c r="M111" s="514">
        <f t="shared" si="40"/>
        <v>0</v>
      </c>
      <c r="N111" s="525"/>
      <c r="O111" s="514">
        <f t="shared" si="33"/>
        <v>0</v>
      </c>
      <c r="P111" s="514">
        <f t="shared" si="34"/>
        <v>0</v>
      </c>
    </row>
    <row r="112" spans="1:16">
      <c r="B112" s="195" t="str">
        <f t="shared" si="31"/>
        <v/>
      </c>
      <c r="C112" s="507">
        <f>IF(D93="","-",+C111+1)</f>
        <v>2027</v>
      </c>
      <c r="D112" s="374">
        <f>IF(F111+SUM(E$99:E111)=D$92,F111,D$92-SUM(E$99:E111))</f>
        <v>3471525.400831914</v>
      </c>
      <c r="E112" s="522">
        <f t="shared" si="41"/>
        <v>118683.60975609756</v>
      </c>
      <c r="F112" s="523">
        <f t="shared" si="42"/>
        <v>3352841.7910758164</v>
      </c>
      <c r="G112" s="523">
        <f t="shared" si="43"/>
        <v>3412183.595953865</v>
      </c>
      <c r="H112" s="526">
        <f t="shared" si="44"/>
        <v>506014.9908893439</v>
      </c>
      <c r="I112" s="577">
        <f t="shared" si="45"/>
        <v>506014.9908893439</v>
      </c>
      <c r="J112" s="514">
        <f t="shared" si="32"/>
        <v>0</v>
      </c>
      <c r="K112" s="514"/>
      <c r="L112" s="525"/>
      <c r="M112" s="514">
        <f t="shared" si="40"/>
        <v>0</v>
      </c>
      <c r="N112" s="525"/>
      <c r="O112" s="514">
        <f t="shared" si="33"/>
        <v>0</v>
      </c>
      <c r="P112" s="514">
        <f t="shared" si="34"/>
        <v>0</v>
      </c>
    </row>
    <row r="113" spans="2:16">
      <c r="B113" s="195" t="str">
        <f t="shared" si="31"/>
        <v/>
      </c>
      <c r="C113" s="507">
        <f>IF(D93="","-",+C112+1)</f>
        <v>2028</v>
      </c>
      <c r="D113" s="374">
        <f>IF(F112+SUM(E$99:E112)=D$92,F112,D$92-SUM(E$99:E112))</f>
        <v>3352841.7910758164</v>
      </c>
      <c r="E113" s="522">
        <f t="shared" si="41"/>
        <v>118683.60975609756</v>
      </c>
      <c r="F113" s="523">
        <f t="shared" si="42"/>
        <v>3234158.1813197187</v>
      </c>
      <c r="G113" s="523">
        <f t="shared" si="43"/>
        <v>3293499.9861977678</v>
      </c>
      <c r="H113" s="526">
        <f t="shared" si="44"/>
        <v>492542.71274486801</v>
      </c>
      <c r="I113" s="577">
        <f t="shared" si="45"/>
        <v>492542.71274486801</v>
      </c>
      <c r="J113" s="514">
        <f t="shared" si="32"/>
        <v>0</v>
      </c>
      <c r="K113" s="514"/>
      <c r="L113" s="525"/>
      <c r="M113" s="514">
        <f t="shared" si="40"/>
        <v>0</v>
      </c>
      <c r="N113" s="525"/>
      <c r="O113" s="514">
        <f t="shared" si="33"/>
        <v>0</v>
      </c>
      <c r="P113" s="514">
        <f t="shared" si="34"/>
        <v>0</v>
      </c>
    </row>
    <row r="114" spans="2:16">
      <c r="B114" s="195" t="str">
        <f t="shared" si="31"/>
        <v/>
      </c>
      <c r="C114" s="507">
        <f>IF(D93="","-",+C113+1)</f>
        <v>2029</v>
      </c>
      <c r="D114" s="374">
        <f>IF(F113+SUM(E$99:E113)=D$92,F113,D$92-SUM(E$99:E113))</f>
        <v>3234158.1813197187</v>
      </c>
      <c r="E114" s="522">
        <f t="shared" si="41"/>
        <v>118683.60975609756</v>
      </c>
      <c r="F114" s="523">
        <f t="shared" si="42"/>
        <v>3115474.5715636211</v>
      </c>
      <c r="G114" s="523">
        <f t="shared" si="43"/>
        <v>3174816.3764416697</v>
      </c>
      <c r="H114" s="526">
        <f t="shared" si="44"/>
        <v>479070.43460039207</v>
      </c>
      <c r="I114" s="577">
        <f t="shared" si="45"/>
        <v>479070.43460039207</v>
      </c>
      <c r="J114" s="514">
        <f t="shared" si="32"/>
        <v>0</v>
      </c>
      <c r="K114" s="514"/>
      <c r="L114" s="525"/>
      <c r="M114" s="514">
        <f t="shared" si="40"/>
        <v>0</v>
      </c>
      <c r="N114" s="525"/>
      <c r="O114" s="514">
        <f t="shared" si="33"/>
        <v>0</v>
      </c>
      <c r="P114" s="514">
        <f t="shared" si="34"/>
        <v>0</v>
      </c>
    </row>
    <row r="115" spans="2:16">
      <c r="B115" s="195" t="str">
        <f t="shared" si="31"/>
        <v/>
      </c>
      <c r="C115" s="507">
        <f>IF(D93="","-",+C114+1)</f>
        <v>2030</v>
      </c>
      <c r="D115" s="374">
        <f>IF(F114+SUM(E$99:E114)=D$92,F114,D$92-SUM(E$99:E114))</f>
        <v>3115474.5715636211</v>
      </c>
      <c r="E115" s="522">
        <f t="shared" si="41"/>
        <v>118683.60975609756</v>
      </c>
      <c r="F115" s="523">
        <f t="shared" si="42"/>
        <v>2996790.9618075234</v>
      </c>
      <c r="G115" s="523">
        <f t="shared" si="43"/>
        <v>3056132.7666855725</v>
      </c>
      <c r="H115" s="526">
        <f t="shared" si="44"/>
        <v>465598.15645591618</v>
      </c>
      <c r="I115" s="577">
        <f t="shared" si="45"/>
        <v>465598.15645591618</v>
      </c>
      <c r="J115" s="514">
        <f t="shared" si="32"/>
        <v>0</v>
      </c>
      <c r="K115" s="514"/>
      <c r="L115" s="525"/>
      <c r="M115" s="514">
        <f t="shared" si="40"/>
        <v>0</v>
      </c>
      <c r="N115" s="525"/>
      <c r="O115" s="514">
        <f t="shared" si="33"/>
        <v>0</v>
      </c>
      <c r="P115" s="514">
        <f t="shared" si="34"/>
        <v>0</v>
      </c>
    </row>
    <row r="116" spans="2:16">
      <c r="B116" s="195" t="str">
        <f t="shared" si="31"/>
        <v/>
      </c>
      <c r="C116" s="507">
        <f>IF(D93="","-",+C115+1)</f>
        <v>2031</v>
      </c>
      <c r="D116" s="374">
        <f>IF(F115+SUM(E$99:E115)=D$92,F115,D$92-SUM(E$99:E115))</f>
        <v>2996790.9618075234</v>
      </c>
      <c r="E116" s="522">
        <f t="shared" si="41"/>
        <v>118683.60975609756</v>
      </c>
      <c r="F116" s="523">
        <f t="shared" si="42"/>
        <v>2878107.3520514257</v>
      </c>
      <c r="G116" s="523">
        <f t="shared" si="43"/>
        <v>2937449.1569294743</v>
      </c>
      <c r="H116" s="526">
        <f t="shared" si="44"/>
        <v>452125.87831144017</v>
      </c>
      <c r="I116" s="577">
        <f t="shared" si="45"/>
        <v>452125.87831144017</v>
      </c>
      <c r="J116" s="514">
        <f t="shared" si="32"/>
        <v>0</v>
      </c>
      <c r="K116" s="514"/>
      <c r="L116" s="525"/>
      <c r="M116" s="514">
        <f t="shared" si="40"/>
        <v>0</v>
      </c>
      <c r="N116" s="525"/>
      <c r="O116" s="514">
        <f t="shared" si="33"/>
        <v>0</v>
      </c>
      <c r="P116" s="514">
        <f t="shared" si="34"/>
        <v>0</v>
      </c>
    </row>
    <row r="117" spans="2:16">
      <c r="B117" s="195" t="str">
        <f t="shared" si="31"/>
        <v/>
      </c>
      <c r="C117" s="507">
        <f>IF(D93="","-",+C116+1)</f>
        <v>2032</v>
      </c>
      <c r="D117" s="374">
        <f>IF(F116+SUM(E$99:E116)=D$92,F116,D$92-SUM(E$99:E116))</f>
        <v>2878107.3520514257</v>
      </c>
      <c r="E117" s="522">
        <f t="shared" si="41"/>
        <v>118683.60975609756</v>
      </c>
      <c r="F117" s="523">
        <f t="shared" si="42"/>
        <v>2759423.7422953281</v>
      </c>
      <c r="G117" s="523">
        <f t="shared" si="43"/>
        <v>2818765.5471733771</v>
      </c>
      <c r="H117" s="526">
        <f t="shared" si="44"/>
        <v>438653.60016696434</v>
      </c>
      <c r="I117" s="577">
        <f t="shared" si="45"/>
        <v>438653.60016696434</v>
      </c>
      <c r="J117" s="514">
        <f t="shared" si="32"/>
        <v>0</v>
      </c>
      <c r="K117" s="514"/>
      <c r="L117" s="525"/>
      <c r="M117" s="514">
        <f t="shared" si="40"/>
        <v>0</v>
      </c>
      <c r="N117" s="525"/>
      <c r="O117" s="514">
        <f t="shared" si="33"/>
        <v>0</v>
      </c>
      <c r="P117" s="514">
        <f t="shared" si="34"/>
        <v>0</v>
      </c>
    </row>
    <row r="118" spans="2:16">
      <c r="B118" s="195" t="str">
        <f t="shared" si="31"/>
        <v/>
      </c>
      <c r="C118" s="507">
        <f>IF(D93="","-",+C117+1)</f>
        <v>2033</v>
      </c>
      <c r="D118" s="374">
        <f>IF(F117+SUM(E$99:E117)=D$92,F117,D$92-SUM(E$99:E117))</f>
        <v>2759423.7422953281</v>
      </c>
      <c r="E118" s="522">
        <f t="shared" si="41"/>
        <v>118683.60975609756</v>
      </c>
      <c r="F118" s="523">
        <f t="shared" si="42"/>
        <v>2640740.1325392304</v>
      </c>
      <c r="G118" s="523">
        <f t="shared" si="43"/>
        <v>2700081.937417279</v>
      </c>
      <c r="H118" s="526">
        <f t="shared" si="44"/>
        <v>425181.32202248834</v>
      </c>
      <c r="I118" s="577">
        <f t="shared" si="45"/>
        <v>425181.32202248834</v>
      </c>
      <c r="J118" s="514">
        <f t="shared" si="32"/>
        <v>0</v>
      </c>
      <c r="K118" s="514"/>
      <c r="L118" s="525"/>
      <c r="M118" s="514">
        <f t="shared" si="40"/>
        <v>0</v>
      </c>
      <c r="N118" s="525"/>
      <c r="O118" s="514">
        <f t="shared" si="33"/>
        <v>0</v>
      </c>
      <c r="P118" s="514">
        <f t="shared" si="34"/>
        <v>0</v>
      </c>
    </row>
    <row r="119" spans="2:16">
      <c r="B119" s="195" t="str">
        <f t="shared" si="31"/>
        <v/>
      </c>
      <c r="C119" s="507">
        <f>IF(D93="","-",+C118+1)</f>
        <v>2034</v>
      </c>
      <c r="D119" s="374">
        <f>IF(F118+SUM(E$99:E118)=D$92,F118,D$92-SUM(E$99:E118))</f>
        <v>2640740.1325392304</v>
      </c>
      <c r="E119" s="522">
        <f t="shared" si="41"/>
        <v>118683.60975609756</v>
      </c>
      <c r="F119" s="523">
        <f t="shared" si="42"/>
        <v>2522056.5227831327</v>
      </c>
      <c r="G119" s="523">
        <f t="shared" si="43"/>
        <v>2581398.3276611818</v>
      </c>
      <c r="H119" s="526">
        <f t="shared" si="44"/>
        <v>411709.04387801245</v>
      </c>
      <c r="I119" s="577">
        <f t="shared" si="45"/>
        <v>411709.04387801245</v>
      </c>
      <c r="J119" s="514">
        <f t="shared" si="32"/>
        <v>0</v>
      </c>
      <c r="K119" s="514"/>
      <c r="L119" s="525"/>
      <c r="M119" s="514">
        <f t="shared" si="40"/>
        <v>0</v>
      </c>
      <c r="N119" s="525"/>
      <c r="O119" s="514">
        <f t="shared" si="33"/>
        <v>0</v>
      </c>
      <c r="P119" s="514">
        <f t="shared" si="34"/>
        <v>0</v>
      </c>
    </row>
    <row r="120" spans="2:16">
      <c r="B120" s="195" t="str">
        <f t="shared" si="31"/>
        <v/>
      </c>
      <c r="C120" s="507">
        <f>IF(D93="","-",+C119+1)</f>
        <v>2035</v>
      </c>
      <c r="D120" s="374">
        <f>IF(F119+SUM(E$99:E119)=D$92,F119,D$92-SUM(E$99:E119))</f>
        <v>2522056.5227831327</v>
      </c>
      <c r="E120" s="522">
        <f t="shared" si="41"/>
        <v>118683.60975609756</v>
      </c>
      <c r="F120" s="523">
        <f t="shared" si="42"/>
        <v>2403372.9130270351</v>
      </c>
      <c r="G120" s="523">
        <f t="shared" si="43"/>
        <v>2462714.7179050837</v>
      </c>
      <c r="H120" s="526">
        <f t="shared" si="44"/>
        <v>398236.76573353645</v>
      </c>
      <c r="I120" s="577">
        <f t="shared" si="45"/>
        <v>398236.76573353645</v>
      </c>
      <c r="J120" s="514">
        <f t="shared" si="32"/>
        <v>0</v>
      </c>
      <c r="K120" s="514"/>
      <c r="L120" s="525"/>
      <c r="M120" s="514">
        <f t="shared" si="40"/>
        <v>0</v>
      </c>
      <c r="N120" s="525"/>
      <c r="O120" s="514">
        <f t="shared" si="33"/>
        <v>0</v>
      </c>
      <c r="P120" s="514">
        <f t="shared" si="34"/>
        <v>0</v>
      </c>
    </row>
    <row r="121" spans="2:16">
      <c r="B121" s="195" t="str">
        <f t="shared" si="31"/>
        <v/>
      </c>
      <c r="C121" s="507">
        <f>IF(D93="","-",+C120+1)</f>
        <v>2036</v>
      </c>
      <c r="D121" s="374">
        <f>IF(F120+SUM(E$99:E120)=D$92,F120,D$92-SUM(E$99:E120))</f>
        <v>2403372.9130270351</v>
      </c>
      <c r="E121" s="522">
        <f t="shared" si="41"/>
        <v>118683.60975609756</v>
      </c>
      <c r="F121" s="523">
        <f t="shared" si="42"/>
        <v>2284689.3032709374</v>
      </c>
      <c r="G121" s="523">
        <f t="shared" si="43"/>
        <v>2344031.1081489865</v>
      </c>
      <c r="H121" s="526">
        <f t="shared" si="44"/>
        <v>384764.48758906062</v>
      </c>
      <c r="I121" s="577">
        <f t="shared" si="45"/>
        <v>384764.48758906062</v>
      </c>
      <c r="J121" s="514">
        <f t="shared" si="32"/>
        <v>0</v>
      </c>
      <c r="K121" s="514"/>
      <c r="L121" s="525"/>
      <c r="M121" s="514">
        <f t="shared" si="40"/>
        <v>0</v>
      </c>
      <c r="N121" s="525"/>
      <c r="O121" s="514">
        <f t="shared" si="33"/>
        <v>0</v>
      </c>
      <c r="P121" s="514">
        <f t="shared" si="34"/>
        <v>0</v>
      </c>
    </row>
    <row r="122" spans="2:16">
      <c r="B122" s="195" t="str">
        <f t="shared" si="31"/>
        <v/>
      </c>
      <c r="C122" s="507">
        <f>IF(D93="","-",+C121+1)</f>
        <v>2037</v>
      </c>
      <c r="D122" s="374">
        <f>IF(F121+SUM(E$99:E121)=D$92,F121,D$92-SUM(E$99:E121))</f>
        <v>2284689.3032709374</v>
      </c>
      <c r="E122" s="522">
        <f t="shared" si="41"/>
        <v>118683.60975609756</v>
      </c>
      <c r="F122" s="523">
        <f t="shared" si="42"/>
        <v>2166005.6935148397</v>
      </c>
      <c r="G122" s="523">
        <f t="shared" si="43"/>
        <v>2225347.4983928883</v>
      </c>
      <c r="H122" s="526">
        <f t="shared" si="44"/>
        <v>371292.20944458462</v>
      </c>
      <c r="I122" s="577">
        <f t="shared" si="45"/>
        <v>371292.20944458462</v>
      </c>
      <c r="J122" s="514">
        <f t="shared" si="32"/>
        <v>0</v>
      </c>
      <c r="K122" s="514"/>
      <c r="L122" s="525"/>
      <c r="M122" s="514">
        <f t="shared" si="40"/>
        <v>0</v>
      </c>
      <c r="N122" s="525"/>
      <c r="O122" s="514">
        <f t="shared" si="33"/>
        <v>0</v>
      </c>
      <c r="P122" s="514">
        <f t="shared" si="34"/>
        <v>0</v>
      </c>
    </row>
    <row r="123" spans="2:16">
      <c r="B123" s="195" t="str">
        <f t="shared" si="31"/>
        <v/>
      </c>
      <c r="C123" s="507">
        <f>IF(D93="","-",+C122+1)</f>
        <v>2038</v>
      </c>
      <c r="D123" s="374">
        <f>IF(F122+SUM(E$99:E122)=D$92,F122,D$92-SUM(E$99:E122))</f>
        <v>2166005.6935148397</v>
      </c>
      <c r="E123" s="522">
        <f t="shared" si="41"/>
        <v>118683.60975609756</v>
      </c>
      <c r="F123" s="523">
        <f t="shared" si="42"/>
        <v>2047322.0837587421</v>
      </c>
      <c r="G123" s="523">
        <f t="shared" si="43"/>
        <v>2106663.8886367911</v>
      </c>
      <c r="H123" s="526">
        <f t="shared" si="44"/>
        <v>357819.93130010873</v>
      </c>
      <c r="I123" s="577">
        <f t="shared" si="45"/>
        <v>357819.93130010873</v>
      </c>
      <c r="J123" s="514">
        <f t="shared" si="32"/>
        <v>0</v>
      </c>
      <c r="K123" s="514"/>
      <c r="L123" s="525"/>
      <c r="M123" s="514">
        <f t="shared" si="40"/>
        <v>0</v>
      </c>
      <c r="N123" s="525"/>
      <c r="O123" s="514">
        <f t="shared" si="33"/>
        <v>0</v>
      </c>
      <c r="P123" s="514">
        <f t="shared" si="34"/>
        <v>0</v>
      </c>
    </row>
    <row r="124" spans="2:16">
      <c r="B124" s="195" t="str">
        <f t="shared" si="31"/>
        <v/>
      </c>
      <c r="C124" s="507">
        <f>IF(D93="","-",+C123+1)</f>
        <v>2039</v>
      </c>
      <c r="D124" s="374">
        <f>IF(F123+SUM(E$99:E123)=D$92,F123,D$92-SUM(E$99:E123))</f>
        <v>2047322.0837587421</v>
      </c>
      <c r="E124" s="522">
        <f t="shared" si="41"/>
        <v>118683.60975609756</v>
      </c>
      <c r="F124" s="523">
        <f t="shared" si="42"/>
        <v>1928638.4740026444</v>
      </c>
      <c r="G124" s="523">
        <f t="shared" si="43"/>
        <v>1987980.2788806933</v>
      </c>
      <c r="H124" s="526">
        <f t="shared" si="44"/>
        <v>344347.65315563278</v>
      </c>
      <c r="I124" s="577">
        <f t="shared" si="45"/>
        <v>344347.65315563278</v>
      </c>
      <c r="J124" s="514">
        <f t="shared" si="32"/>
        <v>0</v>
      </c>
      <c r="K124" s="514"/>
      <c r="L124" s="525"/>
      <c r="M124" s="514">
        <f t="shared" si="40"/>
        <v>0</v>
      </c>
      <c r="N124" s="525"/>
      <c r="O124" s="514">
        <f t="shared" si="33"/>
        <v>0</v>
      </c>
      <c r="P124" s="514">
        <f t="shared" si="34"/>
        <v>0</v>
      </c>
    </row>
    <row r="125" spans="2:16">
      <c r="B125" s="195" t="str">
        <f t="shared" si="31"/>
        <v/>
      </c>
      <c r="C125" s="507">
        <f>IF(D93="","-",+C124+1)</f>
        <v>2040</v>
      </c>
      <c r="D125" s="374">
        <f>IF(F124+SUM(E$99:E124)=D$92,F124,D$92-SUM(E$99:E124))</f>
        <v>1928638.4740026444</v>
      </c>
      <c r="E125" s="522">
        <f t="shared" si="41"/>
        <v>118683.60975609756</v>
      </c>
      <c r="F125" s="523">
        <f t="shared" si="42"/>
        <v>1809954.8642465468</v>
      </c>
      <c r="G125" s="523">
        <f t="shared" si="43"/>
        <v>1869296.6691245956</v>
      </c>
      <c r="H125" s="526">
        <f t="shared" si="44"/>
        <v>330875.3750111569</v>
      </c>
      <c r="I125" s="577">
        <f t="shared" si="45"/>
        <v>330875.3750111569</v>
      </c>
      <c r="J125" s="514">
        <f t="shared" si="32"/>
        <v>0</v>
      </c>
      <c r="K125" s="514"/>
      <c r="L125" s="525"/>
      <c r="M125" s="514">
        <f t="shared" si="40"/>
        <v>0</v>
      </c>
      <c r="N125" s="525"/>
      <c r="O125" s="514">
        <f t="shared" si="33"/>
        <v>0</v>
      </c>
      <c r="P125" s="514">
        <f t="shared" si="34"/>
        <v>0</v>
      </c>
    </row>
    <row r="126" spans="2:16">
      <c r="B126" s="195" t="str">
        <f t="shared" si="31"/>
        <v/>
      </c>
      <c r="C126" s="507">
        <f>IF(D93="","-",+C125+1)</f>
        <v>2041</v>
      </c>
      <c r="D126" s="374">
        <f>IF(F125+SUM(E$99:E125)=D$92,F125,D$92-SUM(E$99:E125))</f>
        <v>1809954.8642465468</v>
      </c>
      <c r="E126" s="522">
        <f t="shared" si="41"/>
        <v>118683.60975609756</v>
      </c>
      <c r="F126" s="523">
        <f t="shared" si="42"/>
        <v>1691271.2544904491</v>
      </c>
      <c r="G126" s="523">
        <f t="shared" si="43"/>
        <v>1750613.0593684979</v>
      </c>
      <c r="H126" s="526">
        <f t="shared" si="44"/>
        <v>317403.09686668095</v>
      </c>
      <c r="I126" s="577">
        <f t="shared" si="45"/>
        <v>317403.09686668095</v>
      </c>
      <c r="J126" s="514">
        <f t="shared" si="32"/>
        <v>0</v>
      </c>
      <c r="K126" s="514"/>
      <c r="L126" s="525"/>
      <c r="M126" s="514">
        <f t="shared" si="40"/>
        <v>0</v>
      </c>
      <c r="N126" s="525"/>
      <c r="O126" s="514">
        <f t="shared" si="33"/>
        <v>0</v>
      </c>
      <c r="P126" s="514">
        <f t="shared" si="34"/>
        <v>0</v>
      </c>
    </row>
    <row r="127" spans="2:16">
      <c r="B127" s="195" t="str">
        <f t="shared" si="31"/>
        <v/>
      </c>
      <c r="C127" s="507">
        <f>IF(D93="","-",+C126+1)</f>
        <v>2042</v>
      </c>
      <c r="D127" s="374">
        <f>IF(F126+SUM(E$99:E126)=D$92,F126,D$92-SUM(E$99:E126))</f>
        <v>1691271.2544904491</v>
      </c>
      <c r="E127" s="522">
        <f t="shared" si="41"/>
        <v>118683.60975609756</v>
      </c>
      <c r="F127" s="523">
        <f t="shared" si="42"/>
        <v>1572587.6447343514</v>
      </c>
      <c r="G127" s="523">
        <f t="shared" si="43"/>
        <v>1631929.4496124003</v>
      </c>
      <c r="H127" s="526">
        <f t="shared" si="44"/>
        <v>303930.818722205</v>
      </c>
      <c r="I127" s="577">
        <f t="shared" si="45"/>
        <v>303930.818722205</v>
      </c>
      <c r="J127" s="514">
        <f t="shared" si="32"/>
        <v>0</v>
      </c>
      <c r="K127" s="514"/>
      <c r="L127" s="525"/>
      <c r="M127" s="514">
        <f t="shared" si="40"/>
        <v>0</v>
      </c>
      <c r="N127" s="525"/>
      <c r="O127" s="514">
        <f t="shared" si="33"/>
        <v>0</v>
      </c>
      <c r="P127" s="514">
        <f t="shared" si="34"/>
        <v>0</v>
      </c>
    </row>
    <row r="128" spans="2:16">
      <c r="B128" s="195" t="str">
        <f t="shared" si="31"/>
        <v/>
      </c>
      <c r="C128" s="507">
        <f>IF(D93="","-",+C127+1)</f>
        <v>2043</v>
      </c>
      <c r="D128" s="374">
        <f>IF(F127+SUM(E$99:E127)=D$92,F127,D$92-SUM(E$99:E127))</f>
        <v>1572587.6447343514</v>
      </c>
      <c r="E128" s="522">
        <f t="shared" si="41"/>
        <v>118683.60975609756</v>
      </c>
      <c r="F128" s="523">
        <f t="shared" si="42"/>
        <v>1453904.0349782538</v>
      </c>
      <c r="G128" s="523">
        <f t="shared" si="43"/>
        <v>1513245.8398563026</v>
      </c>
      <c r="H128" s="526">
        <f t="shared" si="44"/>
        <v>290458.54057772906</v>
      </c>
      <c r="I128" s="577">
        <f t="shared" si="45"/>
        <v>290458.54057772906</v>
      </c>
      <c r="J128" s="514">
        <f t="shared" si="32"/>
        <v>0</v>
      </c>
      <c r="K128" s="514"/>
      <c r="L128" s="525"/>
      <c r="M128" s="514">
        <f t="shared" si="40"/>
        <v>0</v>
      </c>
      <c r="N128" s="525"/>
      <c r="O128" s="514">
        <f t="shared" si="33"/>
        <v>0</v>
      </c>
      <c r="P128" s="514">
        <f t="shared" si="34"/>
        <v>0</v>
      </c>
    </row>
    <row r="129" spans="2:16">
      <c r="B129" s="195" t="str">
        <f t="shared" si="31"/>
        <v/>
      </c>
      <c r="C129" s="507">
        <f>IF(D93="","-",+C128+1)</f>
        <v>2044</v>
      </c>
      <c r="D129" s="374">
        <f>IF(F128+SUM(E$99:E128)=D$92,F128,D$92-SUM(E$99:E128))</f>
        <v>1453904.0349782538</v>
      </c>
      <c r="E129" s="522">
        <f t="shared" si="41"/>
        <v>118683.60975609756</v>
      </c>
      <c r="F129" s="523">
        <f t="shared" si="42"/>
        <v>1335220.4252221561</v>
      </c>
      <c r="G129" s="523">
        <f t="shared" si="43"/>
        <v>1394562.2301002049</v>
      </c>
      <c r="H129" s="526">
        <f t="shared" si="44"/>
        <v>276986.26243325317</v>
      </c>
      <c r="I129" s="577">
        <f t="shared" si="45"/>
        <v>276986.26243325317</v>
      </c>
      <c r="J129" s="514">
        <f t="shared" si="32"/>
        <v>0</v>
      </c>
      <c r="K129" s="514"/>
      <c r="L129" s="525"/>
      <c r="M129" s="514">
        <f t="shared" si="40"/>
        <v>0</v>
      </c>
      <c r="N129" s="525"/>
      <c r="O129" s="514">
        <f t="shared" si="33"/>
        <v>0</v>
      </c>
      <c r="P129" s="514">
        <f t="shared" si="34"/>
        <v>0</v>
      </c>
    </row>
    <row r="130" spans="2:16">
      <c r="B130" s="195" t="str">
        <f t="shared" si="31"/>
        <v/>
      </c>
      <c r="C130" s="507">
        <f>IF(D93="","-",+C129+1)</f>
        <v>2045</v>
      </c>
      <c r="D130" s="374">
        <f>IF(F129+SUM(E$99:E129)=D$92,F129,D$92-SUM(E$99:E129))</f>
        <v>1335220.4252221561</v>
      </c>
      <c r="E130" s="522">
        <f t="shared" si="41"/>
        <v>118683.60975609756</v>
      </c>
      <c r="F130" s="523">
        <f t="shared" si="42"/>
        <v>1216536.8154660584</v>
      </c>
      <c r="G130" s="523">
        <f t="shared" si="43"/>
        <v>1275878.6203441073</v>
      </c>
      <c r="H130" s="526">
        <f t="shared" si="44"/>
        <v>263513.98428877722</v>
      </c>
      <c r="I130" s="577">
        <f t="shared" si="45"/>
        <v>263513.98428877722</v>
      </c>
      <c r="J130" s="514">
        <f t="shared" si="32"/>
        <v>0</v>
      </c>
      <c r="K130" s="514"/>
      <c r="L130" s="525"/>
      <c r="M130" s="514">
        <f t="shared" si="40"/>
        <v>0</v>
      </c>
      <c r="N130" s="525"/>
      <c r="O130" s="514">
        <f t="shared" si="33"/>
        <v>0</v>
      </c>
      <c r="P130" s="514">
        <f t="shared" si="34"/>
        <v>0</v>
      </c>
    </row>
    <row r="131" spans="2:16">
      <c r="B131" s="195" t="str">
        <f t="shared" si="31"/>
        <v/>
      </c>
      <c r="C131" s="507">
        <f>IF(D93="","-",+C130+1)</f>
        <v>2046</v>
      </c>
      <c r="D131" s="374">
        <f>IF(F130+SUM(E$99:E130)=D$92,F130,D$92-SUM(E$99:E130))</f>
        <v>1216536.8154660584</v>
      </c>
      <c r="E131" s="522">
        <f t="shared" si="41"/>
        <v>118683.60975609756</v>
      </c>
      <c r="F131" s="523">
        <f t="shared" si="42"/>
        <v>1097853.2057099608</v>
      </c>
      <c r="G131" s="523">
        <f t="shared" si="43"/>
        <v>1157195.0105880096</v>
      </c>
      <c r="H131" s="526">
        <f t="shared" si="44"/>
        <v>250041.70614430128</v>
      </c>
      <c r="I131" s="577">
        <f t="shared" si="45"/>
        <v>250041.70614430128</v>
      </c>
      <c r="J131" s="514">
        <f t="shared" si="32"/>
        <v>0</v>
      </c>
      <c r="K131" s="514"/>
      <c r="L131" s="525"/>
      <c r="M131" s="514">
        <f t="shared" ref="M131:M154" si="46">IF(L541&lt;&gt;0,+H541-L541,0)</f>
        <v>0</v>
      </c>
      <c r="N131" s="525"/>
      <c r="O131" s="514">
        <f t="shared" ref="O131:O154" si="47">IF(N541&lt;&gt;0,+I541-N541,0)</f>
        <v>0</v>
      </c>
      <c r="P131" s="514">
        <f t="shared" ref="P131:P154" si="48">+O541-M541</f>
        <v>0</v>
      </c>
    </row>
    <row r="132" spans="2:16">
      <c r="B132" s="195" t="str">
        <f t="shared" si="31"/>
        <v/>
      </c>
      <c r="C132" s="507">
        <f>IF(D93="","-",+C131+1)</f>
        <v>2047</v>
      </c>
      <c r="D132" s="374">
        <f>IF(F131+SUM(E$99:E131)=D$92,F131,D$92-SUM(E$99:E131))</f>
        <v>1097853.2057099608</v>
      </c>
      <c r="E132" s="522">
        <f t="shared" si="41"/>
        <v>118683.60975609756</v>
      </c>
      <c r="F132" s="523">
        <f t="shared" si="42"/>
        <v>979169.59595386323</v>
      </c>
      <c r="G132" s="523">
        <f t="shared" si="43"/>
        <v>1038511.4008319119</v>
      </c>
      <c r="H132" s="526">
        <f t="shared" si="44"/>
        <v>236569.42799982536</v>
      </c>
      <c r="I132" s="577">
        <f t="shared" si="45"/>
        <v>236569.42799982536</v>
      </c>
      <c r="J132" s="514">
        <f t="shared" si="32"/>
        <v>0</v>
      </c>
      <c r="K132" s="514"/>
      <c r="L132" s="525"/>
      <c r="M132" s="514">
        <f t="shared" si="46"/>
        <v>0</v>
      </c>
      <c r="N132" s="525"/>
      <c r="O132" s="514">
        <f t="shared" si="47"/>
        <v>0</v>
      </c>
      <c r="P132" s="514">
        <f t="shared" si="48"/>
        <v>0</v>
      </c>
    </row>
    <row r="133" spans="2:16">
      <c r="B133" s="195" t="str">
        <f t="shared" si="31"/>
        <v/>
      </c>
      <c r="C133" s="507">
        <f>IF(D93="","-",+C132+1)</f>
        <v>2048</v>
      </c>
      <c r="D133" s="374">
        <f>IF(F132+SUM(E$99:E132)=D$92,F132,D$92-SUM(E$99:E132))</f>
        <v>979169.59595386323</v>
      </c>
      <c r="E133" s="522">
        <f t="shared" si="41"/>
        <v>118683.60975609756</v>
      </c>
      <c r="F133" s="523">
        <f t="shared" si="42"/>
        <v>860485.98619776568</v>
      </c>
      <c r="G133" s="523">
        <f t="shared" si="43"/>
        <v>919827.79107581452</v>
      </c>
      <c r="H133" s="526">
        <f t="shared" si="44"/>
        <v>223097.14985534945</v>
      </c>
      <c r="I133" s="577">
        <f t="shared" si="45"/>
        <v>223097.14985534945</v>
      </c>
      <c r="J133" s="514">
        <f t="shared" si="32"/>
        <v>0</v>
      </c>
      <c r="K133" s="514"/>
      <c r="L133" s="525"/>
      <c r="M133" s="514">
        <f t="shared" si="46"/>
        <v>0</v>
      </c>
      <c r="N133" s="525"/>
      <c r="O133" s="514">
        <f t="shared" si="47"/>
        <v>0</v>
      </c>
      <c r="P133" s="514">
        <f t="shared" si="48"/>
        <v>0</v>
      </c>
    </row>
    <row r="134" spans="2:16">
      <c r="B134" s="195" t="str">
        <f t="shared" si="31"/>
        <v/>
      </c>
      <c r="C134" s="507">
        <f>IF(D93="","-",+C133+1)</f>
        <v>2049</v>
      </c>
      <c r="D134" s="374">
        <f>IF(F133+SUM(E$99:E133)=D$92,F133,D$92-SUM(E$99:E133))</f>
        <v>860485.98619776568</v>
      </c>
      <c r="E134" s="522">
        <f t="shared" si="41"/>
        <v>118683.60975609756</v>
      </c>
      <c r="F134" s="523">
        <f t="shared" si="42"/>
        <v>741802.37644166814</v>
      </c>
      <c r="G134" s="523">
        <f t="shared" si="43"/>
        <v>801144.18131971685</v>
      </c>
      <c r="H134" s="526">
        <f t="shared" si="44"/>
        <v>209624.87171087353</v>
      </c>
      <c r="I134" s="577">
        <f t="shared" si="45"/>
        <v>209624.87171087353</v>
      </c>
      <c r="J134" s="514">
        <f t="shared" si="32"/>
        <v>0</v>
      </c>
      <c r="K134" s="514"/>
      <c r="L134" s="525"/>
      <c r="M134" s="514">
        <f t="shared" si="46"/>
        <v>0</v>
      </c>
      <c r="N134" s="525"/>
      <c r="O134" s="514">
        <f t="shared" si="47"/>
        <v>0</v>
      </c>
      <c r="P134" s="514">
        <f t="shared" si="48"/>
        <v>0</v>
      </c>
    </row>
    <row r="135" spans="2:16">
      <c r="B135" s="195" t="str">
        <f t="shared" si="31"/>
        <v/>
      </c>
      <c r="C135" s="507">
        <f>IF(D93="","-",+C134+1)</f>
        <v>2050</v>
      </c>
      <c r="D135" s="374">
        <f>IF(F134+SUM(E$99:E134)=D$92,F134,D$92-SUM(E$99:E134))</f>
        <v>741802.37644166814</v>
      </c>
      <c r="E135" s="522">
        <f t="shared" si="41"/>
        <v>118683.60975609756</v>
      </c>
      <c r="F135" s="523">
        <f t="shared" si="42"/>
        <v>623118.76668557059</v>
      </c>
      <c r="G135" s="523">
        <f t="shared" si="43"/>
        <v>682460.57156361942</v>
      </c>
      <c r="H135" s="526">
        <f t="shared" si="44"/>
        <v>196152.59356639761</v>
      </c>
      <c r="I135" s="577">
        <f t="shared" si="45"/>
        <v>196152.59356639761</v>
      </c>
      <c r="J135" s="514">
        <f t="shared" si="32"/>
        <v>0</v>
      </c>
      <c r="K135" s="514"/>
      <c r="L135" s="525"/>
      <c r="M135" s="514">
        <f t="shared" si="46"/>
        <v>0</v>
      </c>
      <c r="N135" s="525"/>
      <c r="O135" s="514">
        <f t="shared" si="47"/>
        <v>0</v>
      </c>
      <c r="P135" s="514">
        <f t="shared" si="48"/>
        <v>0</v>
      </c>
    </row>
    <row r="136" spans="2:16">
      <c r="B136" s="195" t="str">
        <f t="shared" si="31"/>
        <v/>
      </c>
      <c r="C136" s="507">
        <f>IF(D93="","-",+C135+1)</f>
        <v>2051</v>
      </c>
      <c r="D136" s="374">
        <f>IF(F135+SUM(E$99:E135)=D$92,F135,D$92-SUM(E$99:E135))</f>
        <v>623118.76668557059</v>
      </c>
      <c r="E136" s="522">
        <f t="shared" si="41"/>
        <v>118683.60975609756</v>
      </c>
      <c r="F136" s="523">
        <f t="shared" si="42"/>
        <v>504435.15692947304</v>
      </c>
      <c r="G136" s="523">
        <f t="shared" si="43"/>
        <v>563776.96180752176</v>
      </c>
      <c r="H136" s="526">
        <f t="shared" si="44"/>
        <v>182680.3154219217</v>
      </c>
      <c r="I136" s="577">
        <f t="shared" si="45"/>
        <v>182680.3154219217</v>
      </c>
      <c r="J136" s="514">
        <f t="shared" si="32"/>
        <v>0</v>
      </c>
      <c r="K136" s="514"/>
      <c r="L136" s="525"/>
      <c r="M136" s="514">
        <f t="shared" si="46"/>
        <v>0</v>
      </c>
      <c r="N136" s="525"/>
      <c r="O136" s="514">
        <f t="shared" si="47"/>
        <v>0</v>
      </c>
      <c r="P136" s="514">
        <f t="shared" si="48"/>
        <v>0</v>
      </c>
    </row>
    <row r="137" spans="2:16">
      <c r="B137" s="195" t="str">
        <f t="shared" si="31"/>
        <v/>
      </c>
      <c r="C137" s="507">
        <f>IF(D93="","-",+C136+1)</f>
        <v>2052</v>
      </c>
      <c r="D137" s="374">
        <f>IF(F136+SUM(E$99:E136)=D$92,F136,D$92-SUM(E$99:E136))</f>
        <v>504435.15692947304</v>
      </c>
      <c r="E137" s="522">
        <f t="shared" si="41"/>
        <v>118683.60975609756</v>
      </c>
      <c r="F137" s="523">
        <f t="shared" si="42"/>
        <v>385751.5471733755</v>
      </c>
      <c r="G137" s="523">
        <f t="shared" si="43"/>
        <v>445093.35205142427</v>
      </c>
      <c r="H137" s="526">
        <f t="shared" si="44"/>
        <v>169208.03727744578</v>
      </c>
      <c r="I137" s="577">
        <f t="shared" si="45"/>
        <v>169208.03727744578</v>
      </c>
      <c r="J137" s="514">
        <f t="shared" si="32"/>
        <v>0</v>
      </c>
      <c r="K137" s="514"/>
      <c r="L137" s="525"/>
      <c r="M137" s="514">
        <f t="shared" si="46"/>
        <v>0</v>
      </c>
      <c r="N137" s="525"/>
      <c r="O137" s="514">
        <f t="shared" si="47"/>
        <v>0</v>
      </c>
      <c r="P137" s="514">
        <f t="shared" si="48"/>
        <v>0</v>
      </c>
    </row>
    <row r="138" spans="2:16">
      <c r="B138" s="195" t="str">
        <f t="shared" si="31"/>
        <v/>
      </c>
      <c r="C138" s="507">
        <f>IF(D93="","-",+C137+1)</f>
        <v>2053</v>
      </c>
      <c r="D138" s="374">
        <f>IF(F137+SUM(E$99:E137)=D$92,F137,D$92-SUM(E$99:E137))</f>
        <v>385751.5471733755</v>
      </c>
      <c r="E138" s="522">
        <f t="shared" si="41"/>
        <v>118683.60975609756</v>
      </c>
      <c r="F138" s="523">
        <f t="shared" si="42"/>
        <v>267067.93741727795</v>
      </c>
      <c r="G138" s="523">
        <f t="shared" si="43"/>
        <v>326409.74229532672</v>
      </c>
      <c r="H138" s="526">
        <f t="shared" si="44"/>
        <v>155735.75913296986</v>
      </c>
      <c r="I138" s="577">
        <f t="shared" si="45"/>
        <v>155735.75913296986</v>
      </c>
      <c r="J138" s="514">
        <f t="shared" si="32"/>
        <v>0</v>
      </c>
      <c r="K138" s="514"/>
      <c r="L138" s="525"/>
      <c r="M138" s="514">
        <f t="shared" si="46"/>
        <v>0</v>
      </c>
      <c r="N138" s="525"/>
      <c r="O138" s="514">
        <f t="shared" si="47"/>
        <v>0</v>
      </c>
      <c r="P138" s="514">
        <f t="shared" si="48"/>
        <v>0</v>
      </c>
    </row>
    <row r="139" spans="2:16">
      <c r="B139" s="195" t="str">
        <f t="shared" si="31"/>
        <v/>
      </c>
      <c r="C139" s="507">
        <f>IF(D93="","-",+C138+1)</f>
        <v>2054</v>
      </c>
      <c r="D139" s="374">
        <f>IF(F138+SUM(E$99:E138)=D$92,F138,D$92-SUM(E$99:E138))</f>
        <v>267067.93741727795</v>
      </c>
      <c r="E139" s="522">
        <f t="shared" si="41"/>
        <v>118683.60975609756</v>
      </c>
      <c r="F139" s="523">
        <f t="shared" si="42"/>
        <v>148384.3276611804</v>
      </c>
      <c r="G139" s="523">
        <f t="shared" si="43"/>
        <v>207726.13253922918</v>
      </c>
      <c r="H139" s="526">
        <f t="shared" si="44"/>
        <v>142263.48098849395</v>
      </c>
      <c r="I139" s="577">
        <f t="shared" si="45"/>
        <v>142263.48098849395</v>
      </c>
      <c r="J139" s="514">
        <f t="shared" si="32"/>
        <v>0</v>
      </c>
      <c r="K139" s="514"/>
      <c r="L139" s="525"/>
      <c r="M139" s="514">
        <f t="shared" si="46"/>
        <v>0</v>
      </c>
      <c r="N139" s="525"/>
      <c r="O139" s="514">
        <f t="shared" si="47"/>
        <v>0</v>
      </c>
      <c r="P139" s="514">
        <f t="shared" si="48"/>
        <v>0</v>
      </c>
    </row>
    <row r="140" spans="2:16">
      <c r="B140" s="195" t="str">
        <f t="shared" si="31"/>
        <v/>
      </c>
      <c r="C140" s="507">
        <f>IF(D93="","-",+C139+1)</f>
        <v>2055</v>
      </c>
      <c r="D140" s="374">
        <f>IF(F139+SUM(E$99:E139)=D$92,F139,D$92-SUM(E$99:E139))</f>
        <v>148384.3276611804</v>
      </c>
      <c r="E140" s="522">
        <f t="shared" si="41"/>
        <v>118683.60975609756</v>
      </c>
      <c r="F140" s="523">
        <f t="shared" si="42"/>
        <v>29700.717905082842</v>
      </c>
      <c r="G140" s="523">
        <f t="shared" si="43"/>
        <v>89042.52278313163</v>
      </c>
      <c r="H140" s="526">
        <f t="shared" si="44"/>
        <v>128791.20284401804</v>
      </c>
      <c r="I140" s="577">
        <f t="shared" si="45"/>
        <v>128791.20284401804</v>
      </c>
      <c r="J140" s="514">
        <f t="shared" si="32"/>
        <v>0</v>
      </c>
      <c r="K140" s="514"/>
      <c r="L140" s="525"/>
      <c r="M140" s="514">
        <f t="shared" si="46"/>
        <v>0</v>
      </c>
      <c r="N140" s="525"/>
      <c r="O140" s="514">
        <f t="shared" si="47"/>
        <v>0</v>
      </c>
      <c r="P140" s="514">
        <f t="shared" si="48"/>
        <v>0</v>
      </c>
    </row>
    <row r="141" spans="2:16">
      <c r="B141" s="195" t="str">
        <f t="shared" si="31"/>
        <v/>
      </c>
      <c r="C141" s="507">
        <f>IF(D93="","-",+C140+1)</f>
        <v>2056</v>
      </c>
      <c r="D141" s="374">
        <f>IF(F140+SUM(E$99:E140)=D$92,F140,D$92-SUM(E$99:E140))</f>
        <v>29700.717905082842</v>
      </c>
      <c r="E141" s="522">
        <f t="shared" si="41"/>
        <v>29700.717905082842</v>
      </c>
      <c r="F141" s="523">
        <f t="shared" si="42"/>
        <v>0</v>
      </c>
      <c r="G141" s="523">
        <f t="shared" si="43"/>
        <v>14850.358952541421</v>
      </c>
      <c r="H141" s="526">
        <f t="shared" si="44"/>
        <v>31386.4449129241</v>
      </c>
      <c r="I141" s="577">
        <f t="shared" si="45"/>
        <v>31386.4449129241</v>
      </c>
      <c r="J141" s="514">
        <f t="shared" si="32"/>
        <v>0</v>
      </c>
      <c r="K141" s="514"/>
      <c r="L141" s="525"/>
      <c r="M141" s="514">
        <f t="shared" si="46"/>
        <v>0</v>
      </c>
      <c r="N141" s="525"/>
      <c r="O141" s="514">
        <f t="shared" si="47"/>
        <v>0</v>
      </c>
      <c r="P141" s="514">
        <f t="shared" si="48"/>
        <v>0</v>
      </c>
    </row>
    <row r="142" spans="2:16">
      <c r="B142" s="195" t="str">
        <f t="shared" si="31"/>
        <v/>
      </c>
      <c r="C142" s="507">
        <f>IF(D93="","-",+C141+1)</f>
        <v>2057</v>
      </c>
      <c r="D142" s="374">
        <f>IF(F141+SUM(E$99:E141)=D$92,F141,D$92-SUM(E$99:E141))</f>
        <v>0</v>
      </c>
      <c r="E142" s="522">
        <f t="shared" si="41"/>
        <v>0</v>
      </c>
      <c r="F142" s="523">
        <f t="shared" si="42"/>
        <v>0</v>
      </c>
      <c r="G142" s="523">
        <f t="shared" si="43"/>
        <v>0</v>
      </c>
      <c r="H142" s="526">
        <f t="shared" si="44"/>
        <v>0</v>
      </c>
      <c r="I142" s="577">
        <f t="shared" si="45"/>
        <v>0</v>
      </c>
      <c r="J142" s="514">
        <f t="shared" si="32"/>
        <v>0</v>
      </c>
      <c r="K142" s="514"/>
      <c r="L142" s="525"/>
      <c r="M142" s="514">
        <f t="shared" si="46"/>
        <v>0</v>
      </c>
      <c r="N142" s="525"/>
      <c r="O142" s="514">
        <f t="shared" si="47"/>
        <v>0</v>
      </c>
      <c r="P142" s="514">
        <f t="shared" si="48"/>
        <v>0</v>
      </c>
    </row>
    <row r="143" spans="2:16">
      <c r="B143" s="195" t="str">
        <f t="shared" si="31"/>
        <v/>
      </c>
      <c r="C143" s="507">
        <f>IF(D93="","-",+C142+1)</f>
        <v>2058</v>
      </c>
      <c r="D143" s="374">
        <f>IF(F142+SUM(E$99:E142)=D$92,F142,D$92-SUM(E$99:E142))</f>
        <v>0</v>
      </c>
      <c r="E143" s="522">
        <f t="shared" si="41"/>
        <v>0</v>
      </c>
      <c r="F143" s="523">
        <f t="shared" si="42"/>
        <v>0</v>
      </c>
      <c r="G143" s="523">
        <f t="shared" si="43"/>
        <v>0</v>
      </c>
      <c r="H143" s="526">
        <f t="shared" si="44"/>
        <v>0</v>
      </c>
      <c r="I143" s="577">
        <f t="shared" si="45"/>
        <v>0</v>
      </c>
      <c r="J143" s="514">
        <f t="shared" si="32"/>
        <v>0</v>
      </c>
      <c r="K143" s="514"/>
      <c r="L143" s="525"/>
      <c r="M143" s="514">
        <f t="shared" si="46"/>
        <v>0</v>
      </c>
      <c r="N143" s="525"/>
      <c r="O143" s="514">
        <f t="shared" si="47"/>
        <v>0</v>
      </c>
      <c r="P143" s="514">
        <f t="shared" si="48"/>
        <v>0</v>
      </c>
    </row>
    <row r="144" spans="2:16">
      <c r="B144" s="195" t="str">
        <f t="shared" si="31"/>
        <v/>
      </c>
      <c r="C144" s="507">
        <f>IF(D93="","-",+C143+1)</f>
        <v>2059</v>
      </c>
      <c r="D144" s="374">
        <f>IF(F143+SUM(E$99:E143)=D$92,F143,D$92-SUM(E$99:E143))</f>
        <v>0</v>
      </c>
      <c r="E144" s="522">
        <f t="shared" si="41"/>
        <v>0</v>
      </c>
      <c r="F144" s="523">
        <f t="shared" si="42"/>
        <v>0</v>
      </c>
      <c r="G144" s="523">
        <f t="shared" si="43"/>
        <v>0</v>
      </c>
      <c r="H144" s="526">
        <f t="shared" si="44"/>
        <v>0</v>
      </c>
      <c r="I144" s="577">
        <f t="shared" si="45"/>
        <v>0</v>
      </c>
      <c r="J144" s="514">
        <f t="shared" si="32"/>
        <v>0</v>
      </c>
      <c r="K144" s="514"/>
      <c r="L144" s="525"/>
      <c r="M144" s="514">
        <f t="shared" si="46"/>
        <v>0</v>
      </c>
      <c r="N144" s="525"/>
      <c r="O144" s="514">
        <f t="shared" si="47"/>
        <v>0</v>
      </c>
      <c r="P144" s="514">
        <f t="shared" si="48"/>
        <v>0</v>
      </c>
    </row>
    <row r="145" spans="2:16">
      <c r="B145" s="195" t="str">
        <f t="shared" si="31"/>
        <v/>
      </c>
      <c r="C145" s="507">
        <f>IF(D93="","-",+C144+1)</f>
        <v>2060</v>
      </c>
      <c r="D145" s="374">
        <f>IF(F144+SUM(E$99:E144)=D$92,F144,D$92-SUM(E$99:E144))</f>
        <v>0</v>
      </c>
      <c r="E145" s="522">
        <f t="shared" si="41"/>
        <v>0</v>
      </c>
      <c r="F145" s="523">
        <f t="shared" si="42"/>
        <v>0</v>
      </c>
      <c r="G145" s="523">
        <f t="shared" si="43"/>
        <v>0</v>
      </c>
      <c r="H145" s="526">
        <f t="shared" si="44"/>
        <v>0</v>
      </c>
      <c r="I145" s="577">
        <f t="shared" si="45"/>
        <v>0</v>
      </c>
      <c r="J145" s="514">
        <f t="shared" si="32"/>
        <v>0</v>
      </c>
      <c r="K145" s="514"/>
      <c r="L145" s="525"/>
      <c r="M145" s="514">
        <f t="shared" si="46"/>
        <v>0</v>
      </c>
      <c r="N145" s="525"/>
      <c r="O145" s="514">
        <f t="shared" si="47"/>
        <v>0</v>
      </c>
      <c r="P145" s="514">
        <f t="shared" si="48"/>
        <v>0</v>
      </c>
    </row>
    <row r="146" spans="2:16">
      <c r="B146" s="195" t="str">
        <f t="shared" si="31"/>
        <v/>
      </c>
      <c r="C146" s="507">
        <f>IF(D93="","-",+C145+1)</f>
        <v>2061</v>
      </c>
      <c r="D146" s="374">
        <f>IF(F145+SUM(E$99:E145)=D$92,F145,D$92-SUM(E$99:E145))</f>
        <v>0</v>
      </c>
      <c r="E146" s="522">
        <f t="shared" si="41"/>
        <v>0</v>
      </c>
      <c r="F146" s="523">
        <f t="shared" si="42"/>
        <v>0</v>
      </c>
      <c r="G146" s="523">
        <f t="shared" si="43"/>
        <v>0</v>
      </c>
      <c r="H146" s="526">
        <f t="shared" si="44"/>
        <v>0</v>
      </c>
      <c r="I146" s="577">
        <f t="shared" si="45"/>
        <v>0</v>
      </c>
      <c r="J146" s="514">
        <f t="shared" si="32"/>
        <v>0</v>
      </c>
      <c r="K146" s="514"/>
      <c r="L146" s="525"/>
      <c r="M146" s="514">
        <f t="shared" si="46"/>
        <v>0</v>
      </c>
      <c r="N146" s="525"/>
      <c r="O146" s="514">
        <f t="shared" si="47"/>
        <v>0</v>
      </c>
      <c r="P146" s="514">
        <f t="shared" si="48"/>
        <v>0</v>
      </c>
    </row>
    <row r="147" spans="2:16">
      <c r="B147" s="195" t="str">
        <f t="shared" si="31"/>
        <v/>
      </c>
      <c r="C147" s="507">
        <f>IF(D93="","-",+C146+1)</f>
        <v>2062</v>
      </c>
      <c r="D147" s="374">
        <f>IF(F146+SUM(E$99:E146)=D$92,F146,D$92-SUM(E$99:E146))</f>
        <v>0</v>
      </c>
      <c r="E147" s="522">
        <f t="shared" si="41"/>
        <v>0</v>
      </c>
      <c r="F147" s="523">
        <f t="shared" si="42"/>
        <v>0</v>
      </c>
      <c r="G147" s="523">
        <f t="shared" si="43"/>
        <v>0</v>
      </c>
      <c r="H147" s="526">
        <f t="shared" si="44"/>
        <v>0</v>
      </c>
      <c r="I147" s="577">
        <f t="shared" si="45"/>
        <v>0</v>
      </c>
      <c r="J147" s="514">
        <f t="shared" si="32"/>
        <v>0</v>
      </c>
      <c r="K147" s="514"/>
      <c r="L147" s="525"/>
      <c r="M147" s="514">
        <f t="shared" si="46"/>
        <v>0</v>
      </c>
      <c r="N147" s="525"/>
      <c r="O147" s="514">
        <f t="shared" si="47"/>
        <v>0</v>
      </c>
      <c r="P147" s="514">
        <f t="shared" si="48"/>
        <v>0</v>
      </c>
    </row>
    <row r="148" spans="2:16">
      <c r="B148" s="195" t="str">
        <f t="shared" si="31"/>
        <v/>
      </c>
      <c r="C148" s="507">
        <f>IF(D93="","-",+C147+1)</f>
        <v>2063</v>
      </c>
      <c r="D148" s="374">
        <f>IF(F147+SUM(E$99:E147)=D$92,F147,D$92-SUM(E$99:E147))</f>
        <v>0</v>
      </c>
      <c r="E148" s="522">
        <f t="shared" si="41"/>
        <v>0</v>
      </c>
      <c r="F148" s="523">
        <f t="shared" si="42"/>
        <v>0</v>
      </c>
      <c r="G148" s="523">
        <f t="shared" si="43"/>
        <v>0</v>
      </c>
      <c r="H148" s="526">
        <f t="shared" si="44"/>
        <v>0</v>
      </c>
      <c r="I148" s="577">
        <f t="shared" si="45"/>
        <v>0</v>
      </c>
      <c r="J148" s="514">
        <f t="shared" si="32"/>
        <v>0</v>
      </c>
      <c r="K148" s="514"/>
      <c r="L148" s="525"/>
      <c r="M148" s="514">
        <f t="shared" si="46"/>
        <v>0</v>
      </c>
      <c r="N148" s="525"/>
      <c r="O148" s="514">
        <f t="shared" si="47"/>
        <v>0</v>
      </c>
      <c r="P148" s="514">
        <f t="shared" si="48"/>
        <v>0</v>
      </c>
    </row>
    <row r="149" spans="2:16">
      <c r="B149" s="195" t="str">
        <f t="shared" si="31"/>
        <v/>
      </c>
      <c r="C149" s="507">
        <f>IF(D93="","-",+C148+1)</f>
        <v>2064</v>
      </c>
      <c r="D149" s="374">
        <f>IF(F148+SUM(E$99:E148)=D$92,F148,D$92-SUM(E$99:E148))</f>
        <v>0</v>
      </c>
      <c r="E149" s="522">
        <f t="shared" si="41"/>
        <v>0</v>
      </c>
      <c r="F149" s="523">
        <f t="shared" si="42"/>
        <v>0</v>
      </c>
      <c r="G149" s="523">
        <f t="shared" si="43"/>
        <v>0</v>
      </c>
      <c r="H149" s="526">
        <f t="shared" si="44"/>
        <v>0</v>
      </c>
      <c r="I149" s="577">
        <f t="shared" si="45"/>
        <v>0</v>
      </c>
      <c r="J149" s="514">
        <f t="shared" si="32"/>
        <v>0</v>
      </c>
      <c r="K149" s="514"/>
      <c r="L149" s="525"/>
      <c r="M149" s="514">
        <f t="shared" si="46"/>
        <v>0</v>
      </c>
      <c r="N149" s="525"/>
      <c r="O149" s="514">
        <f t="shared" si="47"/>
        <v>0</v>
      </c>
      <c r="P149" s="514">
        <f t="shared" si="48"/>
        <v>0</v>
      </c>
    </row>
    <row r="150" spans="2:16">
      <c r="B150" s="195" t="str">
        <f t="shared" si="31"/>
        <v/>
      </c>
      <c r="C150" s="507">
        <f>IF(D93="","-",+C149+1)</f>
        <v>2065</v>
      </c>
      <c r="D150" s="374">
        <f>IF(F149+SUM(E$99:E149)=D$92,F149,D$92-SUM(E$99:E149))</f>
        <v>0</v>
      </c>
      <c r="E150" s="522">
        <f t="shared" si="41"/>
        <v>0</v>
      </c>
      <c r="F150" s="523">
        <f t="shared" si="42"/>
        <v>0</v>
      </c>
      <c r="G150" s="523">
        <f t="shared" si="43"/>
        <v>0</v>
      </c>
      <c r="H150" s="526">
        <f t="shared" si="44"/>
        <v>0</v>
      </c>
      <c r="I150" s="577">
        <f t="shared" si="45"/>
        <v>0</v>
      </c>
      <c r="J150" s="514">
        <f t="shared" si="32"/>
        <v>0</v>
      </c>
      <c r="K150" s="514"/>
      <c r="L150" s="525"/>
      <c r="M150" s="514">
        <f t="shared" si="46"/>
        <v>0</v>
      </c>
      <c r="N150" s="525"/>
      <c r="O150" s="514">
        <f t="shared" si="47"/>
        <v>0</v>
      </c>
      <c r="P150" s="514">
        <f t="shared" si="48"/>
        <v>0</v>
      </c>
    </row>
    <row r="151" spans="2:16">
      <c r="B151" s="195" t="str">
        <f t="shared" si="31"/>
        <v/>
      </c>
      <c r="C151" s="507">
        <f>IF(D93="","-",+C150+1)</f>
        <v>2066</v>
      </c>
      <c r="D151" s="374">
        <f>IF(F150+SUM(E$99:E150)=D$92,F150,D$92-SUM(E$99:E150))</f>
        <v>0</v>
      </c>
      <c r="E151" s="522">
        <f t="shared" si="41"/>
        <v>0</v>
      </c>
      <c r="F151" s="523">
        <f t="shared" si="42"/>
        <v>0</v>
      </c>
      <c r="G151" s="523">
        <f t="shared" si="43"/>
        <v>0</v>
      </c>
      <c r="H151" s="526">
        <f t="shared" si="44"/>
        <v>0</v>
      </c>
      <c r="I151" s="577">
        <f t="shared" si="45"/>
        <v>0</v>
      </c>
      <c r="J151" s="514">
        <f t="shared" si="32"/>
        <v>0</v>
      </c>
      <c r="K151" s="514"/>
      <c r="L151" s="525"/>
      <c r="M151" s="514">
        <f t="shared" si="46"/>
        <v>0</v>
      </c>
      <c r="N151" s="525"/>
      <c r="O151" s="514">
        <f t="shared" si="47"/>
        <v>0</v>
      </c>
      <c r="P151" s="514">
        <f t="shared" si="48"/>
        <v>0</v>
      </c>
    </row>
    <row r="152" spans="2:16">
      <c r="B152" s="195" t="str">
        <f t="shared" si="31"/>
        <v/>
      </c>
      <c r="C152" s="507">
        <f>IF(D93="","-",+C151+1)</f>
        <v>2067</v>
      </c>
      <c r="D152" s="374">
        <f>IF(F151+SUM(E$99:E151)=D$92,F151,D$92-SUM(E$99:E151))</f>
        <v>0</v>
      </c>
      <c r="E152" s="522">
        <f t="shared" si="41"/>
        <v>0</v>
      </c>
      <c r="F152" s="523">
        <f t="shared" si="42"/>
        <v>0</v>
      </c>
      <c r="G152" s="523">
        <f t="shared" si="43"/>
        <v>0</v>
      </c>
      <c r="H152" s="526">
        <f t="shared" si="44"/>
        <v>0</v>
      </c>
      <c r="I152" s="577">
        <f t="shared" si="45"/>
        <v>0</v>
      </c>
      <c r="J152" s="514">
        <f t="shared" si="32"/>
        <v>0</v>
      </c>
      <c r="K152" s="514"/>
      <c r="L152" s="525"/>
      <c r="M152" s="514">
        <f t="shared" si="46"/>
        <v>0</v>
      </c>
      <c r="N152" s="525"/>
      <c r="O152" s="514">
        <f t="shared" si="47"/>
        <v>0</v>
      </c>
      <c r="P152" s="514">
        <f t="shared" si="48"/>
        <v>0</v>
      </c>
    </row>
    <row r="153" spans="2:16">
      <c r="B153" s="195" t="str">
        <f t="shared" si="31"/>
        <v/>
      </c>
      <c r="C153" s="507">
        <f>IF(D93="","-",+C152+1)</f>
        <v>2068</v>
      </c>
      <c r="D153" s="374">
        <f>IF(F152+SUM(E$99:E152)=D$92,F152,D$92-SUM(E$99:E152))</f>
        <v>0</v>
      </c>
      <c r="E153" s="522">
        <f t="shared" si="41"/>
        <v>0</v>
      </c>
      <c r="F153" s="523">
        <f t="shared" si="42"/>
        <v>0</v>
      </c>
      <c r="G153" s="523">
        <f t="shared" si="43"/>
        <v>0</v>
      </c>
      <c r="H153" s="526">
        <f t="shared" si="44"/>
        <v>0</v>
      </c>
      <c r="I153" s="577">
        <f t="shared" si="45"/>
        <v>0</v>
      </c>
      <c r="J153" s="514">
        <f t="shared" si="32"/>
        <v>0</v>
      </c>
      <c r="K153" s="514"/>
      <c r="L153" s="525"/>
      <c r="M153" s="514">
        <f t="shared" si="46"/>
        <v>0</v>
      </c>
      <c r="N153" s="525"/>
      <c r="O153" s="514">
        <f t="shared" si="47"/>
        <v>0</v>
      </c>
      <c r="P153" s="514">
        <f t="shared" si="48"/>
        <v>0</v>
      </c>
    </row>
    <row r="154" spans="2:16" ht="13.5" thickBot="1">
      <c r="B154" s="195" t="str">
        <f t="shared" si="31"/>
        <v/>
      </c>
      <c r="C154" s="527">
        <f>IF(D93="","-",+C153+1)</f>
        <v>2069</v>
      </c>
      <c r="D154" s="374">
        <f>IF(F153+SUM(E$99:E153)=D$92,F153,D$92-SUM(E$99:E153))</f>
        <v>0</v>
      </c>
      <c r="E154" s="522">
        <f t="shared" si="41"/>
        <v>0</v>
      </c>
      <c r="F154" s="523">
        <f t="shared" si="42"/>
        <v>0</v>
      </c>
      <c r="G154" s="523">
        <f t="shared" si="43"/>
        <v>0</v>
      </c>
      <c r="H154" s="526">
        <f t="shared" si="44"/>
        <v>0</v>
      </c>
      <c r="I154" s="577">
        <f t="shared" si="45"/>
        <v>0</v>
      </c>
      <c r="J154" s="514">
        <f t="shared" si="32"/>
        <v>0</v>
      </c>
      <c r="K154" s="514"/>
      <c r="L154" s="532"/>
      <c r="M154" s="533">
        <f t="shared" si="46"/>
        <v>0</v>
      </c>
      <c r="N154" s="532"/>
      <c r="O154" s="533">
        <f t="shared" si="47"/>
        <v>0</v>
      </c>
      <c r="P154" s="533">
        <f t="shared" si="48"/>
        <v>0</v>
      </c>
    </row>
    <row r="155" spans="2:16">
      <c r="C155" s="374" t="s">
        <v>78</v>
      </c>
      <c r="D155" s="375"/>
      <c r="E155" s="375">
        <f>SUM(E99:E154)</f>
        <v>4866027.9999999972</v>
      </c>
      <c r="F155" s="375"/>
      <c r="G155" s="375"/>
      <c r="H155" s="375">
        <f>SUM(H99:H154)</f>
        <v>16726311.248213774</v>
      </c>
      <c r="I155" s="375">
        <f>SUM(I99:I154)</f>
        <v>16726311.248213774</v>
      </c>
      <c r="J155" s="375">
        <f>SUM(J99:J154)</f>
        <v>0</v>
      </c>
      <c r="K155" s="375"/>
      <c r="L155" s="375"/>
      <c r="M155" s="375"/>
      <c r="N155" s="375"/>
      <c r="O155" s="375"/>
      <c r="P155" s="269"/>
    </row>
    <row r="156" spans="2:16">
      <c r="C156" s="183" t="s">
        <v>92</v>
      </c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</row>
    <row r="157" spans="2:16">
      <c r="C157" s="580"/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</row>
    <row r="158" spans="2:16">
      <c r="C158" s="614" t="s">
        <v>132</v>
      </c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</row>
    <row r="159" spans="2:16">
      <c r="C159" s="467" t="s">
        <v>79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</row>
    <row r="160" spans="2:16">
      <c r="C160" s="581" t="s">
        <v>80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</row>
    <row r="161" spans="3:16">
      <c r="C161" s="581"/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</row>
    <row r="162" spans="3:16" ht="18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635" t="s">
        <v>131</v>
      </c>
    </row>
  </sheetData>
  <conditionalFormatting sqref="C17:C72">
    <cfRule type="cellIs" dxfId="80" priority="1" stopIfTrue="1" operator="equal">
      <formula>$I$10</formula>
    </cfRule>
  </conditionalFormatting>
  <conditionalFormatting sqref="C99:C154">
    <cfRule type="cellIs" dxfId="79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91"/>
  <dimension ref="A1:P162"/>
  <sheetViews>
    <sheetView topLeftCell="A87" zoomScaleNormal="100" zoomScaleSheetLayoutView="72" workbookViewId="0">
      <selection activeCell="D99" sqref="D99:I107"/>
    </sheetView>
  </sheetViews>
  <sheetFormatPr defaultColWidth="8.7109375" defaultRowHeight="12.75" customHeight="1"/>
  <cols>
    <col min="1" max="1" width="4.7109375" style="183" customWidth="1"/>
    <col min="2" max="2" width="6.7109375" style="183" customWidth="1"/>
    <col min="3" max="3" width="23.28515625" style="183" customWidth="1"/>
    <col min="4" max="8" width="17.7109375" style="183" customWidth="1"/>
    <col min="9" max="9" width="20.5703125" style="183" customWidth="1"/>
    <col min="10" max="10" width="18.42578125" style="183" customWidth="1"/>
    <col min="11" max="11" width="17.7109375" style="183" customWidth="1"/>
    <col min="12" max="12" width="16.140625" style="183" customWidth="1"/>
    <col min="13" max="13" width="17.7109375" style="183" customWidth="1"/>
    <col min="14" max="14" width="16.7109375" style="183" customWidth="1"/>
    <col min="15" max="15" width="16.85546875" style="183" customWidth="1"/>
    <col min="16" max="16" width="24.42578125" style="183" customWidth="1"/>
    <col min="17" max="17" width="9.140625" style="183" customWidth="1"/>
    <col min="18" max="22" width="8.7109375" style="183"/>
    <col min="23" max="23" width="9.140625" style="183" customWidth="1"/>
    <col min="24" max="16384" width="8.7109375" style="183"/>
  </cols>
  <sheetData>
    <row r="1" spans="1:16" ht="20.25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42 of 75</v>
      </c>
    </row>
    <row r="2" spans="1:16" ht="18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538" t="s">
        <v>129</v>
      </c>
    </row>
    <row r="3" spans="1:16" ht="18.75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/>
      <c r="P3" s="623">
        <v>1</v>
      </c>
    </row>
    <row r="4" spans="1:16" ht="15.75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6" ht="1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602572.0900265798</v>
      </c>
      <c r="P5" s="269"/>
    </row>
    <row r="6" spans="1:16" ht="15.7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602572.0900265798</v>
      </c>
      <c r="O6" s="269"/>
      <c r="P6" s="269"/>
    </row>
    <row r="7" spans="1:16" ht="13.5" thickBot="1">
      <c r="C7" s="467" t="s">
        <v>48</v>
      </c>
      <c r="D7" s="624" t="s">
        <v>314</v>
      </c>
      <c r="E7" s="587"/>
      <c r="F7" s="587"/>
      <c r="G7" s="587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6" ht="13.5" thickBot="1">
      <c r="C8" s="472"/>
      <c r="D8" s="625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6" ht="13.5" thickBot="1">
      <c r="C9" s="476" t="s">
        <v>50</v>
      </c>
      <c r="D9" s="477" t="s">
        <v>313</v>
      </c>
      <c r="E9" s="637" t="s">
        <v>323</v>
      </c>
      <c r="F9" s="478"/>
      <c r="G9" s="478"/>
      <c r="H9" s="478"/>
      <c r="I9" s="479"/>
      <c r="J9" s="480"/>
      <c r="O9" s="481"/>
      <c r="P9" s="272"/>
    </row>
    <row r="10" spans="1:16">
      <c r="C10" s="482" t="s">
        <v>51</v>
      </c>
      <c r="D10" s="483">
        <v>5289194</v>
      </c>
      <c r="E10" s="353" t="s">
        <v>52</v>
      </c>
      <c r="F10" s="481"/>
      <c r="G10" s="484"/>
      <c r="H10" s="484"/>
      <c r="I10" s="485">
        <f>+'SWE.WS.F.BPU.ATRR.Projected'!L19</f>
        <v>2024</v>
      </c>
      <c r="J10" s="480"/>
      <c r="K10" s="375" t="s">
        <v>53</v>
      </c>
      <c r="O10" s="272"/>
      <c r="P10" s="272"/>
    </row>
    <row r="11" spans="1:16">
      <c r="C11" s="486" t="s">
        <v>54</v>
      </c>
      <c r="D11" s="487">
        <v>2014</v>
      </c>
      <c r="E11" s="486" t="s">
        <v>55</v>
      </c>
      <c r="F11" s="484"/>
      <c r="G11" s="233"/>
      <c r="H11" s="233"/>
      <c r="I11" s="488">
        <f>IF(G5="",0,'SWE.WS.F.BPU.ATRR.Projected'!F$13)</f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6">
      <c r="C12" s="486" t="s">
        <v>56</v>
      </c>
      <c r="D12" s="483">
        <v>6</v>
      </c>
      <c r="E12" s="486" t="s">
        <v>57</v>
      </c>
      <c r="F12" s="484"/>
      <c r="G12" s="233"/>
      <c r="H12" s="233"/>
      <c r="I12" s="490">
        <f>'SWE.WS.F.BPU.ATRR.Projected'!$F$81</f>
        <v>0.11952713165403545</v>
      </c>
      <c r="J12" s="425"/>
      <c r="K12" s="183" t="s">
        <v>58</v>
      </c>
      <c r="O12" s="272"/>
      <c r="P12" s="272"/>
    </row>
    <row r="13" spans="1:16">
      <c r="C13" s="486" t="s">
        <v>59</v>
      </c>
      <c r="D13" s="488">
        <f>+'SWE.WS.F.BPU.ATRR.Projected'!F$93</f>
        <v>44</v>
      </c>
      <c r="E13" s="486" t="s">
        <v>60</v>
      </c>
      <c r="F13" s="484"/>
      <c r="G13" s="233"/>
      <c r="H13" s="233"/>
      <c r="I13" s="490">
        <f>IF(G5="",I12,'SWE.WS.F.BPU.ATRR.Projected'!$F$80)</f>
        <v>0.11952713165403545</v>
      </c>
      <c r="J13" s="425"/>
      <c r="K13" s="375" t="s">
        <v>61</v>
      </c>
      <c r="L13" s="324"/>
      <c r="M13" s="324"/>
      <c r="N13" s="324"/>
      <c r="O13" s="272"/>
      <c r="P13" s="272"/>
    </row>
    <row r="14" spans="1:16" ht="13.5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120208.95454545454</v>
      </c>
      <c r="J14" s="375"/>
      <c r="K14" s="375"/>
      <c r="L14" s="375"/>
      <c r="M14" s="375"/>
      <c r="N14" s="375"/>
      <c r="O14" s="272"/>
      <c r="P14" s="272"/>
    </row>
    <row r="15" spans="1:16" ht="38.25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388</v>
      </c>
      <c r="H15" s="495" t="s">
        <v>389</v>
      </c>
      <c r="I15" s="492" t="s">
        <v>68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6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>
      <c r="C17" s="507">
        <f>IF(D11= "","-",D11)</f>
        <v>2014</v>
      </c>
      <c r="D17" s="629">
        <v>4520000</v>
      </c>
      <c r="E17" s="638">
        <v>53809.523809523809</v>
      </c>
      <c r="F17" s="629">
        <v>4466190.4761904757</v>
      </c>
      <c r="G17" s="638">
        <v>656345.55089366634</v>
      </c>
      <c r="H17" s="639">
        <v>656345.55089366634</v>
      </c>
      <c r="I17" s="616">
        <v>0</v>
      </c>
      <c r="J17" s="511"/>
      <c r="K17" s="641">
        <f t="shared" ref="K17:K22" si="0">G17</f>
        <v>656345.55089366634</v>
      </c>
      <c r="L17" s="642">
        <f t="shared" ref="L17:L22" si="1">IF(K17&lt;&gt;0,+G17-K17,0)</f>
        <v>0</v>
      </c>
      <c r="M17" s="643">
        <f t="shared" ref="M17:M22" si="2">H17</f>
        <v>656345.55089366634</v>
      </c>
      <c r="N17" s="644">
        <f>IF(M17&lt;&gt;0,+H17-M17,0)</f>
        <v>0</v>
      </c>
      <c r="O17" s="514">
        <f>+N17-L17</f>
        <v>0</v>
      </c>
      <c r="P17" s="272"/>
    </row>
    <row r="18" spans="2:16">
      <c r="B18" s="195" t="str">
        <f>IF(D18=F17,"","IU")</f>
        <v/>
      </c>
      <c r="C18" s="507">
        <f>IF(D11="","-",+C17+1)</f>
        <v>2015</v>
      </c>
      <c r="D18" s="629">
        <v>4466190.4761904757</v>
      </c>
      <c r="E18" s="630">
        <v>125933.19047619047</v>
      </c>
      <c r="F18" s="629">
        <v>4340257.2857142854</v>
      </c>
      <c r="G18" s="630">
        <v>697565.91247196728</v>
      </c>
      <c r="H18" s="639">
        <v>697565.91247196728</v>
      </c>
      <c r="I18" s="511">
        <v>0</v>
      </c>
      <c r="J18" s="511"/>
      <c r="K18" s="518">
        <f t="shared" si="0"/>
        <v>697565.91247196728</v>
      </c>
      <c r="L18" s="519">
        <f t="shared" si="1"/>
        <v>0</v>
      </c>
      <c r="M18" s="518">
        <f t="shared" si="2"/>
        <v>697565.91247196728</v>
      </c>
      <c r="N18" s="514">
        <f>IF(M18&lt;&gt;0,+H18-M18,0)</f>
        <v>0</v>
      </c>
      <c r="O18" s="514">
        <f>+N18-L18</f>
        <v>0</v>
      </c>
      <c r="P18" s="272"/>
    </row>
    <row r="19" spans="2:16">
      <c r="B19" s="195" t="str">
        <f>IF(D19=F18,"","IU")</f>
        <v>IU</v>
      </c>
      <c r="C19" s="507">
        <f>IF(D11="","-",+C18+1)</f>
        <v>2016</v>
      </c>
      <c r="D19" s="629">
        <v>5109451.2857142854</v>
      </c>
      <c r="E19" s="630">
        <v>125933.19047619047</v>
      </c>
      <c r="F19" s="629">
        <v>4983518.0952380951</v>
      </c>
      <c r="G19" s="630">
        <v>774189.09981108969</v>
      </c>
      <c r="H19" s="639">
        <v>774189.09981108969</v>
      </c>
      <c r="I19" s="511">
        <f>H19-G19</f>
        <v>0</v>
      </c>
      <c r="J19" s="511"/>
      <c r="K19" s="518">
        <f t="shared" si="0"/>
        <v>774189.09981108969</v>
      </c>
      <c r="L19" s="519">
        <f t="shared" si="1"/>
        <v>0</v>
      </c>
      <c r="M19" s="518">
        <f t="shared" si="2"/>
        <v>774189.09981108969</v>
      </c>
      <c r="N19" s="514">
        <f>IF(M19&lt;&gt;0,+H19-M19,0)</f>
        <v>0</v>
      </c>
      <c r="O19" s="514">
        <f>+N19-L19</f>
        <v>0</v>
      </c>
      <c r="P19" s="272"/>
    </row>
    <row r="20" spans="2:16">
      <c r="B20" s="195" t="str">
        <f t="shared" ref="B20:B72" si="3">IF(D20=F19,"","IU")</f>
        <v/>
      </c>
      <c r="C20" s="507">
        <f>IF(D11="","-",+C19+1)</f>
        <v>2017</v>
      </c>
      <c r="D20" s="629">
        <v>4983518.0952380951</v>
      </c>
      <c r="E20" s="630">
        <v>123004.51162790698</v>
      </c>
      <c r="F20" s="629">
        <v>4860513.5836101882</v>
      </c>
      <c r="G20" s="630">
        <v>732805.52447428892</v>
      </c>
      <c r="H20" s="639">
        <v>732805.52447428892</v>
      </c>
      <c r="I20" s="511">
        <f t="shared" ref="I20:I72" si="4">H20-G20</f>
        <v>0</v>
      </c>
      <c r="J20" s="511"/>
      <c r="K20" s="518">
        <f t="shared" si="0"/>
        <v>732805.52447428892</v>
      </c>
      <c r="L20" s="519">
        <f t="shared" si="1"/>
        <v>0</v>
      </c>
      <c r="M20" s="518">
        <f t="shared" si="2"/>
        <v>732805.52447428892</v>
      </c>
      <c r="N20" s="514">
        <f>IF(M20&lt;&gt;0,+H20-M20,0)</f>
        <v>0</v>
      </c>
      <c r="O20" s="514">
        <f>+N20-L20</f>
        <v>0</v>
      </c>
      <c r="P20" s="272"/>
    </row>
    <row r="21" spans="2:16">
      <c r="B21" s="195" t="str">
        <f t="shared" si="3"/>
        <v/>
      </c>
      <c r="C21" s="507">
        <f>IF(D11="","-",+C20+1)</f>
        <v>2018</v>
      </c>
      <c r="D21" s="629">
        <v>4860513.5836101882</v>
      </c>
      <c r="E21" s="630">
        <v>129004.73170731707</v>
      </c>
      <c r="F21" s="629">
        <v>4731508.8519028714</v>
      </c>
      <c r="G21" s="630">
        <v>738549.45587790722</v>
      </c>
      <c r="H21" s="639">
        <v>738549.45587790722</v>
      </c>
      <c r="I21" s="511">
        <f t="shared" si="4"/>
        <v>0</v>
      </c>
      <c r="J21" s="511"/>
      <c r="K21" s="518">
        <f t="shared" si="0"/>
        <v>738549.45587790722</v>
      </c>
      <c r="L21" s="519">
        <f t="shared" si="1"/>
        <v>0</v>
      </c>
      <c r="M21" s="518">
        <f t="shared" si="2"/>
        <v>738549.45587790722</v>
      </c>
      <c r="N21" s="514">
        <f>IF(M21&lt;&gt;0,+H21-M21,0)</f>
        <v>0</v>
      </c>
      <c r="O21" s="514">
        <f>+N21-L21</f>
        <v>0</v>
      </c>
      <c r="P21" s="272"/>
    </row>
    <row r="22" spans="2:16">
      <c r="B22" s="195" t="str">
        <f t="shared" si="3"/>
        <v/>
      </c>
      <c r="C22" s="507">
        <f>IF(D11="","-",+C21+1)</f>
        <v>2019</v>
      </c>
      <c r="D22" s="629">
        <v>4731508.8519028714</v>
      </c>
      <c r="E22" s="630">
        <v>129004.73170731707</v>
      </c>
      <c r="F22" s="629">
        <v>4602504.1201955546</v>
      </c>
      <c r="G22" s="630">
        <v>722153.71574408386</v>
      </c>
      <c r="H22" s="639">
        <v>722153.71574408386</v>
      </c>
      <c r="I22" s="511">
        <f t="shared" si="4"/>
        <v>0</v>
      </c>
      <c r="J22" s="511"/>
      <c r="K22" s="518">
        <f t="shared" si="0"/>
        <v>722153.71574408386</v>
      </c>
      <c r="L22" s="519">
        <f t="shared" si="1"/>
        <v>0</v>
      </c>
      <c r="M22" s="518">
        <f t="shared" si="2"/>
        <v>722153.71574408386</v>
      </c>
      <c r="N22" s="514">
        <f t="shared" ref="N22:N72" si="5">IF(M22&lt;&gt;0,+H22-M22,0)</f>
        <v>0</v>
      </c>
      <c r="O22" s="514">
        <f t="shared" ref="O22:O72" si="6">+N22-L22</f>
        <v>0</v>
      </c>
      <c r="P22" s="272"/>
    </row>
    <row r="23" spans="2:16">
      <c r="B23" s="195" t="str">
        <f t="shared" si="3"/>
        <v/>
      </c>
      <c r="C23" s="507">
        <f>IF(D11="","-",+C22+1)</f>
        <v>2020</v>
      </c>
      <c r="D23" s="629">
        <v>4602504.1201955546</v>
      </c>
      <c r="E23" s="630">
        <v>129004.73170731707</v>
      </c>
      <c r="F23" s="629">
        <v>4473499.3884882377</v>
      </c>
      <c r="G23" s="630">
        <v>593403.20733019966</v>
      </c>
      <c r="H23" s="639">
        <v>593403.20733019966</v>
      </c>
      <c r="I23" s="511">
        <f t="shared" si="4"/>
        <v>0</v>
      </c>
      <c r="J23" s="511"/>
      <c r="K23" s="518">
        <f t="shared" ref="K23" si="7">G23</f>
        <v>593403.20733019966</v>
      </c>
      <c r="L23" s="519">
        <f t="shared" ref="L23" si="8">IF(K23&lt;&gt;0,+G23-K23,0)</f>
        <v>0</v>
      </c>
      <c r="M23" s="518">
        <f t="shared" ref="M23" si="9">H23</f>
        <v>593403.20733019966</v>
      </c>
      <c r="N23" s="514">
        <f t="shared" si="5"/>
        <v>0</v>
      </c>
      <c r="O23" s="514">
        <f t="shared" si="6"/>
        <v>0</v>
      </c>
      <c r="P23" s="272"/>
    </row>
    <row r="24" spans="2:16">
      <c r="B24" s="195" t="str">
        <f t="shared" si="3"/>
        <v>IU</v>
      </c>
      <c r="C24" s="507">
        <f>IF(D11="","-",+C23+1)</f>
        <v>2021</v>
      </c>
      <c r="D24" s="629">
        <v>4479499.6085676476</v>
      </c>
      <c r="E24" s="630">
        <v>125933.19047619047</v>
      </c>
      <c r="F24" s="629">
        <v>4353566.4180914573</v>
      </c>
      <c r="G24" s="630">
        <v>594105.76321991044</v>
      </c>
      <c r="H24" s="639">
        <v>594105.76321991044</v>
      </c>
      <c r="I24" s="511">
        <f t="shared" si="4"/>
        <v>0</v>
      </c>
      <c r="J24" s="511"/>
      <c r="K24" s="518">
        <f t="shared" ref="K24" si="10">G24</f>
        <v>594105.76321991044</v>
      </c>
      <c r="L24" s="519">
        <f t="shared" ref="L24" si="11">IF(K24&lt;&gt;0,+G24-K24,0)</f>
        <v>0</v>
      </c>
      <c r="M24" s="518">
        <f t="shared" ref="M24" si="12">H24</f>
        <v>594105.76321991044</v>
      </c>
      <c r="N24" s="514">
        <f t="shared" si="5"/>
        <v>0</v>
      </c>
      <c r="O24" s="514">
        <f t="shared" si="6"/>
        <v>0</v>
      </c>
      <c r="P24" s="272"/>
    </row>
    <row r="25" spans="2:16">
      <c r="B25" s="195" t="str">
        <f t="shared" si="3"/>
        <v>IU</v>
      </c>
      <c r="C25" s="507">
        <f>IF(D11="","-",+C24+1)</f>
        <v>2022</v>
      </c>
      <c r="D25" s="629">
        <v>4347566.1980120465</v>
      </c>
      <c r="E25" s="630">
        <v>125933.19047619047</v>
      </c>
      <c r="F25" s="629">
        <v>4221633.0075358562</v>
      </c>
      <c r="G25" s="630">
        <v>607711.1233156696</v>
      </c>
      <c r="H25" s="639">
        <v>607711.1233156696</v>
      </c>
      <c r="I25" s="511">
        <f t="shared" si="4"/>
        <v>0</v>
      </c>
      <c r="J25" s="511"/>
      <c r="K25" s="518">
        <f t="shared" ref="K25" si="13">G25</f>
        <v>607711.1233156696</v>
      </c>
      <c r="L25" s="519">
        <f t="shared" ref="L25" si="14">IF(K25&lt;&gt;0,+G25-K25,0)</f>
        <v>0</v>
      </c>
      <c r="M25" s="518">
        <f t="shared" ref="M25" si="15">H25</f>
        <v>607711.1233156696</v>
      </c>
      <c r="N25" s="514">
        <f t="shared" si="5"/>
        <v>0</v>
      </c>
      <c r="O25" s="514">
        <f t="shared" si="6"/>
        <v>0</v>
      </c>
      <c r="P25" s="272"/>
    </row>
    <row r="26" spans="2:16">
      <c r="B26" s="195" t="str">
        <f t="shared" si="3"/>
        <v/>
      </c>
      <c r="C26" s="507">
        <f>IF(D11="","-",+C25+1)</f>
        <v>2023</v>
      </c>
      <c r="D26" s="629">
        <v>4221633.0075358562</v>
      </c>
      <c r="E26" s="630">
        <v>125933.19047619047</v>
      </c>
      <c r="F26" s="629">
        <v>4095699.8170596659</v>
      </c>
      <c r="G26" s="630">
        <v>651284.16062052594</v>
      </c>
      <c r="H26" s="639">
        <v>651284.16062052594</v>
      </c>
      <c r="I26" s="511">
        <f t="shared" si="4"/>
        <v>0</v>
      </c>
      <c r="J26" s="511"/>
      <c r="K26" s="518">
        <f t="shared" ref="K26" si="16">G26</f>
        <v>651284.16062052594</v>
      </c>
      <c r="L26" s="519">
        <f t="shared" ref="L26" si="17">IF(K26&lt;&gt;0,+G26-K26,0)</f>
        <v>0</v>
      </c>
      <c r="M26" s="518">
        <f t="shared" ref="M26" si="18">H26</f>
        <v>651284.16062052594</v>
      </c>
      <c r="N26" s="514">
        <f t="shared" ref="N26" si="19">IF(M26&lt;&gt;0,+H26-M26,0)</f>
        <v>0</v>
      </c>
      <c r="O26" s="514">
        <f t="shared" ref="O26" si="20">+N26-L26</f>
        <v>0</v>
      </c>
      <c r="P26" s="272"/>
    </row>
    <row r="27" spans="2:16">
      <c r="B27" s="195" t="str">
        <f t="shared" si="3"/>
        <v/>
      </c>
      <c r="C27" s="673">
        <f>IF(D11="","-",+C26+1)</f>
        <v>2024</v>
      </c>
      <c r="D27" s="523">
        <f>IF(F26+SUM(E$17:E26)=D$10,F26,D$10-SUM(E$17:E26))</f>
        <v>4095699.8170596659</v>
      </c>
      <c r="E27" s="522">
        <f t="shared" ref="E27:E72" si="21">IF(+$I$14&lt;F26,$I$14,D27)</f>
        <v>120208.95454545454</v>
      </c>
      <c r="F27" s="523">
        <f t="shared" ref="F27:F72" si="22">+D27-E27</f>
        <v>3975490.8625142113</v>
      </c>
      <c r="G27" s="524">
        <f t="shared" ref="G27:G51" si="23">+I$12*((D27+F27)/2)+E27</f>
        <v>602572.0900265798</v>
      </c>
      <c r="H27" s="491">
        <f t="shared" ref="H27:H51" si="24">+I$13*((D27+F27)/2)+E27</f>
        <v>602572.0900265798</v>
      </c>
      <c r="I27" s="511">
        <f t="shared" si="4"/>
        <v>0</v>
      </c>
      <c r="J27" s="511"/>
      <c r="K27" s="525"/>
      <c r="L27" s="514">
        <f t="shared" ref="L27:L72" si="25">IF(K27&lt;&gt;0,+G27-K27,0)</f>
        <v>0</v>
      </c>
      <c r="M27" s="525"/>
      <c r="N27" s="514">
        <f t="shared" si="5"/>
        <v>0</v>
      </c>
      <c r="O27" s="514">
        <f t="shared" si="6"/>
        <v>0</v>
      </c>
      <c r="P27" s="272"/>
    </row>
    <row r="28" spans="2:16">
      <c r="B28" s="195" t="str">
        <f t="shared" si="3"/>
        <v/>
      </c>
      <c r="C28" s="507">
        <f>IF(D11="","-",+C27+1)</f>
        <v>2025</v>
      </c>
      <c r="D28" s="523">
        <f>IF(F27+SUM(E$17:E27)=D$10,F27,D$10-SUM(E$17:E27))</f>
        <v>3975490.8625142113</v>
      </c>
      <c r="E28" s="522">
        <f t="shared" si="21"/>
        <v>120208.95454545454</v>
      </c>
      <c r="F28" s="523">
        <f t="shared" si="22"/>
        <v>3855281.9079687567</v>
      </c>
      <c r="G28" s="524">
        <f t="shared" si="23"/>
        <v>588203.85849063145</v>
      </c>
      <c r="H28" s="491">
        <f t="shared" si="24"/>
        <v>588203.85849063145</v>
      </c>
      <c r="I28" s="511">
        <f t="shared" si="4"/>
        <v>0</v>
      </c>
      <c r="J28" s="511"/>
      <c r="K28" s="525"/>
      <c r="L28" s="514">
        <f t="shared" si="25"/>
        <v>0</v>
      </c>
      <c r="M28" s="525"/>
      <c r="N28" s="514">
        <f t="shared" si="5"/>
        <v>0</v>
      </c>
      <c r="O28" s="514">
        <f t="shared" si="6"/>
        <v>0</v>
      </c>
      <c r="P28" s="272"/>
    </row>
    <row r="29" spans="2:16">
      <c r="B29" s="195" t="str">
        <f t="shared" si="3"/>
        <v/>
      </c>
      <c r="C29" s="507">
        <f>IF(D11="","-",+C28+1)</f>
        <v>2026</v>
      </c>
      <c r="D29" s="523">
        <f>IF(F28+SUM(E$17:E28)=D$10,F28,D$10-SUM(E$17:E28))</f>
        <v>3855281.9079687567</v>
      </c>
      <c r="E29" s="522">
        <f t="shared" si="21"/>
        <v>120208.95454545454</v>
      </c>
      <c r="F29" s="523">
        <f t="shared" si="22"/>
        <v>3735072.9534233022</v>
      </c>
      <c r="G29" s="524">
        <f t="shared" si="23"/>
        <v>573835.62695468287</v>
      </c>
      <c r="H29" s="491">
        <f t="shared" si="24"/>
        <v>573835.62695468287</v>
      </c>
      <c r="I29" s="511">
        <f t="shared" si="4"/>
        <v>0</v>
      </c>
      <c r="J29" s="511"/>
      <c r="K29" s="525"/>
      <c r="L29" s="514">
        <f t="shared" si="25"/>
        <v>0</v>
      </c>
      <c r="M29" s="525"/>
      <c r="N29" s="514">
        <f t="shared" si="5"/>
        <v>0</v>
      </c>
      <c r="O29" s="514">
        <f t="shared" si="6"/>
        <v>0</v>
      </c>
      <c r="P29" s="272"/>
    </row>
    <row r="30" spans="2:16">
      <c r="B30" s="195" t="str">
        <f t="shared" si="3"/>
        <v/>
      </c>
      <c r="C30" s="507">
        <f>IF(D11="","-",+C29+1)</f>
        <v>2027</v>
      </c>
      <c r="D30" s="523">
        <f>IF(F29+SUM(E$17:E29)=D$10,F29,D$10-SUM(E$17:E29))</f>
        <v>3735072.9534233022</v>
      </c>
      <c r="E30" s="522">
        <f t="shared" si="21"/>
        <v>120208.95454545454</v>
      </c>
      <c r="F30" s="523">
        <f t="shared" si="22"/>
        <v>3614863.9988778476</v>
      </c>
      <c r="G30" s="524">
        <f t="shared" si="23"/>
        <v>559467.39541873441</v>
      </c>
      <c r="H30" s="491">
        <f t="shared" si="24"/>
        <v>559467.39541873441</v>
      </c>
      <c r="I30" s="511">
        <f t="shared" si="4"/>
        <v>0</v>
      </c>
      <c r="J30" s="511"/>
      <c r="K30" s="525"/>
      <c r="L30" s="514">
        <f t="shared" si="25"/>
        <v>0</v>
      </c>
      <c r="M30" s="525"/>
      <c r="N30" s="514">
        <f t="shared" si="5"/>
        <v>0</v>
      </c>
      <c r="O30" s="514">
        <f t="shared" si="6"/>
        <v>0</v>
      </c>
      <c r="P30" s="272"/>
    </row>
    <row r="31" spans="2:16">
      <c r="B31" s="195" t="str">
        <f t="shared" si="3"/>
        <v/>
      </c>
      <c r="C31" s="507">
        <f>IF(D11="","-",+C30+1)</f>
        <v>2028</v>
      </c>
      <c r="D31" s="523">
        <f>IF(F30+SUM(E$17:E30)=D$10,F30,D$10-SUM(E$17:E30))</f>
        <v>3614863.9988778476</v>
      </c>
      <c r="E31" s="522">
        <f t="shared" si="21"/>
        <v>120208.95454545454</v>
      </c>
      <c r="F31" s="523">
        <f t="shared" si="22"/>
        <v>3494655.044332393</v>
      </c>
      <c r="G31" s="524">
        <f t="shared" si="23"/>
        <v>545099.16388278583</v>
      </c>
      <c r="H31" s="491">
        <f t="shared" si="24"/>
        <v>545099.16388278583</v>
      </c>
      <c r="I31" s="511">
        <f t="shared" si="4"/>
        <v>0</v>
      </c>
      <c r="J31" s="511"/>
      <c r="K31" s="525"/>
      <c r="L31" s="514">
        <f t="shared" si="25"/>
        <v>0</v>
      </c>
      <c r="M31" s="525"/>
      <c r="N31" s="514">
        <f t="shared" si="5"/>
        <v>0</v>
      </c>
      <c r="O31" s="514">
        <f t="shared" si="6"/>
        <v>0</v>
      </c>
      <c r="P31" s="272"/>
    </row>
    <row r="32" spans="2:16">
      <c r="B32" s="195" t="str">
        <f t="shared" si="3"/>
        <v/>
      </c>
      <c r="C32" s="507">
        <f>IF(D11="","-",+C31+1)</f>
        <v>2029</v>
      </c>
      <c r="D32" s="523">
        <f>IF(F31+SUM(E$17:E31)=D$10,F31,D$10-SUM(E$17:E31))</f>
        <v>3494655.044332393</v>
      </c>
      <c r="E32" s="522">
        <f t="shared" si="21"/>
        <v>120208.95454545454</v>
      </c>
      <c r="F32" s="523">
        <f t="shared" si="22"/>
        <v>3374446.0897869384</v>
      </c>
      <c r="G32" s="524">
        <f t="shared" si="23"/>
        <v>530730.93234683736</v>
      </c>
      <c r="H32" s="491">
        <f t="shared" si="24"/>
        <v>530730.93234683736</v>
      </c>
      <c r="I32" s="511">
        <f t="shared" si="4"/>
        <v>0</v>
      </c>
      <c r="J32" s="511"/>
      <c r="K32" s="525"/>
      <c r="L32" s="514">
        <f t="shared" si="25"/>
        <v>0</v>
      </c>
      <c r="M32" s="525"/>
      <c r="N32" s="514">
        <f t="shared" si="5"/>
        <v>0</v>
      </c>
      <c r="O32" s="514">
        <f t="shared" si="6"/>
        <v>0</v>
      </c>
      <c r="P32" s="272"/>
    </row>
    <row r="33" spans="2:16">
      <c r="B33" s="195" t="str">
        <f t="shared" si="3"/>
        <v/>
      </c>
      <c r="C33" s="507">
        <f>IF(D11="","-",+C32+1)</f>
        <v>2030</v>
      </c>
      <c r="D33" s="523">
        <f>IF(F32+SUM(E$17:E32)=D$10,F32,D$10-SUM(E$17:E32))</f>
        <v>3374446.0897869384</v>
      </c>
      <c r="E33" s="522">
        <f t="shared" si="21"/>
        <v>120208.95454545454</v>
      </c>
      <c r="F33" s="523">
        <f t="shared" si="22"/>
        <v>3254237.1352414838</v>
      </c>
      <c r="G33" s="524">
        <f t="shared" si="23"/>
        <v>516362.70081088872</v>
      </c>
      <c r="H33" s="491">
        <f t="shared" si="24"/>
        <v>516362.70081088872</v>
      </c>
      <c r="I33" s="511">
        <f t="shared" si="4"/>
        <v>0</v>
      </c>
      <c r="J33" s="511"/>
      <c r="K33" s="525"/>
      <c r="L33" s="514">
        <f t="shared" si="25"/>
        <v>0</v>
      </c>
      <c r="M33" s="525"/>
      <c r="N33" s="514">
        <f t="shared" si="5"/>
        <v>0</v>
      </c>
      <c r="O33" s="514">
        <f t="shared" si="6"/>
        <v>0</v>
      </c>
      <c r="P33" s="272"/>
    </row>
    <row r="34" spans="2:16">
      <c r="B34" s="195" t="str">
        <f t="shared" si="3"/>
        <v/>
      </c>
      <c r="C34" s="507">
        <f>IF(D11="","-",+C33+1)</f>
        <v>2031</v>
      </c>
      <c r="D34" s="523">
        <f>IF(F33+SUM(E$17:E33)=D$10,F33,D$10-SUM(E$17:E33))</f>
        <v>3254237.1352414838</v>
      </c>
      <c r="E34" s="522">
        <f t="shared" si="21"/>
        <v>120208.95454545454</v>
      </c>
      <c r="F34" s="523">
        <f t="shared" si="22"/>
        <v>3134028.1806960292</v>
      </c>
      <c r="G34" s="524">
        <f t="shared" si="23"/>
        <v>501994.46927494026</v>
      </c>
      <c r="H34" s="491">
        <f t="shared" si="24"/>
        <v>501994.46927494026</v>
      </c>
      <c r="I34" s="511">
        <f t="shared" si="4"/>
        <v>0</v>
      </c>
      <c r="J34" s="511"/>
      <c r="K34" s="525"/>
      <c r="L34" s="514">
        <f t="shared" si="25"/>
        <v>0</v>
      </c>
      <c r="M34" s="525"/>
      <c r="N34" s="514">
        <f t="shared" si="5"/>
        <v>0</v>
      </c>
      <c r="O34" s="514">
        <f t="shared" si="6"/>
        <v>0</v>
      </c>
      <c r="P34" s="272"/>
    </row>
    <row r="35" spans="2:16">
      <c r="B35" s="195" t="str">
        <f t="shared" si="3"/>
        <v/>
      </c>
      <c r="C35" s="507">
        <f>IF(D11="","-",+C34+1)</f>
        <v>2032</v>
      </c>
      <c r="D35" s="523">
        <f>IF(F34+SUM(E$17:E34)=D$10,F34,D$10-SUM(E$17:E34))</f>
        <v>3134028.1806960292</v>
      </c>
      <c r="E35" s="522">
        <f t="shared" si="21"/>
        <v>120208.95454545454</v>
      </c>
      <c r="F35" s="523">
        <f t="shared" si="22"/>
        <v>3013819.2261505746</v>
      </c>
      <c r="G35" s="524">
        <f t="shared" si="23"/>
        <v>487626.23773899174</v>
      </c>
      <c r="H35" s="491">
        <f t="shared" si="24"/>
        <v>487626.23773899174</v>
      </c>
      <c r="I35" s="511">
        <f t="shared" si="4"/>
        <v>0</v>
      </c>
      <c r="J35" s="511"/>
      <c r="K35" s="525"/>
      <c r="L35" s="514">
        <f t="shared" si="25"/>
        <v>0</v>
      </c>
      <c r="M35" s="525"/>
      <c r="N35" s="514">
        <f t="shared" si="5"/>
        <v>0</v>
      </c>
      <c r="O35" s="514">
        <f t="shared" si="6"/>
        <v>0</v>
      </c>
      <c r="P35" s="272"/>
    </row>
    <row r="36" spans="2:16">
      <c r="B36" s="195" t="str">
        <f t="shared" si="3"/>
        <v/>
      </c>
      <c r="C36" s="507">
        <f>IF(D11="","-",+C35+1)</f>
        <v>2033</v>
      </c>
      <c r="D36" s="523">
        <f>IF(F35+SUM(E$17:E35)=D$10,F35,D$10-SUM(E$17:E35))</f>
        <v>3013819.2261505746</v>
      </c>
      <c r="E36" s="522">
        <f t="shared" si="21"/>
        <v>120208.95454545454</v>
      </c>
      <c r="F36" s="523">
        <f t="shared" si="22"/>
        <v>2893610.27160512</v>
      </c>
      <c r="G36" s="524">
        <f t="shared" si="23"/>
        <v>473258.00620304327</v>
      </c>
      <c r="H36" s="491">
        <f t="shared" si="24"/>
        <v>473258.00620304327</v>
      </c>
      <c r="I36" s="511">
        <f t="shared" si="4"/>
        <v>0</v>
      </c>
      <c r="J36" s="511"/>
      <c r="K36" s="525"/>
      <c r="L36" s="514">
        <f t="shared" si="25"/>
        <v>0</v>
      </c>
      <c r="M36" s="525"/>
      <c r="N36" s="514">
        <f t="shared" si="5"/>
        <v>0</v>
      </c>
      <c r="O36" s="514">
        <f t="shared" si="6"/>
        <v>0</v>
      </c>
      <c r="P36" s="272"/>
    </row>
    <row r="37" spans="2:16">
      <c r="B37" s="195" t="str">
        <f t="shared" si="3"/>
        <v/>
      </c>
      <c r="C37" s="507">
        <f>IF(D11="","-",+C36+1)</f>
        <v>2034</v>
      </c>
      <c r="D37" s="523">
        <f>IF(F36+SUM(E$17:E36)=D$10,F36,D$10-SUM(E$17:E36))</f>
        <v>2893610.27160512</v>
      </c>
      <c r="E37" s="522">
        <f t="shared" si="21"/>
        <v>120208.95454545454</v>
      </c>
      <c r="F37" s="523">
        <f t="shared" si="22"/>
        <v>2773401.3170596655</v>
      </c>
      <c r="G37" s="524">
        <f t="shared" si="23"/>
        <v>458889.77466709469</v>
      </c>
      <c r="H37" s="491">
        <f t="shared" si="24"/>
        <v>458889.77466709469</v>
      </c>
      <c r="I37" s="511">
        <f t="shared" si="4"/>
        <v>0</v>
      </c>
      <c r="J37" s="511"/>
      <c r="K37" s="525"/>
      <c r="L37" s="514">
        <f t="shared" si="25"/>
        <v>0</v>
      </c>
      <c r="M37" s="525"/>
      <c r="N37" s="514">
        <f t="shared" si="5"/>
        <v>0</v>
      </c>
      <c r="O37" s="514">
        <f t="shared" si="6"/>
        <v>0</v>
      </c>
      <c r="P37" s="272"/>
    </row>
    <row r="38" spans="2:16">
      <c r="B38" s="195" t="str">
        <f t="shared" si="3"/>
        <v/>
      </c>
      <c r="C38" s="507">
        <f>IF(D11="","-",+C37+1)</f>
        <v>2035</v>
      </c>
      <c r="D38" s="523">
        <f>IF(F37+SUM(E$17:E37)=D$10,F37,D$10-SUM(E$17:E37))</f>
        <v>2773401.3170596655</v>
      </c>
      <c r="E38" s="522">
        <f t="shared" si="21"/>
        <v>120208.95454545454</v>
      </c>
      <c r="F38" s="523">
        <f t="shared" si="22"/>
        <v>2653192.3625142109</v>
      </c>
      <c r="G38" s="524">
        <f t="shared" si="23"/>
        <v>444521.54313114623</v>
      </c>
      <c r="H38" s="491">
        <f t="shared" si="24"/>
        <v>444521.54313114623</v>
      </c>
      <c r="I38" s="511">
        <f t="shared" si="4"/>
        <v>0</v>
      </c>
      <c r="J38" s="511"/>
      <c r="K38" s="525"/>
      <c r="L38" s="514">
        <f t="shared" si="25"/>
        <v>0</v>
      </c>
      <c r="M38" s="525"/>
      <c r="N38" s="514">
        <f t="shared" si="5"/>
        <v>0</v>
      </c>
      <c r="O38" s="514">
        <f t="shared" si="6"/>
        <v>0</v>
      </c>
      <c r="P38" s="272"/>
    </row>
    <row r="39" spans="2:16">
      <c r="B39" s="195" t="str">
        <f t="shared" si="3"/>
        <v/>
      </c>
      <c r="C39" s="507">
        <f>IF(D11="","-",+C38+1)</f>
        <v>2036</v>
      </c>
      <c r="D39" s="523">
        <f>IF(F38+SUM(E$17:E38)=D$10,F38,D$10-SUM(E$17:E38))</f>
        <v>2653192.3625142109</v>
      </c>
      <c r="E39" s="522">
        <f t="shared" si="21"/>
        <v>120208.95454545454</v>
      </c>
      <c r="F39" s="523">
        <f t="shared" si="22"/>
        <v>2532983.4079687563</v>
      </c>
      <c r="G39" s="524">
        <f t="shared" si="23"/>
        <v>430153.31159519765</v>
      </c>
      <c r="H39" s="491">
        <f t="shared" si="24"/>
        <v>430153.31159519765</v>
      </c>
      <c r="I39" s="511">
        <f t="shared" si="4"/>
        <v>0</v>
      </c>
      <c r="J39" s="511"/>
      <c r="K39" s="525"/>
      <c r="L39" s="514">
        <f t="shared" si="25"/>
        <v>0</v>
      </c>
      <c r="M39" s="525"/>
      <c r="N39" s="514">
        <f t="shared" si="5"/>
        <v>0</v>
      </c>
      <c r="O39" s="514">
        <f t="shared" si="6"/>
        <v>0</v>
      </c>
      <c r="P39" s="272"/>
    </row>
    <row r="40" spans="2:16">
      <c r="B40" s="195" t="str">
        <f t="shared" si="3"/>
        <v/>
      </c>
      <c r="C40" s="507">
        <f>IF(D11="","-",+C39+1)</f>
        <v>2037</v>
      </c>
      <c r="D40" s="523">
        <f>IF(F39+SUM(E$17:E39)=D$10,F39,D$10-SUM(E$17:E39))</f>
        <v>2532983.4079687563</v>
      </c>
      <c r="E40" s="522">
        <f t="shared" si="21"/>
        <v>120208.95454545454</v>
      </c>
      <c r="F40" s="523">
        <f t="shared" si="22"/>
        <v>2412774.4534233017</v>
      </c>
      <c r="G40" s="524">
        <f t="shared" si="23"/>
        <v>415785.08005924919</v>
      </c>
      <c r="H40" s="491">
        <f t="shared" si="24"/>
        <v>415785.08005924919</v>
      </c>
      <c r="I40" s="511">
        <f t="shared" si="4"/>
        <v>0</v>
      </c>
      <c r="J40" s="511"/>
      <c r="K40" s="525"/>
      <c r="L40" s="514">
        <f t="shared" si="25"/>
        <v>0</v>
      </c>
      <c r="M40" s="525"/>
      <c r="N40" s="514">
        <f t="shared" si="5"/>
        <v>0</v>
      </c>
      <c r="O40" s="514">
        <f t="shared" si="6"/>
        <v>0</v>
      </c>
      <c r="P40" s="272"/>
    </row>
    <row r="41" spans="2:16">
      <c r="B41" s="195" t="str">
        <f t="shared" si="3"/>
        <v/>
      </c>
      <c r="C41" s="507">
        <f>IF(D11="","-",+C40+1)</f>
        <v>2038</v>
      </c>
      <c r="D41" s="523">
        <f>IF(F40+SUM(E$17:E40)=D$10,F40,D$10-SUM(E$17:E40))</f>
        <v>2412774.4534233017</v>
      </c>
      <c r="E41" s="522">
        <f t="shared" si="21"/>
        <v>120208.95454545454</v>
      </c>
      <c r="F41" s="523">
        <f t="shared" si="22"/>
        <v>2292565.4988778471</v>
      </c>
      <c r="G41" s="524">
        <f t="shared" si="23"/>
        <v>401416.84852330066</v>
      </c>
      <c r="H41" s="491">
        <f t="shared" si="24"/>
        <v>401416.84852330066</v>
      </c>
      <c r="I41" s="511">
        <f t="shared" si="4"/>
        <v>0</v>
      </c>
      <c r="J41" s="511"/>
      <c r="K41" s="525"/>
      <c r="L41" s="514">
        <f t="shared" si="25"/>
        <v>0</v>
      </c>
      <c r="M41" s="525"/>
      <c r="N41" s="514">
        <f t="shared" si="5"/>
        <v>0</v>
      </c>
      <c r="O41" s="514">
        <f t="shared" si="6"/>
        <v>0</v>
      </c>
      <c r="P41" s="272"/>
    </row>
    <row r="42" spans="2:16">
      <c r="B42" s="195" t="str">
        <f t="shared" si="3"/>
        <v/>
      </c>
      <c r="C42" s="507">
        <f>IF(D11="","-",+C41+1)</f>
        <v>2039</v>
      </c>
      <c r="D42" s="523">
        <f>IF(F41+SUM(E$17:E41)=D$10,F41,D$10-SUM(E$17:E41))</f>
        <v>2292565.4988778471</v>
      </c>
      <c r="E42" s="522">
        <f t="shared" si="21"/>
        <v>120208.95454545454</v>
      </c>
      <c r="F42" s="523">
        <f t="shared" si="22"/>
        <v>2172356.5443323925</v>
      </c>
      <c r="G42" s="524">
        <f t="shared" si="23"/>
        <v>387048.6169873522</v>
      </c>
      <c r="H42" s="491">
        <f t="shared" si="24"/>
        <v>387048.6169873522</v>
      </c>
      <c r="I42" s="511">
        <f t="shared" si="4"/>
        <v>0</v>
      </c>
      <c r="J42" s="511"/>
      <c r="K42" s="525"/>
      <c r="L42" s="514">
        <f t="shared" si="25"/>
        <v>0</v>
      </c>
      <c r="M42" s="525"/>
      <c r="N42" s="514">
        <f t="shared" si="5"/>
        <v>0</v>
      </c>
      <c r="O42" s="514">
        <f t="shared" si="6"/>
        <v>0</v>
      </c>
      <c r="P42" s="272"/>
    </row>
    <row r="43" spans="2:16">
      <c r="B43" s="195" t="str">
        <f t="shared" si="3"/>
        <v/>
      </c>
      <c r="C43" s="507">
        <f>IF(D11="","-",+C42+1)</f>
        <v>2040</v>
      </c>
      <c r="D43" s="523">
        <f>IF(F42+SUM(E$17:E42)=D$10,F42,D$10-SUM(E$17:E42))</f>
        <v>2172356.5443323925</v>
      </c>
      <c r="E43" s="522">
        <f t="shared" si="21"/>
        <v>120208.95454545454</v>
      </c>
      <c r="F43" s="523">
        <f t="shared" si="22"/>
        <v>2052147.5897869379</v>
      </c>
      <c r="G43" s="524">
        <f t="shared" si="23"/>
        <v>372680.38545140362</v>
      </c>
      <c r="H43" s="491">
        <f t="shared" si="24"/>
        <v>372680.38545140362</v>
      </c>
      <c r="I43" s="511">
        <f t="shared" si="4"/>
        <v>0</v>
      </c>
      <c r="J43" s="511"/>
      <c r="K43" s="525"/>
      <c r="L43" s="514">
        <f t="shared" si="25"/>
        <v>0</v>
      </c>
      <c r="M43" s="525"/>
      <c r="N43" s="514">
        <f t="shared" si="5"/>
        <v>0</v>
      </c>
      <c r="O43" s="514">
        <f t="shared" si="6"/>
        <v>0</v>
      </c>
      <c r="P43" s="272"/>
    </row>
    <row r="44" spans="2:16">
      <c r="B44" s="195" t="str">
        <f t="shared" si="3"/>
        <v/>
      </c>
      <c r="C44" s="507">
        <f>IF(D11="","-",+C43+1)</f>
        <v>2041</v>
      </c>
      <c r="D44" s="523">
        <f>IF(F43+SUM(E$17:E43)=D$10,F43,D$10-SUM(E$17:E43))</f>
        <v>2052147.5897869379</v>
      </c>
      <c r="E44" s="522">
        <f t="shared" si="21"/>
        <v>120208.95454545454</v>
      </c>
      <c r="F44" s="523">
        <f t="shared" si="22"/>
        <v>1931938.6352414833</v>
      </c>
      <c r="G44" s="524">
        <f t="shared" si="23"/>
        <v>358312.15391545516</v>
      </c>
      <c r="H44" s="491">
        <f t="shared" si="24"/>
        <v>358312.15391545516</v>
      </c>
      <c r="I44" s="511">
        <f t="shared" si="4"/>
        <v>0</v>
      </c>
      <c r="J44" s="511"/>
      <c r="K44" s="525"/>
      <c r="L44" s="514">
        <f t="shared" si="25"/>
        <v>0</v>
      </c>
      <c r="M44" s="525"/>
      <c r="N44" s="514">
        <f t="shared" si="5"/>
        <v>0</v>
      </c>
      <c r="O44" s="514">
        <f t="shared" si="6"/>
        <v>0</v>
      </c>
      <c r="P44" s="272"/>
    </row>
    <row r="45" spans="2:16">
      <c r="B45" s="195" t="str">
        <f t="shared" si="3"/>
        <v/>
      </c>
      <c r="C45" s="507">
        <f>IF(D11="","-",+C44+1)</f>
        <v>2042</v>
      </c>
      <c r="D45" s="523">
        <f>IF(F44+SUM(E$17:E44)=D$10,F44,D$10-SUM(E$17:E44))</f>
        <v>1931938.6352414833</v>
      </c>
      <c r="E45" s="522">
        <f t="shared" si="21"/>
        <v>120208.95454545454</v>
      </c>
      <c r="F45" s="523">
        <f t="shared" si="22"/>
        <v>1811729.6806960288</v>
      </c>
      <c r="G45" s="524">
        <f t="shared" si="23"/>
        <v>343943.92237950664</v>
      </c>
      <c r="H45" s="491">
        <f t="shared" si="24"/>
        <v>343943.92237950664</v>
      </c>
      <c r="I45" s="511">
        <f t="shared" si="4"/>
        <v>0</v>
      </c>
      <c r="J45" s="511"/>
      <c r="K45" s="525"/>
      <c r="L45" s="514">
        <f t="shared" si="25"/>
        <v>0</v>
      </c>
      <c r="M45" s="525"/>
      <c r="N45" s="514">
        <f t="shared" si="5"/>
        <v>0</v>
      </c>
      <c r="O45" s="514">
        <f t="shared" si="6"/>
        <v>0</v>
      </c>
      <c r="P45" s="272"/>
    </row>
    <row r="46" spans="2:16">
      <c r="B46" s="195" t="str">
        <f t="shared" si="3"/>
        <v/>
      </c>
      <c r="C46" s="507">
        <f>IF(D11="","-",+C45+1)</f>
        <v>2043</v>
      </c>
      <c r="D46" s="523">
        <f>IF(F45+SUM(E$17:E45)=D$10,F45,D$10-SUM(E$17:E45))</f>
        <v>1811729.6806960288</v>
      </c>
      <c r="E46" s="522">
        <f t="shared" si="21"/>
        <v>120208.95454545454</v>
      </c>
      <c r="F46" s="523">
        <f t="shared" si="22"/>
        <v>1691520.7261505742</v>
      </c>
      <c r="G46" s="524">
        <f t="shared" si="23"/>
        <v>329575.69084355811</v>
      </c>
      <c r="H46" s="491">
        <f t="shared" si="24"/>
        <v>329575.69084355811</v>
      </c>
      <c r="I46" s="511">
        <f t="shared" si="4"/>
        <v>0</v>
      </c>
      <c r="J46" s="511"/>
      <c r="K46" s="525"/>
      <c r="L46" s="514">
        <f t="shared" si="25"/>
        <v>0</v>
      </c>
      <c r="M46" s="525"/>
      <c r="N46" s="514">
        <f t="shared" si="5"/>
        <v>0</v>
      </c>
      <c r="O46" s="514">
        <f t="shared" si="6"/>
        <v>0</v>
      </c>
      <c r="P46" s="272"/>
    </row>
    <row r="47" spans="2:16">
      <c r="B47" s="195" t="str">
        <f t="shared" si="3"/>
        <v/>
      </c>
      <c r="C47" s="507">
        <f>IF(D11="","-",+C46+1)</f>
        <v>2044</v>
      </c>
      <c r="D47" s="523">
        <f>IF(F46+SUM(E$17:E46)=D$10,F46,D$10-SUM(E$17:E46))</f>
        <v>1691520.7261505742</v>
      </c>
      <c r="E47" s="522">
        <f t="shared" si="21"/>
        <v>120208.95454545454</v>
      </c>
      <c r="F47" s="523">
        <f t="shared" si="22"/>
        <v>1571311.7716051196</v>
      </c>
      <c r="G47" s="524">
        <f t="shared" si="23"/>
        <v>315207.45930760959</v>
      </c>
      <c r="H47" s="491">
        <f t="shared" si="24"/>
        <v>315207.45930760959</v>
      </c>
      <c r="I47" s="511">
        <f t="shared" si="4"/>
        <v>0</v>
      </c>
      <c r="J47" s="511"/>
      <c r="K47" s="525"/>
      <c r="L47" s="514">
        <f t="shared" si="25"/>
        <v>0</v>
      </c>
      <c r="M47" s="525"/>
      <c r="N47" s="514">
        <f t="shared" si="5"/>
        <v>0</v>
      </c>
      <c r="O47" s="514">
        <f t="shared" si="6"/>
        <v>0</v>
      </c>
      <c r="P47" s="272"/>
    </row>
    <row r="48" spans="2:16">
      <c r="B48" s="195" t="str">
        <f t="shared" si="3"/>
        <v/>
      </c>
      <c r="C48" s="507">
        <f>IF(D11="","-",+C47+1)</f>
        <v>2045</v>
      </c>
      <c r="D48" s="523">
        <f>IF(F47+SUM(E$17:E47)=D$10,F47,D$10-SUM(E$17:E47))</f>
        <v>1571311.7716051196</v>
      </c>
      <c r="E48" s="522">
        <f t="shared" si="21"/>
        <v>120208.95454545454</v>
      </c>
      <c r="F48" s="523">
        <f t="shared" si="22"/>
        <v>1451102.817059665</v>
      </c>
      <c r="G48" s="524">
        <f t="shared" si="23"/>
        <v>300839.22777166107</v>
      </c>
      <c r="H48" s="491">
        <f t="shared" si="24"/>
        <v>300839.22777166107</v>
      </c>
      <c r="I48" s="511">
        <f t="shared" si="4"/>
        <v>0</v>
      </c>
      <c r="J48" s="511"/>
      <c r="K48" s="525"/>
      <c r="L48" s="514">
        <f t="shared" si="25"/>
        <v>0</v>
      </c>
      <c r="M48" s="525"/>
      <c r="N48" s="514">
        <f t="shared" si="5"/>
        <v>0</v>
      </c>
      <c r="O48" s="514">
        <f t="shared" si="6"/>
        <v>0</v>
      </c>
      <c r="P48" s="272"/>
    </row>
    <row r="49" spans="2:16">
      <c r="B49" s="195" t="str">
        <f t="shared" si="3"/>
        <v/>
      </c>
      <c r="C49" s="507">
        <f>IF(D11="","-",+C48+1)</f>
        <v>2046</v>
      </c>
      <c r="D49" s="523">
        <f>IF(F48+SUM(E$17:E48)=D$10,F48,D$10-SUM(E$17:E48))</f>
        <v>1451102.817059665</v>
      </c>
      <c r="E49" s="522">
        <f t="shared" si="21"/>
        <v>120208.95454545454</v>
      </c>
      <c r="F49" s="523">
        <f t="shared" si="22"/>
        <v>1330893.8625142104</v>
      </c>
      <c r="G49" s="524">
        <f t="shared" si="23"/>
        <v>286470.99623571255</v>
      </c>
      <c r="H49" s="491">
        <f t="shared" si="24"/>
        <v>286470.99623571255</v>
      </c>
      <c r="I49" s="511">
        <f t="shared" si="4"/>
        <v>0</v>
      </c>
      <c r="J49" s="511"/>
      <c r="K49" s="525"/>
      <c r="L49" s="514">
        <f t="shared" si="25"/>
        <v>0</v>
      </c>
      <c r="M49" s="525"/>
      <c r="N49" s="514">
        <f t="shared" si="5"/>
        <v>0</v>
      </c>
      <c r="O49" s="514">
        <f t="shared" si="6"/>
        <v>0</v>
      </c>
      <c r="P49" s="272"/>
    </row>
    <row r="50" spans="2:16">
      <c r="B50" s="195" t="str">
        <f t="shared" si="3"/>
        <v/>
      </c>
      <c r="C50" s="507">
        <f>IF(D11="","-",+C49+1)</f>
        <v>2047</v>
      </c>
      <c r="D50" s="523">
        <f>IF(F49+SUM(E$17:E49)=D$10,F49,D$10-SUM(E$17:E49))</f>
        <v>1330893.8625142104</v>
      </c>
      <c r="E50" s="522">
        <f t="shared" si="21"/>
        <v>120208.95454545454</v>
      </c>
      <c r="F50" s="523">
        <f t="shared" si="22"/>
        <v>1210684.9079687558</v>
      </c>
      <c r="G50" s="524">
        <f t="shared" si="23"/>
        <v>272102.76469976408</v>
      </c>
      <c r="H50" s="491">
        <f t="shared" si="24"/>
        <v>272102.76469976408</v>
      </c>
      <c r="I50" s="511">
        <f t="shared" si="4"/>
        <v>0</v>
      </c>
      <c r="J50" s="511"/>
      <c r="K50" s="525"/>
      <c r="L50" s="514">
        <f t="shared" si="25"/>
        <v>0</v>
      </c>
      <c r="M50" s="525"/>
      <c r="N50" s="514">
        <f t="shared" si="5"/>
        <v>0</v>
      </c>
      <c r="O50" s="514">
        <f t="shared" si="6"/>
        <v>0</v>
      </c>
      <c r="P50" s="272"/>
    </row>
    <row r="51" spans="2:16">
      <c r="B51" s="195" t="str">
        <f t="shared" si="3"/>
        <v/>
      </c>
      <c r="C51" s="507">
        <f>IF(D11="","-",+C50+1)</f>
        <v>2048</v>
      </c>
      <c r="D51" s="523">
        <f>IF(F50+SUM(E$17:E50)=D$10,F50,D$10-SUM(E$17:E50))</f>
        <v>1210684.9079687558</v>
      </c>
      <c r="E51" s="522">
        <f t="shared" si="21"/>
        <v>120208.95454545454</v>
      </c>
      <c r="F51" s="523">
        <f t="shared" si="22"/>
        <v>1090475.9534233012</v>
      </c>
      <c r="G51" s="524">
        <f t="shared" si="23"/>
        <v>257734.53316381556</v>
      </c>
      <c r="H51" s="491">
        <f t="shared" si="24"/>
        <v>257734.53316381556</v>
      </c>
      <c r="I51" s="511">
        <f t="shared" si="4"/>
        <v>0</v>
      </c>
      <c r="J51" s="511"/>
      <c r="K51" s="525"/>
      <c r="L51" s="514">
        <f t="shared" si="25"/>
        <v>0</v>
      </c>
      <c r="M51" s="525"/>
      <c r="N51" s="514">
        <f t="shared" si="5"/>
        <v>0</v>
      </c>
      <c r="O51" s="514">
        <f t="shared" si="6"/>
        <v>0</v>
      </c>
      <c r="P51" s="272"/>
    </row>
    <row r="52" spans="2:16">
      <c r="B52" s="195" t="str">
        <f t="shared" si="3"/>
        <v/>
      </c>
      <c r="C52" s="507">
        <f>IF(D11="","-",+C51+1)</f>
        <v>2049</v>
      </c>
      <c r="D52" s="523">
        <f>IF(F51+SUM(E$17:E51)=D$10,F51,D$10-SUM(E$17:E51))</f>
        <v>1090475.9534233012</v>
      </c>
      <c r="E52" s="522">
        <f t="shared" si="21"/>
        <v>120208.95454545454</v>
      </c>
      <c r="F52" s="523">
        <f t="shared" si="22"/>
        <v>970266.99887784664</v>
      </c>
      <c r="G52" s="524">
        <f t="shared" ref="G52:G72" si="26">+I$12*((D52+F52)/2)+E52</f>
        <v>243366.30162786704</v>
      </c>
      <c r="H52" s="491">
        <f t="shared" ref="H52:H72" si="27">+I$13*((D52+F52)/2)+E52</f>
        <v>243366.30162786704</v>
      </c>
      <c r="I52" s="511">
        <f t="shared" si="4"/>
        <v>0</v>
      </c>
      <c r="J52" s="511"/>
      <c r="K52" s="525"/>
      <c r="L52" s="514">
        <f t="shared" si="25"/>
        <v>0</v>
      </c>
      <c r="M52" s="525"/>
      <c r="N52" s="514">
        <f t="shared" si="5"/>
        <v>0</v>
      </c>
      <c r="O52" s="514">
        <f t="shared" si="6"/>
        <v>0</v>
      </c>
      <c r="P52" s="272"/>
    </row>
    <row r="53" spans="2:16">
      <c r="B53" s="195" t="str">
        <f t="shared" si="3"/>
        <v/>
      </c>
      <c r="C53" s="507">
        <f>IF(D11="","-",+C52+1)</f>
        <v>2050</v>
      </c>
      <c r="D53" s="523">
        <f>IF(F52+SUM(E$17:E52)=D$10,F52,D$10-SUM(E$17:E52))</f>
        <v>970266.99887784664</v>
      </c>
      <c r="E53" s="522">
        <f t="shared" si="21"/>
        <v>120208.95454545454</v>
      </c>
      <c r="F53" s="523">
        <f t="shared" si="22"/>
        <v>850058.04433239205</v>
      </c>
      <c r="G53" s="524">
        <f t="shared" si="26"/>
        <v>228998.07009191852</v>
      </c>
      <c r="H53" s="491">
        <f t="shared" si="27"/>
        <v>228998.07009191852</v>
      </c>
      <c r="I53" s="511">
        <f t="shared" si="4"/>
        <v>0</v>
      </c>
      <c r="J53" s="511"/>
      <c r="K53" s="525"/>
      <c r="L53" s="514">
        <f t="shared" si="25"/>
        <v>0</v>
      </c>
      <c r="M53" s="525"/>
      <c r="N53" s="514">
        <f t="shared" si="5"/>
        <v>0</v>
      </c>
      <c r="O53" s="514">
        <f t="shared" si="6"/>
        <v>0</v>
      </c>
      <c r="P53" s="272"/>
    </row>
    <row r="54" spans="2:16">
      <c r="B54" s="195" t="str">
        <f t="shared" si="3"/>
        <v/>
      </c>
      <c r="C54" s="507">
        <f>IF(D11="","-",+C53+1)</f>
        <v>2051</v>
      </c>
      <c r="D54" s="523">
        <f>IF(F53+SUM(E$17:E53)=D$10,F53,D$10-SUM(E$17:E53))</f>
        <v>850058.04433239205</v>
      </c>
      <c r="E54" s="522">
        <f t="shared" si="21"/>
        <v>120208.95454545454</v>
      </c>
      <c r="F54" s="523">
        <f t="shared" si="22"/>
        <v>729849.08978693746</v>
      </c>
      <c r="G54" s="524">
        <f t="shared" si="26"/>
        <v>214629.83855597</v>
      </c>
      <c r="H54" s="491">
        <f t="shared" si="27"/>
        <v>214629.83855597</v>
      </c>
      <c r="I54" s="511">
        <f t="shared" si="4"/>
        <v>0</v>
      </c>
      <c r="J54" s="511"/>
      <c r="K54" s="525"/>
      <c r="L54" s="514">
        <f t="shared" si="25"/>
        <v>0</v>
      </c>
      <c r="M54" s="525"/>
      <c r="N54" s="514">
        <f t="shared" si="5"/>
        <v>0</v>
      </c>
      <c r="O54" s="514">
        <f t="shared" si="6"/>
        <v>0</v>
      </c>
      <c r="P54" s="272"/>
    </row>
    <row r="55" spans="2:16">
      <c r="B55" s="195" t="str">
        <f t="shared" si="3"/>
        <v/>
      </c>
      <c r="C55" s="507">
        <f>IF(D11="","-",+C54+1)</f>
        <v>2052</v>
      </c>
      <c r="D55" s="523">
        <f>IF(F54+SUM(E$17:E54)=D$10,F54,D$10-SUM(E$17:E54))</f>
        <v>729849.08978693746</v>
      </c>
      <c r="E55" s="522">
        <f t="shared" si="21"/>
        <v>120208.95454545454</v>
      </c>
      <c r="F55" s="523">
        <f t="shared" si="22"/>
        <v>609640.13524148287</v>
      </c>
      <c r="G55" s="524">
        <f t="shared" si="26"/>
        <v>200261.6070200215</v>
      </c>
      <c r="H55" s="491">
        <f t="shared" si="27"/>
        <v>200261.6070200215</v>
      </c>
      <c r="I55" s="511">
        <f t="shared" si="4"/>
        <v>0</v>
      </c>
      <c r="J55" s="511"/>
      <c r="K55" s="525"/>
      <c r="L55" s="514">
        <f t="shared" si="25"/>
        <v>0</v>
      </c>
      <c r="M55" s="525"/>
      <c r="N55" s="514">
        <f t="shared" si="5"/>
        <v>0</v>
      </c>
      <c r="O55" s="514">
        <f t="shared" si="6"/>
        <v>0</v>
      </c>
      <c r="P55" s="272"/>
    </row>
    <row r="56" spans="2:16">
      <c r="B56" s="195" t="str">
        <f t="shared" si="3"/>
        <v/>
      </c>
      <c r="C56" s="507">
        <f>IF(D11="","-",+C55+1)</f>
        <v>2053</v>
      </c>
      <c r="D56" s="523">
        <f>IF(F55+SUM(E$17:E55)=D$10,F55,D$10-SUM(E$17:E55))</f>
        <v>609640.13524148287</v>
      </c>
      <c r="E56" s="522">
        <f t="shared" si="21"/>
        <v>120208.95454545454</v>
      </c>
      <c r="F56" s="523">
        <f t="shared" si="22"/>
        <v>489431.18069602834</v>
      </c>
      <c r="G56" s="524">
        <f t="shared" si="26"/>
        <v>185893.37548407298</v>
      </c>
      <c r="H56" s="491">
        <f t="shared" si="27"/>
        <v>185893.37548407298</v>
      </c>
      <c r="I56" s="511">
        <f t="shared" si="4"/>
        <v>0</v>
      </c>
      <c r="J56" s="511"/>
      <c r="K56" s="525"/>
      <c r="L56" s="514">
        <f t="shared" si="25"/>
        <v>0</v>
      </c>
      <c r="M56" s="525"/>
      <c r="N56" s="514">
        <f t="shared" si="5"/>
        <v>0</v>
      </c>
      <c r="O56" s="514">
        <f t="shared" si="6"/>
        <v>0</v>
      </c>
      <c r="P56" s="272"/>
    </row>
    <row r="57" spans="2:16">
      <c r="B57" s="195" t="str">
        <f t="shared" si="3"/>
        <v/>
      </c>
      <c r="C57" s="507">
        <f>IF(D11="","-",+C56+1)</f>
        <v>2054</v>
      </c>
      <c r="D57" s="523">
        <f>IF(F56+SUM(E$17:E56)=D$10,F56,D$10-SUM(E$17:E56))</f>
        <v>489431.18069602834</v>
      </c>
      <c r="E57" s="522">
        <f t="shared" si="21"/>
        <v>120208.95454545454</v>
      </c>
      <c r="F57" s="523">
        <f t="shared" si="22"/>
        <v>369222.22615057381</v>
      </c>
      <c r="G57" s="524">
        <f t="shared" si="26"/>
        <v>171525.14394812449</v>
      </c>
      <c r="H57" s="491">
        <f t="shared" si="27"/>
        <v>171525.14394812449</v>
      </c>
      <c r="I57" s="511">
        <f t="shared" si="4"/>
        <v>0</v>
      </c>
      <c r="J57" s="511"/>
      <c r="K57" s="525"/>
      <c r="L57" s="514">
        <f t="shared" si="25"/>
        <v>0</v>
      </c>
      <c r="M57" s="525"/>
      <c r="N57" s="514">
        <f t="shared" si="5"/>
        <v>0</v>
      </c>
      <c r="O57" s="514">
        <f t="shared" si="6"/>
        <v>0</v>
      </c>
      <c r="P57" s="272"/>
    </row>
    <row r="58" spans="2:16">
      <c r="B58" s="195" t="str">
        <f t="shared" si="3"/>
        <v/>
      </c>
      <c r="C58" s="507">
        <f>IF(D11="","-",+C57+1)</f>
        <v>2055</v>
      </c>
      <c r="D58" s="523">
        <f>IF(F57+SUM(E$17:E57)=D$10,F57,D$10-SUM(E$17:E57))</f>
        <v>369222.22615057381</v>
      </c>
      <c r="E58" s="522">
        <f t="shared" si="21"/>
        <v>120208.95454545454</v>
      </c>
      <c r="F58" s="523">
        <f t="shared" si="22"/>
        <v>249013.27160511928</v>
      </c>
      <c r="G58" s="524">
        <f t="shared" si="26"/>
        <v>157156.91241217597</v>
      </c>
      <c r="H58" s="491">
        <f t="shared" si="27"/>
        <v>157156.91241217597</v>
      </c>
      <c r="I58" s="511">
        <f t="shared" si="4"/>
        <v>0</v>
      </c>
      <c r="J58" s="511"/>
      <c r="K58" s="525"/>
      <c r="L58" s="514">
        <f t="shared" si="25"/>
        <v>0</v>
      </c>
      <c r="M58" s="525"/>
      <c r="N58" s="514">
        <f t="shared" si="5"/>
        <v>0</v>
      </c>
      <c r="O58" s="514">
        <f t="shared" si="6"/>
        <v>0</v>
      </c>
      <c r="P58" s="272"/>
    </row>
    <row r="59" spans="2:16">
      <c r="B59" s="195" t="str">
        <f t="shared" si="3"/>
        <v/>
      </c>
      <c r="C59" s="507">
        <f>IF(D11="","-",+C58+1)</f>
        <v>2056</v>
      </c>
      <c r="D59" s="523">
        <f>IF(F58+SUM(E$17:E58)=D$10,F58,D$10-SUM(E$17:E58))</f>
        <v>249013.27160511928</v>
      </c>
      <c r="E59" s="522">
        <f t="shared" si="21"/>
        <v>120208.95454545454</v>
      </c>
      <c r="F59" s="523">
        <f t="shared" si="22"/>
        <v>128804.31705966474</v>
      </c>
      <c r="G59" s="524">
        <f t="shared" si="26"/>
        <v>142788.68087622747</v>
      </c>
      <c r="H59" s="491">
        <f t="shared" si="27"/>
        <v>142788.68087622747</v>
      </c>
      <c r="I59" s="511">
        <f t="shared" si="4"/>
        <v>0</v>
      </c>
      <c r="J59" s="511"/>
      <c r="K59" s="525"/>
      <c r="L59" s="514">
        <f t="shared" si="25"/>
        <v>0</v>
      </c>
      <c r="M59" s="525"/>
      <c r="N59" s="514">
        <f t="shared" si="5"/>
        <v>0</v>
      </c>
      <c r="O59" s="514">
        <f t="shared" si="6"/>
        <v>0</v>
      </c>
      <c r="P59" s="272"/>
    </row>
    <row r="60" spans="2:16">
      <c r="B60" s="195" t="str">
        <f t="shared" si="3"/>
        <v/>
      </c>
      <c r="C60" s="507">
        <f>IF(D11="","-",+C59+1)</f>
        <v>2057</v>
      </c>
      <c r="D60" s="523">
        <f>IF(F59+SUM(E$17:E59)=D$10,F59,D$10-SUM(E$17:E59))</f>
        <v>128804.31705966474</v>
      </c>
      <c r="E60" s="522">
        <f t="shared" si="21"/>
        <v>120208.95454545454</v>
      </c>
      <c r="F60" s="523">
        <f t="shared" si="22"/>
        <v>8595.3625142101955</v>
      </c>
      <c r="G60" s="524">
        <f t="shared" si="26"/>
        <v>128420.44934027897</v>
      </c>
      <c r="H60" s="491">
        <f t="shared" si="27"/>
        <v>128420.44934027897</v>
      </c>
      <c r="I60" s="511">
        <f t="shared" si="4"/>
        <v>0</v>
      </c>
      <c r="J60" s="511"/>
      <c r="K60" s="525"/>
      <c r="L60" s="514">
        <f t="shared" si="25"/>
        <v>0</v>
      </c>
      <c r="M60" s="525"/>
      <c r="N60" s="514">
        <f t="shared" si="5"/>
        <v>0</v>
      </c>
      <c r="O60" s="514">
        <f t="shared" si="6"/>
        <v>0</v>
      </c>
      <c r="P60" s="272"/>
    </row>
    <row r="61" spans="2:16">
      <c r="B61" s="195" t="str">
        <f t="shared" si="3"/>
        <v/>
      </c>
      <c r="C61" s="507">
        <f>IF(D11="","-",+C60+1)</f>
        <v>2058</v>
      </c>
      <c r="D61" s="523">
        <f>IF(F60+SUM(E$17:E60)=D$10,F60,D$10-SUM(E$17:E60))</f>
        <v>8595.3625142101955</v>
      </c>
      <c r="E61" s="522">
        <f t="shared" si="21"/>
        <v>8595.3625142101955</v>
      </c>
      <c r="F61" s="523">
        <f t="shared" si="22"/>
        <v>0</v>
      </c>
      <c r="G61" s="524">
        <f t="shared" si="26"/>
        <v>9109.0520276352763</v>
      </c>
      <c r="H61" s="491">
        <f t="shared" si="27"/>
        <v>9109.0520276352763</v>
      </c>
      <c r="I61" s="511">
        <f t="shared" si="4"/>
        <v>0</v>
      </c>
      <c r="J61" s="511"/>
      <c r="K61" s="525"/>
      <c r="L61" s="514">
        <f t="shared" si="25"/>
        <v>0</v>
      </c>
      <c r="M61" s="525"/>
      <c r="N61" s="514">
        <f t="shared" si="5"/>
        <v>0</v>
      </c>
      <c r="O61" s="514">
        <f t="shared" si="6"/>
        <v>0</v>
      </c>
      <c r="P61" s="272"/>
    </row>
    <row r="62" spans="2:16">
      <c r="B62" s="195" t="str">
        <f t="shared" si="3"/>
        <v/>
      </c>
      <c r="C62" s="507">
        <f>IF(D11="","-",+C61+1)</f>
        <v>2059</v>
      </c>
      <c r="D62" s="523">
        <f>IF(F61+SUM(E$17:E61)=D$10,F61,D$10-SUM(E$17:E61))</f>
        <v>0</v>
      </c>
      <c r="E62" s="522">
        <f t="shared" si="21"/>
        <v>0</v>
      </c>
      <c r="F62" s="523">
        <f t="shared" si="22"/>
        <v>0</v>
      </c>
      <c r="G62" s="524">
        <f t="shared" si="26"/>
        <v>0</v>
      </c>
      <c r="H62" s="491">
        <f t="shared" si="27"/>
        <v>0</v>
      </c>
      <c r="I62" s="511">
        <f t="shared" si="4"/>
        <v>0</v>
      </c>
      <c r="J62" s="511"/>
      <c r="K62" s="525"/>
      <c r="L62" s="514">
        <f t="shared" si="25"/>
        <v>0</v>
      </c>
      <c r="M62" s="525"/>
      <c r="N62" s="514">
        <f t="shared" si="5"/>
        <v>0</v>
      </c>
      <c r="O62" s="514">
        <f t="shared" si="6"/>
        <v>0</v>
      </c>
      <c r="P62" s="272"/>
    </row>
    <row r="63" spans="2:16">
      <c r="B63" s="195" t="str">
        <f t="shared" si="3"/>
        <v/>
      </c>
      <c r="C63" s="507">
        <f>IF(D11="","-",+C62+1)</f>
        <v>2060</v>
      </c>
      <c r="D63" s="523">
        <f>IF(F62+SUM(E$17:E62)=D$10,F62,D$10-SUM(E$17:E62))</f>
        <v>0</v>
      </c>
      <c r="E63" s="522">
        <f t="shared" si="21"/>
        <v>0</v>
      </c>
      <c r="F63" s="523">
        <f t="shared" si="22"/>
        <v>0</v>
      </c>
      <c r="G63" s="524">
        <f t="shared" si="26"/>
        <v>0</v>
      </c>
      <c r="H63" s="491">
        <f t="shared" si="27"/>
        <v>0</v>
      </c>
      <c r="I63" s="511">
        <f t="shared" si="4"/>
        <v>0</v>
      </c>
      <c r="J63" s="511"/>
      <c r="K63" s="525"/>
      <c r="L63" s="514">
        <f t="shared" si="25"/>
        <v>0</v>
      </c>
      <c r="M63" s="525"/>
      <c r="N63" s="514">
        <f t="shared" si="5"/>
        <v>0</v>
      </c>
      <c r="O63" s="514">
        <f t="shared" si="6"/>
        <v>0</v>
      </c>
      <c r="P63" s="272"/>
    </row>
    <row r="64" spans="2:16">
      <c r="B64" s="195" t="str">
        <f t="shared" si="3"/>
        <v/>
      </c>
      <c r="C64" s="507">
        <f>IF(D11="","-",+C63+1)</f>
        <v>2061</v>
      </c>
      <c r="D64" s="523">
        <f>IF(F63+SUM(E$17:E63)=D$10,F63,D$10-SUM(E$17:E63))</f>
        <v>0</v>
      </c>
      <c r="E64" s="522">
        <f t="shared" si="21"/>
        <v>0</v>
      </c>
      <c r="F64" s="523">
        <f t="shared" si="22"/>
        <v>0</v>
      </c>
      <c r="G64" s="524">
        <f t="shared" si="26"/>
        <v>0</v>
      </c>
      <c r="H64" s="491">
        <f t="shared" si="27"/>
        <v>0</v>
      </c>
      <c r="I64" s="511">
        <f t="shared" si="4"/>
        <v>0</v>
      </c>
      <c r="J64" s="511"/>
      <c r="K64" s="525"/>
      <c r="L64" s="514">
        <f t="shared" si="25"/>
        <v>0</v>
      </c>
      <c r="M64" s="525"/>
      <c r="N64" s="514">
        <f t="shared" si="5"/>
        <v>0</v>
      </c>
      <c r="O64" s="514">
        <f t="shared" si="6"/>
        <v>0</v>
      </c>
      <c r="P64" s="272"/>
    </row>
    <row r="65" spans="2:16">
      <c r="B65" s="195" t="str">
        <f t="shared" si="3"/>
        <v/>
      </c>
      <c r="C65" s="507">
        <f>IF(D11="","-",+C64+1)</f>
        <v>2062</v>
      </c>
      <c r="D65" s="523">
        <f>IF(F64+SUM(E$17:E64)=D$10,F64,D$10-SUM(E$17:E64))</f>
        <v>0</v>
      </c>
      <c r="E65" s="522">
        <f t="shared" si="21"/>
        <v>0</v>
      </c>
      <c r="F65" s="523">
        <f t="shared" si="22"/>
        <v>0</v>
      </c>
      <c r="G65" s="524">
        <f t="shared" si="26"/>
        <v>0</v>
      </c>
      <c r="H65" s="491">
        <f t="shared" si="27"/>
        <v>0</v>
      </c>
      <c r="I65" s="511">
        <f t="shared" si="4"/>
        <v>0</v>
      </c>
      <c r="J65" s="511"/>
      <c r="K65" s="525"/>
      <c r="L65" s="514">
        <f t="shared" si="25"/>
        <v>0</v>
      </c>
      <c r="M65" s="525"/>
      <c r="N65" s="514">
        <f t="shared" si="5"/>
        <v>0</v>
      </c>
      <c r="O65" s="514">
        <f t="shared" si="6"/>
        <v>0</v>
      </c>
      <c r="P65" s="272"/>
    </row>
    <row r="66" spans="2:16">
      <c r="B66" s="195" t="str">
        <f t="shared" si="3"/>
        <v/>
      </c>
      <c r="C66" s="507">
        <f>IF(D11="","-",+C65+1)</f>
        <v>2063</v>
      </c>
      <c r="D66" s="523">
        <f>IF(F65+SUM(E$17:E65)=D$10,F65,D$10-SUM(E$17:E65))</f>
        <v>0</v>
      </c>
      <c r="E66" s="522">
        <f t="shared" si="21"/>
        <v>0</v>
      </c>
      <c r="F66" s="523">
        <f t="shared" si="22"/>
        <v>0</v>
      </c>
      <c r="G66" s="524">
        <f t="shared" si="26"/>
        <v>0</v>
      </c>
      <c r="H66" s="491">
        <f t="shared" si="27"/>
        <v>0</v>
      </c>
      <c r="I66" s="511">
        <f t="shared" si="4"/>
        <v>0</v>
      </c>
      <c r="J66" s="511"/>
      <c r="K66" s="525"/>
      <c r="L66" s="514">
        <f t="shared" si="25"/>
        <v>0</v>
      </c>
      <c r="M66" s="525"/>
      <c r="N66" s="514">
        <f t="shared" si="5"/>
        <v>0</v>
      </c>
      <c r="O66" s="514">
        <f t="shared" si="6"/>
        <v>0</v>
      </c>
      <c r="P66" s="272"/>
    </row>
    <row r="67" spans="2:16">
      <c r="B67" s="195" t="str">
        <f t="shared" si="3"/>
        <v/>
      </c>
      <c r="C67" s="507">
        <f>IF(D11="","-",+C66+1)</f>
        <v>2064</v>
      </c>
      <c r="D67" s="523">
        <f>IF(F66+SUM(E$17:E66)=D$10,F66,D$10-SUM(E$17:E66))</f>
        <v>0</v>
      </c>
      <c r="E67" s="522">
        <f t="shared" si="21"/>
        <v>0</v>
      </c>
      <c r="F67" s="523">
        <f t="shared" si="22"/>
        <v>0</v>
      </c>
      <c r="G67" s="524">
        <f t="shared" si="26"/>
        <v>0</v>
      </c>
      <c r="H67" s="491">
        <f t="shared" si="27"/>
        <v>0</v>
      </c>
      <c r="I67" s="511">
        <f t="shared" si="4"/>
        <v>0</v>
      </c>
      <c r="J67" s="511"/>
      <c r="K67" s="525"/>
      <c r="L67" s="514">
        <f t="shared" si="25"/>
        <v>0</v>
      </c>
      <c r="M67" s="525"/>
      <c r="N67" s="514">
        <f t="shared" si="5"/>
        <v>0</v>
      </c>
      <c r="O67" s="514">
        <f t="shared" si="6"/>
        <v>0</v>
      </c>
      <c r="P67" s="272"/>
    </row>
    <row r="68" spans="2:16">
      <c r="B68" s="195" t="str">
        <f t="shared" si="3"/>
        <v/>
      </c>
      <c r="C68" s="507">
        <f>IF(D11="","-",+C67+1)</f>
        <v>2065</v>
      </c>
      <c r="D68" s="523">
        <f>IF(F67+SUM(E$17:E67)=D$10,F67,D$10-SUM(E$17:E67))</f>
        <v>0</v>
      </c>
      <c r="E68" s="522">
        <f t="shared" si="21"/>
        <v>0</v>
      </c>
      <c r="F68" s="523">
        <f t="shared" si="22"/>
        <v>0</v>
      </c>
      <c r="G68" s="524">
        <f t="shared" si="26"/>
        <v>0</v>
      </c>
      <c r="H68" s="491">
        <f t="shared" si="27"/>
        <v>0</v>
      </c>
      <c r="I68" s="511">
        <f t="shared" si="4"/>
        <v>0</v>
      </c>
      <c r="J68" s="511"/>
      <c r="K68" s="525"/>
      <c r="L68" s="514">
        <f t="shared" si="25"/>
        <v>0</v>
      </c>
      <c r="M68" s="525"/>
      <c r="N68" s="514">
        <f t="shared" si="5"/>
        <v>0</v>
      </c>
      <c r="O68" s="514">
        <f t="shared" si="6"/>
        <v>0</v>
      </c>
      <c r="P68" s="272"/>
    </row>
    <row r="69" spans="2:16">
      <c r="B69" s="195" t="str">
        <f t="shared" si="3"/>
        <v/>
      </c>
      <c r="C69" s="507">
        <f>IF(D11="","-",+C68+1)</f>
        <v>2066</v>
      </c>
      <c r="D69" s="523">
        <f>IF(F68+SUM(E$17:E68)=D$10,F68,D$10-SUM(E$17:E68))</f>
        <v>0</v>
      </c>
      <c r="E69" s="522">
        <f t="shared" si="21"/>
        <v>0</v>
      </c>
      <c r="F69" s="523">
        <f t="shared" si="22"/>
        <v>0</v>
      </c>
      <c r="G69" s="524">
        <f t="shared" si="26"/>
        <v>0</v>
      </c>
      <c r="H69" s="491">
        <f t="shared" si="27"/>
        <v>0</v>
      </c>
      <c r="I69" s="511">
        <f t="shared" si="4"/>
        <v>0</v>
      </c>
      <c r="J69" s="511"/>
      <c r="K69" s="525"/>
      <c r="L69" s="514">
        <f t="shared" si="25"/>
        <v>0</v>
      </c>
      <c r="M69" s="525"/>
      <c r="N69" s="514">
        <f t="shared" si="5"/>
        <v>0</v>
      </c>
      <c r="O69" s="514">
        <f t="shared" si="6"/>
        <v>0</v>
      </c>
      <c r="P69" s="272"/>
    </row>
    <row r="70" spans="2:16">
      <c r="B70" s="195" t="str">
        <f t="shared" si="3"/>
        <v/>
      </c>
      <c r="C70" s="507">
        <f>IF(D11="","-",+C69+1)</f>
        <v>2067</v>
      </c>
      <c r="D70" s="523">
        <f>IF(F69+SUM(E$17:E69)=D$10,F69,D$10-SUM(E$17:E69))</f>
        <v>0</v>
      </c>
      <c r="E70" s="522">
        <f t="shared" si="21"/>
        <v>0</v>
      </c>
      <c r="F70" s="523">
        <f t="shared" si="22"/>
        <v>0</v>
      </c>
      <c r="G70" s="524">
        <f t="shared" si="26"/>
        <v>0</v>
      </c>
      <c r="H70" s="491">
        <f t="shared" si="27"/>
        <v>0</v>
      </c>
      <c r="I70" s="511">
        <f t="shared" si="4"/>
        <v>0</v>
      </c>
      <c r="J70" s="511"/>
      <c r="K70" s="525"/>
      <c r="L70" s="514">
        <f t="shared" si="25"/>
        <v>0</v>
      </c>
      <c r="M70" s="525"/>
      <c r="N70" s="514">
        <f t="shared" si="5"/>
        <v>0</v>
      </c>
      <c r="O70" s="514">
        <f t="shared" si="6"/>
        <v>0</v>
      </c>
      <c r="P70" s="272"/>
    </row>
    <row r="71" spans="2:16">
      <c r="B71" s="195" t="str">
        <f t="shared" si="3"/>
        <v/>
      </c>
      <c r="C71" s="507">
        <f>IF(D11="","-",+C70+1)</f>
        <v>2068</v>
      </c>
      <c r="D71" s="523">
        <f>IF(F70+SUM(E$17:E70)=D$10,F70,D$10-SUM(E$17:E70))</f>
        <v>0</v>
      </c>
      <c r="E71" s="522">
        <f t="shared" si="21"/>
        <v>0</v>
      </c>
      <c r="F71" s="523">
        <f t="shared" si="22"/>
        <v>0</v>
      </c>
      <c r="G71" s="524">
        <f t="shared" si="26"/>
        <v>0</v>
      </c>
      <c r="H71" s="491">
        <f t="shared" si="27"/>
        <v>0</v>
      </c>
      <c r="I71" s="511">
        <f t="shared" si="4"/>
        <v>0</v>
      </c>
      <c r="J71" s="511"/>
      <c r="K71" s="525"/>
      <c r="L71" s="514">
        <f t="shared" si="25"/>
        <v>0</v>
      </c>
      <c r="M71" s="525"/>
      <c r="N71" s="514">
        <f t="shared" si="5"/>
        <v>0</v>
      </c>
      <c r="O71" s="514">
        <f t="shared" si="6"/>
        <v>0</v>
      </c>
      <c r="P71" s="272"/>
    </row>
    <row r="72" spans="2:16" ht="13.5" thickBot="1">
      <c r="B72" s="195" t="str">
        <f t="shared" si="3"/>
        <v/>
      </c>
      <c r="C72" s="527">
        <f>IF(D11="","-",+C71+1)</f>
        <v>2069</v>
      </c>
      <c r="D72" s="523">
        <f>IF(F71+SUM(E$17:E71)=D$10,F71,D$10-SUM(E$17:E71))</f>
        <v>0</v>
      </c>
      <c r="E72" s="522">
        <f t="shared" si="21"/>
        <v>0</v>
      </c>
      <c r="F72" s="523">
        <f t="shared" si="22"/>
        <v>0</v>
      </c>
      <c r="G72" s="524">
        <f t="shared" si="26"/>
        <v>0</v>
      </c>
      <c r="H72" s="491">
        <f t="shared" si="27"/>
        <v>0</v>
      </c>
      <c r="I72" s="511">
        <f t="shared" si="4"/>
        <v>0</v>
      </c>
      <c r="J72" s="511"/>
      <c r="K72" s="532"/>
      <c r="L72" s="533">
        <f t="shared" si="25"/>
        <v>0</v>
      </c>
      <c r="M72" s="532"/>
      <c r="N72" s="533">
        <f t="shared" si="5"/>
        <v>0</v>
      </c>
      <c r="O72" s="533">
        <f t="shared" si="6"/>
        <v>0</v>
      </c>
      <c r="P72" s="272"/>
    </row>
    <row r="73" spans="2:16">
      <c r="C73" s="374" t="s">
        <v>78</v>
      </c>
      <c r="D73" s="375"/>
      <c r="E73" s="375">
        <f>SUM(E17:E72)</f>
        <v>5289193.9999999963</v>
      </c>
      <c r="F73" s="375"/>
      <c r="G73" s="375">
        <f>SUM(G17:G72)</f>
        <v>19204095.735023543</v>
      </c>
      <c r="H73" s="375">
        <f>SUM(H17:H72)</f>
        <v>19204095.735023543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2:16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2:16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2:16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2:16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272"/>
      <c r="P77" s="272"/>
    </row>
    <row r="78" spans="2:16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2:16"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  <c r="O79" s="269"/>
      <c r="P79" s="269"/>
    </row>
    <row r="80" spans="2:16" ht="18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6">
      <c r="B81" s="269"/>
      <c r="C81" s="340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6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</row>
    <row r="83" spans="1:16" ht="20.25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451" t="str">
        <f ca="1">P1</f>
        <v>SWEPCO Project 42 of 75</v>
      </c>
    </row>
    <row r="84" spans="1:16" ht="18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538" t="s">
        <v>128</v>
      </c>
    </row>
    <row r="85" spans="1:16" ht="18.7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</row>
    <row r="86" spans="1:16" ht="15.75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2022</v>
      </c>
      <c r="M86" s="541" t="s">
        <v>9</v>
      </c>
      <c r="N86" s="542" t="s">
        <v>159</v>
      </c>
      <c r="O86" s="543" t="s">
        <v>11</v>
      </c>
      <c r="P86" s="269"/>
    </row>
    <row r="87" spans="1:16" ht="1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391</v>
      </c>
      <c r="M87" s="546">
        <f>IF(J92&lt;D11,0,VLOOKUP(J92,C17:O72,9))</f>
        <v>607711.1233156696</v>
      </c>
      <c r="N87" s="546">
        <f>IF(J92&lt;D11,0,VLOOKUP(J92,C17:O72,11))</f>
        <v>607711.1233156696</v>
      </c>
      <c r="O87" s="547">
        <f>+N87-M87</f>
        <v>0</v>
      </c>
      <c r="P87" s="269"/>
    </row>
    <row r="88" spans="1:16" ht="15.7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392</v>
      </c>
      <c r="M88" s="550">
        <f>IF(J92&lt;D11,0,VLOOKUP(J92,C99:P154,6))</f>
        <v>629182.99777593603</v>
      </c>
      <c r="N88" s="550">
        <f>IF(J92&lt;D11,0,VLOOKUP(J92,C99:P154,7))</f>
        <v>629182.99777593603</v>
      </c>
      <c r="O88" s="551">
        <f>+N88-M88</f>
        <v>0</v>
      </c>
      <c r="P88" s="269"/>
    </row>
    <row r="89" spans="1:16" ht="13.5" thickBot="1">
      <c r="C89" s="467" t="s">
        <v>84</v>
      </c>
      <c r="D89" s="552" t="str">
        <f>+D7</f>
        <v>Northwest Henderson to Poynter 69 kV Rebuild 3.2 miles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21471.874460266437</v>
      </c>
      <c r="N89" s="555">
        <f>+N88-N87</f>
        <v>21471.874460266437</v>
      </c>
      <c r="O89" s="556">
        <f>+O88-O87</f>
        <v>0</v>
      </c>
      <c r="P89" s="269"/>
    </row>
    <row r="90" spans="1:16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</row>
    <row r="91" spans="1:16" ht="13.5" thickBot="1">
      <c r="A91" s="191"/>
      <c r="C91" s="558" t="s">
        <v>85</v>
      </c>
      <c r="D91" s="559" t="str">
        <f>+D9</f>
        <v>TP2004031</v>
      </c>
      <c r="E91" s="560"/>
      <c r="F91" s="560"/>
      <c r="G91" s="560"/>
      <c r="H91" s="560"/>
      <c r="I91" s="560"/>
      <c r="J91" s="560"/>
      <c r="K91" s="562"/>
      <c r="P91" s="481"/>
    </row>
    <row r="92" spans="1:16">
      <c r="C92" s="486" t="s">
        <v>51</v>
      </c>
      <c r="D92" s="628">
        <v>5289194</v>
      </c>
      <c r="E92" s="340" t="s">
        <v>86</v>
      </c>
      <c r="H92" s="484"/>
      <c r="I92" s="484"/>
      <c r="J92" s="485">
        <f>+'SWE.WS.G.BPU.ATRR.True-up'!M16</f>
        <v>2022</v>
      </c>
      <c r="K92" s="480"/>
      <c r="L92" s="375" t="s">
        <v>87</v>
      </c>
      <c r="P92" s="272"/>
    </row>
    <row r="93" spans="1:16">
      <c r="C93" s="486" t="s">
        <v>54</v>
      </c>
      <c r="D93" s="563">
        <f>IF(D11=I10,"",D11)</f>
        <v>2014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</row>
    <row r="94" spans="1:16">
      <c r="C94" s="486" t="s">
        <v>56</v>
      </c>
      <c r="D94" s="564">
        <f>IF(D11=I10,"",D12)</f>
        <v>6</v>
      </c>
      <c r="E94" s="486" t="s">
        <v>57</v>
      </c>
      <c r="F94" s="484"/>
      <c r="G94" s="484"/>
      <c r="J94" s="490">
        <f>'SWE.WS.G.BPU.ATRR.True-up'!$F$81</f>
        <v>0.11351422637179906</v>
      </c>
      <c r="K94" s="425"/>
      <c r="L94" s="183" t="s">
        <v>88</v>
      </c>
      <c r="P94" s="272"/>
    </row>
    <row r="95" spans="1:16">
      <c r="C95" s="486" t="s">
        <v>59</v>
      </c>
      <c r="D95" s="488">
        <f>'SWE.WS.G.BPU.ATRR.True-up'!F$93</f>
        <v>41</v>
      </c>
      <c r="E95" s="486" t="s">
        <v>60</v>
      </c>
      <c r="F95" s="484"/>
      <c r="G95" s="484"/>
      <c r="J95" s="490">
        <f>IF(H87="",J94,'SWE.WS.G.BPU.ATRR.True-up'!$F$80)</f>
        <v>0.11351422637179906</v>
      </c>
      <c r="K95" s="324"/>
      <c r="L95" s="375" t="s">
        <v>61</v>
      </c>
      <c r="M95" s="324"/>
      <c r="N95" s="324"/>
      <c r="O95" s="324"/>
      <c r="P95" s="272"/>
    </row>
    <row r="96" spans="1:16" ht="13.5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129004.73170731707</v>
      </c>
      <c r="K96" s="375"/>
      <c r="L96" s="375"/>
      <c r="M96" s="375"/>
      <c r="N96" s="375"/>
      <c r="O96" s="375"/>
      <c r="P96" s="272"/>
    </row>
    <row r="97" spans="1:16" ht="38.25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388</v>
      </c>
      <c r="I97" s="495" t="s">
        <v>389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</row>
    <row r="98" spans="1:16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</row>
    <row r="99" spans="1:16">
      <c r="C99" s="507">
        <f>IF(D93= "","-",D93)</f>
        <v>2014</v>
      </c>
      <c r="D99" s="629">
        <v>0</v>
      </c>
      <c r="E99" s="630">
        <v>62966.595238095237</v>
      </c>
      <c r="F99" s="631">
        <v>5226227.4047619049</v>
      </c>
      <c r="G99" s="632">
        <v>2613113.7023809524</v>
      </c>
      <c r="H99" s="633">
        <v>418150</v>
      </c>
      <c r="I99" s="634">
        <v>418150</v>
      </c>
      <c r="J99" s="514">
        <f>+I99-H99</f>
        <v>0</v>
      </c>
      <c r="K99" s="514"/>
      <c r="L99" s="518">
        <f t="shared" ref="L99:L105" si="28">H99</f>
        <v>418150</v>
      </c>
      <c r="M99" s="519">
        <f t="shared" ref="M99:M105" si="29">IF(L99&lt;&gt;0,+H99-L99,0)</f>
        <v>0</v>
      </c>
      <c r="N99" s="518">
        <f t="shared" ref="N99:N105" si="30">I99</f>
        <v>418150</v>
      </c>
      <c r="O99" s="514">
        <f>IF(N99&lt;&gt;0,+I99-N99,0)</f>
        <v>0</v>
      </c>
      <c r="P99" s="514">
        <f>+O99-M99</f>
        <v>0</v>
      </c>
    </row>
    <row r="100" spans="1:16">
      <c r="B100" s="195" t="str">
        <f>IF(D100=F99,"","IU")</f>
        <v/>
      </c>
      <c r="C100" s="507">
        <f>IF(D93="","-",+C99+1)</f>
        <v>2015</v>
      </c>
      <c r="D100" s="629">
        <v>5226227.4047619049</v>
      </c>
      <c r="E100" s="630">
        <v>125933.19047619047</v>
      </c>
      <c r="F100" s="631">
        <v>5100294.2142857146</v>
      </c>
      <c r="G100" s="631">
        <v>5163260.8095238097</v>
      </c>
      <c r="H100" s="633">
        <v>806290.27352306223</v>
      </c>
      <c r="I100" s="634">
        <v>806290.27352306223</v>
      </c>
      <c r="J100" s="514">
        <f>+I100-H100</f>
        <v>0</v>
      </c>
      <c r="K100" s="514"/>
      <c r="L100" s="518">
        <f t="shared" si="28"/>
        <v>806290.27352306223</v>
      </c>
      <c r="M100" s="519">
        <f t="shared" si="29"/>
        <v>0</v>
      </c>
      <c r="N100" s="518">
        <f t="shared" si="30"/>
        <v>806290.27352306223</v>
      </c>
      <c r="O100" s="514">
        <f>IF(N100&lt;&gt;0,+I100-N100,0)</f>
        <v>0</v>
      </c>
      <c r="P100" s="514">
        <f>+O100-M100</f>
        <v>0</v>
      </c>
    </row>
    <row r="101" spans="1:16">
      <c r="B101" s="195" t="str">
        <f t="shared" ref="B101:B154" si="31">IF(D101=F100,"","IU")</f>
        <v/>
      </c>
      <c r="C101" s="507">
        <f>IF(D93="","-",+C100+1)</f>
        <v>2016</v>
      </c>
      <c r="D101" s="629">
        <v>5100294.2142857146</v>
      </c>
      <c r="E101" s="630">
        <v>123004.51162790698</v>
      </c>
      <c r="F101" s="631">
        <v>4977289.7026578076</v>
      </c>
      <c r="G101" s="631">
        <v>5038791.9584717611</v>
      </c>
      <c r="H101" s="633">
        <v>762679.09174338926</v>
      </c>
      <c r="I101" s="634">
        <v>762679.09174338926</v>
      </c>
      <c r="J101" s="514">
        <f t="shared" ref="J101:J154" si="32">+I101-H101</f>
        <v>0</v>
      </c>
      <c r="K101" s="514"/>
      <c r="L101" s="518">
        <f t="shared" si="28"/>
        <v>762679.09174338926</v>
      </c>
      <c r="M101" s="519">
        <f t="shared" si="29"/>
        <v>0</v>
      </c>
      <c r="N101" s="518">
        <f t="shared" si="30"/>
        <v>762679.09174338926</v>
      </c>
      <c r="O101" s="514">
        <f>IF(N101&lt;&gt;0,+I101-N101,0)</f>
        <v>0</v>
      </c>
      <c r="P101" s="514">
        <f>+O101-M101</f>
        <v>0</v>
      </c>
    </row>
    <row r="102" spans="1:16">
      <c r="B102" s="195" t="str">
        <f t="shared" si="31"/>
        <v/>
      </c>
      <c r="C102" s="507">
        <f>IF(D93="","-",+C101+1)</f>
        <v>2017</v>
      </c>
      <c r="D102" s="629">
        <v>4977289.7026578076</v>
      </c>
      <c r="E102" s="630">
        <v>125933.19047619047</v>
      </c>
      <c r="F102" s="631">
        <v>4851356.5121816173</v>
      </c>
      <c r="G102" s="631">
        <v>4914323.1074197125</v>
      </c>
      <c r="H102" s="633">
        <v>722883.18186453939</v>
      </c>
      <c r="I102" s="634">
        <v>722883.18186453939</v>
      </c>
      <c r="J102" s="514">
        <f t="shared" si="32"/>
        <v>0</v>
      </c>
      <c r="K102" s="514"/>
      <c r="L102" s="518">
        <f t="shared" si="28"/>
        <v>722883.18186453939</v>
      </c>
      <c r="M102" s="519">
        <f t="shared" si="29"/>
        <v>0</v>
      </c>
      <c r="N102" s="518">
        <f t="shared" si="30"/>
        <v>722883.18186453939</v>
      </c>
      <c r="O102" s="514">
        <f>IF(N102&lt;&gt;0,+I102-N102,0)</f>
        <v>0</v>
      </c>
      <c r="P102" s="514">
        <f>+O102-M102</f>
        <v>0</v>
      </c>
    </row>
    <row r="103" spans="1:16">
      <c r="B103" s="195" t="str">
        <f t="shared" si="31"/>
        <v/>
      </c>
      <c r="C103" s="507">
        <f>IF(D93="","-",+C102+1)</f>
        <v>2018</v>
      </c>
      <c r="D103" s="629">
        <v>4851356.5121816173</v>
      </c>
      <c r="E103" s="630">
        <v>125933.19047619047</v>
      </c>
      <c r="F103" s="631">
        <v>4725423.321705427</v>
      </c>
      <c r="G103" s="631">
        <v>4788389.9169435222</v>
      </c>
      <c r="H103" s="633">
        <v>631609.12439866643</v>
      </c>
      <c r="I103" s="634">
        <v>631609.12439866643</v>
      </c>
      <c r="J103" s="514">
        <f t="shared" si="32"/>
        <v>0</v>
      </c>
      <c r="K103" s="514"/>
      <c r="L103" s="518">
        <f t="shared" si="28"/>
        <v>631609.12439866643</v>
      </c>
      <c r="M103" s="519">
        <f t="shared" si="29"/>
        <v>0</v>
      </c>
      <c r="N103" s="518">
        <f t="shared" si="30"/>
        <v>631609.12439866643</v>
      </c>
      <c r="O103" s="514">
        <f t="shared" ref="O103:O130" si="33">IF(N103&lt;&gt;0,+I103-N103,0)</f>
        <v>0</v>
      </c>
      <c r="P103" s="514">
        <f t="shared" ref="P103:P130" si="34">+O103-M103</f>
        <v>0</v>
      </c>
    </row>
    <row r="104" spans="1:16">
      <c r="B104" s="195" t="str">
        <f t="shared" si="31"/>
        <v/>
      </c>
      <c r="C104" s="507">
        <f>IF(D93="","-",+C103+1)</f>
        <v>2019</v>
      </c>
      <c r="D104" s="629">
        <v>4725423.321705427</v>
      </c>
      <c r="E104" s="630">
        <v>123004.51162790698</v>
      </c>
      <c r="F104" s="631">
        <v>4602418.8100775201</v>
      </c>
      <c r="G104" s="631">
        <v>4663921.0658914736</v>
      </c>
      <c r="H104" s="633">
        <v>622233.17154996516</v>
      </c>
      <c r="I104" s="634">
        <v>622233.17154996516</v>
      </c>
      <c r="J104" s="514">
        <f t="shared" si="32"/>
        <v>0</v>
      </c>
      <c r="K104" s="514"/>
      <c r="L104" s="518">
        <f t="shared" si="28"/>
        <v>622233.17154996516</v>
      </c>
      <c r="M104" s="519">
        <f t="shared" si="29"/>
        <v>0</v>
      </c>
      <c r="N104" s="518">
        <f t="shared" si="30"/>
        <v>622233.17154996516</v>
      </c>
      <c r="O104" s="514">
        <f t="shared" si="33"/>
        <v>0</v>
      </c>
      <c r="P104" s="514">
        <f t="shared" si="34"/>
        <v>0</v>
      </c>
    </row>
    <row r="105" spans="1:16">
      <c r="B105" s="195" t="str">
        <f t="shared" si="31"/>
        <v/>
      </c>
      <c r="C105" s="507">
        <f>IF(D93="","-",+C104+1)</f>
        <v>2020</v>
      </c>
      <c r="D105" s="629">
        <v>4602418.8100775201</v>
      </c>
      <c r="E105" s="630">
        <v>125933.19047619047</v>
      </c>
      <c r="F105" s="631">
        <v>4476485.6196013298</v>
      </c>
      <c r="G105" s="631">
        <v>4539452.2148394249</v>
      </c>
      <c r="H105" s="633">
        <v>614259.46268042875</v>
      </c>
      <c r="I105" s="634">
        <v>614259.46268042875</v>
      </c>
      <c r="J105" s="514">
        <f t="shared" si="32"/>
        <v>0</v>
      </c>
      <c r="K105" s="514"/>
      <c r="L105" s="518">
        <f t="shared" si="28"/>
        <v>614259.46268042875</v>
      </c>
      <c r="M105" s="519">
        <f t="shared" si="29"/>
        <v>0</v>
      </c>
      <c r="N105" s="518">
        <f t="shared" si="30"/>
        <v>614259.46268042875</v>
      </c>
      <c r="O105" s="514">
        <f t="shared" si="33"/>
        <v>0</v>
      </c>
      <c r="P105" s="514">
        <f t="shared" si="34"/>
        <v>0</v>
      </c>
    </row>
    <row r="106" spans="1:16">
      <c r="B106" s="195" t="str">
        <f t="shared" si="31"/>
        <v/>
      </c>
      <c r="C106" s="507">
        <f>IF(D93="","-",+C105+1)</f>
        <v>2021</v>
      </c>
      <c r="D106" s="629">
        <v>4476485.6196013298</v>
      </c>
      <c r="E106" s="630">
        <v>129004.73170731707</v>
      </c>
      <c r="F106" s="631">
        <v>4347480.887894013</v>
      </c>
      <c r="G106" s="631">
        <v>4411983.2537476718</v>
      </c>
      <c r="H106" s="633">
        <v>629827.59752181685</v>
      </c>
      <c r="I106" s="634">
        <v>629827.59752181685</v>
      </c>
      <c r="J106" s="514">
        <f t="shared" si="32"/>
        <v>0</v>
      </c>
      <c r="K106" s="514"/>
      <c r="L106" s="518">
        <f t="shared" ref="L106" si="35">H106</f>
        <v>629827.59752181685</v>
      </c>
      <c r="M106" s="519">
        <f t="shared" ref="M106" si="36">IF(L106&lt;&gt;0,+H106-L106,0)</f>
        <v>0</v>
      </c>
      <c r="N106" s="518">
        <f t="shared" ref="N106" si="37">I106</f>
        <v>629827.59752181685</v>
      </c>
      <c r="O106" s="514">
        <f t="shared" ref="O106" si="38">IF(N106&lt;&gt;0,+I106-N106,0)</f>
        <v>0</v>
      </c>
      <c r="P106" s="514">
        <f t="shared" ref="P106" si="39">+O106-M106</f>
        <v>0</v>
      </c>
    </row>
    <row r="107" spans="1:16">
      <c r="B107" s="195" t="str">
        <f t="shared" si="31"/>
        <v/>
      </c>
      <c r="C107" s="673">
        <f>IF(D93="","-",+C106+1)</f>
        <v>2022</v>
      </c>
      <c r="D107" s="374">
        <v>4347480.887894013</v>
      </c>
      <c r="E107" s="522">
        <v>125933.19047619047</v>
      </c>
      <c r="F107" s="523">
        <v>4221547.6974178227</v>
      </c>
      <c r="G107" s="523">
        <v>4284514.2926559178</v>
      </c>
      <c r="H107" s="526">
        <v>629182.99777593603</v>
      </c>
      <c r="I107" s="577">
        <v>629182.99777593603</v>
      </c>
      <c r="J107" s="514">
        <f t="shared" si="32"/>
        <v>0</v>
      </c>
      <c r="K107" s="514"/>
      <c r="L107" s="525"/>
      <c r="M107" s="514">
        <f t="shared" ref="M107:M130" si="40">IF(L107&lt;&gt;0,+H107-L107,0)</f>
        <v>0</v>
      </c>
      <c r="N107" s="525"/>
      <c r="O107" s="514">
        <f t="shared" si="33"/>
        <v>0</v>
      </c>
      <c r="P107" s="514">
        <f t="shared" si="34"/>
        <v>0</v>
      </c>
    </row>
    <row r="108" spans="1:16">
      <c r="B108" s="195" t="str">
        <f t="shared" si="31"/>
        <v/>
      </c>
      <c r="C108" s="507">
        <f>IF(D93="","-",+C107+1)</f>
        <v>2023</v>
      </c>
      <c r="D108" s="374">
        <f>IF(F107+SUM(E$99:E107)=D$92,F107,D$92-SUM(E$99:E107))</f>
        <v>4221547.6974178227</v>
      </c>
      <c r="E108" s="522">
        <f t="shared" ref="E108:E154" si="41">IF(+$J$96&lt;F107,$J$96,D108)</f>
        <v>129004.73170731707</v>
      </c>
      <c r="F108" s="523">
        <f t="shared" ref="F108:F154" si="42">+D108-E108</f>
        <v>4092542.9657105054</v>
      </c>
      <c r="G108" s="523">
        <f t="shared" ref="G108:G154" si="43">+(F108+D108)/2</f>
        <v>4157045.3315641638</v>
      </c>
      <c r="H108" s="526">
        <f t="shared" ref="H108:H154" si="44">+J$94*G108+E108</f>
        <v>600888.51651232201</v>
      </c>
      <c r="I108" s="577">
        <f t="shared" ref="I108:I154" si="45">+J$95*G108+E108</f>
        <v>600888.51651232201</v>
      </c>
      <c r="J108" s="514">
        <f t="shared" si="32"/>
        <v>0</v>
      </c>
      <c r="K108" s="514"/>
      <c r="L108" s="525"/>
      <c r="M108" s="514">
        <f t="shared" si="40"/>
        <v>0</v>
      </c>
      <c r="N108" s="525"/>
      <c r="O108" s="514">
        <f t="shared" si="33"/>
        <v>0</v>
      </c>
      <c r="P108" s="514">
        <f t="shared" si="34"/>
        <v>0</v>
      </c>
    </row>
    <row r="109" spans="1:16">
      <c r="B109" s="195" t="str">
        <f t="shared" si="31"/>
        <v/>
      </c>
      <c r="C109" s="507">
        <f>IF(D93="","-",+C108+1)</f>
        <v>2024</v>
      </c>
      <c r="D109" s="374">
        <f>IF(F108+SUM(E$99:E108)=D$92,F108,D$92-SUM(E$99:E108))</f>
        <v>4092542.9657105054</v>
      </c>
      <c r="E109" s="522">
        <f t="shared" si="41"/>
        <v>129004.73170731707</v>
      </c>
      <c r="F109" s="523">
        <f t="shared" si="42"/>
        <v>3963538.2340031881</v>
      </c>
      <c r="G109" s="523">
        <f t="shared" si="43"/>
        <v>4028040.599856847</v>
      </c>
      <c r="H109" s="526">
        <f t="shared" si="44"/>
        <v>586244.64419426443</v>
      </c>
      <c r="I109" s="577">
        <f t="shared" si="45"/>
        <v>586244.64419426443</v>
      </c>
      <c r="J109" s="514">
        <f t="shared" si="32"/>
        <v>0</v>
      </c>
      <c r="K109" s="514"/>
      <c r="L109" s="525"/>
      <c r="M109" s="514">
        <f t="shared" si="40"/>
        <v>0</v>
      </c>
      <c r="N109" s="525"/>
      <c r="O109" s="514">
        <f t="shared" si="33"/>
        <v>0</v>
      </c>
      <c r="P109" s="514">
        <f t="shared" si="34"/>
        <v>0</v>
      </c>
    </row>
    <row r="110" spans="1:16">
      <c r="B110" s="195" t="str">
        <f t="shared" si="31"/>
        <v/>
      </c>
      <c r="C110" s="507">
        <f>IF(D93="","-",+C109+1)</f>
        <v>2025</v>
      </c>
      <c r="D110" s="374">
        <f>IF(F109+SUM(E$99:E109)=D$92,F109,D$92-SUM(E$99:E109))</f>
        <v>3963538.2340031881</v>
      </c>
      <c r="E110" s="522">
        <f t="shared" si="41"/>
        <v>129004.73170731707</v>
      </c>
      <c r="F110" s="523">
        <f t="shared" si="42"/>
        <v>3834533.5022958708</v>
      </c>
      <c r="G110" s="523">
        <f t="shared" si="43"/>
        <v>3899035.8681495292</v>
      </c>
      <c r="H110" s="526">
        <f t="shared" si="44"/>
        <v>571600.77187620685</v>
      </c>
      <c r="I110" s="577">
        <f t="shared" si="45"/>
        <v>571600.77187620685</v>
      </c>
      <c r="J110" s="514">
        <f t="shared" si="32"/>
        <v>0</v>
      </c>
      <c r="K110" s="514"/>
      <c r="L110" s="525"/>
      <c r="M110" s="514">
        <f t="shared" si="40"/>
        <v>0</v>
      </c>
      <c r="N110" s="525"/>
      <c r="O110" s="514">
        <f t="shared" si="33"/>
        <v>0</v>
      </c>
      <c r="P110" s="514">
        <f t="shared" si="34"/>
        <v>0</v>
      </c>
    </row>
    <row r="111" spans="1:16">
      <c r="B111" s="195" t="str">
        <f t="shared" si="31"/>
        <v/>
      </c>
      <c r="C111" s="507">
        <f>IF(D93="","-",+C110+1)</f>
        <v>2026</v>
      </c>
      <c r="D111" s="374">
        <f>IF(F110+SUM(E$99:E110)=D$92,F110,D$92-SUM(E$99:E110))</f>
        <v>3834533.5022958708</v>
      </c>
      <c r="E111" s="522">
        <f t="shared" si="41"/>
        <v>129004.73170731707</v>
      </c>
      <c r="F111" s="523">
        <f t="shared" si="42"/>
        <v>3705528.7705885535</v>
      </c>
      <c r="G111" s="523">
        <f t="shared" si="43"/>
        <v>3770031.1364422124</v>
      </c>
      <c r="H111" s="526">
        <f t="shared" si="44"/>
        <v>556956.89955814928</v>
      </c>
      <c r="I111" s="577">
        <f t="shared" si="45"/>
        <v>556956.89955814928</v>
      </c>
      <c r="J111" s="514">
        <f t="shared" si="32"/>
        <v>0</v>
      </c>
      <c r="K111" s="514"/>
      <c r="L111" s="525"/>
      <c r="M111" s="514">
        <f t="shared" si="40"/>
        <v>0</v>
      </c>
      <c r="N111" s="525"/>
      <c r="O111" s="514">
        <f t="shared" si="33"/>
        <v>0</v>
      </c>
      <c r="P111" s="514">
        <f t="shared" si="34"/>
        <v>0</v>
      </c>
    </row>
    <row r="112" spans="1:16">
      <c r="B112" s="195" t="str">
        <f t="shared" si="31"/>
        <v/>
      </c>
      <c r="C112" s="507">
        <f>IF(D93="","-",+C111+1)</f>
        <v>2027</v>
      </c>
      <c r="D112" s="374">
        <f>IF(F111+SUM(E$99:E111)=D$92,F111,D$92-SUM(E$99:E111))</f>
        <v>3705528.7705885535</v>
      </c>
      <c r="E112" s="522">
        <f t="shared" si="41"/>
        <v>129004.73170731707</v>
      </c>
      <c r="F112" s="523">
        <f t="shared" si="42"/>
        <v>3576524.0388812362</v>
      </c>
      <c r="G112" s="523">
        <f t="shared" si="43"/>
        <v>3641026.4047348946</v>
      </c>
      <c r="H112" s="526">
        <f t="shared" si="44"/>
        <v>542313.02724009159</v>
      </c>
      <c r="I112" s="577">
        <f t="shared" si="45"/>
        <v>542313.02724009159</v>
      </c>
      <c r="J112" s="514">
        <f t="shared" si="32"/>
        <v>0</v>
      </c>
      <c r="K112" s="514"/>
      <c r="L112" s="525"/>
      <c r="M112" s="514">
        <f t="shared" si="40"/>
        <v>0</v>
      </c>
      <c r="N112" s="525"/>
      <c r="O112" s="514">
        <f t="shared" si="33"/>
        <v>0</v>
      </c>
      <c r="P112" s="514">
        <f t="shared" si="34"/>
        <v>0</v>
      </c>
    </row>
    <row r="113" spans="2:16">
      <c r="B113" s="195" t="str">
        <f t="shared" si="31"/>
        <v/>
      </c>
      <c r="C113" s="507">
        <f>IF(D93="","-",+C112+1)</f>
        <v>2028</v>
      </c>
      <c r="D113" s="374">
        <f>IF(F112+SUM(E$99:E112)=D$92,F112,D$92-SUM(E$99:E112))</f>
        <v>3576524.0388812362</v>
      </c>
      <c r="E113" s="522">
        <f t="shared" si="41"/>
        <v>129004.73170731707</v>
      </c>
      <c r="F113" s="523">
        <f t="shared" si="42"/>
        <v>3447519.3071739189</v>
      </c>
      <c r="G113" s="523">
        <f t="shared" si="43"/>
        <v>3512021.6730275778</v>
      </c>
      <c r="H113" s="526">
        <f t="shared" si="44"/>
        <v>527669.15492203401</v>
      </c>
      <c r="I113" s="577">
        <f t="shared" si="45"/>
        <v>527669.15492203401</v>
      </c>
      <c r="J113" s="514">
        <f t="shared" si="32"/>
        <v>0</v>
      </c>
      <c r="K113" s="514"/>
      <c r="L113" s="525"/>
      <c r="M113" s="514">
        <f t="shared" si="40"/>
        <v>0</v>
      </c>
      <c r="N113" s="525"/>
      <c r="O113" s="514">
        <f t="shared" si="33"/>
        <v>0</v>
      </c>
      <c r="P113" s="514">
        <f t="shared" si="34"/>
        <v>0</v>
      </c>
    </row>
    <row r="114" spans="2:16">
      <c r="B114" s="195" t="str">
        <f t="shared" si="31"/>
        <v/>
      </c>
      <c r="C114" s="507">
        <f>IF(D93="","-",+C113+1)</f>
        <v>2029</v>
      </c>
      <c r="D114" s="374">
        <f>IF(F113+SUM(E$99:E113)=D$92,F113,D$92-SUM(E$99:E113))</f>
        <v>3447519.3071739189</v>
      </c>
      <c r="E114" s="522">
        <f t="shared" si="41"/>
        <v>129004.73170731707</v>
      </c>
      <c r="F114" s="523">
        <f t="shared" si="42"/>
        <v>3318514.5754666016</v>
      </c>
      <c r="G114" s="523">
        <f t="shared" si="43"/>
        <v>3383016.9413202601</v>
      </c>
      <c r="H114" s="526">
        <f t="shared" si="44"/>
        <v>513025.28260397632</v>
      </c>
      <c r="I114" s="577">
        <f t="shared" si="45"/>
        <v>513025.28260397632</v>
      </c>
      <c r="J114" s="514">
        <f t="shared" si="32"/>
        <v>0</v>
      </c>
      <c r="K114" s="514"/>
      <c r="L114" s="525"/>
      <c r="M114" s="514">
        <f t="shared" si="40"/>
        <v>0</v>
      </c>
      <c r="N114" s="525"/>
      <c r="O114" s="514">
        <f t="shared" si="33"/>
        <v>0</v>
      </c>
      <c r="P114" s="514">
        <f t="shared" si="34"/>
        <v>0</v>
      </c>
    </row>
    <row r="115" spans="2:16">
      <c r="B115" s="195" t="str">
        <f t="shared" si="31"/>
        <v/>
      </c>
      <c r="C115" s="507">
        <f>IF(D93="","-",+C114+1)</f>
        <v>2030</v>
      </c>
      <c r="D115" s="374">
        <f>IF(F114+SUM(E$99:E114)=D$92,F114,D$92-SUM(E$99:E114))</f>
        <v>3318514.5754666016</v>
      </c>
      <c r="E115" s="522">
        <f t="shared" si="41"/>
        <v>129004.73170731707</v>
      </c>
      <c r="F115" s="523">
        <f t="shared" si="42"/>
        <v>3189509.8437592844</v>
      </c>
      <c r="G115" s="523">
        <f t="shared" si="43"/>
        <v>3254012.2096129432</v>
      </c>
      <c r="H115" s="526">
        <f t="shared" si="44"/>
        <v>498381.41028591874</v>
      </c>
      <c r="I115" s="577">
        <f t="shared" si="45"/>
        <v>498381.41028591874</v>
      </c>
      <c r="J115" s="514">
        <f t="shared" si="32"/>
        <v>0</v>
      </c>
      <c r="K115" s="514"/>
      <c r="L115" s="525"/>
      <c r="M115" s="514">
        <f t="shared" si="40"/>
        <v>0</v>
      </c>
      <c r="N115" s="525"/>
      <c r="O115" s="514">
        <f t="shared" si="33"/>
        <v>0</v>
      </c>
      <c r="P115" s="514">
        <f t="shared" si="34"/>
        <v>0</v>
      </c>
    </row>
    <row r="116" spans="2:16">
      <c r="B116" s="195" t="str">
        <f t="shared" si="31"/>
        <v/>
      </c>
      <c r="C116" s="507">
        <f>IF(D93="","-",+C115+1)</f>
        <v>2031</v>
      </c>
      <c r="D116" s="374">
        <f>IF(F115+SUM(E$99:E115)=D$92,F115,D$92-SUM(E$99:E115))</f>
        <v>3189509.8437592844</v>
      </c>
      <c r="E116" s="522">
        <f t="shared" si="41"/>
        <v>129004.73170731707</v>
      </c>
      <c r="F116" s="523">
        <f t="shared" si="42"/>
        <v>3060505.1120519671</v>
      </c>
      <c r="G116" s="523">
        <f t="shared" si="43"/>
        <v>3125007.4779056255</v>
      </c>
      <c r="H116" s="526">
        <f t="shared" si="44"/>
        <v>483737.53796786105</v>
      </c>
      <c r="I116" s="577">
        <f t="shared" si="45"/>
        <v>483737.53796786105</v>
      </c>
      <c r="J116" s="514">
        <f t="shared" si="32"/>
        <v>0</v>
      </c>
      <c r="K116" s="514"/>
      <c r="L116" s="525"/>
      <c r="M116" s="514">
        <f t="shared" si="40"/>
        <v>0</v>
      </c>
      <c r="N116" s="525"/>
      <c r="O116" s="514">
        <f t="shared" si="33"/>
        <v>0</v>
      </c>
      <c r="P116" s="514">
        <f t="shared" si="34"/>
        <v>0</v>
      </c>
    </row>
    <row r="117" spans="2:16">
      <c r="B117" s="195" t="str">
        <f t="shared" si="31"/>
        <v/>
      </c>
      <c r="C117" s="507">
        <f>IF(D93="","-",+C116+1)</f>
        <v>2032</v>
      </c>
      <c r="D117" s="374">
        <f>IF(F116+SUM(E$99:E116)=D$92,F116,D$92-SUM(E$99:E116))</f>
        <v>3060505.1120519671</v>
      </c>
      <c r="E117" s="522">
        <f t="shared" si="41"/>
        <v>129004.73170731707</v>
      </c>
      <c r="F117" s="523">
        <f t="shared" si="42"/>
        <v>2931500.3803446498</v>
      </c>
      <c r="G117" s="523">
        <f t="shared" si="43"/>
        <v>2996002.7461983087</v>
      </c>
      <c r="H117" s="526">
        <f t="shared" si="44"/>
        <v>469093.66564980353</v>
      </c>
      <c r="I117" s="577">
        <f t="shared" si="45"/>
        <v>469093.66564980353</v>
      </c>
      <c r="J117" s="514">
        <f t="shared" si="32"/>
        <v>0</v>
      </c>
      <c r="K117" s="514"/>
      <c r="L117" s="525"/>
      <c r="M117" s="514">
        <f t="shared" si="40"/>
        <v>0</v>
      </c>
      <c r="N117" s="525"/>
      <c r="O117" s="514">
        <f t="shared" si="33"/>
        <v>0</v>
      </c>
      <c r="P117" s="514">
        <f t="shared" si="34"/>
        <v>0</v>
      </c>
    </row>
    <row r="118" spans="2:16">
      <c r="B118" s="195" t="str">
        <f t="shared" si="31"/>
        <v/>
      </c>
      <c r="C118" s="507">
        <f>IF(D93="","-",+C117+1)</f>
        <v>2033</v>
      </c>
      <c r="D118" s="374">
        <f>IF(F117+SUM(E$99:E117)=D$92,F117,D$92-SUM(E$99:E117))</f>
        <v>2931500.3803446498</v>
      </c>
      <c r="E118" s="522">
        <f t="shared" si="41"/>
        <v>129004.73170731707</v>
      </c>
      <c r="F118" s="523">
        <f t="shared" si="42"/>
        <v>2802495.6486373325</v>
      </c>
      <c r="G118" s="523">
        <f t="shared" si="43"/>
        <v>2866998.0144909909</v>
      </c>
      <c r="H118" s="526">
        <f t="shared" si="44"/>
        <v>454449.79333174584</v>
      </c>
      <c r="I118" s="577">
        <f t="shared" si="45"/>
        <v>454449.79333174584</v>
      </c>
      <c r="J118" s="514">
        <f t="shared" si="32"/>
        <v>0</v>
      </c>
      <c r="K118" s="514"/>
      <c r="L118" s="525"/>
      <c r="M118" s="514">
        <f t="shared" si="40"/>
        <v>0</v>
      </c>
      <c r="N118" s="525"/>
      <c r="O118" s="514">
        <f t="shared" si="33"/>
        <v>0</v>
      </c>
      <c r="P118" s="514">
        <f t="shared" si="34"/>
        <v>0</v>
      </c>
    </row>
    <row r="119" spans="2:16">
      <c r="B119" s="195" t="str">
        <f t="shared" si="31"/>
        <v/>
      </c>
      <c r="C119" s="507">
        <f>IF(D93="","-",+C118+1)</f>
        <v>2034</v>
      </c>
      <c r="D119" s="374">
        <f>IF(F118+SUM(E$99:E118)=D$92,F118,D$92-SUM(E$99:E118))</f>
        <v>2802495.6486373325</v>
      </c>
      <c r="E119" s="522">
        <f t="shared" si="41"/>
        <v>129004.73170731707</v>
      </c>
      <c r="F119" s="523">
        <f t="shared" si="42"/>
        <v>2673490.9169300152</v>
      </c>
      <c r="G119" s="523">
        <f t="shared" si="43"/>
        <v>2737993.2827836741</v>
      </c>
      <c r="H119" s="526">
        <f t="shared" si="44"/>
        <v>439805.92101368826</v>
      </c>
      <c r="I119" s="577">
        <f t="shared" si="45"/>
        <v>439805.92101368826</v>
      </c>
      <c r="J119" s="514">
        <f t="shared" si="32"/>
        <v>0</v>
      </c>
      <c r="K119" s="514"/>
      <c r="L119" s="525"/>
      <c r="M119" s="514">
        <f t="shared" si="40"/>
        <v>0</v>
      </c>
      <c r="N119" s="525"/>
      <c r="O119" s="514">
        <f t="shared" si="33"/>
        <v>0</v>
      </c>
      <c r="P119" s="514">
        <f t="shared" si="34"/>
        <v>0</v>
      </c>
    </row>
    <row r="120" spans="2:16">
      <c r="B120" s="195" t="str">
        <f t="shared" si="31"/>
        <v/>
      </c>
      <c r="C120" s="507">
        <f>IF(D93="","-",+C119+1)</f>
        <v>2035</v>
      </c>
      <c r="D120" s="374">
        <f>IF(F119+SUM(E$99:E119)=D$92,F119,D$92-SUM(E$99:E119))</f>
        <v>2673490.9169300152</v>
      </c>
      <c r="E120" s="522">
        <f t="shared" si="41"/>
        <v>129004.73170731707</v>
      </c>
      <c r="F120" s="523">
        <f t="shared" si="42"/>
        <v>2544486.1852226979</v>
      </c>
      <c r="G120" s="523">
        <f t="shared" si="43"/>
        <v>2608988.5510763563</v>
      </c>
      <c r="H120" s="526">
        <f t="shared" si="44"/>
        <v>425162.04869563063</v>
      </c>
      <c r="I120" s="577">
        <f t="shared" si="45"/>
        <v>425162.04869563063</v>
      </c>
      <c r="J120" s="514">
        <f t="shared" si="32"/>
        <v>0</v>
      </c>
      <c r="K120" s="514"/>
      <c r="L120" s="525"/>
      <c r="M120" s="514">
        <f t="shared" si="40"/>
        <v>0</v>
      </c>
      <c r="N120" s="525"/>
      <c r="O120" s="514">
        <f t="shared" si="33"/>
        <v>0</v>
      </c>
      <c r="P120" s="514">
        <f t="shared" si="34"/>
        <v>0</v>
      </c>
    </row>
    <row r="121" spans="2:16">
      <c r="B121" s="195" t="str">
        <f t="shared" si="31"/>
        <v/>
      </c>
      <c r="C121" s="507">
        <f>IF(D93="","-",+C120+1)</f>
        <v>2036</v>
      </c>
      <c r="D121" s="374">
        <f>IF(F120+SUM(E$99:E120)=D$92,F120,D$92-SUM(E$99:E120))</f>
        <v>2544486.1852226979</v>
      </c>
      <c r="E121" s="522">
        <f t="shared" si="41"/>
        <v>129004.73170731707</v>
      </c>
      <c r="F121" s="523">
        <f t="shared" si="42"/>
        <v>2415481.4535153806</v>
      </c>
      <c r="G121" s="523">
        <f t="shared" si="43"/>
        <v>2479983.8193690395</v>
      </c>
      <c r="H121" s="526">
        <f t="shared" si="44"/>
        <v>410518.17637757305</v>
      </c>
      <c r="I121" s="577">
        <f t="shared" si="45"/>
        <v>410518.17637757305</v>
      </c>
      <c r="J121" s="514">
        <f t="shared" si="32"/>
        <v>0</v>
      </c>
      <c r="K121" s="514"/>
      <c r="L121" s="525"/>
      <c r="M121" s="514">
        <f t="shared" si="40"/>
        <v>0</v>
      </c>
      <c r="N121" s="525"/>
      <c r="O121" s="514">
        <f t="shared" si="33"/>
        <v>0</v>
      </c>
      <c r="P121" s="514">
        <f t="shared" si="34"/>
        <v>0</v>
      </c>
    </row>
    <row r="122" spans="2:16">
      <c r="B122" s="195" t="str">
        <f t="shared" si="31"/>
        <v/>
      </c>
      <c r="C122" s="507">
        <f>IF(D93="","-",+C121+1)</f>
        <v>2037</v>
      </c>
      <c r="D122" s="374">
        <f>IF(F121+SUM(E$99:E121)=D$92,F121,D$92-SUM(E$99:E121))</f>
        <v>2415481.4535153806</v>
      </c>
      <c r="E122" s="522">
        <f t="shared" si="41"/>
        <v>129004.73170731707</v>
      </c>
      <c r="F122" s="523">
        <f t="shared" si="42"/>
        <v>2286476.7218080633</v>
      </c>
      <c r="G122" s="523">
        <f t="shared" si="43"/>
        <v>2350979.0876617217</v>
      </c>
      <c r="H122" s="526">
        <f t="shared" si="44"/>
        <v>395874.30405951536</v>
      </c>
      <c r="I122" s="577">
        <f t="shared" si="45"/>
        <v>395874.30405951536</v>
      </c>
      <c r="J122" s="514">
        <f t="shared" si="32"/>
        <v>0</v>
      </c>
      <c r="K122" s="514"/>
      <c r="L122" s="525"/>
      <c r="M122" s="514">
        <f t="shared" si="40"/>
        <v>0</v>
      </c>
      <c r="N122" s="525"/>
      <c r="O122" s="514">
        <f t="shared" si="33"/>
        <v>0</v>
      </c>
      <c r="P122" s="514">
        <f t="shared" si="34"/>
        <v>0</v>
      </c>
    </row>
    <row r="123" spans="2:16">
      <c r="B123" s="195" t="str">
        <f t="shared" si="31"/>
        <v/>
      </c>
      <c r="C123" s="507">
        <f>IF(D93="","-",+C122+1)</f>
        <v>2038</v>
      </c>
      <c r="D123" s="374">
        <f>IF(F122+SUM(E$99:E122)=D$92,F122,D$92-SUM(E$99:E122))</f>
        <v>2286476.7218080633</v>
      </c>
      <c r="E123" s="522">
        <f t="shared" si="41"/>
        <v>129004.73170731707</v>
      </c>
      <c r="F123" s="523">
        <f t="shared" si="42"/>
        <v>2157471.990100746</v>
      </c>
      <c r="G123" s="523">
        <f t="shared" si="43"/>
        <v>2221974.3559544049</v>
      </c>
      <c r="H123" s="526">
        <f t="shared" si="44"/>
        <v>381230.43174145784</v>
      </c>
      <c r="I123" s="577">
        <f t="shared" si="45"/>
        <v>381230.43174145784</v>
      </c>
      <c r="J123" s="514">
        <f t="shared" si="32"/>
        <v>0</v>
      </c>
      <c r="K123" s="514"/>
      <c r="L123" s="525"/>
      <c r="M123" s="514">
        <f t="shared" si="40"/>
        <v>0</v>
      </c>
      <c r="N123" s="525"/>
      <c r="O123" s="514">
        <f t="shared" si="33"/>
        <v>0</v>
      </c>
      <c r="P123" s="514">
        <f t="shared" si="34"/>
        <v>0</v>
      </c>
    </row>
    <row r="124" spans="2:16">
      <c r="B124" s="195" t="str">
        <f t="shared" si="31"/>
        <v/>
      </c>
      <c r="C124" s="507">
        <f>IF(D93="","-",+C123+1)</f>
        <v>2039</v>
      </c>
      <c r="D124" s="374">
        <f>IF(F123+SUM(E$99:E123)=D$92,F123,D$92-SUM(E$99:E123))</f>
        <v>2157471.990100746</v>
      </c>
      <c r="E124" s="522">
        <f t="shared" si="41"/>
        <v>129004.73170731707</v>
      </c>
      <c r="F124" s="523">
        <f t="shared" si="42"/>
        <v>2028467.258393429</v>
      </c>
      <c r="G124" s="523">
        <f t="shared" si="43"/>
        <v>2092969.6242470876</v>
      </c>
      <c r="H124" s="526">
        <f t="shared" si="44"/>
        <v>366586.55942340021</v>
      </c>
      <c r="I124" s="577">
        <f t="shared" si="45"/>
        <v>366586.55942340021</v>
      </c>
      <c r="J124" s="514">
        <f t="shared" si="32"/>
        <v>0</v>
      </c>
      <c r="K124" s="514"/>
      <c r="L124" s="525"/>
      <c r="M124" s="514">
        <f t="shared" si="40"/>
        <v>0</v>
      </c>
      <c r="N124" s="525"/>
      <c r="O124" s="514">
        <f t="shared" si="33"/>
        <v>0</v>
      </c>
      <c r="P124" s="514">
        <f t="shared" si="34"/>
        <v>0</v>
      </c>
    </row>
    <row r="125" spans="2:16">
      <c r="B125" s="195" t="str">
        <f t="shared" si="31"/>
        <v/>
      </c>
      <c r="C125" s="507">
        <f>IF(D93="","-",+C124+1)</f>
        <v>2040</v>
      </c>
      <c r="D125" s="374">
        <f>IF(F124+SUM(E$99:E124)=D$92,F124,D$92-SUM(E$99:E124))</f>
        <v>2028467.258393429</v>
      </c>
      <c r="E125" s="522">
        <f t="shared" si="41"/>
        <v>129004.73170731707</v>
      </c>
      <c r="F125" s="523">
        <f t="shared" si="42"/>
        <v>1899462.5266861119</v>
      </c>
      <c r="G125" s="523">
        <f t="shared" si="43"/>
        <v>1963964.8925397703</v>
      </c>
      <c r="H125" s="526">
        <f t="shared" si="44"/>
        <v>351942.68710534257</v>
      </c>
      <c r="I125" s="577">
        <f t="shared" si="45"/>
        <v>351942.68710534257</v>
      </c>
      <c r="J125" s="514">
        <f t="shared" si="32"/>
        <v>0</v>
      </c>
      <c r="K125" s="514"/>
      <c r="L125" s="525"/>
      <c r="M125" s="514">
        <f t="shared" si="40"/>
        <v>0</v>
      </c>
      <c r="N125" s="525"/>
      <c r="O125" s="514">
        <f t="shared" si="33"/>
        <v>0</v>
      </c>
      <c r="P125" s="514">
        <f t="shared" si="34"/>
        <v>0</v>
      </c>
    </row>
    <row r="126" spans="2:16">
      <c r="B126" s="195" t="str">
        <f t="shared" si="31"/>
        <v/>
      </c>
      <c r="C126" s="507">
        <f>IF(D93="","-",+C125+1)</f>
        <v>2041</v>
      </c>
      <c r="D126" s="374">
        <f>IF(F125+SUM(E$99:E125)=D$92,F125,D$92-SUM(E$99:E125))</f>
        <v>1899462.5266861119</v>
      </c>
      <c r="E126" s="522">
        <f t="shared" si="41"/>
        <v>129004.73170731707</v>
      </c>
      <c r="F126" s="523">
        <f t="shared" si="42"/>
        <v>1770457.7949787949</v>
      </c>
      <c r="G126" s="523">
        <f t="shared" si="43"/>
        <v>1834960.1608324535</v>
      </c>
      <c r="H126" s="526">
        <f t="shared" si="44"/>
        <v>337298.81478728499</v>
      </c>
      <c r="I126" s="577">
        <f t="shared" si="45"/>
        <v>337298.81478728499</v>
      </c>
      <c r="J126" s="514">
        <f t="shared" si="32"/>
        <v>0</v>
      </c>
      <c r="K126" s="514"/>
      <c r="L126" s="525"/>
      <c r="M126" s="514">
        <f t="shared" si="40"/>
        <v>0</v>
      </c>
      <c r="N126" s="525"/>
      <c r="O126" s="514">
        <f t="shared" si="33"/>
        <v>0</v>
      </c>
      <c r="P126" s="514">
        <f t="shared" si="34"/>
        <v>0</v>
      </c>
    </row>
    <row r="127" spans="2:16">
      <c r="B127" s="195" t="str">
        <f t="shared" si="31"/>
        <v/>
      </c>
      <c r="C127" s="507">
        <f>IF(D93="","-",+C126+1)</f>
        <v>2042</v>
      </c>
      <c r="D127" s="374">
        <f>IF(F126+SUM(E$99:E126)=D$92,F126,D$92-SUM(E$99:E126))</f>
        <v>1770457.7949787949</v>
      </c>
      <c r="E127" s="522">
        <f t="shared" si="41"/>
        <v>129004.73170731707</v>
      </c>
      <c r="F127" s="523">
        <f t="shared" si="42"/>
        <v>1641453.0632714778</v>
      </c>
      <c r="G127" s="523">
        <f t="shared" si="43"/>
        <v>1705955.4291251362</v>
      </c>
      <c r="H127" s="526">
        <f t="shared" si="44"/>
        <v>322654.94246922742</v>
      </c>
      <c r="I127" s="577">
        <f t="shared" si="45"/>
        <v>322654.94246922742</v>
      </c>
      <c r="J127" s="514">
        <f t="shared" si="32"/>
        <v>0</v>
      </c>
      <c r="K127" s="514"/>
      <c r="L127" s="525"/>
      <c r="M127" s="514">
        <f t="shared" si="40"/>
        <v>0</v>
      </c>
      <c r="N127" s="525"/>
      <c r="O127" s="514">
        <f t="shared" si="33"/>
        <v>0</v>
      </c>
      <c r="P127" s="514">
        <f t="shared" si="34"/>
        <v>0</v>
      </c>
    </row>
    <row r="128" spans="2:16">
      <c r="B128" s="195" t="str">
        <f t="shared" si="31"/>
        <v/>
      </c>
      <c r="C128" s="507">
        <f>IF(D93="","-",+C127+1)</f>
        <v>2043</v>
      </c>
      <c r="D128" s="374">
        <f>IF(F127+SUM(E$99:E127)=D$92,F127,D$92-SUM(E$99:E127))</f>
        <v>1641453.0632714778</v>
      </c>
      <c r="E128" s="522">
        <f t="shared" si="41"/>
        <v>129004.73170731707</v>
      </c>
      <c r="F128" s="523">
        <f t="shared" si="42"/>
        <v>1512448.3315641608</v>
      </c>
      <c r="G128" s="523">
        <f t="shared" si="43"/>
        <v>1576950.6974178194</v>
      </c>
      <c r="H128" s="526">
        <f t="shared" si="44"/>
        <v>308011.07015116984</v>
      </c>
      <c r="I128" s="577">
        <f t="shared" si="45"/>
        <v>308011.07015116984</v>
      </c>
      <c r="J128" s="514">
        <f t="shared" si="32"/>
        <v>0</v>
      </c>
      <c r="K128" s="514"/>
      <c r="L128" s="525"/>
      <c r="M128" s="514">
        <f t="shared" si="40"/>
        <v>0</v>
      </c>
      <c r="N128" s="525"/>
      <c r="O128" s="514">
        <f t="shared" si="33"/>
        <v>0</v>
      </c>
      <c r="P128" s="514">
        <f t="shared" si="34"/>
        <v>0</v>
      </c>
    </row>
    <row r="129" spans="2:16">
      <c r="B129" s="195" t="str">
        <f t="shared" si="31"/>
        <v/>
      </c>
      <c r="C129" s="507">
        <f>IF(D93="","-",+C128+1)</f>
        <v>2044</v>
      </c>
      <c r="D129" s="374">
        <f>IF(F128+SUM(E$99:E128)=D$92,F128,D$92-SUM(E$99:E128))</f>
        <v>1512448.3315641608</v>
      </c>
      <c r="E129" s="522">
        <f t="shared" si="41"/>
        <v>129004.73170731707</v>
      </c>
      <c r="F129" s="523">
        <f t="shared" si="42"/>
        <v>1383443.5998568437</v>
      </c>
      <c r="G129" s="523">
        <f t="shared" si="43"/>
        <v>1447945.9657105021</v>
      </c>
      <c r="H129" s="526">
        <f t="shared" si="44"/>
        <v>293367.19783311221</v>
      </c>
      <c r="I129" s="577">
        <f t="shared" si="45"/>
        <v>293367.19783311221</v>
      </c>
      <c r="J129" s="514">
        <f t="shared" si="32"/>
        <v>0</v>
      </c>
      <c r="K129" s="514"/>
      <c r="L129" s="525"/>
      <c r="M129" s="514">
        <f t="shared" si="40"/>
        <v>0</v>
      </c>
      <c r="N129" s="525"/>
      <c r="O129" s="514">
        <f t="shared" si="33"/>
        <v>0</v>
      </c>
      <c r="P129" s="514">
        <f t="shared" si="34"/>
        <v>0</v>
      </c>
    </row>
    <row r="130" spans="2:16">
      <c r="B130" s="195" t="str">
        <f t="shared" si="31"/>
        <v/>
      </c>
      <c r="C130" s="507">
        <f>IF(D93="","-",+C129+1)</f>
        <v>2045</v>
      </c>
      <c r="D130" s="374">
        <f>IF(F129+SUM(E$99:E129)=D$92,F129,D$92-SUM(E$99:E129))</f>
        <v>1383443.5998568437</v>
      </c>
      <c r="E130" s="522">
        <f t="shared" si="41"/>
        <v>129004.73170731707</v>
      </c>
      <c r="F130" s="523">
        <f t="shared" si="42"/>
        <v>1254438.8681495267</v>
      </c>
      <c r="G130" s="523">
        <f t="shared" si="43"/>
        <v>1318941.2340031853</v>
      </c>
      <c r="H130" s="526">
        <f t="shared" si="44"/>
        <v>278723.32551505463</v>
      </c>
      <c r="I130" s="577">
        <f t="shared" si="45"/>
        <v>278723.32551505463</v>
      </c>
      <c r="J130" s="514">
        <f t="shared" si="32"/>
        <v>0</v>
      </c>
      <c r="K130" s="514"/>
      <c r="L130" s="525"/>
      <c r="M130" s="514">
        <f t="shared" si="40"/>
        <v>0</v>
      </c>
      <c r="N130" s="525"/>
      <c r="O130" s="514">
        <f t="shared" si="33"/>
        <v>0</v>
      </c>
      <c r="P130" s="514">
        <f t="shared" si="34"/>
        <v>0</v>
      </c>
    </row>
    <row r="131" spans="2:16">
      <c r="B131" s="195" t="str">
        <f t="shared" si="31"/>
        <v/>
      </c>
      <c r="C131" s="507">
        <f>IF(D93="","-",+C130+1)</f>
        <v>2046</v>
      </c>
      <c r="D131" s="374">
        <f>IF(F130+SUM(E$99:E130)=D$92,F130,D$92-SUM(E$99:E130))</f>
        <v>1254438.8681495267</v>
      </c>
      <c r="E131" s="522">
        <f t="shared" si="41"/>
        <v>129004.73170731707</v>
      </c>
      <c r="F131" s="523">
        <f t="shared" si="42"/>
        <v>1125434.1364422096</v>
      </c>
      <c r="G131" s="523">
        <f t="shared" si="43"/>
        <v>1189936.502295868</v>
      </c>
      <c r="H131" s="526">
        <f t="shared" si="44"/>
        <v>264079.453196997</v>
      </c>
      <c r="I131" s="577">
        <f t="shared" si="45"/>
        <v>264079.453196997</v>
      </c>
      <c r="J131" s="514">
        <f t="shared" si="32"/>
        <v>0</v>
      </c>
      <c r="K131" s="514"/>
      <c r="L131" s="525"/>
      <c r="M131" s="514">
        <f t="shared" ref="M131:M154" si="46">IF(L541&lt;&gt;0,+H541-L541,0)</f>
        <v>0</v>
      </c>
      <c r="N131" s="525"/>
      <c r="O131" s="514">
        <f t="shared" ref="O131:O154" si="47">IF(N541&lt;&gt;0,+I541-N541,0)</f>
        <v>0</v>
      </c>
      <c r="P131" s="514">
        <f t="shared" ref="P131:P154" si="48">+O541-M541</f>
        <v>0</v>
      </c>
    </row>
    <row r="132" spans="2:16">
      <c r="B132" s="195" t="str">
        <f t="shared" si="31"/>
        <v/>
      </c>
      <c r="C132" s="507">
        <f>IF(D93="","-",+C131+1)</f>
        <v>2047</v>
      </c>
      <c r="D132" s="374">
        <f>IF(F131+SUM(E$99:E131)=D$92,F131,D$92-SUM(E$99:E131))</f>
        <v>1125434.1364422096</v>
      </c>
      <c r="E132" s="522">
        <f t="shared" si="41"/>
        <v>129004.73170731707</v>
      </c>
      <c r="F132" s="523">
        <f t="shared" si="42"/>
        <v>996429.40473489254</v>
      </c>
      <c r="G132" s="523">
        <f t="shared" si="43"/>
        <v>1060931.7705885512</v>
      </c>
      <c r="H132" s="526">
        <f t="shared" si="44"/>
        <v>249435.58087893945</v>
      </c>
      <c r="I132" s="577">
        <f t="shared" si="45"/>
        <v>249435.58087893945</v>
      </c>
      <c r="J132" s="514">
        <f t="shared" si="32"/>
        <v>0</v>
      </c>
      <c r="K132" s="514"/>
      <c r="L132" s="525"/>
      <c r="M132" s="514">
        <f t="shared" si="46"/>
        <v>0</v>
      </c>
      <c r="N132" s="525"/>
      <c r="O132" s="514">
        <f t="shared" si="47"/>
        <v>0</v>
      </c>
      <c r="P132" s="514">
        <f t="shared" si="48"/>
        <v>0</v>
      </c>
    </row>
    <row r="133" spans="2:16">
      <c r="B133" s="195" t="str">
        <f t="shared" si="31"/>
        <v/>
      </c>
      <c r="C133" s="507">
        <f>IF(D93="","-",+C132+1)</f>
        <v>2048</v>
      </c>
      <c r="D133" s="374">
        <f>IF(F132+SUM(E$99:E132)=D$92,F132,D$92-SUM(E$99:E132))</f>
        <v>996429.40473489254</v>
      </c>
      <c r="E133" s="522">
        <f t="shared" si="41"/>
        <v>129004.73170731707</v>
      </c>
      <c r="F133" s="523">
        <f t="shared" si="42"/>
        <v>867424.67302757548</v>
      </c>
      <c r="G133" s="523">
        <f t="shared" si="43"/>
        <v>931927.03888123401</v>
      </c>
      <c r="H133" s="526">
        <f t="shared" si="44"/>
        <v>234791.70856088185</v>
      </c>
      <c r="I133" s="577">
        <f t="shared" si="45"/>
        <v>234791.70856088185</v>
      </c>
      <c r="J133" s="514">
        <f t="shared" si="32"/>
        <v>0</v>
      </c>
      <c r="K133" s="514"/>
      <c r="L133" s="525"/>
      <c r="M133" s="514">
        <f t="shared" si="46"/>
        <v>0</v>
      </c>
      <c r="N133" s="525"/>
      <c r="O133" s="514">
        <f t="shared" si="47"/>
        <v>0</v>
      </c>
      <c r="P133" s="514">
        <f t="shared" si="48"/>
        <v>0</v>
      </c>
    </row>
    <row r="134" spans="2:16">
      <c r="B134" s="195" t="str">
        <f t="shared" si="31"/>
        <v/>
      </c>
      <c r="C134" s="507">
        <f>IF(D93="","-",+C133+1)</f>
        <v>2049</v>
      </c>
      <c r="D134" s="374">
        <f>IF(F133+SUM(E$99:E133)=D$92,F133,D$92-SUM(E$99:E133))</f>
        <v>867424.67302757548</v>
      </c>
      <c r="E134" s="522">
        <f t="shared" si="41"/>
        <v>129004.73170731707</v>
      </c>
      <c r="F134" s="523">
        <f t="shared" si="42"/>
        <v>738419.94132025843</v>
      </c>
      <c r="G134" s="523">
        <f t="shared" si="43"/>
        <v>802922.30717391695</v>
      </c>
      <c r="H134" s="526">
        <f t="shared" si="44"/>
        <v>220147.83624282427</v>
      </c>
      <c r="I134" s="577">
        <f t="shared" si="45"/>
        <v>220147.83624282427</v>
      </c>
      <c r="J134" s="514">
        <f t="shared" si="32"/>
        <v>0</v>
      </c>
      <c r="K134" s="514"/>
      <c r="L134" s="525"/>
      <c r="M134" s="514">
        <f t="shared" si="46"/>
        <v>0</v>
      </c>
      <c r="N134" s="525"/>
      <c r="O134" s="514">
        <f t="shared" si="47"/>
        <v>0</v>
      </c>
      <c r="P134" s="514">
        <f t="shared" si="48"/>
        <v>0</v>
      </c>
    </row>
    <row r="135" spans="2:16">
      <c r="B135" s="195" t="str">
        <f t="shared" si="31"/>
        <v/>
      </c>
      <c r="C135" s="507">
        <f>IF(D93="","-",+C134+1)</f>
        <v>2050</v>
      </c>
      <c r="D135" s="374">
        <f>IF(F134+SUM(E$99:E134)=D$92,F134,D$92-SUM(E$99:E134))</f>
        <v>738419.94132025843</v>
      </c>
      <c r="E135" s="522">
        <f t="shared" si="41"/>
        <v>129004.73170731707</v>
      </c>
      <c r="F135" s="523">
        <f t="shared" si="42"/>
        <v>609415.20961294137</v>
      </c>
      <c r="G135" s="523">
        <f t="shared" si="43"/>
        <v>673917.5754665999</v>
      </c>
      <c r="H135" s="526">
        <f t="shared" si="44"/>
        <v>205503.96392476666</v>
      </c>
      <c r="I135" s="577">
        <f t="shared" si="45"/>
        <v>205503.96392476666</v>
      </c>
      <c r="J135" s="514">
        <f t="shared" si="32"/>
        <v>0</v>
      </c>
      <c r="K135" s="514"/>
      <c r="L135" s="525"/>
      <c r="M135" s="514">
        <f t="shared" si="46"/>
        <v>0</v>
      </c>
      <c r="N135" s="525"/>
      <c r="O135" s="514">
        <f t="shared" si="47"/>
        <v>0</v>
      </c>
      <c r="P135" s="514">
        <f t="shared" si="48"/>
        <v>0</v>
      </c>
    </row>
    <row r="136" spans="2:16">
      <c r="B136" s="195" t="str">
        <f t="shared" si="31"/>
        <v/>
      </c>
      <c r="C136" s="507">
        <f>IF(D93="","-",+C135+1)</f>
        <v>2051</v>
      </c>
      <c r="D136" s="374">
        <f>IF(F135+SUM(E$99:E135)=D$92,F135,D$92-SUM(E$99:E135))</f>
        <v>609415.20961294137</v>
      </c>
      <c r="E136" s="522">
        <f t="shared" si="41"/>
        <v>129004.73170731707</v>
      </c>
      <c r="F136" s="523">
        <f t="shared" si="42"/>
        <v>480410.47790562431</v>
      </c>
      <c r="G136" s="523">
        <f t="shared" si="43"/>
        <v>544912.84375928284</v>
      </c>
      <c r="H136" s="526">
        <f t="shared" si="44"/>
        <v>190860.09160670906</v>
      </c>
      <c r="I136" s="577">
        <f t="shared" si="45"/>
        <v>190860.09160670906</v>
      </c>
      <c r="J136" s="514">
        <f t="shared" si="32"/>
        <v>0</v>
      </c>
      <c r="K136" s="514"/>
      <c r="L136" s="525"/>
      <c r="M136" s="514">
        <f t="shared" si="46"/>
        <v>0</v>
      </c>
      <c r="N136" s="525"/>
      <c r="O136" s="514">
        <f t="shared" si="47"/>
        <v>0</v>
      </c>
      <c r="P136" s="514">
        <f t="shared" si="48"/>
        <v>0</v>
      </c>
    </row>
    <row r="137" spans="2:16">
      <c r="B137" s="195" t="str">
        <f t="shared" si="31"/>
        <v/>
      </c>
      <c r="C137" s="507">
        <f>IF(D93="","-",+C136+1)</f>
        <v>2052</v>
      </c>
      <c r="D137" s="374">
        <f>IF(F136+SUM(E$99:E136)=D$92,F136,D$92-SUM(E$99:E136))</f>
        <v>480410.47790562431</v>
      </c>
      <c r="E137" s="522">
        <f t="shared" si="41"/>
        <v>129004.73170731707</v>
      </c>
      <c r="F137" s="523">
        <f t="shared" si="42"/>
        <v>351405.74619830726</v>
      </c>
      <c r="G137" s="523">
        <f t="shared" si="43"/>
        <v>415908.11205196579</v>
      </c>
      <c r="H137" s="526">
        <f t="shared" si="44"/>
        <v>176216.21928865148</v>
      </c>
      <c r="I137" s="577">
        <f t="shared" si="45"/>
        <v>176216.21928865148</v>
      </c>
      <c r="J137" s="514">
        <f t="shared" si="32"/>
        <v>0</v>
      </c>
      <c r="K137" s="514"/>
      <c r="L137" s="525"/>
      <c r="M137" s="514">
        <f t="shared" si="46"/>
        <v>0</v>
      </c>
      <c r="N137" s="525"/>
      <c r="O137" s="514">
        <f t="shared" si="47"/>
        <v>0</v>
      </c>
      <c r="P137" s="514">
        <f t="shared" si="48"/>
        <v>0</v>
      </c>
    </row>
    <row r="138" spans="2:16">
      <c r="B138" s="195" t="str">
        <f t="shared" si="31"/>
        <v/>
      </c>
      <c r="C138" s="507">
        <f>IF(D93="","-",+C137+1)</f>
        <v>2053</v>
      </c>
      <c r="D138" s="374">
        <f>IF(F137+SUM(E$99:E137)=D$92,F137,D$92-SUM(E$99:E137))</f>
        <v>351405.74619830726</v>
      </c>
      <c r="E138" s="522">
        <f t="shared" si="41"/>
        <v>129004.73170731707</v>
      </c>
      <c r="F138" s="523">
        <f t="shared" si="42"/>
        <v>222401.0144909902</v>
      </c>
      <c r="G138" s="523">
        <f t="shared" si="43"/>
        <v>286903.38034464873</v>
      </c>
      <c r="H138" s="526">
        <f t="shared" si="44"/>
        <v>161572.34697059391</v>
      </c>
      <c r="I138" s="577">
        <f t="shared" si="45"/>
        <v>161572.34697059391</v>
      </c>
      <c r="J138" s="514">
        <f t="shared" si="32"/>
        <v>0</v>
      </c>
      <c r="K138" s="514"/>
      <c r="L138" s="525"/>
      <c r="M138" s="514">
        <f t="shared" si="46"/>
        <v>0</v>
      </c>
      <c r="N138" s="525"/>
      <c r="O138" s="514">
        <f t="shared" si="47"/>
        <v>0</v>
      </c>
      <c r="P138" s="514">
        <f t="shared" si="48"/>
        <v>0</v>
      </c>
    </row>
    <row r="139" spans="2:16">
      <c r="B139" s="195" t="str">
        <f t="shared" si="31"/>
        <v/>
      </c>
      <c r="C139" s="507">
        <f>IF(D93="","-",+C138+1)</f>
        <v>2054</v>
      </c>
      <c r="D139" s="374">
        <f>IF(F138+SUM(E$99:E138)=D$92,F138,D$92-SUM(E$99:E138))</f>
        <v>222401.0144909902</v>
      </c>
      <c r="E139" s="522">
        <f t="shared" si="41"/>
        <v>129004.73170731707</v>
      </c>
      <c r="F139" s="523">
        <f t="shared" si="42"/>
        <v>93396.28278367313</v>
      </c>
      <c r="G139" s="523">
        <f t="shared" si="43"/>
        <v>157898.64863733167</v>
      </c>
      <c r="H139" s="526">
        <f t="shared" si="44"/>
        <v>146928.4746525363</v>
      </c>
      <c r="I139" s="577">
        <f t="shared" si="45"/>
        <v>146928.4746525363</v>
      </c>
      <c r="J139" s="514">
        <f t="shared" si="32"/>
        <v>0</v>
      </c>
      <c r="K139" s="514"/>
      <c r="L139" s="525"/>
      <c r="M139" s="514">
        <f t="shared" si="46"/>
        <v>0</v>
      </c>
      <c r="N139" s="525"/>
      <c r="O139" s="514">
        <f t="shared" si="47"/>
        <v>0</v>
      </c>
      <c r="P139" s="514">
        <f t="shared" si="48"/>
        <v>0</v>
      </c>
    </row>
    <row r="140" spans="2:16">
      <c r="B140" s="195" t="str">
        <f t="shared" si="31"/>
        <v/>
      </c>
      <c r="C140" s="507">
        <f>IF(D93="","-",+C139+1)</f>
        <v>2055</v>
      </c>
      <c r="D140" s="374">
        <f>IF(F139+SUM(E$99:E139)=D$92,F139,D$92-SUM(E$99:E139))</f>
        <v>93396.28278367313</v>
      </c>
      <c r="E140" s="522">
        <f t="shared" si="41"/>
        <v>93396.28278367313</v>
      </c>
      <c r="F140" s="523">
        <f t="shared" si="42"/>
        <v>0</v>
      </c>
      <c r="G140" s="523">
        <f t="shared" si="43"/>
        <v>46698.141391836565</v>
      </c>
      <c r="H140" s="526">
        <f t="shared" si="44"/>
        <v>98697.186176768344</v>
      </c>
      <c r="I140" s="577">
        <f t="shared" si="45"/>
        <v>98697.186176768344</v>
      </c>
      <c r="J140" s="514">
        <f t="shared" si="32"/>
        <v>0</v>
      </c>
      <c r="K140" s="514"/>
      <c r="L140" s="525"/>
      <c r="M140" s="514">
        <f t="shared" si="46"/>
        <v>0</v>
      </c>
      <c r="N140" s="525"/>
      <c r="O140" s="514">
        <f t="shared" si="47"/>
        <v>0</v>
      </c>
      <c r="P140" s="514">
        <f t="shared" si="48"/>
        <v>0</v>
      </c>
    </row>
    <row r="141" spans="2:16">
      <c r="B141" s="195" t="str">
        <f t="shared" si="31"/>
        <v/>
      </c>
      <c r="C141" s="507">
        <f>IF(D93="","-",+C140+1)</f>
        <v>2056</v>
      </c>
      <c r="D141" s="374">
        <f>IF(F140+SUM(E$99:E140)=D$92,F140,D$92-SUM(E$99:E140))</f>
        <v>0</v>
      </c>
      <c r="E141" s="522">
        <f t="shared" si="41"/>
        <v>0</v>
      </c>
      <c r="F141" s="523">
        <f t="shared" si="42"/>
        <v>0</v>
      </c>
      <c r="G141" s="523">
        <f t="shared" si="43"/>
        <v>0</v>
      </c>
      <c r="H141" s="526">
        <f t="shared" si="44"/>
        <v>0</v>
      </c>
      <c r="I141" s="577">
        <f t="shared" si="45"/>
        <v>0</v>
      </c>
      <c r="J141" s="514">
        <f t="shared" si="32"/>
        <v>0</v>
      </c>
      <c r="K141" s="514"/>
      <c r="L141" s="525"/>
      <c r="M141" s="514">
        <f t="shared" si="46"/>
        <v>0</v>
      </c>
      <c r="N141" s="525"/>
      <c r="O141" s="514">
        <f t="shared" si="47"/>
        <v>0</v>
      </c>
      <c r="P141" s="514">
        <f t="shared" si="48"/>
        <v>0</v>
      </c>
    </row>
    <row r="142" spans="2:16">
      <c r="B142" s="195" t="str">
        <f t="shared" si="31"/>
        <v/>
      </c>
      <c r="C142" s="507">
        <f>IF(D93="","-",+C141+1)</f>
        <v>2057</v>
      </c>
      <c r="D142" s="374">
        <f>IF(F141+SUM(E$99:E141)=D$92,F141,D$92-SUM(E$99:E141))</f>
        <v>0</v>
      </c>
      <c r="E142" s="522">
        <f t="shared" si="41"/>
        <v>0</v>
      </c>
      <c r="F142" s="523">
        <f t="shared" si="42"/>
        <v>0</v>
      </c>
      <c r="G142" s="523">
        <f t="shared" si="43"/>
        <v>0</v>
      </c>
      <c r="H142" s="526">
        <f t="shared" si="44"/>
        <v>0</v>
      </c>
      <c r="I142" s="577">
        <f t="shared" si="45"/>
        <v>0</v>
      </c>
      <c r="J142" s="514">
        <f t="shared" si="32"/>
        <v>0</v>
      </c>
      <c r="K142" s="514"/>
      <c r="L142" s="525"/>
      <c r="M142" s="514">
        <f t="shared" si="46"/>
        <v>0</v>
      </c>
      <c r="N142" s="525"/>
      <c r="O142" s="514">
        <f t="shared" si="47"/>
        <v>0</v>
      </c>
      <c r="P142" s="514">
        <f t="shared" si="48"/>
        <v>0</v>
      </c>
    </row>
    <row r="143" spans="2:16">
      <c r="B143" s="195" t="str">
        <f t="shared" si="31"/>
        <v/>
      </c>
      <c r="C143" s="507">
        <f>IF(D93="","-",+C142+1)</f>
        <v>2058</v>
      </c>
      <c r="D143" s="374">
        <f>IF(F142+SUM(E$99:E142)=D$92,F142,D$92-SUM(E$99:E142))</f>
        <v>0</v>
      </c>
      <c r="E143" s="522">
        <f t="shared" si="41"/>
        <v>0</v>
      </c>
      <c r="F143" s="523">
        <f t="shared" si="42"/>
        <v>0</v>
      </c>
      <c r="G143" s="523">
        <f t="shared" si="43"/>
        <v>0</v>
      </c>
      <c r="H143" s="526">
        <f t="shared" si="44"/>
        <v>0</v>
      </c>
      <c r="I143" s="577">
        <f t="shared" si="45"/>
        <v>0</v>
      </c>
      <c r="J143" s="514">
        <f t="shared" si="32"/>
        <v>0</v>
      </c>
      <c r="K143" s="514"/>
      <c r="L143" s="525"/>
      <c r="M143" s="514">
        <f t="shared" si="46"/>
        <v>0</v>
      </c>
      <c r="N143" s="525"/>
      <c r="O143" s="514">
        <f t="shared" si="47"/>
        <v>0</v>
      </c>
      <c r="P143" s="514">
        <f t="shared" si="48"/>
        <v>0</v>
      </c>
    </row>
    <row r="144" spans="2:16">
      <c r="B144" s="195" t="str">
        <f t="shared" si="31"/>
        <v/>
      </c>
      <c r="C144" s="507">
        <f>IF(D93="","-",+C143+1)</f>
        <v>2059</v>
      </c>
      <c r="D144" s="374">
        <f>IF(F143+SUM(E$99:E143)=D$92,F143,D$92-SUM(E$99:E143))</f>
        <v>0</v>
      </c>
      <c r="E144" s="522">
        <f t="shared" si="41"/>
        <v>0</v>
      </c>
      <c r="F144" s="523">
        <f t="shared" si="42"/>
        <v>0</v>
      </c>
      <c r="G144" s="523">
        <f t="shared" si="43"/>
        <v>0</v>
      </c>
      <c r="H144" s="526">
        <f t="shared" si="44"/>
        <v>0</v>
      </c>
      <c r="I144" s="577">
        <f t="shared" si="45"/>
        <v>0</v>
      </c>
      <c r="J144" s="514">
        <f t="shared" si="32"/>
        <v>0</v>
      </c>
      <c r="K144" s="514"/>
      <c r="L144" s="525"/>
      <c r="M144" s="514">
        <f t="shared" si="46"/>
        <v>0</v>
      </c>
      <c r="N144" s="525"/>
      <c r="O144" s="514">
        <f t="shared" si="47"/>
        <v>0</v>
      </c>
      <c r="P144" s="514">
        <f t="shared" si="48"/>
        <v>0</v>
      </c>
    </row>
    <row r="145" spans="2:16">
      <c r="B145" s="195" t="str">
        <f t="shared" si="31"/>
        <v/>
      </c>
      <c r="C145" s="507">
        <f>IF(D93="","-",+C144+1)</f>
        <v>2060</v>
      </c>
      <c r="D145" s="374">
        <f>IF(F144+SUM(E$99:E144)=D$92,F144,D$92-SUM(E$99:E144))</f>
        <v>0</v>
      </c>
      <c r="E145" s="522">
        <f t="shared" si="41"/>
        <v>0</v>
      </c>
      <c r="F145" s="523">
        <f t="shared" si="42"/>
        <v>0</v>
      </c>
      <c r="G145" s="523">
        <f t="shared" si="43"/>
        <v>0</v>
      </c>
      <c r="H145" s="526">
        <f t="shared" si="44"/>
        <v>0</v>
      </c>
      <c r="I145" s="577">
        <f t="shared" si="45"/>
        <v>0</v>
      </c>
      <c r="J145" s="514">
        <f t="shared" si="32"/>
        <v>0</v>
      </c>
      <c r="K145" s="514"/>
      <c r="L145" s="525"/>
      <c r="M145" s="514">
        <f t="shared" si="46"/>
        <v>0</v>
      </c>
      <c r="N145" s="525"/>
      <c r="O145" s="514">
        <f t="shared" si="47"/>
        <v>0</v>
      </c>
      <c r="P145" s="514">
        <f t="shared" si="48"/>
        <v>0</v>
      </c>
    </row>
    <row r="146" spans="2:16">
      <c r="B146" s="195" t="str">
        <f t="shared" si="31"/>
        <v/>
      </c>
      <c r="C146" s="507">
        <f>IF(D93="","-",+C145+1)</f>
        <v>2061</v>
      </c>
      <c r="D146" s="374">
        <f>IF(F145+SUM(E$99:E145)=D$92,F145,D$92-SUM(E$99:E145))</f>
        <v>0</v>
      </c>
      <c r="E146" s="522">
        <f t="shared" si="41"/>
        <v>0</v>
      </c>
      <c r="F146" s="523">
        <f t="shared" si="42"/>
        <v>0</v>
      </c>
      <c r="G146" s="523">
        <f t="shared" si="43"/>
        <v>0</v>
      </c>
      <c r="H146" s="526">
        <f t="shared" si="44"/>
        <v>0</v>
      </c>
      <c r="I146" s="577">
        <f t="shared" si="45"/>
        <v>0</v>
      </c>
      <c r="J146" s="514">
        <f t="shared" si="32"/>
        <v>0</v>
      </c>
      <c r="K146" s="514"/>
      <c r="L146" s="525"/>
      <c r="M146" s="514">
        <f t="shared" si="46"/>
        <v>0</v>
      </c>
      <c r="N146" s="525"/>
      <c r="O146" s="514">
        <f t="shared" si="47"/>
        <v>0</v>
      </c>
      <c r="P146" s="514">
        <f t="shared" si="48"/>
        <v>0</v>
      </c>
    </row>
    <row r="147" spans="2:16">
      <c r="B147" s="195" t="str">
        <f t="shared" si="31"/>
        <v/>
      </c>
      <c r="C147" s="507">
        <f>IF(D93="","-",+C146+1)</f>
        <v>2062</v>
      </c>
      <c r="D147" s="374">
        <f>IF(F146+SUM(E$99:E146)=D$92,F146,D$92-SUM(E$99:E146))</f>
        <v>0</v>
      </c>
      <c r="E147" s="522">
        <f t="shared" si="41"/>
        <v>0</v>
      </c>
      <c r="F147" s="523">
        <f t="shared" si="42"/>
        <v>0</v>
      </c>
      <c r="G147" s="523">
        <f t="shared" si="43"/>
        <v>0</v>
      </c>
      <c r="H147" s="526">
        <f t="shared" si="44"/>
        <v>0</v>
      </c>
      <c r="I147" s="577">
        <f t="shared" si="45"/>
        <v>0</v>
      </c>
      <c r="J147" s="514">
        <f t="shared" si="32"/>
        <v>0</v>
      </c>
      <c r="K147" s="514"/>
      <c r="L147" s="525"/>
      <c r="M147" s="514">
        <f t="shared" si="46"/>
        <v>0</v>
      </c>
      <c r="N147" s="525"/>
      <c r="O147" s="514">
        <f t="shared" si="47"/>
        <v>0</v>
      </c>
      <c r="P147" s="514">
        <f t="shared" si="48"/>
        <v>0</v>
      </c>
    </row>
    <row r="148" spans="2:16">
      <c r="B148" s="195" t="str">
        <f t="shared" si="31"/>
        <v/>
      </c>
      <c r="C148" s="507">
        <f>IF(D93="","-",+C147+1)</f>
        <v>2063</v>
      </c>
      <c r="D148" s="374">
        <f>IF(F147+SUM(E$99:E147)=D$92,F147,D$92-SUM(E$99:E147))</f>
        <v>0</v>
      </c>
      <c r="E148" s="522">
        <f t="shared" si="41"/>
        <v>0</v>
      </c>
      <c r="F148" s="523">
        <f t="shared" si="42"/>
        <v>0</v>
      </c>
      <c r="G148" s="523">
        <f t="shared" si="43"/>
        <v>0</v>
      </c>
      <c r="H148" s="526">
        <f t="shared" si="44"/>
        <v>0</v>
      </c>
      <c r="I148" s="577">
        <f t="shared" si="45"/>
        <v>0</v>
      </c>
      <c r="J148" s="514">
        <f t="shared" si="32"/>
        <v>0</v>
      </c>
      <c r="K148" s="514"/>
      <c r="L148" s="525"/>
      <c r="M148" s="514">
        <f t="shared" si="46"/>
        <v>0</v>
      </c>
      <c r="N148" s="525"/>
      <c r="O148" s="514">
        <f t="shared" si="47"/>
        <v>0</v>
      </c>
      <c r="P148" s="514">
        <f t="shared" si="48"/>
        <v>0</v>
      </c>
    </row>
    <row r="149" spans="2:16">
      <c r="B149" s="195" t="str">
        <f t="shared" si="31"/>
        <v/>
      </c>
      <c r="C149" s="507">
        <f>IF(D93="","-",+C148+1)</f>
        <v>2064</v>
      </c>
      <c r="D149" s="374">
        <f>IF(F148+SUM(E$99:E148)=D$92,F148,D$92-SUM(E$99:E148))</f>
        <v>0</v>
      </c>
      <c r="E149" s="522">
        <f t="shared" si="41"/>
        <v>0</v>
      </c>
      <c r="F149" s="523">
        <f t="shared" si="42"/>
        <v>0</v>
      </c>
      <c r="G149" s="523">
        <f t="shared" si="43"/>
        <v>0</v>
      </c>
      <c r="H149" s="526">
        <f t="shared" si="44"/>
        <v>0</v>
      </c>
      <c r="I149" s="577">
        <f t="shared" si="45"/>
        <v>0</v>
      </c>
      <c r="J149" s="514">
        <f t="shared" si="32"/>
        <v>0</v>
      </c>
      <c r="K149" s="514"/>
      <c r="L149" s="525"/>
      <c r="M149" s="514">
        <f t="shared" si="46"/>
        <v>0</v>
      </c>
      <c r="N149" s="525"/>
      <c r="O149" s="514">
        <f t="shared" si="47"/>
        <v>0</v>
      </c>
      <c r="P149" s="514">
        <f t="shared" si="48"/>
        <v>0</v>
      </c>
    </row>
    <row r="150" spans="2:16">
      <c r="B150" s="195" t="str">
        <f t="shared" si="31"/>
        <v/>
      </c>
      <c r="C150" s="507">
        <f>IF(D93="","-",+C149+1)</f>
        <v>2065</v>
      </c>
      <c r="D150" s="374">
        <f>IF(F149+SUM(E$99:E149)=D$92,F149,D$92-SUM(E$99:E149))</f>
        <v>0</v>
      </c>
      <c r="E150" s="522">
        <f t="shared" si="41"/>
        <v>0</v>
      </c>
      <c r="F150" s="523">
        <f t="shared" si="42"/>
        <v>0</v>
      </c>
      <c r="G150" s="523">
        <f t="shared" si="43"/>
        <v>0</v>
      </c>
      <c r="H150" s="526">
        <f t="shared" si="44"/>
        <v>0</v>
      </c>
      <c r="I150" s="577">
        <f t="shared" si="45"/>
        <v>0</v>
      </c>
      <c r="J150" s="514">
        <f t="shared" si="32"/>
        <v>0</v>
      </c>
      <c r="K150" s="514"/>
      <c r="L150" s="525"/>
      <c r="M150" s="514">
        <f t="shared" si="46"/>
        <v>0</v>
      </c>
      <c r="N150" s="525"/>
      <c r="O150" s="514">
        <f t="shared" si="47"/>
        <v>0</v>
      </c>
      <c r="P150" s="514">
        <f t="shared" si="48"/>
        <v>0</v>
      </c>
    </row>
    <row r="151" spans="2:16">
      <c r="B151" s="195" t="str">
        <f t="shared" si="31"/>
        <v/>
      </c>
      <c r="C151" s="507">
        <f>IF(D93="","-",+C150+1)</f>
        <v>2066</v>
      </c>
      <c r="D151" s="374">
        <f>IF(F150+SUM(E$99:E150)=D$92,F150,D$92-SUM(E$99:E150))</f>
        <v>0</v>
      </c>
      <c r="E151" s="522">
        <f t="shared" si="41"/>
        <v>0</v>
      </c>
      <c r="F151" s="523">
        <f t="shared" si="42"/>
        <v>0</v>
      </c>
      <c r="G151" s="523">
        <f t="shared" si="43"/>
        <v>0</v>
      </c>
      <c r="H151" s="526">
        <f t="shared" si="44"/>
        <v>0</v>
      </c>
      <c r="I151" s="577">
        <f t="shared" si="45"/>
        <v>0</v>
      </c>
      <c r="J151" s="514">
        <f t="shared" si="32"/>
        <v>0</v>
      </c>
      <c r="K151" s="514"/>
      <c r="L151" s="525"/>
      <c r="M151" s="514">
        <f t="shared" si="46"/>
        <v>0</v>
      </c>
      <c r="N151" s="525"/>
      <c r="O151" s="514">
        <f t="shared" si="47"/>
        <v>0</v>
      </c>
      <c r="P151" s="514">
        <f t="shared" si="48"/>
        <v>0</v>
      </c>
    </row>
    <row r="152" spans="2:16">
      <c r="B152" s="195" t="str">
        <f t="shared" si="31"/>
        <v/>
      </c>
      <c r="C152" s="507">
        <f>IF(D93="","-",+C151+1)</f>
        <v>2067</v>
      </c>
      <c r="D152" s="374">
        <f>IF(F151+SUM(E$99:E151)=D$92,F151,D$92-SUM(E$99:E151))</f>
        <v>0</v>
      </c>
      <c r="E152" s="522">
        <f t="shared" si="41"/>
        <v>0</v>
      </c>
      <c r="F152" s="523">
        <f t="shared" si="42"/>
        <v>0</v>
      </c>
      <c r="G152" s="523">
        <f t="shared" si="43"/>
        <v>0</v>
      </c>
      <c r="H152" s="526">
        <f t="shared" si="44"/>
        <v>0</v>
      </c>
      <c r="I152" s="577">
        <f t="shared" si="45"/>
        <v>0</v>
      </c>
      <c r="J152" s="514">
        <f t="shared" si="32"/>
        <v>0</v>
      </c>
      <c r="K152" s="514"/>
      <c r="L152" s="525"/>
      <c r="M152" s="514">
        <f t="shared" si="46"/>
        <v>0</v>
      </c>
      <c r="N152" s="525"/>
      <c r="O152" s="514">
        <f t="shared" si="47"/>
        <v>0</v>
      </c>
      <c r="P152" s="514">
        <f t="shared" si="48"/>
        <v>0</v>
      </c>
    </row>
    <row r="153" spans="2:16">
      <c r="B153" s="195" t="str">
        <f t="shared" si="31"/>
        <v/>
      </c>
      <c r="C153" s="507">
        <f>IF(D93="","-",+C152+1)</f>
        <v>2068</v>
      </c>
      <c r="D153" s="374">
        <f>IF(F152+SUM(E$99:E152)=D$92,F152,D$92-SUM(E$99:E152))</f>
        <v>0</v>
      </c>
      <c r="E153" s="522">
        <f t="shared" si="41"/>
        <v>0</v>
      </c>
      <c r="F153" s="523">
        <f t="shared" si="42"/>
        <v>0</v>
      </c>
      <c r="G153" s="523">
        <f t="shared" si="43"/>
        <v>0</v>
      </c>
      <c r="H153" s="526">
        <f t="shared" si="44"/>
        <v>0</v>
      </c>
      <c r="I153" s="577">
        <f t="shared" si="45"/>
        <v>0</v>
      </c>
      <c r="J153" s="514">
        <f t="shared" si="32"/>
        <v>0</v>
      </c>
      <c r="K153" s="514"/>
      <c r="L153" s="525"/>
      <c r="M153" s="514">
        <f t="shared" si="46"/>
        <v>0</v>
      </c>
      <c r="N153" s="525"/>
      <c r="O153" s="514">
        <f t="shared" si="47"/>
        <v>0</v>
      </c>
      <c r="P153" s="514">
        <f t="shared" si="48"/>
        <v>0</v>
      </c>
    </row>
    <row r="154" spans="2:16" ht="13.5" thickBot="1">
      <c r="B154" s="195" t="str">
        <f t="shared" si="31"/>
        <v/>
      </c>
      <c r="C154" s="527">
        <f>IF(D93="","-",+C153+1)</f>
        <v>2069</v>
      </c>
      <c r="D154" s="374">
        <f>IF(F153+SUM(E$99:E153)=D$92,F153,D$92-SUM(E$99:E153))</f>
        <v>0</v>
      </c>
      <c r="E154" s="522">
        <f t="shared" si="41"/>
        <v>0</v>
      </c>
      <c r="F154" s="523">
        <f t="shared" si="42"/>
        <v>0</v>
      </c>
      <c r="G154" s="523">
        <f t="shared" si="43"/>
        <v>0</v>
      </c>
      <c r="H154" s="526">
        <f t="shared" si="44"/>
        <v>0</v>
      </c>
      <c r="I154" s="577">
        <f t="shared" si="45"/>
        <v>0</v>
      </c>
      <c r="J154" s="514">
        <f t="shared" si="32"/>
        <v>0</v>
      </c>
      <c r="K154" s="514"/>
      <c r="L154" s="532"/>
      <c r="M154" s="533">
        <f t="shared" si="46"/>
        <v>0</v>
      </c>
      <c r="N154" s="532"/>
      <c r="O154" s="533">
        <f t="shared" si="47"/>
        <v>0</v>
      </c>
      <c r="P154" s="533">
        <f t="shared" si="48"/>
        <v>0</v>
      </c>
    </row>
    <row r="155" spans="2:16">
      <c r="C155" s="374" t="s">
        <v>78</v>
      </c>
      <c r="D155" s="375"/>
      <c r="E155" s="375">
        <f>SUM(E99:E154)</f>
        <v>5289194</v>
      </c>
      <c r="F155" s="375"/>
      <c r="G155" s="375"/>
      <c r="H155" s="375">
        <f>SUM(H99:H154)</f>
        <v>17900883.945872307</v>
      </c>
      <c r="I155" s="375">
        <f>SUM(I99:I154)</f>
        <v>17900883.945872307</v>
      </c>
      <c r="J155" s="375">
        <f>SUM(J99:J154)</f>
        <v>0</v>
      </c>
      <c r="K155" s="375"/>
      <c r="L155" s="375"/>
      <c r="M155" s="375"/>
      <c r="N155" s="375"/>
      <c r="O155" s="375"/>
      <c r="P155" s="269"/>
    </row>
    <row r="156" spans="2:16">
      <c r="C156" s="183" t="s">
        <v>92</v>
      </c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</row>
    <row r="157" spans="2:16">
      <c r="C157" s="580"/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</row>
    <row r="158" spans="2:16">
      <c r="C158" s="614" t="s">
        <v>132</v>
      </c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</row>
    <row r="159" spans="2:16">
      <c r="C159" s="467" t="s">
        <v>79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</row>
    <row r="160" spans="2:16">
      <c r="C160" s="581" t="s">
        <v>80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</row>
    <row r="161" spans="3:16">
      <c r="C161" s="581"/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</row>
    <row r="162" spans="3:16" ht="18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635" t="s">
        <v>131</v>
      </c>
    </row>
  </sheetData>
  <conditionalFormatting sqref="C17:C72">
    <cfRule type="cellIs" dxfId="78" priority="1" stopIfTrue="1" operator="equal">
      <formula>$I$10</formula>
    </cfRule>
  </conditionalFormatting>
  <conditionalFormatting sqref="C99:C154">
    <cfRule type="cellIs" dxfId="77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92"/>
  <dimension ref="A1:P162"/>
  <sheetViews>
    <sheetView topLeftCell="A90" zoomScaleNormal="100" zoomScaleSheetLayoutView="82" workbookViewId="0">
      <selection activeCell="D99" sqref="D99:I107"/>
    </sheetView>
  </sheetViews>
  <sheetFormatPr defaultColWidth="8.7109375" defaultRowHeight="12.75" customHeight="1"/>
  <cols>
    <col min="1" max="1" width="4.7109375" style="183" customWidth="1"/>
    <col min="2" max="2" width="6.7109375" style="183" customWidth="1"/>
    <col min="3" max="3" width="23.28515625" style="183" customWidth="1"/>
    <col min="4" max="8" width="17.7109375" style="183" customWidth="1"/>
    <col min="9" max="9" width="20.42578125" style="183" customWidth="1"/>
    <col min="10" max="10" width="16.42578125" style="183" customWidth="1"/>
    <col min="11" max="11" width="17.7109375" style="183" customWidth="1"/>
    <col min="12" max="12" width="16.140625" style="183" customWidth="1"/>
    <col min="13" max="13" width="17.7109375" style="183" customWidth="1"/>
    <col min="14" max="14" width="16.7109375" style="183" customWidth="1"/>
    <col min="15" max="15" width="16.85546875" style="183" customWidth="1"/>
    <col min="16" max="16" width="24.42578125" style="183" customWidth="1"/>
    <col min="17" max="17" width="9.140625" style="183" customWidth="1"/>
    <col min="18" max="22" width="8.7109375" style="183"/>
    <col min="23" max="23" width="9.140625" style="183" customWidth="1"/>
    <col min="24" max="16384" width="8.7109375" style="183"/>
  </cols>
  <sheetData>
    <row r="1" spans="1:16" ht="20.25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43 of 75</v>
      </c>
    </row>
    <row r="2" spans="1:16" ht="18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538" t="s">
        <v>129</v>
      </c>
    </row>
    <row r="3" spans="1:16" ht="18.75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/>
      <c r="P3" s="623">
        <v>1</v>
      </c>
    </row>
    <row r="4" spans="1:16" ht="15.75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6" ht="1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1710884.0949343792</v>
      </c>
      <c r="P5" s="269"/>
    </row>
    <row r="6" spans="1:16" ht="15.7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1710884.0949343792</v>
      </c>
      <c r="O6" s="269"/>
      <c r="P6" s="269"/>
    </row>
    <row r="7" spans="1:16" ht="13.5" thickBot="1">
      <c r="C7" s="467" t="s">
        <v>48</v>
      </c>
      <c r="D7" s="624" t="s">
        <v>316</v>
      </c>
      <c r="E7" s="587"/>
      <c r="F7" s="587"/>
      <c r="G7" s="587"/>
      <c r="H7" s="59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6" ht="13.5" thickBot="1">
      <c r="C8" s="472"/>
      <c r="D8" s="625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6" ht="13.5" thickBot="1">
      <c r="C9" s="476" t="s">
        <v>50</v>
      </c>
      <c r="D9" s="477" t="s">
        <v>315</v>
      </c>
      <c r="E9" s="637" t="s">
        <v>500</v>
      </c>
      <c r="F9" s="478"/>
      <c r="G9" s="478"/>
      <c r="H9" s="478"/>
      <c r="I9" s="479"/>
      <c r="J9" s="480"/>
      <c r="O9" s="481"/>
      <c r="P9" s="272"/>
    </row>
    <row r="10" spans="1:16">
      <c r="C10" s="482" t="s">
        <v>51</v>
      </c>
      <c r="D10" s="483">
        <v>14866883.030000001</v>
      </c>
      <c r="E10" s="353" t="s">
        <v>52</v>
      </c>
      <c r="F10" s="481"/>
      <c r="G10" s="484"/>
      <c r="H10" s="484"/>
      <c r="I10" s="485">
        <f>+'SWE.WS.F.BPU.ATRR.Projected'!L19</f>
        <v>2024</v>
      </c>
      <c r="J10" s="480"/>
      <c r="K10" s="375" t="s">
        <v>53</v>
      </c>
      <c r="O10" s="272"/>
      <c r="P10" s="272"/>
    </row>
    <row r="11" spans="1:16">
      <c r="C11" s="486" t="s">
        <v>54</v>
      </c>
      <c r="D11" s="487">
        <v>2014</v>
      </c>
      <c r="E11" s="486" t="s">
        <v>55</v>
      </c>
      <c r="F11" s="484"/>
      <c r="G11" s="233"/>
      <c r="H11" s="233"/>
      <c r="I11" s="488">
        <f>IF(G5="",0,'SWE.WS.F.BPU.ATRR.Projected'!F$13)</f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6">
      <c r="C12" s="486" t="s">
        <v>56</v>
      </c>
      <c r="D12" s="483">
        <v>11</v>
      </c>
      <c r="E12" s="486" t="s">
        <v>57</v>
      </c>
      <c r="F12" s="484"/>
      <c r="G12" s="233"/>
      <c r="H12" s="233"/>
      <c r="I12" s="490">
        <f>'SWE.WS.F.BPU.ATRR.Projected'!$F$81</f>
        <v>0.11952713165403545</v>
      </c>
      <c r="J12" s="425"/>
      <c r="K12" s="183" t="s">
        <v>58</v>
      </c>
      <c r="O12" s="272"/>
      <c r="P12" s="272"/>
    </row>
    <row r="13" spans="1:16">
      <c r="C13" s="486" t="s">
        <v>59</v>
      </c>
      <c r="D13" s="488">
        <f>+'SWE.WS.F.BPU.ATRR.Projected'!F$93</f>
        <v>44</v>
      </c>
      <c r="E13" s="486" t="s">
        <v>60</v>
      </c>
      <c r="F13" s="484"/>
      <c r="G13" s="233"/>
      <c r="H13" s="233"/>
      <c r="I13" s="490">
        <f>IF(G5="",I12,'SWE.WS.F.BPU.ATRR.Projected'!$F$80)</f>
        <v>0.11952713165403545</v>
      </c>
      <c r="J13" s="425"/>
      <c r="K13" s="375" t="s">
        <v>61</v>
      </c>
      <c r="L13" s="324"/>
      <c r="M13" s="324"/>
      <c r="N13" s="324"/>
      <c r="O13" s="272"/>
      <c r="P13" s="272"/>
    </row>
    <row r="14" spans="1:16" ht="13.5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337883.70522727276</v>
      </c>
      <c r="J14" s="375"/>
      <c r="K14" s="375"/>
      <c r="L14" s="375"/>
      <c r="M14" s="375"/>
      <c r="N14" s="375"/>
      <c r="O14" s="272"/>
      <c r="P14" s="272"/>
    </row>
    <row r="15" spans="1:16" ht="38.25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388</v>
      </c>
      <c r="H15" s="495" t="s">
        <v>389</v>
      </c>
      <c r="I15" s="492" t="s">
        <v>68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6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>
      <c r="C17" s="507">
        <f>IF(D11= "","-",D11)</f>
        <v>2014</v>
      </c>
      <c r="D17" s="629">
        <v>14332500</v>
      </c>
      <c r="E17" s="638">
        <v>0</v>
      </c>
      <c r="F17" s="629">
        <v>14332500</v>
      </c>
      <c r="G17" s="638">
        <v>1933604.8594930479</v>
      </c>
      <c r="H17" s="639">
        <v>1933604.8594930479</v>
      </c>
      <c r="I17" s="616">
        <v>0</v>
      </c>
      <c r="J17" s="511"/>
      <c r="K17" s="641">
        <f t="shared" ref="K17:K22" si="0">G17</f>
        <v>1933604.8594930479</v>
      </c>
      <c r="L17" s="642">
        <f t="shared" ref="L17:L22" si="1">IF(K17&lt;&gt;0,+G17-K17,0)</f>
        <v>0</v>
      </c>
      <c r="M17" s="643">
        <f t="shared" ref="M17:M22" si="2">H17</f>
        <v>1933604.8594930479</v>
      </c>
      <c r="N17" s="644">
        <f>IF(M17&lt;&gt;0,+H17-M17,0)</f>
        <v>0</v>
      </c>
      <c r="O17" s="514">
        <f>+N17-L17</f>
        <v>0</v>
      </c>
      <c r="P17" s="272"/>
    </row>
    <row r="18" spans="2:16">
      <c r="B18" s="195" t="str">
        <f>IF(D18=F17,"","IU")</f>
        <v/>
      </c>
      <c r="C18" s="507">
        <f>IF(D11="","-",+C17+1)</f>
        <v>2015</v>
      </c>
      <c r="D18" s="629">
        <v>14332500</v>
      </c>
      <c r="E18" s="630">
        <v>357761.90476190473</v>
      </c>
      <c r="F18" s="629">
        <v>13974738.095238095</v>
      </c>
      <c r="G18" s="630">
        <v>2198302.0042745443</v>
      </c>
      <c r="H18" s="639">
        <v>2198302.0042745443</v>
      </c>
      <c r="I18" s="511">
        <v>0</v>
      </c>
      <c r="J18" s="511"/>
      <c r="K18" s="518">
        <f t="shared" si="0"/>
        <v>2198302.0042745443</v>
      </c>
      <c r="L18" s="519">
        <f t="shared" si="1"/>
        <v>0</v>
      </c>
      <c r="M18" s="518">
        <f t="shared" si="2"/>
        <v>2198302.0042745443</v>
      </c>
      <c r="N18" s="514">
        <f>IF(M18&lt;&gt;0,+H18-M18,0)</f>
        <v>0</v>
      </c>
      <c r="O18" s="514">
        <f>+N18-L18</f>
        <v>0</v>
      </c>
      <c r="P18" s="272"/>
    </row>
    <row r="19" spans="2:16">
      <c r="B19" s="195" t="str">
        <f>IF(D19=F18,"","IU")</f>
        <v>IU</v>
      </c>
      <c r="C19" s="507">
        <f>IF(D11="","-",+C18+1)</f>
        <v>2016</v>
      </c>
      <c r="D19" s="629">
        <v>14668238.095238095</v>
      </c>
      <c r="E19" s="630">
        <v>357761.90476190473</v>
      </c>
      <c r="F19" s="629">
        <v>14310476.19047619</v>
      </c>
      <c r="G19" s="630">
        <v>2219268.2901278744</v>
      </c>
      <c r="H19" s="639">
        <v>2219268.2901278744</v>
      </c>
      <c r="I19" s="511">
        <f>H19-G19</f>
        <v>0</v>
      </c>
      <c r="J19" s="511"/>
      <c r="K19" s="518">
        <f t="shared" si="0"/>
        <v>2219268.2901278744</v>
      </c>
      <c r="L19" s="519">
        <f t="shared" si="1"/>
        <v>0</v>
      </c>
      <c r="M19" s="518">
        <f t="shared" si="2"/>
        <v>2219268.2901278744</v>
      </c>
      <c r="N19" s="514">
        <f>IF(M19&lt;&gt;0,+H19-M19,0)</f>
        <v>0</v>
      </c>
      <c r="O19" s="514">
        <f>+N19-L19</f>
        <v>0</v>
      </c>
      <c r="P19" s="272"/>
    </row>
    <row r="20" spans="2:16">
      <c r="B20" s="195" t="str">
        <f t="shared" ref="B20:B72" si="3">IF(D20=F19,"","IU")</f>
        <v>IU</v>
      </c>
      <c r="C20" s="507">
        <f>IF(D11="","-",+C19+1)</f>
        <v>2017</v>
      </c>
      <c r="D20" s="629">
        <v>14151359.19047619</v>
      </c>
      <c r="E20" s="630">
        <v>345741.46511627908</v>
      </c>
      <c r="F20" s="629">
        <v>13805617.725359911</v>
      </c>
      <c r="G20" s="630">
        <v>2077571.8162955591</v>
      </c>
      <c r="H20" s="639">
        <v>2077571.8162955591</v>
      </c>
      <c r="I20" s="511">
        <f t="shared" ref="I20:I72" si="4">H20-G20</f>
        <v>0</v>
      </c>
      <c r="J20" s="511"/>
      <c r="K20" s="518">
        <f t="shared" si="0"/>
        <v>2077571.8162955591</v>
      </c>
      <c r="L20" s="519">
        <f t="shared" si="1"/>
        <v>0</v>
      </c>
      <c r="M20" s="518">
        <f t="shared" si="2"/>
        <v>2077571.8162955591</v>
      </c>
      <c r="N20" s="514">
        <f>IF(M20&lt;&gt;0,+H20-M20,0)</f>
        <v>0</v>
      </c>
      <c r="O20" s="514">
        <f>+N20-L20</f>
        <v>0</v>
      </c>
      <c r="P20" s="272"/>
    </row>
    <row r="21" spans="2:16">
      <c r="B21" s="195" t="str">
        <f t="shared" si="3"/>
        <v/>
      </c>
      <c r="C21" s="507">
        <f>IF(D11="","-",+C20+1)</f>
        <v>2018</v>
      </c>
      <c r="D21" s="629">
        <v>13805617.725359911</v>
      </c>
      <c r="E21" s="630">
        <v>362606.90243902442</v>
      </c>
      <c r="F21" s="629">
        <v>13443010.822920887</v>
      </c>
      <c r="G21" s="630">
        <v>2094176.8486263207</v>
      </c>
      <c r="H21" s="639">
        <v>2094176.8486263207</v>
      </c>
      <c r="I21" s="511">
        <f t="shared" si="4"/>
        <v>0</v>
      </c>
      <c r="J21" s="511"/>
      <c r="K21" s="518">
        <f t="shared" si="0"/>
        <v>2094176.8486263207</v>
      </c>
      <c r="L21" s="519">
        <f t="shared" si="1"/>
        <v>0</v>
      </c>
      <c r="M21" s="518">
        <f t="shared" si="2"/>
        <v>2094176.8486263207</v>
      </c>
      <c r="N21" s="514">
        <f>IF(M21&lt;&gt;0,+H21-M21,0)</f>
        <v>0</v>
      </c>
      <c r="O21" s="514">
        <f>+N21-L21</f>
        <v>0</v>
      </c>
      <c r="P21" s="272"/>
    </row>
    <row r="22" spans="2:16">
      <c r="B22" s="195" t="str">
        <f t="shared" si="3"/>
        <v/>
      </c>
      <c r="C22" s="507">
        <f>IF(D11="","-",+C21+1)</f>
        <v>2019</v>
      </c>
      <c r="D22" s="629">
        <v>13443010.822920887</v>
      </c>
      <c r="E22" s="630">
        <v>362606.90243902442</v>
      </c>
      <c r="F22" s="629">
        <v>13080403.920481863</v>
      </c>
      <c r="G22" s="630">
        <v>2048091.6510956655</v>
      </c>
      <c r="H22" s="639">
        <v>2048091.6510956655</v>
      </c>
      <c r="I22" s="511">
        <f t="shared" si="4"/>
        <v>0</v>
      </c>
      <c r="J22" s="511"/>
      <c r="K22" s="518">
        <f t="shared" si="0"/>
        <v>2048091.6510956655</v>
      </c>
      <c r="L22" s="519">
        <f t="shared" si="1"/>
        <v>0</v>
      </c>
      <c r="M22" s="518">
        <f t="shared" si="2"/>
        <v>2048091.6510956655</v>
      </c>
      <c r="N22" s="514">
        <f t="shared" ref="N22:N72" si="5">IF(M22&lt;&gt;0,+H22-M22,0)</f>
        <v>0</v>
      </c>
      <c r="O22" s="514">
        <f t="shared" ref="O22:O72" si="6">+N22-L22</f>
        <v>0</v>
      </c>
      <c r="P22" s="272"/>
    </row>
    <row r="23" spans="2:16">
      <c r="B23" s="195" t="str">
        <f t="shared" si="3"/>
        <v/>
      </c>
      <c r="C23" s="507">
        <f>IF(D11="","-",+C22+1)</f>
        <v>2020</v>
      </c>
      <c r="D23" s="629">
        <v>13080403.920481863</v>
      </c>
      <c r="E23" s="630">
        <v>362606.90243902442</v>
      </c>
      <c r="F23" s="629">
        <v>12717797.018042838</v>
      </c>
      <c r="G23" s="630">
        <v>1682642.2217511837</v>
      </c>
      <c r="H23" s="639">
        <v>1682642.2217511837</v>
      </c>
      <c r="I23" s="511">
        <f t="shared" si="4"/>
        <v>0</v>
      </c>
      <c r="J23" s="511"/>
      <c r="K23" s="518">
        <f t="shared" ref="K23" si="7">G23</f>
        <v>1682642.2217511837</v>
      </c>
      <c r="L23" s="519">
        <f t="shared" ref="L23" si="8">IF(K23&lt;&gt;0,+G23-K23,0)</f>
        <v>0</v>
      </c>
      <c r="M23" s="518">
        <f t="shared" ref="M23" si="9">H23</f>
        <v>1682642.2217511837</v>
      </c>
      <c r="N23" s="514">
        <f t="shared" si="5"/>
        <v>0</v>
      </c>
      <c r="O23" s="514">
        <f t="shared" si="6"/>
        <v>0</v>
      </c>
      <c r="P23" s="272"/>
    </row>
    <row r="24" spans="2:16">
      <c r="B24" s="195" t="str">
        <f t="shared" si="3"/>
        <v>IU</v>
      </c>
      <c r="C24" s="507">
        <f>IF(D11="","-",+C23+1)</f>
        <v>2021</v>
      </c>
      <c r="D24" s="629">
        <v>12736606.246063258</v>
      </c>
      <c r="E24" s="630">
        <v>353973.40476190473</v>
      </c>
      <c r="F24" s="629">
        <v>12382632.841301354</v>
      </c>
      <c r="G24" s="630">
        <v>1685350.1603983724</v>
      </c>
      <c r="H24" s="639">
        <v>1685350.1603983724</v>
      </c>
      <c r="I24" s="511">
        <f t="shared" si="4"/>
        <v>0</v>
      </c>
      <c r="J24" s="511"/>
      <c r="K24" s="518">
        <f t="shared" ref="K24" si="10">G24</f>
        <v>1685350.1603983724</v>
      </c>
      <c r="L24" s="519">
        <f t="shared" ref="L24" si="11">IF(K24&lt;&gt;0,+G24-K24,0)</f>
        <v>0</v>
      </c>
      <c r="M24" s="518">
        <f t="shared" ref="M24" si="12">H24</f>
        <v>1685350.1603983724</v>
      </c>
      <c r="N24" s="514">
        <f t="shared" si="5"/>
        <v>0</v>
      </c>
      <c r="O24" s="514">
        <f t="shared" si="6"/>
        <v>0</v>
      </c>
      <c r="P24" s="272"/>
    </row>
    <row r="25" spans="2:16">
      <c r="B25" s="195" t="str">
        <f t="shared" si="3"/>
        <v>IU</v>
      </c>
      <c r="C25" s="507">
        <f>IF(D11="","-",+C24+1)</f>
        <v>2022</v>
      </c>
      <c r="D25" s="629">
        <v>12363823.613280933</v>
      </c>
      <c r="E25" s="630">
        <v>353973.40476190473</v>
      </c>
      <c r="F25" s="629">
        <v>12009850.208519028</v>
      </c>
      <c r="G25" s="630">
        <v>1724311.275069321</v>
      </c>
      <c r="H25" s="639">
        <v>1724311.275069321</v>
      </c>
      <c r="I25" s="511">
        <f t="shared" si="4"/>
        <v>0</v>
      </c>
      <c r="J25" s="511"/>
      <c r="K25" s="518">
        <f t="shared" ref="K25" si="13">G25</f>
        <v>1724311.275069321</v>
      </c>
      <c r="L25" s="519">
        <f t="shared" ref="L25" si="14">IF(K25&lt;&gt;0,+G25-K25,0)</f>
        <v>0</v>
      </c>
      <c r="M25" s="518">
        <f t="shared" ref="M25" si="15">H25</f>
        <v>1724311.275069321</v>
      </c>
      <c r="N25" s="514">
        <f t="shared" si="5"/>
        <v>0</v>
      </c>
      <c r="O25" s="514">
        <f t="shared" si="6"/>
        <v>0</v>
      </c>
      <c r="P25" s="272"/>
    </row>
    <row r="26" spans="2:16">
      <c r="B26" s="195" t="str">
        <f t="shared" si="3"/>
        <v>IU</v>
      </c>
      <c r="C26" s="507">
        <f>IF(D11="","-",+C25+1)</f>
        <v>2023</v>
      </c>
      <c r="D26" s="629">
        <v>12009850.23851903</v>
      </c>
      <c r="E26" s="630">
        <v>353973.4054761905</v>
      </c>
      <c r="F26" s="629">
        <v>11655876.83304284</v>
      </c>
      <c r="G26" s="630">
        <v>1848781.0485526482</v>
      </c>
      <c r="H26" s="639">
        <v>1848781.0485526482</v>
      </c>
      <c r="I26" s="511">
        <f t="shared" si="4"/>
        <v>0</v>
      </c>
      <c r="J26" s="511"/>
      <c r="K26" s="518">
        <f t="shared" ref="K26" si="16">G26</f>
        <v>1848781.0485526482</v>
      </c>
      <c r="L26" s="519">
        <f t="shared" ref="L26" si="17">IF(K26&lt;&gt;0,+G26-K26,0)</f>
        <v>0</v>
      </c>
      <c r="M26" s="518">
        <f t="shared" ref="M26" si="18">H26</f>
        <v>1848781.0485526482</v>
      </c>
      <c r="N26" s="514">
        <f t="shared" ref="N26" si="19">IF(M26&lt;&gt;0,+H26-M26,0)</f>
        <v>0</v>
      </c>
      <c r="O26" s="514">
        <f t="shared" ref="O26" si="20">+N26-L26</f>
        <v>0</v>
      </c>
      <c r="P26" s="272"/>
    </row>
    <row r="27" spans="2:16">
      <c r="B27" s="195" t="str">
        <f t="shared" si="3"/>
        <v/>
      </c>
      <c r="C27" s="673">
        <f>IF(D11="","-",+C26+1)</f>
        <v>2024</v>
      </c>
      <c r="D27" s="523">
        <f>IF(F26+SUM(E$17:E26)=D$10,F26,D$10-SUM(E$17:E26))</f>
        <v>11655876.83304284</v>
      </c>
      <c r="E27" s="522">
        <f t="shared" ref="E27:E72" si="21">IF(+$I$14&lt;F26,$I$14,D27)</f>
        <v>337883.70522727276</v>
      </c>
      <c r="F27" s="523">
        <f t="shared" ref="F27:F72" si="22">+D27-E27</f>
        <v>11317993.127815567</v>
      </c>
      <c r="G27" s="524">
        <f t="shared" ref="G27:G51" si="23">+I$12*((D27+F27)/2)+E27</f>
        <v>1710884.0949343792</v>
      </c>
      <c r="H27" s="491">
        <f t="shared" ref="H27:H51" si="24">+I$13*((D27+F27)/2)+E27</f>
        <v>1710884.0949343792</v>
      </c>
      <c r="I27" s="511">
        <f t="shared" si="4"/>
        <v>0</v>
      </c>
      <c r="J27" s="511"/>
      <c r="K27" s="525"/>
      <c r="L27" s="514">
        <f t="shared" ref="L27:L72" si="25">IF(K27&lt;&gt;0,+G27-K27,0)</f>
        <v>0</v>
      </c>
      <c r="M27" s="525"/>
      <c r="N27" s="514">
        <f t="shared" si="5"/>
        <v>0</v>
      </c>
      <c r="O27" s="514">
        <f t="shared" si="6"/>
        <v>0</v>
      </c>
      <c r="P27" s="272"/>
    </row>
    <row r="28" spans="2:16">
      <c r="B28" s="195" t="str">
        <f t="shared" si="3"/>
        <v/>
      </c>
      <c r="C28" s="507">
        <f>IF(D11="","-",+C27+1)</f>
        <v>2025</v>
      </c>
      <c r="D28" s="523">
        <f>IF(F27+SUM(E$17:E27)=D$10,F27,D$10-SUM(E$17:E27))</f>
        <v>11317993.127815567</v>
      </c>
      <c r="E28" s="522">
        <f t="shared" si="21"/>
        <v>337883.70522727276</v>
      </c>
      <c r="F28" s="523">
        <f t="shared" si="22"/>
        <v>10980109.422588294</v>
      </c>
      <c r="G28" s="524">
        <f t="shared" si="23"/>
        <v>1670497.8248159259</v>
      </c>
      <c r="H28" s="491">
        <f t="shared" si="24"/>
        <v>1670497.8248159259</v>
      </c>
      <c r="I28" s="511">
        <f t="shared" si="4"/>
        <v>0</v>
      </c>
      <c r="J28" s="511"/>
      <c r="K28" s="525"/>
      <c r="L28" s="514">
        <f t="shared" si="25"/>
        <v>0</v>
      </c>
      <c r="M28" s="525"/>
      <c r="N28" s="514">
        <f t="shared" si="5"/>
        <v>0</v>
      </c>
      <c r="O28" s="514">
        <f t="shared" si="6"/>
        <v>0</v>
      </c>
      <c r="P28" s="272"/>
    </row>
    <row r="29" spans="2:16">
      <c r="B29" s="195" t="str">
        <f t="shared" si="3"/>
        <v/>
      </c>
      <c r="C29" s="507">
        <f>IF(D11="","-",+C28+1)</f>
        <v>2026</v>
      </c>
      <c r="D29" s="523">
        <f>IF(F28+SUM(E$17:E28)=D$10,F28,D$10-SUM(E$17:E28))</f>
        <v>10980109.422588294</v>
      </c>
      <c r="E29" s="522">
        <f t="shared" si="21"/>
        <v>337883.70522727276</v>
      </c>
      <c r="F29" s="523">
        <f t="shared" si="22"/>
        <v>10642225.717361022</v>
      </c>
      <c r="G29" s="524">
        <f t="shared" si="23"/>
        <v>1630111.5546974721</v>
      </c>
      <c r="H29" s="491">
        <f t="shared" si="24"/>
        <v>1630111.5546974721</v>
      </c>
      <c r="I29" s="511">
        <f t="shared" si="4"/>
        <v>0</v>
      </c>
      <c r="J29" s="511"/>
      <c r="K29" s="525"/>
      <c r="L29" s="514">
        <f t="shared" si="25"/>
        <v>0</v>
      </c>
      <c r="M29" s="525"/>
      <c r="N29" s="514">
        <f t="shared" si="5"/>
        <v>0</v>
      </c>
      <c r="O29" s="514">
        <f t="shared" si="6"/>
        <v>0</v>
      </c>
      <c r="P29" s="272"/>
    </row>
    <row r="30" spans="2:16">
      <c r="B30" s="195" t="str">
        <f t="shared" si="3"/>
        <v/>
      </c>
      <c r="C30" s="507">
        <f>IF(D11="","-",+C29+1)</f>
        <v>2027</v>
      </c>
      <c r="D30" s="523">
        <f>IF(F29+SUM(E$17:E29)=D$10,F29,D$10-SUM(E$17:E29))</f>
        <v>10642225.717361022</v>
      </c>
      <c r="E30" s="522">
        <f t="shared" si="21"/>
        <v>337883.70522727276</v>
      </c>
      <c r="F30" s="523">
        <f t="shared" si="22"/>
        <v>10304342.012133749</v>
      </c>
      <c r="G30" s="524">
        <f t="shared" si="23"/>
        <v>1589725.2845790188</v>
      </c>
      <c r="H30" s="491">
        <f t="shared" si="24"/>
        <v>1589725.2845790188</v>
      </c>
      <c r="I30" s="511">
        <f t="shared" si="4"/>
        <v>0</v>
      </c>
      <c r="J30" s="511"/>
      <c r="K30" s="525"/>
      <c r="L30" s="514">
        <f t="shared" si="25"/>
        <v>0</v>
      </c>
      <c r="M30" s="525"/>
      <c r="N30" s="514">
        <f t="shared" si="5"/>
        <v>0</v>
      </c>
      <c r="O30" s="514">
        <f t="shared" si="6"/>
        <v>0</v>
      </c>
      <c r="P30" s="272"/>
    </row>
    <row r="31" spans="2:16">
      <c r="B31" s="195" t="str">
        <f t="shared" si="3"/>
        <v/>
      </c>
      <c r="C31" s="507">
        <f>IF(D11="","-",+C30+1)</f>
        <v>2028</v>
      </c>
      <c r="D31" s="523">
        <f>IF(F30+SUM(E$17:E30)=D$10,F30,D$10-SUM(E$17:E30))</f>
        <v>10304342.012133749</v>
      </c>
      <c r="E31" s="522">
        <f t="shared" si="21"/>
        <v>337883.70522727276</v>
      </c>
      <c r="F31" s="523">
        <f t="shared" si="22"/>
        <v>9966458.3069064766</v>
      </c>
      <c r="G31" s="524">
        <f t="shared" si="23"/>
        <v>1549339.0144605651</v>
      </c>
      <c r="H31" s="491">
        <f t="shared" si="24"/>
        <v>1549339.0144605651</v>
      </c>
      <c r="I31" s="511">
        <f t="shared" si="4"/>
        <v>0</v>
      </c>
      <c r="J31" s="511"/>
      <c r="K31" s="525"/>
      <c r="L31" s="514">
        <f t="shared" si="25"/>
        <v>0</v>
      </c>
      <c r="M31" s="525"/>
      <c r="N31" s="514">
        <f t="shared" si="5"/>
        <v>0</v>
      </c>
      <c r="O31" s="514">
        <f t="shared" si="6"/>
        <v>0</v>
      </c>
      <c r="P31" s="272"/>
    </row>
    <row r="32" spans="2:16">
      <c r="B32" s="195" t="str">
        <f t="shared" si="3"/>
        <v/>
      </c>
      <c r="C32" s="507">
        <f>IF(D11="","-",+C31+1)</f>
        <v>2029</v>
      </c>
      <c r="D32" s="523">
        <f>IF(F31+SUM(E$17:E31)=D$10,F31,D$10-SUM(E$17:E31))</f>
        <v>9966458.3069064766</v>
      </c>
      <c r="E32" s="522">
        <f t="shared" si="21"/>
        <v>337883.70522727276</v>
      </c>
      <c r="F32" s="523">
        <f t="shared" si="22"/>
        <v>9628574.601679204</v>
      </c>
      <c r="G32" s="524">
        <f t="shared" si="23"/>
        <v>1508952.7443421117</v>
      </c>
      <c r="H32" s="491">
        <f t="shared" si="24"/>
        <v>1508952.7443421117</v>
      </c>
      <c r="I32" s="511">
        <f t="shared" si="4"/>
        <v>0</v>
      </c>
      <c r="J32" s="511"/>
      <c r="K32" s="525"/>
      <c r="L32" s="514">
        <f t="shared" si="25"/>
        <v>0</v>
      </c>
      <c r="M32" s="525"/>
      <c r="N32" s="514">
        <f t="shared" si="5"/>
        <v>0</v>
      </c>
      <c r="O32" s="514">
        <f t="shared" si="6"/>
        <v>0</v>
      </c>
      <c r="P32" s="272"/>
    </row>
    <row r="33" spans="2:16">
      <c r="B33" s="195" t="str">
        <f t="shared" si="3"/>
        <v/>
      </c>
      <c r="C33" s="507">
        <f>IF(D11="","-",+C32+1)</f>
        <v>2030</v>
      </c>
      <c r="D33" s="523">
        <f>IF(F32+SUM(E$17:E32)=D$10,F32,D$10-SUM(E$17:E32))</f>
        <v>9628574.601679204</v>
      </c>
      <c r="E33" s="522">
        <f t="shared" si="21"/>
        <v>337883.70522727276</v>
      </c>
      <c r="F33" s="523">
        <f t="shared" si="22"/>
        <v>9290690.8964519314</v>
      </c>
      <c r="G33" s="524">
        <f t="shared" si="23"/>
        <v>1468566.474223658</v>
      </c>
      <c r="H33" s="491">
        <f t="shared" si="24"/>
        <v>1468566.474223658</v>
      </c>
      <c r="I33" s="511">
        <f t="shared" si="4"/>
        <v>0</v>
      </c>
      <c r="J33" s="511"/>
      <c r="K33" s="525"/>
      <c r="L33" s="514">
        <f t="shared" si="25"/>
        <v>0</v>
      </c>
      <c r="M33" s="525"/>
      <c r="N33" s="514">
        <f t="shared" si="5"/>
        <v>0</v>
      </c>
      <c r="O33" s="514">
        <f t="shared" si="6"/>
        <v>0</v>
      </c>
      <c r="P33" s="272"/>
    </row>
    <row r="34" spans="2:16">
      <c r="B34" s="195" t="str">
        <f t="shared" si="3"/>
        <v/>
      </c>
      <c r="C34" s="507">
        <f>IF(D11="","-",+C33+1)</f>
        <v>2031</v>
      </c>
      <c r="D34" s="523">
        <f>IF(F33+SUM(E$17:E33)=D$10,F33,D$10-SUM(E$17:E33))</f>
        <v>9290690.8964519314</v>
      </c>
      <c r="E34" s="522">
        <f t="shared" si="21"/>
        <v>337883.70522727276</v>
      </c>
      <c r="F34" s="523">
        <f t="shared" si="22"/>
        <v>8952807.1912246589</v>
      </c>
      <c r="G34" s="524">
        <f t="shared" si="23"/>
        <v>1428180.2041052047</v>
      </c>
      <c r="H34" s="491">
        <f t="shared" si="24"/>
        <v>1428180.2041052047</v>
      </c>
      <c r="I34" s="511">
        <f t="shared" si="4"/>
        <v>0</v>
      </c>
      <c r="J34" s="511"/>
      <c r="K34" s="525"/>
      <c r="L34" s="514">
        <f t="shared" si="25"/>
        <v>0</v>
      </c>
      <c r="M34" s="525"/>
      <c r="N34" s="514">
        <f t="shared" si="5"/>
        <v>0</v>
      </c>
      <c r="O34" s="514">
        <f t="shared" si="6"/>
        <v>0</v>
      </c>
      <c r="P34" s="272"/>
    </row>
    <row r="35" spans="2:16">
      <c r="B35" s="195" t="str">
        <f t="shared" si="3"/>
        <v/>
      </c>
      <c r="C35" s="507">
        <f>IF(D11="","-",+C34+1)</f>
        <v>2032</v>
      </c>
      <c r="D35" s="523">
        <f>IF(F34+SUM(E$17:E34)=D$10,F34,D$10-SUM(E$17:E34))</f>
        <v>8952807.1912246589</v>
      </c>
      <c r="E35" s="522">
        <f t="shared" si="21"/>
        <v>337883.70522727276</v>
      </c>
      <c r="F35" s="523">
        <f t="shared" si="22"/>
        <v>8614923.4859973863</v>
      </c>
      <c r="G35" s="524">
        <f t="shared" si="23"/>
        <v>1387793.9339867511</v>
      </c>
      <c r="H35" s="491">
        <f t="shared" si="24"/>
        <v>1387793.9339867511</v>
      </c>
      <c r="I35" s="511">
        <f t="shared" si="4"/>
        <v>0</v>
      </c>
      <c r="J35" s="511"/>
      <c r="K35" s="525"/>
      <c r="L35" s="514">
        <f t="shared" si="25"/>
        <v>0</v>
      </c>
      <c r="M35" s="525"/>
      <c r="N35" s="514">
        <f t="shared" si="5"/>
        <v>0</v>
      </c>
      <c r="O35" s="514">
        <f t="shared" si="6"/>
        <v>0</v>
      </c>
      <c r="P35" s="272"/>
    </row>
    <row r="36" spans="2:16">
      <c r="B36" s="195" t="str">
        <f t="shared" si="3"/>
        <v/>
      </c>
      <c r="C36" s="507">
        <f>IF(D11="","-",+C35+1)</f>
        <v>2033</v>
      </c>
      <c r="D36" s="523">
        <f>IF(F35+SUM(E$17:E35)=D$10,F35,D$10-SUM(E$17:E35))</f>
        <v>8614923.4859973863</v>
      </c>
      <c r="E36" s="522">
        <f t="shared" si="21"/>
        <v>337883.70522727276</v>
      </c>
      <c r="F36" s="523">
        <f t="shared" si="22"/>
        <v>8277039.7807701137</v>
      </c>
      <c r="G36" s="524">
        <f t="shared" si="23"/>
        <v>1347407.6638682976</v>
      </c>
      <c r="H36" s="491">
        <f t="shared" si="24"/>
        <v>1347407.6638682976</v>
      </c>
      <c r="I36" s="511">
        <f t="shared" si="4"/>
        <v>0</v>
      </c>
      <c r="J36" s="511"/>
      <c r="K36" s="525"/>
      <c r="L36" s="514">
        <f t="shared" si="25"/>
        <v>0</v>
      </c>
      <c r="M36" s="525"/>
      <c r="N36" s="514">
        <f t="shared" si="5"/>
        <v>0</v>
      </c>
      <c r="O36" s="514">
        <f t="shared" si="6"/>
        <v>0</v>
      </c>
      <c r="P36" s="272"/>
    </row>
    <row r="37" spans="2:16">
      <c r="B37" s="195" t="str">
        <f t="shared" si="3"/>
        <v/>
      </c>
      <c r="C37" s="507">
        <f>IF(D11="","-",+C36+1)</f>
        <v>2034</v>
      </c>
      <c r="D37" s="523">
        <f>IF(F36+SUM(E$17:E36)=D$10,F36,D$10-SUM(E$17:E36))</f>
        <v>8277039.7807701137</v>
      </c>
      <c r="E37" s="522">
        <f t="shared" si="21"/>
        <v>337883.70522727276</v>
      </c>
      <c r="F37" s="523">
        <f t="shared" si="22"/>
        <v>7939156.0755428411</v>
      </c>
      <c r="G37" s="524">
        <f t="shared" si="23"/>
        <v>1307021.3937498441</v>
      </c>
      <c r="H37" s="491">
        <f t="shared" si="24"/>
        <v>1307021.3937498441</v>
      </c>
      <c r="I37" s="511">
        <f t="shared" si="4"/>
        <v>0</v>
      </c>
      <c r="J37" s="511"/>
      <c r="K37" s="525"/>
      <c r="L37" s="514">
        <f t="shared" si="25"/>
        <v>0</v>
      </c>
      <c r="M37" s="525"/>
      <c r="N37" s="514">
        <f t="shared" si="5"/>
        <v>0</v>
      </c>
      <c r="O37" s="514">
        <f t="shared" si="6"/>
        <v>0</v>
      </c>
      <c r="P37" s="272"/>
    </row>
    <row r="38" spans="2:16">
      <c r="B38" s="195" t="str">
        <f t="shared" si="3"/>
        <v/>
      </c>
      <c r="C38" s="507">
        <f>IF(D11="","-",+C37+1)</f>
        <v>2035</v>
      </c>
      <c r="D38" s="523">
        <f>IF(F37+SUM(E$17:E37)=D$10,F37,D$10-SUM(E$17:E37))</f>
        <v>7939156.0755428411</v>
      </c>
      <c r="E38" s="522">
        <f t="shared" si="21"/>
        <v>337883.70522727276</v>
      </c>
      <c r="F38" s="523">
        <f t="shared" si="22"/>
        <v>7601272.3703155685</v>
      </c>
      <c r="G38" s="524">
        <f t="shared" si="23"/>
        <v>1266635.1236313905</v>
      </c>
      <c r="H38" s="491">
        <f t="shared" si="24"/>
        <v>1266635.1236313905</v>
      </c>
      <c r="I38" s="511">
        <f t="shared" si="4"/>
        <v>0</v>
      </c>
      <c r="J38" s="511"/>
      <c r="K38" s="525"/>
      <c r="L38" s="514">
        <f t="shared" si="25"/>
        <v>0</v>
      </c>
      <c r="M38" s="525"/>
      <c r="N38" s="514">
        <f t="shared" si="5"/>
        <v>0</v>
      </c>
      <c r="O38" s="514">
        <f t="shared" si="6"/>
        <v>0</v>
      </c>
      <c r="P38" s="272"/>
    </row>
    <row r="39" spans="2:16">
      <c r="B39" s="195" t="str">
        <f t="shared" si="3"/>
        <v/>
      </c>
      <c r="C39" s="507">
        <f>IF(D11="","-",+C38+1)</f>
        <v>2036</v>
      </c>
      <c r="D39" s="523">
        <f>IF(F38+SUM(E$17:E38)=D$10,F38,D$10-SUM(E$17:E38))</f>
        <v>7601272.3703155685</v>
      </c>
      <c r="E39" s="522">
        <f t="shared" si="21"/>
        <v>337883.70522727276</v>
      </c>
      <c r="F39" s="523">
        <f t="shared" si="22"/>
        <v>7263388.6650882959</v>
      </c>
      <c r="G39" s="524">
        <f t="shared" si="23"/>
        <v>1226248.853512937</v>
      </c>
      <c r="H39" s="491">
        <f t="shared" si="24"/>
        <v>1226248.853512937</v>
      </c>
      <c r="I39" s="511">
        <f t="shared" si="4"/>
        <v>0</v>
      </c>
      <c r="J39" s="511"/>
      <c r="K39" s="525"/>
      <c r="L39" s="514">
        <f t="shared" si="25"/>
        <v>0</v>
      </c>
      <c r="M39" s="525"/>
      <c r="N39" s="514">
        <f t="shared" si="5"/>
        <v>0</v>
      </c>
      <c r="O39" s="514">
        <f t="shared" si="6"/>
        <v>0</v>
      </c>
      <c r="P39" s="272"/>
    </row>
    <row r="40" spans="2:16">
      <c r="B40" s="195" t="str">
        <f t="shared" si="3"/>
        <v/>
      </c>
      <c r="C40" s="507">
        <f>IF(D11="","-",+C39+1)</f>
        <v>2037</v>
      </c>
      <c r="D40" s="523">
        <f>IF(F39+SUM(E$17:E39)=D$10,F39,D$10-SUM(E$17:E39))</f>
        <v>7263388.6650882959</v>
      </c>
      <c r="E40" s="522">
        <f t="shared" si="21"/>
        <v>337883.70522727276</v>
      </c>
      <c r="F40" s="523">
        <f t="shared" si="22"/>
        <v>6925504.9598610234</v>
      </c>
      <c r="G40" s="524">
        <f t="shared" si="23"/>
        <v>1185862.5833944834</v>
      </c>
      <c r="H40" s="491">
        <f t="shared" si="24"/>
        <v>1185862.5833944834</v>
      </c>
      <c r="I40" s="511">
        <f t="shared" si="4"/>
        <v>0</v>
      </c>
      <c r="J40" s="511"/>
      <c r="K40" s="525"/>
      <c r="L40" s="514">
        <f t="shared" si="25"/>
        <v>0</v>
      </c>
      <c r="M40" s="525"/>
      <c r="N40" s="514">
        <f t="shared" si="5"/>
        <v>0</v>
      </c>
      <c r="O40" s="514">
        <f t="shared" si="6"/>
        <v>0</v>
      </c>
      <c r="P40" s="272"/>
    </row>
    <row r="41" spans="2:16">
      <c r="B41" s="195" t="str">
        <f t="shared" si="3"/>
        <v/>
      </c>
      <c r="C41" s="507">
        <f>IF(D11="","-",+C40+1)</f>
        <v>2038</v>
      </c>
      <c r="D41" s="523">
        <f>IF(F40+SUM(E$17:E40)=D$10,F40,D$10-SUM(E$17:E40))</f>
        <v>6925504.9598610234</v>
      </c>
      <c r="E41" s="522">
        <f t="shared" si="21"/>
        <v>337883.70522727276</v>
      </c>
      <c r="F41" s="523">
        <f t="shared" si="22"/>
        <v>6587621.2546337508</v>
      </c>
      <c r="G41" s="524">
        <f t="shared" si="23"/>
        <v>1145476.3132760299</v>
      </c>
      <c r="H41" s="491">
        <f t="shared" si="24"/>
        <v>1145476.3132760299</v>
      </c>
      <c r="I41" s="511">
        <f t="shared" si="4"/>
        <v>0</v>
      </c>
      <c r="J41" s="511"/>
      <c r="K41" s="525"/>
      <c r="L41" s="514">
        <f t="shared" si="25"/>
        <v>0</v>
      </c>
      <c r="M41" s="525"/>
      <c r="N41" s="514">
        <f t="shared" si="5"/>
        <v>0</v>
      </c>
      <c r="O41" s="514">
        <f t="shared" si="6"/>
        <v>0</v>
      </c>
      <c r="P41" s="272"/>
    </row>
    <row r="42" spans="2:16">
      <c r="B42" s="195" t="str">
        <f t="shared" si="3"/>
        <v/>
      </c>
      <c r="C42" s="507">
        <f>IF(D11="","-",+C41+1)</f>
        <v>2039</v>
      </c>
      <c r="D42" s="523">
        <f>IF(F41+SUM(E$17:E41)=D$10,F41,D$10-SUM(E$17:E41))</f>
        <v>6587621.2546337508</v>
      </c>
      <c r="E42" s="522">
        <f t="shared" si="21"/>
        <v>337883.70522727276</v>
      </c>
      <c r="F42" s="523">
        <f t="shared" si="22"/>
        <v>6249737.5494064782</v>
      </c>
      <c r="G42" s="524">
        <f t="shared" si="23"/>
        <v>1105090.0431575766</v>
      </c>
      <c r="H42" s="491">
        <f t="shared" si="24"/>
        <v>1105090.0431575766</v>
      </c>
      <c r="I42" s="511">
        <f t="shared" si="4"/>
        <v>0</v>
      </c>
      <c r="J42" s="511"/>
      <c r="K42" s="525"/>
      <c r="L42" s="514">
        <f t="shared" si="25"/>
        <v>0</v>
      </c>
      <c r="M42" s="525"/>
      <c r="N42" s="514">
        <f t="shared" si="5"/>
        <v>0</v>
      </c>
      <c r="O42" s="514">
        <f t="shared" si="6"/>
        <v>0</v>
      </c>
      <c r="P42" s="272"/>
    </row>
    <row r="43" spans="2:16">
      <c r="B43" s="195" t="str">
        <f t="shared" si="3"/>
        <v/>
      </c>
      <c r="C43" s="507">
        <f>IF(D11="","-",+C42+1)</f>
        <v>2040</v>
      </c>
      <c r="D43" s="523">
        <f>IF(F42+SUM(E$17:E42)=D$10,F42,D$10-SUM(E$17:E42))</f>
        <v>6249737.5494064782</v>
      </c>
      <c r="E43" s="522">
        <f t="shared" si="21"/>
        <v>337883.70522727276</v>
      </c>
      <c r="F43" s="523">
        <f t="shared" si="22"/>
        <v>5911853.8441792056</v>
      </c>
      <c r="G43" s="524">
        <f t="shared" si="23"/>
        <v>1064703.773039123</v>
      </c>
      <c r="H43" s="491">
        <f t="shared" si="24"/>
        <v>1064703.773039123</v>
      </c>
      <c r="I43" s="511">
        <f t="shared" si="4"/>
        <v>0</v>
      </c>
      <c r="J43" s="511"/>
      <c r="K43" s="525"/>
      <c r="L43" s="514">
        <f t="shared" si="25"/>
        <v>0</v>
      </c>
      <c r="M43" s="525"/>
      <c r="N43" s="514">
        <f t="shared" si="5"/>
        <v>0</v>
      </c>
      <c r="O43" s="514">
        <f t="shared" si="6"/>
        <v>0</v>
      </c>
      <c r="P43" s="272"/>
    </row>
    <row r="44" spans="2:16">
      <c r="B44" s="195" t="str">
        <f t="shared" si="3"/>
        <v/>
      </c>
      <c r="C44" s="507">
        <f>IF(D11="","-",+C43+1)</f>
        <v>2041</v>
      </c>
      <c r="D44" s="523">
        <f>IF(F43+SUM(E$17:E43)=D$10,F43,D$10-SUM(E$17:E43))</f>
        <v>5911853.8441792056</v>
      </c>
      <c r="E44" s="522">
        <f t="shared" si="21"/>
        <v>337883.70522727276</v>
      </c>
      <c r="F44" s="523">
        <f t="shared" si="22"/>
        <v>5573970.138951933</v>
      </c>
      <c r="G44" s="524">
        <f t="shared" si="23"/>
        <v>1024317.5029206695</v>
      </c>
      <c r="H44" s="491">
        <f t="shared" si="24"/>
        <v>1024317.5029206695</v>
      </c>
      <c r="I44" s="511">
        <f t="shared" si="4"/>
        <v>0</v>
      </c>
      <c r="J44" s="511"/>
      <c r="K44" s="525"/>
      <c r="L44" s="514">
        <f t="shared" si="25"/>
        <v>0</v>
      </c>
      <c r="M44" s="525"/>
      <c r="N44" s="514">
        <f t="shared" si="5"/>
        <v>0</v>
      </c>
      <c r="O44" s="514">
        <f t="shared" si="6"/>
        <v>0</v>
      </c>
      <c r="P44" s="272"/>
    </row>
    <row r="45" spans="2:16">
      <c r="B45" s="195" t="str">
        <f t="shared" si="3"/>
        <v/>
      </c>
      <c r="C45" s="507">
        <f>IF(D11="","-",+C44+1)</f>
        <v>2042</v>
      </c>
      <c r="D45" s="523">
        <f>IF(F44+SUM(E$17:E44)=D$10,F44,D$10-SUM(E$17:E44))</f>
        <v>5573970.138951933</v>
      </c>
      <c r="E45" s="522">
        <f t="shared" si="21"/>
        <v>337883.70522727276</v>
      </c>
      <c r="F45" s="523">
        <f t="shared" si="22"/>
        <v>5236086.4337246604</v>
      </c>
      <c r="G45" s="524">
        <f t="shared" si="23"/>
        <v>983931.23280221596</v>
      </c>
      <c r="H45" s="491">
        <f t="shared" si="24"/>
        <v>983931.23280221596</v>
      </c>
      <c r="I45" s="511">
        <f t="shared" si="4"/>
        <v>0</v>
      </c>
      <c r="J45" s="511"/>
      <c r="K45" s="525"/>
      <c r="L45" s="514">
        <f t="shared" si="25"/>
        <v>0</v>
      </c>
      <c r="M45" s="525"/>
      <c r="N45" s="514">
        <f t="shared" si="5"/>
        <v>0</v>
      </c>
      <c r="O45" s="514">
        <f t="shared" si="6"/>
        <v>0</v>
      </c>
      <c r="P45" s="272"/>
    </row>
    <row r="46" spans="2:16">
      <c r="B46" s="195" t="str">
        <f t="shared" si="3"/>
        <v/>
      </c>
      <c r="C46" s="507">
        <f>IF(D11="","-",+C45+1)</f>
        <v>2043</v>
      </c>
      <c r="D46" s="523">
        <f>IF(F45+SUM(E$17:E45)=D$10,F45,D$10-SUM(E$17:E45))</f>
        <v>5236086.4337246604</v>
      </c>
      <c r="E46" s="522">
        <f t="shared" si="21"/>
        <v>337883.70522727276</v>
      </c>
      <c r="F46" s="523">
        <f t="shared" si="22"/>
        <v>4898202.7284973878</v>
      </c>
      <c r="G46" s="524">
        <f t="shared" si="23"/>
        <v>943544.96268376242</v>
      </c>
      <c r="H46" s="491">
        <f t="shared" si="24"/>
        <v>943544.96268376242</v>
      </c>
      <c r="I46" s="511">
        <f t="shared" si="4"/>
        <v>0</v>
      </c>
      <c r="J46" s="511"/>
      <c r="K46" s="525"/>
      <c r="L46" s="514">
        <f t="shared" si="25"/>
        <v>0</v>
      </c>
      <c r="M46" s="525"/>
      <c r="N46" s="514">
        <f t="shared" si="5"/>
        <v>0</v>
      </c>
      <c r="O46" s="514">
        <f t="shared" si="6"/>
        <v>0</v>
      </c>
      <c r="P46" s="272"/>
    </row>
    <row r="47" spans="2:16">
      <c r="B47" s="195" t="str">
        <f t="shared" si="3"/>
        <v/>
      </c>
      <c r="C47" s="507">
        <f>IF(D11="","-",+C46+1)</f>
        <v>2044</v>
      </c>
      <c r="D47" s="523">
        <f>IF(F46+SUM(E$17:E46)=D$10,F46,D$10-SUM(E$17:E46))</f>
        <v>4898202.7284973878</v>
      </c>
      <c r="E47" s="522">
        <f t="shared" si="21"/>
        <v>337883.70522727276</v>
      </c>
      <c r="F47" s="523">
        <f t="shared" si="22"/>
        <v>4560319.0232701153</v>
      </c>
      <c r="G47" s="524">
        <f t="shared" si="23"/>
        <v>903158.69256530888</v>
      </c>
      <c r="H47" s="491">
        <f t="shared" si="24"/>
        <v>903158.69256530888</v>
      </c>
      <c r="I47" s="511">
        <f t="shared" si="4"/>
        <v>0</v>
      </c>
      <c r="J47" s="511"/>
      <c r="K47" s="525"/>
      <c r="L47" s="514">
        <f t="shared" si="25"/>
        <v>0</v>
      </c>
      <c r="M47" s="525"/>
      <c r="N47" s="514">
        <f t="shared" si="5"/>
        <v>0</v>
      </c>
      <c r="O47" s="514">
        <f t="shared" si="6"/>
        <v>0</v>
      </c>
      <c r="P47" s="272"/>
    </row>
    <row r="48" spans="2:16">
      <c r="B48" s="195" t="str">
        <f t="shared" si="3"/>
        <v/>
      </c>
      <c r="C48" s="507">
        <f>IF(D11="","-",+C47+1)</f>
        <v>2045</v>
      </c>
      <c r="D48" s="523">
        <f>IF(F47+SUM(E$17:E47)=D$10,F47,D$10-SUM(E$17:E47))</f>
        <v>4560319.0232701153</v>
      </c>
      <c r="E48" s="522">
        <f t="shared" si="21"/>
        <v>337883.70522727276</v>
      </c>
      <c r="F48" s="523">
        <f t="shared" si="22"/>
        <v>4222435.3180428427</v>
      </c>
      <c r="G48" s="524">
        <f t="shared" si="23"/>
        <v>862772.42244685534</v>
      </c>
      <c r="H48" s="491">
        <f t="shared" si="24"/>
        <v>862772.42244685534</v>
      </c>
      <c r="I48" s="511">
        <f t="shared" si="4"/>
        <v>0</v>
      </c>
      <c r="J48" s="511"/>
      <c r="K48" s="525"/>
      <c r="L48" s="514">
        <f t="shared" si="25"/>
        <v>0</v>
      </c>
      <c r="M48" s="525"/>
      <c r="N48" s="514">
        <f t="shared" si="5"/>
        <v>0</v>
      </c>
      <c r="O48" s="514">
        <f t="shared" si="6"/>
        <v>0</v>
      </c>
      <c r="P48" s="272"/>
    </row>
    <row r="49" spans="2:16">
      <c r="B49" s="195" t="str">
        <f t="shared" si="3"/>
        <v/>
      </c>
      <c r="C49" s="507">
        <f>IF(D11="","-",+C48+1)</f>
        <v>2046</v>
      </c>
      <c r="D49" s="523">
        <f>IF(F48+SUM(E$17:E48)=D$10,F48,D$10-SUM(E$17:E48))</f>
        <v>4222435.3180428427</v>
      </c>
      <c r="E49" s="522">
        <f t="shared" si="21"/>
        <v>337883.70522727276</v>
      </c>
      <c r="F49" s="523">
        <f t="shared" si="22"/>
        <v>3884551.6128155701</v>
      </c>
      <c r="G49" s="524">
        <f t="shared" si="23"/>
        <v>822386.1523284018</v>
      </c>
      <c r="H49" s="491">
        <f t="shared" si="24"/>
        <v>822386.1523284018</v>
      </c>
      <c r="I49" s="511">
        <f t="shared" si="4"/>
        <v>0</v>
      </c>
      <c r="J49" s="511"/>
      <c r="K49" s="525"/>
      <c r="L49" s="514">
        <f t="shared" si="25"/>
        <v>0</v>
      </c>
      <c r="M49" s="525"/>
      <c r="N49" s="514">
        <f t="shared" si="5"/>
        <v>0</v>
      </c>
      <c r="O49" s="514">
        <f t="shared" si="6"/>
        <v>0</v>
      </c>
      <c r="P49" s="272"/>
    </row>
    <row r="50" spans="2:16">
      <c r="B50" s="195" t="str">
        <f t="shared" si="3"/>
        <v/>
      </c>
      <c r="C50" s="507">
        <f>IF(D11="","-",+C49+1)</f>
        <v>2047</v>
      </c>
      <c r="D50" s="523">
        <f>IF(F49+SUM(E$17:E49)=D$10,F49,D$10-SUM(E$17:E49))</f>
        <v>3884551.6128155701</v>
      </c>
      <c r="E50" s="522">
        <f t="shared" si="21"/>
        <v>337883.70522727276</v>
      </c>
      <c r="F50" s="523">
        <f t="shared" si="22"/>
        <v>3546667.9075882975</v>
      </c>
      <c r="G50" s="524">
        <f t="shared" si="23"/>
        <v>781999.88220994838</v>
      </c>
      <c r="H50" s="491">
        <f t="shared" si="24"/>
        <v>781999.88220994838</v>
      </c>
      <c r="I50" s="511">
        <f t="shared" si="4"/>
        <v>0</v>
      </c>
      <c r="J50" s="511"/>
      <c r="K50" s="525"/>
      <c r="L50" s="514">
        <f t="shared" si="25"/>
        <v>0</v>
      </c>
      <c r="M50" s="525"/>
      <c r="N50" s="514">
        <f t="shared" si="5"/>
        <v>0</v>
      </c>
      <c r="O50" s="514">
        <f t="shared" si="6"/>
        <v>0</v>
      </c>
      <c r="P50" s="272"/>
    </row>
    <row r="51" spans="2:16">
      <c r="B51" s="195" t="str">
        <f t="shared" si="3"/>
        <v/>
      </c>
      <c r="C51" s="507">
        <f>IF(D11="","-",+C50+1)</f>
        <v>2048</v>
      </c>
      <c r="D51" s="523">
        <f>IF(F50+SUM(E$17:E50)=D$10,F50,D$10-SUM(E$17:E50))</f>
        <v>3546667.9075882975</v>
      </c>
      <c r="E51" s="522">
        <f t="shared" si="21"/>
        <v>337883.70522727276</v>
      </c>
      <c r="F51" s="523">
        <f t="shared" si="22"/>
        <v>3208784.2023610249</v>
      </c>
      <c r="G51" s="524">
        <f t="shared" si="23"/>
        <v>741613.61209149484</v>
      </c>
      <c r="H51" s="491">
        <f t="shared" si="24"/>
        <v>741613.61209149484</v>
      </c>
      <c r="I51" s="511">
        <f t="shared" si="4"/>
        <v>0</v>
      </c>
      <c r="J51" s="511"/>
      <c r="K51" s="525"/>
      <c r="L51" s="514">
        <f t="shared" si="25"/>
        <v>0</v>
      </c>
      <c r="M51" s="525"/>
      <c r="N51" s="514">
        <f t="shared" si="5"/>
        <v>0</v>
      </c>
      <c r="O51" s="514">
        <f t="shared" si="6"/>
        <v>0</v>
      </c>
      <c r="P51" s="272"/>
    </row>
    <row r="52" spans="2:16">
      <c r="B52" s="195" t="str">
        <f t="shared" si="3"/>
        <v/>
      </c>
      <c r="C52" s="507">
        <f>IF(D11="","-",+C51+1)</f>
        <v>2049</v>
      </c>
      <c r="D52" s="523">
        <f>IF(F51+SUM(E$17:E51)=D$10,F51,D$10-SUM(E$17:E51))</f>
        <v>3208784.2023610249</v>
      </c>
      <c r="E52" s="522">
        <f t="shared" si="21"/>
        <v>337883.70522727276</v>
      </c>
      <c r="F52" s="523">
        <f t="shared" si="22"/>
        <v>2870900.4971337523</v>
      </c>
      <c r="G52" s="524">
        <f t="shared" ref="G52:G72" si="26">+I$12*((D52+F52)/2)+E52</f>
        <v>701227.34197304142</v>
      </c>
      <c r="H52" s="491">
        <f t="shared" ref="H52:H72" si="27">+I$13*((D52+F52)/2)+E52</f>
        <v>701227.34197304142</v>
      </c>
      <c r="I52" s="511">
        <f t="shared" si="4"/>
        <v>0</v>
      </c>
      <c r="J52" s="511"/>
      <c r="K52" s="525"/>
      <c r="L52" s="514">
        <f t="shared" si="25"/>
        <v>0</v>
      </c>
      <c r="M52" s="525"/>
      <c r="N52" s="514">
        <f t="shared" si="5"/>
        <v>0</v>
      </c>
      <c r="O52" s="514">
        <f t="shared" si="6"/>
        <v>0</v>
      </c>
      <c r="P52" s="272"/>
    </row>
    <row r="53" spans="2:16">
      <c r="B53" s="195" t="str">
        <f t="shared" si="3"/>
        <v/>
      </c>
      <c r="C53" s="507">
        <f>IF(D11="","-",+C52+1)</f>
        <v>2050</v>
      </c>
      <c r="D53" s="523">
        <f>IF(F52+SUM(E$17:E52)=D$10,F52,D$10-SUM(E$17:E52))</f>
        <v>2870900.4971337523</v>
      </c>
      <c r="E53" s="522">
        <f t="shared" si="21"/>
        <v>337883.70522727276</v>
      </c>
      <c r="F53" s="523">
        <f t="shared" si="22"/>
        <v>2533016.7919064797</v>
      </c>
      <c r="G53" s="524">
        <f t="shared" si="26"/>
        <v>660841.07185458788</v>
      </c>
      <c r="H53" s="491">
        <f t="shared" si="27"/>
        <v>660841.07185458788</v>
      </c>
      <c r="I53" s="511">
        <f t="shared" si="4"/>
        <v>0</v>
      </c>
      <c r="J53" s="511"/>
      <c r="K53" s="525"/>
      <c r="L53" s="514">
        <f t="shared" si="25"/>
        <v>0</v>
      </c>
      <c r="M53" s="525"/>
      <c r="N53" s="514">
        <f t="shared" si="5"/>
        <v>0</v>
      </c>
      <c r="O53" s="514">
        <f t="shared" si="6"/>
        <v>0</v>
      </c>
      <c r="P53" s="272"/>
    </row>
    <row r="54" spans="2:16">
      <c r="B54" s="195" t="str">
        <f t="shared" si="3"/>
        <v/>
      </c>
      <c r="C54" s="507">
        <f>IF(D11="","-",+C53+1)</f>
        <v>2051</v>
      </c>
      <c r="D54" s="523">
        <f>IF(F53+SUM(E$17:E53)=D$10,F53,D$10-SUM(E$17:E53))</f>
        <v>2533016.7919064797</v>
      </c>
      <c r="E54" s="522">
        <f t="shared" si="21"/>
        <v>337883.70522727276</v>
      </c>
      <c r="F54" s="523">
        <f t="shared" si="22"/>
        <v>2195133.0866792072</v>
      </c>
      <c r="G54" s="524">
        <f t="shared" si="26"/>
        <v>620454.80173613434</v>
      </c>
      <c r="H54" s="491">
        <f t="shared" si="27"/>
        <v>620454.80173613434</v>
      </c>
      <c r="I54" s="511">
        <f t="shared" si="4"/>
        <v>0</v>
      </c>
      <c r="J54" s="511"/>
      <c r="K54" s="525"/>
      <c r="L54" s="514">
        <f t="shared" si="25"/>
        <v>0</v>
      </c>
      <c r="M54" s="525"/>
      <c r="N54" s="514">
        <f t="shared" si="5"/>
        <v>0</v>
      </c>
      <c r="O54" s="514">
        <f t="shared" si="6"/>
        <v>0</v>
      </c>
      <c r="P54" s="272"/>
    </row>
    <row r="55" spans="2:16">
      <c r="B55" s="195" t="str">
        <f t="shared" si="3"/>
        <v/>
      </c>
      <c r="C55" s="507">
        <f>IF(D11="","-",+C54+1)</f>
        <v>2052</v>
      </c>
      <c r="D55" s="523">
        <f>IF(F54+SUM(E$17:E54)=D$10,F54,D$10-SUM(E$17:E54))</f>
        <v>2195133.0866792072</v>
      </c>
      <c r="E55" s="522">
        <f t="shared" si="21"/>
        <v>337883.70522727276</v>
      </c>
      <c r="F55" s="523">
        <f t="shared" si="22"/>
        <v>1857249.3814519343</v>
      </c>
      <c r="G55" s="524">
        <f t="shared" si="26"/>
        <v>580068.5316176808</v>
      </c>
      <c r="H55" s="491">
        <f t="shared" si="27"/>
        <v>580068.5316176808</v>
      </c>
      <c r="I55" s="511">
        <f t="shared" si="4"/>
        <v>0</v>
      </c>
      <c r="J55" s="511"/>
      <c r="K55" s="525"/>
      <c r="L55" s="514">
        <f t="shared" si="25"/>
        <v>0</v>
      </c>
      <c r="M55" s="525"/>
      <c r="N55" s="514">
        <f t="shared" si="5"/>
        <v>0</v>
      </c>
      <c r="O55" s="514">
        <f t="shared" si="6"/>
        <v>0</v>
      </c>
      <c r="P55" s="272"/>
    </row>
    <row r="56" spans="2:16">
      <c r="B56" s="195" t="str">
        <f t="shared" si="3"/>
        <v/>
      </c>
      <c r="C56" s="507">
        <f>IF(D11="","-",+C55+1)</f>
        <v>2053</v>
      </c>
      <c r="D56" s="523">
        <f>IF(F55+SUM(E$17:E55)=D$10,F55,D$10-SUM(E$17:E55))</f>
        <v>1857249.3814519343</v>
      </c>
      <c r="E56" s="522">
        <f t="shared" si="21"/>
        <v>337883.70522727276</v>
      </c>
      <c r="F56" s="523">
        <f t="shared" si="22"/>
        <v>1519365.6762246615</v>
      </c>
      <c r="G56" s="524">
        <f t="shared" si="26"/>
        <v>539682.26149922726</v>
      </c>
      <c r="H56" s="491">
        <f t="shared" si="27"/>
        <v>539682.26149922726</v>
      </c>
      <c r="I56" s="511">
        <f t="shared" si="4"/>
        <v>0</v>
      </c>
      <c r="J56" s="511"/>
      <c r="K56" s="525"/>
      <c r="L56" s="514">
        <f t="shared" si="25"/>
        <v>0</v>
      </c>
      <c r="M56" s="525"/>
      <c r="N56" s="514">
        <f t="shared" si="5"/>
        <v>0</v>
      </c>
      <c r="O56" s="514">
        <f t="shared" si="6"/>
        <v>0</v>
      </c>
      <c r="P56" s="272"/>
    </row>
    <row r="57" spans="2:16">
      <c r="B57" s="195" t="str">
        <f t="shared" si="3"/>
        <v/>
      </c>
      <c r="C57" s="507">
        <f>IF(D11="","-",+C56+1)</f>
        <v>2054</v>
      </c>
      <c r="D57" s="523">
        <f>IF(F56+SUM(E$17:E56)=D$10,F56,D$10-SUM(E$17:E56))</f>
        <v>1519365.6762246615</v>
      </c>
      <c r="E57" s="522">
        <f t="shared" si="21"/>
        <v>337883.70522727276</v>
      </c>
      <c r="F57" s="523">
        <f t="shared" si="22"/>
        <v>1181481.9709973887</v>
      </c>
      <c r="G57" s="524">
        <f t="shared" si="26"/>
        <v>499295.99138077372</v>
      </c>
      <c r="H57" s="491">
        <f t="shared" si="27"/>
        <v>499295.99138077372</v>
      </c>
      <c r="I57" s="511">
        <f t="shared" si="4"/>
        <v>0</v>
      </c>
      <c r="J57" s="511"/>
      <c r="K57" s="525"/>
      <c r="L57" s="514">
        <f t="shared" si="25"/>
        <v>0</v>
      </c>
      <c r="M57" s="525"/>
      <c r="N57" s="514">
        <f t="shared" si="5"/>
        <v>0</v>
      </c>
      <c r="O57" s="514">
        <f t="shared" si="6"/>
        <v>0</v>
      </c>
      <c r="P57" s="272"/>
    </row>
    <row r="58" spans="2:16">
      <c r="B58" s="195" t="str">
        <f t="shared" si="3"/>
        <v/>
      </c>
      <c r="C58" s="507">
        <f>IF(D11="","-",+C57+1)</f>
        <v>2055</v>
      </c>
      <c r="D58" s="523">
        <f>IF(F57+SUM(E$17:E57)=D$10,F57,D$10-SUM(E$17:E57))</f>
        <v>1181481.9709973887</v>
      </c>
      <c r="E58" s="522">
        <f t="shared" si="21"/>
        <v>337883.70522727276</v>
      </c>
      <c r="F58" s="523">
        <f t="shared" si="22"/>
        <v>843598.26577011589</v>
      </c>
      <c r="G58" s="524">
        <f t="shared" si="26"/>
        <v>458909.72126232018</v>
      </c>
      <c r="H58" s="491">
        <f t="shared" si="27"/>
        <v>458909.72126232018</v>
      </c>
      <c r="I58" s="511">
        <f t="shared" si="4"/>
        <v>0</v>
      </c>
      <c r="J58" s="511"/>
      <c r="K58" s="525"/>
      <c r="L58" s="514">
        <f t="shared" si="25"/>
        <v>0</v>
      </c>
      <c r="M58" s="525"/>
      <c r="N58" s="514">
        <f t="shared" si="5"/>
        <v>0</v>
      </c>
      <c r="O58" s="514">
        <f t="shared" si="6"/>
        <v>0</v>
      </c>
      <c r="P58" s="272"/>
    </row>
    <row r="59" spans="2:16">
      <c r="B59" s="195" t="str">
        <f t="shared" si="3"/>
        <v/>
      </c>
      <c r="C59" s="507">
        <f>IF(D11="","-",+C58+1)</f>
        <v>2056</v>
      </c>
      <c r="D59" s="523">
        <f>IF(F58+SUM(E$17:E58)=D$10,F58,D$10-SUM(E$17:E58))</f>
        <v>843598.26577011589</v>
      </c>
      <c r="E59" s="522">
        <f t="shared" si="21"/>
        <v>337883.70522727276</v>
      </c>
      <c r="F59" s="523">
        <f t="shared" si="22"/>
        <v>505714.56054284313</v>
      </c>
      <c r="G59" s="524">
        <f t="shared" si="26"/>
        <v>418523.45114386664</v>
      </c>
      <c r="H59" s="491">
        <f t="shared" si="27"/>
        <v>418523.45114386664</v>
      </c>
      <c r="I59" s="511">
        <f t="shared" si="4"/>
        <v>0</v>
      </c>
      <c r="J59" s="511"/>
      <c r="K59" s="525"/>
      <c r="L59" s="514">
        <f t="shared" si="25"/>
        <v>0</v>
      </c>
      <c r="M59" s="525"/>
      <c r="N59" s="514">
        <f t="shared" si="5"/>
        <v>0</v>
      </c>
      <c r="O59" s="514">
        <f t="shared" si="6"/>
        <v>0</v>
      </c>
      <c r="P59" s="272"/>
    </row>
    <row r="60" spans="2:16">
      <c r="B60" s="195" t="str">
        <f t="shared" si="3"/>
        <v/>
      </c>
      <c r="C60" s="507">
        <f>IF(D11="","-",+C59+1)</f>
        <v>2057</v>
      </c>
      <c r="D60" s="523">
        <f>IF(F59+SUM(E$17:E59)=D$10,F59,D$10-SUM(E$17:E59))</f>
        <v>505714.56054284313</v>
      </c>
      <c r="E60" s="522">
        <f t="shared" si="21"/>
        <v>337883.70522727276</v>
      </c>
      <c r="F60" s="523">
        <f t="shared" si="22"/>
        <v>167830.85531557037</v>
      </c>
      <c r="G60" s="524">
        <f t="shared" si="26"/>
        <v>378137.1810254131</v>
      </c>
      <c r="H60" s="491">
        <f t="shared" si="27"/>
        <v>378137.1810254131</v>
      </c>
      <c r="I60" s="511">
        <f t="shared" si="4"/>
        <v>0</v>
      </c>
      <c r="J60" s="511"/>
      <c r="K60" s="525"/>
      <c r="L60" s="514">
        <f t="shared" si="25"/>
        <v>0</v>
      </c>
      <c r="M60" s="525"/>
      <c r="N60" s="514">
        <f t="shared" si="5"/>
        <v>0</v>
      </c>
      <c r="O60" s="514">
        <f t="shared" si="6"/>
        <v>0</v>
      </c>
      <c r="P60" s="272"/>
    </row>
    <row r="61" spans="2:16">
      <c r="B61" s="195" t="str">
        <f t="shared" si="3"/>
        <v/>
      </c>
      <c r="C61" s="507">
        <f>IF(D11="","-",+C60+1)</f>
        <v>2058</v>
      </c>
      <c r="D61" s="523">
        <f>IF(F60+SUM(E$17:E60)=D$10,F60,D$10-SUM(E$17:E60))</f>
        <v>167830.85531557037</v>
      </c>
      <c r="E61" s="522">
        <f t="shared" si="21"/>
        <v>167830.85531557037</v>
      </c>
      <c r="F61" s="523">
        <f t="shared" si="22"/>
        <v>0</v>
      </c>
      <c r="G61" s="524">
        <f t="shared" si="26"/>
        <v>177861.02568502715</v>
      </c>
      <c r="H61" s="491">
        <f t="shared" si="27"/>
        <v>177861.02568502715</v>
      </c>
      <c r="I61" s="511">
        <f t="shared" si="4"/>
        <v>0</v>
      </c>
      <c r="J61" s="511"/>
      <c r="K61" s="525"/>
      <c r="L61" s="514">
        <f t="shared" si="25"/>
        <v>0</v>
      </c>
      <c r="M61" s="525"/>
      <c r="N61" s="514">
        <f t="shared" si="5"/>
        <v>0</v>
      </c>
      <c r="O61" s="514">
        <f t="shared" si="6"/>
        <v>0</v>
      </c>
      <c r="P61" s="272"/>
    </row>
    <row r="62" spans="2:16">
      <c r="B62" s="195" t="str">
        <f t="shared" si="3"/>
        <v/>
      </c>
      <c r="C62" s="507">
        <f>IF(D11="","-",+C61+1)</f>
        <v>2059</v>
      </c>
      <c r="D62" s="523">
        <f>IF(F61+SUM(E$17:E61)=D$10,F61,D$10-SUM(E$17:E61))</f>
        <v>0</v>
      </c>
      <c r="E62" s="522">
        <f t="shared" si="21"/>
        <v>0</v>
      </c>
      <c r="F62" s="523">
        <f t="shared" si="22"/>
        <v>0</v>
      </c>
      <c r="G62" s="524">
        <f t="shared" si="26"/>
        <v>0</v>
      </c>
      <c r="H62" s="491">
        <f t="shared" si="27"/>
        <v>0</v>
      </c>
      <c r="I62" s="511">
        <f t="shared" si="4"/>
        <v>0</v>
      </c>
      <c r="J62" s="511"/>
      <c r="K62" s="525"/>
      <c r="L62" s="514">
        <f t="shared" si="25"/>
        <v>0</v>
      </c>
      <c r="M62" s="525"/>
      <c r="N62" s="514">
        <f t="shared" si="5"/>
        <v>0</v>
      </c>
      <c r="O62" s="514">
        <f t="shared" si="6"/>
        <v>0</v>
      </c>
      <c r="P62" s="272"/>
    </row>
    <row r="63" spans="2:16">
      <c r="B63" s="195" t="str">
        <f t="shared" si="3"/>
        <v/>
      </c>
      <c r="C63" s="507">
        <f>IF(D11="","-",+C62+1)</f>
        <v>2060</v>
      </c>
      <c r="D63" s="523">
        <f>IF(F62+SUM(E$17:E62)=D$10,F62,D$10-SUM(E$17:E62))</f>
        <v>0</v>
      </c>
      <c r="E63" s="522">
        <f t="shared" si="21"/>
        <v>0</v>
      </c>
      <c r="F63" s="523">
        <f t="shared" si="22"/>
        <v>0</v>
      </c>
      <c r="G63" s="524">
        <f t="shared" si="26"/>
        <v>0</v>
      </c>
      <c r="H63" s="491">
        <f t="shared" si="27"/>
        <v>0</v>
      </c>
      <c r="I63" s="511">
        <f t="shared" si="4"/>
        <v>0</v>
      </c>
      <c r="J63" s="511"/>
      <c r="K63" s="525"/>
      <c r="L63" s="514">
        <f t="shared" si="25"/>
        <v>0</v>
      </c>
      <c r="M63" s="525"/>
      <c r="N63" s="514">
        <f t="shared" si="5"/>
        <v>0</v>
      </c>
      <c r="O63" s="514">
        <f t="shared" si="6"/>
        <v>0</v>
      </c>
      <c r="P63" s="272"/>
    </row>
    <row r="64" spans="2:16">
      <c r="B64" s="195" t="str">
        <f t="shared" si="3"/>
        <v/>
      </c>
      <c r="C64" s="507">
        <f>IF(D11="","-",+C63+1)</f>
        <v>2061</v>
      </c>
      <c r="D64" s="523">
        <f>IF(F63+SUM(E$17:E63)=D$10,F63,D$10-SUM(E$17:E63))</f>
        <v>0</v>
      </c>
      <c r="E64" s="522">
        <f t="shared" si="21"/>
        <v>0</v>
      </c>
      <c r="F64" s="523">
        <f t="shared" si="22"/>
        <v>0</v>
      </c>
      <c r="G64" s="524">
        <f t="shared" si="26"/>
        <v>0</v>
      </c>
      <c r="H64" s="491">
        <f t="shared" si="27"/>
        <v>0</v>
      </c>
      <c r="I64" s="511">
        <f t="shared" si="4"/>
        <v>0</v>
      </c>
      <c r="J64" s="511"/>
      <c r="K64" s="525"/>
      <c r="L64" s="514">
        <f t="shared" si="25"/>
        <v>0</v>
      </c>
      <c r="M64" s="525"/>
      <c r="N64" s="514">
        <f t="shared" si="5"/>
        <v>0</v>
      </c>
      <c r="O64" s="514">
        <f t="shared" si="6"/>
        <v>0</v>
      </c>
      <c r="P64" s="272"/>
    </row>
    <row r="65" spans="2:16">
      <c r="B65" s="195" t="str">
        <f t="shared" si="3"/>
        <v/>
      </c>
      <c r="C65" s="507">
        <f>IF(D11="","-",+C64+1)</f>
        <v>2062</v>
      </c>
      <c r="D65" s="523">
        <f>IF(F64+SUM(E$17:E64)=D$10,F64,D$10-SUM(E$17:E64))</f>
        <v>0</v>
      </c>
      <c r="E65" s="522">
        <f t="shared" si="21"/>
        <v>0</v>
      </c>
      <c r="F65" s="523">
        <f t="shared" si="22"/>
        <v>0</v>
      </c>
      <c r="G65" s="524">
        <f t="shared" si="26"/>
        <v>0</v>
      </c>
      <c r="H65" s="491">
        <f t="shared" si="27"/>
        <v>0</v>
      </c>
      <c r="I65" s="511">
        <f t="shared" si="4"/>
        <v>0</v>
      </c>
      <c r="J65" s="511"/>
      <c r="K65" s="525"/>
      <c r="L65" s="514">
        <f t="shared" si="25"/>
        <v>0</v>
      </c>
      <c r="M65" s="525"/>
      <c r="N65" s="514">
        <f t="shared" si="5"/>
        <v>0</v>
      </c>
      <c r="O65" s="514">
        <f t="shared" si="6"/>
        <v>0</v>
      </c>
      <c r="P65" s="272"/>
    </row>
    <row r="66" spans="2:16">
      <c r="B66" s="195" t="str">
        <f t="shared" si="3"/>
        <v/>
      </c>
      <c r="C66" s="507">
        <f>IF(D11="","-",+C65+1)</f>
        <v>2063</v>
      </c>
      <c r="D66" s="523">
        <f>IF(F65+SUM(E$17:E65)=D$10,F65,D$10-SUM(E$17:E65))</f>
        <v>0</v>
      </c>
      <c r="E66" s="522">
        <f t="shared" si="21"/>
        <v>0</v>
      </c>
      <c r="F66" s="523">
        <f t="shared" si="22"/>
        <v>0</v>
      </c>
      <c r="G66" s="524">
        <f t="shared" si="26"/>
        <v>0</v>
      </c>
      <c r="H66" s="491">
        <f t="shared" si="27"/>
        <v>0</v>
      </c>
      <c r="I66" s="511">
        <f t="shared" si="4"/>
        <v>0</v>
      </c>
      <c r="J66" s="511"/>
      <c r="K66" s="525"/>
      <c r="L66" s="514">
        <f t="shared" si="25"/>
        <v>0</v>
      </c>
      <c r="M66" s="525"/>
      <c r="N66" s="514">
        <f t="shared" si="5"/>
        <v>0</v>
      </c>
      <c r="O66" s="514">
        <f t="shared" si="6"/>
        <v>0</v>
      </c>
      <c r="P66" s="272"/>
    </row>
    <row r="67" spans="2:16">
      <c r="B67" s="195" t="str">
        <f t="shared" si="3"/>
        <v/>
      </c>
      <c r="C67" s="507">
        <f>IF(D11="","-",+C66+1)</f>
        <v>2064</v>
      </c>
      <c r="D67" s="523">
        <f>IF(F66+SUM(E$17:E66)=D$10,F66,D$10-SUM(E$17:E66))</f>
        <v>0</v>
      </c>
      <c r="E67" s="522">
        <f t="shared" si="21"/>
        <v>0</v>
      </c>
      <c r="F67" s="523">
        <f t="shared" si="22"/>
        <v>0</v>
      </c>
      <c r="G67" s="524">
        <f t="shared" si="26"/>
        <v>0</v>
      </c>
      <c r="H67" s="491">
        <f t="shared" si="27"/>
        <v>0</v>
      </c>
      <c r="I67" s="511">
        <f t="shared" si="4"/>
        <v>0</v>
      </c>
      <c r="J67" s="511"/>
      <c r="K67" s="525"/>
      <c r="L67" s="514">
        <f t="shared" si="25"/>
        <v>0</v>
      </c>
      <c r="M67" s="525"/>
      <c r="N67" s="514">
        <f t="shared" si="5"/>
        <v>0</v>
      </c>
      <c r="O67" s="514">
        <f t="shared" si="6"/>
        <v>0</v>
      </c>
      <c r="P67" s="272"/>
    </row>
    <row r="68" spans="2:16">
      <c r="B68" s="195" t="str">
        <f t="shared" si="3"/>
        <v/>
      </c>
      <c r="C68" s="507">
        <f>IF(D11="","-",+C67+1)</f>
        <v>2065</v>
      </c>
      <c r="D68" s="523">
        <f>IF(F67+SUM(E$17:E67)=D$10,F67,D$10-SUM(E$17:E67))</f>
        <v>0</v>
      </c>
      <c r="E68" s="522">
        <f t="shared" si="21"/>
        <v>0</v>
      </c>
      <c r="F68" s="523">
        <f t="shared" si="22"/>
        <v>0</v>
      </c>
      <c r="G68" s="524">
        <f t="shared" si="26"/>
        <v>0</v>
      </c>
      <c r="H68" s="491">
        <f t="shared" si="27"/>
        <v>0</v>
      </c>
      <c r="I68" s="511">
        <f t="shared" si="4"/>
        <v>0</v>
      </c>
      <c r="J68" s="511"/>
      <c r="K68" s="525"/>
      <c r="L68" s="514">
        <f t="shared" si="25"/>
        <v>0</v>
      </c>
      <c r="M68" s="525"/>
      <c r="N68" s="514">
        <f t="shared" si="5"/>
        <v>0</v>
      </c>
      <c r="O68" s="514">
        <f t="shared" si="6"/>
        <v>0</v>
      </c>
      <c r="P68" s="272"/>
    </row>
    <row r="69" spans="2:16">
      <c r="B69" s="195" t="str">
        <f t="shared" si="3"/>
        <v/>
      </c>
      <c r="C69" s="507">
        <f>IF(D11="","-",+C68+1)</f>
        <v>2066</v>
      </c>
      <c r="D69" s="523">
        <f>IF(F68+SUM(E$17:E68)=D$10,F68,D$10-SUM(E$17:E68))</f>
        <v>0</v>
      </c>
      <c r="E69" s="522">
        <f t="shared" si="21"/>
        <v>0</v>
      </c>
      <c r="F69" s="523">
        <f t="shared" si="22"/>
        <v>0</v>
      </c>
      <c r="G69" s="524">
        <f t="shared" si="26"/>
        <v>0</v>
      </c>
      <c r="H69" s="491">
        <f t="shared" si="27"/>
        <v>0</v>
      </c>
      <c r="I69" s="511">
        <f t="shared" si="4"/>
        <v>0</v>
      </c>
      <c r="J69" s="511"/>
      <c r="K69" s="525"/>
      <c r="L69" s="514">
        <f t="shared" si="25"/>
        <v>0</v>
      </c>
      <c r="M69" s="525"/>
      <c r="N69" s="514">
        <f t="shared" si="5"/>
        <v>0</v>
      </c>
      <c r="O69" s="514">
        <f t="shared" si="6"/>
        <v>0</v>
      </c>
      <c r="P69" s="272"/>
    </row>
    <row r="70" spans="2:16">
      <c r="B70" s="195" t="str">
        <f t="shared" si="3"/>
        <v/>
      </c>
      <c r="C70" s="507">
        <f>IF(D11="","-",+C69+1)</f>
        <v>2067</v>
      </c>
      <c r="D70" s="523">
        <f>IF(F69+SUM(E$17:E69)=D$10,F69,D$10-SUM(E$17:E69))</f>
        <v>0</v>
      </c>
      <c r="E70" s="522">
        <f t="shared" si="21"/>
        <v>0</v>
      </c>
      <c r="F70" s="523">
        <f t="shared" si="22"/>
        <v>0</v>
      </c>
      <c r="G70" s="524">
        <f t="shared" si="26"/>
        <v>0</v>
      </c>
      <c r="H70" s="491">
        <f t="shared" si="27"/>
        <v>0</v>
      </c>
      <c r="I70" s="511">
        <f t="shared" si="4"/>
        <v>0</v>
      </c>
      <c r="J70" s="511"/>
      <c r="K70" s="525"/>
      <c r="L70" s="514">
        <f t="shared" si="25"/>
        <v>0</v>
      </c>
      <c r="M70" s="525"/>
      <c r="N70" s="514">
        <f t="shared" si="5"/>
        <v>0</v>
      </c>
      <c r="O70" s="514">
        <f t="shared" si="6"/>
        <v>0</v>
      </c>
      <c r="P70" s="272"/>
    </row>
    <row r="71" spans="2:16">
      <c r="B71" s="195" t="str">
        <f t="shared" si="3"/>
        <v/>
      </c>
      <c r="C71" s="507">
        <f>IF(D11="","-",+C70+1)</f>
        <v>2068</v>
      </c>
      <c r="D71" s="523">
        <f>IF(F70+SUM(E$17:E70)=D$10,F70,D$10-SUM(E$17:E70))</f>
        <v>0</v>
      </c>
      <c r="E71" s="522">
        <f t="shared" si="21"/>
        <v>0</v>
      </c>
      <c r="F71" s="523">
        <f t="shared" si="22"/>
        <v>0</v>
      </c>
      <c r="G71" s="524">
        <f t="shared" si="26"/>
        <v>0</v>
      </c>
      <c r="H71" s="491">
        <f t="shared" si="27"/>
        <v>0</v>
      </c>
      <c r="I71" s="511">
        <f t="shared" si="4"/>
        <v>0</v>
      </c>
      <c r="J71" s="511"/>
      <c r="K71" s="525"/>
      <c r="L71" s="514">
        <f t="shared" si="25"/>
        <v>0</v>
      </c>
      <c r="M71" s="525"/>
      <c r="N71" s="514">
        <f t="shared" si="5"/>
        <v>0</v>
      </c>
      <c r="O71" s="514">
        <f t="shared" si="6"/>
        <v>0</v>
      </c>
      <c r="P71" s="272"/>
    </row>
    <row r="72" spans="2:16" ht="13.5" thickBot="1">
      <c r="B72" s="195" t="str">
        <f t="shared" si="3"/>
        <v/>
      </c>
      <c r="C72" s="527">
        <f>IF(D11="","-",+C71+1)</f>
        <v>2069</v>
      </c>
      <c r="D72" s="523">
        <f>IF(F71+SUM(E$17:E71)=D$10,F71,D$10-SUM(E$17:E71))</f>
        <v>0</v>
      </c>
      <c r="E72" s="522">
        <f t="shared" si="21"/>
        <v>0</v>
      </c>
      <c r="F72" s="523">
        <f t="shared" si="22"/>
        <v>0</v>
      </c>
      <c r="G72" s="524">
        <f t="shared" si="26"/>
        <v>0</v>
      </c>
      <c r="H72" s="491">
        <f t="shared" si="27"/>
        <v>0</v>
      </c>
      <c r="I72" s="511">
        <f t="shared" si="4"/>
        <v>0</v>
      </c>
      <c r="J72" s="511"/>
      <c r="K72" s="532"/>
      <c r="L72" s="533">
        <f t="shared" si="25"/>
        <v>0</v>
      </c>
      <c r="M72" s="532"/>
      <c r="N72" s="533">
        <f t="shared" si="5"/>
        <v>0</v>
      </c>
      <c r="O72" s="533">
        <f t="shared" si="6"/>
        <v>0</v>
      </c>
      <c r="P72" s="272"/>
    </row>
    <row r="73" spans="2:16">
      <c r="C73" s="374" t="s">
        <v>78</v>
      </c>
      <c r="D73" s="375"/>
      <c r="E73" s="375">
        <f>SUM(E17:E72)</f>
        <v>14866883.029999999</v>
      </c>
      <c r="F73" s="375"/>
      <c r="G73" s="375">
        <f>SUM(G17:G72)</f>
        <v>55203322.892686032</v>
      </c>
      <c r="H73" s="375">
        <f>SUM(H17:H72)</f>
        <v>55203322.892686032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2:16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2:16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2:16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2:16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272"/>
      <c r="P77" s="272"/>
    </row>
    <row r="78" spans="2:16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2:16"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  <c r="O79" s="269"/>
      <c r="P79" s="269"/>
    </row>
    <row r="80" spans="2:16" ht="18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6">
      <c r="B81" s="269"/>
      <c r="C81" s="340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6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</row>
    <row r="83" spans="1:16" ht="20.25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451" t="str">
        <f ca="1">P1</f>
        <v>SWEPCO Project 43 of 75</v>
      </c>
    </row>
    <row r="84" spans="1:16" ht="18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538" t="s">
        <v>128</v>
      </c>
    </row>
    <row r="85" spans="1:16" ht="18.7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</row>
    <row r="86" spans="1:16" ht="15.75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2022</v>
      </c>
      <c r="M86" s="541" t="s">
        <v>9</v>
      </c>
      <c r="N86" s="542" t="s">
        <v>159</v>
      </c>
      <c r="O86" s="543" t="s">
        <v>11</v>
      </c>
      <c r="P86" s="269"/>
    </row>
    <row r="87" spans="1:16" ht="1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391</v>
      </c>
      <c r="M87" s="546">
        <f>IF(J92&lt;D11,0,VLOOKUP(J92,C17:O72,9))</f>
        <v>1724311.275069321</v>
      </c>
      <c r="N87" s="546">
        <f>IF(J92&lt;D11,0,VLOOKUP(J92,C17:O72,11))</f>
        <v>1724311.275069321</v>
      </c>
      <c r="O87" s="547">
        <f>+N87-M87</f>
        <v>0</v>
      </c>
      <c r="P87" s="269"/>
    </row>
    <row r="88" spans="1:16" ht="15.7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392</v>
      </c>
      <c r="M88" s="550">
        <f>IF(J92&lt;D11,0,VLOOKUP(J92,C99:P154,6))</f>
        <v>1789197.3319919659</v>
      </c>
      <c r="N88" s="550">
        <f>IF(J92&lt;D11,0,VLOOKUP(J92,C99:P154,7))</f>
        <v>1789197.3319919659</v>
      </c>
      <c r="O88" s="551">
        <f>+N88-M88</f>
        <v>0</v>
      </c>
      <c r="P88" s="269"/>
    </row>
    <row r="89" spans="1:16" ht="13.5" thickBot="1">
      <c r="C89" s="467" t="s">
        <v>84</v>
      </c>
      <c r="D89" s="552" t="str">
        <f>+D7</f>
        <v>Diana to Perdue 138 kV Rebuild 21.8 miles; Station Upgrades at Diana and Perdue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64886.056922644842</v>
      </c>
      <c r="N89" s="555">
        <f>+N88-N87</f>
        <v>64886.056922644842</v>
      </c>
      <c r="O89" s="556">
        <f>+O88-O87</f>
        <v>0</v>
      </c>
      <c r="P89" s="269"/>
    </row>
    <row r="90" spans="1:16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</row>
    <row r="91" spans="1:16" ht="13.5" thickBot="1">
      <c r="A91" s="191"/>
      <c r="C91" s="558" t="s">
        <v>85</v>
      </c>
      <c r="D91" s="559" t="str">
        <f>+D9</f>
        <v>TP2011023</v>
      </c>
      <c r="E91" s="560"/>
      <c r="F91" s="560"/>
      <c r="G91" s="560"/>
      <c r="H91" s="560"/>
      <c r="I91" s="560"/>
      <c r="J91" s="560"/>
      <c r="K91" s="562"/>
      <c r="P91" s="481"/>
    </row>
    <row r="92" spans="1:16">
      <c r="C92" s="486" t="s">
        <v>51</v>
      </c>
      <c r="D92" s="483">
        <v>14866883</v>
      </c>
      <c r="E92" s="340" t="s">
        <v>86</v>
      </c>
      <c r="H92" s="484"/>
      <c r="I92" s="484"/>
      <c r="J92" s="485">
        <f>+'SWE.WS.G.BPU.ATRR.True-up'!M16</f>
        <v>2022</v>
      </c>
      <c r="K92" s="480"/>
      <c r="L92" s="375" t="s">
        <v>87</v>
      </c>
      <c r="P92" s="272"/>
    </row>
    <row r="93" spans="1:16">
      <c r="C93" s="486" t="s">
        <v>54</v>
      </c>
      <c r="D93" s="563">
        <f>IF(D11=I10,"",D11)</f>
        <v>2014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</row>
    <row r="94" spans="1:16">
      <c r="C94" s="486" t="s">
        <v>56</v>
      </c>
      <c r="D94" s="564">
        <f>IF(D11=I10,"",D12)</f>
        <v>11</v>
      </c>
      <c r="E94" s="486" t="s">
        <v>57</v>
      </c>
      <c r="F94" s="484"/>
      <c r="G94" s="484"/>
      <c r="J94" s="490">
        <f>'SWE.WS.G.BPU.ATRR.True-up'!$F$81</f>
        <v>0.11351422637179906</v>
      </c>
      <c r="K94" s="425"/>
      <c r="L94" s="183" t="s">
        <v>88</v>
      </c>
      <c r="P94" s="272"/>
    </row>
    <row r="95" spans="1:16">
      <c r="C95" s="486" t="s">
        <v>59</v>
      </c>
      <c r="D95" s="488">
        <f>'SWE.WS.G.BPU.ATRR.True-up'!F$93</f>
        <v>41</v>
      </c>
      <c r="E95" s="486" t="s">
        <v>60</v>
      </c>
      <c r="F95" s="484"/>
      <c r="G95" s="484"/>
      <c r="J95" s="490">
        <f>IF(H87="",J94,'SWE.WS.G.BPU.ATRR.True-up'!$F$80)</f>
        <v>0.11351422637179906</v>
      </c>
      <c r="K95" s="324"/>
      <c r="L95" s="375" t="s">
        <v>61</v>
      </c>
      <c r="M95" s="324"/>
      <c r="N95" s="324"/>
      <c r="O95" s="324"/>
      <c r="P95" s="272"/>
    </row>
    <row r="96" spans="1:16" ht="13.5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362606.90243902442</v>
      </c>
      <c r="K96" s="375"/>
      <c r="L96" s="375"/>
      <c r="M96" s="375"/>
      <c r="N96" s="375"/>
      <c r="O96" s="375"/>
      <c r="P96" s="272"/>
    </row>
    <row r="97" spans="1:16" ht="38.25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388</v>
      </c>
      <c r="I97" s="495" t="s">
        <v>389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</row>
    <row r="98" spans="1:16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</row>
    <row r="99" spans="1:16">
      <c r="C99" s="507">
        <f>IF(D93= "","-",D93)</f>
        <v>2014</v>
      </c>
      <c r="D99" s="629">
        <v>0</v>
      </c>
      <c r="E99" s="630">
        <v>0</v>
      </c>
      <c r="F99" s="631">
        <v>14986466</v>
      </c>
      <c r="G99" s="632">
        <v>7493233</v>
      </c>
      <c r="H99" s="633">
        <v>1018506.1541813499</v>
      </c>
      <c r="I99" s="634">
        <v>1018506.1541813499</v>
      </c>
      <c r="J99" s="514">
        <v>0</v>
      </c>
      <c r="K99" s="514"/>
      <c r="L99" s="518">
        <f t="shared" ref="L99:L105" si="28">H99</f>
        <v>1018506.1541813499</v>
      </c>
      <c r="M99" s="519">
        <f t="shared" ref="M99:M105" si="29">IF(L99&lt;&gt;0,+H99-L99,0)</f>
        <v>0</v>
      </c>
      <c r="N99" s="518">
        <f t="shared" ref="N99:N105" si="30">I99</f>
        <v>1018506.1541813499</v>
      </c>
      <c r="O99" s="514">
        <f>IF(N99&lt;&gt;0,+I99-N99,0)</f>
        <v>0</v>
      </c>
      <c r="P99" s="514">
        <f>+O99-M99</f>
        <v>0</v>
      </c>
    </row>
    <row r="100" spans="1:16">
      <c r="B100" s="195" t="str">
        <f>IF(D100=F99,"","IU")</f>
        <v>IU</v>
      </c>
      <c r="C100" s="507">
        <f>IF(D93="","-",+C99+1)</f>
        <v>2015</v>
      </c>
      <c r="D100" s="629">
        <v>14902882.880000001</v>
      </c>
      <c r="E100" s="630">
        <v>354830.54476190481</v>
      </c>
      <c r="F100" s="631">
        <v>14548052.335238095</v>
      </c>
      <c r="G100" s="631">
        <v>14725467.607619047</v>
      </c>
      <c r="H100" s="633">
        <v>2295188.8876024</v>
      </c>
      <c r="I100" s="634">
        <v>2295188.8876024</v>
      </c>
      <c r="J100" s="514">
        <f>+I100-H100</f>
        <v>0</v>
      </c>
      <c r="K100" s="514"/>
      <c r="L100" s="518">
        <f t="shared" si="28"/>
        <v>2295188.8876024</v>
      </c>
      <c r="M100" s="519">
        <f t="shared" si="29"/>
        <v>0</v>
      </c>
      <c r="N100" s="518">
        <f t="shared" si="30"/>
        <v>2295188.8876024</v>
      </c>
      <c r="O100" s="514">
        <f>IF(N100&lt;&gt;0,+I100-N100,0)</f>
        <v>0</v>
      </c>
      <c r="P100" s="514">
        <f>+O100-M100</f>
        <v>0</v>
      </c>
    </row>
    <row r="101" spans="1:16">
      <c r="B101" s="195" t="str">
        <f t="shared" ref="B101:B154" si="31">IF(D101=F100,"","IU")</f>
        <v>IU</v>
      </c>
      <c r="C101" s="507">
        <f>IF(D93="","-",+C100+1)</f>
        <v>2016</v>
      </c>
      <c r="D101" s="629">
        <v>14512052.455238095</v>
      </c>
      <c r="E101" s="630">
        <v>345741.46511627908</v>
      </c>
      <c r="F101" s="631">
        <v>14166310.990121815</v>
      </c>
      <c r="G101" s="631">
        <v>14339181.722679954</v>
      </c>
      <c r="H101" s="633">
        <v>2166100.4168751929</v>
      </c>
      <c r="I101" s="634">
        <v>2166100.4168751929</v>
      </c>
      <c r="J101" s="514">
        <f t="shared" ref="J101:J154" si="32">+I101-H101</f>
        <v>0</v>
      </c>
      <c r="K101" s="514"/>
      <c r="L101" s="518">
        <f t="shared" si="28"/>
        <v>2166100.4168751929</v>
      </c>
      <c r="M101" s="519">
        <f t="shared" si="29"/>
        <v>0</v>
      </c>
      <c r="N101" s="518">
        <f t="shared" si="30"/>
        <v>2166100.4168751929</v>
      </c>
      <c r="O101" s="514">
        <f>IF(N101&lt;&gt;0,+I101-N101,0)</f>
        <v>0</v>
      </c>
      <c r="P101" s="514">
        <f>+O101-M101</f>
        <v>0</v>
      </c>
    </row>
    <row r="102" spans="1:16">
      <c r="B102" s="195" t="str">
        <f t="shared" si="31"/>
        <v/>
      </c>
      <c r="C102" s="507">
        <f>IF(D93="","-",+C101+1)</f>
        <v>2017</v>
      </c>
      <c r="D102" s="629">
        <v>14166310.990121815</v>
      </c>
      <c r="E102" s="630">
        <v>353973.40476190473</v>
      </c>
      <c r="F102" s="631">
        <v>13812337.585359911</v>
      </c>
      <c r="G102" s="631">
        <v>13989324.287740864</v>
      </c>
      <c r="H102" s="633">
        <v>2053277.0180077213</v>
      </c>
      <c r="I102" s="634">
        <v>2053277.0180077213</v>
      </c>
      <c r="J102" s="514">
        <f t="shared" si="32"/>
        <v>0</v>
      </c>
      <c r="K102" s="514"/>
      <c r="L102" s="518">
        <f t="shared" si="28"/>
        <v>2053277.0180077213</v>
      </c>
      <c r="M102" s="519">
        <f t="shared" si="29"/>
        <v>0</v>
      </c>
      <c r="N102" s="518">
        <f t="shared" si="30"/>
        <v>2053277.0180077213</v>
      </c>
      <c r="O102" s="514">
        <f>IF(N102&lt;&gt;0,+I102-N102,0)</f>
        <v>0</v>
      </c>
      <c r="P102" s="514">
        <f>+O102-M102</f>
        <v>0</v>
      </c>
    </row>
    <row r="103" spans="1:16">
      <c r="B103" s="195" t="str">
        <f t="shared" si="31"/>
        <v/>
      </c>
      <c r="C103" s="507">
        <f>IF(D93="","-",+C102+1)</f>
        <v>2018</v>
      </c>
      <c r="D103" s="629">
        <v>13812337.585359911</v>
      </c>
      <c r="E103" s="630">
        <v>353973.40476190473</v>
      </c>
      <c r="F103" s="631">
        <v>13458364.180598006</v>
      </c>
      <c r="G103" s="631">
        <v>13635350.882978957</v>
      </c>
      <c r="H103" s="633">
        <v>1793928.9872663962</v>
      </c>
      <c r="I103" s="634">
        <v>1793928.9872663962</v>
      </c>
      <c r="J103" s="514">
        <f t="shared" si="32"/>
        <v>0</v>
      </c>
      <c r="K103" s="514"/>
      <c r="L103" s="518">
        <f t="shared" si="28"/>
        <v>1793928.9872663962</v>
      </c>
      <c r="M103" s="519">
        <f t="shared" si="29"/>
        <v>0</v>
      </c>
      <c r="N103" s="518">
        <f t="shared" si="30"/>
        <v>1793928.9872663962</v>
      </c>
      <c r="O103" s="514">
        <f>IF(N103&lt;&gt;0,+I103-N103,0)</f>
        <v>0</v>
      </c>
      <c r="P103" s="514">
        <f>+O103-M103</f>
        <v>0</v>
      </c>
    </row>
    <row r="104" spans="1:16">
      <c r="B104" s="195" t="str">
        <f t="shared" si="31"/>
        <v/>
      </c>
      <c r="C104" s="507">
        <f>IF(D93="","-",+C103+1)</f>
        <v>2019</v>
      </c>
      <c r="D104" s="629">
        <v>13458364.180598006</v>
      </c>
      <c r="E104" s="630">
        <v>345741.46511627908</v>
      </c>
      <c r="F104" s="631">
        <v>13112622.715481726</v>
      </c>
      <c r="G104" s="631">
        <v>13285493.448039867</v>
      </c>
      <c r="H104" s="633">
        <v>1767827.9448754457</v>
      </c>
      <c r="I104" s="634">
        <v>1767827.9448754457</v>
      </c>
      <c r="J104" s="514">
        <f t="shared" si="32"/>
        <v>0</v>
      </c>
      <c r="K104" s="514"/>
      <c r="L104" s="518">
        <f t="shared" si="28"/>
        <v>1767827.9448754457</v>
      </c>
      <c r="M104" s="519">
        <f t="shared" si="29"/>
        <v>0</v>
      </c>
      <c r="N104" s="518">
        <f t="shared" si="30"/>
        <v>1767827.9448754457</v>
      </c>
      <c r="O104" s="514">
        <f t="shared" ref="O104:O130" si="33">IF(N104&lt;&gt;0,+I104-N104,0)</f>
        <v>0</v>
      </c>
      <c r="P104" s="514">
        <f t="shared" ref="P104:P130" si="34">+O104-M104</f>
        <v>0</v>
      </c>
    </row>
    <row r="105" spans="1:16">
      <c r="B105" s="195" t="str">
        <f t="shared" si="31"/>
        <v/>
      </c>
      <c r="C105" s="507">
        <f>IF(D93="","-",+C104+1)</f>
        <v>2020</v>
      </c>
      <c r="D105" s="629">
        <v>13112622.715481726</v>
      </c>
      <c r="E105" s="630">
        <v>353973.40476190473</v>
      </c>
      <c r="F105" s="631">
        <v>12758649.310719822</v>
      </c>
      <c r="G105" s="631">
        <v>12935636.013100773</v>
      </c>
      <c r="H105" s="633">
        <v>1745509.3465257157</v>
      </c>
      <c r="I105" s="634">
        <v>1745509.3465257157</v>
      </c>
      <c r="J105" s="514">
        <f t="shared" si="32"/>
        <v>0</v>
      </c>
      <c r="K105" s="514"/>
      <c r="L105" s="518">
        <f t="shared" si="28"/>
        <v>1745509.3465257157</v>
      </c>
      <c r="M105" s="519">
        <f t="shared" si="29"/>
        <v>0</v>
      </c>
      <c r="N105" s="518">
        <f t="shared" si="30"/>
        <v>1745509.3465257157</v>
      </c>
      <c r="O105" s="514">
        <f t="shared" si="33"/>
        <v>0</v>
      </c>
      <c r="P105" s="514">
        <f t="shared" si="34"/>
        <v>0</v>
      </c>
    </row>
    <row r="106" spans="1:16">
      <c r="B106" s="195" t="str">
        <f t="shared" si="31"/>
        <v/>
      </c>
      <c r="C106" s="507">
        <f>IF(D93="","-",+C105+1)</f>
        <v>2021</v>
      </c>
      <c r="D106" s="629">
        <v>12758649.310719822</v>
      </c>
      <c r="E106" s="630">
        <v>362606.90243902442</v>
      </c>
      <c r="F106" s="631">
        <v>12396042.408280797</v>
      </c>
      <c r="G106" s="631">
        <v>12577345.859500309</v>
      </c>
      <c r="H106" s="633">
        <v>1790314.5874907523</v>
      </c>
      <c r="I106" s="634">
        <v>1790314.5874907523</v>
      </c>
      <c r="J106" s="514">
        <f t="shared" si="32"/>
        <v>0</v>
      </c>
      <c r="K106" s="514"/>
      <c r="L106" s="518">
        <f t="shared" ref="L106" si="35">H106</f>
        <v>1790314.5874907523</v>
      </c>
      <c r="M106" s="519">
        <f t="shared" ref="M106" si="36">IF(L106&lt;&gt;0,+H106-L106,0)</f>
        <v>0</v>
      </c>
      <c r="N106" s="518">
        <f t="shared" ref="N106" si="37">I106</f>
        <v>1790314.5874907523</v>
      </c>
      <c r="O106" s="514">
        <f t="shared" ref="O106" si="38">IF(N106&lt;&gt;0,+I106-N106,0)</f>
        <v>0</v>
      </c>
      <c r="P106" s="514">
        <f t="shared" ref="P106" si="39">+O106-M106</f>
        <v>0</v>
      </c>
    </row>
    <row r="107" spans="1:16">
      <c r="B107" s="195" t="str">
        <f t="shared" si="31"/>
        <v/>
      </c>
      <c r="C107" s="673">
        <f>IF(D93="","-",+C106+1)</f>
        <v>2022</v>
      </c>
      <c r="D107" s="374">
        <v>12396042.408280797</v>
      </c>
      <c r="E107" s="522">
        <v>353973.40476190473</v>
      </c>
      <c r="F107" s="523">
        <v>12042069.003518892</v>
      </c>
      <c r="G107" s="523">
        <v>12219055.705899846</v>
      </c>
      <c r="H107" s="526">
        <v>1789197.3319919659</v>
      </c>
      <c r="I107" s="577">
        <v>1789197.3319919659</v>
      </c>
      <c r="J107" s="514">
        <f t="shared" si="32"/>
        <v>0</v>
      </c>
      <c r="K107" s="514"/>
      <c r="L107" s="525"/>
      <c r="M107" s="514">
        <f t="shared" ref="M107:M130" si="40">IF(L107&lt;&gt;0,+H107-L107,0)</f>
        <v>0</v>
      </c>
      <c r="N107" s="525"/>
      <c r="O107" s="514">
        <f t="shared" si="33"/>
        <v>0</v>
      </c>
      <c r="P107" s="514">
        <f t="shared" si="34"/>
        <v>0</v>
      </c>
    </row>
    <row r="108" spans="1:16">
      <c r="B108" s="195" t="str">
        <f t="shared" si="31"/>
        <v/>
      </c>
      <c r="C108" s="507">
        <f>IF(D93="","-",+C107+1)</f>
        <v>2023</v>
      </c>
      <c r="D108" s="374">
        <f>IF(F107+SUM(E$99:E107)=D$92,F107,D$92-SUM(E$99:E107))</f>
        <v>12042069.003518892</v>
      </c>
      <c r="E108" s="522">
        <f t="shared" ref="E108:E154" si="41">IF(+$J$96&lt;F107,$J$96,D108)</f>
        <v>362606.90243902442</v>
      </c>
      <c r="F108" s="523">
        <f t="shared" ref="F108:F154" si="42">+D108-E108</f>
        <v>11679462.101079868</v>
      </c>
      <c r="G108" s="523">
        <f t="shared" ref="G108:G154" si="43">+(F108+D108)/2</f>
        <v>11860765.55229938</v>
      </c>
      <c r="H108" s="526">
        <f t="shared" ref="H108:H154" si="44">+J$94*G108+E108</f>
        <v>1708972.5282855728</v>
      </c>
      <c r="I108" s="577">
        <f t="shared" ref="I108:I154" si="45">+J$95*G108+E108</f>
        <v>1708972.5282855728</v>
      </c>
      <c r="J108" s="514">
        <f t="shared" si="32"/>
        <v>0</v>
      </c>
      <c r="K108" s="514"/>
      <c r="L108" s="525"/>
      <c r="M108" s="514">
        <f t="shared" si="40"/>
        <v>0</v>
      </c>
      <c r="N108" s="525"/>
      <c r="O108" s="514">
        <f t="shared" si="33"/>
        <v>0</v>
      </c>
      <c r="P108" s="514">
        <f t="shared" si="34"/>
        <v>0</v>
      </c>
    </row>
    <row r="109" spans="1:16">
      <c r="B109" s="195" t="str">
        <f t="shared" si="31"/>
        <v/>
      </c>
      <c r="C109" s="507">
        <f>IF(D93="","-",+C108+1)</f>
        <v>2024</v>
      </c>
      <c r="D109" s="374">
        <f>IF(F108+SUM(E$99:E108)=D$92,F108,D$92-SUM(E$99:E108))</f>
        <v>11679462.101079868</v>
      </c>
      <c r="E109" s="522">
        <f t="shared" si="41"/>
        <v>362606.90243902442</v>
      </c>
      <c r="F109" s="523">
        <f t="shared" si="42"/>
        <v>11316855.198640844</v>
      </c>
      <c r="G109" s="523">
        <f t="shared" si="43"/>
        <v>11498158.649860356</v>
      </c>
      <c r="H109" s="526">
        <f t="shared" si="44"/>
        <v>1667811.4862781325</v>
      </c>
      <c r="I109" s="577">
        <f t="shared" si="45"/>
        <v>1667811.4862781325</v>
      </c>
      <c r="J109" s="514">
        <f t="shared" si="32"/>
        <v>0</v>
      </c>
      <c r="K109" s="514"/>
      <c r="L109" s="525"/>
      <c r="M109" s="514">
        <f t="shared" si="40"/>
        <v>0</v>
      </c>
      <c r="N109" s="525"/>
      <c r="O109" s="514">
        <f t="shared" si="33"/>
        <v>0</v>
      </c>
      <c r="P109" s="514">
        <f t="shared" si="34"/>
        <v>0</v>
      </c>
    </row>
    <row r="110" spans="1:16">
      <c r="B110" s="195" t="str">
        <f t="shared" si="31"/>
        <v/>
      </c>
      <c r="C110" s="507">
        <f>IF(D93="","-",+C109+1)</f>
        <v>2025</v>
      </c>
      <c r="D110" s="374">
        <f>IF(F109+SUM(E$99:E109)=D$92,F109,D$92-SUM(E$99:E109))</f>
        <v>11316855.198640844</v>
      </c>
      <c r="E110" s="522">
        <f t="shared" si="41"/>
        <v>362606.90243902442</v>
      </c>
      <c r="F110" s="523">
        <f t="shared" si="42"/>
        <v>10954248.29620182</v>
      </c>
      <c r="G110" s="523">
        <f t="shared" si="43"/>
        <v>11135551.747421332</v>
      </c>
      <c r="H110" s="526">
        <f t="shared" si="44"/>
        <v>1626650.4442706918</v>
      </c>
      <c r="I110" s="577">
        <f t="shared" si="45"/>
        <v>1626650.4442706918</v>
      </c>
      <c r="J110" s="514">
        <f t="shared" si="32"/>
        <v>0</v>
      </c>
      <c r="K110" s="514"/>
      <c r="L110" s="525"/>
      <c r="M110" s="514">
        <f t="shared" si="40"/>
        <v>0</v>
      </c>
      <c r="N110" s="525"/>
      <c r="O110" s="514">
        <f t="shared" si="33"/>
        <v>0</v>
      </c>
      <c r="P110" s="514">
        <f t="shared" si="34"/>
        <v>0</v>
      </c>
    </row>
    <row r="111" spans="1:16">
      <c r="B111" s="195" t="str">
        <f t="shared" si="31"/>
        <v/>
      </c>
      <c r="C111" s="507">
        <f>IF(D93="","-",+C110+1)</f>
        <v>2026</v>
      </c>
      <c r="D111" s="374">
        <f>IF(F110+SUM(E$99:E110)=D$92,F110,D$92-SUM(E$99:E110))</f>
        <v>10954248.29620182</v>
      </c>
      <c r="E111" s="522">
        <f t="shared" si="41"/>
        <v>362606.90243902442</v>
      </c>
      <c r="F111" s="523">
        <f t="shared" si="42"/>
        <v>10591641.393762795</v>
      </c>
      <c r="G111" s="523">
        <f t="shared" si="43"/>
        <v>10772944.844982307</v>
      </c>
      <c r="H111" s="526">
        <f t="shared" si="44"/>
        <v>1585489.4022632516</v>
      </c>
      <c r="I111" s="577">
        <f t="shared" si="45"/>
        <v>1585489.4022632516</v>
      </c>
      <c r="J111" s="514">
        <f t="shared" si="32"/>
        <v>0</v>
      </c>
      <c r="K111" s="514"/>
      <c r="L111" s="525"/>
      <c r="M111" s="514">
        <f t="shared" si="40"/>
        <v>0</v>
      </c>
      <c r="N111" s="525"/>
      <c r="O111" s="514">
        <f t="shared" si="33"/>
        <v>0</v>
      </c>
      <c r="P111" s="514">
        <f t="shared" si="34"/>
        <v>0</v>
      </c>
    </row>
    <row r="112" spans="1:16">
      <c r="B112" s="195" t="str">
        <f t="shared" si="31"/>
        <v/>
      </c>
      <c r="C112" s="507">
        <f>IF(D93="","-",+C111+1)</f>
        <v>2027</v>
      </c>
      <c r="D112" s="374">
        <f>IF(F111+SUM(E$99:E111)=D$92,F111,D$92-SUM(E$99:E111))</f>
        <v>10591641.393762795</v>
      </c>
      <c r="E112" s="522">
        <f t="shared" si="41"/>
        <v>362606.90243902442</v>
      </c>
      <c r="F112" s="523">
        <f t="shared" si="42"/>
        <v>10229034.491323771</v>
      </c>
      <c r="G112" s="523">
        <f t="shared" si="43"/>
        <v>10410337.942543283</v>
      </c>
      <c r="H112" s="526">
        <f t="shared" si="44"/>
        <v>1544328.3602558114</v>
      </c>
      <c r="I112" s="577">
        <f t="shared" si="45"/>
        <v>1544328.3602558114</v>
      </c>
      <c r="J112" s="514">
        <f t="shared" si="32"/>
        <v>0</v>
      </c>
      <c r="K112" s="514"/>
      <c r="L112" s="525"/>
      <c r="M112" s="514">
        <f t="shared" si="40"/>
        <v>0</v>
      </c>
      <c r="N112" s="525"/>
      <c r="O112" s="514">
        <f t="shared" si="33"/>
        <v>0</v>
      </c>
      <c r="P112" s="514">
        <f t="shared" si="34"/>
        <v>0</v>
      </c>
    </row>
    <row r="113" spans="2:16">
      <c r="B113" s="195" t="str">
        <f t="shared" si="31"/>
        <v/>
      </c>
      <c r="C113" s="507">
        <f>IF(D93="","-",+C112+1)</f>
        <v>2028</v>
      </c>
      <c r="D113" s="374">
        <f>IF(F112+SUM(E$99:E112)=D$92,F112,D$92-SUM(E$99:E112))</f>
        <v>10229034.491323771</v>
      </c>
      <c r="E113" s="522">
        <f t="shared" si="41"/>
        <v>362606.90243902442</v>
      </c>
      <c r="F113" s="523">
        <f t="shared" si="42"/>
        <v>9866427.5888847467</v>
      </c>
      <c r="G113" s="523">
        <f t="shared" si="43"/>
        <v>10047731.040104259</v>
      </c>
      <c r="H113" s="526">
        <f t="shared" si="44"/>
        <v>1503167.3182483711</v>
      </c>
      <c r="I113" s="577">
        <f t="shared" si="45"/>
        <v>1503167.3182483711</v>
      </c>
      <c r="J113" s="514">
        <f t="shared" si="32"/>
        <v>0</v>
      </c>
      <c r="K113" s="514"/>
      <c r="L113" s="525"/>
      <c r="M113" s="514">
        <f t="shared" si="40"/>
        <v>0</v>
      </c>
      <c r="N113" s="525"/>
      <c r="O113" s="514">
        <f t="shared" si="33"/>
        <v>0</v>
      </c>
      <c r="P113" s="514">
        <f t="shared" si="34"/>
        <v>0</v>
      </c>
    </row>
    <row r="114" spans="2:16">
      <c r="B114" s="195" t="str">
        <f t="shared" si="31"/>
        <v/>
      </c>
      <c r="C114" s="507">
        <f>IF(D93="","-",+C113+1)</f>
        <v>2029</v>
      </c>
      <c r="D114" s="374">
        <f>IF(F113+SUM(E$99:E113)=D$92,F113,D$92-SUM(E$99:E113))</f>
        <v>9866427.5888847467</v>
      </c>
      <c r="E114" s="522">
        <f t="shared" si="41"/>
        <v>362606.90243902442</v>
      </c>
      <c r="F114" s="523">
        <f t="shared" si="42"/>
        <v>9503820.6864457224</v>
      </c>
      <c r="G114" s="523">
        <f t="shared" si="43"/>
        <v>9685124.1376652345</v>
      </c>
      <c r="H114" s="526">
        <f t="shared" si="44"/>
        <v>1462006.2762409309</v>
      </c>
      <c r="I114" s="577">
        <f t="shared" si="45"/>
        <v>1462006.2762409309</v>
      </c>
      <c r="J114" s="514">
        <f t="shared" si="32"/>
        <v>0</v>
      </c>
      <c r="K114" s="514"/>
      <c r="L114" s="525"/>
      <c r="M114" s="514">
        <f t="shared" si="40"/>
        <v>0</v>
      </c>
      <c r="N114" s="525"/>
      <c r="O114" s="514">
        <f t="shared" si="33"/>
        <v>0</v>
      </c>
      <c r="P114" s="514">
        <f t="shared" si="34"/>
        <v>0</v>
      </c>
    </row>
    <row r="115" spans="2:16">
      <c r="B115" s="195" t="str">
        <f t="shared" si="31"/>
        <v/>
      </c>
      <c r="C115" s="507">
        <f>IF(D93="","-",+C114+1)</f>
        <v>2030</v>
      </c>
      <c r="D115" s="374">
        <f>IF(F114+SUM(E$99:E114)=D$92,F114,D$92-SUM(E$99:E114))</f>
        <v>9503820.6864457224</v>
      </c>
      <c r="E115" s="522">
        <f t="shared" si="41"/>
        <v>362606.90243902442</v>
      </c>
      <c r="F115" s="523">
        <f t="shared" si="42"/>
        <v>9141213.7840066981</v>
      </c>
      <c r="G115" s="523">
        <f t="shared" si="43"/>
        <v>9322517.2352262102</v>
      </c>
      <c r="H115" s="526">
        <f t="shared" si="44"/>
        <v>1420845.2342334907</v>
      </c>
      <c r="I115" s="577">
        <f t="shared" si="45"/>
        <v>1420845.2342334907</v>
      </c>
      <c r="J115" s="514">
        <f t="shared" si="32"/>
        <v>0</v>
      </c>
      <c r="K115" s="514"/>
      <c r="L115" s="525"/>
      <c r="M115" s="514">
        <f t="shared" si="40"/>
        <v>0</v>
      </c>
      <c r="N115" s="525"/>
      <c r="O115" s="514">
        <f t="shared" si="33"/>
        <v>0</v>
      </c>
      <c r="P115" s="514">
        <f t="shared" si="34"/>
        <v>0</v>
      </c>
    </row>
    <row r="116" spans="2:16">
      <c r="B116" s="195" t="str">
        <f t="shared" si="31"/>
        <v/>
      </c>
      <c r="C116" s="507">
        <f>IF(D93="","-",+C115+1)</f>
        <v>2031</v>
      </c>
      <c r="D116" s="374">
        <f>IF(F115+SUM(E$99:E115)=D$92,F115,D$92-SUM(E$99:E115))</f>
        <v>9141213.7840066981</v>
      </c>
      <c r="E116" s="522">
        <f t="shared" si="41"/>
        <v>362606.90243902442</v>
      </c>
      <c r="F116" s="523">
        <f t="shared" si="42"/>
        <v>8778606.8815676738</v>
      </c>
      <c r="G116" s="523">
        <f t="shared" si="43"/>
        <v>8959910.3327871859</v>
      </c>
      <c r="H116" s="526">
        <f t="shared" si="44"/>
        <v>1379684.1922260504</v>
      </c>
      <c r="I116" s="577">
        <f t="shared" si="45"/>
        <v>1379684.1922260504</v>
      </c>
      <c r="J116" s="514">
        <f t="shared" si="32"/>
        <v>0</v>
      </c>
      <c r="K116" s="514"/>
      <c r="L116" s="525"/>
      <c r="M116" s="514">
        <f t="shared" si="40"/>
        <v>0</v>
      </c>
      <c r="N116" s="525"/>
      <c r="O116" s="514">
        <f t="shared" si="33"/>
        <v>0</v>
      </c>
      <c r="P116" s="514">
        <f t="shared" si="34"/>
        <v>0</v>
      </c>
    </row>
    <row r="117" spans="2:16">
      <c r="B117" s="195" t="str">
        <f t="shared" si="31"/>
        <v/>
      </c>
      <c r="C117" s="507">
        <f>IF(D93="","-",+C116+1)</f>
        <v>2032</v>
      </c>
      <c r="D117" s="374">
        <f>IF(F116+SUM(E$99:E116)=D$92,F116,D$92-SUM(E$99:E116))</f>
        <v>8778606.8815676738</v>
      </c>
      <c r="E117" s="522">
        <f t="shared" si="41"/>
        <v>362606.90243902442</v>
      </c>
      <c r="F117" s="523">
        <f t="shared" si="42"/>
        <v>8415999.9791286495</v>
      </c>
      <c r="G117" s="523">
        <f t="shared" si="43"/>
        <v>8597303.4303481616</v>
      </c>
      <c r="H117" s="526">
        <f t="shared" si="44"/>
        <v>1338523.1502186102</v>
      </c>
      <c r="I117" s="577">
        <f t="shared" si="45"/>
        <v>1338523.1502186102</v>
      </c>
      <c r="J117" s="514">
        <f t="shared" si="32"/>
        <v>0</v>
      </c>
      <c r="K117" s="514"/>
      <c r="L117" s="525"/>
      <c r="M117" s="514">
        <f t="shared" si="40"/>
        <v>0</v>
      </c>
      <c r="N117" s="525"/>
      <c r="O117" s="514">
        <f t="shared" si="33"/>
        <v>0</v>
      </c>
      <c r="P117" s="514">
        <f t="shared" si="34"/>
        <v>0</v>
      </c>
    </row>
    <row r="118" spans="2:16">
      <c r="B118" s="195" t="str">
        <f t="shared" si="31"/>
        <v/>
      </c>
      <c r="C118" s="507">
        <f>IF(D93="","-",+C117+1)</f>
        <v>2033</v>
      </c>
      <c r="D118" s="374">
        <f>IF(F117+SUM(E$99:E117)=D$92,F117,D$92-SUM(E$99:E117))</f>
        <v>8415999.9791286495</v>
      </c>
      <c r="E118" s="522">
        <f t="shared" si="41"/>
        <v>362606.90243902442</v>
      </c>
      <c r="F118" s="523">
        <f t="shared" si="42"/>
        <v>8053393.0766896252</v>
      </c>
      <c r="G118" s="523">
        <f t="shared" si="43"/>
        <v>8234696.5279091373</v>
      </c>
      <c r="H118" s="526">
        <f t="shared" si="44"/>
        <v>1297362.10821117</v>
      </c>
      <c r="I118" s="577">
        <f t="shared" si="45"/>
        <v>1297362.10821117</v>
      </c>
      <c r="J118" s="514">
        <f t="shared" si="32"/>
        <v>0</v>
      </c>
      <c r="K118" s="514"/>
      <c r="L118" s="525"/>
      <c r="M118" s="514">
        <f t="shared" si="40"/>
        <v>0</v>
      </c>
      <c r="N118" s="525"/>
      <c r="O118" s="514">
        <f t="shared" si="33"/>
        <v>0</v>
      </c>
      <c r="P118" s="514">
        <f t="shared" si="34"/>
        <v>0</v>
      </c>
    </row>
    <row r="119" spans="2:16">
      <c r="B119" s="195" t="str">
        <f t="shared" si="31"/>
        <v/>
      </c>
      <c r="C119" s="507">
        <f>IF(D93="","-",+C118+1)</f>
        <v>2034</v>
      </c>
      <c r="D119" s="374">
        <f>IF(F118+SUM(E$99:E118)=D$92,F118,D$92-SUM(E$99:E118))</f>
        <v>8053393.0766896252</v>
      </c>
      <c r="E119" s="522">
        <f t="shared" si="41"/>
        <v>362606.90243902442</v>
      </c>
      <c r="F119" s="523">
        <f t="shared" si="42"/>
        <v>7690786.1742506009</v>
      </c>
      <c r="G119" s="523">
        <f t="shared" si="43"/>
        <v>7872089.625470113</v>
      </c>
      <c r="H119" s="526">
        <f t="shared" si="44"/>
        <v>1256201.0662037297</v>
      </c>
      <c r="I119" s="577">
        <f t="shared" si="45"/>
        <v>1256201.0662037297</v>
      </c>
      <c r="J119" s="514">
        <f t="shared" si="32"/>
        <v>0</v>
      </c>
      <c r="K119" s="514"/>
      <c r="L119" s="525"/>
      <c r="M119" s="514">
        <f t="shared" si="40"/>
        <v>0</v>
      </c>
      <c r="N119" s="525"/>
      <c r="O119" s="514">
        <f t="shared" si="33"/>
        <v>0</v>
      </c>
      <c r="P119" s="514">
        <f t="shared" si="34"/>
        <v>0</v>
      </c>
    </row>
    <row r="120" spans="2:16">
      <c r="B120" s="195" t="str">
        <f t="shared" si="31"/>
        <v/>
      </c>
      <c r="C120" s="507">
        <f>IF(D93="","-",+C119+1)</f>
        <v>2035</v>
      </c>
      <c r="D120" s="374">
        <f>IF(F119+SUM(E$99:E119)=D$92,F119,D$92-SUM(E$99:E119))</f>
        <v>7690786.1742506009</v>
      </c>
      <c r="E120" s="522">
        <f t="shared" si="41"/>
        <v>362606.90243902442</v>
      </c>
      <c r="F120" s="523">
        <f t="shared" si="42"/>
        <v>7328179.2718115766</v>
      </c>
      <c r="G120" s="523">
        <f t="shared" si="43"/>
        <v>7509482.7230310887</v>
      </c>
      <c r="H120" s="526">
        <f t="shared" si="44"/>
        <v>1215040.0241962895</v>
      </c>
      <c r="I120" s="577">
        <f t="shared" si="45"/>
        <v>1215040.0241962895</v>
      </c>
      <c r="J120" s="514">
        <f t="shared" si="32"/>
        <v>0</v>
      </c>
      <c r="K120" s="514"/>
      <c r="L120" s="525"/>
      <c r="M120" s="514">
        <f t="shared" si="40"/>
        <v>0</v>
      </c>
      <c r="N120" s="525"/>
      <c r="O120" s="514">
        <f t="shared" si="33"/>
        <v>0</v>
      </c>
      <c r="P120" s="514">
        <f t="shared" si="34"/>
        <v>0</v>
      </c>
    </row>
    <row r="121" spans="2:16">
      <c r="B121" s="195" t="str">
        <f t="shared" si="31"/>
        <v/>
      </c>
      <c r="C121" s="507">
        <f>IF(D93="","-",+C120+1)</f>
        <v>2036</v>
      </c>
      <c r="D121" s="374">
        <f>IF(F120+SUM(E$99:E120)=D$92,F120,D$92-SUM(E$99:E120))</f>
        <v>7328179.2718115766</v>
      </c>
      <c r="E121" s="522">
        <f t="shared" si="41"/>
        <v>362606.90243902442</v>
      </c>
      <c r="F121" s="523">
        <f t="shared" si="42"/>
        <v>6965572.3693725523</v>
      </c>
      <c r="G121" s="523">
        <f t="shared" si="43"/>
        <v>7146875.8205920644</v>
      </c>
      <c r="H121" s="526">
        <f t="shared" si="44"/>
        <v>1173878.9821888492</v>
      </c>
      <c r="I121" s="577">
        <f t="shared" si="45"/>
        <v>1173878.9821888492</v>
      </c>
      <c r="J121" s="514">
        <f t="shared" si="32"/>
        <v>0</v>
      </c>
      <c r="K121" s="514"/>
      <c r="L121" s="525"/>
      <c r="M121" s="514">
        <f t="shared" si="40"/>
        <v>0</v>
      </c>
      <c r="N121" s="525"/>
      <c r="O121" s="514">
        <f t="shared" si="33"/>
        <v>0</v>
      </c>
      <c r="P121" s="514">
        <f t="shared" si="34"/>
        <v>0</v>
      </c>
    </row>
    <row r="122" spans="2:16">
      <c r="B122" s="195" t="str">
        <f t="shared" si="31"/>
        <v/>
      </c>
      <c r="C122" s="507">
        <f>IF(D93="","-",+C121+1)</f>
        <v>2037</v>
      </c>
      <c r="D122" s="374">
        <f>IF(F121+SUM(E$99:E121)=D$92,F121,D$92-SUM(E$99:E121))</f>
        <v>6965572.3693725523</v>
      </c>
      <c r="E122" s="522">
        <f t="shared" si="41"/>
        <v>362606.90243902442</v>
      </c>
      <c r="F122" s="523">
        <f t="shared" si="42"/>
        <v>6602965.466933528</v>
      </c>
      <c r="G122" s="523">
        <f t="shared" si="43"/>
        <v>6784268.9181530401</v>
      </c>
      <c r="H122" s="526">
        <f t="shared" si="44"/>
        <v>1132717.940181409</v>
      </c>
      <c r="I122" s="577">
        <f t="shared" si="45"/>
        <v>1132717.940181409</v>
      </c>
      <c r="J122" s="514">
        <f t="shared" si="32"/>
        <v>0</v>
      </c>
      <c r="K122" s="514"/>
      <c r="L122" s="525"/>
      <c r="M122" s="514">
        <f t="shared" si="40"/>
        <v>0</v>
      </c>
      <c r="N122" s="525"/>
      <c r="O122" s="514">
        <f t="shared" si="33"/>
        <v>0</v>
      </c>
      <c r="P122" s="514">
        <f t="shared" si="34"/>
        <v>0</v>
      </c>
    </row>
    <row r="123" spans="2:16">
      <c r="B123" s="195" t="str">
        <f t="shared" si="31"/>
        <v/>
      </c>
      <c r="C123" s="507">
        <f>IF(D93="","-",+C122+1)</f>
        <v>2038</v>
      </c>
      <c r="D123" s="374">
        <f>IF(F122+SUM(E$99:E122)=D$92,F122,D$92-SUM(E$99:E122))</f>
        <v>6602965.466933528</v>
      </c>
      <c r="E123" s="522">
        <f t="shared" si="41"/>
        <v>362606.90243902442</v>
      </c>
      <c r="F123" s="523">
        <f t="shared" si="42"/>
        <v>6240358.5644945037</v>
      </c>
      <c r="G123" s="523">
        <f t="shared" si="43"/>
        <v>6421662.0157140158</v>
      </c>
      <c r="H123" s="526">
        <f t="shared" si="44"/>
        <v>1091556.8981739688</v>
      </c>
      <c r="I123" s="577">
        <f t="shared" si="45"/>
        <v>1091556.8981739688</v>
      </c>
      <c r="J123" s="514">
        <f t="shared" si="32"/>
        <v>0</v>
      </c>
      <c r="K123" s="514"/>
      <c r="L123" s="525"/>
      <c r="M123" s="514">
        <f t="shared" si="40"/>
        <v>0</v>
      </c>
      <c r="N123" s="525"/>
      <c r="O123" s="514">
        <f t="shared" si="33"/>
        <v>0</v>
      </c>
      <c r="P123" s="514">
        <f t="shared" si="34"/>
        <v>0</v>
      </c>
    </row>
    <row r="124" spans="2:16">
      <c r="B124" s="195" t="str">
        <f t="shared" si="31"/>
        <v/>
      </c>
      <c r="C124" s="507">
        <f>IF(D93="","-",+C123+1)</f>
        <v>2039</v>
      </c>
      <c r="D124" s="374">
        <f>IF(F123+SUM(E$99:E123)=D$92,F123,D$92-SUM(E$99:E123))</f>
        <v>6240358.5644945037</v>
      </c>
      <c r="E124" s="522">
        <f t="shared" si="41"/>
        <v>362606.90243902442</v>
      </c>
      <c r="F124" s="523">
        <f t="shared" si="42"/>
        <v>5877751.6620554794</v>
      </c>
      <c r="G124" s="523">
        <f t="shared" si="43"/>
        <v>6059055.1132749915</v>
      </c>
      <c r="H124" s="526">
        <f t="shared" si="44"/>
        <v>1050395.8561665285</v>
      </c>
      <c r="I124" s="577">
        <f t="shared" si="45"/>
        <v>1050395.8561665285</v>
      </c>
      <c r="J124" s="514">
        <f t="shared" si="32"/>
        <v>0</v>
      </c>
      <c r="K124" s="514"/>
      <c r="L124" s="525"/>
      <c r="M124" s="514">
        <f t="shared" si="40"/>
        <v>0</v>
      </c>
      <c r="N124" s="525"/>
      <c r="O124" s="514">
        <f t="shared" si="33"/>
        <v>0</v>
      </c>
      <c r="P124" s="514">
        <f t="shared" si="34"/>
        <v>0</v>
      </c>
    </row>
    <row r="125" spans="2:16">
      <c r="B125" s="195" t="str">
        <f t="shared" si="31"/>
        <v/>
      </c>
      <c r="C125" s="507">
        <f>IF(D93="","-",+C124+1)</f>
        <v>2040</v>
      </c>
      <c r="D125" s="374">
        <f>IF(F124+SUM(E$99:E124)=D$92,F124,D$92-SUM(E$99:E124))</f>
        <v>5877751.6620554794</v>
      </c>
      <c r="E125" s="522">
        <f t="shared" si="41"/>
        <v>362606.90243902442</v>
      </c>
      <c r="F125" s="523">
        <f t="shared" si="42"/>
        <v>5515144.7596164551</v>
      </c>
      <c r="G125" s="523">
        <f t="shared" si="43"/>
        <v>5696448.2108359672</v>
      </c>
      <c r="H125" s="526">
        <f t="shared" si="44"/>
        <v>1009234.8141590882</v>
      </c>
      <c r="I125" s="577">
        <f t="shared" si="45"/>
        <v>1009234.8141590882</v>
      </c>
      <c r="J125" s="514">
        <f t="shared" si="32"/>
        <v>0</v>
      </c>
      <c r="K125" s="514"/>
      <c r="L125" s="525"/>
      <c r="M125" s="514">
        <f t="shared" si="40"/>
        <v>0</v>
      </c>
      <c r="N125" s="525"/>
      <c r="O125" s="514">
        <f t="shared" si="33"/>
        <v>0</v>
      </c>
      <c r="P125" s="514">
        <f t="shared" si="34"/>
        <v>0</v>
      </c>
    </row>
    <row r="126" spans="2:16">
      <c r="B126" s="195" t="str">
        <f t="shared" si="31"/>
        <v/>
      </c>
      <c r="C126" s="507">
        <f>IF(D93="","-",+C125+1)</f>
        <v>2041</v>
      </c>
      <c r="D126" s="374">
        <f>IF(F125+SUM(E$99:E125)=D$92,F125,D$92-SUM(E$99:E125))</f>
        <v>5515144.7596164551</v>
      </c>
      <c r="E126" s="522">
        <f t="shared" si="41"/>
        <v>362606.90243902442</v>
      </c>
      <c r="F126" s="523">
        <f t="shared" si="42"/>
        <v>5152537.8571774308</v>
      </c>
      <c r="G126" s="523">
        <f t="shared" si="43"/>
        <v>5333841.3083969429</v>
      </c>
      <c r="H126" s="526">
        <f t="shared" si="44"/>
        <v>968073.77215164783</v>
      </c>
      <c r="I126" s="577">
        <f t="shared" si="45"/>
        <v>968073.77215164783</v>
      </c>
      <c r="J126" s="514">
        <f t="shared" si="32"/>
        <v>0</v>
      </c>
      <c r="K126" s="514"/>
      <c r="L126" s="525"/>
      <c r="M126" s="514">
        <f t="shared" si="40"/>
        <v>0</v>
      </c>
      <c r="N126" s="525"/>
      <c r="O126" s="514">
        <f t="shared" si="33"/>
        <v>0</v>
      </c>
      <c r="P126" s="514">
        <f t="shared" si="34"/>
        <v>0</v>
      </c>
    </row>
    <row r="127" spans="2:16">
      <c r="B127" s="195" t="str">
        <f t="shared" si="31"/>
        <v/>
      </c>
      <c r="C127" s="507">
        <f>IF(D93="","-",+C126+1)</f>
        <v>2042</v>
      </c>
      <c r="D127" s="374">
        <f>IF(F126+SUM(E$99:E126)=D$92,F126,D$92-SUM(E$99:E126))</f>
        <v>5152537.8571774308</v>
      </c>
      <c r="E127" s="522">
        <f t="shared" si="41"/>
        <v>362606.90243902442</v>
      </c>
      <c r="F127" s="523">
        <f t="shared" si="42"/>
        <v>4789930.9547384065</v>
      </c>
      <c r="G127" s="523">
        <f t="shared" si="43"/>
        <v>4971234.4059579186</v>
      </c>
      <c r="H127" s="526">
        <f t="shared" si="44"/>
        <v>926912.7301442076</v>
      </c>
      <c r="I127" s="577">
        <f t="shared" si="45"/>
        <v>926912.7301442076</v>
      </c>
      <c r="J127" s="514">
        <f t="shared" si="32"/>
        <v>0</v>
      </c>
      <c r="K127" s="514"/>
      <c r="L127" s="525"/>
      <c r="M127" s="514">
        <f t="shared" si="40"/>
        <v>0</v>
      </c>
      <c r="N127" s="525"/>
      <c r="O127" s="514">
        <f t="shared" si="33"/>
        <v>0</v>
      </c>
      <c r="P127" s="514">
        <f t="shared" si="34"/>
        <v>0</v>
      </c>
    </row>
    <row r="128" spans="2:16">
      <c r="B128" s="195" t="str">
        <f t="shared" si="31"/>
        <v/>
      </c>
      <c r="C128" s="507">
        <f>IF(D93="","-",+C127+1)</f>
        <v>2043</v>
      </c>
      <c r="D128" s="374">
        <f>IF(F127+SUM(E$99:E127)=D$92,F127,D$92-SUM(E$99:E127))</f>
        <v>4789930.9547384065</v>
      </c>
      <c r="E128" s="522">
        <f t="shared" si="41"/>
        <v>362606.90243902442</v>
      </c>
      <c r="F128" s="523">
        <f t="shared" si="42"/>
        <v>4427324.0522993822</v>
      </c>
      <c r="G128" s="523">
        <f t="shared" si="43"/>
        <v>4608627.5035188943</v>
      </c>
      <c r="H128" s="526">
        <f t="shared" si="44"/>
        <v>885751.68813676736</v>
      </c>
      <c r="I128" s="577">
        <f t="shared" si="45"/>
        <v>885751.68813676736</v>
      </c>
      <c r="J128" s="514">
        <f t="shared" si="32"/>
        <v>0</v>
      </c>
      <c r="K128" s="514"/>
      <c r="L128" s="525"/>
      <c r="M128" s="514">
        <f t="shared" si="40"/>
        <v>0</v>
      </c>
      <c r="N128" s="525"/>
      <c r="O128" s="514">
        <f t="shared" si="33"/>
        <v>0</v>
      </c>
      <c r="P128" s="514">
        <f t="shared" si="34"/>
        <v>0</v>
      </c>
    </row>
    <row r="129" spans="2:16">
      <c r="B129" s="195" t="str">
        <f t="shared" si="31"/>
        <v/>
      </c>
      <c r="C129" s="507">
        <f>IF(D93="","-",+C128+1)</f>
        <v>2044</v>
      </c>
      <c r="D129" s="374">
        <f>IF(F128+SUM(E$99:E128)=D$92,F128,D$92-SUM(E$99:E128))</f>
        <v>4427324.0522993822</v>
      </c>
      <c r="E129" s="522">
        <f t="shared" si="41"/>
        <v>362606.90243902442</v>
      </c>
      <c r="F129" s="523">
        <f t="shared" si="42"/>
        <v>4064717.1498603579</v>
      </c>
      <c r="G129" s="523">
        <f t="shared" si="43"/>
        <v>4246020.60107987</v>
      </c>
      <c r="H129" s="526">
        <f t="shared" si="44"/>
        <v>844590.64612932713</v>
      </c>
      <c r="I129" s="577">
        <f t="shared" si="45"/>
        <v>844590.64612932713</v>
      </c>
      <c r="J129" s="514">
        <f t="shared" si="32"/>
        <v>0</v>
      </c>
      <c r="K129" s="514"/>
      <c r="L129" s="525"/>
      <c r="M129" s="514">
        <f t="shared" si="40"/>
        <v>0</v>
      </c>
      <c r="N129" s="525"/>
      <c r="O129" s="514">
        <f t="shared" si="33"/>
        <v>0</v>
      </c>
      <c r="P129" s="514">
        <f t="shared" si="34"/>
        <v>0</v>
      </c>
    </row>
    <row r="130" spans="2:16">
      <c r="B130" s="195" t="str">
        <f t="shared" si="31"/>
        <v/>
      </c>
      <c r="C130" s="507">
        <f>IF(D93="","-",+C129+1)</f>
        <v>2045</v>
      </c>
      <c r="D130" s="374">
        <f>IF(F129+SUM(E$99:E129)=D$92,F129,D$92-SUM(E$99:E129))</f>
        <v>4064717.1498603579</v>
      </c>
      <c r="E130" s="522">
        <f t="shared" si="41"/>
        <v>362606.90243902442</v>
      </c>
      <c r="F130" s="523">
        <f t="shared" si="42"/>
        <v>3702110.2474213336</v>
      </c>
      <c r="G130" s="523">
        <f t="shared" si="43"/>
        <v>3883413.6986408457</v>
      </c>
      <c r="H130" s="526">
        <f t="shared" si="44"/>
        <v>803429.60412188689</v>
      </c>
      <c r="I130" s="577">
        <f t="shared" si="45"/>
        <v>803429.60412188689</v>
      </c>
      <c r="J130" s="514">
        <f t="shared" si="32"/>
        <v>0</v>
      </c>
      <c r="K130" s="514"/>
      <c r="L130" s="525"/>
      <c r="M130" s="514">
        <f t="shared" si="40"/>
        <v>0</v>
      </c>
      <c r="N130" s="525"/>
      <c r="O130" s="514">
        <f t="shared" si="33"/>
        <v>0</v>
      </c>
      <c r="P130" s="514">
        <f t="shared" si="34"/>
        <v>0</v>
      </c>
    </row>
    <row r="131" spans="2:16">
      <c r="B131" s="195" t="str">
        <f t="shared" si="31"/>
        <v/>
      </c>
      <c r="C131" s="507">
        <f>IF(D93="","-",+C130+1)</f>
        <v>2046</v>
      </c>
      <c r="D131" s="374">
        <f>IF(F130+SUM(E$99:E130)=D$92,F130,D$92-SUM(E$99:E130))</f>
        <v>3702110.2474213336</v>
      </c>
      <c r="E131" s="522">
        <f t="shared" si="41"/>
        <v>362606.90243902442</v>
      </c>
      <c r="F131" s="523">
        <f t="shared" si="42"/>
        <v>3339503.3449823093</v>
      </c>
      <c r="G131" s="523">
        <f t="shared" si="43"/>
        <v>3520806.7962018214</v>
      </c>
      <c r="H131" s="526">
        <f t="shared" si="44"/>
        <v>762268.56211444666</v>
      </c>
      <c r="I131" s="577">
        <f t="shared" si="45"/>
        <v>762268.56211444666</v>
      </c>
      <c r="J131" s="514">
        <f t="shared" si="32"/>
        <v>0</v>
      </c>
      <c r="K131" s="514"/>
      <c r="L131" s="525"/>
      <c r="M131" s="514">
        <f t="shared" ref="M131:M154" si="46">IF(L541&lt;&gt;0,+H541-L541,0)</f>
        <v>0</v>
      </c>
      <c r="N131" s="525"/>
      <c r="O131" s="514">
        <f t="shared" ref="O131:O154" si="47">IF(N541&lt;&gt;0,+I541-N541,0)</f>
        <v>0</v>
      </c>
      <c r="P131" s="514">
        <f t="shared" ref="P131:P154" si="48">+O541-M541</f>
        <v>0</v>
      </c>
    </row>
    <row r="132" spans="2:16">
      <c r="B132" s="195" t="str">
        <f t="shared" si="31"/>
        <v/>
      </c>
      <c r="C132" s="507">
        <f>IF(D93="","-",+C131+1)</f>
        <v>2047</v>
      </c>
      <c r="D132" s="374">
        <f>IF(F131+SUM(E$99:E131)=D$92,F131,D$92-SUM(E$99:E131))</f>
        <v>3339503.3449823093</v>
      </c>
      <c r="E132" s="522">
        <f t="shared" si="41"/>
        <v>362606.90243902442</v>
      </c>
      <c r="F132" s="523">
        <f t="shared" si="42"/>
        <v>2976896.442543285</v>
      </c>
      <c r="G132" s="523">
        <f t="shared" si="43"/>
        <v>3158199.8937627971</v>
      </c>
      <c r="H132" s="526">
        <f t="shared" si="44"/>
        <v>721107.5201070063</v>
      </c>
      <c r="I132" s="577">
        <f t="shared" si="45"/>
        <v>721107.5201070063</v>
      </c>
      <c r="J132" s="514">
        <f t="shared" si="32"/>
        <v>0</v>
      </c>
      <c r="K132" s="514"/>
      <c r="L132" s="525"/>
      <c r="M132" s="514">
        <f t="shared" si="46"/>
        <v>0</v>
      </c>
      <c r="N132" s="525"/>
      <c r="O132" s="514">
        <f t="shared" si="47"/>
        <v>0</v>
      </c>
      <c r="P132" s="514">
        <f t="shared" si="48"/>
        <v>0</v>
      </c>
    </row>
    <row r="133" spans="2:16">
      <c r="B133" s="195" t="str">
        <f t="shared" si="31"/>
        <v/>
      </c>
      <c r="C133" s="507">
        <f>IF(D93="","-",+C132+1)</f>
        <v>2048</v>
      </c>
      <c r="D133" s="374">
        <f>IF(F132+SUM(E$99:E132)=D$92,F132,D$92-SUM(E$99:E132))</f>
        <v>2976896.442543285</v>
      </c>
      <c r="E133" s="522">
        <f t="shared" si="41"/>
        <v>362606.90243902442</v>
      </c>
      <c r="F133" s="523">
        <f t="shared" si="42"/>
        <v>2614289.5401042607</v>
      </c>
      <c r="G133" s="523">
        <f t="shared" si="43"/>
        <v>2795592.9913237728</v>
      </c>
      <c r="H133" s="526">
        <f t="shared" si="44"/>
        <v>679946.47809956607</v>
      </c>
      <c r="I133" s="577">
        <f t="shared" si="45"/>
        <v>679946.47809956607</v>
      </c>
      <c r="J133" s="514">
        <f t="shared" si="32"/>
        <v>0</v>
      </c>
      <c r="K133" s="514"/>
      <c r="L133" s="525"/>
      <c r="M133" s="514">
        <f t="shared" si="46"/>
        <v>0</v>
      </c>
      <c r="N133" s="525"/>
      <c r="O133" s="514">
        <f t="shared" si="47"/>
        <v>0</v>
      </c>
      <c r="P133" s="514">
        <f t="shared" si="48"/>
        <v>0</v>
      </c>
    </row>
    <row r="134" spans="2:16">
      <c r="B134" s="195" t="str">
        <f t="shared" si="31"/>
        <v/>
      </c>
      <c r="C134" s="507">
        <f>IF(D93="","-",+C133+1)</f>
        <v>2049</v>
      </c>
      <c r="D134" s="374">
        <f>IF(F133+SUM(E$99:E133)=D$92,F133,D$92-SUM(E$99:E133))</f>
        <v>2614289.5401042607</v>
      </c>
      <c r="E134" s="522">
        <f t="shared" si="41"/>
        <v>362606.90243902442</v>
      </c>
      <c r="F134" s="523">
        <f t="shared" si="42"/>
        <v>2251682.6376652364</v>
      </c>
      <c r="G134" s="523">
        <f t="shared" si="43"/>
        <v>2432986.0888847485</v>
      </c>
      <c r="H134" s="526">
        <f t="shared" si="44"/>
        <v>638785.43609212572</v>
      </c>
      <c r="I134" s="577">
        <f t="shared" si="45"/>
        <v>638785.43609212572</v>
      </c>
      <c r="J134" s="514">
        <f t="shared" si="32"/>
        <v>0</v>
      </c>
      <c r="K134" s="514"/>
      <c r="L134" s="525"/>
      <c r="M134" s="514">
        <f t="shared" si="46"/>
        <v>0</v>
      </c>
      <c r="N134" s="525"/>
      <c r="O134" s="514">
        <f t="shared" si="47"/>
        <v>0</v>
      </c>
      <c r="P134" s="514">
        <f t="shared" si="48"/>
        <v>0</v>
      </c>
    </row>
    <row r="135" spans="2:16">
      <c r="B135" s="195" t="str">
        <f t="shared" si="31"/>
        <v/>
      </c>
      <c r="C135" s="507">
        <f>IF(D93="","-",+C134+1)</f>
        <v>2050</v>
      </c>
      <c r="D135" s="374">
        <f>IF(F134+SUM(E$99:E134)=D$92,F134,D$92-SUM(E$99:E134))</f>
        <v>2251682.6376652364</v>
      </c>
      <c r="E135" s="522">
        <f t="shared" si="41"/>
        <v>362606.90243902442</v>
      </c>
      <c r="F135" s="523">
        <f t="shared" si="42"/>
        <v>1889075.7352262121</v>
      </c>
      <c r="G135" s="523">
        <f t="shared" si="43"/>
        <v>2070379.1864457242</v>
      </c>
      <c r="H135" s="526">
        <f t="shared" si="44"/>
        <v>597624.39408468548</v>
      </c>
      <c r="I135" s="577">
        <f t="shared" si="45"/>
        <v>597624.39408468548</v>
      </c>
      <c r="J135" s="514">
        <f t="shared" si="32"/>
        <v>0</v>
      </c>
      <c r="K135" s="514"/>
      <c r="L135" s="525"/>
      <c r="M135" s="514">
        <f t="shared" si="46"/>
        <v>0</v>
      </c>
      <c r="N135" s="525"/>
      <c r="O135" s="514">
        <f t="shared" si="47"/>
        <v>0</v>
      </c>
      <c r="P135" s="514">
        <f t="shared" si="48"/>
        <v>0</v>
      </c>
    </row>
    <row r="136" spans="2:16">
      <c r="B136" s="195" t="str">
        <f t="shared" si="31"/>
        <v/>
      </c>
      <c r="C136" s="507">
        <f>IF(D93="","-",+C135+1)</f>
        <v>2051</v>
      </c>
      <c r="D136" s="374">
        <f>IF(F135+SUM(E$99:E135)=D$92,F135,D$92-SUM(E$99:E135))</f>
        <v>1889075.7352262121</v>
      </c>
      <c r="E136" s="522">
        <f t="shared" si="41"/>
        <v>362606.90243902442</v>
      </c>
      <c r="F136" s="523">
        <f t="shared" si="42"/>
        <v>1526468.8327871878</v>
      </c>
      <c r="G136" s="523">
        <f t="shared" si="43"/>
        <v>1707772.2840066999</v>
      </c>
      <c r="H136" s="526">
        <f t="shared" si="44"/>
        <v>556463.35207724525</v>
      </c>
      <c r="I136" s="577">
        <f t="shared" si="45"/>
        <v>556463.35207724525</v>
      </c>
      <c r="J136" s="514">
        <f t="shared" si="32"/>
        <v>0</v>
      </c>
      <c r="K136" s="514"/>
      <c r="L136" s="525"/>
      <c r="M136" s="514">
        <f t="shared" si="46"/>
        <v>0</v>
      </c>
      <c r="N136" s="525"/>
      <c r="O136" s="514">
        <f t="shared" si="47"/>
        <v>0</v>
      </c>
      <c r="P136" s="514">
        <f t="shared" si="48"/>
        <v>0</v>
      </c>
    </row>
    <row r="137" spans="2:16">
      <c r="B137" s="195" t="str">
        <f t="shared" si="31"/>
        <v/>
      </c>
      <c r="C137" s="507">
        <f>IF(D93="","-",+C136+1)</f>
        <v>2052</v>
      </c>
      <c r="D137" s="374">
        <f>IF(F136+SUM(E$99:E136)=D$92,F136,D$92-SUM(E$99:E136))</f>
        <v>1526468.8327871878</v>
      </c>
      <c r="E137" s="522">
        <f t="shared" si="41"/>
        <v>362606.90243902442</v>
      </c>
      <c r="F137" s="523">
        <f t="shared" si="42"/>
        <v>1163861.9303481635</v>
      </c>
      <c r="G137" s="523">
        <f t="shared" si="43"/>
        <v>1345165.3815676756</v>
      </c>
      <c r="H137" s="526">
        <f t="shared" si="44"/>
        <v>515302.31006980501</v>
      </c>
      <c r="I137" s="577">
        <f t="shared" si="45"/>
        <v>515302.31006980501</v>
      </c>
      <c r="J137" s="514">
        <f t="shared" si="32"/>
        <v>0</v>
      </c>
      <c r="K137" s="514"/>
      <c r="L137" s="525"/>
      <c r="M137" s="514">
        <f t="shared" si="46"/>
        <v>0</v>
      </c>
      <c r="N137" s="525"/>
      <c r="O137" s="514">
        <f t="shared" si="47"/>
        <v>0</v>
      </c>
      <c r="P137" s="514">
        <f t="shared" si="48"/>
        <v>0</v>
      </c>
    </row>
    <row r="138" spans="2:16">
      <c r="B138" s="195" t="str">
        <f t="shared" si="31"/>
        <v/>
      </c>
      <c r="C138" s="507">
        <f>IF(D93="","-",+C137+1)</f>
        <v>2053</v>
      </c>
      <c r="D138" s="374">
        <f>IF(F137+SUM(E$99:E137)=D$92,F137,D$92-SUM(E$99:E137))</f>
        <v>1163861.9303481635</v>
      </c>
      <c r="E138" s="522">
        <f t="shared" si="41"/>
        <v>362606.90243902442</v>
      </c>
      <c r="F138" s="523">
        <f t="shared" si="42"/>
        <v>801255.02790913905</v>
      </c>
      <c r="G138" s="523">
        <f t="shared" si="43"/>
        <v>982558.47912865132</v>
      </c>
      <c r="H138" s="526">
        <f t="shared" si="44"/>
        <v>474141.26806236478</v>
      </c>
      <c r="I138" s="577">
        <f t="shared" si="45"/>
        <v>474141.26806236478</v>
      </c>
      <c r="J138" s="514">
        <f t="shared" si="32"/>
        <v>0</v>
      </c>
      <c r="K138" s="514"/>
      <c r="L138" s="525"/>
      <c r="M138" s="514">
        <f t="shared" si="46"/>
        <v>0</v>
      </c>
      <c r="N138" s="525"/>
      <c r="O138" s="514">
        <f t="shared" si="47"/>
        <v>0</v>
      </c>
      <c r="P138" s="514">
        <f t="shared" si="48"/>
        <v>0</v>
      </c>
    </row>
    <row r="139" spans="2:16">
      <c r="B139" s="195" t="str">
        <f t="shared" si="31"/>
        <v/>
      </c>
      <c r="C139" s="507">
        <f>IF(D93="","-",+C138+1)</f>
        <v>2054</v>
      </c>
      <c r="D139" s="374">
        <f>IF(F138+SUM(E$99:E138)=D$92,F138,D$92-SUM(E$99:E138))</f>
        <v>801255.02790913905</v>
      </c>
      <c r="E139" s="522">
        <f t="shared" si="41"/>
        <v>362606.90243902442</v>
      </c>
      <c r="F139" s="523">
        <f t="shared" si="42"/>
        <v>438648.12547011464</v>
      </c>
      <c r="G139" s="523">
        <f t="shared" si="43"/>
        <v>619951.57668962679</v>
      </c>
      <c r="H139" s="526">
        <f t="shared" si="44"/>
        <v>432980.22605492442</v>
      </c>
      <c r="I139" s="577">
        <f t="shared" si="45"/>
        <v>432980.22605492442</v>
      </c>
      <c r="J139" s="514">
        <f t="shared" si="32"/>
        <v>0</v>
      </c>
      <c r="K139" s="514"/>
      <c r="L139" s="525"/>
      <c r="M139" s="514">
        <f t="shared" si="46"/>
        <v>0</v>
      </c>
      <c r="N139" s="525"/>
      <c r="O139" s="514">
        <f t="shared" si="47"/>
        <v>0</v>
      </c>
      <c r="P139" s="514">
        <f t="shared" si="48"/>
        <v>0</v>
      </c>
    </row>
    <row r="140" spans="2:16">
      <c r="B140" s="195" t="str">
        <f t="shared" si="31"/>
        <v/>
      </c>
      <c r="C140" s="507">
        <f>IF(D93="","-",+C139+1)</f>
        <v>2055</v>
      </c>
      <c r="D140" s="374">
        <f>IF(F139+SUM(E$99:E139)=D$92,F139,D$92-SUM(E$99:E139))</f>
        <v>438648.12547011464</v>
      </c>
      <c r="E140" s="522">
        <f t="shared" si="41"/>
        <v>362606.90243902442</v>
      </c>
      <c r="F140" s="523">
        <f t="shared" si="42"/>
        <v>76041.223031090223</v>
      </c>
      <c r="G140" s="523">
        <f t="shared" si="43"/>
        <v>257344.67425060243</v>
      </c>
      <c r="H140" s="526">
        <f t="shared" si="44"/>
        <v>391819.18404748419</v>
      </c>
      <c r="I140" s="577">
        <f t="shared" si="45"/>
        <v>391819.18404748419</v>
      </c>
      <c r="J140" s="514">
        <f t="shared" si="32"/>
        <v>0</v>
      </c>
      <c r="K140" s="514"/>
      <c r="L140" s="525"/>
      <c r="M140" s="514">
        <f t="shared" si="46"/>
        <v>0</v>
      </c>
      <c r="N140" s="525"/>
      <c r="O140" s="514">
        <f t="shared" si="47"/>
        <v>0</v>
      </c>
      <c r="P140" s="514">
        <f t="shared" si="48"/>
        <v>0</v>
      </c>
    </row>
    <row r="141" spans="2:16">
      <c r="B141" s="195" t="str">
        <f t="shared" si="31"/>
        <v/>
      </c>
      <c r="C141" s="507">
        <f>IF(D93="","-",+C140+1)</f>
        <v>2056</v>
      </c>
      <c r="D141" s="374">
        <f>IF(F140+SUM(E$99:E140)=D$92,F140,D$92-SUM(E$99:E140))</f>
        <v>76041.223031090223</v>
      </c>
      <c r="E141" s="522">
        <f t="shared" si="41"/>
        <v>76041.223031090223</v>
      </c>
      <c r="F141" s="523">
        <f t="shared" si="42"/>
        <v>0</v>
      </c>
      <c r="G141" s="523">
        <f t="shared" si="43"/>
        <v>38020.611515545112</v>
      </c>
      <c r="H141" s="526">
        <f t="shared" si="44"/>
        <v>80357.103333460036</v>
      </c>
      <c r="I141" s="577">
        <f t="shared" si="45"/>
        <v>80357.103333460036</v>
      </c>
      <c r="J141" s="514">
        <f t="shared" si="32"/>
        <v>0</v>
      </c>
      <c r="K141" s="514"/>
      <c r="L141" s="525"/>
      <c r="M141" s="514">
        <f t="shared" si="46"/>
        <v>0</v>
      </c>
      <c r="N141" s="525"/>
      <c r="O141" s="514">
        <f t="shared" si="47"/>
        <v>0</v>
      </c>
      <c r="P141" s="514">
        <f t="shared" si="48"/>
        <v>0</v>
      </c>
    </row>
    <row r="142" spans="2:16">
      <c r="B142" s="195" t="str">
        <f t="shared" si="31"/>
        <v/>
      </c>
      <c r="C142" s="507">
        <f>IF(D93="","-",+C141+1)</f>
        <v>2057</v>
      </c>
      <c r="D142" s="374">
        <f>IF(F141+SUM(E$99:E141)=D$92,F141,D$92-SUM(E$99:E141))</f>
        <v>0</v>
      </c>
      <c r="E142" s="522">
        <f t="shared" si="41"/>
        <v>0</v>
      </c>
      <c r="F142" s="523">
        <f t="shared" si="42"/>
        <v>0</v>
      </c>
      <c r="G142" s="523">
        <f t="shared" si="43"/>
        <v>0</v>
      </c>
      <c r="H142" s="526">
        <f t="shared" si="44"/>
        <v>0</v>
      </c>
      <c r="I142" s="577">
        <f t="shared" si="45"/>
        <v>0</v>
      </c>
      <c r="J142" s="514">
        <f t="shared" si="32"/>
        <v>0</v>
      </c>
      <c r="K142" s="514"/>
      <c r="L142" s="525"/>
      <c r="M142" s="514">
        <f t="shared" si="46"/>
        <v>0</v>
      </c>
      <c r="N142" s="525"/>
      <c r="O142" s="514">
        <f t="shared" si="47"/>
        <v>0</v>
      </c>
      <c r="P142" s="514">
        <f t="shared" si="48"/>
        <v>0</v>
      </c>
    </row>
    <row r="143" spans="2:16">
      <c r="B143" s="195" t="str">
        <f t="shared" si="31"/>
        <v/>
      </c>
      <c r="C143" s="507">
        <f>IF(D93="","-",+C142+1)</f>
        <v>2058</v>
      </c>
      <c r="D143" s="374">
        <f>IF(F142+SUM(E$99:E142)=D$92,F142,D$92-SUM(E$99:E142))</f>
        <v>0</v>
      </c>
      <c r="E143" s="522">
        <f t="shared" si="41"/>
        <v>0</v>
      </c>
      <c r="F143" s="523">
        <f t="shared" si="42"/>
        <v>0</v>
      </c>
      <c r="G143" s="523">
        <f t="shared" si="43"/>
        <v>0</v>
      </c>
      <c r="H143" s="526">
        <f t="shared" si="44"/>
        <v>0</v>
      </c>
      <c r="I143" s="577">
        <f t="shared" si="45"/>
        <v>0</v>
      </c>
      <c r="J143" s="514">
        <f t="shared" si="32"/>
        <v>0</v>
      </c>
      <c r="K143" s="514"/>
      <c r="L143" s="525"/>
      <c r="M143" s="514">
        <f t="shared" si="46"/>
        <v>0</v>
      </c>
      <c r="N143" s="525"/>
      <c r="O143" s="514">
        <f t="shared" si="47"/>
        <v>0</v>
      </c>
      <c r="P143" s="514">
        <f t="shared" si="48"/>
        <v>0</v>
      </c>
    </row>
    <row r="144" spans="2:16">
      <c r="B144" s="195" t="str">
        <f t="shared" si="31"/>
        <v/>
      </c>
      <c r="C144" s="507">
        <f>IF(D93="","-",+C143+1)</f>
        <v>2059</v>
      </c>
      <c r="D144" s="374">
        <f>IF(F143+SUM(E$99:E143)=D$92,F143,D$92-SUM(E$99:E143))</f>
        <v>0</v>
      </c>
      <c r="E144" s="522">
        <f t="shared" si="41"/>
        <v>0</v>
      </c>
      <c r="F144" s="523">
        <f t="shared" si="42"/>
        <v>0</v>
      </c>
      <c r="G144" s="523">
        <f t="shared" si="43"/>
        <v>0</v>
      </c>
      <c r="H144" s="526">
        <f t="shared" si="44"/>
        <v>0</v>
      </c>
      <c r="I144" s="577">
        <f t="shared" si="45"/>
        <v>0</v>
      </c>
      <c r="J144" s="514">
        <f t="shared" si="32"/>
        <v>0</v>
      </c>
      <c r="K144" s="514"/>
      <c r="L144" s="525"/>
      <c r="M144" s="514">
        <f t="shared" si="46"/>
        <v>0</v>
      </c>
      <c r="N144" s="525"/>
      <c r="O144" s="514">
        <f t="shared" si="47"/>
        <v>0</v>
      </c>
      <c r="P144" s="514">
        <f t="shared" si="48"/>
        <v>0</v>
      </c>
    </row>
    <row r="145" spans="2:16">
      <c r="B145" s="195" t="str">
        <f t="shared" si="31"/>
        <v/>
      </c>
      <c r="C145" s="507">
        <f>IF(D93="","-",+C144+1)</f>
        <v>2060</v>
      </c>
      <c r="D145" s="374">
        <f>IF(F144+SUM(E$99:E144)=D$92,F144,D$92-SUM(E$99:E144))</f>
        <v>0</v>
      </c>
      <c r="E145" s="522">
        <f t="shared" si="41"/>
        <v>0</v>
      </c>
      <c r="F145" s="523">
        <f t="shared" si="42"/>
        <v>0</v>
      </c>
      <c r="G145" s="523">
        <f t="shared" si="43"/>
        <v>0</v>
      </c>
      <c r="H145" s="526">
        <f t="shared" si="44"/>
        <v>0</v>
      </c>
      <c r="I145" s="577">
        <f t="shared" si="45"/>
        <v>0</v>
      </c>
      <c r="J145" s="514">
        <f t="shared" si="32"/>
        <v>0</v>
      </c>
      <c r="K145" s="514"/>
      <c r="L145" s="525"/>
      <c r="M145" s="514">
        <f t="shared" si="46"/>
        <v>0</v>
      </c>
      <c r="N145" s="525"/>
      <c r="O145" s="514">
        <f t="shared" si="47"/>
        <v>0</v>
      </c>
      <c r="P145" s="514">
        <f t="shared" si="48"/>
        <v>0</v>
      </c>
    </row>
    <row r="146" spans="2:16">
      <c r="B146" s="195" t="str">
        <f t="shared" si="31"/>
        <v/>
      </c>
      <c r="C146" s="507">
        <f>IF(D93="","-",+C145+1)</f>
        <v>2061</v>
      </c>
      <c r="D146" s="374">
        <f>IF(F145+SUM(E$99:E145)=D$92,F145,D$92-SUM(E$99:E145))</f>
        <v>0</v>
      </c>
      <c r="E146" s="522">
        <f t="shared" si="41"/>
        <v>0</v>
      </c>
      <c r="F146" s="523">
        <f t="shared" si="42"/>
        <v>0</v>
      </c>
      <c r="G146" s="523">
        <f t="shared" si="43"/>
        <v>0</v>
      </c>
      <c r="H146" s="526">
        <f t="shared" si="44"/>
        <v>0</v>
      </c>
      <c r="I146" s="577">
        <f t="shared" si="45"/>
        <v>0</v>
      </c>
      <c r="J146" s="514">
        <f t="shared" si="32"/>
        <v>0</v>
      </c>
      <c r="K146" s="514"/>
      <c r="L146" s="525"/>
      <c r="M146" s="514">
        <f t="shared" si="46"/>
        <v>0</v>
      </c>
      <c r="N146" s="525"/>
      <c r="O146" s="514">
        <f t="shared" si="47"/>
        <v>0</v>
      </c>
      <c r="P146" s="514">
        <f t="shared" si="48"/>
        <v>0</v>
      </c>
    </row>
    <row r="147" spans="2:16">
      <c r="B147" s="195" t="str">
        <f t="shared" si="31"/>
        <v/>
      </c>
      <c r="C147" s="507">
        <f>IF(D93="","-",+C146+1)</f>
        <v>2062</v>
      </c>
      <c r="D147" s="374">
        <f>IF(F146+SUM(E$99:E146)=D$92,F146,D$92-SUM(E$99:E146))</f>
        <v>0</v>
      </c>
      <c r="E147" s="522">
        <f t="shared" si="41"/>
        <v>0</v>
      </c>
      <c r="F147" s="523">
        <f t="shared" si="42"/>
        <v>0</v>
      </c>
      <c r="G147" s="523">
        <f t="shared" si="43"/>
        <v>0</v>
      </c>
      <c r="H147" s="526">
        <f t="shared" si="44"/>
        <v>0</v>
      </c>
      <c r="I147" s="577">
        <f t="shared" si="45"/>
        <v>0</v>
      </c>
      <c r="J147" s="514">
        <f t="shared" si="32"/>
        <v>0</v>
      </c>
      <c r="K147" s="514"/>
      <c r="L147" s="525"/>
      <c r="M147" s="514">
        <f t="shared" si="46"/>
        <v>0</v>
      </c>
      <c r="N147" s="525"/>
      <c r="O147" s="514">
        <f t="shared" si="47"/>
        <v>0</v>
      </c>
      <c r="P147" s="514">
        <f t="shared" si="48"/>
        <v>0</v>
      </c>
    </row>
    <row r="148" spans="2:16">
      <c r="B148" s="195" t="str">
        <f t="shared" si="31"/>
        <v/>
      </c>
      <c r="C148" s="507">
        <f>IF(D93="","-",+C147+1)</f>
        <v>2063</v>
      </c>
      <c r="D148" s="374">
        <f>IF(F147+SUM(E$99:E147)=D$92,F147,D$92-SUM(E$99:E147))</f>
        <v>0</v>
      </c>
      <c r="E148" s="522">
        <f t="shared" si="41"/>
        <v>0</v>
      </c>
      <c r="F148" s="523">
        <f t="shared" si="42"/>
        <v>0</v>
      </c>
      <c r="G148" s="523">
        <f t="shared" si="43"/>
        <v>0</v>
      </c>
      <c r="H148" s="526">
        <f t="shared" si="44"/>
        <v>0</v>
      </c>
      <c r="I148" s="577">
        <f t="shared" si="45"/>
        <v>0</v>
      </c>
      <c r="J148" s="514">
        <f t="shared" si="32"/>
        <v>0</v>
      </c>
      <c r="K148" s="514"/>
      <c r="L148" s="525"/>
      <c r="M148" s="514">
        <f t="shared" si="46"/>
        <v>0</v>
      </c>
      <c r="N148" s="525"/>
      <c r="O148" s="514">
        <f t="shared" si="47"/>
        <v>0</v>
      </c>
      <c r="P148" s="514">
        <f t="shared" si="48"/>
        <v>0</v>
      </c>
    </row>
    <row r="149" spans="2:16">
      <c r="B149" s="195" t="str">
        <f t="shared" si="31"/>
        <v/>
      </c>
      <c r="C149" s="507">
        <f>IF(D93="","-",+C148+1)</f>
        <v>2064</v>
      </c>
      <c r="D149" s="374">
        <f>IF(F148+SUM(E$99:E148)=D$92,F148,D$92-SUM(E$99:E148))</f>
        <v>0</v>
      </c>
      <c r="E149" s="522">
        <f t="shared" si="41"/>
        <v>0</v>
      </c>
      <c r="F149" s="523">
        <f t="shared" si="42"/>
        <v>0</v>
      </c>
      <c r="G149" s="523">
        <f t="shared" si="43"/>
        <v>0</v>
      </c>
      <c r="H149" s="526">
        <f t="shared" si="44"/>
        <v>0</v>
      </c>
      <c r="I149" s="577">
        <f t="shared" si="45"/>
        <v>0</v>
      </c>
      <c r="J149" s="514">
        <f t="shared" si="32"/>
        <v>0</v>
      </c>
      <c r="K149" s="514"/>
      <c r="L149" s="525"/>
      <c r="M149" s="514">
        <f t="shared" si="46"/>
        <v>0</v>
      </c>
      <c r="N149" s="525"/>
      <c r="O149" s="514">
        <f t="shared" si="47"/>
        <v>0</v>
      </c>
      <c r="P149" s="514">
        <f t="shared" si="48"/>
        <v>0</v>
      </c>
    </row>
    <row r="150" spans="2:16">
      <c r="B150" s="195" t="str">
        <f t="shared" si="31"/>
        <v/>
      </c>
      <c r="C150" s="507">
        <f>IF(D93="","-",+C149+1)</f>
        <v>2065</v>
      </c>
      <c r="D150" s="374">
        <f>IF(F149+SUM(E$99:E149)=D$92,F149,D$92-SUM(E$99:E149))</f>
        <v>0</v>
      </c>
      <c r="E150" s="522">
        <f t="shared" si="41"/>
        <v>0</v>
      </c>
      <c r="F150" s="523">
        <f t="shared" si="42"/>
        <v>0</v>
      </c>
      <c r="G150" s="523">
        <f t="shared" si="43"/>
        <v>0</v>
      </c>
      <c r="H150" s="526">
        <f t="shared" si="44"/>
        <v>0</v>
      </c>
      <c r="I150" s="577">
        <f t="shared" si="45"/>
        <v>0</v>
      </c>
      <c r="J150" s="514">
        <f t="shared" si="32"/>
        <v>0</v>
      </c>
      <c r="K150" s="514"/>
      <c r="L150" s="525"/>
      <c r="M150" s="514">
        <f t="shared" si="46"/>
        <v>0</v>
      </c>
      <c r="N150" s="525"/>
      <c r="O150" s="514">
        <f t="shared" si="47"/>
        <v>0</v>
      </c>
      <c r="P150" s="514">
        <f t="shared" si="48"/>
        <v>0</v>
      </c>
    </row>
    <row r="151" spans="2:16">
      <c r="B151" s="195" t="str">
        <f t="shared" si="31"/>
        <v/>
      </c>
      <c r="C151" s="507">
        <f>IF(D93="","-",+C150+1)</f>
        <v>2066</v>
      </c>
      <c r="D151" s="374">
        <f>IF(F150+SUM(E$99:E150)=D$92,F150,D$92-SUM(E$99:E150))</f>
        <v>0</v>
      </c>
      <c r="E151" s="522">
        <f t="shared" si="41"/>
        <v>0</v>
      </c>
      <c r="F151" s="523">
        <f t="shared" si="42"/>
        <v>0</v>
      </c>
      <c r="G151" s="523">
        <f t="shared" si="43"/>
        <v>0</v>
      </c>
      <c r="H151" s="526">
        <f t="shared" si="44"/>
        <v>0</v>
      </c>
      <c r="I151" s="577">
        <f t="shared" si="45"/>
        <v>0</v>
      </c>
      <c r="J151" s="514">
        <f t="shared" si="32"/>
        <v>0</v>
      </c>
      <c r="K151" s="514"/>
      <c r="L151" s="525"/>
      <c r="M151" s="514">
        <f t="shared" si="46"/>
        <v>0</v>
      </c>
      <c r="N151" s="525"/>
      <c r="O151" s="514">
        <f t="shared" si="47"/>
        <v>0</v>
      </c>
      <c r="P151" s="514">
        <f t="shared" si="48"/>
        <v>0</v>
      </c>
    </row>
    <row r="152" spans="2:16">
      <c r="B152" s="195" t="str">
        <f t="shared" si="31"/>
        <v/>
      </c>
      <c r="C152" s="507">
        <f>IF(D93="","-",+C151+1)</f>
        <v>2067</v>
      </c>
      <c r="D152" s="374">
        <f>IF(F151+SUM(E$99:E151)=D$92,F151,D$92-SUM(E$99:E151))</f>
        <v>0</v>
      </c>
      <c r="E152" s="522">
        <f t="shared" si="41"/>
        <v>0</v>
      </c>
      <c r="F152" s="523">
        <f t="shared" si="42"/>
        <v>0</v>
      </c>
      <c r="G152" s="523">
        <f t="shared" si="43"/>
        <v>0</v>
      </c>
      <c r="H152" s="526">
        <f t="shared" si="44"/>
        <v>0</v>
      </c>
      <c r="I152" s="577">
        <f t="shared" si="45"/>
        <v>0</v>
      </c>
      <c r="J152" s="514">
        <f t="shared" si="32"/>
        <v>0</v>
      </c>
      <c r="K152" s="514"/>
      <c r="L152" s="525"/>
      <c r="M152" s="514">
        <f t="shared" si="46"/>
        <v>0</v>
      </c>
      <c r="N152" s="525"/>
      <c r="O152" s="514">
        <f t="shared" si="47"/>
        <v>0</v>
      </c>
      <c r="P152" s="514">
        <f t="shared" si="48"/>
        <v>0</v>
      </c>
    </row>
    <row r="153" spans="2:16">
      <c r="B153" s="195" t="str">
        <f t="shared" si="31"/>
        <v/>
      </c>
      <c r="C153" s="507">
        <f>IF(D93="","-",+C152+1)</f>
        <v>2068</v>
      </c>
      <c r="D153" s="374">
        <f>IF(F152+SUM(E$99:E152)=D$92,F152,D$92-SUM(E$99:E152))</f>
        <v>0</v>
      </c>
      <c r="E153" s="522">
        <f t="shared" si="41"/>
        <v>0</v>
      </c>
      <c r="F153" s="523">
        <f t="shared" si="42"/>
        <v>0</v>
      </c>
      <c r="G153" s="523">
        <f t="shared" si="43"/>
        <v>0</v>
      </c>
      <c r="H153" s="526">
        <f t="shared" si="44"/>
        <v>0</v>
      </c>
      <c r="I153" s="577">
        <f t="shared" si="45"/>
        <v>0</v>
      </c>
      <c r="J153" s="514">
        <f t="shared" si="32"/>
        <v>0</v>
      </c>
      <c r="K153" s="514"/>
      <c r="L153" s="525"/>
      <c r="M153" s="514">
        <f t="shared" si="46"/>
        <v>0</v>
      </c>
      <c r="N153" s="525"/>
      <c r="O153" s="514">
        <f t="shared" si="47"/>
        <v>0</v>
      </c>
      <c r="P153" s="514">
        <f t="shared" si="48"/>
        <v>0</v>
      </c>
    </row>
    <row r="154" spans="2:16" ht="13.5" thickBot="1">
      <c r="B154" s="195" t="str">
        <f t="shared" si="31"/>
        <v/>
      </c>
      <c r="C154" s="527">
        <f>IF(D93="","-",+C153+1)</f>
        <v>2069</v>
      </c>
      <c r="D154" s="374">
        <f>IF(F153+SUM(E$99:E153)=D$92,F153,D$92-SUM(E$99:E153))</f>
        <v>0</v>
      </c>
      <c r="E154" s="522">
        <f t="shared" si="41"/>
        <v>0</v>
      </c>
      <c r="F154" s="523">
        <f t="shared" si="42"/>
        <v>0</v>
      </c>
      <c r="G154" s="523">
        <f t="shared" si="43"/>
        <v>0</v>
      </c>
      <c r="H154" s="526">
        <f t="shared" si="44"/>
        <v>0</v>
      </c>
      <c r="I154" s="577">
        <f t="shared" si="45"/>
        <v>0</v>
      </c>
      <c r="J154" s="514">
        <f t="shared" si="32"/>
        <v>0</v>
      </c>
      <c r="K154" s="514"/>
      <c r="L154" s="532"/>
      <c r="M154" s="533">
        <f t="shared" si="46"/>
        <v>0</v>
      </c>
      <c r="N154" s="532"/>
      <c r="O154" s="533">
        <f t="shared" si="47"/>
        <v>0</v>
      </c>
      <c r="P154" s="533">
        <f t="shared" si="48"/>
        <v>0</v>
      </c>
    </row>
    <row r="155" spans="2:16">
      <c r="C155" s="374" t="s">
        <v>78</v>
      </c>
      <c r="D155" s="375"/>
      <c r="E155" s="375">
        <f>SUM(E99:E154)</f>
        <v>14866883</v>
      </c>
      <c r="F155" s="375"/>
      <c r="G155" s="375"/>
      <c r="H155" s="375">
        <f>SUM(H99:H154)</f>
        <v>51163271.031645834</v>
      </c>
      <c r="I155" s="375">
        <f>SUM(I99:I154)</f>
        <v>51163271.031645834</v>
      </c>
      <c r="J155" s="375">
        <f>SUM(J99:J154)</f>
        <v>0</v>
      </c>
      <c r="K155" s="375"/>
      <c r="L155" s="375"/>
      <c r="M155" s="375"/>
      <c r="N155" s="375"/>
      <c r="O155" s="375"/>
      <c r="P155" s="269"/>
    </row>
    <row r="156" spans="2:16">
      <c r="C156" s="183" t="s">
        <v>92</v>
      </c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</row>
    <row r="157" spans="2:16">
      <c r="C157" s="580"/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</row>
    <row r="158" spans="2:16">
      <c r="C158" s="614" t="s">
        <v>132</v>
      </c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</row>
    <row r="159" spans="2:16">
      <c r="C159" s="467" t="s">
        <v>79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</row>
    <row r="160" spans="2:16">
      <c r="C160" s="581" t="s">
        <v>80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</row>
    <row r="161" spans="3:16">
      <c r="C161" s="581"/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</row>
    <row r="162" spans="3:16" ht="18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635" t="s">
        <v>131</v>
      </c>
    </row>
  </sheetData>
  <conditionalFormatting sqref="C17:C72">
    <cfRule type="cellIs" dxfId="76" priority="1" stopIfTrue="1" operator="equal">
      <formula>$I$10</formula>
    </cfRule>
  </conditionalFormatting>
  <conditionalFormatting sqref="C99:C154">
    <cfRule type="cellIs" dxfId="75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93">
    <tabColor theme="9" tint="-0.249977111117893"/>
  </sheetPr>
  <dimension ref="A1:P162"/>
  <sheetViews>
    <sheetView topLeftCell="A96" zoomScaleNormal="100" zoomScaleSheetLayoutView="82" workbookViewId="0">
      <selection activeCell="D107" sqref="D107:I114"/>
    </sheetView>
  </sheetViews>
  <sheetFormatPr defaultColWidth="8.7109375" defaultRowHeight="12.75" customHeight="1"/>
  <cols>
    <col min="1" max="1" width="4.7109375" style="183" customWidth="1"/>
    <col min="2" max="2" width="6.7109375" style="183" customWidth="1"/>
    <col min="3" max="3" width="23.28515625" style="183" customWidth="1"/>
    <col min="4" max="8" width="17.7109375" style="183" customWidth="1"/>
    <col min="9" max="9" width="20.42578125" style="183" customWidth="1"/>
    <col min="10" max="10" width="16.42578125" style="183" customWidth="1"/>
    <col min="11" max="11" width="17.7109375" style="183" customWidth="1"/>
    <col min="12" max="12" width="16.140625" style="183" customWidth="1"/>
    <col min="13" max="13" width="17.7109375" style="183" customWidth="1"/>
    <col min="14" max="14" width="16.7109375" style="183" customWidth="1"/>
    <col min="15" max="15" width="16.85546875" style="183" customWidth="1"/>
    <col min="16" max="16" width="24.42578125" style="183" customWidth="1"/>
    <col min="17" max="17" width="9.140625" style="183" customWidth="1"/>
    <col min="18" max="22" width="8.7109375" style="183"/>
    <col min="23" max="23" width="9.140625" style="183" customWidth="1"/>
    <col min="24" max="16384" width="8.7109375" style="183"/>
  </cols>
  <sheetData>
    <row r="1" spans="1:16" ht="20.25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44 of 75</v>
      </c>
    </row>
    <row r="2" spans="1:16" ht="18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538" t="s">
        <v>129</v>
      </c>
    </row>
    <row r="3" spans="1:16" ht="18.75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/>
      <c r="P3" s="623">
        <v>1</v>
      </c>
    </row>
    <row r="4" spans="1:16" ht="15.75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6" ht="1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2764698.3712464399</v>
      </c>
      <c r="P5" s="269"/>
    </row>
    <row r="6" spans="1:16" ht="15.7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2764698.3712464399</v>
      </c>
      <c r="O6" s="269"/>
      <c r="P6" s="269"/>
    </row>
    <row r="7" spans="1:16" ht="13.5" thickBot="1">
      <c r="C7" s="467" t="s">
        <v>48</v>
      </c>
      <c r="D7" s="624" t="s">
        <v>328</v>
      </c>
      <c r="E7" s="587"/>
      <c r="F7" s="587"/>
      <c r="G7" s="587"/>
      <c r="H7" s="59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6" ht="13.5" thickBot="1">
      <c r="C8" s="472"/>
      <c r="D8" s="645" t="s">
        <v>354</v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6" ht="13.5" thickBot="1">
      <c r="C9" s="476" t="s">
        <v>50</v>
      </c>
      <c r="D9" s="477" t="s">
        <v>327</v>
      </c>
      <c r="E9" s="637" t="s">
        <v>501</v>
      </c>
      <c r="F9" s="478"/>
      <c r="G9" s="478"/>
      <c r="H9" s="478"/>
      <c r="I9" s="479"/>
      <c r="J9" s="480"/>
      <c r="O9" s="481"/>
      <c r="P9" s="272"/>
    </row>
    <row r="10" spans="1:16">
      <c r="C10" s="482" t="s">
        <v>51</v>
      </c>
      <c r="D10" s="483">
        <v>29107362.050000001</v>
      </c>
      <c r="E10" s="353" t="s">
        <v>52</v>
      </c>
      <c r="F10" s="481"/>
      <c r="G10" s="484"/>
      <c r="H10" s="484"/>
      <c r="I10" s="485">
        <f>+'SWE.WS.F.BPU.ATRR.Projected'!L19</f>
        <v>2024</v>
      </c>
      <c r="J10" s="480"/>
      <c r="K10" s="375" t="s">
        <v>53</v>
      </c>
      <c r="O10" s="272"/>
      <c r="P10" s="272"/>
    </row>
    <row r="11" spans="1:16">
      <c r="C11" s="486" t="s">
        <v>54</v>
      </c>
      <c r="D11" s="487">
        <v>2007</v>
      </c>
      <c r="E11" s="486" t="s">
        <v>55</v>
      </c>
      <c r="F11" s="484"/>
      <c r="G11" s="233"/>
      <c r="H11" s="233"/>
      <c r="I11" s="488">
        <f>IF(G5="",0,'SWE.WS.F.BPU.ATRR.Projected'!F$13)</f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6">
      <c r="C12" s="486" t="s">
        <v>56</v>
      </c>
      <c r="D12" s="483">
        <v>11</v>
      </c>
      <c r="E12" s="486" t="s">
        <v>57</v>
      </c>
      <c r="F12" s="484"/>
      <c r="G12" s="233"/>
      <c r="H12" s="233"/>
      <c r="I12" s="490">
        <f>'SWE.WS.F.BPU.ATRR.Projected'!$F$81</f>
        <v>0.11952713165403545</v>
      </c>
      <c r="J12" s="425"/>
      <c r="K12" s="183" t="s">
        <v>58</v>
      </c>
      <c r="O12" s="272"/>
      <c r="P12" s="272"/>
    </row>
    <row r="13" spans="1:16">
      <c r="C13" s="486" t="s">
        <v>59</v>
      </c>
      <c r="D13" s="488">
        <f>+'SWE.WS.F.BPU.ATRR.Projected'!F$93</f>
        <v>44</v>
      </c>
      <c r="E13" s="486" t="s">
        <v>60</v>
      </c>
      <c r="F13" s="484"/>
      <c r="G13" s="233"/>
      <c r="H13" s="233"/>
      <c r="I13" s="490">
        <f>IF(G5="",I12,'SWE.WS.F.BPU.ATRR.Projected'!$F$80)</f>
        <v>0.11952713165403545</v>
      </c>
      <c r="J13" s="425"/>
      <c r="K13" s="375" t="s">
        <v>61</v>
      </c>
      <c r="L13" s="324"/>
      <c r="M13" s="324"/>
      <c r="N13" s="324"/>
      <c r="O13" s="272"/>
      <c r="P13" s="272"/>
    </row>
    <row r="14" spans="1:16" ht="13.5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661530.95568181819</v>
      </c>
      <c r="J14" s="375"/>
      <c r="K14" s="375"/>
      <c r="L14" s="375"/>
      <c r="M14" s="375"/>
      <c r="N14" s="375"/>
      <c r="O14" s="272"/>
      <c r="P14" s="272"/>
    </row>
    <row r="15" spans="1:16" ht="38.25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388</v>
      </c>
      <c r="H15" s="495" t="s">
        <v>389</v>
      </c>
      <c r="I15" s="492" t="s">
        <v>68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6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>
      <c r="C17" s="507">
        <f>IF(D11= "","-",D11)</f>
        <v>2007</v>
      </c>
      <c r="D17" s="629">
        <v>29107362.050000001</v>
      </c>
      <c r="E17" s="638">
        <v>57752.702480158732</v>
      </c>
      <c r="F17" s="629">
        <v>29049609.347519841</v>
      </c>
      <c r="G17" s="638">
        <v>3976850.2640178553</v>
      </c>
      <c r="H17" s="639">
        <v>3976850.2640178553</v>
      </c>
      <c r="I17" s="511">
        <v>0</v>
      </c>
      <c r="J17" s="511"/>
      <c r="K17" s="512">
        <f>G17</f>
        <v>3976850.2640178553</v>
      </c>
      <c r="L17" s="597">
        <f>IF(K17&lt;&gt;0,+G17-K17,0)</f>
        <v>0</v>
      </c>
      <c r="M17" s="512">
        <f>H17</f>
        <v>3976850.2640178553</v>
      </c>
      <c r="N17" s="513">
        <f>IF(M17&lt;&gt;0,+H17-M17,0)</f>
        <v>0</v>
      </c>
      <c r="O17" s="514">
        <f>+N17-L17</f>
        <v>0</v>
      </c>
      <c r="P17" s="272"/>
    </row>
    <row r="18" spans="2:16">
      <c r="B18" s="195" t="str">
        <f>IF(D18=F17,"","IU")</f>
        <v/>
      </c>
      <c r="C18" s="507">
        <f>IF(D11="","-",+C17+1)</f>
        <v>2008</v>
      </c>
      <c r="D18" s="631">
        <v>29049609.347519841</v>
      </c>
      <c r="E18" s="630">
        <v>693032.42976190476</v>
      </c>
      <c r="F18" s="631">
        <v>28356576.917757936</v>
      </c>
      <c r="G18" s="630">
        <v>4518632.6339666937</v>
      </c>
      <c r="H18" s="639">
        <v>4518632.6339666937</v>
      </c>
      <c r="I18" s="511">
        <v>0</v>
      </c>
      <c r="J18" s="511"/>
      <c r="K18" s="518">
        <f>G18</f>
        <v>4518632.6339666937</v>
      </c>
      <c r="L18" s="519">
        <f>IF(K18&lt;&gt;0,+G18-K18,0)</f>
        <v>0</v>
      </c>
      <c r="M18" s="518">
        <f>H18</f>
        <v>4518632.6339666937</v>
      </c>
      <c r="N18" s="514">
        <f>IF(M18&lt;&gt;0,+H18-M18,0)</f>
        <v>0</v>
      </c>
      <c r="O18" s="514">
        <f>+N18-L18</f>
        <v>0</v>
      </c>
      <c r="P18" s="272"/>
    </row>
    <row r="19" spans="2:16">
      <c r="B19" s="195" t="str">
        <f>IF(D19=F18,"","IU")</f>
        <v/>
      </c>
      <c r="C19" s="507">
        <f>IF(D11="","-",+C18+1)</f>
        <v>2009</v>
      </c>
      <c r="D19" s="631">
        <v>28356576.917757936</v>
      </c>
      <c r="E19" s="630">
        <v>693032.42976190476</v>
      </c>
      <c r="F19" s="631">
        <v>27663544.487996031</v>
      </c>
      <c r="G19" s="630">
        <v>4425135.276633786</v>
      </c>
      <c r="H19" s="639">
        <v>4425135.276633786</v>
      </c>
      <c r="I19" s="511">
        <v>0</v>
      </c>
      <c r="J19" s="511"/>
      <c r="K19" s="518">
        <f t="shared" ref="K19:K24" si="0">G19</f>
        <v>4425135.276633786</v>
      </c>
      <c r="L19" s="519">
        <f t="shared" ref="L19:L24" si="1">IF(K19&lt;&gt;0,+G19-K19,0)</f>
        <v>0</v>
      </c>
      <c r="M19" s="518">
        <f t="shared" ref="M19:M24" si="2">H19</f>
        <v>4425135.276633786</v>
      </c>
      <c r="N19" s="514">
        <f t="shared" ref="N19:N24" si="3">IF(M19&lt;&gt;0,+H19-M19,0)</f>
        <v>0</v>
      </c>
      <c r="O19" s="514">
        <f t="shared" ref="O19:O24" si="4">+N19-L19</f>
        <v>0</v>
      </c>
      <c r="P19" s="272"/>
    </row>
    <row r="20" spans="2:16">
      <c r="B20" s="195" t="str">
        <f t="shared" ref="B20:B72" si="5">IF(D20=F19,"","IU")</f>
        <v/>
      </c>
      <c r="C20" s="507">
        <f>IF(D11="","-",+C19+1)</f>
        <v>2010</v>
      </c>
      <c r="D20" s="631">
        <v>27663544.487996031</v>
      </c>
      <c r="E20" s="630">
        <v>693032.42976190476</v>
      </c>
      <c r="F20" s="631">
        <v>26970512.058234125</v>
      </c>
      <c r="G20" s="630">
        <v>4331637.9193008794</v>
      </c>
      <c r="H20" s="639">
        <v>4331637.9193008794</v>
      </c>
      <c r="I20" s="511">
        <v>0</v>
      </c>
      <c r="J20" s="511"/>
      <c r="K20" s="518">
        <f t="shared" si="0"/>
        <v>4331637.9193008794</v>
      </c>
      <c r="L20" s="519">
        <f t="shared" si="1"/>
        <v>0</v>
      </c>
      <c r="M20" s="518">
        <f t="shared" si="2"/>
        <v>4331637.9193008794</v>
      </c>
      <c r="N20" s="514">
        <f t="shared" si="3"/>
        <v>0</v>
      </c>
      <c r="O20" s="514">
        <f t="shared" si="4"/>
        <v>0</v>
      </c>
      <c r="P20" s="272"/>
    </row>
    <row r="21" spans="2:16">
      <c r="B21" s="195" t="str">
        <f t="shared" si="5"/>
        <v/>
      </c>
      <c r="C21" s="507">
        <f>IF(D11="","-",+C20+1)</f>
        <v>2011</v>
      </c>
      <c r="D21" s="631">
        <v>26970512.058234125</v>
      </c>
      <c r="E21" s="630">
        <v>693032.42976190476</v>
      </c>
      <c r="F21" s="631">
        <v>26277479.62847222</v>
      </c>
      <c r="G21" s="630">
        <v>4238140.5619679717</v>
      </c>
      <c r="H21" s="639">
        <v>4238140.5619679717</v>
      </c>
      <c r="I21" s="511">
        <v>0</v>
      </c>
      <c r="J21" s="511"/>
      <c r="K21" s="518">
        <f t="shared" si="0"/>
        <v>4238140.5619679717</v>
      </c>
      <c r="L21" s="519">
        <f t="shared" si="1"/>
        <v>0</v>
      </c>
      <c r="M21" s="518">
        <f t="shared" si="2"/>
        <v>4238140.5619679717</v>
      </c>
      <c r="N21" s="514">
        <f t="shared" si="3"/>
        <v>0</v>
      </c>
      <c r="O21" s="514">
        <f t="shared" si="4"/>
        <v>0</v>
      </c>
      <c r="P21" s="272"/>
    </row>
    <row r="22" spans="2:16">
      <c r="B22" s="195" t="str">
        <f t="shared" si="5"/>
        <v/>
      </c>
      <c r="C22" s="507">
        <f>IF(D11="","-",+C21+1)</f>
        <v>2012</v>
      </c>
      <c r="D22" s="631">
        <v>26277479.62847222</v>
      </c>
      <c r="E22" s="630">
        <v>693032.42976190476</v>
      </c>
      <c r="F22" s="631">
        <v>25584447.198710315</v>
      </c>
      <c r="G22" s="630">
        <v>4144643.2046350646</v>
      </c>
      <c r="H22" s="639">
        <v>4144643.2046350646</v>
      </c>
      <c r="I22" s="511">
        <v>0</v>
      </c>
      <c r="J22" s="511"/>
      <c r="K22" s="518">
        <f t="shared" si="0"/>
        <v>4144643.2046350646</v>
      </c>
      <c r="L22" s="519">
        <f t="shared" si="1"/>
        <v>0</v>
      </c>
      <c r="M22" s="518">
        <f t="shared" si="2"/>
        <v>4144643.2046350646</v>
      </c>
      <c r="N22" s="514">
        <f t="shared" si="3"/>
        <v>0</v>
      </c>
      <c r="O22" s="514">
        <f t="shared" si="4"/>
        <v>0</v>
      </c>
      <c r="P22" s="272"/>
    </row>
    <row r="23" spans="2:16">
      <c r="B23" s="195" t="str">
        <f t="shared" si="5"/>
        <v/>
      </c>
      <c r="C23" s="507">
        <f>IF(D11="","-",+C22+1)</f>
        <v>2013</v>
      </c>
      <c r="D23" s="631">
        <v>25584447.198710315</v>
      </c>
      <c r="E23" s="630">
        <v>693032.42976190476</v>
      </c>
      <c r="F23" s="631">
        <v>24891414.76894841</v>
      </c>
      <c r="G23" s="630">
        <v>4051145.847302157</v>
      </c>
      <c r="H23" s="639">
        <v>4051145.847302157</v>
      </c>
      <c r="I23" s="511">
        <v>0</v>
      </c>
      <c r="J23" s="511"/>
      <c r="K23" s="518">
        <f t="shared" si="0"/>
        <v>4051145.847302157</v>
      </c>
      <c r="L23" s="519">
        <f t="shared" si="1"/>
        <v>0</v>
      </c>
      <c r="M23" s="518">
        <f t="shared" si="2"/>
        <v>4051145.847302157</v>
      </c>
      <c r="N23" s="514">
        <f t="shared" si="3"/>
        <v>0</v>
      </c>
      <c r="O23" s="514">
        <f t="shared" si="4"/>
        <v>0</v>
      </c>
      <c r="P23" s="272"/>
    </row>
    <row r="24" spans="2:16">
      <c r="B24" s="195" t="str">
        <f t="shared" si="5"/>
        <v/>
      </c>
      <c r="C24" s="507">
        <f>IF(D11="","-",+C23+1)</f>
        <v>2014</v>
      </c>
      <c r="D24" s="631">
        <v>24891414.76894841</v>
      </c>
      <c r="E24" s="630">
        <v>693032.42976190476</v>
      </c>
      <c r="F24" s="631">
        <v>24198382.339186504</v>
      </c>
      <c r="G24" s="630">
        <v>3957648.4899692498</v>
      </c>
      <c r="H24" s="639">
        <v>3957648.4899692498</v>
      </c>
      <c r="I24" s="511">
        <v>0</v>
      </c>
      <c r="J24" s="511"/>
      <c r="K24" s="518">
        <f t="shared" si="0"/>
        <v>3957648.4899692498</v>
      </c>
      <c r="L24" s="519">
        <f t="shared" si="1"/>
        <v>0</v>
      </c>
      <c r="M24" s="518">
        <f t="shared" si="2"/>
        <v>3957648.4899692498</v>
      </c>
      <c r="N24" s="514">
        <f t="shared" si="3"/>
        <v>0</v>
      </c>
      <c r="O24" s="514">
        <f t="shared" si="4"/>
        <v>0</v>
      </c>
      <c r="P24" s="272"/>
    </row>
    <row r="25" spans="2:16">
      <c r="B25" s="195" t="str">
        <f t="shared" si="5"/>
        <v/>
      </c>
      <c r="C25" s="507">
        <f>IF(D11="","-",+C24+1)</f>
        <v>2015</v>
      </c>
      <c r="D25" s="631">
        <v>24198382.339186504</v>
      </c>
      <c r="E25" s="630">
        <v>693032.42976190476</v>
      </c>
      <c r="F25" s="631">
        <v>23505349.909424599</v>
      </c>
      <c r="G25" s="630">
        <v>3788799.8614330222</v>
      </c>
      <c r="H25" s="639">
        <v>3788799.8614330222</v>
      </c>
      <c r="I25" s="511">
        <v>0</v>
      </c>
      <c r="J25" s="511"/>
      <c r="K25" s="518">
        <f t="shared" ref="K25:K30" si="6">G25</f>
        <v>3788799.8614330222</v>
      </c>
      <c r="L25" s="519">
        <f t="shared" ref="L25:L30" si="7">IF(K25&lt;&gt;0,+G25-K25,0)</f>
        <v>0</v>
      </c>
      <c r="M25" s="518">
        <f t="shared" ref="M25:M30" si="8">H25</f>
        <v>3788799.8614330222</v>
      </c>
      <c r="N25" s="514">
        <f>IF(M25&lt;&gt;0,+H25-M25,0)</f>
        <v>0</v>
      </c>
      <c r="O25" s="514">
        <f>+N25-L25</f>
        <v>0</v>
      </c>
      <c r="P25" s="272"/>
    </row>
    <row r="26" spans="2:16">
      <c r="B26" s="195" t="str">
        <f t="shared" si="5"/>
        <v/>
      </c>
      <c r="C26" s="507">
        <f>IF(D11="","-",+C25+1)</f>
        <v>2016</v>
      </c>
      <c r="D26" s="631">
        <v>23505349.909424599</v>
      </c>
      <c r="E26" s="630">
        <v>693032.42976190476</v>
      </c>
      <c r="F26" s="631">
        <v>22812317.479662694</v>
      </c>
      <c r="G26" s="630">
        <v>3660458.1176400636</v>
      </c>
      <c r="H26" s="639">
        <v>3660458.1176400636</v>
      </c>
      <c r="I26" s="511">
        <f t="shared" ref="I26:I72" si="9">H26-G26</f>
        <v>0</v>
      </c>
      <c r="J26" s="511"/>
      <c r="K26" s="518">
        <f t="shared" si="6"/>
        <v>3660458.1176400636</v>
      </c>
      <c r="L26" s="519">
        <f t="shared" si="7"/>
        <v>0</v>
      </c>
      <c r="M26" s="518">
        <f t="shared" si="8"/>
        <v>3660458.1176400636</v>
      </c>
      <c r="N26" s="514">
        <f>IF(M26&lt;&gt;0,+H26-M26,0)</f>
        <v>0</v>
      </c>
      <c r="O26" s="514">
        <f>+N26-L26</f>
        <v>0</v>
      </c>
      <c r="P26" s="272"/>
    </row>
    <row r="27" spans="2:16">
      <c r="B27" s="195" t="str">
        <f t="shared" si="5"/>
        <v/>
      </c>
      <c r="C27" s="507">
        <f>IF(D11="","-",+C26+1)</f>
        <v>2017</v>
      </c>
      <c r="D27" s="631">
        <v>22812317.479662694</v>
      </c>
      <c r="E27" s="630">
        <v>676915.39651162794</v>
      </c>
      <c r="F27" s="631">
        <v>22135402.083151065</v>
      </c>
      <c r="G27" s="630">
        <v>3461258.8249701741</v>
      </c>
      <c r="H27" s="639">
        <v>3461258.8249701741</v>
      </c>
      <c r="I27" s="511">
        <f t="shared" si="9"/>
        <v>0</v>
      </c>
      <c r="J27" s="511"/>
      <c r="K27" s="518">
        <f t="shared" si="6"/>
        <v>3461258.8249701741</v>
      </c>
      <c r="L27" s="519">
        <f t="shared" si="7"/>
        <v>0</v>
      </c>
      <c r="M27" s="518">
        <f t="shared" si="8"/>
        <v>3461258.8249701741</v>
      </c>
      <c r="N27" s="514">
        <f>IF(M27&lt;&gt;0,+H27-M27,0)</f>
        <v>0</v>
      </c>
      <c r="O27" s="514">
        <f>+N27-L27</f>
        <v>0</v>
      </c>
      <c r="P27" s="272"/>
    </row>
    <row r="28" spans="2:16">
      <c r="B28" s="195" t="str">
        <f t="shared" si="5"/>
        <v/>
      </c>
      <c r="C28" s="507">
        <f>IF(D11="","-",+C27+1)</f>
        <v>2018</v>
      </c>
      <c r="D28" s="631">
        <v>22135402.083151065</v>
      </c>
      <c r="E28" s="630">
        <v>709935.65975609759</v>
      </c>
      <c r="F28" s="631">
        <v>21425466.423394967</v>
      </c>
      <c r="G28" s="630">
        <v>3478100.3254420273</v>
      </c>
      <c r="H28" s="639">
        <v>3478100.3254420273</v>
      </c>
      <c r="I28" s="511">
        <f t="shared" si="9"/>
        <v>0</v>
      </c>
      <c r="J28" s="511"/>
      <c r="K28" s="518">
        <f t="shared" si="6"/>
        <v>3478100.3254420273</v>
      </c>
      <c r="L28" s="519">
        <f t="shared" si="7"/>
        <v>0</v>
      </c>
      <c r="M28" s="518">
        <f t="shared" si="8"/>
        <v>3478100.3254420273</v>
      </c>
      <c r="N28" s="514">
        <f>IF(M28&lt;&gt;0,+H28-M28,0)</f>
        <v>0</v>
      </c>
      <c r="O28" s="514">
        <f>+N28-L28</f>
        <v>0</v>
      </c>
      <c r="P28" s="272"/>
    </row>
    <row r="29" spans="2:16">
      <c r="B29" s="195" t="str">
        <f t="shared" si="5"/>
        <v/>
      </c>
      <c r="C29" s="507">
        <f>IF(D11="","-",+C28+1)</f>
        <v>2019</v>
      </c>
      <c r="D29" s="631">
        <v>21425466.423394967</v>
      </c>
      <c r="E29" s="630">
        <v>709935.65975609759</v>
      </c>
      <c r="F29" s="631">
        <v>20715530.763638869</v>
      </c>
      <c r="G29" s="630">
        <v>3387871.6924682865</v>
      </c>
      <c r="H29" s="639">
        <v>3387871.6924682865</v>
      </c>
      <c r="I29" s="511">
        <f t="shared" si="9"/>
        <v>0</v>
      </c>
      <c r="J29" s="511"/>
      <c r="K29" s="518">
        <f t="shared" si="6"/>
        <v>3387871.6924682865</v>
      </c>
      <c r="L29" s="519">
        <f t="shared" si="7"/>
        <v>0</v>
      </c>
      <c r="M29" s="518">
        <f t="shared" si="8"/>
        <v>3387871.6924682865</v>
      </c>
      <c r="N29" s="514">
        <f t="shared" ref="N29:N72" si="10">IF(M29&lt;&gt;0,+H29-M29,0)</f>
        <v>0</v>
      </c>
      <c r="O29" s="514">
        <f t="shared" ref="O29:O72" si="11">+N29-L29</f>
        <v>0</v>
      </c>
      <c r="P29" s="272"/>
    </row>
    <row r="30" spans="2:16">
      <c r="B30" s="195" t="str">
        <f t="shared" si="5"/>
        <v/>
      </c>
      <c r="C30" s="507">
        <f>IF(D11="","-",+C29+1)</f>
        <v>2020</v>
      </c>
      <c r="D30" s="631">
        <v>20715530.763638869</v>
      </c>
      <c r="E30" s="630">
        <v>709935.65975609759</v>
      </c>
      <c r="F30" s="631">
        <v>20005595.103882771</v>
      </c>
      <c r="G30" s="630">
        <v>2793543.137478089</v>
      </c>
      <c r="H30" s="639">
        <v>2793543.137478089</v>
      </c>
      <c r="I30" s="511">
        <f t="shared" si="9"/>
        <v>0</v>
      </c>
      <c r="J30" s="511"/>
      <c r="K30" s="518">
        <f t="shared" si="6"/>
        <v>2793543.137478089</v>
      </c>
      <c r="L30" s="519">
        <f t="shared" si="7"/>
        <v>0</v>
      </c>
      <c r="M30" s="518">
        <f t="shared" si="8"/>
        <v>2793543.137478089</v>
      </c>
      <c r="N30" s="514">
        <f t="shared" si="10"/>
        <v>0</v>
      </c>
      <c r="O30" s="514">
        <f t="shared" si="11"/>
        <v>0</v>
      </c>
      <c r="P30" s="272"/>
    </row>
    <row r="31" spans="2:16">
      <c r="B31" s="195" t="str">
        <f t="shared" si="5"/>
        <v>IU</v>
      </c>
      <c r="C31" s="507">
        <f>IF(D11="","-",+C30+1)</f>
        <v>2021</v>
      </c>
      <c r="D31" s="631">
        <v>20038615.367127247</v>
      </c>
      <c r="E31" s="630">
        <v>693032.42976190476</v>
      </c>
      <c r="F31" s="631">
        <v>19345582.937365342</v>
      </c>
      <c r="G31" s="630">
        <v>2780484.4413299775</v>
      </c>
      <c r="H31" s="639">
        <v>2780484.4413299775</v>
      </c>
      <c r="I31" s="511">
        <f t="shared" si="9"/>
        <v>0</v>
      </c>
      <c r="J31" s="511"/>
      <c r="K31" s="518">
        <f t="shared" ref="K31" si="12">G31</f>
        <v>2780484.4413299775</v>
      </c>
      <c r="L31" s="519">
        <f t="shared" ref="L31" si="13">IF(K31&lt;&gt;0,+G31-K31,0)</f>
        <v>0</v>
      </c>
      <c r="M31" s="518">
        <f t="shared" ref="M31" si="14">H31</f>
        <v>2780484.4413299775</v>
      </c>
      <c r="N31" s="514">
        <f t="shared" si="10"/>
        <v>0</v>
      </c>
      <c r="O31" s="514">
        <f t="shared" si="11"/>
        <v>0</v>
      </c>
      <c r="P31" s="272"/>
    </row>
    <row r="32" spans="2:16">
      <c r="B32" s="195" t="str">
        <f t="shared" si="5"/>
        <v>IU</v>
      </c>
      <c r="C32" s="507">
        <f>IF(D11="","-",+C31+1)</f>
        <v>2022</v>
      </c>
      <c r="D32" s="631">
        <v>19312562.674120873</v>
      </c>
      <c r="E32" s="630">
        <v>693032.42976190476</v>
      </c>
      <c r="F32" s="631">
        <v>18619530.244358968</v>
      </c>
      <c r="G32" s="630">
        <v>2825652.3953134934</v>
      </c>
      <c r="H32" s="639">
        <v>2825652.3953134934</v>
      </c>
      <c r="I32" s="511">
        <f t="shared" si="9"/>
        <v>0</v>
      </c>
      <c r="J32" s="511"/>
      <c r="K32" s="518">
        <f t="shared" ref="K32" si="15">G32</f>
        <v>2825652.3953134934</v>
      </c>
      <c r="L32" s="519">
        <f t="shared" ref="L32" si="16">IF(K32&lt;&gt;0,+G32-K32,0)</f>
        <v>0</v>
      </c>
      <c r="M32" s="518">
        <f t="shared" ref="M32" si="17">H32</f>
        <v>2825652.3953134934</v>
      </c>
      <c r="N32" s="514">
        <f t="shared" si="10"/>
        <v>0</v>
      </c>
      <c r="O32" s="514">
        <f t="shared" si="11"/>
        <v>0</v>
      </c>
      <c r="P32" s="272"/>
    </row>
    <row r="33" spans="2:16">
      <c r="B33" s="195" t="str">
        <f t="shared" si="5"/>
        <v/>
      </c>
      <c r="C33" s="507">
        <f>IF(D11="","-",+C32+1)</f>
        <v>2023</v>
      </c>
      <c r="D33" s="631">
        <v>18619530.244358968</v>
      </c>
      <c r="E33" s="630">
        <v>693032.42976190476</v>
      </c>
      <c r="F33" s="631">
        <v>17926497.814597063</v>
      </c>
      <c r="G33" s="630">
        <v>3001403.5988125238</v>
      </c>
      <c r="H33" s="639">
        <v>3001403.5988125238</v>
      </c>
      <c r="I33" s="511">
        <f t="shared" si="9"/>
        <v>0</v>
      </c>
      <c r="J33" s="511"/>
      <c r="K33" s="518">
        <f t="shared" ref="K33" si="18">G33</f>
        <v>3001403.5988125238</v>
      </c>
      <c r="L33" s="519">
        <f t="shared" ref="L33" si="19">IF(K33&lt;&gt;0,+G33-K33,0)</f>
        <v>0</v>
      </c>
      <c r="M33" s="518">
        <f t="shared" ref="M33" si="20">H33</f>
        <v>3001403.5988125238</v>
      </c>
      <c r="N33" s="514">
        <f t="shared" ref="N33" si="21">IF(M33&lt;&gt;0,+H33-M33,0)</f>
        <v>0</v>
      </c>
      <c r="O33" s="514">
        <f t="shared" ref="O33" si="22">+N33-L33</f>
        <v>0</v>
      </c>
      <c r="P33" s="272"/>
    </row>
    <row r="34" spans="2:16">
      <c r="B34" s="195" t="str">
        <f t="shared" si="5"/>
        <v/>
      </c>
      <c r="C34" s="673">
        <f>IF(D11="","-",+C33+1)</f>
        <v>2024</v>
      </c>
      <c r="D34" s="523">
        <f>IF(F33+SUM(E$17:E33)=D$10,F33,D$10-SUM(E$17:E33))</f>
        <v>17926497.814597063</v>
      </c>
      <c r="E34" s="522">
        <f>IF(+I14&lt;F33,I14,D34)</f>
        <v>661530.95568181819</v>
      </c>
      <c r="F34" s="523">
        <f t="shared" ref="F34:F72" si="23">+D34-E34</f>
        <v>17264966.858915243</v>
      </c>
      <c r="G34" s="524">
        <f t="shared" ref="G34:G72" si="24">+I$12*((D34+F34)/2)+E34</f>
        <v>2764698.3712464399</v>
      </c>
      <c r="H34" s="491">
        <f t="shared" ref="H34:H72" si="25">+I$13*((D34+F34)/2)+E34</f>
        <v>2764698.3712464399</v>
      </c>
      <c r="I34" s="511">
        <f t="shared" si="9"/>
        <v>0</v>
      </c>
      <c r="J34" s="511"/>
      <c r="K34" s="525"/>
      <c r="L34" s="514">
        <f t="shared" ref="L34:L72" si="26">IF(K34&lt;&gt;0,+G34-K34,0)</f>
        <v>0</v>
      </c>
      <c r="M34" s="525"/>
      <c r="N34" s="514">
        <f t="shared" si="10"/>
        <v>0</v>
      </c>
      <c r="O34" s="514">
        <f t="shared" si="11"/>
        <v>0</v>
      </c>
      <c r="P34" s="272"/>
    </row>
    <row r="35" spans="2:16">
      <c r="B35" s="195" t="str">
        <f t="shared" si="5"/>
        <v/>
      </c>
      <c r="C35" s="507">
        <f>IF(D11="","-",+C34+1)</f>
        <v>2025</v>
      </c>
      <c r="D35" s="523">
        <f>IF(F34+SUM(E$17:E34)=D$10,F34,D$10-SUM(E$17:E34))</f>
        <v>17264966.858915243</v>
      </c>
      <c r="E35" s="522">
        <f>IF(+I14&lt;F34,I14,D35)</f>
        <v>661530.95568181819</v>
      </c>
      <c r="F35" s="523">
        <f t="shared" si="23"/>
        <v>16603435.903233426</v>
      </c>
      <c r="G35" s="524">
        <f t="shared" si="24"/>
        <v>2685627.4736134391</v>
      </c>
      <c r="H35" s="491">
        <f t="shared" si="25"/>
        <v>2685627.4736134391</v>
      </c>
      <c r="I35" s="511">
        <f t="shared" si="9"/>
        <v>0</v>
      </c>
      <c r="J35" s="511"/>
      <c r="K35" s="525"/>
      <c r="L35" s="514">
        <f t="shared" si="26"/>
        <v>0</v>
      </c>
      <c r="M35" s="525"/>
      <c r="N35" s="514">
        <f t="shared" si="10"/>
        <v>0</v>
      </c>
      <c r="O35" s="514">
        <f t="shared" si="11"/>
        <v>0</v>
      </c>
      <c r="P35" s="272"/>
    </row>
    <row r="36" spans="2:16">
      <c r="B36" s="195" t="str">
        <f t="shared" si="5"/>
        <v/>
      </c>
      <c r="C36" s="507">
        <f>IF(D11="","-",+C35+1)</f>
        <v>2026</v>
      </c>
      <c r="D36" s="523">
        <f>IF(F35+SUM(E$17:E35)=D$10,F35,D$10-SUM(E$17:E35))</f>
        <v>16603435.903233426</v>
      </c>
      <c r="E36" s="522">
        <f>IF(+I14&lt;F35,I14,D36)</f>
        <v>661530.95568181819</v>
      </c>
      <c r="F36" s="523">
        <f t="shared" si="23"/>
        <v>15941904.947551608</v>
      </c>
      <c r="G36" s="524">
        <f t="shared" si="24"/>
        <v>2606556.5759804384</v>
      </c>
      <c r="H36" s="491">
        <f t="shared" si="25"/>
        <v>2606556.5759804384</v>
      </c>
      <c r="I36" s="511">
        <f t="shared" si="9"/>
        <v>0</v>
      </c>
      <c r="J36" s="511"/>
      <c r="K36" s="525"/>
      <c r="L36" s="514">
        <f t="shared" si="26"/>
        <v>0</v>
      </c>
      <c r="M36" s="525"/>
      <c r="N36" s="514">
        <f t="shared" si="10"/>
        <v>0</v>
      </c>
      <c r="O36" s="514">
        <f t="shared" si="11"/>
        <v>0</v>
      </c>
      <c r="P36" s="272"/>
    </row>
    <row r="37" spans="2:16">
      <c r="B37" s="195" t="str">
        <f t="shared" si="5"/>
        <v/>
      </c>
      <c r="C37" s="507">
        <f>IF(D11="","-",+C36+1)</f>
        <v>2027</v>
      </c>
      <c r="D37" s="523">
        <f>IF(F36+SUM(E$17:E36)=D$10,F36,D$10-SUM(E$17:E36))</f>
        <v>15941904.947551608</v>
      </c>
      <c r="E37" s="522">
        <f>IF(+I14&lt;F36,I14,D37)</f>
        <v>661530.95568181819</v>
      </c>
      <c r="F37" s="523">
        <f t="shared" si="23"/>
        <v>15280373.99186979</v>
      </c>
      <c r="G37" s="524">
        <f t="shared" si="24"/>
        <v>2527485.6783474381</v>
      </c>
      <c r="H37" s="491">
        <f t="shared" si="25"/>
        <v>2527485.6783474381</v>
      </c>
      <c r="I37" s="511">
        <f t="shared" si="9"/>
        <v>0</v>
      </c>
      <c r="J37" s="511"/>
      <c r="K37" s="525"/>
      <c r="L37" s="514">
        <f t="shared" si="26"/>
        <v>0</v>
      </c>
      <c r="M37" s="525"/>
      <c r="N37" s="514">
        <f t="shared" si="10"/>
        <v>0</v>
      </c>
      <c r="O37" s="514">
        <f t="shared" si="11"/>
        <v>0</v>
      </c>
      <c r="P37" s="272"/>
    </row>
    <row r="38" spans="2:16">
      <c r="B38" s="195" t="str">
        <f t="shared" si="5"/>
        <v/>
      </c>
      <c r="C38" s="507">
        <f>IF(D11="","-",+C37+1)</f>
        <v>2028</v>
      </c>
      <c r="D38" s="523">
        <f>IF(F37+SUM(E$17:E37)=D$10,F37,D$10-SUM(E$17:E37))</f>
        <v>15280373.99186979</v>
      </c>
      <c r="E38" s="522">
        <f>IF(+I14&lt;F37,I14,D38)</f>
        <v>661530.95568181819</v>
      </c>
      <c r="F38" s="523">
        <f t="shared" si="23"/>
        <v>14618843.036187973</v>
      </c>
      <c r="G38" s="524">
        <f t="shared" si="24"/>
        <v>2448414.7807144374</v>
      </c>
      <c r="H38" s="491">
        <f t="shared" si="25"/>
        <v>2448414.7807144374</v>
      </c>
      <c r="I38" s="511">
        <f t="shared" si="9"/>
        <v>0</v>
      </c>
      <c r="J38" s="511"/>
      <c r="K38" s="525"/>
      <c r="L38" s="514">
        <f t="shared" si="26"/>
        <v>0</v>
      </c>
      <c r="M38" s="525"/>
      <c r="N38" s="514">
        <f t="shared" si="10"/>
        <v>0</v>
      </c>
      <c r="O38" s="514">
        <f t="shared" si="11"/>
        <v>0</v>
      </c>
      <c r="P38" s="272"/>
    </row>
    <row r="39" spans="2:16">
      <c r="B39" s="195" t="str">
        <f t="shared" si="5"/>
        <v/>
      </c>
      <c r="C39" s="507">
        <f>IF(D11="","-",+C38+1)</f>
        <v>2029</v>
      </c>
      <c r="D39" s="523">
        <f>IF(F38+SUM(E$17:E38)=D$10,F38,D$10-SUM(E$17:E38))</f>
        <v>14618843.036187973</v>
      </c>
      <c r="E39" s="522">
        <f>IF(+I14&lt;F38,I14,D39)</f>
        <v>661530.95568181819</v>
      </c>
      <c r="F39" s="523">
        <f t="shared" si="23"/>
        <v>13957312.080506155</v>
      </c>
      <c r="G39" s="524">
        <f t="shared" si="24"/>
        <v>2369343.8830814371</v>
      </c>
      <c r="H39" s="491">
        <f t="shared" si="25"/>
        <v>2369343.8830814371</v>
      </c>
      <c r="I39" s="511">
        <f t="shared" si="9"/>
        <v>0</v>
      </c>
      <c r="J39" s="511"/>
      <c r="K39" s="525"/>
      <c r="L39" s="514">
        <f t="shared" si="26"/>
        <v>0</v>
      </c>
      <c r="M39" s="525"/>
      <c r="N39" s="514">
        <f t="shared" si="10"/>
        <v>0</v>
      </c>
      <c r="O39" s="514">
        <f t="shared" si="11"/>
        <v>0</v>
      </c>
      <c r="P39" s="272"/>
    </row>
    <row r="40" spans="2:16">
      <c r="B40" s="195" t="str">
        <f t="shared" si="5"/>
        <v/>
      </c>
      <c r="C40" s="507">
        <f>IF(D11="","-",+C39+1)</f>
        <v>2030</v>
      </c>
      <c r="D40" s="523">
        <f>IF(F39+SUM(E$17:E39)=D$10,F39,D$10-SUM(E$17:E39))</f>
        <v>13957312.080506155</v>
      </c>
      <c r="E40" s="522">
        <f>IF(+I14&lt;F39,I14,D40)</f>
        <v>661530.95568181819</v>
      </c>
      <c r="F40" s="523">
        <f t="shared" si="23"/>
        <v>13295781.124824338</v>
      </c>
      <c r="G40" s="524">
        <f t="shared" si="24"/>
        <v>2290272.9854484363</v>
      </c>
      <c r="H40" s="491">
        <f t="shared" si="25"/>
        <v>2290272.9854484363</v>
      </c>
      <c r="I40" s="511">
        <f t="shared" si="9"/>
        <v>0</v>
      </c>
      <c r="J40" s="511"/>
      <c r="K40" s="525"/>
      <c r="L40" s="514">
        <f t="shared" si="26"/>
        <v>0</v>
      </c>
      <c r="M40" s="525"/>
      <c r="N40" s="514">
        <f t="shared" si="10"/>
        <v>0</v>
      </c>
      <c r="O40" s="514">
        <f t="shared" si="11"/>
        <v>0</v>
      </c>
      <c r="P40" s="272"/>
    </row>
    <row r="41" spans="2:16">
      <c r="B41" s="195" t="str">
        <f t="shared" si="5"/>
        <v/>
      </c>
      <c r="C41" s="507">
        <f>IF(D11="","-",+C40+1)</f>
        <v>2031</v>
      </c>
      <c r="D41" s="523">
        <f>IF(F40+SUM(E$17:E40)=D$10,F40,D$10-SUM(E$17:E40))</f>
        <v>13295781.124824338</v>
      </c>
      <c r="E41" s="522">
        <f>IF(+I14&lt;F40,I14,D41)</f>
        <v>661530.95568181819</v>
      </c>
      <c r="F41" s="523">
        <f t="shared" si="23"/>
        <v>12634250.16914252</v>
      </c>
      <c r="G41" s="524">
        <f t="shared" si="24"/>
        <v>2211202.0878154361</v>
      </c>
      <c r="H41" s="491">
        <f t="shared" si="25"/>
        <v>2211202.0878154361</v>
      </c>
      <c r="I41" s="511">
        <f t="shared" si="9"/>
        <v>0</v>
      </c>
      <c r="J41" s="511"/>
      <c r="K41" s="525"/>
      <c r="L41" s="514">
        <f t="shared" si="26"/>
        <v>0</v>
      </c>
      <c r="M41" s="525"/>
      <c r="N41" s="514">
        <f t="shared" si="10"/>
        <v>0</v>
      </c>
      <c r="O41" s="514">
        <f t="shared" si="11"/>
        <v>0</v>
      </c>
      <c r="P41" s="272"/>
    </row>
    <row r="42" spans="2:16">
      <c r="B42" s="195" t="str">
        <f t="shared" si="5"/>
        <v/>
      </c>
      <c r="C42" s="507">
        <f>IF(D11="","-",+C41+1)</f>
        <v>2032</v>
      </c>
      <c r="D42" s="523">
        <f>IF(F41+SUM(E$17:E41)=D$10,F41,D$10-SUM(E$17:E41))</f>
        <v>12634250.16914252</v>
      </c>
      <c r="E42" s="522">
        <f>IF(+I14&lt;F41,I14,D42)</f>
        <v>661530.95568181819</v>
      </c>
      <c r="F42" s="523">
        <f t="shared" si="23"/>
        <v>11972719.213460702</v>
      </c>
      <c r="G42" s="524">
        <f t="shared" si="24"/>
        <v>2132131.1901824353</v>
      </c>
      <c r="H42" s="491">
        <f t="shared" si="25"/>
        <v>2132131.1901824353</v>
      </c>
      <c r="I42" s="511">
        <f t="shared" si="9"/>
        <v>0</v>
      </c>
      <c r="J42" s="511"/>
      <c r="K42" s="525"/>
      <c r="L42" s="514">
        <f t="shared" si="26"/>
        <v>0</v>
      </c>
      <c r="M42" s="525"/>
      <c r="N42" s="514">
        <f t="shared" si="10"/>
        <v>0</v>
      </c>
      <c r="O42" s="514">
        <f t="shared" si="11"/>
        <v>0</v>
      </c>
      <c r="P42" s="272"/>
    </row>
    <row r="43" spans="2:16">
      <c r="B43" s="195" t="str">
        <f t="shared" si="5"/>
        <v/>
      </c>
      <c r="C43" s="507">
        <f>IF(D11="","-",+C42+1)</f>
        <v>2033</v>
      </c>
      <c r="D43" s="523">
        <f>IF(F42+SUM(E$17:E42)=D$10,F42,D$10-SUM(E$17:E42))</f>
        <v>11972719.213460702</v>
      </c>
      <c r="E43" s="522">
        <f>IF(+I14&lt;F42,I14,D43)</f>
        <v>661530.95568181819</v>
      </c>
      <c r="F43" s="523">
        <f t="shared" si="23"/>
        <v>11311188.257778885</v>
      </c>
      <c r="G43" s="524">
        <f t="shared" si="24"/>
        <v>2053060.292549435</v>
      </c>
      <c r="H43" s="491">
        <f t="shared" si="25"/>
        <v>2053060.292549435</v>
      </c>
      <c r="I43" s="511">
        <f t="shared" si="9"/>
        <v>0</v>
      </c>
      <c r="J43" s="511"/>
      <c r="K43" s="525"/>
      <c r="L43" s="514">
        <f t="shared" si="26"/>
        <v>0</v>
      </c>
      <c r="M43" s="525"/>
      <c r="N43" s="514">
        <f t="shared" si="10"/>
        <v>0</v>
      </c>
      <c r="O43" s="514">
        <f t="shared" si="11"/>
        <v>0</v>
      </c>
      <c r="P43" s="272"/>
    </row>
    <row r="44" spans="2:16">
      <c r="B44" s="195" t="str">
        <f t="shared" si="5"/>
        <v/>
      </c>
      <c r="C44" s="507">
        <f>IF(D11="","-",+C43+1)</f>
        <v>2034</v>
      </c>
      <c r="D44" s="523">
        <f>IF(F43+SUM(E$17:E43)=D$10,F43,D$10-SUM(E$17:E43))</f>
        <v>11311188.257778885</v>
      </c>
      <c r="E44" s="522">
        <f>IF(+I14&lt;F43,I14,D44)</f>
        <v>661530.95568181819</v>
      </c>
      <c r="F44" s="523">
        <f t="shared" si="23"/>
        <v>10649657.302097067</v>
      </c>
      <c r="G44" s="524">
        <f t="shared" si="24"/>
        <v>1973989.3949164343</v>
      </c>
      <c r="H44" s="491">
        <f t="shared" si="25"/>
        <v>1973989.3949164343</v>
      </c>
      <c r="I44" s="511">
        <f t="shared" si="9"/>
        <v>0</v>
      </c>
      <c r="J44" s="511"/>
      <c r="K44" s="525"/>
      <c r="L44" s="514">
        <f t="shared" si="26"/>
        <v>0</v>
      </c>
      <c r="M44" s="525"/>
      <c r="N44" s="514">
        <f t="shared" si="10"/>
        <v>0</v>
      </c>
      <c r="O44" s="514">
        <f t="shared" si="11"/>
        <v>0</v>
      </c>
      <c r="P44" s="272"/>
    </row>
    <row r="45" spans="2:16">
      <c r="B45" s="195" t="str">
        <f t="shared" si="5"/>
        <v/>
      </c>
      <c r="C45" s="507">
        <f>IF(D11="","-",+C44+1)</f>
        <v>2035</v>
      </c>
      <c r="D45" s="523">
        <f>IF(F44+SUM(E$17:E44)=D$10,F44,D$10-SUM(E$17:E44))</f>
        <v>10649657.302097067</v>
      </c>
      <c r="E45" s="522">
        <f>IF(+I14&lt;F44,I14,D45)</f>
        <v>661530.95568181819</v>
      </c>
      <c r="F45" s="523">
        <f t="shared" si="23"/>
        <v>9988126.3464152496</v>
      </c>
      <c r="G45" s="524">
        <f t="shared" si="24"/>
        <v>1894918.497283434</v>
      </c>
      <c r="H45" s="491">
        <f t="shared" si="25"/>
        <v>1894918.497283434</v>
      </c>
      <c r="I45" s="511">
        <f t="shared" si="9"/>
        <v>0</v>
      </c>
      <c r="J45" s="511"/>
      <c r="K45" s="525"/>
      <c r="L45" s="514">
        <f t="shared" si="26"/>
        <v>0</v>
      </c>
      <c r="M45" s="525"/>
      <c r="N45" s="514">
        <f t="shared" si="10"/>
        <v>0</v>
      </c>
      <c r="O45" s="514">
        <f t="shared" si="11"/>
        <v>0</v>
      </c>
      <c r="P45" s="272"/>
    </row>
    <row r="46" spans="2:16">
      <c r="B46" s="195" t="str">
        <f t="shared" si="5"/>
        <v/>
      </c>
      <c r="C46" s="507">
        <f>IF(D11="","-",+C45+1)</f>
        <v>2036</v>
      </c>
      <c r="D46" s="523">
        <f>IF(F45+SUM(E$17:E45)=D$10,F45,D$10-SUM(E$17:E45))</f>
        <v>9988126.3464152496</v>
      </c>
      <c r="E46" s="522">
        <f>IF(+I14&lt;F45,I14,D46)</f>
        <v>661530.95568181819</v>
      </c>
      <c r="F46" s="523">
        <f t="shared" si="23"/>
        <v>9326595.390733432</v>
      </c>
      <c r="G46" s="524">
        <f t="shared" si="24"/>
        <v>1815847.5996504333</v>
      </c>
      <c r="H46" s="491">
        <f t="shared" si="25"/>
        <v>1815847.5996504333</v>
      </c>
      <c r="I46" s="511">
        <f t="shared" si="9"/>
        <v>0</v>
      </c>
      <c r="J46" s="511"/>
      <c r="K46" s="525"/>
      <c r="L46" s="514">
        <f t="shared" si="26"/>
        <v>0</v>
      </c>
      <c r="M46" s="525"/>
      <c r="N46" s="514">
        <f t="shared" si="10"/>
        <v>0</v>
      </c>
      <c r="O46" s="514">
        <f t="shared" si="11"/>
        <v>0</v>
      </c>
      <c r="P46" s="272"/>
    </row>
    <row r="47" spans="2:16">
      <c r="B47" s="195" t="str">
        <f t="shared" si="5"/>
        <v/>
      </c>
      <c r="C47" s="507">
        <f>IF(D11="","-",+C46+1)</f>
        <v>2037</v>
      </c>
      <c r="D47" s="523">
        <f>IF(F46+SUM(E$17:E46)=D$10,F46,D$10-SUM(E$17:E46))</f>
        <v>9326595.390733432</v>
      </c>
      <c r="E47" s="522">
        <f>IF(+I14&lt;F46,I14,D47)</f>
        <v>661530.95568181819</v>
      </c>
      <c r="F47" s="523">
        <f t="shared" si="23"/>
        <v>8665064.4350516144</v>
      </c>
      <c r="G47" s="524">
        <f t="shared" si="24"/>
        <v>1736776.702017433</v>
      </c>
      <c r="H47" s="491">
        <f t="shared" si="25"/>
        <v>1736776.702017433</v>
      </c>
      <c r="I47" s="511">
        <f t="shared" si="9"/>
        <v>0</v>
      </c>
      <c r="J47" s="511"/>
      <c r="K47" s="525"/>
      <c r="L47" s="514">
        <f t="shared" si="26"/>
        <v>0</v>
      </c>
      <c r="M47" s="525"/>
      <c r="N47" s="514">
        <f t="shared" si="10"/>
        <v>0</v>
      </c>
      <c r="O47" s="514">
        <f t="shared" si="11"/>
        <v>0</v>
      </c>
      <c r="P47" s="272"/>
    </row>
    <row r="48" spans="2:16">
      <c r="B48" s="195" t="str">
        <f t="shared" si="5"/>
        <v/>
      </c>
      <c r="C48" s="507">
        <f>IF(D11="","-",+C47+1)</f>
        <v>2038</v>
      </c>
      <c r="D48" s="523">
        <f>IF(F47+SUM(E$17:E47)=D$10,F47,D$10-SUM(E$17:E47))</f>
        <v>8665064.4350516144</v>
      </c>
      <c r="E48" s="522">
        <f>IF(+I14&lt;F47,I14,D48)</f>
        <v>661530.95568181819</v>
      </c>
      <c r="F48" s="523">
        <f t="shared" si="23"/>
        <v>8003533.4793697959</v>
      </c>
      <c r="G48" s="524">
        <f t="shared" si="24"/>
        <v>1657705.8043844323</v>
      </c>
      <c r="H48" s="491">
        <f t="shared" si="25"/>
        <v>1657705.8043844323</v>
      </c>
      <c r="I48" s="511">
        <f t="shared" si="9"/>
        <v>0</v>
      </c>
      <c r="J48" s="511"/>
      <c r="K48" s="525"/>
      <c r="L48" s="514">
        <f t="shared" si="26"/>
        <v>0</v>
      </c>
      <c r="M48" s="525"/>
      <c r="N48" s="514">
        <f t="shared" si="10"/>
        <v>0</v>
      </c>
      <c r="O48" s="514">
        <f t="shared" si="11"/>
        <v>0</v>
      </c>
      <c r="P48" s="272"/>
    </row>
    <row r="49" spans="2:16">
      <c r="B49" s="195" t="str">
        <f t="shared" si="5"/>
        <v/>
      </c>
      <c r="C49" s="507">
        <f>IF(D11="","-",+C48+1)</f>
        <v>2039</v>
      </c>
      <c r="D49" s="523">
        <f>IF(F48+SUM(E$17:E48)=D$10,F48,D$10-SUM(E$17:E48))</f>
        <v>8003533.4793697959</v>
      </c>
      <c r="E49" s="522">
        <f>IF(+I14&lt;F48,I14,D49)</f>
        <v>661530.95568181819</v>
      </c>
      <c r="F49" s="523">
        <f t="shared" si="23"/>
        <v>7342002.5236879773</v>
      </c>
      <c r="G49" s="524">
        <f t="shared" si="24"/>
        <v>1578634.906751432</v>
      </c>
      <c r="H49" s="491">
        <f t="shared" si="25"/>
        <v>1578634.906751432</v>
      </c>
      <c r="I49" s="511">
        <f t="shared" si="9"/>
        <v>0</v>
      </c>
      <c r="J49" s="511"/>
      <c r="K49" s="525"/>
      <c r="L49" s="514">
        <f t="shared" si="26"/>
        <v>0</v>
      </c>
      <c r="M49" s="525"/>
      <c r="N49" s="514">
        <f t="shared" si="10"/>
        <v>0</v>
      </c>
      <c r="O49" s="514">
        <f t="shared" si="11"/>
        <v>0</v>
      </c>
      <c r="P49" s="272"/>
    </row>
    <row r="50" spans="2:16">
      <c r="B50" s="195" t="str">
        <f t="shared" si="5"/>
        <v/>
      </c>
      <c r="C50" s="507">
        <f>IF(D11="","-",+C49+1)</f>
        <v>2040</v>
      </c>
      <c r="D50" s="523">
        <f>IF(F49+SUM(E$17:E49)=D$10,F49,D$10-SUM(E$17:E49))</f>
        <v>7342002.5236879773</v>
      </c>
      <c r="E50" s="522">
        <f>IF(+I14&lt;F49,I14,D50)</f>
        <v>661530.95568181819</v>
      </c>
      <c r="F50" s="523">
        <f t="shared" si="23"/>
        <v>6680471.5680061588</v>
      </c>
      <c r="G50" s="524">
        <f t="shared" si="24"/>
        <v>1499564.0091184312</v>
      </c>
      <c r="H50" s="491">
        <f t="shared" si="25"/>
        <v>1499564.0091184312</v>
      </c>
      <c r="I50" s="511">
        <f t="shared" si="9"/>
        <v>0</v>
      </c>
      <c r="J50" s="511"/>
      <c r="K50" s="525"/>
      <c r="L50" s="514">
        <f t="shared" si="26"/>
        <v>0</v>
      </c>
      <c r="M50" s="525"/>
      <c r="N50" s="514">
        <f t="shared" si="10"/>
        <v>0</v>
      </c>
      <c r="O50" s="514">
        <f t="shared" si="11"/>
        <v>0</v>
      </c>
      <c r="P50" s="272"/>
    </row>
    <row r="51" spans="2:16">
      <c r="B51" s="195" t="str">
        <f t="shared" si="5"/>
        <v/>
      </c>
      <c r="C51" s="507">
        <f>IF(D11="","-",+C50+1)</f>
        <v>2041</v>
      </c>
      <c r="D51" s="523">
        <f>IF(F50+SUM(E$17:E50)=D$10,F50,D$10-SUM(E$17:E50))</f>
        <v>6680471.5680061588</v>
      </c>
      <c r="E51" s="522">
        <f>IF(+I14&lt;F50,I14,D51)</f>
        <v>661530.95568181819</v>
      </c>
      <c r="F51" s="523">
        <f t="shared" si="23"/>
        <v>6018940.6123243403</v>
      </c>
      <c r="G51" s="524">
        <f t="shared" si="24"/>
        <v>1420493.1114854307</v>
      </c>
      <c r="H51" s="491">
        <f t="shared" si="25"/>
        <v>1420493.1114854307</v>
      </c>
      <c r="I51" s="511">
        <f t="shared" si="9"/>
        <v>0</v>
      </c>
      <c r="J51" s="511"/>
      <c r="K51" s="525"/>
      <c r="L51" s="514">
        <f t="shared" si="26"/>
        <v>0</v>
      </c>
      <c r="M51" s="525"/>
      <c r="N51" s="514">
        <f t="shared" si="10"/>
        <v>0</v>
      </c>
      <c r="O51" s="514">
        <f t="shared" si="11"/>
        <v>0</v>
      </c>
      <c r="P51" s="272"/>
    </row>
    <row r="52" spans="2:16">
      <c r="B52" s="195" t="str">
        <f t="shared" si="5"/>
        <v/>
      </c>
      <c r="C52" s="507">
        <f>IF(D11="","-",+C51+1)</f>
        <v>2042</v>
      </c>
      <c r="D52" s="523">
        <f>IF(F51+SUM(E$17:E51)=D$10,F51,D$10-SUM(E$17:E51))</f>
        <v>6018940.6123243403</v>
      </c>
      <c r="E52" s="522">
        <f>IF(+I14&lt;F51,I14,D52)</f>
        <v>661530.95568181819</v>
      </c>
      <c r="F52" s="523">
        <f t="shared" si="23"/>
        <v>5357409.6566425217</v>
      </c>
      <c r="G52" s="524">
        <f t="shared" si="24"/>
        <v>1341422.21385243</v>
      </c>
      <c r="H52" s="491">
        <f t="shared" si="25"/>
        <v>1341422.21385243</v>
      </c>
      <c r="I52" s="511">
        <f t="shared" si="9"/>
        <v>0</v>
      </c>
      <c r="J52" s="511"/>
      <c r="K52" s="525"/>
      <c r="L52" s="514">
        <f t="shared" si="26"/>
        <v>0</v>
      </c>
      <c r="M52" s="525"/>
      <c r="N52" s="514">
        <f t="shared" si="10"/>
        <v>0</v>
      </c>
      <c r="O52" s="514">
        <f t="shared" si="11"/>
        <v>0</v>
      </c>
      <c r="P52" s="272"/>
    </row>
    <row r="53" spans="2:16">
      <c r="B53" s="195" t="str">
        <f t="shared" si="5"/>
        <v/>
      </c>
      <c r="C53" s="507">
        <f>IF(D11="","-",+C52+1)</f>
        <v>2043</v>
      </c>
      <c r="D53" s="523">
        <f>IF(F52+SUM(E$17:E52)=D$10,F52,D$10-SUM(E$17:E52))</f>
        <v>5357409.6566425217</v>
      </c>
      <c r="E53" s="522">
        <f>IF(+I14&lt;F52,I14,D53)</f>
        <v>661530.95568181819</v>
      </c>
      <c r="F53" s="523">
        <f t="shared" si="23"/>
        <v>4695878.7009607032</v>
      </c>
      <c r="G53" s="524">
        <f t="shared" si="24"/>
        <v>1262351.3162194295</v>
      </c>
      <c r="H53" s="491">
        <f t="shared" si="25"/>
        <v>1262351.3162194295</v>
      </c>
      <c r="I53" s="511">
        <f t="shared" si="9"/>
        <v>0</v>
      </c>
      <c r="J53" s="511"/>
      <c r="K53" s="525"/>
      <c r="L53" s="514">
        <f t="shared" si="26"/>
        <v>0</v>
      </c>
      <c r="M53" s="525"/>
      <c r="N53" s="514">
        <f t="shared" si="10"/>
        <v>0</v>
      </c>
      <c r="O53" s="514">
        <f t="shared" si="11"/>
        <v>0</v>
      </c>
      <c r="P53" s="272"/>
    </row>
    <row r="54" spans="2:16">
      <c r="B54" s="195" t="str">
        <f t="shared" si="5"/>
        <v/>
      </c>
      <c r="C54" s="507">
        <f>IF(D11="","-",+C53+1)</f>
        <v>2044</v>
      </c>
      <c r="D54" s="523">
        <f>IF(F53+SUM(E$17:E53)=D$10,F53,D$10-SUM(E$17:E53))</f>
        <v>4695878.7009607032</v>
      </c>
      <c r="E54" s="522">
        <f>IF(+I14&lt;F53,I14,D54)</f>
        <v>661530.95568181819</v>
      </c>
      <c r="F54" s="523">
        <f t="shared" si="23"/>
        <v>4034347.7452788851</v>
      </c>
      <c r="G54" s="524">
        <f t="shared" si="24"/>
        <v>1183280.4185864287</v>
      </c>
      <c r="H54" s="491">
        <f t="shared" si="25"/>
        <v>1183280.4185864287</v>
      </c>
      <c r="I54" s="511">
        <f t="shared" si="9"/>
        <v>0</v>
      </c>
      <c r="J54" s="511"/>
      <c r="K54" s="525"/>
      <c r="L54" s="514">
        <f t="shared" si="26"/>
        <v>0</v>
      </c>
      <c r="M54" s="525"/>
      <c r="N54" s="514">
        <f t="shared" si="10"/>
        <v>0</v>
      </c>
      <c r="O54" s="514">
        <f t="shared" si="11"/>
        <v>0</v>
      </c>
      <c r="P54" s="272"/>
    </row>
    <row r="55" spans="2:16">
      <c r="B55" s="195" t="str">
        <f t="shared" si="5"/>
        <v/>
      </c>
      <c r="C55" s="507">
        <f>IF(D11="","-",+C54+1)</f>
        <v>2045</v>
      </c>
      <c r="D55" s="523">
        <f>IF(F54+SUM(E$17:E54)=D$10,F54,D$10-SUM(E$17:E54))</f>
        <v>4034347.7452788851</v>
      </c>
      <c r="E55" s="522">
        <f>IF(+I14&lt;F54,I14,D55)</f>
        <v>661530.95568181819</v>
      </c>
      <c r="F55" s="523">
        <f t="shared" si="23"/>
        <v>3372816.7895970671</v>
      </c>
      <c r="G55" s="524">
        <f t="shared" si="24"/>
        <v>1104209.5209534282</v>
      </c>
      <c r="H55" s="491">
        <f t="shared" si="25"/>
        <v>1104209.5209534282</v>
      </c>
      <c r="I55" s="511">
        <f t="shared" si="9"/>
        <v>0</v>
      </c>
      <c r="J55" s="511"/>
      <c r="K55" s="525"/>
      <c r="L55" s="514">
        <f t="shared" si="26"/>
        <v>0</v>
      </c>
      <c r="M55" s="525"/>
      <c r="N55" s="514">
        <f t="shared" si="10"/>
        <v>0</v>
      </c>
      <c r="O55" s="514">
        <f t="shared" si="11"/>
        <v>0</v>
      </c>
      <c r="P55" s="272"/>
    </row>
    <row r="56" spans="2:16">
      <c r="B56" s="195" t="str">
        <f t="shared" si="5"/>
        <v/>
      </c>
      <c r="C56" s="507">
        <f>IF(D11="","-",+C55+1)</f>
        <v>2046</v>
      </c>
      <c r="D56" s="523">
        <f>IF(F55+SUM(E$17:E55)=D$10,F55,D$10-SUM(E$17:E55))</f>
        <v>3372816.7895970671</v>
      </c>
      <c r="E56" s="522">
        <f>IF(+I14&lt;F55,I14,D56)</f>
        <v>661530.95568181819</v>
      </c>
      <c r="F56" s="523">
        <f t="shared" si="23"/>
        <v>2711285.833915249</v>
      </c>
      <c r="G56" s="524">
        <f t="shared" si="24"/>
        <v>1025138.6233204277</v>
      </c>
      <c r="H56" s="491">
        <f t="shared" si="25"/>
        <v>1025138.6233204277</v>
      </c>
      <c r="I56" s="511">
        <f t="shared" si="9"/>
        <v>0</v>
      </c>
      <c r="J56" s="511"/>
      <c r="K56" s="525"/>
      <c r="L56" s="514">
        <f t="shared" si="26"/>
        <v>0</v>
      </c>
      <c r="M56" s="525"/>
      <c r="N56" s="514">
        <f t="shared" si="10"/>
        <v>0</v>
      </c>
      <c r="O56" s="514">
        <f t="shared" si="11"/>
        <v>0</v>
      </c>
      <c r="P56" s="272"/>
    </row>
    <row r="57" spans="2:16">
      <c r="B57" s="195" t="str">
        <f t="shared" si="5"/>
        <v/>
      </c>
      <c r="C57" s="507">
        <f>IF(D11="","-",+C56+1)</f>
        <v>2047</v>
      </c>
      <c r="D57" s="523">
        <f>IF(F56+SUM(E$17:E56)=D$10,F56,D$10-SUM(E$17:E56))</f>
        <v>2711285.833915249</v>
      </c>
      <c r="E57" s="522">
        <f>IF(+I14&lt;F56,I14,D57)</f>
        <v>661530.95568181819</v>
      </c>
      <c r="F57" s="523">
        <f t="shared" si="23"/>
        <v>2049754.8782334309</v>
      </c>
      <c r="G57" s="524">
        <f t="shared" si="24"/>
        <v>946067.72568742721</v>
      </c>
      <c r="H57" s="491">
        <f t="shared" si="25"/>
        <v>946067.72568742721</v>
      </c>
      <c r="I57" s="511">
        <f t="shared" si="9"/>
        <v>0</v>
      </c>
      <c r="J57" s="511"/>
      <c r="K57" s="525"/>
      <c r="L57" s="514">
        <f t="shared" si="26"/>
        <v>0</v>
      </c>
      <c r="M57" s="525"/>
      <c r="N57" s="514">
        <f t="shared" si="10"/>
        <v>0</v>
      </c>
      <c r="O57" s="514">
        <f t="shared" si="11"/>
        <v>0</v>
      </c>
      <c r="P57" s="272"/>
    </row>
    <row r="58" spans="2:16">
      <c r="B58" s="195" t="str">
        <f t="shared" si="5"/>
        <v/>
      </c>
      <c r="C58" s="507">
        <f>IF(D11="","-",+C57+1)</f>
        <v>2048</v>
      </c>
      <c r="D58" s="523">
        <f>IF(F57+SUM(E$17:E57)=D$10,F57,D$10-SUM(E$17:E57))</f>
        <v>2049754.8782334309</v>
      </c>
      <c r="E58" s="522">
        <f>IF(+I14&lt;F57,I14,D58)</f>
        <v>661530.95568181819</v>
      </c>
      <c r="F58" s="523">
        <f t="shared" si="23"/>
        <v>1388223.9225516128</v>
      </c>
      <c r="G58" s="524">
        <f t="shared" si="24"/>
        <v>866996.82805442659</v>
      </c>
      <c r="H58" s="491">
        <f t="shared" si="25"/>
        <v>866996.82805442659</v>
      </c>
      <c r="I58" s="511">
        <f t="shared" si="9"/>
        <v>0</v>
      </c>
      <c r="J58" s="511"/>
      <c r="K58" s="525"/>
      <c r="L58" s="514">
        <f t="shared" si="26"/>
        <v>0</v>
      </c>
      <c r="M58" s="525"/>
      <c r="N58" s="514">
        <f t="shared" si="10"/>
        <v>0</v>
      </c>
      <c r="O58" s="514">
        <f t="shared" si="11"/>
        <v>0</v>
      </c>
      <c r="P58" s="272"/>
    </row>
    <row r="59" spans="2:16">
      <c r="B59" s="195" t="str">
        <f t="shared" si="5"/>
        <v/>
      </c>
      <c r="C59" s="507">
        <f>IF(D11="","-",+C58+1)</f>
        <v>2049</v>
      </c>
      <c r="D59" s="523">
        <f>IF(F58+SUM(E$17:E58)=D$10,F58,D$10-SUM(E$17:E58))</f>
        <v>1388223.9225516128</v>
      </c>
      <c r="E59" s="522">
        <f>IF(+I14&lt;F58,I14,D59)</f>
        <v>661530.95568181819</v>
      </c>
      <c r="F59" s="523">
        <f t="shared" si="23"/>
        <v>726692.96686979465</v>
      </c>
      <c r="G59" s="524">
        <f t="shared" si="24"/>
        <v>787925.93042142608</v>
      </c>
      <c r="H59" s="491">
        <f t="shared" si="25"/>
        <v>787925.93042142608</v>
      </c>
      <c r="I59" s="511">
        <f t="shared" si="9"/>
        <v>0</v>
      </c>
      <c r="J59" s="511"/>
      <c r="K59" s="525"/>
      <c r="L59" s="514">
        <f t="shared" si="26"/>
        <v>0</v>
      </c>
      <c r="M59" s="525"/>
      <c r="N59" s="514">
        <f t="shared" si="10"/>
        <v>0</v>
      </c>
      <c r="O59" s="514">
        <f t="shared" si="11"/>
        <v>0</v>
      </c>
      <c r="P59" s="272"/>
    </row>
    <row r="60" spans="2:16">
      <c r="B60" s="195" t="str">
        <f t="shared" si="5"/>
        <v/>
      </c>
      <c r="C60" s="507">
        <f>IF(D11="","-",+C59+1)</f>
        <v>2050</v>
      </c>
      <c r="D60" s="523">
        <f>IF(F59+SUM(E$17:E59)=D$10,F59,D$10-SUM(E$17:E59))</f>
        <v>726692.96686979465</v>
      </c>
      <c r="E60" s="522">
        <f>IF(+I14&lt;F59,I14,D60)</f>
        <v>661530.95568181819</v>
      </c>
      <c r="F60" s="523">
        <f t="shared" si="23"/>
        <v>65162.011187976459</v>
      </c>
      <c r="G60" s="524">
        <f t="shared" si="24"/>
        <v>708855.03278842545</v>
      </c>
      <c r="H60" s="491">
        <f t="shared" si="25"/>
        <v>708855.03278842545</v>
      </c>
      <c r="I60" s="511">
        <f t="shared" si="9"/>
        <v>0</v>
      </c>
      <c r="J60" s="511"/>
      <c r="K60" s="525"/>
      <c r="L60" s="514">
        <f t="shared" si="26"/>
        <v>0</v>
      </c>
      <c r="M60" s="525"/>
      <c r="N60" s="514">
        <f t="shared" si="10"/>
        <v>0</v>
      </c>
      <c r="O60" s="514">
        <f t="shared" si="11"/>
        <v>0</v>
      </c>
      <c r="P60" s="272"/>
    </row>
    <row r="61" spans="2:16">
      <c r="B61" s="195" t="str">
        <f t="shared" si="5"/>
        <v/>
      </c>
      <c r="C61" s="507">
        <f>IF(D11="","-",+C60+1)</f>
        <v>2051</v>
      </c>
      <c r="D61" s="523">
        <f>IF(F60+SUM(E$17:E60)=D$10,F60,D$10-SUM(E$17:E60))</f>
        <v>65162.011187976459</v>
      </c>
      <c r="E61" s="522">
        <f>IF(+I14&lt;F60,I14,D61)</f>
        <v>65162.011187976459</v>
      </c>
      <c r="F61" s="523">
        <f t="shared" si="23"/>
        <v>0</v>
      </c>
      <c r="G61" s="524">
        <f t="shared" si="24"/>
        <v>69056.325333029949</v>
      </c>
      <c r="H61" s="491">
        <f t="shared" si="25"/>
        <v>69056.325333029949</v>
      </c>
      <c r="I61" s="511">
        <f t="shared" si="9"/>
        <v>0</v>
      </c>
      <c r="J61" s="511"/>
      <c r="K61" s="525"/>
      <c r="L61" s="514">
        <f t="shared" si="26"/>
        <v>0</v>
      </c>
      <c r="M61" s="525"/>
      <c r="N61" s="514">
        <f t="shared" si="10"/>
        <v>0</v>
      </c>
      <c r="O61" s="514">
        <f t="shared" si="11"/>
        <v>0</v>
      </c>
      <c r="P61" s="272"/>
    </row>
    <row r="62" spans="2:16">
      <c r="B62" s="195" t="str">
        <f t="shared" si="5"/>
        <v/>
      </c>
      <c r="C62" s="507">
        <f>IF(D11="","-",+C61+1)</f>
        <v>2052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23"/>
        <v>0</v>
      </c>
      <c r="G62" s="524">
        <f t="shared" si="24"/>
        <v>0</v>
      </c>
      <c r="H62" s="491">
        <f t="shared" si="25"/>
        <v>0</v>
      </c>
      <c r="I62" s="511">
        <f t="shared" si="9"/>
        <v>0</v>
      </c>
      <c r="J62" s="511"/>
      <c r="K62" s="525"/>
      <c r="L62" s="514">
        <f t="shared" si="26"/>
        <v>0</v>
      </c>
      <c r="M62" s="525"/>
      <c r="N62" s="514">
        <f t="shared" si="10"/>
        <v>0</v>
      </c>
      <c r="O62" s="514">
        <f t="shared" si="11"/>
        <v>0</v>
      </c>
      <c r="P62" s="272"/>
    </row>
    <row r="63" spans="2:16">
      <c r="B63" s="195" t="str">
        <f t="shared" si="5"/>
        <v/>
      </c>
      <c r="C63" s="507">
        <f>IF(D11="","-",+C62+1)</f>
        <v>2053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23"/>
        <v>0</v>
      </c>
      <c r="G63" s="524">
        <f t="shared" si="24"/>
        <v>0</v>
      </c>
      <c r="H63" s="491">
        <f t="shared" si="25"/>
        <v>0</v>
      </c>
      <c r="I63" s="511">
        <f t="shared" si="9"/>
        <v>0</v>
      </c>
      <c r="J63" s="511"/>
      <c r="K63" s="525"/>
      <c r="L63" s="514">
        <f t="shared" si="26"/>
        <v>0</v>
      </c>
      <c r="M63" s="525"/>
      <c r="N63" s="514">
        <f t="shared" si="10"/>
        <v>0</v>
      </c>
      <c r="O63" s="514">
        <f t="shared" si="11"/>
        <v>0</v>
      </c>
      <c r="P63" s="272"/>
    </row>
    <row r="64" spans="2:16">
      <c r="B64" s="195" t="str">
        <f t="shared" si="5"/>
        <v/>
      </c>
      <c r="C64" s="507">
        <f>IF(D11="","-",+C63+1)</f>
        <v>2054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23"/>
        <v>0</v>
      </c>
      <c r="G64" s="524">
        <f t="shared" si="24"/>
        <v>0</v>
      </c>
      <c r="H64" s="491">
        <f t="shared" si="25"/>
        <v>0</v>
      </c>
      <c r="I64" s="511">
        <f t="shared" si="9"/>
        <v>0</v>
      </c>
      <c r="J64" s="511"/>
      <c r="K64" s="525"/>
      <c r="L64" s="514">
        <f t="shared" si="26"/>
        <v>0</v>
      </c>
      <c r="M64" s="525"/>
      <c r="N64" s="514">
        <f t="shared" si="10"/>
        <v>0</v>
      </c>
      <c r="O64" s="514">
        <f t="shared" si="11"/>
        <v>0</v>
      </c>
      <c r="P64" s="272"/>
    </row>
    <row r="65" spans="2:16">
      <c r="B65" s="195" t="str">
        <f t="shared" si="5"/>
        <v/>
      </c>
      <c r="C65" s="507">
        <f>IF(D11="","-",+C64+1)</f>
        <v>2055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23"/>
        <v>0</v>
      </c>
      <c r="G65" s="524">
        <f t="shared" si="24"/>
        <v>0</v>
      </c>
      <c r="H65" s="491">
        <f t="shared" si="25"/>
        <v>0</v>
      </c>
      <c r="I65" s="511">
        <f t="shared" si="9"/>
        <v>0</v>
      </c>
      <c r="J65" s="511"/>
      <c r="K65" s="525"/>
      <c r="L65" s="514">
        <f t="shared" si="26"/>
        <v>0</v>
      </c>
      <c r="M65" s="525"/>
      <c r="N65" s="514">
        <f t="shared" si="10"/>
        <v>0</v>
      </c>
      <c r="O65" s="514">
        <f t="shared" si="11"/>
        <v>0</v>
      </c>
      <c r="P65" s="272"/>
    </row>
    <row r="66" spans="2:16">
      <c r="B66" s="195" t="str">
        <f t="shared" si="5"/>
        <v/>
      </c>
      <c r="C66" s="507">
        <f>IF(D11="","-",+C65+1)</f>
        <v>2056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23"/>
        <v>0</v>
      </c>
      <c r="G66" s="524">
        <f t="shared" si="24"/>
        <v>0</v>
      </c>
      <c r="H66" s="491">
        <f t="shared" si="25"/>
        <v>0</v>
      </c>
      <c r="I66" s="511">
        <f t="shared" si="9"/>
        <v>0</v>
      </c>
      <c r="J66" s="511"/>
      <c r="K66" s="525"/>
      <c r="L66" s="514">
        <f t="shared" si="26"/>
        <v>0</v>
      </c>
      <c r="M66" s="525"/>
      <c r="N66" s="514">
        <f t="shared" si="10"/>
        <v>0</v>
      </c>
      <c r="O66" s="514">
        <f t="shared" si="11"/>
        <v>0</v>
      </c>
      <c r="P66" s="272"/>
    </row>
    <row r="67" spans="2:16">
      <c r="B67" s="195" t="str">
        <f t="shared" si="5"/>
        <v/>
      </c>
      <c r="C67" s="507">
        <f>IF(D11="","-",+C66+1)</f>
        <v>2057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23"/>
        <v>0</v>
      </c>
      <c r="G67" s="524">
        <f t="shared" si="24"/>
        <v>0</v>
      </c>
      <c r="H67" s="491">
        <f t="shared" si="25"/>
        <v>0</v>
      </c>
      <c r="I67" s="511">
        <f t="shared" si="9"/>
        <v>0</v>
      </c>
      <c r="J67" s="511"/>
      <c r="K67" s="525"/>
      <c r="L67" s="514">
        <f t="shared" si="26"/>
        <v>0</v>
      </c>
      <c r="M67" s="525"/>
      <c r="N67" s="514">
        <f t="shared" si="10"/>
        <v>0</v>
      </c>
      <c r="O67" s="514">
        <f t="shared" si="11"/>
        <v>0</v>
      </c>
      <c r="P67" s="272"/>
    </row>
    <row r="68" spans="2:16">
      <c r="B68" s="195" t="str">
        <f t="shared" si="5"/>
        <v/>
      </c>
      <c r="C68" s="507">
        <f>IF(D11="","-",+C67+1)</f>
        <v>2058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23"/>
        <v>0</v>
      </c>
      <c r="G68" s="524">
        <f t="shared" si="24"/>
        <v>0</v>
      </c>
      <c r="H68" s="491">
        <f t="shared" si="25"/>
        <v>0</v>
      </c>
      <c r="I68" s="511">
        <f t="shared" si="9"/>
        <v>0</v>
      </c>
      <c r="J68" s="511"/>
      <c r="K68" s="525"/>
      <c r="L68" s="514">
        <f t="shared" si="26"/>
        <v>0</v>
      </c>
      <c r="M68" s="525"/>
      <c r="N68" s="514">
        <f t="shared" si="10"/>
        <v>0</v>
      </c>
      <c r="O68" s="514">
        <f t="shared" si="11"/>
        <v>0</v>
      </c>
      <c r="P68" s="272"/>
    </row>
    <row r="69" spans="2:16">
      <c r="B69" s="195" t="str">
        <f t="shared" si="5"/>
        <v/>
      </c>
      <c r="C69" s="507">
        <f>IF(D11="","-",+C68+1)</f>
        <v>2059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23"/>
        <v>0</v>
      </c>
      <c r="G69" s="524">
        <f t="shared" si="24"/>
        <v>0</v>
      </c>
      <c r="H69" s="491">
        <f t="shared" si="25"/>
        <v>0</v>
      </c>
      <c r="I69" s="511">
        <f t="shared" si="9"/>
        <v>0</v>
      </c>
      <c r="J69" s="511"/>
      <c r="K69" s="525"/>
      <c r="L69" s="514">
        <f t="shared" si="26"/>
        <v>0</v>
      </c>
      <c r="M69" s="525"/>
      <c r="N69" s="514">
        <f t="shared" si="10"/>
        <v>0</v>
      </c>
      <c r="O69" s="514">
        <f t="shared" si="11"/>
        <v>0</v>
      </c>
      <c r="P69" s="272"/>
    </row>
    <row r="70" spans="2:16">
      <c r="B70" s="195" t="str">
        <f t="shared" si="5"/>
        <v/>
      </c>
      <c r="C70" s="507">
        <f>IF(D11="","-",+C69+1)</f>
        <v>2060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23"/>
        <v>0</v>
      </c>
      <c r="G70" s="524">
        <f t="shared" si="24"/>
        <v>0</v>
      </c>
      <c r="H70" s="491">
        <f t="shared" si="25"/>
        <v>0</v>
      </c>
      <c r="I70" s="511">
        <f t="shared" si="9"/>
        <v>0</v>
      </c>
      <c r="J70" s="511"/>
      <c r="K70" s="525"/>
      <c r="L70" s="514">
        <f t="shared" si="26"/>
        <v>0</v>
      </c>
      <c r="M70" s="525"/>
      <c r="N70" s="514">
        <f t="shared" si="10"/>
        <v>0</v>
      </c>
      <c r="O70" s="514">
        <f t="shared" si="11"/>
        <v>0</v>
      </c>
      <c r="P70" s="272"/>
    </row>
    <row r="71" spans="2:16">
      <c r="B71" s="195" t="str">
        <f t="shared" si="5"/>
        <v/>
      </c>
      <c r="C71" s="507">
        <f>IF(D11="","-",+C70+1)</f>
        <v>2061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23"/>
        <v>0</v>
      </c>
      <c r="G71" s="524">
        <f t="shared" si="24"/>
        <v>0</v>
      </c>
      <c r="H71" s="491">
        <f t="shared" si="25"/>
        <v>0</v>
      </c>
      <c r="I71" s="511">
        <f t="shared" si="9"/>
        <v>0</v>
      </c>
      <c r="J71" s="511"/>
      <c r="K71" s="525"/>
      <c r="L71" s="514">
        <f t="shared" si="26"/>
        <v>0</v>
      </c>
      <c r="M71" s="525"/>
      <c r="N71" s="514">
        <f t="shared" si="10"/>
        <v>0</v>
      </c>
      <c r="O71" s="514">
        <f t="shared" si="11"/>
        <v>0</v>
      </c>
      <c r="P71" s="272"/>
    </row>
    <row r="72" spans="2:16" ht="13.5" thickBot="1">
      <c r="B72" s="195" t="str">
        <f t="shared" si="5"/>
        <v/>
      </c>
      <c r="C72" s="527">
        <f>IF(D11="","-",+C71+1)</f>
        <v>2062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23"/>
        <v>0</v>
      </c>
      <c r="G72" s="524">
        <f t="shared" si="24"/>
        <v>0</v>
      </c>
      <c r="H72" s="491">
        <f t="shared" si="25"/>
        <v>0</v>
      </c>
      <c r="I72" s="531">
        <f t="shared" si="9"/>
        <v>0</v>
      </c>
      <c r="J72" s="511"/>
      <c r="K72" s="532"/>
      <c r="L72" s="533">
        <f t="shared" si="26"/>
        <v>0</v>
      </c>
      <c r="M72" s="532"/>
      <c r="N72" s="533">
        <f t="shared" si="10"/>
        <v>0</v>
      </c>
      <c r="O72" s="533">
        <f t="shared" si="11"/>
        <v>0</v>
      </c>
      <c r="P72" s="272"/>
    </row>
    <row r="73" spans="2:16">
      <c r="C73" s="374" t="s">
        <v>78</v>
      </c>
      <c r="D73" s="375"/>
      <c r="E73" s="375">
        <f>SUM(E17:E72)</f>
        <v>29107362.050000027</v>
      </c>
      <c r="F73" s="375"/>
      <c r="G73" s="375">
        <f>SUM(G17:G72)</f>
        <v>109783433.87248503</v>
      </c>
      <c r="H73" s="375">
        <f>SUM(H17:H72)</f>
        <v>109783433.87248503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2:16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2:16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2:16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2:16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272"/>
      <c r="P77" s="272"/>
    </row>
    <row r="78" spans="2:16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2:16"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  <c r="O79" s="269"/>
      <c r="P79" s="269"/>
    </row>
    <row r="80" spans="2:16" ht="18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6">
      <c r="B81" s="269"/>
      <c r="C81" s="340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6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</row>
    <row r="83" spans="1:16" ht="20.25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451" t="str">
        <f ca="1">P1</f>
        <v>SWEPCO Project 44 of 75</v>
      </c>
    </row>
    <row r="84" spans="1:16" ht="18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538" t="s">
        <v>128</v>
      </c>
    </row>
    <row r="85" spans="1:16" ht="18.7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</row>
    <row r="86" spans="1:16" ht="15.75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2022</v>
      </c>
      <c r="M86" s="541" t="s">
        <v>9</v>
      </c>
      <c r="N86" s="542" t="s">
        <v>159</v>
      </c>
      <c r="O86" s="543" t="s">
        <v>11</v>
      </c>
      <c r="P86" s="269"/>
    </row>
    <row r="87" spans="1:16" ht="1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391</v>
      </c>
      <c r="M87" s="546">
        <f>IF(J92&lt;D11,0,VLOOKUP(J92,C17:O72,9))</f>
        <v>2825652.3953134934</v>
      </c>
      <c r="N87" s="546">
        <f>IF(J92&lt;D11,0,VLOOKUP(J92,C17:O72,11))</f>
        <v>2825652.3953134934</v>
      </c>
      <c r="O87" s="547">
        <f>+N87-M87</f>
        <v>0</v>
      </c>
      <c r="P87" s="269"/>
    </row>
    <row r="88" spans="1:16" ht="15.7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392</v>
      </c>
      <c r="M88" s="550">
        <f>IF(J92&lt;D11,0,VLOOKUP(J92,C99:P154,6))</f>
        <v>3516933.9337712489</v>
      </c>
      <c r="N88" s="550">
        <f>IF(J92&lt;D11,0,VLOOKUP(J92,C99:P154,7))</f>
        <v>3516933.9337712489</v>
      </c>
      <c r="O88" s="551">
        <f>+N88-M88</f>
        <v>0</v>
      </c>
      <c r="P88" s="269"/>
    </row>
    <row r="89" spans="1:16" ht="13.5" thickBot="1">
      <c r="C89" s="467" t="s">
        <v>84</v>
      </c>
      <c r="D89" s="552" t="str">
        <f>+D7</f>
        <v>Pittsburg-Winnsboro-North Mineola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691281.53845775547</v>
      </c>
      <c r="N89" s="555">
        <f>+N88-N87</f>
        <v>691281.53845775547</v>
      </c>
      <c r="O89" s="556">
        <f>+O88-O87</f>
        <v>0</v>
      </c>
      <c r="P89" s="269"/>
    </row>
    <row r="90" spans="1:16" ht="13.5" thickBot="1">
      <c r="C90" s="534"/>
      <c r="D90" s="646" t="s">
        <v>370</v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</row>
    <row r="91" spans="1:16" ht="13.5" thickBot="1">
      <c r="A91" s="191"/>
      <c r="C91" s="558" t="s">
        <v>85</v>
      </c>
      <c r="D91" s="559" t="str">
        <f>+D9</f>
        <v>TP2002006</v>
      </c>
      <c r="E91" s="560"/>
      <c r="F91" s="560"/>
      <c r="G91" s="560"/>
      <c r="H91" s="560"/>
      <c r="I91" s="560"/>
      <c r="J91" s="560"/>
      <c r="K91" s="562"/>
      <c r="P91" s="481"/>
    </row>
    <row r="92" spans="1:16">
      <c r="C92" s="486" t="s">
        <v>51</v>
      </c>
      <c r="D92" s="628">
        <v>29107362</v>
      </c>
      <c r="E92" s="340" t="s">
        <v>86</v>
      </c>
      <c r="H92" s="484"/>
      <c r="I92" s="484"/>
      <c r="J92" s="485">
        <f>+'SWE.WS.G.BPU.ATRR.True-up'!M16</f>
        <v>2022</v>
      </c>
      <c r="K92" s="480"/>
      <c r="L92" s="375" t="s">
        <v>87</v>
      </c>
      <c r="P92" s="272"/>
    </row>
    <row r="93" spans="1:16">
      <c r="C93" s="486" t="s">
        <v>54</v>
      </c>
      <c r="D93" s="563">
        <v>2007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</row>
    <row r="94" spans="1:16">
      <c r="C94" s="486" t="s">
        <v>56</v>
      </c>
      <c r="D94" s="563">
        <f>+D12</f>
        <v>11</v>
      </c>
      <c r="E94" s="486" t="s">
        <v>57</v>
      </c>
      <c r="F94" s="484"/>
      <c r="G94" s="484"/>
      <c r="J94" s="490">
        <f>'SWE.WS.G.BPU.ATRR.True-up'!$F$81</f>
        <v>0.11351422637179906</v>
      </c>
      <c r="K94" s="425"/>
      <c r="L94" s="183" t="s">
        <v>88</v>
      </c>
      <c r="P94" s="272"/>
    </row>
    <row r="95" spans="1:16">
      <c r="C95" s="486" t="s">
        <v>59</v>
      </c>
      <c r="D95" s="488">
        <f>'SWE.WS.G.BPU.ATRR.True-up'!F$93</f>
        <v>41</v>
      </c>
      <c r="E95" s="486" t="s">
        <v>60</v>
      </c>
      <c r="F95" s="484"/>
      <c r="G95" s="484"/>
      <c r="J95" s="490">
        <f>IF(H87="",J94,'SWE.WS.G.BPU.ATRR.True-up'!$F$80)</f>
        <v>0.11351422637179906</v>
      </c>
      <c r="K95" s="324"/>
      <c r="L95" s="375" t="s">
        <v>61</v>
      </c>
      <c r="M95" s="324"/>
      <c r="N95" s="324"/>
      <c r="O95" s="324"/>
      <c r="P95" s="272"/>
    </row>
    <row r="96" spans="1:16" ht="13.5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709935.6585365854</v>
      </c>
      <c r="K96" s="375"/>
      <c r="L96" s="375"/>
      <c r="M96" s="375"/>
      <c r="N96" s="375"/>
      <c r="O96" s="375"/>
      <c r="P96" s="272"/>
    </row>
    <row r="97" spans="1:16" ht="38.25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388</v>
      </c>
      <c r="I97" s="495" t="s">
        <v>389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</row>
    <row r="98" spans="1:16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</row>
    <row r="99" spans="1:16">
      <c r="C99" s="507">
        <f>IF(D93= "","-",D93)</f>
        <v>2007</v>
      </c>
      <c r="D99" s="396"/>
      <c r="E99" s="526"/>
      <c r="F99" s="521"/>
      <c r="G99" s="647"/>
      <c r="H99" s="604"/>
      <c r="I99" s="605"/>
      <c r="J99" s="519">
        <v>0</v>
      </c>
      <c r="K99" s="514"/>
      <c r="L99" s="518"/>
      <c r="M99" s="514">
        <f t="shared" ref="M99:M105" si="27">IF(L99&lt;&gt;0,+H99-L99,0)</f>
        <v>0</v>
      </c>
      <c r="N99" s="518"/>
      <c r="O99" s="514">
        <f t="shared" ref="O99:O105" si="28">IF(N99&lt;&gt;0,+I99-N99,0)</f>
        <v>0</v>
      </c>
      <c r="P99" s="514">
        <f t="shared" ref="P99:P105" si="29">+O99-M99</f>
        <v>0</v>
      </c>
    </row>
    <row r="100" spans="1:16">
      <c r="B100" s="195" t="str">
        <f>IF(D100=F99,"","IU")</f>
        <v/>
      </c>
      <c r="C100" s="507">
        <f>IF(D93="","-",+C99+1)</f>
        <v>2008</v>
      </c>
      <c r="D100" s="396"/>
      <c r="E100" s="648"/>
      <c r="F100" s="521"/>
      <c r="G100" s="521"/>
      <c r="H100" s="526"/>
      <c r="I100" s="577"/>
      <c r="J100" s="519">
        <v>0</v>
      </c>
      <c r="K100" s="514"/>
      <c r="L100" s="518"/>
      <c r="M100" s="514">
        <f t="shared" si="27"/>
        <v>0</v>
      </c>
      <c r="N100" s="518"/>
      <c r="O100" s="514">
        <f t="shared" si="28"/>
        <v>0</v>
      </c>
      <c r="P100" s="514">
        <f t="shared" si="29"/>
        <v>0</v>
      </c>
    </row>
    <row r="101" spans="1:16">
      <c r="B101" s="195" t="str">
        <f t="shared" ref="B101:B154" si="30">IF(D101=F100,"","IU")</f>
        <v/>
      </c>
      <c r="C101" s="507">
        <f>IF(D93="","-",+C100+1)</f>
        <v>2009</v>
      </c>
      <c r="D101" s="396"/>
      <c r="E101" s="648"/>
      <c r="F101" s="521"/>
      <c r="G101" s="521"/>
      <c r="H101" s="526"/>
      <c r="I101" s="577"/>
      <c r="J101" s="519">
        <v>0</v>
      </c>
      <c r="K101" s="514"/>
      <c r="L101" s="518"/>
      <c r="M101" s="514">
        <f t="shared" si="27"/>
        <v>0</v>
      </c>
      <c r="N101" s="518"/>
      <c r="O101" s="514">
        <f t="shared" si="28"/>
        <v>0</v>
      </c>
      <c r="P101" s="514">
        <f t="shared" si="29"/>
        <v>0</v>
      </c>
    </row>
    <row r="102" spans="1:16">
      <c r="B102" s="195" t="str">
        <f t="shared" si="30"/>
        <v/>
      </c>
      <c r="C102" s="507">
        <f>IF(D93="","-",+C101+1)</f>
        <v>2010</v>
      </c>
      <c r="D102" s="396"/>
      <c r="E102" s="648"/>
      <c r="F102" s="521"/>
      <c r="G102" s="521"/>
      <c r="H102" s="526"/>
      <c r="I102" s="577"/>
      <c r="J102" s="519">
        <v>0</v>
      </c>
      <c r="K102" s="514"/>
      <c r="L102" s="518"/>
      <c r="M102" s="514">
        <f t="shared" si="27"/>
        <v>0</v>
      </c>
      <c r="N102" s="518"/>
      <c r="O102" s="514">
        <f t="shared" si="28"/>
        <v>0</v>
      </c>
      <c r="P102" s="514">
        <f t="shared" si="29"/>
        <v>0</v>
      </c>
    </row>
    <row r="103" spans="1:16">
      <c r="B103" s="195" t="str">
        <f t="shared" si="30"/>
        <v/>
      </c>
      <c r="C103" s="507">
        <f>IF(D93="","-",+C102+1)</f>
        <v>2011</v>
      </c>
      <c r="D103" s="396"/>
      <c r="E103" s="648"/>
      <c r="F103" s="521"/>
      <c r="G103" s="521"/>
      <c r="H103" s="526"/>
      <c r="I103" s="577"/>
      <c r="J103" s="519">
        <v>0</v>
      </c>
      <c r="K103" s="514"/>
      <c r="L103" s="518"/>
      <c r="M103" s="514">
        <f t="shared" si="27"/>
        <v>0</v>
      </c>
      <c r="N103" s="518"/>
      <c r="O103" s="514">
        <f t="shared" si="28"/>
        <v>0</v>
      </c>
      <c r="P103" s="514">
        <f t="shared" si="29"/>
        <v>0</v>
      </c>
    </row>
    <row r="104" spans="1:16">
      <c r="B104" s="195" t="str">
        <f t="shared" si="30"/>
        <v/>
      </c>
      <c r="C104" s="507">
        <f>IF(D93="","-",+C103+1)</f>
        <v>2012</v>
      </c>
      <c r="D104" s="396"/>
      <c r="E104" s="648"/>
      <c r="F104" s="521"/>
      <c r="G104" s="521"/>
      <c r="H104" s="526"/>
      <c r="I104" s="577"/>
      <c r="J104" s="519">
        <v>0</v>
      </c>
      <c r="K104" s="514"/>
      <c r="L104" s="518"/>
      <c r="M104" s="514">
        <f t="shared" si="27"/>
        <v>0</v>
      </c>
      <c r="N104" s="518"/>
      <c r="O104" s="514">
        <f t="shared" si="28"/>
        <v>0</v>
      </c>
      <c r="P104" s="514">
        <f t="shared" si="29"/>
        <v>0</v>
      </c>
    </row>
    <row r="105" spans="1:16">
      <c r="B105" s="195" t="str">
        <f t="shared" si="30"/>
        <v/>
      </c>
      <c r="C105" s="507">
        <f>IF(D93="","-",+C104+1)</f>
        <v>2013</v>
      </c>
      <c r="D105" s="396"/>
      <c r="E105" s="648"/>
      <c r="F105" s="521"/>
      <c r="G105" s="521"/>
      <c r="H105" s="526"/>
      <c r="I105" s="577"/>
      <c r="J105" s="519">
        <v>0</v>
      </c>
      <c r="K105" s="514"/>
      <c r="L105" s="518"/>
      <c r="M105" s="514">
        <f t="shared" si="27"/>
        <v>0</v>
      </c>
      <c r="N105" s="518"/>
      <c r="O105" s="514">
        <f t="shared" si="28"/>
        <v>0</v>
      </c>
      <c r="P105" s="514">
        <f t="shared" si="29"/>
        <v>0</v>
      </c>
    </row>
    <row r="106" spans="1:16">
      <c r="B106" s="195" t="str">
        <f t="shared" si="30"/>
        <v/>
      </c>
      <c r="C106" s="507">
        <f>IF(D93="","-",+C105+1)</f>
        <v>2014</v>
      </c>
      <c r="D106" s="396"/>
      <c r="E106" s="648"/>
      <c r="F106" s="521"/>
      <c r="G106" s="521"/>
      <c r="H106" s="526"/>
      <c r="I106" s="577"/>
      <c r="J106" s="519">
        <v>0</v>
      </c>
      <c r="K106" s="514"/>
      <c r="L106" s="518"/>
      <c r="M106" s="514">
        <f t="shared" ref="M106:M130" si="31">IF(L106&lt;&gt;0,+H106-L106,0)</f>
        <v>0</v>
      </c>
      <c r="N106" s="518"/>
      <c r="O106" s="514">
        <f t="shared" ref="O106:O130" si="32">IF(N106&lt;&gt;0,+I106-N106,0)</f>
        <v>0</v>
      </c>
      <c r="P106" s="514">
        <f t="shared" ref="P106:P130" si="33">+O106-M106</f>
        <v>0</v>
      </c>
    </row>
    <row r="107" spans="1:16">
      <c r="B107" s="195" t="str">
        <f t="shared" si="30"/>
        <v>IU</v>
      </c>
      <c r="C107" s="507">
        <f>IF(D93="","-",+C106+1)</f>
        <v>2015</v>
      </c>
      <c r="D107" s="629">
        <v>24198382.339186504</v>
      </c>
      <c r="E107" s="630">
        <v>576151.96045682149</v>
      </c>
      <c r="F107" s="631">
        <v>23622230.378729682</v>
      </c>
      <c r="G107" s="631">
        <v>23910306.358958095</v>
      </c>
      <c r="H107" s="633">
        <v>3726786.1990239997</v>
      </c>
      <c r="I107" s="634">
        <v>3726786.1990239997</v>
      </c>
      <c r="J107" s="514">
        <f>+I107-H107</f>
        <v>0</v>
      </c>
      <c r="K107" s="514"/>
      <c r="L107" s="518">
        <f t="shared" ref="L107:L112" si="34">+H107</f>
        <v>3726786.1990239997</v>
      </c>
      <c r="M107" s="514">
        <f t="shared" si="31"/>
        <v>0</v>
      </c>
      <c r="N107" s="518">
        <f t="shared" ref="N107:N112" si="35">+I107</f>
        <v>3726786.1990239997</v>
      </c>
      <c r="O107" s="514">
        <f t="shared" si="32"/>
        <v>0</v>
      </c>
      <c r="P107" s="514">
        <f t="shared" si="33"/>
        <v>0</v>
      </c>
    </row>
    <row r="108" spans="1:16">
      <c r="B108" s="195" t="str">
        <f t="shared" si="30"/>
        <v>IU</v>
      </c>
      <c r="C108" s="507">
        <f>IF(D93="","-",+C107+1)</f>
        <v>2016</v>
      </c>
      <c r="D108" s="629">
        <v>28531210.039543178</v>
      </c>
      <c r="E108" s="630">
        <v>676915.39534883725</v>
      </c>
      <c r="F108" s="631">
        <v>27854294.644194342</v>
      </c>
      <c r="G108" s="631">
        <v>28192752.341868758</v>
      </c>
      <c r="H108" s="633">
        <v>4255984.9749657642</v>
      </c>
      <c r="I108" s="634">
        <v>4255984.9749657642</v>
      </c>
      <c r="J108" s="514">
        <f t="shared" ref="J108:J154" si="36">+I108-H108</f>
        <v>0</v>
      </c>
      <c r="K108" s="514"/>
      <c r="L108" s="518">
        <f t="shared" si="34"/>
        <v>4255984.9749657642</v>
      </c>
      <c r="M108" s="514">
        <f t="shared" ref="M108:M113" si="37">IF(L108&lt;&gt;0,+H108-L108,0)</f>
        <v>0</v>
      </c>
      <c r="N108" s="518">
        <f t="shared" si="35"/>
        <v>4255984.9749657642</v>
      </c>
      <c r="O108" s="514">
        <f>IF(N108&lt;&gt;0,+I108-N108,0)</f>
        <v>0</v>
      </c>
      <c r="P108" s="514">
        <f>+O108-M108</f>
        <v>0</v>
      </c>
    </row>
    <row r="109" spans="1:16">
      <c r="B109" s="195" t="str">
        <f t="shared" si="30"/>
        <v/>
      </c>
      <c r="C109" s="507">
        <f>IF(D93="","-",+C108+1)</f>
        <v>2017</v>
      </c>
      <c r="D109" s="629">
        <v>27854294.644194342</v>
      </c>
      <c r="E109" s="630">
        <v>693032.42857142852</v>
      </c>
      <c r="F109" s="631">
        <v>27161262.215622913</v>
      </c>
      <c r="G109" s="631">
        <v>27507778.429908626</v>
      </c>
      <c r="H109" s="633">
        <v>4034442.3721004287</v>
      </c>
      <c r="I109" s="634">
        <v>4034442.3721004287</v>
      </c>
      <c r="J109" s="514">
        <f t="shared" si="36"/>
        <v>0</v>
      </c>
      <c r="K109" s="514"/>
      <c r="L109" s="518">
        <f t="shared" si="34"/>
        <v>4034442.3721004287</v>
      </c>
      <c r="M109" s="514">
        <f t="shared" si="37"/>
        <v>0</v>
      </c>
      <c r="N109" s="518">
        <f t="shared" si="35"/>
        <v>4034442.3721004287</v>
      </c>
      <c r="O109" s="514">
        <f>IF(N109&lt;&gt;0,+I109-N109,0)</f>
        <v>0</v>
      </c>
      <c r="P109" s="514">
        <f>+O109-M109</f>
        <v>0</v>
      </c>
    </row>
    <row r="110" spans="1:16">
      <c r="B110" s="195" t="str">
        <f t="shared" si="30"/>
        <v/>
      </c>
      <c r="C110" s="507">
        <f>IF(D93="","-",+C109+1)</f>
        <v>2018</v>
      </c>
      <c r="D110" s="629">
        <v>27161262.215622913</v>
      </c>
      <c r="E110" s="630">
        <v>693032.42857142852</v>
      </c>
      <c r="F110" s="631">
        <v>26468229.787051484</v>
      </c>
      <c r="G110" s="631">
        <v>26814746.0013372</v>
      </c>
      <c r="H110" s="633">
        <v>3524792.5739054955</v>
      </c>
      <c r="I110" s="634">
        <v>3524792.5739054955</v>
      </c>
      <c r="J110" s="514">
        <f t="shared" si="36"/>
        <v>0</v>
      </c>
      <c r="K110" s="514"/>
      <c r="L110" s="518">
        <f t="shared" si="34"/>
        <v>3524792.5739054955</v>
      </c>
      <c r="M110" s="514">
        <f t="shared" si="37"/>
        <v>0</v>
      </c>
      <c r="N110" s="518">
        <f t="shared" si="35"/>
        <v>3524792.5739054955</v>
      </c>
      <c r="O110" s="514">
        <f>IF(N110&lt;&gt;0,+I110-N110,0)</f>
        <v>0</v>
      </c>
      <c r="P110" s="514">
        <f>+O110-M110</f>
        <v>0</v>
      </c>
    </row>
    <row r="111" spans="1:16">
      <c r="B111" s="195" t="str">
        <f t="shared" si="30"/>
        <v/>
      </c>
      <c r="C111" s="507">
        <f>IF(D93="","-",+C110+1)</f>
        <v>2019</v>
      </c>
      <c r="D111" s="629">
        <v>26468229.787051484</v>
      </c>
      <c r="E111" s="630">
        <v>676915.39534883725</v>
      </c>
      <c r="F111" s="631">
        <v>25791314.391702648</v>
      </c>
      <c r="G111" s="631">
        <v>26129772.089377068</v>
      </c>
      <c r="H111" s="633">
        <v>3473860.4808152672</v>
      </c>
      <c r="I111" s="634">
        <v>3473860.4808152672</v>
      </c>
      <c r="J111" s="514">
        <f t="shared" si="36"/>
        <v>0</v>
      </c>
      <c r="K111" s="514"/>
      <c r="L111" s="518">
        <f t="shared" si="34"/>
        <v>3473860.4808152672</v>
      </c>
      <c r="M111" s="514">
        <f t="shared" si="37"/>
        <v>0</v>
      </c>
      <c r="N111" s="518">
        <f t="shared" si="35"/>
        <v>3473860.4808152672</v>
      </c>
      <c r="O111" s="514">
        <f t="shared" si="32"/>
        <v>0</v>
      </c>
      <c r="P111" s="514">
        <f t="shared" si="33"/>
        <v>0</v>
      </c>
    </row>
    <row r="112" spans="1:16">
      <c r="B112" s="195" t="str">
        <f t="shared" si="30"/>
        <v/>
      </c>
      <c r="C112" s="507">
        <f>IF(D93="","-",+C111+1)</f>
        <v>2020</v>
      </c>
      <c r="D112" s="629">
        <v>25791314.391702648</v>
      </c>
      <c r="E112" s="630">
        <v>693032.42857142852</v>
      </c>
      <c r="F112" s="631">
        <v>25098281.963131219</v>
      </c>
      <c r="G112" s="631">
        <v>25444798.177416936</v>
      </c>
      <c r="H112" s="633">
        <v>3430226.8857239499</v>
      </c>
      <c r="I112" s="634">
        <v>3430226.8857239499</v>
      </c>
      <c r="J112" s="514">
        <f t="shared" si="36"/>
        <v>0</v>
      </c>
      <c r="K112" s="514"/>
      <c r="L112" s="518">
        <f t="shared" si="34"/>
        <v>3430226.8857239499</v>
      </c>
      <c r="M112" s="514">
        <f t="shared" si="37"/>
        <v>0</v>
      </c>
      <c r="N112" s="518">
        <f t="shared" si="35"/>
        <v>3430226.8857239499</v>
      </c>
      <c r="O112" s="514">
        <f t="shared" si="32"/>
        <v>0</v>
      </c>
      <c r="P112" s="514">
        <f t="shared" si="33"/>
        <v>0</v>
      </c>
    </row>
    <row r="113" spans="2:16">
      <c r="B113" s="195" t="str">
        <f t="shared" si="30"/>
        <v/>
      </c>
      <c r="C113" s="507">
        <f>IF(D93="","-",+C112+1)</f>
        <v>2021</v>
      </c>
      <c r="D113" s="629">
        <v>25098281.963131219</v>
      </c>
      <c r="E113" s="630">
        <v>709935.6585365854</v>
      </c>
      <c r="F113" s="631">
        <v>24388346.304594632</v>
      </c>
      <c r="G113" s="631">
        <v>24743314.133862928</v>
      </c>
      <c r="H113" s="633">
        <v>3518653.8203164372</v>
      </c>
      <c r="I113" s="634">
        <v>3518653.8203164372</v>
      </c>
      <c r="J113" s="514">
        <f t="shared" si="36"/>
        <v>0</v>
      </c>
      <c r="K113" s="514"/>
      <c r="L113" s="518">
        <f t="shared" ref="L113" si="38">+H113</f>
        <v>3518653.8203164372</v>
      </c>
      <c r="M113" s="514">
        <f t="shared" si="37"/>
        <v>0</v>
      </c>
      <c r="N113" s="518">
        <f t="shared" ref="N113" si="39">+I113</f>
        <v>3518653.8203164372</v>
      </c>
      <c r="O113" s="514">
        <f t="shared" ref="O113" si="40">IF(N113&lt;&gt;0,+I113-N113,0)</f>
        <v>0</v>
      </c>
      <c r="P113" s="514">
        <f t="shared" ref="P113" si="41">+O113-M113</f>
        <v>0</v>
      </c>
    </row>
    <row r="114" spans="2:16">
      <c r="B114" s="195" t="str">
        <f t="shared" si="30"/>
        <v/>
      </c>
      <c r="C114" s="673">
        <f>IF(D93="","-",+C113+1)</f>
        <v>2022</v>
      </c>
      <c r="D114" s="374">
        <v>24388346.304594632</v>
      </c>
      <c r="E114" s="522">
        <v>693032.42857142852</v>
      </c>
      <c r="F114" s="523">
        <v>23695313.876023203</v>
      </c>
      <c r="G114" s="523">
        <v>24041830.09030892</v>
      </c>
      <c r="H114" s="526">
        <v>3516933.9337712489</v>
      </c>
      <c r="I114" s="577">
        <v>3516933.9337712489</v>
      </c>
      <c r="J114" s="514">
        <f t="shared" si="36"/>
        <v>0</v>
      </c>
      <c r="K114" s="514"/>
      <c r="L114" s="525"/>
      <c r="M114" s="514">
        <f t="shared" si="31"/>
        <v>0</v>
      </c>
      <c r="N114" s="525"/>
      <c r="O114" s="514">
        <f t="shared" si="32"/>
        <v>0</v>
      </c>
      <c r="P114" s="514">
        <f t="shared" si="33"/>
        <v>0</v>
      </c>
    </row>
    <row r="115" spans="2:16">
      <c r="B115" s="195" t="str">
        <f t="shared" si="30"/>
        <v/>
      </c>
      <c r="C115" s="507">
        <f>IF(D93="","-",+C114+1)</f>
        <v>2023</v>
      </c>
      <c r="D115" s="374">
        <f>IF(F114+SUM(E$99:E114)=D$92,F114,D$92-SUM(E$99:E114))</f>
        <v>23695313.876023203</v>
      </c>
      <c r="E115" s="522">
        <f t="shared" ref="E115:E154" si="42">IF(+$J$96&lt;F114,$J$96,D115)</f>
        <v>709935.6585365854</v>
      </c>
      <c r="F115" s="523">
        <f t="shared" ref="F115:F154" si="43">+D115-E115</f>
        <v>22985378.217486616</v>
      </c>
      <c r="G115" s="523">
        <f t="shared" ref="G115:G154" si="44">+(F115+D115)/2</f>
        <v>23340346.046754912</v>
      </c>
      <c r="H115" s="526">
        <f t="shared" ref="H115:H154" si="45">+J$94*G115+E115</f>
        <v>3359396.9832840478</v>
      </c>
      <c r="I115" s="577">
        <f t="shared" ref="I115:I154" si="46">+J$95*G115+E115</f>
        <v>3359396.9832840478</v>
      </c>
      <c r="J115" s="514">
        <f t="shared" si="36"/>
        <v>0</v>
      </c>
      <c r="K115" s="514"/>
      <c r="L115" s="525"/>
      <c r="M115" s="514">
        <f t="shared" si="31"/>
        <v>0</v>
      </c>
      <c r="N115" s="525"/>
      <c r="O115" s="514">
        <f t="shared" si="32"/>
        <v>0</v>
      </c>
      <c r="P115" s="514">
        <f t="shared" si="33"/>
        <v>0</v>
      </c>
    </row>
    <row r="116" spans="2:16">
      <c r="B116" s="195" t="str">
        <f t="shared" si="30"/>
        <v/>
      </c>
      <c r="C116" s="507">
        <f>IF(D93="","-",+C115+1)</f>
        <v>2024</v>
      </c>
      <c r="D116" s="374">
        <f>IF(F115+SUM(E$99:E115)=D$92,F115,D$92-SUM(E$99:E115))</f>
        <v>22985378.217486616</v>
      </c>
      <c r="E116" s="522">
        <f t="shared" si="42"/>
        <v>709935.6585365854</v>
      </c>
      <c r="F116" s="523">
        <f t="shared" si="43"/>
        <v>22275442.558950029</v>
      </c>
      <c r="G116" s="523">
        <f t="shared" si="44"/>
        <v>22630410.388218321</v>
      </c>
      <c r="H116" s="526">
        <f t="shared" si="45"/>
        <v>3278809.186231513</v>
      </c>
      <c r="I116" s="577">
        <f t="shared" si="46"/>
        <v>3278809.186231513</v>
      </c>
      <c r="J116" s="514">
        <f t="shared" si="36"/>
        <v>0</v>
      </c>
      <c r="K116" s="514"/>
      <c r="L116" s="525"/>
      <c r="M116" s="514">
        <f t="shared" si="31"/>
        <v>0</v>
      </c>
      <c r="N116" s="525"/>
      <c r="O116" s="514">
        <f t="shared" si="32"/>
        <v>0</v>
      </c>
      <c r="P116" s="514">
        <f t="shared" si="33"/>
        <v>0</v>
      </c>
    </row>
    <row r="117" spans="2:16">
      <c r="B117" s="195" t="str">
        <f t="shared" si="30"/>
        <v/>
      </c>
      <c r="C117" s="507">
        <f>IF(D93="","-",+C116+1)</f>
        <v>2025</v>
      </c>
      <c r="D117" s="374">
        <f>IF(F116+SUM(E$99:E116)=D$92,F116,D$92-SUM(E$99:E116))</f>
        <v>22275442.558950029</v>
      </c>
      <c r="E117" s="522">
        <f t="shared" si="42"/>
        <v>709935.6585365854</v>
      </c>
      <c r="F117" s="523">
        <f t="shared" si="43"/>
        <v>21565506.900413442</v>
      </c>
      <c r="G117" s="523">
        <f t="shared" si="44"/>
        <v>21920474.729681738</v>
      </c>
      <c r="H117" s="526">
        <f t="shared" si="45"/>
        <v>3198221.3891789792</v>
      </c>
      <c r="I117" s="577">
        <f t="shared" si="46"/>
        <v>3198221.3891789792</v>
      </c>
      <c r="J117" s="514">
        <f t="shared" si="36"/>
        <v>0</v>
      </c>
      <c r="K117" s="514"/>
      <c r="L117" s="525"/>
      <c r="M117" s="514">
        <f t="shared" si="31"/>
        <v>0</v>
      </c>
      <c r="N117" s="525"/>
      <c r="O117" s="514">
        <f t="shared" si="32"/>
        <v>0</v>
      </c>
      <c r="P117" s="514">
        <f t="shared" si="33"/>
        <v>0</v>
      </c>
    </row>
    <row r="118" spans="2:16">
      <c r="B118" s="195" t="str">
        <f t="shared" si="30"/>
        <v/>
      </c>
      <c r="C118" s="507">
        <f>IF(D93="","-",+C117+1)</f>
        <v>2026</v>
      </c>
      <c r="D118" s="374">
        <f>IF(F117+SUM(E$99:E117)=D$92,F117,D$92-SUM(E$99:E117))</f>
        <v>21565506.900413442</v>
      </c>
      <c r="E118" s="522">
        <f t="shared" si="42"/>
        <v>709935.6585365854</v>
      </c>
      <c r="F118" s="523">
        <f t="shared" si="43"/>
        <v>20855571.241876855</v>
      </c>
      <c r="G118" s="523">
        <f t="shared" si="44"/>
        <v>21210539.071145147</v>
      </c>
      <c r="H118" s="526">
        <f t="shared" si="45"/>
        <v>3117633.5921264444</v>
      </c>
      <c r="I118" s="577">
        <f t="shared" si="46"/>
        <v>3117633.5921264444</v>
      </c>
      <c r="J118" s="514">
        <f t="shared" si="36"/>
        <v>0</v>
      </c>
      <c r="K118" s="514"/>
      <c r="L118" s="525"/>
      <c r="M118" s="514">
        <f t="shared" si="31"/>
        <v>0</v>
      </c>
      <c r="N118" s="525"/>
      <c r="O118" s="514">
        <f t="shared" si="32"/>
        <v>0</v>
      </c>
      <c r="P118" s="514">
        <f t="shared" si="33"/>
        <v>0</v>
      </c>
    </row>
    <row r="119" spans="2:16">
      <c r="B119" s="195" t="str">
        <f t="shared" si="30"/>
        <v/>
      </c>
      <c r="C119" s="507">
        <f>IF(D93="","-",+C118+1)</f>
        <v>2027</v>
      </c>
      <c r="D119" s="374">
        <f>IF(F118+SUM(E$99:E118)=D$92,F118,D$92-SUM(E$99:E118))</f>
        <v>20855571.241876855</v>
      </c>
      <c r="E119" s="522">
        <f t="shared" si="42"/>
        <v>709935.6585365854</v>
      </c>
      <c r="F119" s="523">
        <f t="shared" si="43"/>
        <v>20145635.583340269</v>
      </c>
      <c r="G119" s="523">
        <f t="shared" si="44"/>
        <v>20500603.412608564</v>
      </c>
      <c r="H119" s="526">
        <f t="shared" si="45"/>
        <v>3037045.7950739102</v>
      </c>
      <c r="I119" s="577">
        <f t="shared" si="46"/>
        <v>3037045.7950739102</v>
      </c>
      <c r="J119" s="514">
        <f t="shared" si="36"/>
        <v>0</v>
      </c>
      <c r="K119" s="514"/>
      <c r="L119" s="525"/>
      <c r="M119" s="514">
        <f t="shared" si="31"/>
        <v>0</v>
      </c>
      <c r="N119" s="525"/>
      <c r="O119" s="514">
        <f t="shared" si="32"/>
        <v>0</v>
      </c>
      <c r="P119" s="514">
        <f t="shared" si="33"/>
        <v>0</v>
      </c>
    </row>
    <row r="120" spans="2:16">
      <c r="B120" s="195" t="str">
        <f t="shared" si="30"/>
        <v/>
      </c>
      <c r="C120" s="507">
        <f>IF(D93="","-",+C119+1)</f>
        <v>2028</v>
      </c>
      <c r="D120" s="374">
        <f>IF(F119+SUM(E$99:E119)=D$92,F119,D$92-SUM(E$99:E119))</f>
        <v>20145635.583340269</v>
      </c>
      <c r="E120" s="522">
        <f t="shared" si="42"/>
        <v>709935.6585365854</v>
      </c>
      <c r="F120" s="523">
        <f t="shared" si="43"/>
        <v>19435699.924803682</v>
      </c>
      <c r="G120" s="523">
        <f t="shared" si="44"/>
        <v>19790667.754071973</v>
      </c>
      <c r="H120" s="526">
        <f t="shared" si="45"/>
        <v>2956457.9980213754</v>
      </c>
      <c r="I120" s="577">
        <f t="shared" si="46"/>
        <v>2956457.9980213754</v>
      </c>
      <c r="J120" s="514">
        <f t="shared" si="36"/>
        <v>0</v>
      </c>
      <c r="K120" s="514"/>
      <c r="L120" s="525"/>
      <c r="M120" s="514">
        <f t="shared" si="31"/>
        <v>0</v>
      </c>
      <c r="N120" s="525"/>
      <c r="O120" s="514">
        <f t="shared" si="32"/>
        <v>0</v>
      </c>
      <c r="P120" s="514">
        <f t="shared" si="33"/>
        <v>0</v>
      </c>
    </row>
    <row r="121" spans="2:16">
      <c r="B121" s="195" t="str">
        <f t="shared" si="30"/>
        <v/>
      </c>
      <c r="C121" s="507">
        <f>IF(D93="","-",+C120+1)</f>
        <v>2029</v>
      </c>
      <c r="D121" s="374">
        <f>IF(F120+SUM(E$99:E120)=D$92,F120,D$92-SUM(E$99:E120))</f>
        <v>19435699.924803682</v>
      </c>
      <c r="E121" s="522">
        <f t="shared" si="42"/>
        <v>709935.6585365854</v>
      </c>
      <c r="F121" s="523">
        <f t="shared" si="43"/>
        <v>18725764.266267095</v>
      </c>
      <c r="G121" s="523">
        <f t="shared" si="44"/>
        <v>19080732.09553539</v>
      </c>
      <c r="H121" s="526">
        <f t="shared" si="45"/>
        <v>2875870.2009688416</v>
      </c>
      <c r="I121" s="577">
        <f t="shared" si="46"/>
        <v>2875870.2009688416</v>
      </c>
      <c r="J121" s="514">
        <f t="shared" si="36"/>
        <v>0</v>
      </c>
      <c r="K121" s="514"/>
      <c r="L121" s="525"/>
      <c r="M121" s="514">
        <f t="shared" si="31"/>
        <v>0</v>
      </c>
      <c r="N121" s="525"/>
      <c r="O121" s="514">
        <f t="shared" si="32"/>
        <v>0</v>
      </c>
      <c r="P121" s="514">
        <f t="shared" si="33"/>
        <v>0</v>
      </c>
    </row>
    <row r="122" spans="2:16">
      <c r="B122" s="195" t="str">
        <f t="shared" si="30"/>
        <v/>
      </c>
      <c r="C122" s="507">
        <f>IF(D93="","-",+C121+1)</f>
        <v>2030</v>
      </c>
      <c r="D122" s="374">
        <f>IF(F121+SUM(E$99:E121)=D$92,F121,D$92-SUM(E$99:E121))</f>
        <v>18725764.266267095</v>
      </c>
      <c r="E122" s="522">
        <f t="shared" si="42"/>
        <v>709935.6585365854</v>
      </c>
      <c r="F122" s="523">
        <f t="shared" si="43"/>
        <v>18015828.607730508</v>
      </c>
      <c r="G122" s="523">
        <f t="shared" si="44"/>
        <v>18370796.436998799</v>
      </c>
      <c r="H122" s="526">
        <f t="shared" si="45"/>
        <v>2795282.4039163068</v>
      </c>
      <c r="I122" s="577">
        <f t="shared" si="46"/>
        <v>2795282.4039163068</v>
      </c>
      <c r="J122" s="514">
        <f t="shared" si="36"/>
        <v>0</v>
      </c>
      <c r="K122" s="514"/>
      <c r="L122" s="525"/>
      <c r="M122" s="514">
        <f t="shared" si="31"/>
        <v>0</v>
      </c>
      <c r="N122" s="525"/>
      <c r="O122" s="514">
        <f t="shared" si="32"/>
        <v>0</v>
      </c>
      <c r="P122" s="514">
        <f t="shared" si="33"/>
        <v>0</v>
      </c>
    </row>
    <row r="123" spans="2:16">
      <c r="B123" s="195" t="str">
        <f t="shared" si="30"/>
        <v/>
      </c>
      <c r="C123" s="507">
        <f>IF(D93="","-",+C122+1)</f>
        <v>2031</v>
      </c>
      <c r="D123" s="374">
        <f>IF(F122+SUM(E$99:E122)=D$92,F122,D$92-SUM(E$99:E122))</f>
        <v>18015828.607730508</v>
      </c>
      <c r="E123" s="522">
        <f t="shared" si="42"/>
        <v>709935.6585365854</v>
      </c>
      <c r="F123" s="523">
        <f t="shared" si="43"/>
        <v>17305892.949193921</v>
      </c>
      <c r="G123" s="523">
        <f t="shared" si="44"/>
        <v>17660860.778462216</v>
      </c>
      <c r="H123" s="526">
        <f t="shared" si="45"/>
        <v>2714694.606863773</v>
      </c>
      <c r="I123" s="577">
        <f t="shared" si="46"/>
        <v>2714694.606863773</v>
      </c>
      <c r="J123" s="514">
        <f t="shared" si="36"/>
        <v>0</v>
      </c>
      <c r="K123" s="514"/>
      <c r="L123" s="525"/>
      <c r="M123" s="514">
        <f t="shared" si="31"/>
        <v>0</v>
      </c>
      <c r="N123" s="525"/>
      <c r="O123" s="514">
        <f t="shared" si="32"/>
        <v>0</v>
      </c>
      <c r="P123" s="514">
        <f t="shared" si="33"/>
        <v>0</v>
      </c>
    </row>
    <row r="124" spans="2:16">
      <c r="B124" s="195" t="str">
        <f t="shared" si="30"/>
        <v/>
      </c>
      <c r="C124" s="507">
        <f>IF(D93="","-",+C123+1)</f>
        <v>2032</v>
      </c>
      <c r="D124" s="374">
        <f>IF(F123+SUM(E$99:E123)=D$92,F123,D$92-SUM(E$99:E123))</f>
        <v>17305892.949193921</v>
      </c>
      <c r="E124" s="522">
        <f t="shared" si="42"/>
        <v>709935.6585365854</v>
      </c>
      <c r="F124" s="523">
        <f t="shared" si="43"/>
        <v>16595957.290657336</v>
      </c>
      <c r="G124" s="523">
        <f t="shared" si="44"/>
        <v>16950925.119925629</v>
      </c>
      <c r="H124" s="526">
        <f t="shared" si="45"/>
        <v>2634106.8098112382</v>
      </c>
      <c r="I124" s="577">
        <f t="shared" si="46"/>
        <v>2634106.8098112382</v>
      </c>
      <c r="J124" s="514">
        <f t="shared" si="36"/>
        <v>0</v>
      </c>
      <c r="K124" s="514"/>
      <c r="L124" s="525"/>
      <c r="M124" s="514">
        <f t="shared" si="31"/>
        <v>0</v>
      </c>
      <c r="N124" s="525"/>
      <c r="O124" s="514">
        <f t="shared" si="32"/>
        <v>0</v>
      </c>
      <c r="P124" s="514">
        <f t="shared" si="33"/>
        <v>0</v>
      </c>
    </row>
    <row r="125" spans="2:16">
      <c r="B125" s="195" t="str">
        <f t="shared" si="30"/>
        <v/>
      </c>
      <c r="C125" s="507">
        <f>IF(D93="","-",+C124+1)</f>
        <v>2033</v>
      </c>
      <c r="D125" s="374">
        <f>IF(F124+SUM(E$99:E124)=D$92,F124,D$92-SUM(E$99:E124))</f>
        <v>16595957.290657336</v>
      </c>
      <c r="E125" s="522">
        <f t="shared" si="42"/>
        <v>709935.6585365854</v>
      </c>
      <c r="F125" s="523">
        <f t="shared" si="43"/>
        <v>15886021.632120751</v>
      </c>
      <c r="G125" s="523">
        <f t="shared" si="44"/>
        <v>16240989.461389042</v>
      </c>
      <c r="H125" s="526">
        <f t="shared" si="45"/>
        <v>2553519.0127587039</v>
      </c>
      <c r="I125" s="577">
        <f t="shared" si="46"/>
        <v>2553519.0127587039</v>
      </c>
      <c r="J125" s="514">
        <f t="shared" si="36"/>
        <v>0</v>
      </c>
      <c r="K125" s="514"/>
      <c r="L125" s="525"/>
      <c r="M125" s="514">
        <f t="shared" si="31"/>
        <v>0</v>
      </c>
      <c r="N125" s="525"/>
      <c r="O125" s="514">
        <f t="shared" si="32"/>
        <v>0</v>
      </c>
      <c r="P125" s="514">
        <f t="shared" si="33"/>
        <v>0</v>
      </c>
    </row>
    <row r="126" spans="2:16">
      <c r="B126" s="195" t="str">
        <f t="shared" si="30"/>
        <v/>
      </c>
      <c r="C126" s="507">
        <f>IF(D93="","-",+C125+1)</f>
        <v>2034</v>
      </c>
      <c r="D126" s="374">
        <f>IF(F125+SUM(E$99:E125)=D$92,F125,D$92-SUM(E$99:E125))</f>
        <v>15886021.632120751</v>
      </c>
      <c r="E126" s="522">
        <f t="shared" si="42"/>
        <v>709935.6585365854</v>
      </c>
      <c r="F126" s="523">
        <f t="shared" si="43"/>
        <v>15176085.973584166</v>
      </c>
      <c r="G126" s="523">
        <f t="shared" si="44"/>
        <v>15531053.802852459</v>
      </c>
      <c r="H126" s="526">
        <f t="shared" si="45"/>
        <v>2472931.2157061701</v>
      </c>
      <c r="I126" s="577">
        <f t="shared" si="46"/>
        <v>2472931.2157061701</v>
      </c>
      <c r="J126" s="514">
        <f t="shared" si="36"/>
        <v>0</v>
      </c>
      <c r="K126" s="514"/>
      <c r="L126" s="525"/>
      <c r="M126" s="514">
        <f t="shared" si="31"/>
        <v>0</v>
      </c>
      <c r="N126" s="525"/>
      <c r="O126" s="514">
        <f t="shared" si="32"/>
        <v>0</v>
      </c>
      <c r="P126" s="514">
        <f t="shared" si="33"/>
        <v>0</v>
      </c>
    </row>
    <row r="127" spans="2:16">
      <c r="B127" s="195" t="str">
        <f t="shared" si="30"/>
        <v/>
      </c>
      <c r="C127" s="507">
        <f>IF(D93="","-",+C126+1)</f>
        <v>2035</v>
      </c>
      <c r="D127" s="374">
        <f>IF(F126+SUM(E$99:E126)=D$92,F126,D$92-SUM(E$99:E126))</f>
        <v>15176085.973584166</v>
      </c>
      <c r="E127" s="522">
        <f t="shared" si="42"/>
        <v>709935.6585365854</v>
      </c>
      <c r="F127" s="523">
        <f t="shared" si="43"/>
        <v>14466150.315047581</v>
      </c>
      <c r="G127" s="523">
        <f t="shared" si="44"/>
        <v>14821118.144315872</v>
      </c>
      <c r="H127" s="526">
        <f t="shared" si="45"/>
        <v>2392343.4186536358</v>
      </c>
      <c r="I127" s="577">
        <f t="shared" si="46"/>
        <v>2392343.4186536358</v>
      </c>
      <c r="J127" s="514">
        <f t="shared" si="36"/>
        <v>0</v>
      </c>
      <c r="K127" s="514"/>
      <c r="L127" s="525"/>
      <c r="M127" s="514">
        <f t="shared" si="31"/>
        <v>0</v>
      </c>
      <c r="N127" s="525"/>
      <c r="O127" s="514">
        <f t="shared" si="32"/>
        <v>0</v>
      </c>
      <c r="P127" s="514">
        <f t="shared" si="33"/>
        <v>0</v>
      </c>
    </row>
    <row r="128" spans="2:16">
      <c r="B128" s="195" t="str">
        <f t="shared" si="30"/>
        <v/>
      </c>
      <c r="C128" s="507">
        <f>IF(D93="","-",+C127+1)</f>
        <v>2036</v>
      </c>
      <c r="D128" s="374">
        <f>IF(F127+SUM(E$99:E127)=D$92,F127,D$92-SUM(E$99:E127))</f>
        <v>14466150.315047581</v>
      </c>
      <c r="E128" s="522">
        <f t="shared" si="42"/>
        <v>709935.6585365854</v>
      </c>
      <c r="F128" s="523">
        <f t="shared" si="43"/>
        <v>13756214.656510996</v>
      </c>
      <c r="G128" s="523">
        <f t="shared" si="44"/>
        <v>14111182.485779289</v>
      </c>
      <c r="H128" s="526">
        <f t="shared" si="45"/>
        <v>2311755.6216011019</v>
      </c>
      <c r="I128" s="577">
        <f t="shared" si="46"/>
        <v>2311755.6216011019</v>
      </c>
      <c r="J128" s="514">
        <f t="shared" si="36"/>
        <v>0</v>
      </c>
      <c r="K128" s="514"/>
      <c r="L128" s="525"/>
      <c r="M128" s="514">
        <f t="shared" si="31"/>
        <v>0</v>
      </c>
      <c r="N128" s="525"/>
      <c r="O128" s="514">
        <f t="shared" si="32"/>
        <v>0</v>
      </c>
      <c r="P128" s="514">
        <f t="shared" si="33"/>
        <v>0</v>
      </c>
    </row>
    <row r="129" spans="2:16">
      <c r="B129" s="195" t="str">
        <f t="shared" si="30"/>
        <v/>
      </c>
      <c r="C129" s="507">
        <f>IF(D93="","-",+C128+1)</f>
        <v>2037</v>
      </c>
      <c r="D129" s="374">
        <f>IF(F128+SUM(E$99:E128)=D$92,F128,D$92-SUM(E$99:E128))</f>
        <v>13756214.656510996</v>
      </c>
      <c r="E129" s="522">
        <f t="shared" si="42"/>
        <v>709935.6585365854</v>
      </c>
      <c r="F129" s="523">
        <f t="shared" si="43"/>
        <v>13046278.997974411</v>
      </c>
      <c r="G129" s="523">
        <f t="shared" si="44"/>
        <v>13401246.827242702</v>
      </c>
      <c r="H129" s="526">
        <f t="shared" si="45"/>
        <v>2231167.8245485676</v>
      </c>
      <c r="I129" s="577">
        <f t="shared" si="46"/>
        <v>2231167.8245485676</v>
      </c>
      <c r="J129" s="514">
        <f t="shared" si="36"/>
        <v>0</v>
      </c>
      <c r="K129" s="514"/>
      <c r="L129" s="525"/>
      <c r="M129" s="514">
        <f t="shared" si="31"/>
        <v>0</v>
      </c>
      <c r="N129" s="525"/>
      <c r="O129" s="514">
        <f t="shared" si="32"/>
        <v>0</v>
      </c>
      <c r="P129" s="514">
        <f t="shared" si="33"/>
        <v>0</v>
      </c>
    </row>
    <row r="130" spans="2:16">
      <c r="B130" s="195" t="str">
        <f t="shared" si="30"/>
        <v/>
      </c>
      <c r="C130" s="507">
        <f>IF(D93="","-",+C129+1)</f>
        <v>2038</v>
      </c>
      <c r="D130" s="374">
        <f>IF(F129+SUM(E$99:E129)=D$92,F129,D$92-SUM(E$99:E129))</f>
        <v>13046278.997974411</v>
      </c>
      <c r="E130" s="522">
        <f t="shared" si="42"/>
        <v>709935.6585365854</v>
      </c>
      <c r="F130" s="523">
        <f t="shared" si="43"/>
        <v>12336343.339437826</v>
      </c>
      <c r="G130" s="523">
        <f t="shared" si="44"/>
        <v>12691311.168706119</v>
      </c>
      <c r="H130" s="526">
        <f t="shared" si="45"/>
        <v>2150580.0274960333</v>
      </c>
      <c r="I130" s="577">
        <f t="shared" si="46"/>
        <v>2150580.0274960333</v>
      </c>
      <c r="J130" s="514">
        <f t="shared" si="36"/>
        <v>0</v>
      </c>
      <c r="K130" s="514"/>
      <c r="L130" s="525"/>
      <c r="M130" s="514">
        <f t="shared" si="31"/>
        <v>0</v>
      </c>
      <c r="N130" s="525"/>
      <c r="O130" s="514">
        <f t="shared" si="32"/>
        <v>0</v>
      </c>
      <c r="P130" s="514">
        <f t="shared" si="33"/>
        <v>0</v>
      </c>
    </row>
    <row r="131" spans="2:16">
      <c r="B131" s="195" t="str">
        <f t="shared" si="30"/>
        <v/>
      </c>
      <c r="C131" s="507">
        <f>IF(D93="","-",+C130+1)</f>
        <v>2039</v>
      </c>
      <c r="D131" s="374">
        <f>IF(F130+SUM(E$99:E130)=D$92,F130,D$92-SUM(E$99:E130))</f>
        <v>12336343.339437826</v>
      </c>
      <c r="E131" s="522">
        <f t="shared" si="42"/>
        <v>709935.6585365854</v>
      </c>
      <c r="F131" s="523">
        <f t="shared" si="43"/>
        <v>11626407.680901241</v>
      </c>
      <c r="G131" s="523">
        <f t="shared" si="44"/>
        <v>11981375.510169532</v>
      </c>
      <c r="H131" s="526">
        <f t="shared" si="45"/>
        <v>2069992.2304434991</v>
      </c>
      <c r="I131" s="577">
        <f t="shared" si="46"/>
        <v>2069992.2304434991</v>
      </c>
      <c r="J131" s="514">
        <f t="shared" si="36"/>
        <v>0</v>
      </c>
      <c r="K131" s="514"/>
      <c r="L131" s="525"/>
      <c r="M131" s="514">
        <f t="shared" ref="M131:M154" si="47">IF(L541&lt;&gt;0,+H541-L541,0)</f>
        <v>0</v>
      </c>
      <c r="N131" s="525"/>
      <c r="O131" s="514">
        <f t="shared" ref="O131:O154" si="48">IF(N541&lt;&gt;0,+I541-N541,0)</f>
        <v>0</v>
      </c>
      <c r="P131" s="514">
        <f t="shared" ref="P131:P154" si="49">+O541-M541</f>
        <v>0</v>
      </c>
    </row>
    <row r="132" spans="2:16">
      <c r="B132" s="195" t="str">
        <f t="shared" si="30"/>
        <v/>
      </c>
      <c r="C132" s="507">
        <f>IF(D93="","-",+C131+1)</f>
        <v>2040</v>
      </c>
      <c r="D132" s="374">
        <f>IF(F131+SUM(E$99:E131)=D$92,F131,D$92-SUM(E$99:E131))</f>
        <v>11626407.680901241</v>
      </c>
      <c r="E132" s="522">
        <f t="shared" si="42"/>
        <v>709935.6585365854</v>
      </c>
      <c r="F132" s="523">
        <f t="shared" si="43"/>
        <v>10916472.022364656</v>
      </c>
      <c r="G132" s="523">
        <f t="shared" si="44"/>
        <v>11271439.851632949</v>
      </c>
      <c r="H132" s="526">
        <f t="shared" si="45"/>
        <v>1989404.4333909652</v>
      </c>
      <c r="I132" s="577">
        <f t="shared" si="46"/>
        <v>1989404.4333909652</v>
      </c>
      <c r="J132" s="514">
        <f t="shared" si="36"/>
        <v>0</v>
      </c>
      <c r="K132" s="514"/>
      <c r="L132" s="525"/>
      <c r="M132" s="514">
        <f t="shared" si="47"/>
        <v>0</v>
      </c>
      <c r="N132" s="525"/>
      <c r="O132" s="514">
        <f t="shared" si="48"/>
        <v>0</v>
      </c>
      <c r="P132" s="514">
        <f t="shared" si="49"/>
        <v>0</v>
      </c>
    </row>
    <row r="133" spans="2:16">
      <c r="B133" s="195" t="str">
        <f t="shared" si="30"/>
        <v/>
      </c>
      <c r="C133" s="507">
        <f>IF(D93="","-",+C132+1)</f>
        <v>2041</v>
      </c>
      <c r="D133" s="374">
        <f>IF(F132+SUM(E$99:E132)=D$92,F132,D$92-SUM(E$99:E132))</f>
        <v>10916472.022364656</v>
      </c>
      <c r="E133" s="522">
        <f t="shared" si="42"/>
        <v>709935.6585365854</v>
      </c>
      <c r="F133" s="523">
        <f t="shared" si="43"/>
        <v>10206536.36382807</v>
      </c>
      <c r="G133" s="523">
        <f t="shared" si="44"/>
        <v>10561504.193096362</v>
      </c>
      <c r="H133" s="526">
        <f t="shared" si="45"/>
        <v>1908816.6363384309</v>
      </c>
      <c r="I133" s="577">
        <f t="shared" si="46"/>
        <v>1908816.6363384309</v>
      </c>
      <c r="J133" s="514">
        <f t="shared" si="36"/>
        <v>0</v>
      </c>
      <c r="K133" s="514"/>
      <c r="L133" s="525"/>
      <c r="M133" s="514">
        <f t="shared" si="47"/>
        <v>0</v>
      </c>
      <c r="N133" s="525"/>
      <c r="O133" s="514">
        <f t="shared" si="48"/>
        <v>0</v>
      </c>
      <c r="P133" s="514">
        <f t="shared" si="49"/>
        <v>0</v>
      </c>
    </row>
    <row r="134" spans="2:16">
      <c r="B134" s="195" t="str">
        <f t="shared" si="30"/>
        <v/>
      </c>
      <c r="C134" s="507">
        <f>IF(D93="","-",+C133+1)</f>
        <v>2042</v>
      </c>
      <c r="D134" s="374">
        <f>IF(F133+SUM(E$99:E133)=D$92,F133,D$92-SUM(E$99:E133))</f>
        <v>10206536.36382807</v>
      </c>
      <c r="E134" s="522">
        <f t="shared" si="42"/>
        <v>709935.6585365854</v>
      </c>
      <c r="F134" s="523">
        <f t="shared" si="43"/>
        <v>9496600.7052914854</v>
      </c>
      <c r="G134" s="523">
        <f t="shared" si="44"/>
        <v>9851568.5345597789</v>
      </c>
      <c r="H134" s="526">
        <f t="shared" si="45"/>
        <v>1828228.8392858971</v>
      </c>
      <c r="I134" s="577">
        <f t="shared" si="46"/>
        <v>1828228.8392858971</v>
      </c>
      <c r="J134" s="514">
        <f t="shared" si="36"/>
        <v>0</v>
      </c>
      <c r="K134" s="514"/>
      <c r="L134" s="525"/>
      <c r="M134" s="514">
        <f t="shared" si="47"/>
        <v>0</v>
      </c>
      <c r="N134" s="525"/>
      <c r="O134" s="514">
        <f t="shared" si="48"/>
        <v>0</v>
      </c>
      <c r="P134" s="514">
        <f t="shared" si="49"/>
        <v>0</v>
      </c>
    </row>
    <row r="135" spans="2:16">
      <c r="B135" s="195" t="str">
        <f t="shared" si="30"/>
        <v/>
      </c>
      <c r="C135" s="507">
        <f>IF(D93="","-",+C134+1)</f>
        <v>2043</v>
      </c>
      <c r="D135" s="374">
        <f>IF(F134+SUM(E$99:E134)=D$92,F134,D$92-SUM(E$99:E134))</f>
        <v>9496600.7052914854</v>
      </c>
      <c r="E135" s="522">
        <f t="shared" si="42"/>
        <v>709935.6585365854</v>
      </c>
      <c r="F135" s="523">
        <f t="shared" si="43"/>
        <v>8786665.0467549004</v>
      </c>
      <c r="G135" s="523">
        <f t="shared" si="44"/>
        <v>9141632.876023192</v>
      </c>
      <c r="H135" s="526">
        <f t="shared" si="45"/>
        <v>1747641.0422333623</v>
      </c>
      <c r="I135" s="577">
        <f t="shared" si="46"/>
        <v>1747641.0422333623</v>
      </c>
      <c r="J135" s="514">
        <f t="shared" si="36"/>
        <v>0</v>
      </c>
      <c r="K135" s="514"/>
      <c r="L135" s="525"/>
      <c r="M135" s="514">
        <f t="shared" si="47"/>
        <v>0</v>
      </c>
      <c r="N135" s="525"/>
      <c r="O135" s="514">
        <f t="shared" si="48"/>
        <v>0</v>
      </c>
      <c r="P135" s="514">
        <f t="shared" si="49"/>
        <v>0</v>
      </c>
    </row>
    <row r="136" spans="2:16">
      <c r="B136" s="195" t="str">
        <f t="shared" si="30"/>
        <v/>
      </c>
      <c r="C136" s="507">
        <f>IF(D93="","-",+C135+1)</f>
        <v>2044</v>
      </c>
      <c r="D136" s="374">
        <f>IF(F135+SUM(E$99:E135)=D$92,F135,D$92-SUM(E$99:E135))</f>
        <v>8786665.0467549004</v>
      </c>
      <c r="E136" s="522">
        <f t="shared" si="42"/>
        <v>709935.6585365854</v>
      </c>
      <c r="F136" s="523">
        <f t="shared" si="43"/>
        <v>8076729.3882183153</v>
      </c>
      <c r="G136" s="523">
        <f t="shared" si="44"/>
        <v>8431697.2174866088</v>
      </c>
      <c r="H136" s="526">
        <f t="shared" si="45"/>
        <v>1667053.2451808285</v>
      </c>
      <c r="I136" s="577">
        <f t="shared" si="46"/>
        <v>1667053.2451808285</v>
      </c>
      <c r="J136" s="514">
        <f t="shared" si="36"/>
        <v>0</v>
      </c>
      <c r="K136" s="514"/>
      <c r="L136" s="525"/>
      <c r="M136" s="514">
        <f t="shared" si="47"/>
        <v>0</v>
      </c>
      <c r="N136" s="525"/>
      <c r="O136" s="514">
        <f t="shared" si="48"/>
        <v>0</v>
      </c>
      <c r="P136" s="514">
        <f t="shared" si="49"/>
        <v>0</v>
      </c>
    </row>
    <row r="137" spans="2:16">
      <c r="B137" s="195" t="str">
        <f t="shared" si="30"/>
        <v/>
      </c>
      <c r="C137" s="507">
        <f>IF(D93="","-",+C136+1)</f>
        <v>2045</v>
      </c>
      <c r="D137" s="374">
        <f>IF(F136+SUM(E$99:E136)=D$92,F136,D$92-SUM(E$99:E136))</f>
        <v>8076729.3882183153</v>
      </c>
      <c r="E137" s="522">
        <f t="shared" si="42"/>
        <v>709935.6585365854</v>
      </c>
      <c r="F137" s="523">
        <f t="shared" si="43"/>
        <v>7366793.7296817303</v>
      </c>
      <c r="G137" s="523">
        <f t="shared" si="44"/>
        <v>7721761.5589500228</v>
      </c>
      <c r="H137" s="526">
        <f t="shared" si="45"/>
        <v>1586465.4481282942</v>
      </c>
      <c r="I137" s="577">
        <f t="shared" si="46"/>
        <v>1586465.4481282942</v>
      </c>
      <c r="J137" s="514">
        <f t="shared" si="36"/>
        <v>0</v>
      </c>
      <c r="K137" s="514"/>
      <c r="L137" s="525"/>
      <c r="M137" s="514">
        <f t="shared" si="47"/>
        <v>0</v>
      </c>
      <c r="N137" s="525"/>
      <c r="O137" s="514">
        <f t="shared" si="48"/>
        <v>0</v>
      </c>
      <c r="P137" s="514">
        <f t="shared" si="49"/>
        <v>0</v>
      </c>
    </row>
    <row r="138" spans="2:16">
      <c r="B138" s="195" t="str">
        <f t="shared" si="30"/>
        <v/>
      </c>
      <c r="C138" s="507">
        <f>IF(D93="","-",+C137+1)</f>
        <v>2046</v>
      </c>
      <c r="D138" s="374">
        <f>IF(F137+SUM(E$99:E137)=D$92,F137,D$92-SUM(E$99:E137))</f>
        <v>7366793.7296817303</v>
      </c>
      <c r="E138" s="522">
        <f t="shared" si="42"/>
        <v>709935.6585365854</v>
      </c>
      <c r="F138" s="523">
        <f t="shared" si="43"/>
        <v>6656858.0711451452</v>
      </c>
      <c r="G138" s="523">
        <f t="shared" si="44"/>
        <v>7011825.9004134377</v>
      </c>
      <c r="H138" s="526">
        <f t="shared" si="45"/>
        <v>1505877.6510757601</v>
      </c>
      <c r="I138" s="577">
        <f t="shared" si="46"/>
        <v>1505877.6510757601</v>
      </c>
      <c r="J138" s="514">
        <f t="shared" si="36"/>
        <v>0</v>
      </c>
      <c r="K138" s="514"/>
      <c r="L138" s="525"/>
      <c r="M138" s="514">
        <f t="shared" si="47"/>
        <v>0</v>
      </c>
      <c r="N138" s="525"/>
      <c r="O138" s="514">
        <f t="shared" si="48"/>
        <v>0</v>
      </c>
      <c r="P138" s="514">
        <f t="shared" si="49"/>
        <v>0</v>
      </c>
    </row>
    <row r="139" spans="2:16">
      <c r="B139" s="195" t="str">
        <f t="shared" si="30"/>
        <v/>
      </c>
      <c r="C139" s="507">
        <f>IF(D93="","-",+C138+1)</f>
        <v>2047</v>
      </c>
      <c r="D139" s="374">
        <f>IF(F138+SUM(E$99:E138)=D$92,F138,D$92-SUM(E$99:E138))</f>
        <v>6656858.0711451452</v>
      </c>
      <c r="E139" s="522">
        <f t="shared" si="42"/>
        <v>709935.6585365854</v>
      </c>
      <c r="F139" s="523">
        <f t="shared" si="43"/>
        <v>5946922.4126085602</v>
      </c>
      <c r="G139" s="523">
        <f t="shared" si="44"/>
        <v>6301890.2418768527</v>
      </c>
      <c r="H139" s="526">
        <f t="shared" si="45"/>
        <v>1425289.8540232261</v>
      </c>
      <c r="I139" s="577">
        <f t="shared" si="46"/>
        <v>1425289.8540232261</v>
      </c>
      <c r="J139" s="514">
        <f t="shared" si="36"/>
        <v>0</v>
      </c>
      <c r="K139" s="514"/>
      <c r="L139" s="525"/>
      <c r="M139" s="514">
        <f t="shared" si="47"/>
        <v>0</v>
      </c>
      <c r="N139" s="525"/>
      <c r="O139" s="514">
        <f t="shared" si="48"/>
        <v>0</v>
      </c>
      <c r="P139" s="514">
        <f t="shared" si="49"/>
        <v>0</v>
      </c>
    </row>
    <row r="140" spans="2:16">
      <c r="B140" s="195" t="str">
        <f t="shared" si="30"/>
        <v/>
      </c>
      <c r="C140" s="507">
        <f>IF(D93="","-",+C139+1)</f>
        <v>2048</v>
      </c>
      <c r="D140" s="374">
        <f>IF(F139+SUM(E$99:E139)=D$92,F139,D$92-SUM(E$99:E139))</f>
        <v>5946922.4126085602</v>
      </c>
      <c r="E140" s="522">
        <f t="shared" si="42"/>
        <v>709935.6585365854</v>
      </c>
      <c r="F140" s="523">
        <f t="shared" si="43"/>
        <v>5236986.7540719751</v>
      </c>
      <c r="G140" s="523">
        <f t="shared" si="44"/>
        <v>5591954.5833402677</v>
      </c>
      <c r="H140" s="526">
        <f t="shared" si="45"/>
        <v>1344702.0569706918</v>
      </c>
      <c r="I140" s="577">
        <f t="shared" si="46"/>
        <v>1344702.0569706918</v>
      </c>
      <c r="J140" s="514">
        <f t="shared" si="36"/>
        <v>0</v>
      </c>
      <c r="K140" s="514"/>
      <c r="L140" s="525"/>
      <c r="M140" s="514">
        <f t="shared" si="47"/>
        <v>0</v>
      </c>
      <c r="N140" s="525"/>
      <c r="O140" s="514">
        <f t="shared" si="48"/>
        <v>0</v>
      </c>
      <c r="P140" s="514">
        <f t="shared" si="49"/>
        <v>0</v>
      </c>
    </row>
    <row r="141" spans="2:16">
      <c r="B141" s="195" t="str">
        <f t="shared" si="30"/>
        <v/>
      </c>
      <c r="C141" s="507">
        <f>IF(D93="","-",+C140+1)</f>
        <v>2049</v>
      </c>
      <c r="D141" s="374">
        <f>IF(F140+SUM(E$99:E140)=D$92,F140,D$92-SUM(E$99:E140))</f>
        <v>5236986.7540719751</v>
      </c>
      <c r="E141" s="522">
        <f t="shared" si="42"/>
        <v>709935.6585365854</v>
      </c>
      <c r="F141" s="523">
        <f t="shared" si="43"/>
        <v>4527051.0955353901</v>
      </c>
      <c r="G141" s="523">
        <f t="shared" si="44"/>
        <v>4882018.9248036826</v>
      </c>
      <c r="H141" s="526">
        <f t="shared" si="45"/>
        <v>1264114.2599181577</v>
      </c>
      <c r="I141" s="577">
        <f t="shared" si="46"/>
        <v>1264114.2599181577</v>
      </c>
      <c r="J141" s="514">
        <f t="shared" si="36"/>
        <v>0</v>
      </c>
      <c r="K141" s="514"/>
      <c r="L141" s="525"/>
      <c r="M141" s="514">
        <f t="shared" si="47"/>
        <v>0</v>
      </c>
      <c r="N141" s="525"/>
      <c r="O141" s="514">
        <f t="shared" si="48"/>
        <v>0</v>
      </c>
      <c r="P141" s="514">
        <f t="shared" si="49"/>
        <v>0</v>
      </c>
    </row>
    <row r="142" spans="2:16">
      <c r="B142" s="195" t="str">
        <f t="shared" si="30"/>
        <v/>
      </c>
      <c r="C142" s="507">
        <f>IF(D93="","-",+C141+1)</f>
        <v>2050</v>
      </c>
      <c r="D142" s="374">
        <f>IF(F141+SUM(E$99:E141)=D$92,F141,D$92-SUM(E$99:E141))</f>
        <v>4527051.0955353901</v>
      </c>
      <c r="E142" s="522">
        <f t="shared" si="42"/>
        <v>709935.6585365854</v>
      </c>
      <c r="F142" s="523">
        <f t="shared" si="43"/>
        <v>3817115.4369988046</v>
      </c>
      <c r="G142" s="523">
        <f t="shared" si="44"/>
        <v>4172083.2662670976</v>
      </c>
      <c r="H142" s="526">
        <f t="shared" si="45"/>
        <v>1183526.4628656236</v>
      </c>
      <c r="I142" s="577">
        <f t="shared" si="46"/>
        <v>1183526.4628656236</v>
      </c>
      <c r="J142" s="514">
        <f t="shared" si="36"/>
        <v>0</v>
      </c>
      <c r="K142" s="514"/>
      <c r="L142" s="525"/>
      <c r="M142" s="514">
        <f t="shared" si="47"/>
        <v>0</v>
      </c>
      <c r="N142" s="525"/>
      <c r="O142" s="514">
        <f t="shared" si="48"/>
        <v>0</v>
      </c>
      <c r="P142" s="514">
        <f t="shared" si="49"/>
        <v>0</v>
      </c>
    </row>
    <row r="143" spans="2:16">
      <c r="B143" s="195" t="str">
        <f t="shared" si="30"/>
        <v/>
      </c>
      <c r="C143" s="507">
        <f>IF(D93="","-",+C142+1)</f>
        <v>2051</v>
      </c>
      <c r="D143" s="374">
        <f>IF(F142+SUM(E$99:E142)=D$92,F142,D$92-SUM(E$99:E142))</f>
        <v>3817115.4369988046</v>
      </c>
      <c r="E143" s="522">
        <f t="shared" si="42"/>
        <v>709935.6585365854</v>
      </c>
      <c r="F143" s="523">
        <f t="shared" si="43"/>
        <v>3107179.7784622191</v>
      </c>
      <c r="G143" s="523">
        <f t="shared" si="44"/>
        <v>3462147.6077305116</v>
      </c>
      <c r="H143" s="526">
        <f t="shared" si="45"/>
        <v>1102938.6658130893</v>
      </c>
      <c r="I143" s="577">
        <f t="shared" si="46"/>
        <v>1102938.6658130893</v>
      </c>
      <c r="J143" s="514">
        <f t="shared" si="36"/>
        <v>0</v>
      </c>
      <c r="K143" s="514"/>
      <c r="L143" s="525"/>
      <c r="M143" s="514">
        <f t="shared" si="47"/>
        <v>0</v>
      </c>
      <c r="N143" s="525"/>
      <c r="O143" s="514">
        <f t="shared" si="48"/>
        <v>0</v>
      </c>
      <c r="P143" s="514">
        <f t="shared" si="49"/>
        <v>0</v>
      </c>
    </row>
    <row r="144" spans="2:16">
      <c r="B144" s="195" t="str">
        <f t="shared" si="30"/>
        <v/>
      </c>
      <c r="C144" s="507">
        <f>IF(D93="","-",+C143+1)</f>
        <v>2052</v>
      </c>
      <c r="D144" s="374">
        <f>IF(F143+SUM(E$99:E143)=D$92,F143,D$92-SUM(E$99:E143))</f>
        <v>3107179.7784622191</v>
      </c>
      <c r="E144" s="522">
        <f t="shared" si="42"/>
        <v>709935.6585365854</v>
      </c>
      <c r="F144" s="523">
        <f t="shared" si="43"/>
        <v>2397244.1199256335</v>
      </c>
      <c r="G144" s="523">
        <f t="shared" si="44"/>
        <v>2752211.9491939265</v>
      </c>
      <c r="H144" s="526">
        <f t="shared" si="45"/>
        <v>1022350.8687605551</v>
      </c>
      <c r="I144" s="577">
        <f t="shared" si="46"/>
        <v>1022350.8687605551</v>
      </c>
      <c r="J144" s="514">
        <f t="shared" si="36"/>
        <v>0</v>
      </c>
      <c r="K144" s="514"/>
      <c r="L144" s="525"/>
      <c r="M144" s="514">
        <f t="shared" si="47"/>
        <v>0</v>
      </c>
      <c r="N144" s="525"/>
      <c r="O144" s="514">
        <f t="shared" si="48"/>
        <v>0</v>
      </c>
      <c r="P144" s="514">
        <f t="shared" si="49"/>
        <v>0</v>
      </c>
    </row>
    <row r="145" spans="2:16">
      <c r="B145" s="195" t="str">
        <f t="shared" si="30"/>
        <v/>
      </c>
      <c r="C145" s="507">
        <f>IF(D93="","-",+C144+1)</f>
        <v>2053</v>
      </c>
      <c r="D145" s="374">
        <f>IF(F144+SUM(E$99:E144)=D$92,F144,D$92-SUM(E$99:E144))</f>
        <v>2397244.1199256335</v>
      </c>
      <c r="E145" s="522">
        <f t="shared" si="42"/>
        <v>709935.6585365854</v>
      </c>
      <c r="F145" s="523">
        <f t="shared" si="43"/>
        <v>1687308.461389048</v>
      </c>
      <c r="G145" s="523">
        <f t="shared" si="44"/>
        <v>2042276.2906573408</v>
      </c>
      <c r="H145" s="526">
        <f t="shared" si="45"/>
        <v>941763.07170802087</v>
      </c>
      <c r="I145" s="577">
        <f t="shared" si="46"/>
        <v>941763.07170802087</v>
      </c>
      <c r="J145" s="514">
        <f t="shared" si="36"/>
        <v>0</v>
      </c>
      <c r="K145" s="514"/>
      <c r="L145" s="525"/>
      <c r="M145" s="514">
        <f t="shared" si="47"/>
        <v>0</v>
      </c>
      <c r="N145" s="525"/>
      <c r="O145" s="514">
        <f t="shared" si="48"/>
        <v>0</v>
      </c>
      <c r="P145" s="514">
        <f t="shared" si="49"/>
        <v>0</v>
      </c>
    </row>
    <row r="146" spans="2:16">
      <c r="B146" s="195" t="str">
        <f t="shared" si="30"/>
        <v/>
      </c>
      <c r="C146" s="507">
        <f>IF(D93="","-",+C145+1)</f>
        <v>2054</v>
      </c>
      <c r="D146" s="374">
        <f>IF(F145+SUM(E$99:E145)=D$92,F145,D$92-SUM(E$99:E145))</f>
        <v>1687308.461389048</v>
      </c>
      <c r="E146" s="522">
        <f t="shared" si="42"/>
        <v>709935.6585365854</v>
      </c>
      <c r="F146" s="523">
        <f t="shared" si="43"/>
        <v>977372.80285246263</v>
      </c>
      <c r="G146" s="523">
        <f t="shared" si="44"/>
        <v>1332340.6321207553</v>
      </c>
      <c r="H146" s="526">
        <f t="shared" si="45"/>
        <v>861175.27465548669</v>
      </c>
      <c r="I146" s="577">
        <f t="shared" si="46"/>
        <v>861175.27465548669</v>
      </c>
      <c r="J146" s="514">
        <f t="shared" si="36"/>
        <v>0</v>
      </c>
      <c r="K146" s="514"/>
      <c r="L146" s="525"/>
      <c r="M146" s="514">
        <f t="shared" si="47"/>
        <v>0</v>
      </c>
      <c r="N146" s="525"/>
      <c r="O146" s="514">
        <f t="shared" si="48"/>
        <v>0</v>
      </c>
      <c r="P146" s="514">
        <f t="shared" si="49"/>
        <v>0</v>
      </c>
    </row>
    <row r="147" spans="2:16">
      <c r="B147" s="195" t="str">
        <f t="shared" si="30"/>
        <v/>
      </c>
      <c r="C147" s="507">
        <f>IF(D93="","-",+C146+1)</f>
        <v>2055</v>
      </c>
      <c r="D147" s="374">
        <f>IF(F146+SUM(E$99:E146)=D$92,F146,D$92-SUM(E$99:E146))</f>
        <v>977372.80285246263</v>
      </c>
      <c r="E147" s="522">
        <f t="shared" si="42"/>
        <v>709935.6585365854</v>
      </c>
      <c r="F147" s="523">
        <f t="shared" si="43"/>
        <v>267437.14431587723</v>
      </c>
      <c r="G147" s="523">
        <f t="shared" si="44"/>
        <v>622404.97358416999</v>
      </c>
      <c r="H147" s="526">
        <f t="shared" si="45"/>
        <v>780587.47760295251</v>
      </c>
      <c r="I147" s="577">
        <f t="shared" si="46"/>
        <v>780587.47760295251</v>
      </c>
      <c r="J147" s="514">
        <f t="shared" si="36"/>
        <v>0</v>
      </c>
      <c r="K147" s="514"/>
      <c r="L147" s="525"/>
      <c r="M147" s="514">
        <f t="shared" si="47"/>
        <v>0</v>
      </c>
      <c r="N147" s="525"/>
      <c r="O147" s="514">
        <f t="shared" si="48"/>
        <v>0</v>
      </c>
      <c r="P147" s="514">
        <f t="shared" si="49"/>
        <v>0</v>
      </c>
    </row>
    <row r="148" spans="2:16">
      <c r="B148" s="195" t="str">
        <f t="shared" si="30"/>
        <v/>
      </c>
      <c r="C148" s="507">
        <f>IF(D93="","-",+C147+1)</f>
        <v>2056</v>
      </c>
      <c r="D148" s="374">
        <f>IF(F147+SUM(E$99:E147)=D$92,F147,D$92-SUM(E$99:E147))</f>
        <v>267437.14431587723</v>
      </c>
      <c r="E148" s="522">
        <f t="shared" si="42"/>
        <v>267437.14431587723</v>
      </c>
      <c r="F148" s="523">
        <f t="shared" si="43"/>
        <v>0</v>
      </c>
      <c r="G148" s="523">
        <f t="shared" si="44"/>
        <v>133718.57215793862</v>
      </c>
      <c r="H148" s="526">
        <f t="shared" si="45"/>
        <v>282616.10458592721</v>
      </c>
      <c r="I148" s="577">
        <f t="shared" si="46"/>
        <v>282616.10458592721</v>
      </c>
      <c r="J148" s="514">
        <f t="shared" si="36"/>
        <v>0</v>
      </c>
      <c r="K148" s="514"/>
      <c r="L148" s="525"/>
      <c r="M148" s="514">
        <f t="shared" si="47"/>
        <v>0</v>
      </c>
      <c r="N148" s="525"/>
      <c r="O148" s="514">
        <f t="shared" si="48"/>
        <v>0</v>
      </c>
      <c r="P148" s="514">
        <f t="shared" si="49"/>
        <v>0</v>
      </c>
    </row>
    <row r="149" spans="2:16">
      <c r="B149" s="195" t="str">
        <f t="shared" si="30"/>
        <v/>
      </c>
      <c r="C149" s="507">
        <f>IF(D93="","-",+C148+1)</f>
        <v>2057</v>
      </c>
      <c r="D149" s="374">
        <f>IF(F148+SUM(E$99:E148)=D$92,F148,D$92-SUM(E$99:E148))</f>
        <v>0</v>
      </c>
      <c r="E149" s="522">
        <f t="shared" si="42"/>
        <v>0</v>
      </c>
      <c r="F149" s="523">
        <f t="shared" si="43"/>
        <v>0</v>
      </c>
      <c r="G149" s="523">
        <f t="shared" si="44"/>
        <v>0</v>
      </c>
      <c r="H149" s="526">
        <f t="shared" si="45"/>
        <v>0</v>
      </c>
      <c r="I149" s="577">
        <f t="shared" si="46"/>
        <v>0</v>
      </c>
      <c r="J149" s="514">
        <f t="shared" si="36"/>
        <v>0</v>
      </c>
      <c r="K149" s="514"/>
      <c r="L149" s="525"/>
      <c r="M149" s="514">
        <f t="shared" si="47"/>
        <v>0</v>
      </c>
      <c r="N149" s="525"/>
      <c r="O149" s="514">
        <f t="shared" si="48"/>
        <v>0</v>
      </c>
      <c r="P149" s="514">
        <f t="shared" si="49"/>
        <v>0</v>
      </c>
    </row>
    <row r="150" spans="2:16">
      <c r="B150" s="195" t="str">
        <f t="shared" si="30"/>
        <v/>
      </c>
      <c r="C150" s="507">
        <f>IF(D93="","-",+C149+1)</f>
        <v>2058</v>
      </c>
      <c r="D150" s="374">
        <f>IF(F149+SUM(E$99:E149)=D$92,F149,D$92-SUM(E$99:E149))</f>
        <v>0</v>
      </c>
      <c r="E150" s="522">
        <f t="shared" si="42"/>
        <v>0</v>
      </c>
      <c r="F150" s="523">
        <f t="shared" si="43"/>
        <v>0</v>
      </c>
      <c r="G150" s="523">
        <f t="shared" si="44"/>
        <v>0</v>
      </c>
      <c r="H150" s="526">
        <f t="shared" si="45"/>
        <v>0</v>
      </c>
      <c r="I150" s="577">
        <f t="shared" si="46"/>
        <v>0</v>
      </c>
      <c r="J150" s="514">
        <f t="shared" si="36"/>
        <v>0</v>
      </c>
      <c r="K150" s="514"/>
      <c r="L150" s="525"/>
      <c r="M150" s="514">
        <f t="shared" si="47"/>
        <v>0</v>
      </c>
      <c r="N150" s="525"/>
      <c r="O150" s="514">
        <f t="shared" si="48"/>
        <v>0</v>
      </c>
      <c r="P150" s="514">
        <f t="shared" si="49"/>
        <v>0</v>
      </c>
    </row>
    <row r="151" spans="2:16">
      <c r="B151" s="195" t="str">
        <f t="shared" si="30"/>
        <v/>
      </c>
      <c r="C151" s="507">
        <f>IF(D93="","-",+C150+1)</f>
        <v>2059</v>
      </c>
      <c r="D151" s="374">
        <f>IF(F150+SUM(E$99:E150)=D$92,F150,D$92-SUM(E$99:E150))</f>
        <v>0</v>
      </c>
      <c r="E151" s="522">
        <f t="shared" si="42"/>
        <v>0</v>
      </c>
      <c r="F151" s="523">
        <f t="shared" si="43"/>
        <v>0</v>
      </c>
      <c r="G151" s="523">
        <f t="shared" si="44"/>
        <v>0</v>
      </c>
      <c r="H151" s="526">
        <f t="shared" si="45"/>
        <v>0</v>
      </c>
      <c r="I151" s="577">
        <f t="shared" si="46"/>
        <v>0</v>
      </c>
      <c r="J151" s="514">
        <f t="shared" si="36"/>
        <v>0</v>
      </c>
      <c r="K151" s="514"/>
      <c r="L151" s="525"/>
      <c r="M151" s="514">
        <f t="shared" si="47"/>
        <v>0</v>
      </c>
      <c r="N151" s="525"/>
      <c r="O151" s="514">
        <f t="shared" si="48"/>
        <v>0</v>
      </c>
      <c r="P151" s="514">
        <f t="shared" si="49"/>
        <v>0</v>
      </c>
    </row>
    <row r="152" spans="2:16">
      <c r="B152" s="195" t="str">
        <f t="shared" si="30"/>
        <v/>
      </c>
      <c r="C152" s="507">
        <f>IF(D93="","-",+C151+1)</f>
        <v>2060</v>
      </c>
      <c r="D152" s="374">
        <f>IF(F151+SUM(E$99:E151)=D$92,F151,D$92-SUM(E$99:E151))</f>
        <v>0</v>
      </c>
      <c r="E152" s="522">
        <f t="shared" si="42"/>
        <v>0</v>
      </c>
      <c r="F152" s="523">
        <f t="shared" si="43"/>
        <v>0</v>
      </c>
      <c r="G152" s="523">
        <f t="shared" si="44"/>
        <v>0</v>
      </c>
      <c r="H152" s="526">
        <f t="shared" si="45"/>
        <v>0</v>
      </c>
      <c r="I152" s="577">
        <f t="shared" si="46"/>
        <v>0</v>
      </c>
      <c r="J152" s="514">
        <f t="shared" si="36"/>
        <v>0</v>
      </c>
      <c r="K152" s="514"/>
      <c r="L152" s="525"/>
      <c r="M152" s="514">
        <f t="shared" si="47"/>
        <v>0</v>
      </c>
      <c r="N152" s="525"/>
      <c r="O152" s="514">
        <f t="shared" si="48"/>
        <v>0</v>
      </c>
      <c r="P152" s="514">
        <f t="shared" si="49"/>
        <v>0</v>
      </c>
    </row>
    <row r="153" spans="2:16">
      <c r="B153" s="195" t="str">
        <f t="shared" si="30"/>
        <v/>
      </c>
      <c r="C153" s="507">
        <f>IF(D93="","-",+C152+1)</f>
        <v>2061</v>
      </c>
      <c r="D153" s="374">
        <f>IF(F152+SUM(E$99:E152)=D$92,F152,D$92-SUM(E$99:E152))</f>
        <v>0</v>
      </c>
      <c r="E153" s="522">
        <f t="shared" si="42"/>
        <v>0</v>
      </c>
      <c r="F153" s="523">
        <f t="shared" si="43"/>
        <v>0</v>
      </c>
      <c r="G153" s="523">
        <f t="shared" si="44"/>
        <v>0</v>
      </c>
      <c r="H153" s="526">
        <f t="shared" si="45"/>
        <v>0</v>
      </c>
      <c r="I153" s="577">
        <f t="shared" si="46"/>
        <v>0</v>
      </c>
      <c r="J153" s="514">
        <f t="shared" si="36"/>
        <v>0</v>
      </c>
      <c r="K153" s="514"/>
      <c r="L153" s="525"/>
      <c r="M153" s="514">
        <f t="shared" si="47"/>
        <v>0</v>
      </c>
      <c r="N153" s="525"/>
      <c r="O153" s="514">
        <f t="shared" si="48"/>
        <v>0</v>
      </c>
      <c r="P153" s="514">
        <f t="shared" si="49"/>
        <v>0</v>
      </c>
    </row>
    <row r="154" spans="2:16" ht="13.5" thickBot="1">
      <c r="B154" s="195" t="str">
        <f t="shared" si="30"/>
        <v/>
      </c>
      <c r="C154" s="527">
        <f>IF(D93="","-",+C153+1)</f>
        <v>2062</v>
      </c>
      <c r="D154" s="374">
        <f>IF(F153+SUM(E$99:E153)=D$92,F153,D$92-SUM(E$99:E153))</f>
        <v>0</v>
      </c>
      <c r="E154" s="522">
        <f t="shared" si="42"/>
        <v>0</v>
      </c>
      <c r="F154" s="523">
        <f t="shared" si="43"/>
        <v>0</v>
      </c>
      <c r="G154" s="523">
        <f t="shared" si="44"/>
        <v>0</v>
      </c>
      <c r="H154" s="526">
        <f t="shared" si="45"/>
        <v>0</v>
      </c>
      <c r="I154" s="577">
        <f t="shared" si="46"/>
        <v>0</v>
      </c>
      <c r="J154" s="514">
        <f t="shared" si="36"/>
        <v>0</v>
      </c>
      <c r="K154" s="514"/>
      <c r="L154" s="532"/>
      <c r="M154" s="533">
        <f t="shared" si="47"/>
        <v>0</v>
      </c>
      <c r="N154" s="532"/>
      <c r="O154" s="533">
        <f t="shared" si="48"/>
        <v>0</v>
      </c>
      <c r="P154" s="533">
        <f t="shared" si="49"/>
        <v>0</v>
      </c>
    </row>
    <row r="155" spans="2:16">
      <c r="C155" s="374" t="s">
        <v>78</v>
      </c>
      <c r="D155" s="375"/>
      <c r="E155" s="375">
        <f>SUM(E99:E154)</f>
        <v>29107362.000000007</v>
      </c>
      <c r="F155" s="375"/>
      <c r="G155" s="375"/>
      <c r="H155" s="375">
        <f>SUM(H99:H154)</f>
        <v>98074040.949844018</v>
      </c>
      <c r="I155" s="375">
        <f>SUM(I99:I154)</f>
        <v>98074040.949844018</v>
      </c>
      <c r="J155" s="375">
        <f>SUM(J99:J154)</f>
        <v>0</v>
      </c>
      <c r="K155" s="375"/>
      <c r="L155" s="375"/>
      <c r="M155" s="375"/>
      <c r="N155" s="375"/>
      <c r="O155" s="375"/>
      <c r="P155" s="269"/>
    </row>
    <row r="156" spans="2:16">
      <c r="C156" s="183" t="s">
        <v>92</v>
      </c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</row>
    <row r="157" spans="2:16">
      <c r="C157" s="580"/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</row>
    <row r="158" spans="2:16">
      <c r="C158" s="614" t="s">
        <v>132</v>
      </c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</row>
    <row r="159" spans="2:16">
      <c r="C159" s="467" t="s">
        <v>79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</row>
    <row r="160" spans="2:16">
      <c r="C160" s="581" t="s">
        <v>80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</row>
    <row r="161" spans="3:16">
      <c r="C161" s="581"/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</row>
    <row r="162" spans="3:16" ht="18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635" t="s">
        <v>131</v>
      </c>
    </row>
  </sheetData>
  <conditionalFormatting sqref="C17:C72">
    <cfRule type="cellIs" dxfId="74" priority="1" stopIfTrue="1" operator="equal">
      <formula>$I$10</formula>
    </cfRule>
  </conditionalFormatting>
  <conditionalFormatting sqref="C99:C154">
    <cfRule type="cellIs" dxfId="73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heet94">
    <tabColor theme="9" tint="-0.249977111117893"/>
  </sheetPr>
  <dimension ref="A1:P162"/>
  <sheetViews>
    <sheetView topLeftCell="A97" zoomScaleNormal="100" zoomScaleSheetLayoutView="82" workbookViewId="0">
      <selection activeCell="D107" sqref="D107:I114"/>
    </sheetView>
  </sheetViews>
  <sheetFormatPr defaultColWidth="8.7109375" defaultRowHeight="12.75" customHeight="1"/>
  <cols>
    <col min="1" max="1" width="4.7109375" style="183" customWidth="1"/>
    <col min="2" max="2" width="6.7109375" style="183" customWidth="1"/>
    <col min="3" max="3" width="23.28515625" style="183" customWidth="1"/>
    <col min="4" max="8" width="17.7109375" style="183" customWidth="1"/>
    <col min="9" max="9" width="20.42578125" style="183" customWidth="1"/>
    <col min="10" max="10" width="16.42578125" style="183" customWidth="1"/>
    <col min="11" max="11" width="17.7109375" style="183" customWidth="1"/>
    <col min="12" max="12" width="16.140625" style="183" customWidth="1"/>
    <col min="13" max="13" width="17.7109375" style="183" customWidth="1"/>
    <col min="14" max="14" width="16.7109375" style="183" customWidth="1"/>
    <col min="15" max="15" width="16.85546875" style="183" customWidth="1"/>
    <col min="16" max="16" width="24.42578125" style="183" customWidth="1"/>
    <col min="17" max="17" width="9.140625" style="183" customWidth="1"/>
    <col min="18" max="22" width="8.7109375" style="183"/>
    <col min="23" max="23" width="9.140625" style="183" customWidth="1"/>
    <col min="24" max="16384" width="8.7109375" style="183"/>
  </cols>
  <sheetData>
    <row r="1" spans="1:16" ht="20.25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45 of 75</v>
      </c>
    </row>
    <row r="2" spans="1:16" ht="18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538" t="s">
        <v>129</v>
      </c>
    </row>
    <row r="3" spans="1:16" ht="18.75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/>
      <c r="P3" s="623">
        <v>1</v>
      </c>
    </row>
    <row r="4" spans="1:16" ht="15.75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6" ht="1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247463.41604259165</v>
      </c>
      <c r="P5" s="269"/>
    </row>
    <row r="6" spans="1:16" ht="15.7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247463.41604259165</v>
      </c>
      <c r="O6" s="269"/>
      <c r="P6" s="269"/>
    </row>
    <row r="7" spans="1:16" ht="13.5" thickBot="1">
      <c r="C7" s="467" t="s">
        <v>48</v>
      </c>
      <c r="D7" s="624" t="s">
        <v>330</v>
      </c>
      <c r="E7" s="587"/>
      <c r="F7" s="587"/>
      <c r="G7" s="587"/>
      <c r="H7" s="59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6" ht="13.5" thickBot="1">
      <c r="C8" s="472"/>
      <c r="D8" s="645" t="s">
        <v>354</v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6" ht="13.5" thickBot="1">
      <c r="C9" s="476" t="s">
        <v>50</v>
      </c>
      <c r="D9" s="477" t="s">
        <v>329</v>
      </c>
      <c r="E9" s="637" t="s">
        <v>502</v>
      </c>
      <c r="F9" s="478"/>
      <c r="G9" s="478"/>
      <c r="H9" s="478"/>
      <c r="I9" s="479"/>
      <c r="J9" s="480"/>
      <c r="O9" s="481"/>
      <c r="P9" s="272"/>
    </row>
    <row r="10" spans="1:16">
      <c r="C10" s="482" t="s">
        <v>51</v>
      </c>
      <c r="D10" s="483">
        <v>2658452</v>
      </c>
      <c r="E10" s="353" t="s">
        <v>52</v>
      </c>
      <c r="F10" s="481"/>
      <c r="G10" s="484"/>
      <c r="H10" s="484"/>
      <c r="I10" s="485">
        <f>+'SWE.WS.F.BPU.ATRR.Projected'!L19</f>
        <v>2024</v>
      </c>
      <c r="J10" s="480"/>
      <c r="K10" s="375" t="s">
        <v>53</v>
      </c>
      <c r="O10" s="272"/>
      <c r="P10" s="272"/>
    </row>
    <row r="11" spans="1:16">
      <c r="C11" s="486" t="s">
        <v>54</v>
      </c>
      <c r="D11" s="487">
        <v>2007</v>
      </c>
      <c r="E11" s="486" t="s">
        <v>55</v>
      </c>
      <c r="F11" s="484"/>
      <c r="G11" s="233"/>
      <c r="H11" s="233"/>
      <c r="I11" s="488">
        <f>IF(G5="",0,'SWE.WS.F.BPU.ATRR.Projected'!F$13)</f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6">
      <c r="C12" s="486" t="s">
        <v>56</v>
      </c>
      <c r="D12" s="483">
        <v>3</v>
      </c>
      <c r="E12" s="486" t="s">
        <v>57</v>
      </c>
      <c r="F12" s="484"/>
      <c r="G12" s="233"/>
      <c r="H12" s="233"/>
      <c r="I12" s="490">
        <f>'SWE.WS.F.BPU.ATRR.Projected'!$F$81</f>
        <v>0.11952713165403545</v>
      </c>
      <c r="J12" s="425"/>
      <c r="K12" s="183" t="s">
        <v>58</v>
      </c>
      <c r="O12" s="272"/>
      <c r="P12" s="272"/>
    </row>
    <row r="13" spans="1:16">
      <c r="C13" s="486" t="s">
        <v>59</v>
      </c>
      <c r="D13" s="488">
        <f>+'SWE.WS.F.BPU.ATRR.Projected'!F$93</f>
        <v>44</v>
      </c>
      <c r="E13" s="486" t="s">
        <v>60</v>
      </c>
      <c r="F13" s="484"/>
      <c r="G13" s="233"/>
      <c r="H13" s="233"/>
      <c r="I13" s="490">
        <f>IF(G5="",I12,'SWE.WS.F.BPU.ATRR.Projected'!$F$80)</f>
        <v>0.11952713165403545</v>
      </c>
      <c r="J13" s="425"/>
      <c r="K13" s="375" t="s">
        <v>61</v>
      </c>
      <c r="L13" s="324"/>
      <c r="M13" s="324"/>
      <c r="N13" s="324"/>
      <c r="O13" s="272"/>
      <c r="P13" s="272"/>
    </row>
    <row r="14" spans="1:16" ht="13.5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60419.36363636364</v>
      </c>
      <c r="J14" s="375"/>
      <c r="K14" s="375"/>
      <c r="L14" s="375"/>
      <c r="M14" s="375"/>
      <c r="N14" s="375"/>
      <c r="O14" s="272"/>
      <c r="P14" s="272"/>
    </row>
    <row r="15" spans="1:16" ht="38.25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388</v>
      </c>
      <c r="H15" s="495" t="s">
        <v>389</v>
      </c>
      <c r="I15" s="492" t="s">
        <v>68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6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>
      <c r="C17" s="507">
        <f>IF(D11= "","-",D11)</f>
        <v>2007</v>
      </c>
      <c r="D17" s="629">
        <v>2658452</v>
      </c>
      <c r="E17" s="638">
        <v>47472.357142857138</v>
      </c>
      <c r="F17" s="629">
        <v>2610979.6428571427</v>
      </c>
      <c r="G17" s="638">
        <v>399720.94779110374</v>
      </c>
      <c r="H17" s="639">
        <v>399720.94779110374</v>
      </c>
      <c r="I17" s="511">
        <v>0</v>
      </c>
      <c r="J17" s="511"/>
      <c r="K17" s="512">
        <f>G17</f>
        <v>399720.94779110374</v>
      </c>
      <c r="L17" s="597">
        <f>IF(K17&lt;&gt;0,+G17-K17,0)</f>
        <v>0</v>
      </c>
      <c r="M17" s="512">
        <f>H17</f>
        <v>399720.94779110374</v>
      </c>
      <c r="N17" s="513">
        <f>IF(M17&lt;&gt;0,+H17-M17,0)</f>
        <v>0</v>
      </c>
      <c r="O17" s="514">
        <f>+N17-L17</f>
        <v>0</v>
      </c>
      <c r="P17" s="272"/>
    </row>
    <row r="18" spans="2:16">
      <c r="B18" s="195" t="str">
        <f>IF(D18=F17,"","IU")</f>
        <v/>
      </c>
      <c r="C18" s="507">
        <f>IF(D11="","-",+C17+1)</f>
        <v>2008</v>
      </c>
      <c r="D18" s="631">
        <v>2610979.6428571427</v>
      </c>
      <c r="E18" s="630">
        <v>63296.476190476191</v>
      </c>
      <c r="F18" s="631">
        <v>2547683.1666666665</v>
      </c>
      <c r="G18" s="630">
        <v>407005.70706543193</v>
      </c>
      <c r="H18" s="639">
        <v>407005.70706543193</v>
      </c>
      <c r="I18" s="511">
        <v>0</v>
      </c>
      <c r="J18" s="511"/>
      <c r="K18" s="518">
        <f>G18</f>
        <v>407005.70706543193</v>
      </c>
      <c r="L18" s="519">
        <f>IF(K18&lt;&gt;0,+G18-K18,0)</f>
        <v>0</v>
      </c>
      <c r="M18" s="518">
        <f>H18</f>
        <v>407005.70706543193</v>
      </c>
      <c r="N18" s="514">
        <f>IF(M18&lt;&gt;0,+H18-M18,0)</f>
        <v>0</v>
      </c>
      <c r="O18" s="514">
        <f>+N18-L18</f>
        <v>0</v>
      </c>
      <c r="P18" s="272"/>
    </row>
    <row r="19" spans="2:16">
      <c r="B19" s="195" t="str">
        <f>IF(D19=F18,"","IU")</f>
        <v/>
      </c>
      <c r="C19" s="507">
        <f>IF(D11="","-",+C18+1)</f>
        <v>2009</v>
      </c>
      <c r="D19" s="631">
        <v>2547683.1666666665</v>
      </c>
      <c r="E19" s="630">
        <v>63296.476190476191</v>
      </c>
      <c r="F19" s="631">
        <v>2484386.6904761903</v>
      </c>
      <c r="G19" s="630">
        <v>398466.34729214112</v>
      </c>
      <c r="H19" s="639">
        <v>398466.34729214112</v>
      </c>
      <c r="I19" s="511">
        <v>0</v>
      </c>
      <c r="J19" s="511"/>
      <c r="K19" s="518">
        <f t="shared" ref="K19:K24" si="0">G19</f>
        <v>398466.34729214112</v>
      </c>
      <c r="L19" s="519">
        <f t="shared" ref="L19:L24" si="1">IF(K19&lt;&gt;0,+G19-K19,0)</f>
        <v>0</v>
      </c>
      <c r="M19" s="518">
        <f t="shared" ref="M19:M24" si="2">H19</f>
        <v>398466.34729214112</v>
      </c>
      <c r="N19" s="514">
        <f t="shared" ref="N19:N24" si="3">IF(M19&lt;&gt;0,+H19-M19,0)</f>
        <v>0</v>
      </c>
      <c r="O19" s="514">
        <f t="shared" ref="O19:O24" si="4">+N19-L19</f>
        <v>0</v>
      </c>
      <c r="P19" s="272"/>
    </row>
    <row r="20" spans="2:16">
      <c r="B20" s="195" t="str">
        <f t="shared" ref="B20:B72" si="5">IF(D20=F19,"","IU")</f>
        <v/>
      </c>
      <c r="C20" s="507">
        <f>IF(D11="","-",+C19+1)</f>
        <v>2010</v>
      </c>
      <c r="D20" s="631">
        <v>2484386.6904761903</v>
      </c>
      <c r="E20" s="630">
        <v>63296.476190476191</v>
      </c>
      <c r="F20" s="631">
        <v>2421090.2142857141</v>
      </c>
      <c r="G20" s="630">
        <v>389926.98751885031</v>
      </c>
      <c r="H20" s="639">
        <v>389926.98751885031</v>
      </c>
      <c r="I20" s="511">
        <v>0</v>
      </c>
      <c r="J20" s="511"/>
      <c r="K20" s="518">
        <f t="shared" si="0"/>
        <v>389926.98751885031</v>
      </c>
      <c r="L20" s="519">
        <f t="shared" si="1"/>
        <v>0</v>
      </c>
      <c r="M20" s="518">
        <f t="shared" si="2"/>
        <v>389926.98751885031</v>
      </c>
      <c r="N20" s="514">
        <f t="shared" si="3"/>
        <v>0</v>
      </c>
      <c r="O20" s="514">
        <f t="shared" si="4"/>
        <v>0</v>
      </c>
      <c r="P20" s="272"/>
    </row>
    <row r="21" spans="2:16">
      <c r="B21" s="195" t="str">
        <f t="shared" si="5"/>
        <v/>
      </c>
      <c r="C21" s="507">
        <f>IF(D11="","-",+C20+1)</f>
        <v>2011</v>
      </c>
      <c r="D21" s="631">
        <v>2421090.2142857141</v>
      </c>
      <c r="E21" s="630">
        <v>63296.476190476191</v>
      </c>
      <c r="F21" s="631">
        <v>2357793.7380952379</v>
      </c>
      <c r="G21" s="630">
        <v>381387.62774555944</v>
      </c>
      <c r="H21" s="639">
        <v>381387.62774555944</v>
      </c>
      <c r="I21" s="511">
        <v>0</v>
      </c>
      <c r="J21" s="511"/>
      <c r="K21" s="518">
        <f t="shared" si="0"/>
        <v>381387.62774555944</v>
      </c>
      <c r="L21" s="519">
        <f t="shared" si="1"/>
        <v>0</v>
      </c>
      <c r="M21" s="518">
        <f t="shared" si="2"/>
        <v>381387.62774555944</v>
      </c>
      <c r="N21" s="514">
        <f t="shared" si="3"/>
        <v>0</v>
      </c>
      <c r="O21" s="514">
        <f t="shared" si="4"/>
        <v>0</v>
      </c>
      <c r="P21" s="272"/>
    </row>
    <row r="22" spans="2:16">
      <c r="B22" s="195" t="str">
        <f t="shared" si="5"/>
        <v/>
      </c>
      <c r="C22" s="507">
        <f>IF(D11="","-",+C21+1)</f>
        <v>2012</v>
      </c>
      <c r="D22" s="631">
        <v>2357793.7380952379</v>
      </c>
      <c r="E22" s="630">
        <v>63296.476190476191</v>
      </c>
      <c r="F22" s="631">
        <v>2294497.2619047617</v>
      </c>
      <c r="G22" s="630">
        <v>372848.26797226863</v>
      </c>
      <c r="H22" s="639">
        <v>372848.26797226863</v>
      </c>
      <c r="I22" s="511">
        <v>0</v>
      </c>
      <c r="J22" s="511"/>
      <c r="K22" s="518">
        <f t="shared" si="0"/>
        <v>372848.26797226863</v>
      </c>
      <c r="L22" s="519">
        <f t="shared" si="1"/>
        <v>0</v>
      </c>
      <c r="M22" s="518">
        <f t="shared" si="2"/>
        <v>372848.26797226863</v>
      </c>
      <c r="N22" s="514">
        <f t="shared" si="3"/>
        <v>0</v>
      </c>
      <c r="O22" s="514">
        <f t="shared" si="4"/>
        <v>0</v>
      </c>
      <c r="P22" s="272"/>
    </row>
    <row r="23" spans="2:16">
      <c r="B23" s="195" t="str">
        <f t="shared" si="5"/>
        <v/>
      </c>
      <c r="C23" s="507">
        <f>IF(D11="","-",+C22+1)</f>
        <v>2013</v>
      </c>
      <c r="D23" s="631">
        <v>2294497.2619047617</v>
      </c>
      <c r="E23" s="630">
        <v>63296.476190476191</v>
      </c>
      <c r="F23" s="631">
        <v>2231200.7857142854</v>
      </c>
      <c r="G23" s="630">
        <v>364308.90819897782</v>
      </c>
      <c r="H23" s="639">
        <v>364308.90819897782</v>
      </c>
      <c r="I23" s="511">
        <v>0</v>
      </c>
      <c r="J23" s="511"/>
      <c r="K23" s="518">
        <f t="shared" si="0"/>
        <v>364308.90819897782</v>
      </c>
      <c r="L23" s="519">
        <f t="shared" si="1"/>
        <v>0</v>
      </c>
      <c r="M23" s="518">
        <f t="shared" si="2"/>
        <v>364308.90819897782</v>
      </c>
      <c r="N23" s="514">
        <f t="shared" si="3"/>
        <v>0</v>
      </c>
      <c r="O23" s="514">
        <f t="shared" si="4"/>
        <v>0</v>
      </c>
      <c r="P23" s="272"/>
    </row>
    <row r="24" spans="2:16">
      <c r="B24" s="195" t="str">
        <f t="shared" si="5"/>
        <v/>
      </c>
      <c r="C24" s="507">
        <f>IF(D11="","-",+C23+1)</f>
        <v>2014</v>
      </c>
      <c r="D24" s="631">
        <v>2231200.7857142854</v>
      </c>
      <c r="E24" s="630">
        <v>63296.476190476191</v>
      </c>
      <c r="F24" s="631">
        <v>2167904.3095238092</v>
      </c>
      <c r="G24" s="630">
        <v>355769.54842568695</v>
      </c>
      <c r="H24" s="639">
        <v>355769.54842568695</v>
      </c>
      <c r="I24" s="511">
        <v>0</v>
      </c>
      <c r="J24" s="511"/>
      <c r="K24" s="518">
        <f t="shared" si="0"/>
        <v>355769.54842568695</v>
      </c>
      <c r="L24" s="519">
        <f t="shared" si="1"/>
        <v>0</v>
      </c>
      <c r="M24" s="518">
        <f t="shared" si="2"/>
        <v>355769.54842568695</v>
      </c>
      <c r="N24" s="514">
        <f t="shared" si="3"/>
        <v>0</v>
      </c>
      <c r="O24" s="514">
        <f t="shared" si="4"/>
        <v>0</v>
      </c>
      <c r="P24" s="272"/>
    </row>
    <row r="25" spans="2:16">
      <c r="B25" s="195" t="str">
        <f t="shared" si="5"/>
        <v/>
      </c>
      <c r="C25" s="507">
        <f>IF(D11="","-",+C24+1)</f>
        <v>2015</v>
      </c>
      <c r="D25" s="631">
        <v>2167904.3095238092</v>
      </c>
      <c r="E25" s="630">
        <v>63296.476190476191</v>
      </c>
      <c r="F25" s="631">
        <v>2104607.833333333</v>
      </c>
      <c r="G25" s="630">
        <v>340483.43201030308</v>
      </c>
      <c r="H25" s="639">
        <v>340483.43201030308</v>
      </c>
      <c r="I25" s="511">
        <v>0</v>
      </c>
      <c r="J25" s="511"/>
      <c r="K25" s="518">
        <f t="shared" ref="K25:K30" si="6">G25</f>
        <v>340483.43201030308</v>
      </c>
      <c r="L25" s="519">
        <f t="shared" ref="L25:L30" si="7">IF(K25&lt;&gt;0,+G25-K25,0)</f>
        <v>0</v>
      </c>
      <c r="M25" s="518">
        <f t="shared" ref="M25:M30" si="8">H25</f>
        <v>340483.43201030308</v>
      </c>
      <c r="N25" s="514">
        <f>IF(M25&lt;&gt;0,+H25-M25,0)</f>
        <v>0</v>
      </c>
      <c r="O25" s="514">
        <f>+N25-L25</f>
        <v>0</v>
      </c>
      <c r="P25" s="272"/>
    </row>
    <row r="26" spans="2:16">
      <c r="B26" s="195" t="str">
        <f t="shared" si="5"/>
        <v/>
      </c>
      <c r="C26" s="507">
        <f>IF(D11="","-",+C25+1)</f>
        <v>2016</v>
      </c>
      <c r="D26" s="631">
        <v>2104607.833333333</v>
      </c>
      <c r="E26" s="630">
        <v>63296.476190476191</v>
      </c>
      <c r="F26" s="631">
        <v>2041311.3571428568</v>
      </c>
      <c r="G26" s="630">
        <v>328830.20653345349</v>
      </c>
      <c r="H26" s="639">
        <v>328830.20653345349</v>
      </c>
      <c r="I26" s="511">
        <f>H26-G26</f>
        <v>0</v>
      </c>
      <c r="J26" s="511"/>
      <c r="K26" s="518">
        <f t="shared" si="6"/>
        <v>328830.20653345349</v>
      </c>
      <c r="L26" s="519">
        <f t="shared" si="7"/>
        <v>0</v>
      </c>
      <c r="M26" s="518">
        <f t="shared" si="8"/>
        <v>328830.20653345349</v>
      </c>
      <c r="N26" s="514">
        <f>IF(M26&lt;&gt;0,+H26-M26,0)</f>
        <v>0</v>
      </c>
      <c r="O26" s="514">
        <f>+N26-L26</f>
        <v>0</v>
      </c>
      <c r="P26" s="272"/>
    </row>
    <row r="27" spans="2:16">
      <c r="B27" s="195" t="str">
        <f t="shared" si="5"/>
        <v/>
      </c>
      <c r="C27" s="507">
        <f>IF(D11="","-",+C26+1)</f>
        <v>2017</v>
      </c>
      <c r="D27" s="631">
        <v>2041311.3571428568</v>
      </c>
      <c r="E27" s="630">
        <v>61824.465116279069</v>
      </c>
      <c r="F27" s="631">
        <v>1979486.8920265778</v>
      </c>
      <c r="G27" s="630">
        <v>310897.9062413022</v>
      </c>
      <c r="H27" s="639">
        <v>310897.9062413022</v>
      </c>
      <c r="I27" s="511">
        <f t="shared" ref="I27:I72" si="9">H27-G27</f>
        <v>0</v>
      </c>
      <c r="J27" s="511"/>
      <c r="K27" s="518">
        <f t="shared" si="6"/>
        <v>310897.9062413022</v>
      </c>
      <c r="L27" s="519">
        <f t="shared" si="7"/>
        <v>0</v>
      </c>
      <c r="M27" s="518">
        <f t="shared" si="8"/>
        <v>310897.9062413022</v>
      </c>
      <c r="N27" s="514">
        <f>IF(M27&lt;&gt;0,+H27-M27,0)</f>
        <v>0</v>
      </c>
      <c r="O27" s="514">
        <f>+N27-L27</f>
        <v>0</v>
      </c>
      <c r="P27" s="272"/>
    </row>
    <row r="28" spans="2:16">
      <c r="B28" s="195" t="str">
        <f t="shared" si="5"/>
        <v/>
      </c>
      <c r="C28" s="507">
        <f>IF(D11="","-",+C27+1)</f>
        <v>2018</v>
      </c>
      <c r="D28" s="631">
        <v>1979486.8920265778</v>
      </c>
      <c r="E28" s="630">
        <v>64840.292682926833</v>
      </c>
      <c r="F28" s="631">
        <v>1914646.599343651</v>
      </c>
      <c r="G28" s="630">
        <v>312300.98627895484</v>
      </c>
      <c r="H28" s="639">
        <v>312300.98627895484</v>
      </c>
      <c r="I28" s="511">
        <f t="shared" si="9"/>
        <v>0</v>
      </c>
      <c r="J28" s="511"/>
      <c r="K28" s="518">
        <f t="shared" si="6"/>
        <v>312300.98627895484</v>
      </c>
      <c r="L28" s="519">
        <f t="shared" si="7"/>
        <v>0</v>
      </c>
      <c r="M28" s="518">
        <f t="shared" si="8"/>
        <v>312300.98627895484</v>
      </c>
      <c r="N28" s="514">
        <f>IF(M28&lt;&gt;0,+H28-M28,0)</f>
        <v>0</v>
      </c>
      <c r="O28" s="514">
        <f>+N28-L28</f>
        <v>0</v>
      </c>
      <c r="P28" s="272"/>
    </row>
    <row r="29" spans="2:16">
      <c r="B29" s="195" t="str">
        <f t="shared" si="5"/>
        <v/>
      </c>
      <c r="C29" s="507">
        <f>IF(D11="","-",+C28+1)</f>
        <v>2019</v>
      </c>
      <c r="D29" s="631">
        <v>1914646.599343651</v>
      </c>
      <c r="E29" s="630">
        <v>64840.292682926833</v>
      </c>
      <c r="F29" s="631">
        <v>1849806.3066607241</v>
      </c>
      <c r="G29" s="630">
        <v>304060.16770617355</v>
      </c>
      <c r="H29" s="639">
        <v>304060.16770617355</v>
      </c>
      <c r="I29" s="511">
        <f t="shared" si="9"/>
        <v>0</v>
      </c>
      <c r="J29" s="511"/>
      <c r="K29" s="518">
        <f t="shared" si="6"/>
        <v>304060.16770617355</v>
      </c>
      <c r="L29" s="519">
        <f t="shared" si="7"/>
        <v>0</v>
      </c>
      <c r="M29" s="518">
        <f t="shared" si="8"/>
        <v>304060.16770617355</v>
      </c>
      <c r="N29" s="514">
        <f t="shared" ref="N29:N72" si="10">IF(M29&lt;&gt;0,+H29-M29,0)</f>
        <v>0</v>
      </c>
      <c r="O29" s="514">
        <f t="shared" ref="O29:O72" si="11">+N29-L29</f>
        <v>0</v>
      </c>
      <c r="P29" s="272"/>
    </row>
    <row r="30" spans="2:16">
      <c r="B30" s="195" t="str">
        <f t="shared" si="5"/>
        <v/>
      </c>
      <c r="C30" s="507">
        <f>IF(D11="","-",+C29+1)</f>
        <v>2020</v>
      </c>
      <c r="D30" s="631">
        <v>1849806.3066607241</v>
      </c>
      <c r="E30" s="630">
        <v>64840.292682926833</v>
      </c>
      <c r="F30" s="631">
        <v>1784966.0139777972</v>
      </c>
      <c r="G30" s="630">
        <v>250823.33283113065</v>
      </c>
      <c r="H30" s="639">
        <v>250823.33283113065</v>
      </c>
      <c r="I30" s="511">
        <f t="shared" si="9"/>
        <v>0</v>
      </c>
      <c r="J30" s="511"/>
      <c r="K30" s="518">
        <f t="shared" si="6"/>
        <v>250823.33283113065</v>
      </c>
      <c r="L30" s="519">
        <f t="shared" si="7"/>
        <v>0</v>
      </c>
      <c r="M30" s="518">
        <f t="shared" si="8"/>
        <v>250823.33283113065</v>
      </c>
      <c r="N30" s="514">
        <f t="shared" si="10"/>
        <v>0</v>
      </c>
      <c r="O30" s="514">
        <f t="shared" si="11"/>
        <v>0</v>
      </c>
      <c r="P30" s="272"/>
    </row>
    <row r="31" spans="2:16">
      <c r="B31" s="195" t="str">
        <f t="shared" si="5"/>
        <v>IU</v>
      </c>
      <c r="C31" s="507">
        <f>IF(D11="","-",+C30+1)</f>
        <v>2021</v>
      </c>
      <c r="D31" s="631">
        <v>1787981.8415444451</v>
      </c>
      <c r="E31" s="630">
        <v>63296.476190476191</v>
      </c>
      <c r="F31" s="631">
        <v>1724685.3653539689</v>
      </c>
      <c r="G31" s="630">
        <v>249475.8207671784</v>
      </c>
      <c r="H31" s="639">
        <v>249475.8207671784</v>
      </c>
      <c r="I31" s="511">
        <f t="shared" si="9"/>
        <v>0</v>
      </c>
      <c r="J31" s="511"/>
      <c r="K31" s="518">
        <f t="shared" ref="K31" si="12">G31</f>
        <v>249475.8207671784</v>
      </c>
      <c r="L31" s="519">
        <f t="shared" ref="L31" si="13">IF(K31&lt;&gt;0,+G31-K31,0)</f>
        <v>0</v>
      </c>
      <c r="M31" s="518">
        <f t="shared" ref="M31" si="14">H31</f>
        <v>249475.8207671784</v>
      </c>
      <c r="N31" s="514">
        <f t="shared" si="10"/>
        <v>0</v>
      </c>
      <c r="O31" s="514">
        <f t="shared" si="11"/>
        <v>0</v>
      </c>
      <c r="P31" s="272"/>
    </row>
    <row r="32" spans="2:16">
      <c r="B32" s="195" t="str">
        <f t="shared" si="5"/>
        <v>IU</v>
      </c>
      <c r="C32" s="507">
        <f>IF(D11="","-",+C31+1)</f>
        <v>2022</v>
      </c>
      <c r="D32" s="631">
        <v>1721669.537787321</v>
      </c>
      <c r="E32" s="630">
        <v>63296.476190476191</v>
      </c>
      <c r="F32" s="631">
        <v>1658373.0615968448</v>
      </c>
      <c r="G32" s="630">
        <v>253329.39494750532</v>
      </c>
      <c r="H32" s="639">
        <v>253329.39494750532</v>
      </c>
      <c r="I32" s="511">
        <f t="shared" si="9"/>
        <v>0</v>
      </c>
      <c r="J32" s="511"/>
      <c r="K32" s="518">
        <f t="shared" ref="K32" si="15">G32</f>
        <v>253329.39494750532</v>
      </c>
      <c r="L32" s="519">
        <f t="shared" ref="L32" si="16">IF(K32&lt;&gt;0,+G32-K32,0)</f>
        <v>0</v>
      </c>
      <c r="M32" s="518">
        <f t="shared" ref="M32" si="17">H32</f>
        <v>253329.39494750532</v>
      </c>
      <c r="N32" s="514">
        <f t="shared" si="10"/>
        <v>0</v>
      </c>
      <c r="O32" s="514">
        <f t="shared" si="11"/>
        <v>0</v>
      </c>
      <c r="P32" s="272"/>
    </row>
    <row r="33" spans="2:16">
      <c r="B33" s="195" t="str">
        <f t="shared" si="5"/>
        <v/>
      </c>
      <c r="C33" s="507">
        <f>IF(D11="","-",+C32+1)</f>
        <v>2023</v>
      </c>
      <c r="D33" s="631">
        <v>1658373.0615968448</v>
      </c>
      <c r="E33" s="630">
        <v>63296.476190476191</v>
      </c>
      <c r="F33" s="631">
        <v>1595076.5854063686</v>
      </c>
      <c r="G33" s="630">
        <v>268795.39807015983</v>
      </c>
      <c r="H33" s="639">
        <v>268795.39807015983</v>
      </c>
      <c r="I33" s="511">
        <f t="shared" si="9"/>
        <v>0</v>
      </c>
      <c r="J33" s="511"/>
      <c r="K33" s="518">
        <f t="shared" ref="K33" si="18">G33</f>
        <v>268795.39807015983</v>
      </c>
      <c r="L33" s="519">
        <f t="shared" ref="L33" si="19">IF(K33&lt;&gt;0,+G33-K33,0)</f>
        <v>0</v>
      </c>
      <c r="M33" s="518">
        <f t="shared" ref="M33" si="20">H33</f>
        <v>268795.39807015983</v>
      </c>
      <c r="N33" s="514">
        <f t="shared" ref="N33" si="21">IF(M33&lt;&gt;0,+H33-M33,0)</f>
        <v>0</v>
      </c>
      <c r="O33" s="514">
        <f t="shared" ref="O33" si="22">+N33-L33</f>
        <v>0</v>
      </c>
      <c r="P33" s="272"/>
    </row>
    <row r="34" spans="2:16">
      <c r="B34" s="195" t="str">
        <f t="shared" si="5"/>
        <v/>
      </c>
      <c r="C34" s="673">
        <f>IF(D11="","-",+C33+1)</f>
        <v>2024</v>
      </c>
      <c r="D34" s="523">
        <f>IF(F33+SUM(E$17:E33)=D$10,F33,D$10-SUM(E$17:E33))</f>
        <v>1595076.5854063686</v>
      </c>
      <c r="E34" s="522">
        <f>IF(+I14&lt;F33,I14,D34)</f>
        <v>60419.36363636364</v>
      </c>
      <c r="F34" s="523">
        <f t="shared" ref="F34:F72" si="23">+D34-E34</f>
        <v>1534657.2217700051</v>
      </c>
      <c r="G34" s="524">
        <f t="shared" ref="G34:G72" si="24">+I$12*((D34+F34)/2)+E34</f>
        <v>247463.41604259165</v>
      </c>
      <c r="H34" s="491">
        <f t="shared" ref="H34:H72" si="25">+I$13*((D34+F34)/2)+E34</f>
        <v>247463.41604259165</v>
      </c>
      <c r="I34" s="511">
        <f t="shared" si="9"/>
        <v>0</v>
      </c>
      <c r="J34" s="511"/>
      <c r="K34" s="525"/>
      <c r="L34" s="514">
        <f t="shared" ref="L34:L72" si="26">IF(K34&lt;&gt;0,+G34-K34,0)</f>
        <v>0</v>
      </c>
      <c r="M34" s="525"/>
      <c r="N34" s="514">
        <f t="shared" si="10"/>
        <v>0</v>
      </c>
      <c r="O34" s="514">
        <f t="shared" si="11"/>
        <v>0</v>
      </c>
      <c r="P34" s="272"/>
    </row>
    <row r="35" spans="2:16">
      <c r="B35" s="195" t="str">
        <f t="shared" si="5"/>
        <v/>
      </c>
      <c r="C35" s="507">
        <f>IF(D11="","-",+C34+1)</f>
        <v>2025</v>
      </c>
      <c r="D35" s="523">
        <f>IF(F34+SUM(E$17:E34)=D$10,F34,D$10-SUM(E$17:E34))</f>
        <v>1534657.2217700051</v>
      </c>
      <c r="E35" s="522">
        <f>IF(+I14&lt;F34,I14,D35)</f>
        <v>60419.36363636364</v>
      </c>
      <c r="F35" s="523">
        <f t="shared" si="23"/>
        <v>1474237.8581336415</v>
      </c>
      <c r="G35" s="524">
        <f t="shared" si="24"/>
        <v>240241.66281077496</v>
      </c>
      <c r="H35" s="491">
        <f t="shared" si="25"/>
        <v>240241.66281077496</v>
      </c>
      <c r="I35" s="511">
        <f t="shared" si="9"/>
        <v>0</v>
      </c>
      <c r="J35" s="511"/>
      <c r="K35" s="525"/>
      <c r="L35" s="514">
        <f t="shared" si="26"/>
        <v>0</v>
      </c>
      <c r="M35" s="525"/>
      <c r="N35" s="514">
        <f t="shared" si="10"/>
        <v>0</v>
      </c>
      <c r="O35" s="514">
        <f t="shared" si="11"/>
        <v>0</v>
      </c>
      <c r="P35" s="272"/>
    </row>
    <row r="36" spans="2:16">
      <c r="B36" s="195" t="str">
        <f t="shared" si="5"/>
        <v/>
      </c>
      <c r="C36" s="507">
        <f>IF(D11="","-",+C35+1)</f>
        <v>2026</v>
      </c>
      <c r="D36" s="523">
        <f>IF(F35+SUM(E$17:E35)=D$10,F35,D$10-SUM(E$17:E35))</f>
        <v>1474237.8581336415</v>
      </c>
      <c r="E36" s="522">
        <f>IF(+I14&lt;F35,I14,D36)</f>
        <v>60419.36363636364</v>
      </c>
      <c r="F36" s="523">
        <f t="shared" si="23"/>
        <v>1413818.494497278</v>
      </c>
      <c r="G36" s="524">
        <f t="shared" si="24"/>
        <v>233019.90957895832</v>
      </c>
      <c r="H36" s="491">
        <f t="shared" si="25"/>
        <v>233019.90957895832</v>
      </c>
      <c r="I36" s="511">
        <f t="shared" si="9"/>
        <v>0</v>
      </c>
      <c r="J36" s="511"/>
      <c r="K36" s="525"/>
      <c r="L36" s="514">
        <f t="shared" si="26"/>
        <v>0</v>
      </c>
      <c r="M36" s="525"/>
      <c r="N36" s="514">
        <f t="shared" si="10"/>
        <v>0</v>
      </c>
      <c r="O36" s="514">
        <f t="shared" si="11"/>
        <v>0</v>
      </c>
      <c r="P36" s="272"/>
    </row>
    <row r="37" spans="2:16">
      <c r="B37" s="195" t="str">
        <f t="shared" si="5"/>
        <v/>
      </c>
      <c r="C37" s="507">
        <f>IF(D11="","-",+C36+1)</f>
        <v>2027</v>
      </c>
      <c r="D37" s="523">
        <f>IF(F36+SUM(E$17:E36)=D$10,F36,D$10-SUM(E$17:E36))</f>
        <v>1413818.494497278</v>
      </c>
      <c r="E37" s="522">
        <f>IF(+I14&lt;F36,I14,D37)</f>
        <v>60419.36363636364</v>
      </c>
      <c r="F37" s="523">
        <f t="shared" si="23"/>
        <v>1353399.1308609145</v>
      </c>
      <c r="G37" s="524">
        <f t="shared" si="24"/>
        <v>225798.15634714163</v>
      </c>
      <c r="H37" s="491">
        <f t="shared" si="25"/>
        <v>225798.15634714163</v>
      </c>
      <c r="I37" s="511">
        <f t="shared" si="9"/>
        <v>0</v>
      </c>
      <c r="J37" s="511"/>
      <c r="K37" s="525"/>
      <c r="L37" s="514">
        <f t="shared" si="26"/>
        <v>0</v>
      </c>
      <c r="M37" s="525"/>
      <c r="N37" s="514">
        <f t="shared" si="10"/>
        <v>0</v>
      </c>
      <c r="O37" s="514">
        <f t="shared" si="11"/>
        <v>0</v>
      </c>
      <c r="P37" s="272"/>
    </row>
    <row r="38" spans="2:16">
      <c r="B38" s="195" t="str">
        <f t="shared" si="5"/>
        <v/>
      </c>
      <c r="C38" s="507">
        <f>IF(D11="","-",+C37+1)</f>
        <v>2028</v>
      </c>
      <c r="D38" s="523">
        <f>IF(F37+SUM(E$17:E37)=D$10,F37,D$10-SUM(E$17:E37))</f>
        <v>1353399.1308609145</v>
      </c>
      <c r="E38" s="522">
        <f>IF(+I14&lt;F37,I14,D38)</f>
        <v>60419.36363636364</v>
      </c>
      <c r="F38" s="523">
        <f t="shared" si="23"/>
        <v>1292979.7672245509</v>
      </c>
      <c r="G38" s="524">
        <f t="shared" si="24"/>
        <v>218576.403115325</v>
      </c>
      <c r="H38" s="491">
        <f t="shared" si="25"/>
        <v>218576.403115325</v>
      </c>
      <c r="I38" s="511">
        <f t="shared" si="9"/>
        <v>0</v>
      </c>
      <c r="J38" s="511"/>
      <c r="K38" s="525"/>
      <c r="L38" s="514">
        <f t="shared" si="26"/>
        <v>0</v>
      </c>
      <c r="M38" s="525"/>
      <c r="N38" s="514">
        <f t="shared" si="10"/>
        <v>0</v>
      </c>
      <c r="O38" s="514">
        <f t="shared" si="11"/>
        <v>0</v>
      </c>
      <c r="P38" s="272"/>
    </row>
    <row r="39" spans="2:16">
      <c r="B39" s="195" t="str">
        <f t="shared" si="5"/>
        <v/>
      </c>
      <c r="C39" s="507">
        <f>IF(D11="","-",+C38+1)</f>
        <v>2029</v>
      </c>
      <c r="D39" s="523">
        <f>IF(F38+SUM(E$17:E38)=D$10,F38,D$10-SUM(E$17:E38))</f>
        <v>1292979.7672245509</v>
      </c>
      <c r="E39" s="522">
        <f>IF(+I14&lt;F38,I14,D39)</f>
        <v>60419.36363636364</v>
      </c>
      <c r="F39" s="523">
        <f t="shared" si="23"/>
        <v>1232560.4035881874</v>
      </c>
      <c r="G39" s="524">
        <f t="shared" si="24"/>
        <v>211354.6498835083</v>
      </c>
      <c r="H39" s="491">
        <f t="shared" si="25"/>
        <v>211354.6498835083</v>
      </c>
      <c r="I39" s="511">
        <f t="shared" si="9"/>
        <v>0</v>
      </c>
      <c r="J39" s="511"/>
      <c r="K39" s="525"/>
      <c r="L39" s="514">
        <f t="shared" si="26"/>
        <v>0</v>
      </c>
      <c r="M39" s="525"/>
      <c r="N39" s="514">
        <f t="shared" si="10"/>
        <v>0</v>
      </c>
      <c r="O39" s="514">
        <f t="shared" si="11"/>
        <v>0</v>
      </c>
      <c r="P39" s="272"/>
    </row>
    <row r="40" spans="2:16">
      <c r="B40" s="195" t="str">
        <f t="shared" si="5"/>
        <v/>
      </c>
      <c r="C40" s="507">
        <f>IF(D11="","-",+C39+1)</f>
        <v>2030</v>
      </c>
      <c r="D40" s="523">
        <f>IF(F39+SUM(E$17:E39)=D$10,F39,D$10-SUM(E$17:E39))</f>
        <v>1232560.4035881874</v>
      </c>
      <c r="E40" s="522">
        <f>IF(+I14&lt;F39,I14,D40)</f>
        <v>60419.36363636364</v>
      </c>
      <c r="F40" s="523">
        <f t="shared" si="23"/>
        <v>1172141.0399518239</v>
      </c>
      <c r="G40" s="524">
        <f t="shared" si="24"/>
        <v>204132.89665169167</v>
      </c>
      <c r="H40" s="491">
        <f t="shared" si="25"/>
        <v>204132.89665169167</v>
      </c>
      <c r="I40" s="511">
        <f t="shared" si="9"/>
        <v>0</v>
      </c>
      <c r="J40" s="511"/>
      <c r="K40" s="525"/>
      <c r="L40" s="514">
        <f t="shared" si="26"/>
        <v>0</v>
      </c>
      <c r="M40" s="525"/>
      <c r="N40" s="514">
        <f t="shared" si="10"/>
        <v>0</v>
      </c>
      <c r="O40" s="514">
        <f t="shared" si="11"/>
        <v>0</v>
      </c>
      <c r="P40" s="272"/>
    </row>
    <row r="41" spans="2:16">
      <c r="B41" s="195" t="str">
        <f t="shared" si="5"/>
        <v/>
      </c>
      <c r="C41" s="507">
        <f>IF(D11="","-",+C40+1)</f>
        <v>2031</v>
      </c>
      <c r="D41" s="523">
        <f>IF(F40+SUM(E$17:E40)=D$10,F40,D$10-SUM(E$17:E40))</f>
        <v>1172141.0399518239</v>
      </c>
      <c r="E41" s="522">
        <f>IF(+I14&lt;F40,I14,D41)</f>
        <v>60419.36363636364</v>
      </c>
      <c r="F41" s="523">
        <f t="shared" si="23"/>
        <v>1111721.6763154604</v>
      </c>
      <c r="G41" s="524">
        <f t="shared" si="24"/>
        <v>196911.14341987498</v>
      </c>
      <c r="H41" s="491">
        <f t="shared" si="25"/>
        <v>196911.14341987498</v>
      </c>
      <c r="I41" s="511">
        <f t="shared" si="9"/>
        <v>0</v>
      </c>
      <c r="J41" s="511"/>
      <c r="K41" s="525"/>
      <c r="L41" s="514">
        <f t="shared" si="26"/>
        <v>0</v>
      </c>
      <c r="M41" s="525"/>
      <c r="N41" s="514">
        <f t="shared" si="10"/>
        <v>0</v>
      </c>
      <c r="O41" s="514">
        <f t="shared" si="11"/>
        <v>0</v>
      </c>
      <c r="P41" s="272"/>
    </row>
    <row r="42" spans="2:16">
      <c r="B42" s="195" t="str">
        <f t="shared" si="5"/>
        <v/>
      </c>
      <c r="C42" s="507">
        <f>IF(D11="","-",+C41+1)</f>
        <v>2032</v>
      </c>
      <c r="D42" s="523">
        <f>IF(F41+SUM(E$17:E41)=D$10,F41,D$10-SUM(E$17:E41))</f>
        <v>1111721.6763154604</v>
      </c>
      <c r="E42" s="522">
        <f>IF(+I14&lt;F41,I14,D42)</f>
        <v>60419.36363636364</v>
      </c>
      <c r="F42" s="523">
        <f t="shared" si="23"/>
        <v>1051302.3126790968</v>
      </c>
      <c r="G42" s="524">
        <f t="shared" si="24"/>
        <v>189689.39018805834</v>
      </c>
      <c r="H42" s="491">
        <f t="shared" si="25"/>
        <v>189689.39018805834</v>
      </c>
      <c r="I42" s="511">
        <f t="shared" si="9"/>
        <v>0</v>
      </c>
      <c r="J42" s="511"/>
      <c r="K42" s="525"/>
      <c r="L42" s="514">
        <f t="shared" si="26"/>
        <v>0</v>
      </c>
      <c r="M42" s="525"/>
      <c r="N42" s="514">
        <f t="shared" si="10"/>
        <v>0</v>
      </c>
      <c r="O42" s="514">
        <f t="shared" si="11"/>
        <v>0</v>
      </c>
      <c r="P42" s="272"/>
    </row>
    <row r="43" spans="2:16">
      <c r="B43" s="195" t="str">
        <f t="shared" si="5"/>
        <v/>
      </c>
      <c r="C43" s="507">
        <f>IF(D11="","-",+C42+1)</f>
        <v>2033</v>
      </c>
      <c r="D43" s="523">
        <f>IF(F42+SUM(E$17:E42)=D$10,F42,D$10-SUM(E$17:E42))</f>
        <v>1051302.3126790968</v>
      </c>
      <c r="E43" s="522">
        <f>IF(+I14&lt;F42,I14,D43)</f>
        <v>60419.36363636364</v>
      </c>
      <c r="F43" s="523">
        <f t="shared" si="23"/>
        <v>990882.94904273318</v>
      </c>
      <c r="G43" s="524">
        <f t="shared" si="24"/>
        <v>182467.63695624162</v>
      </c>
      <c r="H43" s="491">
        <f t="shared" si="25"/>
        <v>182467.63695624162</v>
      </c>
      <c r="I43" s="511">
        <f t="shared" si="9"/>
        <v>0</v>
      </c>
      <c r="J43" s="511"/>
      <c r="K43" s="525"/>
      <c r="L43" s="514">
        <f t="shared" si="26"/>
        <v>0</v>
      </c>
      <c r="M43" s="525"/>
      <c r="N43" s="514">
        <f t="shared" si="10"/>
        <v>0</v>
      </c>
      <c r="O43" s="514">
        <f t="shared" si="11"/>
        <v>0</v>
      </c>
      <c r="P43" s="272"/>
    </row>
    <row r="44" spans="2:16">
      <c r="B44" s="195" t="str">
        <f t="shared" si="5"/>
        <v/>
      </c>
      <c r="C44" s="507">
        <f>IF(D11="","-",+C43+1)</f>
        <v>2034</v>
      </c>
      <c r="D44" s="523">
        <f>IF(F43+SUM(E$17:E43)=D$10,F43,D$10-SUM(E$17:E43))</f>
        <v>990882.94904273318</v>
      </c>
      <c r="E44" s="522">
        <f>IF(+I14&lt;F43,I14,D44)</f>
        <v>60419.36363636364</v>
      </c>
      <c r="F44" s="523">
        <f t="shared" si="23"/>
        <v>930463.58540636953</v>
      </c>
      <c r="G44" s="524">
        <f t="shared" si="24"/>
        <v>175245.88372442496</v>
      </c>
      <c r="H44" s="491">
        <f t="shared" si="25"/>
        <v>175245.88372442496</v>
      </c>
      <c r="I44" s="511">
        <f t="shared" si="9"/>
        <v>0</v>
      </c>
      <c r="J44" s="511"/>
      <c r="K44" s="525"/>
      <c r="L44" s="514">
        <f t="shared" si="26"/>
        <v>0</v>
      </c>
      <c r="M44" s="525"/>
      <c r="N44" s="514">
        <f t="shared" si="10"/>
        <v>0</v>
      </c>
      <c r="O44" s="514">
        <f t="shared" si="11"/>
        <v>0</v>
      </c>
      <c r="P44" s="272"/>
    </row>
    <row r="45" spans="2:16">
      <c r="B45" s="195" t="str">
        <f t="shared" si="5"/>
        <v/>
      </c>
      <c r="C45" s="507">
        <f>IF(D11="","-",+C44+1)</f>
        <v>2035</v>
      </c>
      <c r="D45" s="523">
        <f>IF(F44+SUM(E$17:E44)=D$10,F44,D$10-SUM(E$17:E44))</f>
        <v>930463.58540636953</v>
      </c>
      <c r="E45" s="522">
        <f>IF(+I14&lt;F44,I14,D45)</f>
        <v>60419.36363636364</v>
      </c>
      <c r="F45" s="523">
        <f t="shared" si="23"/>
        <v>870044.22177000588</v>
      </c>
      <c r="G45" s="524">
        <f t="shared" si="24"/>
        <v>168024.13049260827</v>
      </c>
      <c r="H45" s="491">
        <f t="shared" si="25"/>
        <v>168024.13049260827</v>
      </c>
      <c r="I45" s="511">
        <f t="shared" si="9"/>
        <v>0</v>
      </c>
      <c r="J45" s="511"/>
      <c r="K45" s="525"/>
      <c r="L45" s="514">
        <f t="shared" si="26"/>
        <v>0</v>
      </c>
      <c r="M45" s="525"/>
      <c r="N45" s="514">
        <f t="shared" si="10"/>
        <v>0</v>
      </c>
      <c r="O45" s="514">
        <f t="shared" si="11"/>
        <v>0</v>
      </c>
      <c r="P45" s="272"/>
    </row>
    <row r="46" spans="2:16">
      <c r="B46" s="195" t="str">
        <f t="shared" si="5"/>
        <v/>
      </c>
      <c r="C46" s="507">
        <f>IF(D11="","-",+C45+1)</f>
        <v>2036</v>
      </c>
      <c r="D46" s="523">
        <f>IF(F45+SUM(E$17:E45)=D$10,F45,D$10-SUM(E$17:E45))</f>
        <v>870044.22177000588</v>
      </c>
      <c r="E46" s="522">
        <f>IF(+I14&lt;F45,I14,D46)</f>
        <v>60419.36363636364</v>
      </c>
      <c r="F46" s="523">
        <f t="shared" si="23"/>
        <v>809624.85813364224</v>
      </c>
      <c r="G46" s="524">
        <f t="shared" si="24"/>
        <v>160802.3772607916</v>
      </c>
      <c r="H46" s="491">
        <f t="shared" si="25"/>
        <v>160802.3772607916</v>
      </c>
      <c r="I46" s="511">
        <f t="shared" si="9"/>
        <v>0</v>
      </c>
      <c r="J46" s="511"/>
      <c r="K46" s="525"/>
      <c r="L46" s="514">
        <f t="shared" si="26"/>
        <v>0</v>
      </c>
      <c r="M46" s="525"/>
      <c r="N46" s="514">
        <f t="shared" si="10"/>
        <v>0</v>
      </c>
      <c r="O46" s="514">
        <f t="shared" si="11"/>
        <v>0</v>
      </c>
      <c r="P46" s="272"/>
    </row>
    <row r="47" spans="2:16">
      <c r="B47" s="195" t="str">
        <f t="shared" si="5"/>
        <v/>
      </c>
      <c r="C47" s="507">
        <f>IF(D11="","-",+C46+1)</f>
        <v>2037</v>
      </c>
      <c r="D47" s="523">
        <f>IF(F46+SUM(E$17:E46)=D$10,F46,D$10-SUM(E$17:E46))</f>
        <v>809624.85813364224</v>
      </c>
      <c r="E47" s="522">
        <f>IF(+I14&lt;F46,I14,D47)</f>
        <v>60419.36363636364</v>
      </c>
      <c r="F47" s="523">
        <f t="shared" si="23"/>
        <v>749205.49449727859</v>
      </c>
      <c r="G47" s="524">
        <f t="shared" si="24"/>
        <v>153580.62402897491</v>
      </c>
      <c r="H47" s="491">
        <f t="shared" si="25"/>
        <v>153580.62402897491</v>
      </c>
      <c r="I47" s="511">
        <f t="shared" si="9"/>
        <v>0</v>
      </c>
      <c r="J47" s="511"/>
      <c r="K47" s="525"/>
      <c r="L47" s="514">
        <f t="shared" si="26"/>
        <v>0</v>
      </c>
      <c r="M47" s="525"/>
      <c r="N47" s="514">
        <f t="shared" si="10"/>
        <v>0</v>
      </c>
      <c r="O47" s="514">
        <f t="shared" si="11"/>
        <v>0</v>
      </c>
      <c r="P47" s="272"/>
    </row>
    <row r="48" spans="2:16">
      <c r="B48" s="195" t="str">
        <f t="shared" si="5"/>
        <v/>
      </c>
      <c r="C48" s="507">
        <f>IF(D11="","-",+C47+1)</f>
        <v>2038</v>
      </c>
      <c r="D48" s="523">
        <f>IF(F47+SUM(E$17:E47)=D$10,F47,D$10-SUM(E$17:E47))</f>
        <v>749205.49449727859</v>
      </c>
      <c r="E48" s="522">
        <f>IF(+I14&lt;F47,I14,D48)</f>
        <v>60419.36363636364</v>
      </c>
      <c r="F48" s="523">
        <f t="shared" si="23"/>
        <v>688786.13086091494</v>
      </c>
      <c r="G48" s="524">
        <f t="shared" si="24"/>
        <v>146358.87079715825</v>
      </c>
      <c r="H48" s="491">
        <f t="shared" si="25"/>
        <v>146358.87079715825</v>
      </c>
      <c r="I48" s="511">
        <f t="shared" si="9"/>
        <v>0</v>
      </c>
      <c r="J48" s="511"/>
      <c r="K48" s="525"/>
      <c r="L48" s="514">
        <f t="shared" si="26"/>
        <v>0</v>
      </c>
      <c r="M48" s="525"/>
      <c r="N48" s="514">
        <f t="shared" si="10"/>
        <v>0</v>
      </c>
      <c r="O48" s="514">
        <f t="shared" si="11"/>
        <v>0</v>
      </c>
      <c r="P48" s="272"/>
    </row>
    <row r="49" spans="2:16">
      <c r="B49" s="195" t="str">
        <f t="shared" si="5"/>
        <v/>
      </c>
      <c r="C49" s="507">
        <f>IF(D11="","-",+C48+1)</f>
        <v>2039</v>
      </c>
      <c r="D49" s="523">
        <f>IF(F48+SUM(E$17:E48)=D$10,F48,D$10-SUM(E$17:E48))</f>
        <v>688786.13086091494</v>
      </c>
      <c r="E49" s="522">
        <f>IF(+I14&lt;F48,I14,D49)</f>
        <v>60419.36363636364</v>
      </c>
      <c r="F49" s="523">
        <f t="shared" si="23"/>
        <v>628366.76722455129</v>
      </c>
      <c r="G49" s="524">
        <f t="shared" si="24"/>
        <v>139137.11756534156</v>
      </c>
      <c r="H49" s="491">
        <f t="shared" si="25"/>
        <v>139137.11756534156</v>
      </c>
      <c r="I49" s="511">
        <f t="shared" si="9"/>
        <v>0</v>
      </c>
      <c r="J49" s="511"/>
      <c r="K49" s="525"/>
      <c r="L49" s="514">
        <f t="shared" si="26"/>
        <v>0</v>
      </c>
      <c r="M49" s="525"/>
      <c r="N49" s="514">
        <f t="shared" si="10"/>
        <v>0</v>
      </c>
      <c r="O49" s="514">
        <f t="shared" si="11"/>
        <v>0</v>
      </c>
      <c r="P49" s="272"/>
    </row>
    <row r="50" spans="2:16">
      <c r="B50" s="195" t="str">
        <f t="shared" si="5"/>
        <v/>
      </c>
      <c r="C50" s="507">
        <f>IF(D11="","-",+C49+1)</f>
        <v>2040</v>
      </c>
      <c r="D50" s="523">
        <f>IF(F49+SUM(E$17:E49)=D$10,F49,D$10-SUM(E$17:E49))</f>
        <v>628366.76722455129</v>
      </c>
      <c r="E50" s="522">
        <f>IF(+I14&lt;F49,I14,D50)</f>
        <v>60419.36363636364</v>
      </c>
      <c r="F50" s="523">
        <f t="shared" si="23"/>
        <v>567947.40358818765</v>
      </c>
      <c r="G50" s="524">
        <f t="shared" si="24"/>
        <v>131915.36433352489</v>
      </c>
      <c r="H50" s="491">
        <f t="shared" si="25"/>
        <v>131915.36433352489</v>
      </c>
      <c r="I50" s="511">
        <f t="shared" si="9"/>
        <v>0</v>
      </c>
      <c r="J50" s="511"/>
      <c r="K50" s="525"/>
      <c r="L50" s="514">
        <f t="shared" si="26"/>
        <v>0</v>
      </c>
      <c r="M50" s="525"/>
      <c r="N50" s="514">
        <f t="shared" si="10"/>
        <v>0</v>
      </c>
      <c r="O50" s="514">
        <f t="shared" si="11"/>
        <v>0</v>
      </c>
      <c r="P50" s="272"/>
    </row>
    <row r="51" spans="2:16">
      <c r="B51" s="195" t="str">
        <f t="shared" si="5"/>
        <v/>
      </c>
      <c r="C51" s="507">
        <f>IF(D11="","-",+C50+1)</f>
        <v>2041</v>
      </c>
      <c r="D51" s="523">
        <f>IF(F50+SUM(E$17:E50)=D$10,F50,D$10-SUM(E$17:E50))</f>
        <v>567947.40358818765</v>
      </c>
      <c r="E51" s="522">
        <f>IF(+I14&lt;F50,I14,D51)</f>
        <v>60419.36363636364</v>
      </c>
      <c r="F51" s="523">
        <f t="shared" si="23"/>
        <v>507528.039951824</v>
      </c>
      <c r="G51" s="524">
        <f t="shared" si="24"/>
        <v>124693.6111017082</v>
      </c>
      <c r="H51" s="491">
        <f t="shared" si="25"/>
        <v>124693.6111017082</v>
      </c>
      <c r="I51" s="511">
        <f t="shared" si="9"/>
        <v>0</v>
      </c>
      <c r="J51" s="511"/>
      <c r="K51" s="525"/>
      <c r="L51" s="514">
        <f t="shared" si="26"/>
        <v>0</v>
      </c>
      <c r="M51" s="525"/>
      <c r="N51" s="514">
        <f t="shared" si="10"/>
        <v>0</v>
      </c>
      <c r="O51" s="514">
        <f t="shared" si="11"/>
        <v>0</v>
      </c>
      <c r="P51" s="272"/>
    </row>
    <row r="52" spans="2:16">
      <c r="B52" s="195" t="str">
        <f t="shared" si="5"/>
        <v/>
      </c>
      <c r="C52" s="507">
        <f>IF(D11="","-",+C51+1)</f>
        <v>2042</v>
      </c>
      <c r="D52" s="523">
        <f>IF(F51+SUM(E$17:E51)=D$10,F51,D$10-SUM(E$17:E51))</f>
        <v>507528.039951824</v>
      </c>
      <c r="E52" s="522">
        <f>IF(+I14&lt;F51,I14,D52)</f>
        <v>60419.36363636364</v>
      </c>
      <c r="F52" s="523">
        <f t="shared" si="23"/>
        <v>447108.67631546035</v>
      </c>
      <c r="G52" s="524">
        <f t="shared" si="24"/>
        <v>117471.85786989154</v>
      </c>
      <c r="H52" s="491">
        <f t="shared" si="25"/>
        <v>117471.85786989154</v>
      </c>
      <c r="I52" s="511">
        <f t="shared" si="9"/>
        <v>0</v>
      </c>
      <c r="J52" s="511"/>
      <c r="K52" s="525"/>
      <c r="L52" s="514">
        <f t="shared" si="26"/>
        <v>0</v>
      </c>
      <c r="M52" s="525"/>
      <c r="N52" s="514">
        <f t="shared" si="10"/>
        <v>0</v>
      </c>
      <c r="O52" s="514">
        <f t="shared" si="11"/>
        <v>0</v>
      </c>
      <c r="P52" s="272"/>
    </row>
    <row r="53" spans="2:16">
      <c r="B53" s="195" t="str">
        <f t="shared" si="5"/>
        <v/>
      </c>
      <c r="C53" s="507">
        <f>IF(D11="","-",+C52+1)</f>
        <v>2043</v>
      </c>
      <c r="D53" s="523">
        <f>IF(F52+SUM(E$17:E52)=D$10,F52,D$10-SUM(E$17:E52))</f>
        <v>447108.67631546035</v>
      </c>
      <c r="E53" s="522">
        <f>IF(+I14&lt;F52,I14,D53)</f>
        <v>60419.36363636364</v>
      </c>
      <c r="F53" s="523">
        <f t="shared" si="23"/>
        <v>386689.31267909671</v>
      </c>
      <c r="G53" s="524">
        <f t="shared" si="24"/>
        <v>110250.10463807484</v>
      </c>
      <c r="H53" s="491">
        <f t="shared" si="25"/>
        <v>110250.10463807484</v>
      </c>
      <c r="I53" s="511">
        <f t="shared" si="9"/>
        <v>0</v>
      </c>
      <c r="J53" s="511"/>
      <c r="K53" s="525"/>
      <c r="L53" s="514">
        <f t="shared" si="26"/>
        <v>0</v>
      </c>
      <c r="M53" s="525"/>
      <c r="N53" s="514">
        <f t="shared" si="10"/>
        <v>0</v>
      </c>
      <c r="O53" s="514">
        <f t="shared" si="11"/>
        <v>0</v>
      </c>
      <c r="P53" s="272"/>
    </row>
    <row r="54" spans="2:16">
      <c r="B54" s="195" t="str">
        <f t="shared" si="5"/>
        <v/>
      </c>
      <c r="C54" s="507">
        <f>IF(D11="","-",+C53+1)</f>
        <v>2044</v>
      </c>
      <c r="D54" s="523">
        <f>IF(F53+SUM(E$17:E53)=D$10,F53,D$10-SUM(E$17:E53))</f>
        <v>386689.31267909671</v>
      </c>
      <c r="E54" s="522">
        <f>IF(+I14&lt;F53,I14,D54)</f>
        <v>60419.36363636364</v>
      </c>
      <c r="F54" s="523">
        <f t="shared" si="23"/>
        <v>326269.94904273306</v>
      </c>
      <c r="G54" s="524">
        <f t="shared" si="24"/>
        <v>103028.35140625817</v>
      </c>
      <c r="H54" s="491">
        <f t="shared" si="25"/>
        <v>103028.35140625817</v>
      </c>
      <c r="I54" s="511">
        <f t="shared" si="9"/>
        <v>0</v>
      </c>
      <c r="J54" s="511"/>
      <c r="K54" s="525"/>
      <c r="L54" s="514">
        <f t="shared" si="26"/>
        <v>0</v>
      </c>
      <c r="M54" s="525"/>
      <c r="N54" s="514">
        <f t="shared" si="10"/>
        <v>0</v>
      </c>
      <c r="O54" s="514">
        <f t="shared" si="11"/>
        <v>0</v>
      </c>
      <c r="P54" s="272"/>
    </row>
    <row r="55" spans="2:16">
      <c r="B55" s="195" t="str">
        <f t="shared" si="5"/>
        <v/>
      </c>
      <c r="C55" s="507">
        <f>IF(D11="","-",+C54+1)</f>
        <v>2045</v>
      </c>
      <c r="D55" s="523">
        <f>IF(F54+SUM(E$17:E54)=D$10,F54,D$10-SUM(E$17:E54))</f>
        <v>326269.94904273306</v>
      </c>
      <c r="E55" s="522">
        <f>IF(+I14&lt;F54,I14,D55)</f>
        <v>60419.36363636364</v>
      </c>
      <c r="F55" s="523">
        <f t="shared" si="23"/>
        <v>265850.58540636941</v>
      </c>
      <c r="G55" s="524">
        <f t="shared" si="24"/>
        <v>95806.598174441489</v>
      </c>
      <c r="H55" s="491">
        <f t="shared" si="25"/>
        <v>95806.598174441489</v>
      </c>
      <c r="I55" s="511">
        <f t="shared" si="9"/>
        <v>0</v>
      </c>
      <c r="J55" s="511"/>
      <c r="K55" s="525"/>
      <c r="L55" s="514">
        <f t="shared" si="26"/>
        <v>0</v>
      </c>
      <c r="M55" s="525"/>
      <c r="N55" s="514">
        <f t="shared" si="10"/>
        <v>0</v>
      </c>
      <c r="O55" s="514">
        <f t="shared" si="11"/>
        <v>0</v>
      </c>
      <c r="P55" s="272"/>
    </row>
    <row r="56" spans="2:16">
      <c r="B56" s="195" t="str">
        <f t="shared" si="5"/>
        <v/>
      </c>
      <c r="C56" s="507">
        <f>IF(D11="","-",+C55+1)</f>
        <v>2046</v>
      </c>
      <c r="D56" s="523">
        <f>IF(F55+SUM(E$17:E55)=D$10,F55,D$10-SUM(E$17:E55))</f>
        <v>265850.58540636941</v>
      </c>
      <c r="E56" s="522">
        <f>IF(+I14&lt;F55,I14,D56)</f>
        <v>60419.36363636364</v>
      </c>
      <c r="F56" s="523">
        <f t="shared" si="23"/>
        <v>205431.22177000577</v>
      </c>
      <c r="G56" s="524">
        <f t="shared" si="24"/>
        <v>88584.844942624812</v>
      </c>
      <c r="H56" s="491">
        <f t="shared" si="25"/>
        <v>88584.844942624812</v>
      </c>
      <c r="I56" s="511">
        <f t="shared" si="9"/>
        <v>0</v>
      </c>
      <c r="J56" s="511"/>
      <c r="K56" s="525"/>
      <c r="L56" s="514">
        <f t="shared" si="26"/>
        <v>0</v>
      </c>
      <c r="M56" s="525"/>
      <c r="N56" s="514">
        <f t="shared" si="10"/>
        <v>0</v>
      </c>
      <c r="O56" s="514">
        <f t="shared" si="11"/>
        <v>0</v>
      </c>
      <c r="P56" s="272"/>
    </row>
    <row r="57" spans="2:16">
      <c r="B57" s="195" t="str">
        <f t="shared" si="5"/>
        <v/>
      </c>
      <c r="C57" s="507">
        <f>IF(D11="","-",+C56+1)</f>
        <v>2047</v>
      </c>
      <c r="D57" s="523">
        <f>IF(F56+SUM(E$17:E56)=D$10,F56,D$10-SUM(E$17:E56))</f>
        <v>205431.22177000577</v>
      </c>
      <c r="E57" s="522">
        <f>IF(+I14&lt;F56,I14,D57)</f>
        <v>60419.36363636364</v>
      </c>
      <c r="F57" s="523">
        <f t="shared" si="23"/>
        <v>145011.85813364212</v>
      </c>
      <c r="G57" s="524">
        <f t="shared" si="24"/>
        <v>81363.091710808134</v>
      </c>
      <c r="H57" s="491">
        <f t="shared" si="25"/>
        <v>81363.091710808134</v>
      </c>
      <c r="I57" s="511">
        <f t="shared" si="9"/>
        <v>0</v>
      </c>
      <c r="J57" s="511"/>
      <c r="K57" s="525"/>
      <c r="L57" s="514">
        <f t="shared" si="26"/>
        <v>0</v>
      </c>
      <c r="M57" s="525"/>
      <c r="N57" s="514">
        <f t="shared" si="10"/>
        <v>0</v>
      </c>
      <c r="O57" s="514">
        <f t="shared" si="11"/>
        <v>0</v>
      </c>
      <c r="P57" s="272"/>
    </row>
    <row r="58" spans="2:16">
      <c r="B58" s="195" t="str">
        <f t="shared" si="5"/>
        <v/>
      </c>
      <c r="C58" s="507">
        <f>IF(D11="","-",+C57+1)</f>
        <v>2048</v>
      </c>
      <c r="D58" s="523">
        <f>IF(F57+SUM(E$17:E57)=D$10,F57,D$10-SUM(E$17:E57))</f>
        <v>145011.85813364212</v>
      </c>
      <c r="E58" s="522">
        <f>IF(+I14&lt;F57,I14,D58)</f>
        <v>60419.36363636364</v>
      </c>
      <c r="F58" s="523">
        <f t="shared" si="23"/>
        <v>84592.494497278472</v>
      </c>
      <c r="G58" s="524">
        <f t="shared" si="24"/>
        <v>74141.338478991456</v>
      </c>
      <c r="H58" s="491">
        <f t="shared" si="25"/>
        <v>74141.338478991456</v>
      </c>
      <c r="I58" s="511">
        <f t="shared" si="9"/>
        <v>0</v>
      </c>
      <c r="J58" s="511"/>
      <c r="K58" s="525"/>
      <c r="L58" s="514">
        <f t="shared" si="26"/>
        <v>0</v>
      </c>
      <c r="M58" s="525"/>
      <c r="N58" s="514">
        <f t="shared" si="10"/>
        <v>0</v>
      </c>
      <c r="O58" s="514">
        <f t="shared" si="11"/>
        <v>0</v>
      </c>
      <c r="P58" s="272"/>
    </row>
    <row r="59" spans="2:16">
      <c r="B59" s="195" t="str">
        <f t="shared" si="5"/>
        <v/>
      </c>
      <c r="C59" s="507">
        <f>IF(D11="","-",+C58+1)</f>
        <v>2049</v>
      </c>
      <c r="D59" s="523">
        <f>IF(F58+SUM(E$17:E58)=D$10,F58,D$10-SUM(E$17:E58))</f>
        <v>84592.494497278472</v>
      </c>
      <c r="E59" s="522">
        <f>IF(+I14&lt;F58,I14,D59)</f>
        <v>60419.36363636364</v>
      </c>
      <c r="F59" s="523">
        <f t="shared" si="23"/>
        <v>24173.130860914833</v>
      </c>
      <c r="G59" s="524">
        <f t="shared" si="24"/>
        <v>66919.585247174778</v>
      </c>
      <c r="H59" s="491">
        <f t="shared" si="25"/>
        <v>66919.585247174778</v>
      </c>
      <c r="I59" s="511">
        <f t="shared" si="9"/>
        <v>0</v>
      </c>
      <c r="J59" s="511"/>
      <c r="K59" s="525"/>
      <c r="L59" s="514">
        <f t="shared" si="26"/>
        <v>0</v>
      </c>
      <c r="M59" s="525"/>
      <c r="N59" s="514">
        <f t="shared" si="10"/>
        <v>0</v>
      </c>
      <c r="O59" s="514">
        <f t="shared" si="11"/>
        <v>0</v>
      </c>
      <c r="P59" s="272"/>
    </row>
    <row r="60" spans="2:16">
      <c r="B60" s="195" t="str">
        <f t="shared" si="5"/>
        <v/>
      </c>
      <c r="C60" s="507">
        <f>IF(D11="","-",+C59+1)</f>
        <v>2050</v>
      </c>
      <c r="D60" s="523">
        <f>IF(F59+SUM(E$17:E59)=D$10,F59,D$10-SUM(E$17:E59))</f>
        <v>24173.130860914833</v>
      </c>
      <c r="E60" s="522">
        <f>IF(+I14&lt;F59,I14,D60)</f>
        <v>24173.130860914833</v>
      </c>
      <c r="F60" s="523">
        <f t="shared" si="23"/>
        <v>0</v>
      </c>
      <c r="G60" s="524">
        <f t="shared" si="24"/>
        <v>25617.803358366229</v>
      </c>
      <c r="H60" s="491">
        <f t="shared" si="25"/>
        <v>25617.803358366229</v>
      </c>
      <c r="I60" s="511">
        <f t="shared" si="9"/>
        <v>0</v>
      </c>
      <c r="J60" s="511"/>
      <c r="K60" s="525"/>
      <c r="L60" s="514">
        <f t="shared" si="26"/>
        <v>0</v>
      </c>
      <c r="M60" s="525"/>
      <c r="N60" s="514">
        <f t="shared" si="10"/>
        <v>0</v>
      </c>
      <c r="O60" s="514">
        <f t="shared" si="11"/>
        <v>0</v>
      </c>
      <c r="P60" s="272"/>
    </row>
    <row r="61" spans="2:16">
      <c r="B61" s="195" t="str">
        <f t="shared" si="5"/>
        <v/>
      </c>
      <c r="C61" s="507">
        <f>IF(D11="","-",+C60+1)</f>
        <v>2051</v>
      </c>
      <c r="D61" s="523">
        <f>IF(F60+SUM(E$17:E60)=D$10,F60,D$10-SUM(E$17:E60))</f>
        <v>0</v>
      </c>
      <c r="E61" s="522">
        <f>IF(+I14&lt;F60,I14,D61)</f>
        <v>0</v>
      </c>
      <c r="F61" s="523">
        <f t="shared" si="23"/>
        <v>0</v>
      </c>
      <c r="G61" s="524">
        <f t="shared" si="24"/>
        <v>0</v>
      </c>
      <c r="H61" s="491">
        <f t="shared" si="25"/>
        <v>0</v>
      </c>
      <c r="I61" s="511">
        <f t="shared" si="9"/>
        <v>0</v>
      </c>
      <c r="J61" s="511"/>
      <c r="K61" s="525"/>
      <c r="L61" s="514">
        <f t="shared" si="26"/>
        <v>0</v>
      </c>
      <c r="M61" s="525"/>
      <c r="N61" s="514">
        <f t="shared" si="10"/>
        <v>0</v>
      </c>
      <c r="O61" s="514">
        <f t="shared" si="11"/>
        <v>0</v>
      </c>
      <c r="P61" s="272"/>
    </row>
    <row r="62" spans="2:16">
      <c r="B62" s="195" t="str">
        <f t="shared" si="5"/>
        <v/>
      </c>
      <c r="C62" s="507">
        <f>IF(D11="","-",+C61+1)</f>
        <v>2052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23"/>
        <v>0</v>
      </c>
      <c r="G62" s="524">
        <f t="shared" si="24"/>
        <v>0</v>
      </c>
      <c r="H62" s="491">
        <f t="shared" si="25"/>
        <v>0</v>
      </c>
      <c r="I62" s="511">
        <f t="shared" si="9"/>
        <v>0</v>
      </c>
      <c r="J62" s="511"/>
      <c r="K62" s="525"/>
      <c r="L62" s="514">
        <f t="shared" si="26"/>
        <v>0</v>
      </c>
      <c r="M62" s="525"/>
      <c r="N62" s="514">
        <f t="shared" si="10"/>
        <v>0</v>
      </c>
      <c r="O62" s="514">
        <f t="shared" si="11"/>
        <v>0</v>
      </c>
      <c r="P62" s="272"/>
    </row>
    <row r="63" spans="2:16">
      <c r="B63" s="195" t="str">
        <f t="shared" si="5"/>
        <v/>
      </c>
      <c r="C63" s="507">
        <f>IF(D11="","-",+C62+1)</f>
        <v>2053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23"/>
        <v>0</v>
      </c>
      <c r="G63" s="524">
        <f t="shared" si="24"/>
        <v>0</v>
      </c>
      <c r="H63" s="491">
        <f t="shared" si="25"/>
        <v>0</v>
      </c>
      <c r="I63" s="511">
        <f t="shared" si="9"/>
        <v>0</v>
      </c>
      <c r="J63" s="511"/>
      <c r="K63" s="525"/>
      <c r="L63" s="514">
        <f t="shared" si="26"/>
        <v>0</v>
      </c>
      <c r="M63" s="525"/>
      <c r="N63" s="514">
        <f t="shared" si="10"/>
        <v>0</v>
      </c>
      <c r="O63" s="514">
        <f t="shared" si="11"/>
        <v>0</v>
      </c>
      <c r="P63" s="272"/>
    </row>
    <row r="64" spans="2:16">
      <c r="B64" s="195" t="str">
        <f t="shared" si="5"/>
        <v/>
      </c>
      <c r="C64" s="507">
        <f>IF(D11="","-",+C63+1)</f>
        <v>2054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23"/>
        <v>0</v>
      </c>
      <c r="G64" s="524">
        <f t="shared" si="24"/>
        <v>0</v>
      </c>
      <c r="H64" s="491">
        <f t="shared" si="25"/>
        <v>0</v>
      </c>
      <c r="I64" s="511">
        <f t="shared" si="9"/>
        <v>0</v>
      </c>
      <c r="J64" s="511"/>
      <c r="K64" s="525"/>
      <c r="L64" s="514">
        <f t="shared" si="26"/>
        <v>0</v>
      </c>
      <c r="M64" s="525"/>
      <c r="N64" s="514">
        <f t="shared" si="10"/>
        <v>0</v>
      </c>
      <c r="O64" s="514">
        <f t="shared" si="11"/>
        <v>0</v>
      </c>
      <c r="P64" s="272"/>
    </row>
    <row r="65" spans="2:16">
      <c r="B65" s="195" t="str">
        <f t="shared" si="5"/>
        <v/>
      </c>
      <c r="C65" s="507">
        <f>IF(D11="","-",+C64+1)</f>
        <v>2055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23"/>
        <v>0</v>
      </c>
      <c r="G65" s="524">
        <f t="shared" si="24"/>
        <v>0</v>
      </c>
      <c r="H65" s="491">
        <f t="shared" si="25"/>
        <v>0</v>
      </c>
      <c r="I65" s="511">
        <f t="shared" si="9"/>
        <v>0</v>
      </c>
      <c r="J65" s="511"/>
      <c r="K65" s="525"/>
      <c r="L65" s="514">
        <f t="shared" si="26"/>
        <v>0</v>
      </c>
      <c r="M65" s="525"/>
      <c r="N65" s="514">
        <f t="shared" si="10"/>
        <v>0</v>
      </c>
      <c r="O65" s="514">
        <f t="shared" si="11"/>
        <v>0</v>
      </c>
      <c r="P65" s="272"/>
    </row>
    <row r="66" spans="2:16">
      <c r="B66" s="195" t="str">
        <f t="shared" si="5"/>
        <v/>
      </c>
      <c r="C66" s="507">
        <f>IF(D11="","-",+C65+1)</f>
        <v>2056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23"/>
        <v>0</v>
      </c>
      <c r="G66" s="524">
        <f t="shared" si="24"/>
        <v>0</v>
      </c>
      <c r="H66" s="491">
        <f t="shared" si="25"/>
        <v>0</v>
      </c>
      <c r="I66" s="511">
        <f t="shared" si="9"/>
        <v>0</v>
      </c>
      <c r="J66" s="511"/>
      <c r="K66" s="525"/>
      <c r="L66" s="514">
        <f t="shared" si="26"/>
        <v>0</v>
      </c>
      <c r="M66" s="525"/>
      <c r="N66" s="514">
        <f t="shared" si="10"/>
        <v>0</v>
      </c>
      <c r="O66" s="514">
        <f t="shared" si="11"/>
        <v>0</v>
      </c>
      <c r="P66" s="272"/>
    </row>
    <row r="67" spans="2:16">
      <c r="B67" s="195" t="str">
        <f t="shared" si="5"/>
        <v/>
      </c>
      <c r="C67" s="507">
        <f>IF(D11="","-",+C66+1)</f>
        <v>2057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23"/>
        <v>0</v>
      </c>
      <c r="G67" s="524">
        <f t="shared" si="24"/>
        <v>0</v>
      </c>
      <c r="H67" s="491">
        <f t="shared" si="25"/>
        <v>0</v>
      </c>
      <c r="I67" s="511">
        <f t="shared" si="9"/>
        <v>0</v>
      </c>
      <c r="J67" s="511"/>
      <c r="K67" s="525"/>
      <c r="L67" s="514">
        <f t="shared" si="26"/>
        <v>0</v>
      </c>
      <c r="M67" s="525"/>
      <c r="N67" s="514">
        <f t="shared" si="10"/>
        <v>0</v>
      </c>
      <c r="O67" s="514">
        <f t="shared" si="11"/>
        <v>0</v>
      </c>
      <c r="P67" s="272"/>
    </row>
    <row r="68" spans="2:16">
      <c r="B68" s="195" t="str">
        <f t="shared" si="5"/>
        <v/>
      </c>
      <c r="C68" s="507">
        <f>IF(D11="","-",+C67+1)</f>
        <v>2058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23"/>
        <v>0</v>
      </c>
      <c r="G68" s="524">
        <f t="shared" si="24"/>
        <v>0</v>
      </c>
      <c r="H68" s="491">
        <f t="shared" si="25"/>
        <v>0</v>
      </c>
      <c r="I68" s="511">
        <f t="shared" si="9"/>
        <v>0</v>
      </c>
      <c r="J68" s="511"/>
      <c r="K68" s="525"/>
      <c r="L68" s="514">
        <f t="shared" si="26"/>
        <v>0</v>
      </c>
      <c r="M68" s="525"/>
      <c r="N68" s="514">
        <f t="shared" si="10"/>
        <v>0</v>
      </c>
      <c r="O68" s="514">
        <f t="shared" si="11"/>
        <v>0</v>
      </c>
      <c r="P68" s="272"/>
    </row>
    <row r="69" spans="2:16">
      <c r="B69" s="195" t="str">
        <f t="shared" si="5"/>
        <v/>
      </c>
      <c r="C69" s="507">
        <f>IF(D11="","-",+C68+1)</f>
        <v>2059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23"/>
        <v>0</v>
      </c>
      <c r="G69" s="524">
        <f t="shared" si="24"/>
        <v>0</v>
      </c>
      <c r="H69" s="491">
        <f t="shared" si="25"/>
        <v>0</v>
      </c>
      <c r="I69" s="511">
        <f t="shared" si="9"/>
        <v>0</v>
      </c>
      <c r="J69" s="511"/>
      <c r="K69" s="525"/>
      <c r="L69" s="514">
        <f t="shared" si="26"/>
        <v>0</v>
      </c>
      <c r="M69" s="525"/>
      <c r="N69" s="514">
        <f t="shared" si="10"/>
        <v>0</v>
      </c>
      <c r="O69" s="514">
        <f t="shared" si="11"/>
        <v>0</v>
      </c>
      <c r="P69" s="272"/>
    </row>
    <row r="70" spans="2:16">
      <c r="B70" s="195" t="str">
        <f t="shared" si="5"/>
        <v/>
      </c>
      <c r="C70" s="507">
        <f>IF(D11="","-",+C69+1)</f>
        <v>2060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23"/>
        <v>0</v>
      </c>
      <c r="G70" s="524">
        <f t="shared" si="24"/>
        <v>0</v>
      </c>
      <c r="H70" s="491">
        <f t="shared" si="25"/>
        <v>0</v>
      </c>
      <c r="I70" s="511">
        <f t="shared" si="9"/>
        <v>0</v>
      </c>
      <c r="J70" s="511"/>
      <c r="K70" s="525"/>
      <c r="L70" s="514">
        <f t="shared" si="26"/>
        <v>0</v>
      </c>
      <c r="M70" s="525"/>
      <c r="N70" s="514">
        <f t="shared" si="10"/>
        <v>0</v>
      </c>
      <c r="O70" s="514">
        <f t="shared" si="11"/>
        <v>0</v>
      </c>
      <c r="P70" s="272"/>
    </row>
    <row r="71" spans="2:16">
      <c r="B71" s="195" t="str">
        <f t="shared" si="5"/>
        <v/>
      </c>
      <c r="C71" s="507">
        <f>IF(D11="","-",+C70+1)</f>
        <v>2061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23"/>
        <v>0</v>
      </c>
      <c r="G71" s="524">
        <f t="shared" si="24"/>
        <v>0</v>
      </c>
      <c r="H71" s="491">
        <f t="shared" si="25"/>
        <v>0</v>
      </c>
      <c r="I71" s="511">
        <f t="shared" si="9"/>
        <v>0</v>
      </c>
      <c r="J71" s="511"/>
      <c r="K71" s="525"/>
      <c r="L71" s="514">
        <f t="shared" si="26"/>
        <v>0</v>
      </c>
      <c r="M71" s="525"/>
      <c r="N71" s="514">
        <f t="shared" si="10"/>
        <v>0</v>
      </c>
      <c r="O71" s="514">
        <f t="shared" si="11"/>
        <v>0</v>
      </c>
      <c r="P71" s="272"/>
    </row>
    <row r="72" spans="2:16" ht="13.5" thickBot="1">
      <c r="B72" s="195" t="str">
        <f t="shared" si="5"/>
        <v/>
      </c>
      <c r="C72" s="527">
        <f>IF(D11="","-",+C71+1)</f>
        <v>2062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23"/>
        <v>0</v>
      </c>
      <c r="G72" s="524">
        <f t="shared" si="24"/>
        <v>0</v>
      </c>
      <c r="H72" s="491">
        <f t="shared" si="25"/>
        <v>0</v>
      </c>
      <c r="I72" s="531">
        <f t="shared" si="9"/>
        <v>0</v>
      </c>
      <c r="J72" s="511"/>
      <c r="K72" s="532"/>
      <c r="L72" s="533">
        <f t="shared" si="26"/>
        <v>0</v>
      </c>
      <c r="M72" s="532"/>
      <c r="N72" s="533">
        <f t="shared" si="10"/>
        <v>0</v>
      </c>
      <c r="O72" s="533">
        <f t="shared" si="11"/>
        <v>0</v>
      </c>
      <c r="P72" s="272"/>
    </row>
    <row r="73" spans="2:16">
      <c r="C73" s="374" t="s">
        <v>78</v>
      </c>
      <c r="D73" s="375"/>
      <c r="E73" s="375">
        <f>SUM(E17:E72)</f>
        <v>2658452</v>
      </c>
      <c r="F73" s="375"/>
      <c r="G73" s="375">
        <f>SUM(G17:G72)</f>
        <v>9801027.8075215109</v>
      </c>
      <c r="H73" s="375">
        <f>SUM(H17:H72)</f>
        <v>9801027.8075215109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2:16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2:16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2:16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2:16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272"/>
      <c r="P77" s="272"/>
    </row>
    <row r="78" spans="2:16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2:16"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  <c r="O79" s="269"/>
      <c r="P79" s="269"/>
    </row>
    <row r="80" spans="2:16" ht="18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6">
      <c r="B81" s="269"/>
      <c r="C81" s="340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6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</row>
    <row r="83" spans="1:16" ht="20.25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451" t="str">
        <f ca="1">P1</f>
        <v>SWEPCO Project 45 of 75</v>
      </c>
    </row>
    <row r="84" spans="1:16" ht="18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538" t="s">
        <v>128</v>
      </c>
    </row>
    <row r="85" spans="1:16" ht="18.7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</row>
    <row r="86" spans="1:16" ht="15.75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2022</v>
      </c>
      <c r="M86" s="541" t="s">
        <v>9</v>
      </c>
      <c r="N86" s="542" t="s">
        <v>159</v>
      </c>
      <c r="O86" s="543" t="s">
        <v>11</v>
      </c>
      <c r="P86" s="269"/>
    </row>
    <row r="87" spans="1:16" ht="1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391</v>
      </c>
      <c r="M87" s="546">
        <f>IF(J92&lt;D11,0,VLOOKUP(J92,C17:O72,9))</f>
        <v>253329.39494750532</v>
      </c>
      <c r="N87" s="546">
        <f>IF(J92&lt;D11,0,VLOOKUP(J92,C17:O72,11))</f>
        <v>253329.39494750532</v>
      </c>
      <c r="O87" s="547">
        <f>+N87-M87</f>
        <v>0</v>
      </c>
      <c r="P87" s="269"/>
    </row>
    <row r="88" spans="1:16" ht="15.7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392</v>
      </c>
      <c r="M88" s="550">
        <f>IF(J92&lt;D11,0,VLOOKUP(J92,C99:P154,6))</f>
        <v>321328.84551876556</v>
      </c>
      <c r="N88" s="550">
        <f>IF(J92&lt;D11,0,VLOOKUP(J92,C99:P154,7))</f>
        <v>321328.84551876556</v>
      </c>
      <c r="O88" s="551">
        <f>+N88-M88</f>
        <v>0</v>
      </c>
      <c r="P88" s="269"/>
    </row>
    <row r="89" spans="1:16" ht="13.5" thickBot="1">
      <c r="C89" s="467" t="s">
        <v>84</v>
      </c>
      <c r="D89" s="552" t="str">
        <f>+D7</f>
        <v>CHAMBER SPRINGS - TONTITOWN 161KV CKT 1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67999.45057126024</v>
      </c>
      <c r="N89" s="555">
        <f>+N88-N87</f>
        <v>67999.45057126024</v>
      </c>
      <c r="O89" s="556">
        <f>+O88-O87</f>
        <v>0</v>
      </c>
      <c r="P89" s="269"/>
    </row>
    <row r="90" spans="1:16" ht="13.5" thickBot="1">
      <c r="C90" s="534"/>
      <c r="D90" s="646" t="str">
        <f>+S.044!D90</f>
        <v xml:space="preserve">***Sch. 11 recovery commenced in the 2015 rate year.  Beg Bal = to depreciated balance as of 1/1/15. *** </v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</row>
    <row r="91" spans="1:16" ht="13.5" thickBot="1">
      <c r="A91" s="191"/>
      <c r="C91" s="558" t="s">
        <v>85</v>
      </c>
      <c r="D91" s="559" t="str">
        <f>+D9</f>
        <v>TP2005152</v>
      </c>
      <c r="E91" s="560"/>
      <c r="F91" s="560"/>
      <c r="G91" s="560"/>
      <c r="H91" s="560"/>
      <c r="I91" s="560"/>
      <c r="J91" s="560"/>
      <c r="K91" s="562"/>
      <c r="P91" s="481"/>
    </row>
    <row r="92" spans="1:16">
      <c r="C92" s="486" t="s">
        <v>51</v>
      </c>
      <c r="D92" s="628">
        <v>2658452</v>
      </c>
      <c r="E92" s="340" t="s">
        <v>86</v>
      </c>
      <c r="H92" s="484"/>
      <c r="I92" s="484"/>
      <c r="J92" s="485">
        <f>+'SWE.WS.G.BPU.ATRR.True-up'!M16</f>
        <v>2022</v>
      </c>
      <c r="K92" s="480"/>
      <c r="L92" s="375" t="s">
        <v>87</v>
      </c>
      <c r="P92" s="272"/>
    </row>
    <row r="93" spans="1:16">
      <c r="C93" s="486" t="s">
        <v>54</v>
      </c>
      <c r="D93" s="563">
        <f>D11</f>
        <v>2007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</row>
    <row r="94" spans="1:16">
      <c r="C94" s="486" t="s">
        <v>56</v>
      </c>
      <c r="D94" s="563">
        <f>D12</f>
        <v>3</v>
      </c>
      <c r="E94" s="486" t="s">
        <v>57</v>
      </c>
      <c r="F94" s="484"/>
      <c r="G94" s="484"/>
      <c r="J94" s="490">
        <f>'SWE.WS.G.BPU.ATRR.True-up'!$F$81</f>
        <v>0.11351422637179906</v>
      </c>
      <c r="K94" s="425"/>
      <c r="L94" s="183" t="s">
        <v>88</v>
      </c>
      <c r="P94" s="272"/>
    </row>
    <row r="95" spans="1:16">
      <c r="C95" s="486" t="s">
        <v>59</v>
      </c>
      <c r="D95" s="488">
        <f>'SWE.WS.G.BPU.ATRR.True-up'!F$93</f>
        <v>41</v>
      </c>
      <c r="E95" s="486" t="s">
        <v>60</v>
      </c>
      <c r="F95" s="484"/>
      <c r="G95" s="484"/>
      <c r="J95" s="490">
        <f>IF(H87="",J94,'SWE.WS.G.BPU.ATRR.True-up'!$F$80)</f>
        <v>0.11351422637179906</v>
      </c>
      <c r="K95" s="324"/>
      <c r="L95" s="375" t="s">
        <v>61</v>
      </c>
      <c r="M95" s="324"/>
      <c r="N95" s="324"/>
      <c r="O95" s="324"/>
      <c r="P95" s="272"/>
    </row>
    <row r="96" spans="1:16" ht="13.5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64840.292682926833</v>
      </c>
      <c r="K96" s="375"/>
      <c r="L96" s="375"/>
      <c r="M96" s="375"/>
      <c r="N96" s="375"/>
      <c r="O96" s="375"/>
      <c r="P96" s="272"/>
    </row>
    <row r="97" spans="1:16" ht="38.25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388</v>
      </c>
      <c r="I97" s="495" t="s">
        <v>389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</row>
    <row r="98" spans="1:16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</row>
    <row r="99" spans="1:16">
      <c r="C99" s="507">
        <f>IF(D93= "","-",D93)</f>
        <v>2007</v>
      </c>
      <c r="D99" s="374"/>
      <c r="E99" s="524"/>
      <c r="F99" s="523"/>
      <c r="G99" s="603"/>
      <c r="H99" s="604"/>
      <c r="I99" s="605"/>
      <c r="J99" s="514">
        <f t="shared" ref="J99:J108" si="27">+I99-H99</f>
        <v>0</v>
      </c>
      <c r="K99" s="514"/>
      <c r="L99" s="512"/>
      <c r="M99" s="513">
        <f t="shared" ref="M99:M130" si="28">IF(L99&lt;&gt;0,+H99-L99,0)</f>
        <v>0</v>
      </c>
      <c r="N99" s="512"/>
      <c r="O99" s="513">
        <f t="shared" ref="O99:O130" si="29">IF(N99&lt;&gt;0,+I99-N99,0)</f>
        <v>0</v>
      </c>
      <c r="P99" s="513">
        <f t="shared" ref="P99:P130" si="30">+O99-M99</f>
        <v>0</v>
      </c>
    </row>
    <row r="100" spans="1:16">
      <c r="B100" s="195" t="str">
        <f>IF(D100=F99,"","IU")</f>
        <v/>
      </c>
      <c r="C100" s="507">
        <f>IF(D93="","-",+C99+1)</f>
        <v>2008</v>
      </c>
      <c r="D100" s="374"/>
      <c r="E100" s="522"/>
      <c r="F100" s="523"/>
      <c r="G100" s="523"/>
      <c r="H100" s="526"/>
      <c r="I100" s="577"/>
      <c r="J100" s="514">
        <f t="shared" si="27"/>
        <v>0</v>
      </c>
      <c r="K100" s="514"/>
      <c r="L100" s="518"/>
      <c r="M100" s="514">
        <f t="shared" si="28"/>
        <v>0</v>
      </c>
      <c r="N100" s="518"/>
      <c r="O100" s="514">
        <f t="shared" si="29"/>
        <v>0</v>
      </c>
      <c r="P100" s="514">
        <f t="shared" si="30"/>
        <v>0</v>
      </c>
    </row>
    <row r="101" spans="1:16">
      <c r="B101" s="195" t="str">
        <f t="shared" ref="B101:B154" si="31">IF(D101=F100,"","IU")</f>
        <v/>
      </c>
      <c r="C101" s="507">
        <f>IF(D93="","-",+C100+1)</f>
        <v>2009</v>
      </c>
      <c r="D101" s="374"/>
      <c r="E101" s="522"/>
      <c r="F101" s="523"/>
      <c r="G101" s="523"/>
      <c r="H101" s="526"/>
      <c r="I101" s="577"/>
      <c r="J101" s="514">
        <f t="shared" si="27"/>
        <v>0</v>
      </c>
      <c r="K101" s="514"/>
      <c r="L101" s="518"/>
      <c r="M101" s="514">
        <f t="shared" si="28"/>
        <v>0</v>
      </c>
      <c r="N101" s="518"/>
      <c r="O101" s="514">
        <f t="shared" si="29"/>
        <v>0</v>
      </c>
      <c r="P101" s="514">
        <f t="shared" si="30"/>
        <v>0</v>
      </c>
    </row>
    <row r="102" spans="1:16">
      <c r="B102" s="195" t="str">
        <f t="shared" si="31"/>
        <v/>
      </c>
      <c r="C102" s="507">
        <f>IF(D93="","-",+C101+1)</f>
        <v>2010</v>
      </c>
      <c r="D102" s="374"/>
      <c r="E102" s="522"/>
      <c r="F102" s="523"/>
      <c r="G102" s="523"/>
      <c r="H102" s="526"/>
      <c r="I102" s="577"/>
      <c r="J102" s="514">
        <f t="shared" si="27"/>
        <v>0</v>
      </c>
      <c r="K102" s="514"/>
      <c r="L102" s="518"/>
      <c r="M102" s="514">
        <f t="shared" si="28"/>
        <v>0</v>
      </c>
      <c r="N102" s="518"/>
      <c r="O102" s="514">
        <f t="shared" si="29"/>
        <v>0</v>
      </c>
      <c r="P102" s="514">
        <f t="shared" si="30"/>
        <v>0</v>
      </c>
    </row>
    <row r="103" spans="1:16">
      <c r="B103" s="195" t="str">
        <f t="shared" si="31"/>
        <v/>
      </c>
      <c r="C103" s="507">
        <f>IF(D93="","-",+C102+1)</f>
        <v>2011</v>
      </c>
      <c r="D103" s="374"/>
      <c r="E103" s="522"/>
      <c r="F103" s="523"/>
      <c r="G103" s="523"/>
      <c r="H103" s="526"/>
      <c r="I103" s="577"/>
      <c r="J103" s="514">
        <f t="shared" si="27"/>
        <v>0</v>
      </c>
      <c r="K103" s="514"/>
      <c r="L103" s="518"/>
      <c r="M103" s="514">
        <f t="shared" si="28"/>
        <v>0</v>
      </c>
      <c r="N103" s="518"/>
      <c r="O103" s="514">
        <f t="shared" si="29"/>
        <v>0</v>
      </c>
      <c r="P103" s="514">
        <f t="shared" si="30"/>
        <v>0</v>
      </c>
    </row>
    <row r="104" spans="1:16">
      <c r="B104" s="195" t="str">
        <f t="shared" si="31"/>
        <v/>
      </c>
      <c r="C104" s="507">
        <f>IF(D93="","-",+C103+1)</f>
        <v>2012</v>
      </c>
      <c r="D104" s="374"/>
      <c r="E104" s="522"/>
      <c r="F104" s="523"/>
      <c r="G104" s="523"/>
      <c r="H104" s="526"/>
      <c r="I104" s="577"/>
      <c r="J104" s="514">
        <f t="shared" si="27"/>
        <v>0</v>
      </c>
      <c r="K104" s="514"/>
      <c r="L104" s="518"/>
      <c r="M104" s="514">
        <f t="shared" si="28"/>
        <v>0</v>
      </c>
      <c r="N104" s="518"/>
      <c r="O104" s="514">
        <f t="shared" si="29"/>
        <v>0</v>
      </c>
      <c r="P104" s="514">
        <f t="shared" si="30"/>
        <v>0</v>
      </c>
    </row>
    <row r="105" spans="1:16">
      <c r="B105" s="195" t="str">
        <f t="shared" si="31"/>
        <v/>
      </c>
      <c r="C105" s="507">
        <f>IF(D93="","-",+C104+1)</f>
        <v>2013</v>
      </c>
      <c r="D105" s="374"/>
      <c r="E105" s="522"/>
      <c r="F105" s="523"/>
      <c r="G105" s="523"/>
      <c r="H105" s="526"/>
      <c r="I105" s="577"/>
      <c r="J105" s="514">
        <f t="shared" si="27"/>
        <v>0</v>
      </c>
      <c r="K105" s="514"/>
      <c r="L105" s="518"/>
      <c r="M105" s="514">
        <f t="shared" si="28"/>
        <v>0</v>
      </c>
      <c r="N105" s="518"/>
      <c r="O105" s="514">
        <f t="shared" si="29"/>
        <v>0</v>
      </c>
      <c r="P105" s="514">
        <f t="shared" si="30"/>
        <v>0</v>
      </c>
    </row>
    <row r="106" spans="1:16">
      <c r="B106" s="195" t="str">
        <f t="shared" si="31"/>
        <v/>
      </c>
      <c r="C106" s="507">
        <f>IF(D93="","-",+C105+1)</f>
        <v>2014</v>
      </c>
      <c r="D106" s="374"/>
      <c r="E106" s="522"/>
      <c r="F106" s="523"/>
      <c r="G106" s="523"/>
      <c r="H106" s="526"/>
      <c r="I106" s="577"/>
      <c r="J106" s="514">
        <f t="shared" si="27"/>
        <v>0</v>
      </c>
      <c r="K106" s="514"/>
      <c r="L106" s="518"/>
      <c r="M106" s="514">
        <f t="shared" si="28"/>
        <v>0</v>
      </c>
      <c r="N106" s="518"/>
      <c r="O106" s="514">
        <f t="shared" si="29"/>
        <v>0</v>
      </c>
      <c r="P106" s="514">
        <f t="shared" si="30"/>
        <v>0</v>
      </c>
    </row>
    <row r="107" spans="1:16">
      <c r="B107" s="195" t="str">
        <f t="shared" si="31"/>
        <v>IU</v>
      </c>
      <c r="C107" s="507">
        <f>IF(D93="","-",+C106+1)</f>
        <v>2015</v>
      </c>
      <c r="D107" s="629">
        <v>2167904.3095238092</v>
      </c>
      <c r="E107" s="630">
        <v>51616.769274376413</v>
      </c>
      <c r="F107" s="631">
        <v>2116287.5402494329</v>
      </c>
      <c r="G107" s="631">
        <v>2142095.9248866211</v>
      </c>
      <c r="H107" s="633">
        <v>333878.34559727815</v>
      </c>
      <c r="I107" s="634">
        <v>333878.34559727815</v>
      </c>
      <c r="J107" s="514">
        <f t="shared" si="27"/>
        <v>0</v>
      </c>
      <c r="K107" s="514"/>
      <c r="L107" s="518">
        <f t="shared" ref="L107:L112" si="32">+H107</f>
        <v>333878.34559727815</v>
      </c>
      <c r="M107" s="514">
        <f t="shared" si="28"/>
        <v>0</v>
      </c>
      <c r="N107" s="518">
        <f t="shared" ref="N107:N112" si="33">+I107</f>
        <v>333878.34559727815</v>
      </c>
      <c r="O107" s="514">
        <f t="shared" si="29"/>
        <v>0</v>
      </c>
      <c r="P107" s="514">
        <f t="shared" si="30"/>
        <v>0</v>
      </c>
    </row>
    <row r="108" spans="1:16">
      <c r="B108" s="195" t="str">
        <f t="shared" si="31"/>
        <v>IU</v>
      </c>
      <c r="C108" s="507">
        <f>IF(D93="","-",+C107+1)</f>
        <v>2016</v>
      </c>
      <c r="D108" s="629">
        <v>2606835.2307256237</v>
      </c>
      <c r="E108" s="630">
        <v>61824.465116279069</v>
      </c>
      <c r="F108" s="631">
        <v>2545010.7656093445</v>
      </c>
      <c r="G108" s="631">
        <v>2575922.9981674841</v>
      </c>
      <c r="H108" s="633">
        <v>388837.85956536332</v>
      </c>
      <c r="I108" s="634">
        <v>388837.85956536332</v>
      </c>
      <c r="J108" s="514">
        <f t="shared" si="27"/>
        <v>0</v>
      </c>
      <c r="K108" s="514"/>
      <c r="L108" s="518">
        <f t="shared" si="32"/>
        <v>388837.85956536332</v>
      </c>
      <c r="M108" s="514">
        <f t="shared" ref="M108:M113" si="34">IF(L108&lt;&gt;0,+H108-L108,0)</f>
        <v>0</v>
      </c>
      <c r="N108" s="518">
        <f t="shared" si="33"/>
        <v>388837.85956536332</v>
      </c>
      <c r="O108" s="514">
        <f>IF(N108&lt;&gt;0,+I108-N108,0)</f>
        <v>0</v>
      </c>
      <c r="P108" s="514">
        <f>+O108-M108</f>
        <v>0</v>
      </c>
    </row>
    <row r="109" spans="1:16">
      <c r="B109" s="195" t="str">
        <f t="shared" si="31"/>
        <v/>
      </c>
      <c r="C109" s="507">
        <f>IF(D93="","-",+C108+1)</f>
        <v>2017</v>
      </c>
      <c r="D109" s="629">
        <v>2545010.7656093445</v>
      </c>
      <c r="E109" s="630">
        <v>63296.476190476191</v>
      </c>
      <c r="F109" s="631">
        <v>2481714.2894188683</v>
      </c>
      <c r="G109" s="631">
        <v>2513362.5275141066</v>
      </c>
      <c r="H109" s="633">
        <v>368598.28609591222</v>
      </c>
      <c r="I109" s="634">
        <v>368598.28609591222</v>
      </c>
      <c r="J109" s="514">
        <f t="shared" ref="J109:J154" si="35">+I109-H109</f>
        <v>0</v>
      </c>
      <c r="K109" s="514"/>
      <c r="L109" s="518">
        <f t="shared" si="32"/>
        <v>368598.28609591222</v>
      </c>
      <c r="M109" s="514">
        <f t="shared" si="34"/>
        <v>0</v>
      </c>
      <c r="N109" s="518">
        <f t="shared" si="33"/>
        <v>368598.28609591222</v>
      </c>
      <c r="O109" s="514">
        <f>IF(N109&lt;&gt;0,+I109-N109,0)</f>
        <v>0</v>
      </c>
      <c r="P109" s="514">
        <f>+O109-M109</f>
        <v>0</v>
      </c>
    </row>
    <row r="110" spans="1:16">
      <c r="B110" s="195" t="str">
        <f t="shared" si="31"/>
        <v/>
      </c>
      <c r="C110" s="507">
        <f>IF(D93="","-",+C109+1)</f>
        <v>2018</v>
      </c>
      <c r="D110" s="629">
        <v>2481714.2894188683</v>
      </c>
      <c r="E110" s="630">
        <v>63296.476190476191</v>
      </c>
      <c r="F110" s="631">
        <v>2418417.813228392</v>
      </c>
      <c r="G110" s="631">
        <v>2450066.0513236299</v>
      </c>
      <c r="H110" s="633">
        <v>322034.68677163479</v>
      </c>
      <c r="I110" s="634">
        <v>322034.68677163479</v>
      </c>
      <c r="J110" s="514">
        <f t="shared" si="35"/>
        <v>0</v>
      </c>
      <c r="K110" s="514"/>
      <c r="L110" s="518">
        <f t="shared" si="32"/>
        <v>322034.68677163479</v>
      </c>
      <c r="M110" s="514">
        <f t="shared" si="34"/>
        <v>0</v>
      </c>
      <c r="N110" s="518">
        <f t="shared" si="33"/>
        <v>322034.68677163479</v>
      </c>
      <c r="O110" s="514">
        <f>IF(N110&lt;&gt;0,+I110-N110,0)</f>
        <v>0</v>
      </c>
      <c r="P110" s="514">
        <f t="shared" si="30"/>
        <v>0</v>
      </c>
    </row>
    <row r="111" spans="1:16">
      <c r="B111" s="195" t="str">
        <f t="shared" si="31"/>
        <v/>
      </c>
      <c r="C111" s="507">
        <f>IF(D93="","-",+C110+1)</f>
        <v>2019</v>
      </c>
      <c r="D111" s="629">
        <v>2418417.813228392</v>
      </c>
      <c r="E111" s="630">
        <v>61824.465116279069</v>
      </c>
      <c r="F111" s="631">
        <v>2356593.3481121128</v>
      </c>
      <c r="G111" s="631">
        <v>2387505.5806702524</v>
      </c>
      <c r="H111" s="633">
        <v>317384.36734344519</v>
      </c>
      <c r="I111" s="634">
        <v>317384.36734344519</v>
      </c>
      <c r="J111" s="514">
        <f t="shared" si="35"/>
        <v>0</v>
      </c>
      <c r="K111" s="514"/>
      <c r="L111" s="518">
        <f t="shared" si="32"/>
        <v>317384.36734344519</v>
      </c>
      <c r="M111" s="514">
        <f t="shared" si="34"/>
        <v>0</v>
      </c>
      <c r="N111" s="518">
        <f t="shared" si="33"/>
        <v>317384.36734344519</v>
      </c>
      <c r="O111" s="514">
        <f t="shared" si="29"/>
        <v>0</v>
      </c>
      <c r="P111" s="514">
        <f t="shared" si="30"/>
        <v>0</v>
      </c>
    </row>
    <row r="112" spans="1:16">
      <c r="B112" s="195" t="str">
        <f t="shared" si="31"/>
        <v/>
      </c>
      <c r="C112" s="507">
        <f>IF(D93="","-",+C111+1)</f>
        <v>2020</v>
      </c>
      <c r="D112" s="629">
        <v>2356593.3481121128</v>
      </c>
      <c r="E112" s="630">
        <v>63296.476190476191</v>
      </c>
      <c r="F112" s="631">
        <v>2293296.8719216366</v>
      </c>
      <c r="G112" s="631">
        <v>2324945.110016875</v>
      </c>
      <c r="H112" s="633">
        <v>313399.73202884034</v>
      </c>
      <c r="I112" s="634">
        <v>313399.73202884034</v>
      </c>
      <c r="J112" s="514">
        <f t="shared" si="35"/>
        <v>0</v>
      </c>
      <c r="K112" s="514"/>
      <c r="L112" s="518">
        <f t="shared" si="32"/>
        <v>313399.73202884034</v>
      </c>
      <c r="M112" s="514">
        <f t="shared" si="34"/>
        <v>0</v>
      </c>
      <c r="N112" s="518">
        <f t="shared" si="33"/>
        <v>313399.73202884034</v>
      </c>
      <c r="O112" s="514">
        <f t="shared" si="29"/>
        <v>0</v>
      </c>
      <c r="P112" s="514">
        <f t="shared" si="30"/>
        <v>0</v>
      </c>
    </row>
    <row r="113" spans="2:16">
      <c r="B113" s="195" t="str">
        <f t="shared" si="31"/>
        <v/>
      </c>
      <c r="C113" s="507">
        <f>IF(D93="","-",+C112+1)</f>
        <v>2021</v>
      </c>
      <c r="D113" s="629">
        <v>2293296.8719216366</v>
      </c>
      <c r="E113" s="630">
        <v>64840.292682926833</v>
      </c>
      <c r="F113" s="631">
        <v>2228456.57923871</v>
      </c>
      <c r="G113" s="631">
        <v>2260876.7255801735</v>
      </c>
      <c r="H113" s="633">
        <v>321481.96510916646</v>
      </c>
      <c r="I113" s="634">
        <v>321481.96510916646</v>
      </c>
      <c r="J113" s="514">
        <f t="shared" si="35"/>
        <v>0</v>
      </c>
      <c r="K113" s="514"/>
      <c r="L113" s="518">
        <f t="shared" ref="L113" si="36">+H113</f>
        <v>321481.96510916646</v>
      </c>
      <c r="M113" s="514">
        <f t="shared" si="34"/>
        <v>0</v>
      </c>
      <c r="N113" s="518">
        <f t="shared" ref="N113" si="37">+I113</f>
        <v>321481.96510916646</v>
      </c>
      <c r="O113" s="514">
        <f t="shared" ref="O113" si="38">IF(N113&lt;&gt;0,+I113-N113,0)</f>
        <v>0</v>
      </c>
      <c r="P113" s="514">
        <f t="shared" ref="P113" si="39">+O113-M113</f>
        <v>0</v>
      </c>
    </row>
    <row r="114" spans="2:16">
      <c r="B114" s="195" t="str">
        <f t="shared" si="31"/>
        <v/>
      </c>
      <c r="C114" s="673">
        <f>IF(D93="","-",+C113+1)</f>
        <v>2022</v>
      </c>
      <c r="D114" s="374">
        <v>2228456.57923871</v>
      </c>
      <c r="E114" s="522">
        <v>63296.476190476191</v>
      </c>
      <c r="F114" s="523">
        <v>2165160.1030482338</v>
      </c>
      <c r="G114" s="523">
        <v>2196808.3411434721</v>
      </c>
      <c r="H114" s="526">
        <v>321328.84551876556</v>
      </c>
      <c r="I114" s="577">
        <v>321328.84551876556</v>
      </c>
      <c r="J114" s="514">
        <f t="shared" si="35"/>
        <v>0</v>
      </c>
      <c r="K114" s="514"/>
      <c r="L114" s="525"/>
      <c r="M114" s="514">
        <f t="shared" si="28"/>
        <v>0</v>
      </c>
      <c r="N114" s="525"/>
      <c r="O114" s="514">
        <f t="shared" si="29"/>
        <v>0</v>
      </c>
      <c r="P114" s="514">
        <f t="shared" si="30"/>
        <v>0</v>
      </c>
    </row>
    <row r="115" spans="2:16">
      <c r="B115" s="195" t="str">
        <f t="shared" si="31"/>
        <v/>
      </c>
      <c r="C115" s="507">
        <f>IF(D93="","-",+C114+1)</f>
        <v>2023</v>
      </c>
      <c r="D115" s="374">
        <f>IF(F114+SUM(E$99:E114)=D$92,F114,D$92-SUM(E$99:E114))</f>
        <v>2165160.1030482338</v>
      </c>
      <c r="E115" s="522">
        <f t="shared" ref="E115:E154" si="40">IF(+$J$96&lt;F114,$J$96,D115)</f>
        <v>64840.292682926833</v>
      </c>
      <c r="F115" s="523">
        <f t="shared" ref="F115:F154" si="41">+D115-E115</f>
        <v>2100319.8103653071</v>
      </c>
      <c r="G115" s="523">
        <f t="shared" ref="G115:G154" si="42">+(F115+D115)/2</f>
        <v>2132739.9567067707</v>
      </c>
      <c r="H115" s="526">
        <f t="shared" ref="H115:H154" si="43">+J$94*G115+E115</f>
        <v>306936.61892072012</v>
      </c>
      <c r="I115" s="577">
        <f t="shared" ref="I115:I154" si="44">+J$95*G115+E115</f>
        <v>306936.61892072012</v>
      </c>
      <c r="J115" s="514">
        <f t="shared" si="35"/>
        <v>0</v>
      </c>
      <c r="K115" s="514"/>
      <c r="L115" s="525"/>
      <c r="M115" s="514">
        <f t="shared" si="28"/>
        <v>0</v>
      </c>
      <c r="N115" s="525"/>
      <c r="O115" s="514">
        <f t="shared" si="29"/>
        <v>0</v>
      </c>
      <c r="P115" s="514">
        <f t="shared" si="30"/>
        <v>0</v>
      </c>
    </row>
    <row r="116" spans="2:16">
      <c r="B116" s="195" t="str">
        <f t="shared" si="31"/>
        <v/>
      </c>
      <c r="C116" s="507">
        <f>IF(D93="","-",+C115+1)</f>
        <v>2024</v>
      </c>
      <c r="D116" s="374">
        <f>IF(F115+SUM(E$99:E115)=D$92,F115,D$92-SUM(E$99:E115))</f>
        <v>2100319.8103653071</v>
      </c>
      <c r="E116" s="522">
        <f t="shared" si="40"/>
        <v>64840.292682926833</v>
      </c>
      <c r="F116" s="523">
        <f t="shared" si="41"/>
        <v>2035479.5176823803</v>
      </c>
      <c r="G116" s="523">
        <f t="shared" si="42"/>
        <v>2067899.6640238436</v>
      </c>
      <c r="H116" s="526">
        <f t="shared" si="43"/>
        <v>299576.32325909665</v>
      </c>
      <c r="I116" s="577">
        <f t="shared" si="44"/>
        <v>299576.32325909665</v>
      </c>
      <c r="J116" s="514">
        <f t="shared" si="35"/>
        <v>0</v>
      </c>
      <c r="K116" s="514"/>
      <c r="L116" s="525"/>
      <c r="M116" s="514">
        <f t="shared" si="28"/>
        <v>0</v>
      </c>
      <c r="N116" s="525"/>
      <c r="O116" s="514">
        <f t="shared" si="29"/>
        <v>0</v>
      </c>
      <c r="P116" s="514">
        <f t="shared" si="30"/>
        <v>0</v>
      </c>
    </row>
    <row r="117" spans="2:16">
      <c r="B117" s="195" t="str">
        <f t="shared" si="31"/>
        <v/>
      </c>
      <c r="C117" s="507">
        <f>IF(D93="","-",+C116+1)</f>
        <v>2025</v>
      </c>
      <c r="D117" s="374">
        <f>IF(F116+SUM(E$99:E116)=D$92,F116,D$92-SUM(E$99:E116))</f>
        <v>2035479.5176823803</v>
      </c>
      <c r="E117" s="522">
        <f t="shared" si="40"/>
        <v>64840.292682926833</v>
      </c>
      <c r="F117" s="523">
        <f t="shared" si="41"/>
        <v>1970639.2249994534</v>
      </c>
      <c r="G117" s="523">
        <f t="shared" si="42"/>
        <v>2003059.371340917</v>
      </c>
      <c r="H117" s="526">
        <f t="shared" si="43"/>
        <v>292216.02759747318</v>
      </c>
      <c r="I117" s="577">
        <f t="shared" si="44"/>
        <v>292216.02759747318</v>
      </c>
      <c r="J117" s="514">
        <f t="shared" si="35"/>
        <v>0</v>
      </c>
      <c r="K117" s="514"/>
      <c r="L117" s="525"/>
      <c r="M117" s="514">
        <f t="shared" si="28"/>
        <v>0</v>
      </c>
      <c r="N117" s="525"/>
      <c r="O117" s="514">
        <f t="shared" si="29"/>
        <v>0</v>
      </c>
      <c r="P117" s="514">
        <f t="shared" si="30"/>
        <v>0</v>
      </c>
    </row>
    <row r="118" spans="2:16">
      <c r="B118" s="195" t="str">
        <f t="shared" si="31"/>
        <v/>
      </c>
      <c r="C118" s="507">
        <f>IF(D93="","-",+C117+1)</f>
        <v>2026</v>
      </c>
      <c r="D118" s="374">
        <f>IF(F117+SUM(E$99:E117)=D$92,F117,D$92-SUM(E$99:E117))</f>
        <v>1970639.2249994534</v>
      </c>
      <c r="E118" s="522">
        <f t="shared" si="40"/>
        <v>64840.292682926833</v>
      </c>
      <c r="F118" s="523">
        <f t="shared" si="41"/>
        <v>1905798.9323165265</v>
      </c>
      <c r="G118" s="523">
        <f t="shared" si="42"/>
        <v>1938219.0786579899</v>
      </c>
      <c r="H118" s="526">
        <f t="shared" si="43"/>
        <v>284855.7319358497</v>
      </c>
      <c r="I118" s="577">
        <f t="shared" si="44"/>
        <v>284855.7319358497</v>
      </c>
      <c r="J118" s="514">
        <f t="shared" si="35"/>
        <v>0</v>
      </c>
      <c r="K118" s="514"/>
      <c r="L118" s="525"/>
      <c r="M118" s="514">
        <f t="shared" si="28"/>
        <v>0</v>
      </c>
      <c r="N118" s="525"/>
      <c r="O118" s="514">
        <f t="shared" si="29"/>
        <v>0</v>
      </c>
      <c r="P118" s="514">
        <f t="shared" si="30"/>
        <v>0</v>
      </c>
    </row>
    <row r="119" spans="2:16">
      <c r="B119" s="195" t="str">
        <f t="shared" si="31"/>
        <v/>
      </c>
      <c r="C119" s="507">
        <f>IF(D93="","-",+C118+1)</f>
        <v>2027</v>
      </c>
      <c r="D119" s="374">
        <f>IF(F118+SUM(E$99:E118)=D$92,F118,D$92-SUM(E$99:E118))</f>
        <v>1905798.9323165265</v>
      </c>
      <c r="E119" s="522">
        <f t="shared" si="40"/>
        <v>64840.292682926833</v>
      </c>
      <c r="F119" s="523">
        <f t="shared" si="41"/>
        <v>1840958.6396335997</v>
      </c>
      <c r="G119" s="523">
        <f t="shared" si="42"/>
        <v>1873378.7859750632</v>
      </c>
      <c r="H119" s="526">
        <f t="shared" si="43"/>
        <v>277495.43627422623</v>
      </c>
      <c r="I119" s="577">
        <f t="shared" si="44"/>
        <v>277495.43627422623</v>
      </c>
      <c r="J119" s="514">
        <f t="shared" si="35"/>
        <v>0</v>
      </c>
      <c r="K119" s="514"/>
      <c r="L119" s="525"/>
      <c r="M119" s="514">
        <f t="shared" si="28"/>
        <v>0</v>
      </c>
      <c r="N119" s="525"/>
      <c r="O119" s="514">
        <f t="shared" si="29"/>
        <v>0</v>
      </c>
      <c r="P119" s="514">
        <f t="shared" si="30"/>
        <v>0</v>
      </c>
    </row>
    <row r="120" spans="2:16">
      <c r="B120" s="195" t="str">
        <f t="shared" si="31"/>
        <v/>
      </c>
      <c r="C120" s="507">
        <f>IF(D93="","-",+C119+1)</f>
        <v>2028</v>
      </c>
      <c r="D120" s="374">
        <f>IF(F119+SUM(E$99:E119)=D$92,F119,D$92-SUM(E$99:E119))</f>
        <v>1840958.6396335997</v>
      </c>
      <c r="E120" s="522">
        <f t="shared" si="40"/>
        <v>64840.292682926833</v>
      </c>
      <c r="F120" s="523">
        <f t="shared" si="41"/>
        <v>1776118.3469506728</v>
      </c>
      <c r="G120" s="523">
        <f t="shared" si="42"/>
        <v>1808538.4932921361</v>
      </c>
      <c r="H120" s="526">
        <f t="shared" si="43"/>
        <v>270135.14061260276</v>
      </c>
      <c r="I120" s="577">
        <f t="shared" si="44"/>
        <v>270135.14061260276</v>
      </c>
      <c r="J120" s="514">
        <f t="shared" si="35"/>
        <v>0</v>
      </c>
      <c r="K120" s="514"/>
      <c r="L120" s="525"/>
      <c r="M120" s="514">
        <f t="shared" si="28"/>
        <v>0</v>
      </c>
      <c r="N120" s="525"/>
      <c r="O120" s="514">
        <f t="shared" si="29"/>
        <v>0</v>
      </c>
      <c r="P120" s="514">
        <f t="shared" si="30"/>
        <v>0</v>
      </c>
    </row>
    <row r="121" spans="2:16">
      <c r="B121" s="195" t="str">
        <f t="shared" si="31"/>
        <v/>
      </c>
      <c r="C121" s="507">
        <f>IF(D93="","-",+C120+1)</f>
        <v>2029</v>
      </c>
      <c r="D121" s="374">
        <f>IF(F120+SUM(E$99:E120)=D$92,F120,D$92-SUM(E$99:E120))</f>
        <v>1776118.3469506728</v>
      </c>
      <c r="E121" s="522">
        <f t="shared" si="40"/>
        <v>64840.292682926833</v>
      </c>
      <c r="F121" s="523">
        <f t="shared" si="41"/>
        <v>1711278.0542677459</v>
      </c>
      <c r="G121" s="523">
        <f t="shared" si="42"/>
        <v>1743698.2006092095</v>
      </c>
      <c r="H121" s="526">
        <f t="shared" si="43"/>
        <v>262774.84495097934</v>
      </c>
      <c r="I121" s="577">
        <f t="shared" si="44"/>
        <v>262774.84495097934</v>
      </c>
      <c r="J121" s="514">
        <f t="shared" si="35"/>
        <v>0</v>
      </c>
      <c r="K121" s="514"/>
      <c r="L121" s="525"/>
      <c r="M121" s="514">
        <f t="shared" si="28"/>
        <v>0</v>
      </c>
      <c r="N121" s="525"/>
      <c r="O121" s="514">
        <f t="shared" si="29"/>
        <v>0</v>
      </c>
      <c r="P121" s="514">
        <f t="shared" si="30"/>
        <v>0</v>
      </c>
    </row>
    <row r="122" spans="2:16">
      <c r="B122" s="195" t="str">
        <f t="shared" si="31"/>
        <v/>
      </c>
      <c r="C122" s="507">
        <f>IF(D93="","-",+C121+1)</f>
        <v>2030</v>
      </c>
      <c r="D122" s="374">
        <f>IF(F121+SUM(E$99:E121)=D$92,F121,D$92-SUM(E$99:E121))</f>
        <v>1711278.0542677459</v>
      </c>
      <c r="E122" s="522">
        <f t="shared" si="40"/>
        <v>64840.292682926833</v>
      </c>
      <c r="F122" s="523">
        <f t="shared" si="41"/>
        <v>1646437.7615848191</v>
      </c>
      <c r="G122" s="523">
        <f t="shared" si="42"/>
        <v>1678857.9079262824</v>
      </c>
      <c r="H122" s="526">
        <f t="shared" si="43"/>
        <v>255414.54928935584</v>
      </c>
      <c r="I122" s="577">
        <f t="shared" si="44"/>
        <v>255414.54928935584</v>
      </c>
      <c r="J122" s="514">
        <f t="shared" si="35"/>
        <v>0</v>
      </c>
      <c r="K122" s="514"/>
      <c r="L122" s="525"/>
      <c r="M122" s="514">
        <f t="shared" si="28"/>
        <v>0</v>
      </c>
      <c r="N122" s="525"/>
      <c r="O122" s="514">
        <f t="shared" si="29"/>
        <v>0</v>
      </c>
      <c r="P122" s="514">
        <f t="shared" si="30"/>
        <v>0</v>
      </c>
    </row>
    <row r="123" spans="2:16">
      <c r="B123" s="195" t="str">
        <f t="shared" si="31"/>
        <v/>
      </c>
      <c r="C123" s="507">
        <f>IF(D93="","-",+C122+1)</f>
        <v>2031</v>
      </c>
      <c r="D123" s="374">
        <f>IF(F122+SUM(E$99:E122)=D$92,F122,D$92-SUM(E$99:E122))</f>
        <v>1646437.7615848191</v>
      </c>
      <c r="E123" s="522">
        <f t="shared" si="40"/>
        <v>64840.292682926833</v>
      </c>
      <c r="F123" s="523">
        <f t="shared" si="41"/>
        <v>1581597.4689018922</v>
      </c>
      <c r="G123" s="523">
        <f t="shared" si="42"/>
        <v>1614017.6152433557</v>
      </c>
      <c r="H123" s="526">
        <f t="shared" si="43"/>
        <v>248054.2536277324</v>
      </c>
      <c r="I123" s="577">
        <f t="shared" si="44"/>
        <v>248054.2536277324</v>
      </c>
      <c r="J123" s="514">
        <f t="shared" si="35"/>
        <v>0</v>
      </c>
      <c r="K123" s="514"/>
      <c r="L123" s="525"/>
      <c r="M123" s="514">
        <f t="shared" si="28"/>
        <v>0</v>
      </c>
      <c r="N123" s="525"/>
      <c r="O123" s="514">
        <f t="shared" si="29"/>
        <v>0</v>
      </c>
      <c r="P123" s="514">
        <f t="shared" si="30"/>
        <v>0</v>
      </c>
    </row>
    <row r="124" spans="2:16">
      <c r="B124" s="195" t="str">
        <f t="shared" si="31"/>
        <v/>
      </c>
      <c r="C124" s="507">
        <f>IF(D93="","-",+C123+1)</f>
        <v>2032</v>
      </c>
      <c r="D124" s="374">
        <f>IF(F123+SUM(E$99:E123)=D$92,F123,D$92-SUM(E$99:E123))</f>
        <v>1581597.4689018922</v>
      </c>
      <c r="E124" s="522">
        <f t="shared" si="40"/>
        <v>64840.292682926833</v>
      </c>
      <c r="F124" s="523">
        <f t="shared" si="41"/>
        <v>1516757.1762189653</v>
      </c>
      <c r="G124" s="523">
        <f t="shared" si="42"/>
        <v>1549177.3225604286</v>
      </c>
      <c r="H124" s="526">
        <f t="shared" si="43"/>
        <v>240693.95796610889</v>
      </c>
      <c r="I124" s="577">
        <f t="shared" si="44"/>
        <v>240693.95796610889</v>
      </c>
      <c r="J124" s="514">
        <f t="shared" si="35"/>
        <v>0</v>
      </c>
      <c r="K124" s="514"/>
      <c r="L124" s="525"/>
      <c r="M124" s="514">
        <f t="shared" si="28"/>
        <v>0</v>
      </c>
      <c r="N124" s="525"/>
      <c r="O124" s="514">
        <f t="shared" si="29"/>
        <v>0</v>
      </c>
      <c r="P124" s="514">
        <f t="shared" si="30"/>
        <v>0</v>
      </c>
    </row>
    <row r="125" spans="2:16">
      <c r="B125" s="195" t="str">
        <f t="shared" si="31"/>
        <v/>
      </c>
      <c r="C125" s="507">
        <f>IF(D93="","-",+C124+1)</f>
        <v>2033</v>
      </c>
      <c r="D125" s="374">
        <f>IF(F124+SUM(E$99:E124)=D$92,F124,D$92-SUM(E$99:E124))</f>
        <v>1516757.1762189653</v>
      </c>
      <c r="E125" s="522">
        <f t="shared" si="40"/>
        <v>64840.292682926833</v>
      </c>
      <c r="F125" s="523">
        <f t="shared" si="41"/>
        <v>1451916.8835360385</v>
      </c>
      <c r="G125" s="523">
        <f t="shared" si="42"/>
        <v>1484337.029877502</v>
      </c>
      <c r="H125" s="526">
        <f t="shared" si="43"/>
        <v>233333.66230448548</v>
      </c>
      <c r="I125" s="577">
        <f t="shared" si="44"/>
        <v>233333.66230448548</v>
      </c>
      <c r="J125" s="514">
        <f t="shared" si="35"/>
        <v>0</v>
      </c>
      <c r="K125" s="514"/>
      <c r="L125" s="525"/>
      <c r="M125" s="514">
        <f t="shared" si="28"/>
        <v>0</v>
      </c>
      <c r="N125" s="525"/>
      <c r="O125" s="514">
        <f t="shared" si="29"/>
        <v>0</v>
      </c>
      <c r="P125" s="514">
        <f t="shared" si="30"/>
        <v>0</v>
      </c>
    </row>
    <row r="126" spans="2:16">
      <c r="B126" s="195" t="str">
        <f t="shared" si="31"/>
        <v/>
      </c>
      <c r="C126" s="507">
        <f>IF(D93="","-",+C125+1)</f>
        <v>2034</v>
      </c>
      <c r="D126" s="374">
        <f>IF(F125+SUM(E$99:E125)=D$92,F125,D$92-SUM(E$99:E125))</f>
        <v>1451916.8835360385</v>
      </c>
      <c r="E126" s="522">
        <f t="shared" si="40"/>
        <v>64840.292682926833</v>
      </c>
      <c r="F126" s="523">
        <f t="shared" si="41"/>
        <v>1387076.5908531116</v>
      </c>
      <c r="G126" s="523">
        <f t="shared" si="42"/>
        <v>1419496.7371945749</v>
      </c>
      <c r="H126" s="526">
        <f t="shared" si="43"/>
        <v>225973.36664286198</v>
      </c>
      <c r="I126" s="577">
        <f t="shared" si="44"/>
        <v>225973.36664286198</v>
      </c>
      <c r="J126" s="514">
        <f t="shared" si="35"/>
        <v>0</v>
      </c>
      <c r="K126" s="514"/>
      <c r="L126" s="525"/>
      <c r="M126" s="514">
        <f t="shared" si="28"/>
        <v>0</v>
      </c>
      <c r="N126" s="525"/>
      <c r="O126" s="514">
        <f t="shared" si="29"/>
        <v>0</v>
      </c>
      <c r="P126" s="514">
        <f t="shared" si="30"/>
        <v>0</v>
      </c>
    </row>
    <row r="127" spans="2:16">
      <c r="B127" s="195" t="str">
        <f t="shared" si="31"/>
        <v/>
      </c>
      <c r="C127" s="507">
        <f>IF(D93="","-",+C126+1)</f>
        <v>2035</v>
      </c>
      <c r="D127" s="374">
        <f>IF(F126+SUM(E$99:E126)=D$92,F126,D$92-SUM(E$99:E126))</f>
        <v>1387076.5908531116</v>
      </c>
      <c r="E127" s="522">
        <f t="shared" si="40"/>
        <v>64840.292682926833</v>
      </c>
      <c r="F127" s="523">
        <f t="shared" si="41"/>
        <v>1322236.2981701847</v>
      </c>
      <c r="G127" s="523">
        <f t="shared" si="42"/>
        <v>1354656.4445116483</v>
      </c>
      <c r="H127" s="526">
        <f t="shared" si="43"/>
        <v>218613.07098123853</v>
      </c>
      <c r="I127" s="577">
        <f t="shared" si="44"/>
        <v>218613.07098123853</v>
      </c>
      <c r="J127" s="514">
        <f t="shared" si="35"/>
        <v>0</v>
      </c>
      <c r="K127" s="514"/>
      <c r="L127" s="525"/>
      <c r="M127" s="514">
        <f t="shared" si="28"/>
        <v>0</v>
      </c>
      <c r="N127" s="525"/>
      <c r="O127" s="514">
        <f t="shared" si="29"/>
        <v>0</v>
      </c>
      <c r="P127" s="514">
        <f t="shared" si="30"/>
        <v>0</v>
      </c>
    </row>
    <row r="128" spans="2:16">
      <c r="B128" s="195" t="str">
        <f t="shared" si="31"/>
        <v/>
      </c>
      <c r="C128" s="507">
        <f>IF(D93="","-",+C127+1)</f>
        <v>2036</v>
      </c>
      <c r="D128" s="374">
        <f>IF(F127+SUM(E$99:E127)=D$92,F127,D$92-SUM(E$99:E127))</f>
        <v>1322236.2981701847</v>
      </c>
      <c r="E128" s="522">
        <f t="shared" si="40"/>
        <v>64840.292682926833</v>
      </c>
      <c r="F128" s="523">
        <f t="shared" si="41"/>
        <v>1257396.0054872578</v>
      </c>
      <c r="G128" s="523">
        <f t="shared" si="42"/>
        <v>1289816.1518287212</v>
      </c>
      <c r="H128" s="526">
        <f t="shared" si="43"/>
        <v>211252.77531961503</v>
      </c>
      <c r="I128" s="577">
        <f t="shared" si="44"/>
        <v>211252.77531961503</v>
      </c>
      <c r="J128" s="514">
        <f t="shared" si="35"/>
        <v>0</v>
      </c>
      <c r="K128" s="514"/>
      <c r="L128" s="525"/>
      <c r="M128" s="514">
        <f t="shared" si="28"/>
        <v>0</v>
      </c>
      <c r="N128" s="525"/>
      <c r="O128" s="514">
        <f t="shared" si="29"/>
        <v>0</v>
      </c>
      <c r="P128" s="514">
        <f t="shared" si="30"/>
        <v>0</v>
      </c>
    </row>
    <row r="129" spans="2:16">
      <c r="B129" s="195" t="str">
        <f t="shared" si="31"/>
        <v/>
      </c>
      <c r="C129" s="507">
        <f>IF(D93="","-",+C128+1)</f>
        <v>2037</v>
      </c>
      <c r="D129" s="374">
        <f>IF(F128+SUM(E$99:E128)=D$92,F128,D$92-SUM(E$99:E128))</f>
        <v>1257396.0054872578</v>
      </c>
      <c r="E129" s="522">
        <f t="shared" si="40"/>
        <v>64840.292682926833</v>
      </c>
      <c r="F129" s="523">
        <f t="shared" si="41"/>
        <v>1192555.712804331</v>
      </c>
      <c r="G129" s="523">
        <f t="shared" si="42"/>
        <v>1224975.8591457945</v>
      </c>
      <c r="H129" s="526">
        <f t="shared" si="43"/>
        <v>203892.47965799159</v>
      </c>
      <c r="I129" s="577">
        <f t="shared" si="44"/>
        <v>203892.47965799159</v>
      </c>
      <c r="J129" s="514">
        <f t="shared" si="35"/>
        <v>0</v>
      </c>
      <c r="K129" s="514"/>
      <c r="L129" s="525"/>
      <c r="M129" s="514">
        <f t="shared" si="28"/>
        <v>0</v>
      </c>
      <c r="N129" s="525"/>
      <c r="O129" s="514">
        <f t="shared" si="29"/>
        <v>0</v>
      </c>
      <c r="P129" s="514">
        <f t="shared" si="30"/>
        <v>0</v>
      </c>
    </row>
    <row r="130" spans="2:16">
      <c r="B130" s="195" t="str">
        <f t="shared" si="31"/>
        <v/>
      </c>
      <c r="C130" s="507">
        <f>IF(D93="","-",+C129+1)</f>
        <v>2038</v>
      </c>
      <c r="D130" s="374">
        <f>IF(F129+SUM(E$99:E129)=D$92,F129,D$92-SUM(E$99:E129))</f>
        <v>1192555.712804331</v>
      </c>
      <c r="E130" s="522">
        <f t="shared" si="40"/>
        <v>64840.292682926833</v>
      </c>
      <c r="F130" s="523">
        <f t="shared" si="41"/>
        <v>1127715.4201214041</v>
      </c>
      <c r="G130" s="523">
        <f t="shared" si="42"/>
        <v>1160135.5664628674</v>
      </c>
      <c r="H130" s="526">
        <f t="shared" si="43"/>
        <v>196532.18399636811</v>
      </c>
      <c r="I130" s="577">
        <f t="shared" si="44"/>
        <v>196532.18399636811</v>
      </c>
      <c r="J130" s="514">
        <f t="shared" si="35"/>
        <v>0</v>
      </c>
      <c r="K130" s="514"/>
      <c r="L130" s="525"/>
      <c r="M130" s="514">
        <f t="shared" si="28"/>
        <v>0</v>
      </c>
      <c r="N130" s="525"/>
      <c r="O130" s="514">
        <f t="shared" si="29"/>
        <v>0</v>
      </c>
      <c r="P130" s="514">
        <f t="shared" si="30"/>
        <v>0</v>
      </c>
    </row>
    <row r="131" spans="2:16">
      <c r="B131" s="195" t="str">
        <f t="shared" si="31"/>
        <v/>
      </c>
      <c r="C131" s="507">
        <f>IF(D93="","-",+C130+1)</f>
        <v>2039</v>
      </c>
      <c r="D131" s="374">
        <f>IF(F130+SUM(E$99:E130)=D$92,F130,D$92-SUM(E$99:E130))</f>
        <v>1127715.4201214041</v>
      </c>
      <c r="E131" s="522">
        <f t="shared" si="40"/>
        <v>64840.292682926833</v>
      </c>
      <c r="F131" s="523">
        <f t="shared" si="41"/>
        <v>1062875.1274384772</v>
      </c>
      <c r="G131" s="523">
        <f t="shared" si="42"/>
        <v>1095295.2737799408</v>
      </c>
      <c r="H131" s="526">
        <f t="shared" si="43"/>
        <v>189171.88833474467</v>
      </c>
      <c r="I131" s="577">
        <f t="shared" si="44"/>
        <v>189171.88833474467</v>
      </c>
      <c r="J131" s="514">
        <f t="shared" si="35"/>
        <v>0</v>
      </c>
      <c r="K131" s="514"/>
      <c r="L131" s="525"/>
      <c r="M131" s="514">
        <f t="shared" ref="M131:M154" si="45">IF(L541&lt;&gt;0,+H541-L541,0)</f>
        <v>0</v>
      </c>
      <c r="N131" s="525"/>
      <c r="O131" s="514">
        <f t="shared" ref="O131:O154" si="46">IF(N541&lt;&gt;0,+I541-N541,0)</f>
        <v>0</v>
      </c>
      <c r="P131" s="514">
        <f t="shared" ref="P131:P154" si="47">+O541-M541</f>
        <v>0</v>
      </c>
    </row>
    <row r="132" spans="2:16">
      <c r="B132" s="195" t="str">
        <f t="shared" si="31"/>
        <v/>
      </c>
      <c r="C132" s="507">
        <f>IF(D93="","-",+C131+1)</f>
        <v>2040</v>
      </c>
      <c r="D132" s="374">
        <f>IF(F131+SUM(E$99:E131)=D$92,F131,D$92-SUM(E$99:E131))</f>
        <v>1062875.1274384772</v>
      </c>
      <c r="E132" s="522">
        <f t="shared" si="40"/>
        <v>64840.292682926833</v>
      </c>
      <c r="F132" s="523">
        <f t="shared" si="41"/>
        <v>998034.83475555037</v>
      </c>
      <c r="G132" s="523">
        <f t="shared" si="42"/>
        <v>1030454.9810970138</v>
      </c>
      <c r="H132" s="526">
        <f t="shared" si="43"/>
        <v>181811.59267312117</v>
      </c>
      <c r="I132" s="577">
        <f t="shared" si="44"/>
        <v>181811.59267312117</v>
      </c>
      <c r="J132" s="514">
        <f t="shared" si="35"/>
        <v>0</v>
      </c>
      <c r="K132" s="514"/>
      <c r="L132" s="525"/>
      <c r="M132" s="514">
        <f t="shared" si="45"/>
        <v>0</v>
      </c>
      <c r="N132" s="525"/>
      <c r="O132" s="514">
        <f t="shared" si="46"/>
        <v>0</v>
      </c>
      <c r="P132" s="514">
        <f t="shared" si="47"/>
        <v>0</v>
      </c>
    </row>
    <row r="133" spans="2:16">
      <c r="B133" s="195" t="str">
        <f t="shared" si="31"/>
        <v/>
      </c>
      <c r="C133" s="507">
        <f>IF(D93="","-",+C132+1)</f>
        <v>2041</v>
      </c>
      <c r="D133" s="374">
        <f>IF(F132+SUM(E$99:E132)=D$92,F132,D$92-SUM(E$99:E132))</f>
        <v>998034.83475555037</v>
      </c>
      <c r="E133" s="522">
        <f t="shared" si="40"/>
        <v>64840.292682926833</v>
      </c>
      <c r="F133" s="523">
        <f t="shared" si="41"/>
        <v>933194.5420726235</v>
      </c>
      <c r="G133" s="523">
        <f t="shared" si="42"/>
        <v>965614.68841408694</v>
      </c>
      <c r="H133" s="526">
        <f t="shared" si="43"/>
        <v>174451.29701149772</v>
      </c>
      <c r="I133" s="577">
        <f t="shared" si="44"/>
        <v>174451.29701149772</v>
      </c>
      <c r="J133" s="514">
        <f t="shared" si="35"/>
        <v>0</v>
      </c>
      <c r="K133" s="514"/>
      <c r="L133" s="525"/>
      <c r="M133" s="514">
        <f t="shared" si="45"/>
        <v>0</v>
      </c>
      <c r="N133" s="525"/>
      <c r="O133" s="514">
        <f t="shared" si="46"/>
        <v>0</v>
      </c>
      <c r="P133" s="514">
        <f t="shared" si="47"/>
        <v>0</v>
      </c>
    </row>
    <row r="134" spans="2:16">
      <c r="B134" s="195" t="str">
        <f t="shared" si="31"/>
        <v/>
      </c>
      <c r="C134" s="507">
        <f>IF(D93="","-",+C133+1)</f>
        <v>2042</v>
      </c>
      <c r="D134" s="374">
        <f>IF(F133+SUM(E$99:E133)=D$92,F133,D$92-SUM(E$99:E133))</f>
        <v>933194.5420726235</v>
      </c>
      <c r="E134" s="522">
        <f t="shared" si="40"/>
        <v>64840.292682926833</v>
      </c>
      <c r="F134" s="523">
        <f t="shared" si="41"/>
        <v>868354.24938969663</v>
      </c>
      <c r="G134" s="523">
        <f t="shared" si="42"/>
        <v>900774.39573116007</v>
      </c>
      <c r="H134" s="526">
        <f t="shared" si="43"/>
        <v>167091.00134987425</v>
      </c>
      <c r="I134" s="577">
        <f t="shared" si="44"/>
        <v>167091.00134987425</v>
      </c>
      <c r="J134" s="514">
        <f t="shared" si="35"/>
        <v>0</v>
      </c>
      <c r="K134" s="514"/>
      <c r="L134" s="525"/>
      <c r="M134" s="514">
        <f t="shared" si="45"/>
        <v>0</v>
      </c>
      <c r="N134" s="525"/>
      <c r="O134" s="514">
        <f t="shared" si="46"/>
        <v>0</v>
      </c>
      <c r="P134" s="514">
        <f t="shared" si="47"/>
        <v>0</v>
      </c>
    </row>
    <row r="135" spans="2:16">
      <c r="B135" s="195" t="str">
        <f t="shared" si="31"/>
        <v/>
      </c>
      <c r="C135" s="507">
        <f>IF(D93="","-",+C134+1)</f>
        <v>2043</v>
      </c>
      <c r="D135" s="374">
        <f>IF(F134+SUM(E$99:E134)=D$92,F134,D$92-SUM(E$99:E134))</f>
        <v>868354.24938969663</v>
      </c>
      <c r="E135" s="522">
        <f t="shared" si="40"/>
        <v>64840.292682926833</v>
      </c>
      <c r="F135" s="523">
        <f t="shared" si="41"/>
        <v>803513.95670676976</v>
      </c>
      <c r="G135" s="523">
        <f t="shared" si="42"/>
        <v>835934.1030482332</v>
      </c>
      <c r="H135" s="526">
        <f t="shared" si="43"/>
        <v>159730.70568825077</v>
      </c>
      <c r="I135" s="577">
        <f t="shared" si="44"/>
        <v>159730.70568825077</v>
      </c>
      <c r="J135" s="514">
        <f t="shared" si="35"/>
        <v>0</v>
      </c>
      <c r="K135" s="514"/>
      <c r="L135" s="525"/>
      <c r="M135" s="514">
        <f t="shared" si="45"/>
        <v>0</v>
      </c>
      <c r="N135" s="525"/>
      <c r="O135" s="514">
        <f t="shared" si="46"/>
        <v>0</v>
      </c>
      <c r="P135" s="514">
        <f t="shared" si="47"/>
        <v>0</v>
      </c>
    </row>
    <row r="136" spans="2:16">
      <c r="B136" s="195" t="str">
        <f t="shared" si="31"/>
        <v/>
      </c>
      <c r="C136" s="507">
        <f>IF(D93="","-",+C135+1)</f>
        <v>2044</v>
      </c>
      <c r="D136" s="374">
        <f>IF(F135+SUM(E$99:E135)=D$92,F135,D$92-SUM(E$99:E135))</f>
        <v>803513.95670676976</v>
      </c>
      <c r="E136" s="522">
        <f t="shared" si="40"/>
        <v>64840.292682926833</v>
      </c>
      <c r="F136" s="523">
        <f t="shared" si="41"/>
        <v>738673.6640238429</v>
      </c>
      <c r="G136" s="523">
        <f t="shared" si="42"/>
        <v>771093.81036530633</v>
      </c>
      <c r="H136" s="526">
        <f t="shared" si="43"/>
        <v>152370.4100266273</v>
      </c>
      <c r="I136" s="577">
        <f t="shared" si="44"/>
        <v>152370.4100266273</v>
      </c>
      <c r="J136" s="514">
        <f t="shared" si="35"/>
        <v>0</v>
      </c>
      <c r="K136" s="514"/>
      <c r="L136" s="525"/>
      <c r="M136" s="514">
        <f t="shared" si="45"/>
        <v>0</v>
      </c>
      <c r="N136" s="525"/>
      <c r="O136" s="514">
        <f t="shared" si="46"/>
        <v>0</v>
      </c>
      <c r="P136" s="514">
        <f t="shared" si="47"/>
        <v>0</v>
      </c>
    </row>
    <row r="137" spans="2:16">
      <c r="B137" s="195" t="str">
        <f t="shared" si="31"/>
        <v/>
      </c>
      <c r="C137" s="507">
        <f>IF(D93="","-",+C136+1)</f>
        <v>2045</v>
      </c>
      <c r="D137" s="374">
        <f>IF(F136+SUM(E$99:E136)=D$92,F136,D$92-SUM(E$99:E136))</f>
        <v>738673.6640238429</v>
      </c>
      <c r="E137" s="522">
        <f t="shared" si="40"/>
        <v>64840.292682926833</v>
      </c>
      <c r="F137" s="523">
        <f t="shared" si="41"/>
        <v>673833.37134091603</v>
      </c>
      <c r="G137" s="523">
        <f t="shared" si="42"/>
        <v>706253.51768237946</v>
      </c>
      <c r="H137" s="526">
        <f t="shared" si="43"/>
        <v>145010.11436500386</v>
      </c>
      <c r="I137" s="577">
        <f t="shared" si="44"/>
        <v>145010.11436500386</v>
      </c>
      <c r="J137" s="514">
        <f t="shared" si="35"/>
        <v>0</v>
      </c>
      <c r="K137" s="514"/>
      <c r="L137" s="525"/>
      <c r="M137" s="514">
        <f t="shared" si="45"/>
        <v>0</v>
      </c>
      <c r="N137" s="525"/>
      <c r="O137" s="514">
        <f t="shared" si="46"/>
        <v>0</v>
      </c>
      <c r="P137" s="514">
        <f t="shared" si="47"/>
        <v>0</v>
      </c>
    </row>
    <row r="138" spans="2:16">
      <c r="B138" s="195" t="str">
        <f t="shared" si="31"/>
        <v/>
      </c>
      <c r="C138" s="507">
        <f>IF(D93="","-",+C137+1)</f>
        <v>2046</v>
      </c>
      <c r="D138" s="374">
        <f>IF(F137+SUM(E$99:E137)=D$92,F137,D$92-SUM(E$99:E137))</f>
        <v>673833.37134091603</v>
      </c>
      <c r="E138" s="522">
        <f t="shared" si="40"/>
        <v>64840.292682926833</v>
      </c>
      <c r="F138" s="523">
        <f t="shared" si="41"/>
        <v>608993.07865798916</v>
      </c>
      <c r="G138" s="523">
        <f t="shared" si="42"/>
        <v>641413.22499945259</v>
      </c>
      <c r="H138" s="526">
        <f t="shared" si="43"/>
        <v>137649.81870338038</v>
      </c>
      <c r="I138" s="577">
        <f t="shared" si="44"/>
        <v>137649.81870338038</v>
      </c>
      <c r="J138" s="514">
        <f t="shared" si="35"/>
        <v>0</v>
      </c>
      <c r="K138" s="514"/>
      <c r="L138" s="525"/>
      <c r="M138" s="514">
        <f t="shared" si="45"/>
        <v>0</v>
      </c>
      <c r="N138" s="525"/>
      <c r="O138" s="514">
        <f t="shared" si="46"/>
        <v>0</v>
      </c>
      <c r="P138" s="514">
        <f t="shared" si="47"/>
        <v>0</v>
      </c>
    </row>
    <row r="139" spans="2:16">
      <c r="B139" s="195" t="str">
        <f t="shared" si="31"/>
        <v/>
      </c>
      <c r="C139" s="507">
        <f>IF(D93="","-",+C138+1)</f>
        <v>2047</v>
      </c>
      <c r="D139" s="374">
        <f>IF(F138+SUM(E$99:E138)=D$92,F138,D$92-SUM(E$99:E138))</f>
        <v>608993.07865798916</v>
      </c>
      <c r="E139" s="522">
        <f t="shared" si="40"/>
        <v>64840.292682926833</v>
      </c>
      <c r="F139" s="523">
        <f t="shared" si="41"/>
        <v>544152.78597506229</v>
      </c>
      <c r="G139" s="523">
        <f t="shared" si="42"/>
        <v>576572.93231652572</v>
      </c>
      <c r="H139" s="526">
        <f t="shared" si="43"/>
        <v>130289.52304175691</v>
      </c>
      <c r="I139" s="577">
        <f t="shared" si="44"/>
        <v>130289.52304175691</v>
      </c>
      <c r="J139" s="514">
        <f t="shared" si="35"/>
        <v>0</v>
      </c>
      <c r="K139" s="514"/>
      <c r="L139" s="525"/>
      <c r="M139" s="514">
        <f t="shared" si="45"/>
        <v>0</v>
      </c>
      <c r="N139" s="525"/>
      <c r="O139" s="514">
        <f t="shared" si="46"/>
        <v>0</v>
      </c>
      <c r="P139" s="514">
        <f t="shared" si="47"/>
        <v>0</v>
      </c>
    </row>
    <row r="140" spans="2:16">
      <c r="B140" s="195" t="str">
        <f t="shared" si="31"/>
        <v/>
      </c>
      <c r="C140" s="507">
        <f>IF(D93="","-",+C139+1)</f>
        <v>2048</v>
      </c>
      <c r="D140" s="374">
        <f>IF(F139+SUM(E$99:E139)=D$92,F139,D$92-SUM(E$99:E139))</f>
        <v>544152.78597506229</v>
      </c>
      <c r="E140" s="522">
        <f t="shared" si="40"/>
        <v>64840.292682926833</v>
      </c>
      <c r="F140" s="523">
        <f t="shared" si="41"/>
        <v>479312.49329213548</v>
      </c>
      <c r="G140" s="523">
        <f t="shared" si="42"/>
        <v>511732.63963359885</v>
      </c>
      <c r="H140" s="526">
        <f t="shared" si="43"/>
        <v>122929.22738013344</v>
      </c>
      <c r="I140" s="577">
        <f t="shared" si="44"/>
        <v>122929.22738013344</v>
      </c>
      <c r="J140" s="514">
        <f t="shared" si="35"/>
        <v>0</v>
      </c>
      <c r="K140" s="514"/>
      <c r="L140" s="525"/>
      <c r="M140" s="514">
        <f t="shared" si="45"/>
        <v>0</v>
      </c>
      <c r="N140" s="525"/>
      <c r="O140" s="514">
        <f t="shared" si="46"/>
        <v>0</v>
      </c>
      <c r="P140" s="514">
        <f t="shared" si="47"/>
        <v>0</v>
      </c>
    </row>
    <row r="141" spans="2:16">
      <c r="B141" s="195" t="str">
        <f t="shared" si="31"/>
        <v/>
      </c>
      <c r="C141" s="507">
        <f>IF(D93="","-",+C140+1)</f>
        <v>2049</v>
      </c>
      <c r="D141" s="374">
        <f>IF(F140+SUM(E$99:E140)=D$92,F140,D$92-SUM(E$99:E140))</f>
        <v>479312.49329213548</v>
      </c>
      <c r="E141" s="522">
        <f t="shared" si="40"/>
        <v>64840.292682926833</v>
      </c>
      <c r="F141" s="523">
        <f t="shared" si="41"/>
        <v>414472.20060920867</v>
      </c>
      <c r="G141" s="523">
        <f t="shared" si="42"/>
        <v>446892.3469506721</v>
      </c>
      <c r="H141" s="526">
        <f t="shared" si="43"/>
        <v>115568.93171850999</v>
      </c>
      <c r="I141" s="577">
        <f t="shared" si="44"/>
        <v>115568.93171850999</v>
      </c>
      <c r="J141" s="514">
        <f t="shared" si="35"/>
        <v>0</v>
      </c>
      <c r="K141" s="514"/>
      <c r="L141" s="525"/>
      <c r="M141" s="514">
        <f t="shared" si="45"/>
        <v>0</v>
      </c>
      <c r="N141" s="525"/>
      <c r="O141" s="514">
        <f t="shared" si="46"/>
        <v>0</v>
      </c>
      <c r="P141" s="514">
        <f t="shared" si="47"/>
        <v>0</v>
      </c>
    </row>
    <row r="142" spans="2:16">
      <c r="B142" s="195" t="str">
        <f t="shared" si="31"/>
        <v/>
      </c>
      <c r="C142" s="507">
        <f>IF(D93="","-",+C141+1)</f>
        <v>2050</v>
      </c>
      <c r="D142" s="374">
        <f>IF(F141+SUM(E$99:E141)=D$92,F141,D$92-SUM(E$99:E141))</f>
        <v>414472.20060920867</v>
      </c>
      <c r="E142" s="522">
        <f t="shared" si="40"/>
        <v>64840.292682926833</v>
      </c>
      <c r="F142" s="523">
        <f t="shared" si="41"/>
        <v>349631.90792628186</v>
      </c>
      <c r="G142" s="523">
        <f t="shared" si="42"/>
        <v>382052.05426774523</v>
      </c>
      <c r="H142" s="526">
        <f t="shared" si="43"/>
        <v>108208.63605688652</v>
      </c>
      <c r="I142" s="577">
        <f t="shared" si="44"/>
        <v>108208.63605688652</v>
      </c>
      <c r="J142" s="514">
        <f t="shared" si="35"/>
        <v>0</v>
      </c>
      <c r="K142" s="514"/>
      <c r="L142" s="525"/>
      <c r="M142" s="514">
        <f t="shared" si="45"/>
        <v>0</v>
      </c>
      <c r="N142" s="525"/>
      <c r="O142" s="514">
        <f t="shared" si="46"/>
        <v>0</v>
      </c>
      <c r="P142" s="514">
        <f t="shared" si="47"/>
        <v>0</v>
      </c>
    </row>
    <row r="143" spans="2:16">
      <c r="B143" s="195" t="str">
        <f t="shared" si="31"/>
        <v/>
      </c>
      <c r="C143" s="507">
        <f>IF(D93="","-",+C142+1)</f>
        <v>2051</v>
      </c>
      <c r="D143" s="374">
        <f>IF(F142+SUM(E$99:E142)=D$92,F142,D$92-SUM(E$99:E142))</f>
        <v>349631.90792628186</v>
      </c>
      <c r="E143" s="522">
        <f t="shared" si="40"/>
        <v>64840.292682926833</v>
      </c>
      <c r="F143" s="523">
        <f t="shared" si="41"/>
        <v>284791.61524335505</v>
      </c>
      <c r="G143" s="523">
        <f t="shared" si="42"/>
        <v>317211.76158481848</v>
      </c>
      <c r="H143" s="526">
        <f t="shared" si="43"/>
        <v>100848.34039526308</v>
      </c>
      <c r="I143" s="577">
        <f t="shared" si="44"/>
        <v>100848.34039526308</v>
      </c>
      <c r="J143" s="514">
        <f t="shared" si="35"/>
        <v>0</v>
      </c>
      <c r="K143" s="514"/>
      <c r="L143" s="525"/>
      <c r="M143" s="514">
        <f t="shared" si="45"/>
        <v>0</v>
      </c>
      <c r="N143" s="525"/>
      <c r="O143" s="514">
        <f t="shared" si="46"/>
        <v>0</v>
      </c>
      <c r="P143" s="514">
        <f t="shared" si="47"/>
        <v>0</v>
      </c>
    </row>
    <row r="144" spans="2:16">
      <c r="B144" s="195" t="str">
        <f t="shared" si="31"/>
        <v/>
      </c>
      <c r="C144" s="507">
        <f>IF(D93="","-",+C143+1)</f>
        <v>2052</v>
      </c>
      <c r="D144" s="374">
        <f>IF(F143+SUM(E$99:E143)=D$92,F143,D$92-SUM(E$99:E143))</f>
        <v>284791.61524335505</v>
      </c>
      <c r="E144" s="522">
        <f t="shared" si="40"/>
        <v>64840.292682926833</v>
      </c>
      <c r="F144" s="523">
        <f t="shared" si="41"/>
        <v>219951.32256042821</v>
      </c>
      <c r="G144" s="523">
        <f t="shared" si="42"/>
        <v>252371.46890189161</v>
      </c>
      <c r="H144" s="526">
        <f t="shared" si="43"/>
        <v>93488.044733639603</v>
      </c>
      <c r="I144" s="577">
        <f t="shared" si="44"/>
        <v>93488.044733639603</v>
      </c>
      <c r="J144" s="514">
        <f t="shared" si="35"/>
        <v>0</v>
      </c>
      <c r="K144" s="514"/>
      <c r="L144" s="525"/>
      <c r="M144" s="514">
        <f t="shared" si="45"/>
        <v>0</v>
      </c>
      <c r="N144" s="525"/>
      <c r="O144" s="514">
        <f t="shared" si="46"/>
        <v>0</v>
      </c>
      <c r="P144" s="514">
        <f t="shared" si="47"/>
        <v>0</v>
      </c>
    </row>
    <row r="145" spans="2:16">
      <c r="B145" s="195" t="str">
        <f t="shared" si="31"/>
        <v/>
      </c>
      <c r="C145" s="507">
        <f>IF(D93="","-",+C144+1)</f>
        <v>2053</v>
      </c>
      <c r="D145" s="374">
        <f>IF(F144+SUM(E$99:E144)=D$92,F144,D$92-SUM(E$99:E144))</f>
        <v>219951.32256042821</v>
      </c>
      <c r="E145" s="522">
        <f t="shared" si="40"/>
        <v>64840.292682926833</v>
      </c>
      <c r="F145" s="523">
        <f t="shared" si="41"/>
        <v>155111.02987750137</v>
      </c>
      <c r="G145" s="523">
        <f t="shared" si="42"/>
        <v>187531.1762189648</v>
      </c>
      <c r="H145" s="526">
        <f t="shared" si="43"/>
        <v>86127.749072016144</v>
      </c>
      <c r="I145" s="577">
        <f t="shared" si="44"/>
        <v>86127.749072016144</v>
      </c>
      <c r="J145" s="514">
        <f t="shared" si="35"/>
        <v>0</v>
      </c>
      <c r="K145" s="514"/>
      <c r="L145" s="525"/>
      <c r="M145" s="514">
        <f t="shared" si="45"/>
        <v>0</v>
      </c>
      <c r="N145" s="525"/>
      <c r="O145" s="514">
        <f t="shared" si="46"/>
        <v>0</v>
      </c>
      <c r="P145" s="514">
        <f t="shared" si="47"/>
        <v>0</v>
      </c>
    </row>
    <row r="146" spans="2:16">
      <c r="B146" s="195" t="str">
        <f t="shared" si="31"/>
        <v/>
      </c>
      <c r="C146" s="507">
        <f>IF(D93="","-",+C145+1)</f>
        <v>2054</v>
      </c>
      <c r="D146" s="374">
        <f>IF(F145+SUM(E$99:E145)=D$92,F145,D$92-SUM(E$99:E145))</f>
        <v>155111.02987750137</v>
      </c>
      <c r="E146" s="522">
        <f t="shared" si="40"/>
        <v>64840.292682926833</v>
      </c>
      <c r="F146" s="523">
        <f t="shared" si="41"/>
        <v>90270.737194574525</v>
      </c>
      <c r="G146" s="523">
        <f t="shared" si="42"/>
        <v>122690.88353603795</v>
      </c>
      <c r="H146" s="526">
        <f t="shared" si="43"/>
        <v>78767.453410392685</v>
      </c>
      <c r="I146" s="577">
        <f t="shared" si="44"/>
        <v>78767.453410392685</v>
      </c>
      <c r="J146" s="514">
        <f t="shared" si="35"/>
        <v>0</v>
      </c>
      <c r="K146" s="514"/>
      <c r="L146" s="525"/>
      <c r="M146" s="514">
        <f t="shared" si="45"/>
        <v>0</v>
      </c>
      <c r="N146" s="525"/>
      <c r="O146" s="514">
        <f t="shared" si="46"/>
        <v>0</v>
      </c>
      <c r="P146" s="514">
        <f t="shared" si="47"/>
        <v>0</v>
      </c>
    </row>
    <row r="147" spans="2:16">
      <c r="B147" s="195" t="str">
        <f t="shared" si="31"/>
        <v/>
      </c>
      <c r="C147" s="507">
        <f>IF(D93="","-",+C146+1)</f>
        <v>2055</v>
      </c>
      <c r="D147" s="374">
        <f>IF(F146+SUM(E$99:E146)=D$92,F146,D$92-SUM(E$99:E146))</f>
        <v>90270.737194574525</v>
      </c>
      <c r="E147" s="522">
        <f t="shared" si="40"/>
        <v>64840.292682926833</v>
      </c>
      <c r="F147" s="523">
        <f t="shared" si="41"/>
        <v>25430.444511647693</v>
      </c>
      <c r="G147" s="523">
        <f t="shared" si="42"/>
        <v>57850.590853111105</v>
      </c>
      <c r="H147" s="526">
        <f t="shared" si="43"/>
        <v>71407.157748769212</v>
      </c>
      <c r="I147" s="577">
        <f t="shared" si="44"/>
        <v>71407.157748769212</v>
      </c>
      <c r="J147" s="514">
        <f t="shared" si="35"/>
        <v>0</v>
      </c>
      <c r="K147" s="514"/>
      <c r="L147" s="525"/>
      <c r="M147" s="514">
        <f t="shared" si="45"/>
        <v>0</v>
      </c>
      <c r="N147" s="525"/>
      <c r="O147" s="514">
        <f t="shared" si="46"/>
        <v>0</v>
      </c>
      <c r="P147" s="514">
        <f t="shared" si="47"/>
        <v>0</v>
      </c>
    </row>
    <row r="148" spans="2:16">
      <c r="B148" s="195" t="str">
        <f t="shared" si="31"/>
        <v/>
      </c>
      <c r="C148" s="507">
        <f>IF(D93="","-",+C147+1)</f>
        <v>2056</v>
      </c>
      <c r="D148" s="374">
        <f>IF(F147+SUM(E$99:E147)=D$92,F147,D$92-SUM(E$99:E147))</f>
        <v>25430.444511647693</v>
      </c>
      <c r="E148" s="522">
        <f t="shared" si="40"/>
        <v>25430.444511647693</v>
      </c>
      <c r="F148" s="523">
        <f t="shared" si="41"/>
        <v>0</v>
      </c>
      <c r="G148" s="523">
        <f t="shared" si="42"/>
        <v>12715.222255823846</v>
      </c>
      <c r="H148" s="526">
        <f t="shared" si="43"/>
        <v>26873.803129163018</v>
      </c>
      <c r="I148" s="577">
        <f t="shared" si="44"/>
        <v>26873.803129163018</v>
      </c>
      <c r="J148" s="514">
        <f t="shared" si="35"/>
        <v>0</v>
      </c>
      <c r="K148" s="514"/>
      <c r="L148" s="525"/>
      <c r="M148" s="514">
        <f t="shared" si="45"/>
        <v>0</v>
      </c>
      <c r="N148" s="525"/>
      <c r="O148" s="514">
        <f t="shared" si="46"/>
        <v>0</v>
      </c>
      <c r="P148" s="514">
        <f t="shared" si="47"/>
        <v>0</v>
      </c>
    </row>
    <row r="149" spans="2:16">
      <c r="B149" s="195" t="str">
        <f t="shared" si="31"/>
        <v/>
      </c>
      <c r="C149" s="507">
        <f>IF(D93="","-",+C148+1)</f>
        <v>2057</v>
      </c>
      <c r="D149" s="374">
        <f>IF(F148+SUM(E$99:E148)=D$92,F148,D$92-SUM(E$99:E148))</f>
        <v>0</v>
      </c>
      <c r="E149" s="522">
        <f t="shared" si="40"/>
        <v>0</v>
      </c>
      <c r="F149" s="523">
        <f t="shared" si="41"/>
        <v>0</v>
      </c>
      <c r="G149" s="523">
        <f t="shared" si="42"/>
        <v>0</v>
      </c>
      <c r="H149" s="526">
        <f t="shared" si="43"/>
        <v>0</v>
      </c>
      <c r="I149" s="577">
        <f t="shared" si="44"/>
        <v>0</v>
      </c>
      <c r="J149" s="514">
        <f t="shared" si="35"/>
        <v>0</v>
      </c>
      <c r="K149" s="514"/>
      <c r="L149" s="525"/>
      <c r="M149" s="514">
        <f t="shared" si="45"/>
        <v>0</v>
      </c>
      <c r="N149" s="525"/>
      <c r="O149" s="514">
        <f t="shared" si="46"/>
        <v>0</v>
      </c>
      <c r="P149" s="514">
        <f t="shared" si="47"/>
        <v>0</v>
      </c>
    </row>
    <row r="150" spans="2:16">
      <c r="B150" s="195" t="str">
        <f t="shared" si="31"/>
        <v/>
      </c>
      <c r="C150" s="507">
        <f>IF(D93="","-",+C149+1)</f>
        <v>2058</v>
      </c>
      <c r="D150" s="374">
        <f>IF(F149+SUM(E$99:E149)=D$92,F149,D$92-SUM(E$99:E149))</f>
        <v>0</v>
      </c>
      <c r="E150" s="522">
        <f t="shared" si="40"/>
        <v>0</v>
      </c>
      <c r="F150" s="523">
        <f t="shared" si="41"/>
        <v>0</v>
      </c>
      <c r="G150" s="523">
        <f t="shared" si="42"/>
        <v>0</v>
      </c>
      <c r="H150" s="526">
        <f t="shared" si="43"/>
        <v>0</v>
      </c>
      <c r="I150" s="577">
        <f t="shared" si="44"/>
        <v>0</v>
      </c>
      <c r="J150" s="514">
        <f t="shared" si="35"/>
        <v>0</v>
      </c>
      <c r="K150" s="514"/>
      <c r="L150" s="525"/>
      <c r="M150" s="514">
        <f t="shared" si="45"/>
        <v>0</v>
      </c>
      <c r="N150" s="525"/>
      <c r="O150" s="514">
        <f t="shared" si="46"/>
        <v>0</v>
      </c>
      <c r="P150" s="514">
        <f t="shared" si="47"/>
        <v>0</v>
      </c>
    </row>
    <row r="151" spans="2:16">
      <c r="B151" s="195" t="str">
        <f t="shared" si="31"/>
        <v/>
      </c>
      <c r="C151" s="507">
        <f>IF(D93="","-",+C150+1)</f>
        <v>2059</v>
      </c>
      <c r="D151" s="374">
        <f>IF(F150+SUM(E$99:E150)=D$92,F150,D$92-SUM(E$99:E150))</f>
        <v>0</v>
      </c>
      <c r="E151" s="522">
        <f t="shared" si="40"/>
        <v>0</v>
      </c>
      <c r="F151" s="523">
        <f t="shared" si="41"/>
        <v>0</v>
      </c>
      <c r="G151" s="523">
        <f t="shared" si="42"/>
        <v>0</v>
      </c>
      <c r="H151" s="526">
        <f t="shared" si="43"/>
        <v>0</v>
      </c>
      <c r="I151" s="577">
        <f t="shared" si="44"/>
        <v>0</v>
      </c>
      <c r="J151" s="514">
        <f t="shared" si="35"/>
        <v>0</v>
      </c>
      <c r="K151" s="514"/>
      <c r="L151" s="525"/>
      <c r="M151" s="514">
        <f t="shared" si="45"/>
        <v>0</v>
      </c>
      <c r="N151" s="525"/>
      <c r="O151" s="514">
        <f t="shared" si="46"/>
        <v>0</v>
      </c>
      <c r="P151" s="514">
        <f t="shared" si="47"/>
        <v>0</v>
      </c>
    </row>
    <row r="152" spans="2:16">
      <c r="B152" s="195" t="str">
        <f t="shared" si="31"/>
        <v/>
      </c>
      <c r="C152" s="507">
        <f>IF(D93="","-",+C151+1)</f>
        <v>2060</v>
      </c>
      <c r="D152" s="374">
        <f>IF(F151+SUM(E$99:E151)=D$92,F151,D$92-SUM(E$99:E151))</f>
        <v>0</v>
      </c>
      <c r="E152" s="522">
        <f t="shared" si="40"/>
        <v>0</v>
      </c>
      <c r="F152" s="523">
        <f t="shared" si="41"/>
        <v>0</v>
      </c>
      <c r="G152" s="523">
        <f t="shared" si="42"/>
        <v>0</v>
      </c>
      <c r="H152" s="526">
        <f t="shared" si="43"/>
        <v>0</v>
      </c>
      <c r="I152" s="577">
        <f t="shared" si="44"/>
        <v>0</v>
      </c>
      <c r="J152" s="514">
        <f t="shared" si="35"/>
        <v>0</v>
      </c>
      <c r="K152" s="514"/>
      <c r="L152" s="525"/>
      <c r="M152" s="514">
        <f t="shared" si="45"/>
        <v>0</v>
      </c>
      <c r="N152" s="525"/>
      <c r="O152" s="514">
        <f t="shared" si="46"/>
        <v>0</v>
      </c>
      <c r="P152" s="514">
        <f t="shared" si="47"/>
        <v>0</v>
      </c>
    </row>
    <row r="153" spans="2:16">
      <c r="B153" s="195" t="str">
        <f t="shared" si="31"/>
        <v/>
      </c>
      <c r="C153" s="507">
        <f>IF(D93="","-",+C152+1)</f>
        <v>2061</v>
      </c>
      <c r="D153" s="374">
        <f>IF(F152+SUM(E$99:E152)=D$92,F152,D$92-SUM(E$99:E152))</f>
        <v>0</v>
      </c>
      <c r="E153" s="522">
        <f t="shared" si="40"/>
        <v>0</v>
      </c>
      <c r="F153" s="523">
        <f t="shared" si="41"/>
        <v>0</v>
      </c>
      <c r="G153" s="523">
        <f t="shared" si="42"/>
        <v>0</v>
      </c>
      <c r="H153" s="526">
        <f t="shared" si="43"/>
        <v>0</v>
      </c>
      <c r="I153" s="577">
        <f t="shared" si="44"/>
        <v>0</v>
      </c>
      <c r="J153" s="514">
        <f t="shared" si="35"/>
        <v>0</v>
      </c>
      <c r="K153" s="514"/>
      <c r="L153" s="525"/>
      <c r="M153" s="514">
        <f t="shared" si="45"/>
        <v>0</v>
      </c>
      <c r="N153" s="525"/>
      <c r="O153" s="514">
        <f t="shared" si="46"/>
        <v>0</v>
      </c>
      <c r="P153" s="514">
        <f t="shared" si="47"/>
        <v>0</v>
      </c>
    </row>
    <row r="154" spans="2:16" ht="13.5" thickBot="1">
      <c r="B154" s="195" t="str">
        <f t="shared" si="31"/>
        <v/>
      </c>
      <c r="C154" s="527">
        <f>IF(D93="","-",+C153+1)</f>
        <v>2062</v>
      </c>
      <c r="D154" s="374">
        <f>IF(F153+SUM(E$99:E153)=D$92,F153,D$92-SUM(E$99:E153))</f>
        <v>0</v>
      </c>
      <c r="E154" s="522">
        <f t="shared" si="40"/>
        <v>0</v>
      </c>
      <c r="F154" s="523">
        <f t="shared" si="41"/>
        <v>0</v>
      </c>
      <c r="G154" s="523">
        <f t="shared" si="42"/>
        <v>0</v>
      </c>
      <c r="H154" s="526">
        <f t="shared" si="43"/>
        <v>0</v>
      </c>
      <c r="I154" s="577">
        <f t="shared" si="44"/>
        <v>0</v>
      </c>
      <c r="J154" s="514">
        <f t="shared" si="35"/>
        <v>0</v>
      </c>
      <c r="K154" s="514"/>
      <c r="L154" s="532"/>
      <c r="M154" s="533">
        <f t="shared" si="45"/>
        <v>0</v>
      </c>
      <c r="N154" s="532"/>
      <c r="O154" s="533">
        <f t="shared" si="46"/>
        <v>0</v>
      </c>
      <c r="P154" s="533">
        <f t="shared" si="47"/>
        <v>0</v>
      </c>
    </row>
    <row r="155" spans="2:16">
      <c r="C155" s="374" t="s">
        <v>78</v>
      </c>
      <c r="D155" s="375"/>
      <c r="E155" s="375">
        <f>SUM(E99:E154)</f>
        <v>2658451.9999999986</v>
      </c>
      <c r="F155" s="375"/>
      <c r="G155" s="375"/>
      <c r="H155" s="375">
        <f>SUM(H99:H154)</f>
        <v>8956490.2062061429</v>
      </c>
      <c r="I155" s="375">
        <f>SUM(I99:I154)</f>
        <v>8956490.2062061429</v>
      </c>
      <c r="J155" s="375">
        <f>SUM(J99:J154)</f>
        <v>0</v>
      </c>
      <c r="K155" s="375"/>
      <c r="L155" s="375"/>
      <c r="M155" s="375"/>
      <c r="N155" s="375"/>
      <c r="O155" s="375"/>
      <c r="P155" s="269"/>
    </row>
    <row r="156" spans="2:16">
      <c r="C156" s="183" t="s">
        <v>92</v>
      </c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</row>
    <row r="157" spans="2:16">
      <c r="C157" s="580"/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</row>
    <row r="158" spans="2:16">
      <c r="C158" s="614" t="s">
        <v>132</v>
      </c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</row>
    <row r="159" spans="2:16">
      <c r="C159" s="467" t="s">
        <v>79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</row>
    <row r="160" spans="2:16">
      <c r="C160" s="581" t="s">
        <v>80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</row>
    <row r="161" spans="3:16">
      <c r="C161" s="581"/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</row>
    <row r="162" spans="3:16" ht="18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635" t="s">
        <v>131</v>
      </c>
    </row>
  </sheetData>
  <conditionalFormatting sqref="C17:C72">
    <cfRule type="cellIs" dxfId="72" priority="1" stopIfTrue="1" operator="equal">
      <formula>$I$10</formula>
    </cfRule>
  </conditionalFormatting>
  <conditionalFormatting sqref="C99:C154">
    <cfRule type="cellIs" dxfId="71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95">
    <tabColor theme="9" tint="-0.249977111117893"/>
  </sheetPr>
  <dimension ref="A1:P162"/>
  <sheetViews>
    <sheetView topLeftCell="A93" zoomScaleNormal="100" zoomScaleSheetLayoutView="82" workbookViewId="0">
      <selection activeCell="D106" sqref="D106:I113"/>
    </sheetView>
  </sheetViews>
  <sheetFormatPr defaultColWidth="8.7109375" defaultRowHeight="12.75" customHeight="1"/>
  <cols>
    <col min="1" max="1" width="4.7109375" style="183" customWidth="1"/>
    <col min="2" max="2" width="6.7109375" style="183" customWidth="1"/>
    <col min="3" max="3" width="23.28515625" style="183" customWidth="1"/>
    <col min="4" max="8" width="17.7109375" style="183" customWidth="1"/>
    <col min="9" max="9" width="20.42578125" style="183" customWidth="1"/>
    <col min="10" max="10" width="16.42578125" style="183" customWidth="1"/>
    <col min="11" max="11" width="17.7109375" style="183" customWidth="1"/>
    <col min="12" max="12" width="16.140625" style="183" customWidth="1"/>
    <col min="13" max="13" width="17.7109375" style="183" customWidth="1"/>
    <col min="14" max="14" width="16.7109375" style="183" customWidth="1"/>
    <col min="15" max="15" width="16.85546875" style="183" customWidth="1"/>
    <col min="16" max="16" width="24.42578125" style="183" customWidth="1"/>
    <col min="17" max="17" width="9.140625" style="183" customWidth="1"/>
    <col min="18" max="22" width="8.7109375" style="183"/>
    <col min="23" max="23" width="9.140625" style="183" customWidth="1"/>
    <col min="24" max="16384" width="8.7109375" style="183"/>
  </cols>
  <sheetData>
    <row r="1" spans="1:16" ht="20.25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46 of 75</v>
      </c>
    </row>
    <row r="2" spans="1:16" ht="18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538" t="s">
        <v>129</v>
      </c>
    </row>
    <row r="3" spans="1:16" ht="18.75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/>
      <c r="P3" s="623">
        <v>1</v>
      </c>
    </row>
    <row r="4" spans="1:16" ht="15.75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6" ht="1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1573230.0538189975</v>
      </c>
      <c r="P5" s="269"/>
    </row>
    <row r="6" spans="1:16" ht="15.7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1573230.0538189975</v>
      </c>
      <c r="O6" s="269"/>
      <c r="P6" s="269"/>
    </row>
    <row r="7" spans="1:16" ht="13.5" thickBot="1">
      <c r="C7" s="467" t="s">
        <v>48</v>
      </c>
      <c r="D7" s="624" t="s">
        <v>332</v>
      </c>
      <c r="E7" s="587"/>
      <c r="F7" s="587"/>
      <c r="G7" s="587"/>
      <c r="H7" s="59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6" ht="13.5" thickBot="1">
      <c r="C8" s="472"/>
      <c r="D8" s="645" t="s">
        <v>354</v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6" ht="13.5" thickBot="1">
      <c r="C9" s="476" t="s">
        <v>50</v>
      </c>
      <c r="D9" s="477" t="s">
        <v>331</v>
      </c>
      <c r="E9" s="637" t="s">
        <v>503</v>
      </c>
      <c r="F9" s="478"/>
      <c r="G9" s="478"/>
      <c r="H9" s="478"/>
      <c r="I9" s="479"/>
      <c r="J9" s="480"/>
      <c r="O9" s="481"/>
      <c r="P9" s="272"/>
    </row>
    <row r="10" spans="1:16">
      <c r="C10" s="482" t="s">
        <v>51</v>
      </c>
      <c r="D10" s="483">
        <v>16318844</v>
      </c>
      <c r="E10" s="353" t="s">
        <v>52</v>
      </c>
      <c r="F10" s="481"/>
      <c r="G10" s="484"/>
      <c r="H10" s="484"/>
      <c r="I10" s="485">
        <f>+'SWE.WS.F.BPU.ATRR.Projected'!L19</f>
        <v>2024</v>
      </c>
      <c r="J10" s="480"/>
      <c r="K10" s="375" t="s">
        <v>53</v>
      </c>
      <c r="O10" s="272"/>
      <c r="P10" s="272"/>
    </row>
    <row r="11" spans="1:16">
      <c r="C11" s="486" t="s">
        <v>54</v>
      </c>
      <c r="D11" s="487">
        <v>2008</v>
      </c>
      <c r="E11" s="486" t="s">
        <v>55</v>
      </c>
      <c r="F11" s="484"/>
      <c r="G11" s="233"/>
      <c r="H11" s="233"/>
      <c r="I11" s="488">
        <f>IF(G5="",0,'SWE.WS.F.BPU.ATRR.Projected'!F$13)</f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6">
      <c r="C12" s="486" t="s">
        <v>56</v>
      </c>
      <c r="D12" s="483">
        <v>5</v>
      </c>
      <c r="E12" s="486" t="s">
        <v>57</v>
      </c>
      <c r="F12" s="484"/>
      <c r="G12" s="233"/>
      <c r="H12" s="233"/>
      <c r="I12" s="490">
        <f>'SWE.WS.F.BPU.ATRR.Projected'!$F$81</f>
        <v>0.11952713165403545</v>
      </c>
      <c r="J12" s="425"/>
      <c r="K12" s="183" t="s">
        <v>58</v>
      </c>
      <c r="O12" s="272"/>
      <c r="P12" s="272"/>
    </row>
    <row r="13" spans="1:16">
      <c r="C13" s="486" t="s">
        <v>59</v>
      </c>
      <c r="D13" s="488">
        <f>+'SWE.WS.F.BPU.ATRR.Projected'!F$93</f>
        <v>44</v>
      </c>
      <c r="E13" s="486" t="s">
        <v>60</v>
      </c>
      <c r="F13" s="484"/>
      <c r="G13" s="233"/>
      <c r="H13" s="233"/>
      <c r="I13" s="490">
        <f>IF(G5="",I12,'SWE.WS.F.BPU.ATRR.Projected'!$F$80)</f>
        <v>0.11952713165403545</v>
      </c>
      <c r="J13" s="425"/>
      <c r="K13" s="375" t="s">
        <v>61</v>
      </c>
      <c r="L13" s="324"/>
      <c r="M13" s="324"/>
      <c r="N13" s="324"/>
      <c r="O13" s="272"/>
      <c r="P13" s="272"/>
    </row>
    <row r="14" spans="1:16" ht="13.5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370882.81818181818</v>
      </c>
      <c r="J14" s="375"/>
      <c r="K14" s="375"/>
      <c r="L14" s="375"/>
      <c r="M14" s="375"/>
      <c r="N14" s="375"/>
      <c r="O14" s="272"/>
      <c r="P14" s="272"/>
    </row>
    <row r="15" spans="1:16" ht="38.25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388</v>
      </c>
      <c r="H15" s="495" t="s">
        <v>389</v>
      </c>
      <c r="I15" s="492" t="s">
        <v>68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6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>
      <c r="C17" s="507">
        <f>IF(D11= "","-",D11)</f>
        <v>2008</v>
      </c>
      <c r="D17" s="629">
        <v>16318844</v>
      </c>
      <c r="E17" s="638">
        <v>226650.61111111109</v>
      </c>
      <c r="F17" s="629">
        <v>16092193.388888888</v>
      </c>
      <c r="G17" s="638">
        <v>2397656.6000633142</v>
      </c>
      <c r="H17" s="639">
        <v>2397656.6000633142</v>
      </c>
      <c r="I17" s="511">
        <v>0</v>
      </c>
      <c r="J17" s="511"/>
      <c r="K17" s="512">
        <f t="shared" ref="K17:K23" si="0">G17</f>
        <v>2397656.6000633142</v>
      </c>
      <c r="L17" s="597">
        <f t="shared" ref="L17:L23" si="1">IF(K17&lt;&gt;0,+G17-K17,0)</f>
        <v>0</v>
      </c>
      <c r="M17" s="512">
        <f t="shared" ref="M17:M23" si="2">H17</f>
        <v>2397656.6000633142</v>
      </c>
      <c r="N17" s="513">
        <f t="shared" ref="N17:N23" si="3">IF(M17&lt;&gt;0,+H17-M17,0)</f>
        <v>0</v>
      </c>
      <c r="O17" s="514">
        <f t="shared" ref="O17:O23" si="4">+N17-L17</f>
        <v>0</v>
      </c>
      <c r="P17" s="272"/>
    </row>
    <row r="18" spans="2:16">
      <c r="B18" s="195" t="str">
        <f>IF(D18=F17,"","IU")</f>
        <v/>
      </c>
      <c r="C18" s="507">
        <f>IF(D11="","-",+C17+1)</f>
        <v>2009</v>
      </c>
      <c r="D18" s="631">
        <v>16092193.388888888</v>
      </c>
      <c r="E18" s="630">
        <v>388543.90476190473</v>
      </c>
      <c r="F18" s="631">
        <v>15703649.484126983</v>
      </c>
      <c r="G18" s="630">
        <v>2507131.2380452421</v>
      </c>
      <c r="H18" s="639">
        <v>2507131.2380452421</v>
      </c>
      <c r="I18" s="511">
        <v>0</v>
      </c>
      <c r="J18" s="511"/>
      <c r="K18" s="518">
        <f t="shared" si="0"/>
        <v>2507131.2380452421</v>
      </c>
      <c r="L18" s="519">
        <f t="shared" si="1"/>
        <v>0</v>
      </c>
      <c r="M18" s="518">
        <f t="shared" si="2"/>
        <v>2507131.2380452421</v>
      </c>
      <c r="N18" s="514">
        <f t="shared" si="3"/>
        <v>0</v>
      </c>
      <c r="O18" s="514">
        <f t="shared" si="4"/>
        <v>0</v>
      </c>
      <c r="P18" s="272"/>
    </row>
    <row r="19" spans="2:16">
      <c r="B19" s="195" t="str">
        <f>IF(D19=F18,"","IU")</f>
        <v/>
      </c>
      <c r="C19" s="507">
        <f>IF(D11="","-",+C18+1)</f>
        <v>2010</v>
      </c>
      <c r="D19" s="631">
        <v>15703649.484126983</v>
      </c>
      <c r="E19" s="630">
        <v>388543.90476190473</v>
      </c>
      <c r="F19" s="631">
        <v>15315105.579365078</v>
      </c>
      <c r="G19" s="630">
        <v>2454712.5823763758</v>
      </c>
      <c r="H19" s="639">
        <v>2454712.5823763758</v>
      </c>
      <c r="I19" s="511">
        <v>0</v>
      </c>
      <c r="J19" s="511"/>
      <c r="K19" s="518">
        <f t="shared" si="0"/>
        <v>2454712.5823763758</v>
      </c>
      <c r="L19" s="519">
        <f t="shared" si="1"/>
        <v>0</v>
      </c>
      <c r="M19" s="518">
        <f t="shared" si="2"/>
        <v>2454712.5823763758</v>
      </c>
      <c r="N19" s="514">
        <f t="shared" si="3"/>
        <v>0</v>
      </c>
      <c r="O19" s="514">
        <f t="shared" si="4"/>
        <v>0</v>
      </c>
      <c r="P19" s="272"/>
    </row>
    <row r="20" spans="2:16">
      <c r="B20" s="195" t="str">
        <f t="shared" ref="B20:B72" si="5">IF(D20=F19,"","IU")</f>
        <v/>
      </c>
      <c r="C20" s="507">
        <f>IF(D11="","-",+C19+1)</f>
        <v>2011</v>
      </c>
      <c r="D20" s="631">
        <v>15315105.579365078</v>
      </c>
      <c r="E20" s="630">
        <v>388543.90476190473</v>
      </c>
      <c r="F20" s="631">
        <v>14926561.674603174</v>
      </c>
      <c r="G20" s="630">
        <v>2402293.9267075099</v>
      </c>
      <c r="H20" s="639">
        <v>2402293.9267075099</v>
      </c>
      <c r="I20" s="511">
        <v>0</v>
      </c>
      <c r="J20" s="511"/>
      <c r="K20" s="518">
        <f t="shared" si="0"/>
        <v>2402293.9267075099</v>
      </c>
      <c r="L20" s="519">
        <f t="shared" si="1"/>
        <v>0</v>
      </c>
      <c r="M20" s="518">
        <f t="shared" si="2"/>
        <v>2402293.9267075099</v>
      </c>
      <c r="N20" s="514">
        <f t="shared" si="3"/>
        <v>0</v>
      </c>
      <c r="O20" s="514">
        <f t="shared" si="4"/>
        <v>0</v>
      </c>
      <c r="P20" s="272"/>
    </row>
    <row r="21" spans="2:16">
      <c r="B21" s="195" t="str">
        <f t="shared" si="5"/>
        <v/>
      </c>
      <c r="C21" s="507">
        <f>IF(D11="","-",+C20+1)</f>
        <v>2012</v>
      </c>
      <c r="D21" s="631">
        <v>14926561.674603174</v>
      </c>
      <c r="E21" s="630">
        <v>388543.90476190473</v>
      </c>
      <c r="F21" s="631">
        <v>14538017.769841269</v>
      </c>
      <c r="G21" s="630">
        <v>2349875.2710386436</v>
      </c>
      <c r="H21" s="639">
        <v>2349875.2710386436</v>
      </c>
      <c r="I21" s="511">
        <v>0</v>
      </c>
      <c r="J21" s="511"/>
      <c r="K21" s="518">
        <f t="shared" si="0"/>
        <v>2349875.2710386436</v>
      </c>
      <c r="L21" s="519">
        <f t="shared" si="1"/>
        <v>0</v>
      </c>
      <c r="M21" s="518">
        <f t="shared" si="2"/>
        <v>2349875.2710386436</v>
      </c>
      <c r="N21" s="514">
        <f t="shared" si="3"/>
        <v>0</v>
      </c>
      <c r="O21" s="514">
        <f t="shared" si="4"/>
        <v>0</v>
      </c>
      <c r="P21" s="272"/>
    </row>
    <row r="22" spans="2:16">
      <c r="B22" s="195" t="str">
        <f t="shared" si="5"/>
        <v/>
      </c>
      <c r="C22" s="507">
        <f>IF(D11="","-",+C21+1)</f>
        <v>2013</v>
      </c>
      <c r="D22" s="631">
        <v>14538017.769841269</v>
      </c>
      <c r="E22" s="630">
        <v>388543.90476190473</v>
      </c>
      <c r="F22" s="631">
        <v>14149473.865079364</v>
      </c>
      <c r="G22" s="630">
        <v>2297456.6153697777</v>
      </c>
      <c r="H22" s="639">
        <v>2297456.6153697777</v>
      </c>
      <c r="I22" s="511">
        <v>0</v>
      </c>
      <c r="J22" s="511"/>
      <c r="K22" s="518">
        <f t="shared" si="0"/>
        <v>2297456.6153697777</v>
      </c>
      <c r="L22" s="519">
        <f t="shared" si="1"/>
        <v>0</v>
      </c>
      <c r="M22" s="518">
        <f t="shared" si="2"/>
        <v>2297456.6153697777</v>
      </c>
      <c r="N22" s="514">
        <f t="shared" si="3"/>
        <v>0</v>
      </c>
      <c r="O22" s="514">
        <f t="shared" si="4"/>
        <v>0</v>
      </c>
      <c r="P22" s="272"/>
    </row>
    <row r="23" spans="2:16">
      <c r="B23" s="195" t="str">
        <f t="shared" si="5"/>
        <v/>
      </c>
      <c r="C23" s="507">
        <f>IF(D11="","-",+C22+1)</f>
        <v>2014</v>
      </c>
      <c r="D23" s="631">
        <v>14149473.865079364</v>
      </c>
      <c r="E23" s="630">
        <v>388543.90476190473</v>
      </c>
      <c r="F23" s="631">
        <v>13760929.960317459</v>
      </c>
      <c r="G23" s="630">
        <v>2245037.9597009113</v>
      </c>
      <c r="H23" s="639">
        <v>2245037.9597009113</v>
      </c>
      <c r="I23" s="511">
        <v>0</v>
      </c>
      <c r="J23" s="511"/>
      <c r="K23" s="518">
        <f t="shared" si="0"/>
        <v>2245037.9597009113</v>
      </c>
      <c r="L23" s="519">
        <f t="shared" si="1"/>
        <v>0</v>
      </c>
      <c r="M23" s="518">
        <f t="shared" si="2"/>
        <v>2245037.9597009113</v>
      </c>
      <c r="N23" s="514">
        <f t="shared" si="3"/>
        <v>0</v>
      </c>
      <c r="O23" s="514">
        <f t="shared" si="4"/>
        <v>0</v>
      </c>
      <c r="P23" s="272"/>
    </row>
    <row r="24" spans="2:16">
      <c r="B24" s="195" t="str">
        <f t="shared" si="5"/>
        <v/>
      </c>
      <c r="C24" s="507">
        <f>IF(D11="","-",+C23+1)</f>
        <v>2015</v>
      </c>
      <c r="D24" s="631">
        <v>13760929.960317459</v>
      </c>
      <c r="E24" s="630">
        <v>388543.90476190473</v>
      </c>
      <c r="F24" s="631">
        <v>13372386.055555554</v>
      </c>
      <c r="G24" s="630">
        <v>2149751.3487712028</v>
      </c>
      <c r="H24" s="639">
        <v>2149751.3487712028</v>
      </c>
      <c r="I24" s="511">
        <v>0</v>
      </c>
      <c r="J24" s="511"/>
      <c r="K24" s="518">
        <f t="shared" ref="K24:K29" si="6">G24</f>
        <v>2149751.3487712028</v>
      </c>
      <c r="L24" s="519">
        <f t="shared" ref="L24:L29" si="7">IF(K24&lt;&gt;0,+G24-K24,0)</f>
        <v>0</v>
      </c>
      <c r="M24" s="518">
        <f t="shared" ref="M24:M29" si="8">H24</f>
        <v>2149751.3487712028</v>
      </c>
      <c r="N24" s="514">
        <f>IF(M24&lt;&gt;0,+H24-M24,0)</f>
        <v>0</v>
      </c>
      <c r="O24" s="514">
        <f>+N24-L24</f>
        <v>0</v>
      </c>
      <c r="P24" s="272"/>
    </row>
    <row r="25" spans="2:16">
      <c r="B25" s="195" t="str">
        <f t="shared" si="5"/>
        <v/>
      </c>
      <c r="C25" s="507">
        <f>IF(D11="","-",+C24+1)</f>
        <v>2016</v>
      </c>
      <c r="D25" s="631">
        <v>13372386.055555554</v>
      </c>
      <c r="E25" s="630">
        <v>388543.90476190473</v>
      </c>
      <c r="F25" s="631">
        <v>12983842.150793649</v>
      </c>
      <c r="G25" s="630">
        <v>2077481.7673867224</v>
      </c>
      <c r="H25" s="639">
        <v>2077481.7673867224</v>
      </c>
      <c r="I25" s="511">
        <f t="shared" ref="I25:I33" si="9">H25-G25</f>
        <v>0</v>
      </c>
      <c r="J25" s="511"/>
      <c r="K25" s="518">
        <f t="shared" si="6"/>
        <v>2077481.7673867224</v>
      </c>
      <c r="L25" s="519">
        <f t="shared" si="7"/>
        <v>0</v>
      </c>
      <c r="M25" s="518">
        <f t="shared" si="8"/>
        <v>2077481.7673867224</v>
      </c>
      <c r="N25" s="514">
        <f>IF(M25&lt;&gt;0,+H25-M25,0)</f>
        <v>0</v>
      </c>
      <c r="O25" s="514">
        <f>+N25-L25</f>
        <v>0</v>
      </c>
      <c r="P25" s="272"/>
    </row>
    <row r="26" spans="2:16">
      <c r="B26" s="195" t="str">
        <f t="shared" si="5"/>
        <v/>
      </c>
      <c r="C26" s="507">
        <f>IF(D11="","-",+C25+1)</f>
        <v>2017</v>
      </c>
      <c r="D26" s="631">
        <v>12983842.150793649</v>
      </c>
      <c r="E26" s="630">
        <v>379508</v>
      </c>
      <c r="F26" s="631">
        <v>12604334.150793649</v>
      </c>
      <c r="G26" s="630">
        <v>1964599.9963135775</v>
      </c>
      <c r="H26" s="639">
        <v>1964599.9963135775</v>
      </c>
      <c r="I26" s="511">
        <f t="shared" si="9"/>
        <v>0</v>
      </c>
      <c r="J26" s="511"/>
      <c r="K26" s="518">
        <f t="shared" si="6"/>
        <v>1964599.9963135775</v>
      </c>
      <c r="L26" s="519">
        <f t="shared" si="7"/>
        <v>0</v>
      </c>
      <c r="M26" s="518">
        <f t="shared" si="8"/>
        <v>1964599.9963135775</v>
      </c>
      <c r="N26" s="514">
        <f>IF(M26&lt;&gt;0,+H26-M26,0)</f>
        <v>0</v>
      </c>
      <c r="O26" s="514">
        <f>+N26-L26</f>
        <v>0</v>
      </c>
      <c r="P26" s="272"/>
    </row>
    <row r="27" spans="2:16">
      <c r="B27" s="195" t="str">
        <f t="shared" si="5"/>
        <v/>
      </c>
      <c r="C27" s="507">
        <f>IF(D11="","-",+C26+1)</f>
        <v>2018</v>
      </c>
      <c r="D27" s="631">
        <v>12604334.150793649</v>
      </c>
      <c r="E27" s="630">
        <v>398020.58536585368</v>
      </c>
      <c r="F27" s="631">
        <v>12206313.565427795</v>
      </c>
      <c r="G27" s="630">
        <v>1974664.0430256741</v>
      </c>
      <c r="H27" s="639">
        <v>1974664.0430256741</v>
      </c>
      <c r="I27" s="511">
        <f t="shared" si="9"/>
        <v>0</v>
      </c>
      <c r="J27" s="511"/>
      <c r="K27" s="518">
        <f t="shared" si="6"/>
        <v>1974664.0430256741</v>
      </c>
      <c r="L27" s="519">
        <f t="shared" si="7"/>
        <v>0</v>
      </c>
      <c r="M27" s="518">
        <f t="shared" si="8"/>
        <v>1974664.0430256741</v>
      </c>
      <c r="N27" s="514">
        <f>IF(M27&lt;&gt;0,+H27-M27,0)</f>
        <v>0</v>
      </c>
      <c r="O27" s="514">
        <f>+N27-L27</f>
        <v>0</v>
      </c>
      <c r="P27" s="272"/>
    </row>
    <row r="28" spans="2:16">
      <c r="B28" s="195" t="str">
        <f t="shared" si="5"/>
        <v/>
      </c>
      <c r="C28" s="507">
        <f>IF(D11="","-",+C27+1)</f>
        <v>2019</v>
      </c>
      <c r="D28" s="631">
        <v>12206313.565427795</v>
      </c>
      <c r="E28" s="630">
        <v>398020.58536585368</v>
      </c>
      <c r="F28" s="631">
        <v>11808292.980061941</v>
      </c>
      <c r="G28" s="630">
        <v>1924077.9753737026</v>
      </c>
      <c r="H28" s="639">
        <v>1924077.9753737026</v>
      </c>
      <c r="I28" s="511">
        <f t="shared" si="9"/>
        <v>0</v>
      </c>
      <c r="J28" s="511"/>
      <c r="K28" s="518">
        <f t="shared" si="6"/>
        <v>1924077.9753737026</v>
      </c>
      <c r="L28" s="519">
        <f t="shared" si="7"/>
        <v>0</v>
      </c>
      <c r="M28" s="518">
        <f t="shared" si="8"/>
        <v>1924077.9753737026</v>
      </c>
      <c r="N28" s="514">
        <f t="shared" ref="N28:N72" si="10">IF(M28&lt;&gt;0,+H28-M28,0)</f>
        <v>0</v>
      </c>
      <c r="O28" s="514">
        <f t="shared" ref="O28:O72" si="11">+N28-L28</f>
        <v>0</v>
      </c>
      <c r="P28" s="272"/>
    </row>
    <row r="29" spans="2:16">
      <c r="B29" s="195" t="str">
        <f t="shared" si="5"/>
        <v/>
      </c>
      <c r="C29" s="507">
        <f>IF(D11="","-",+C28+1)</f>
        <v>2020</v>
      </c>
      <c r="D29" s="631">
        <v>11808292.980061941</v>
      </c>
      <c r="E29" s="630">
        <v>398020.58536585368</v>
      </c>
      <c r="F29" s="631">
        <v>11410272.394696087</v>
      </c>
      <c r="G29" s="630">
        <v>1586061.814731969</v>
      </c>
      <c r="H29" s="639">
        <v>1586061.814731969</v>
      </c>
      <c r="I29" s="511">
        <f t="shared" si="9"/>
        <v>0</v>
      </c>
      <c r="J29" s="511"/>
      <c r="K29" s="518">
        <f t="shared" si="6"/>
        <v>1586061.814731969</v>
      </c>
      <c r="L29" s="519">
        <f t="shared" si="7"/>
        <v>0</v>
      </c>
      <c r="M29" s="518">
        <f t="shared" si="8"/>
        <v>1586061.814731969</v>
      </c>
      <c r="N29" s="514">
        <f t="shared" si="10"/>
        <v>0</v>
      </c>
      <c r="O29" s="514">
        <f t="shared" si="11"/>
        <v>0</v>
      </c>
      <c r="P29" s="272"/>
    </row>
    <row r="30" spans="2:16">
      <c r="B30" s="195" t="str">
        <f t="shared" si="5"/>
        <v>IU</v>
      </c>
      <c r="C30" s="507">
        <f>IF(D11="","-",+C29+1)</f>
        <v>2021</v>
      </c>
      <c r="D30" s="631">
        <v>11428784.980061945</v>
      </c>
      <c r="E30" s="630">
        <v>388543.90476190473</v>
      </c>
      <c r="F30" s="631">
        <v>11040241.07530004</v>
      </c>
      <c r="G30" s="630">
        <v>1579453.3470366392</v>
      </c>
      <c r="H30" s="639">
        <v>1579453.3470366392</v>
      </c>
      <c r="I30" s="511">
        <f t="shared" si="9"/>
        <v>0</v>
      </c>
      <c r="J30" s="511"/>
      <c r="K30" s="518">
        <f t="shared" ref="K30" si="12">G30</f>
        <v>1579453.3470366392</v>
      </c>
      <c r="L30" s="519">
        <f t="shared" ref="L30" si="13">IF(K30&lt;&gt;0,+G30-K30,0)</f>
        <v>0</v>
      </c>
      <c r="M30" s="518">
        <f t="shared" ref="M30" si="14">H30</f>
        <v>1579453.3470366392</v>
      </c>
      <c r="N30" s="514">
        <f t="shared" si="10"/>
        <v>0</v>
      </c>
      <c r="O30" s="514">
        <f t="shared" si="11"/>
        <v>0</v>
      </c>
      <c r="P30" s="272"/>
    </row>
    <row r="31" spans="2:16">
      <c r="B31" s="195" t="str">
        <f t="shared" si="5"/>
        <v>IU</v>
      </c>
      <c r="C31" s="507">
        <f>IF(D11="","-",+C30+1)</f>
        <v>2022</v>
      </c>
      <c r="D31" s="631">
        <v>11021728.489934186</v>
      </c>
      <c r="E31" s="630">
        <v>388543.90476190473</v>
      </c>
      <c r="F31" s="631">
        <v>10633184.585172281</v>
      </c>
      <c r="G31" s="630">
        <v>1606027.4766677744</v>
      </c>
      <c r="H31" s="639">
        <v>1606027.4766677744</v>
      </c>
      <c r="I31" s="511">
        <f t="shared" si="9"/>
        <v>0</v>
      </c>
      <c r="J31" s="511"/>
      <c r="K31" s="518">
        <f t="shared" ref="K31" si="15">G31</f>
        <v>1606027.4766677744</v>
      </c>
      <c r="L31" s="519">
        <f t="shared" ref="L31" si="16">IF(K31&lt;&gt;0,+G31-K31,0)</f>
        <v>0</v>
      </c>
      <c r="M31" s="518">
        <f t="shared" ref="M31" si="17">H31</f>
        <v>1606027.4766677744</v>
      </c>
      <c r="N31" s="514">
        <f t="shared" si="10"/>
        <v>0</v>
      </c>
      <c r="O31" s="514">
        <f t="shared" si="11"/>
        <v>0</v>
      </c>
      <c r="P31" s="272"/>
    </row>
    <row r="32" spans="2:16">
      <c r="B32" s="195" t="str">
        <f t="shared" si="5"/>
        <v/>
      </c>
      <c r="C32" s="507">
        <f>IF(D11="","-",+C31+1)</f>
        <v>2023</v>
      </c>
      <c r="D32" s="631">
        <v>10633184.585172281</v>
      </c>
      <c r="E32" s="630">
        <v>388543.90476190473</v>
      </c>
      <c r="F32" s="631">
        <v>10244640.680410376</v>
      </c>
      <c r="G32" s="630">
        <v>1707258.207662385</v>
      </c>
      <c r="H32" s="639">
        <v>1707258.207662385</v>
      </c>
      <c r="I32" s="511">
        <f t="shared" si="9"/>
        <v>0</v>
      </c>
      <c r="J32" s="511"/>
      <c r="K32" s="518">
        <f t="shared" ref="K32" si="18">G32</f>
        <v>1707258.207662385</v>
      </c>
      <c r="L32" s="519">
        <f t="shared" ref="L32" si="19">IF(K32&lt;&gt;0,+G32-K32,0)</f>
        <v>0</v>
      </c>
      <c r="M32" s="518">
        <f t="shared" ref="M32" si="20">H32</f>
        <v>1707258.207662385</v>
      </c>
      <c r="N32" s="514">
        <f t="shared" ref="N32" si="21">IF(M32&lt;&gt;0,+H32-M32,0)</f>
        <v>0</v>
      </c>
      <c r="O32" s="514">
        <f t="shared" ref="O32" si="22">+N32-L32</f>
        <v>0</v>
      </c>
      <c r="P32" s="272"/>
    </row>
    <row r="33" spans="2:16">
      <c r="B33" s="195" t="str">
        <f t="shared" si="5"/>
        <v/>
      </c>
      <c r="C33" s="673">
        <f>IF(D11="","-",+C32+1)</f>
        <v>2024</v>
      </c>
      <c r="D33" s="523">
        <f>IF(F32+SUM(E$17:E32)=D$10,F32,D$10-SUM(E$17:E32))</f>
        <v>10244640.680410376</v>
      </c>
      <c r="E33" s="522">
        <f>IF(+I14&lt;F32,I14,D33)</f>
        <v>370882.81818181818</v>
      </c>
      <c r="F33" s="523">
        <f t="shared" ref="F33" si="23">+D33-E33</f>
        <v>9873757.8622285575</v>
      </c>
      <c r="G33" s="524">
        <f t="shared" ref="G33:G72" si="24">+I$12*((D33+F33)/2)+E33</f>
        <v>1573230.0538189975</v>
      </c>
      <c r="H33" s="491">
        <f t="shared" ref="H33:H72" si="25">+I$13*((D33+F33)/2)+E33</f>
        <v>1573230.0538189975</v>
      </c>
      <c r="I33" s="511">
        <f t="shared" si="9"/>
        <v>0</v>
      </c>
      <c r="J33" s="511"/>
      <c r="K33" s="525"/>
      <c r="L33" s="514">
        <f t="shared" ref="L33:L72" si="26">IF(K33&lt;&gt;0,+G33-K33,0)</f>
        <v>0</v>
      </c>
      <c r="M33" s="525"/>
      <c r="N33" s="514">
        <f t="shared" si="10"/>
        <v>0</v>
      </c>
      <c r="O33" s="514">
        <f t="shared" si="11"/>
        <v>0</v>
      </c>
      <c r="P33" s="272"/>
    </row>
    <row r="34" spans="2:16">
      <c r="B34" s="195" t="str">
        <f t="shared" si="5"/>
        <v/>
      </c>
      <c r="C34" s="507">
        <f>IF(D11="","-",+C33+1)</f>
        <v>2025</v>
      </c>
      <c r="D34" s="523">
        <f>IF(F33+SUM(E$17:E33)=D$10,F33,D$10-SUM(E$17:E33))</f>
        <v>9873757.8622285575</v>
      </c>
      <c r="E34" s="522">
        <f>IF(+I14&lt;F33,I14,D34)</f>
        <v>370882.81818181818</v>
      </c>
      <c r="F34" s="523">
        <f t="shared" ref="F34:F72" si="27">+D34-E34</f>
        <v>9502875.0440467391</v>
      </c>
      <c r="G34" s="524">
        <f t="shared" si="24"/>
        <v>1528899.4943819593</v>
      </c>
      <c r="H34" s="491">
        <f t="shared" si="25"/>
        <v>1528899.4943819593</v>
      </c>
      <c r="I34" s="511">
        <f t="shared" ref="I34:I72" si="28">H34-G34</f>
        <v>0</v>
      </c>
      <c r="J34" s="511"/>
      <c r="K34" s="525"/>
      <c r="L34" s="514">
        <f t="shared" si="26"/>
        <v>0</v>
      </c>
      <c r="M34" s="525"/>
      <c r="N34" s="514">
        <f t="shared" si="10"/>
        <v>0</v>
      </c>
      <c r="O34" s="514">
        <f t="shared" si="11"/>
        <v>0</v>
      </c>
      <c r="P34" s="272"/>
    </row>
    <row r="35" spans="2:16">
      <c r="B35" s="195" t="str">
        <f t="shared" si="5"/>
        <v/>
      </c>
      <c r="C35" s="507">
        <f>IF(D11="","-",+C34+1)</f>
        <v>2026</v>
      </c>
      <c r="D35" s="523">
        <f>IF(F34+SUM(E$17:E34)=D$10,F34,D$10-SUM(E$17:E34))</f>
        <v>9502875.0440467391</v>
      </c>
      <c r="E35" s="522">
        <f>IF(+I14&lt;F34,I14,D35)</f>
        <v>370882.81818181818</v>
      </c>
      <c r="F35" s="523">
        <f t="shared" si="27"/>
        <v>9131992.2258649208</v>
      </c>
      <c r="G35" s="524">
        <f t="shared" si="24"/>
        <v>1484568.9349449216</v>
      </c>
      <c r="H35" s="491">
        <f t="shared" si="25"/>
        <v>1484568.9349449216</v>
      </c>
      <c r="I35" s="511">
        <f t="shared" si="28"/>
        <v>0</v>
      </c>
      <c r="J35" s="511"/>
      <c r="K35" s="525"/>
      <c r="L35" s="514">
        <f t="shared" si="26"/>
        <v>0</v>
      </c>
      <c r="M35" s="525"/>
      <c r="N35" s="514">
        <f t="shared" si="10"/>
        <v>0</v>
      </c>
      <c r="O35" s="514">
        <f t="shared" si="11"/>
        <v>0</v>
      </c>
      <c r="P35" s="272"/>
    </row>
    <row r="36" spans="2:16">
      <c r="B36" s="195" t="str">
        <f t="shared" si="5"/>
        <v/>
      </c>
      <c r="C36" s="507">
        <f>IF(D11="","-",+C35+1)</f>
        <v>2027</v>
      </c>
      <c r="D36" s="523">
        <f>IF(F35+SUM(E$17:E35)=D$10,F35,D$10-SUM(E$17:E35))</f>
        <v>9131992.2258649208</v>
      </c>
      <c r="E36" s="522">
        <f>IF(+I14&lt;F35,I14,D36)</f>
        <v>370882.81818181818</v>
      </c>
      <c r="F36" s="523">
        <f t="shared" si="27"/>
        <v>8761109.4076831024</v>
      </c>
      <c r="G36" s="524">
        <f t="shared" si="24"/>
        <v>1440238.3755078837</v>
      </c>
      <c r="H36" s="491">
        <f t="shared" si="25"/>
        <v>1440238.3755078837</v>
      </c>
      <c r="I36" s="511">
        <f t="shared" si="28"/>
        <v>0</v>
      </c>
      <c r="J36" s="511"/>
      <c r="K36" s="525"/>
      <c r="L36" s="514">
        <f t="shared" si="26"/>
        <v>0</v>
      </c>
      <c r="M36" s="525"/>
      <c r="N36" s="514">
        <f t="shared" si="10"/>
        <v>0</v>
      </c>
      <c r="O36" s="514">
        <f t="shared" si="11"/>
        <v>0</v>
      </c>
      <c r="P36" s="272"/>
    </row>
    <row r="37" spans="2:16">
      <c r="B37" s="195" t="str">
        <f t="shared" si="5"/>
        <v/>
      </c>
      <c r="C37" s="507">
        <f>IF(D11="","-",+C36+1)</f>
        <v>2028</v>
      </c>
      <c r="D37" s="523">
        <f>IF(F36+SUM(E$17:E36)=D$10,F36,D$10-SUM(E$17:E36))</f>
        <v>8761109.4076831024</v>
      </c>
      <c r="E37" s="522">
        <f>IF(+I14&lt;F36,I14,D37)</f>
        <v>370882.81818181818</v>
      </c>
      <c r="F37" s="523">
        <f t="shared" si="27"/>
        <v>8390226.5895012841</v>
      </c>
      <c r="G37" s="524">
        <f t="shared" si="24"/>
        <v>1395907.816070846</v>
      </c>
      <c r="H37" s="491">
        <f t="shared" si="25"/>
        <v>1395907.816070846</v>
      </c>
      <c r="I37" s="511">
        <f t="shared" si="28"/>
        <v>0</v>
      </c>
      <c r="J37" s="511"/>
      <c r="K37" s="525"/>
      <c r="L37" s="514">
        <f t="shared" si="26"/>
        <v>0</v>
      </c>
      <c r="M37" s="525"/>
      <c r="N37" s="514">
        <f t="shared" si="10"/>
        <v>0</v>
      </c>
      <c r="O37" s="514">
        <f t="shared" si="11"/>
        <v>0</v>
      </c>
      <c r="P37" s="272"/>
    </row>
    <row r="38" spans="2:16">
      <c r="B38" s="195" t="str">
        <f t="shared" si="5"/>
        <v/>
      </c>
      <c r="C38" s="507">
        <f>IF(D11="","-",+C37+1)</f>
        <v>2029</v>
      </c>
      <c r="D38" s="523">
        <f>IF(F37+SUM(E$17:E37)=D$10,F37,D$10-SUM(E$17:E37))</f>
        <v>8390226.5895012841</v>
      </c>
      <c r="E38" s="522">
        <f>IF(+I14&lt;F37,I14,D38)</f>
        <v>370882.81818181818</v>
      </c>
      <c r="F38" s="523">
        <f t="shared" si="27"/>
        <v>8019343.7713194657</v>
      </c>
      <c r="G38" s="524">
        <f t="shared" si="24"/>
        <v>1351577.2566338079</v>
      </c>
      <c r="H38" s="491">
        <f t="shared" si="25"/>
        <v>1351577.2566338079</v>
      </c>
      <c r="I38" s="511">
        <f t="shared" si="28"/>
        <v>0</v>
      </c>
      <c r="J38" s="511"/>
      <c r="K38" s="525"/>
      <c r="L38" s="514">
        <f t="shared" si="26"/>
        <v>0</v>
      </c>
      <c r="M38" s="525"/>
      <c r="N38" s="514">
        <f t="shared" si="10"/>
        <v>0</v>
      </c>
      <c r="O38" s="514">
        <f t="shared" si="11"/>
        <v>0</v>
      </c>
      <c r="P38" s="272"/>
    </row>
    <row r="39" spans="2:16">
      <c r="B39" s="195" t="str">
        <f t="shared" si="5"/>
        <v/>
      </c>
      <c r="C39" s="507">
        <f>IF(D11="","-",+C38+1)</f>
        <v>2030</v>
      </c>
      <c r="D39" s="523">
        <f>IF(F38+SUM(E$17:E38)=D$10,F38,D$10-SUM(E$17:E38))</f>
        <v>8019343.7713194657</v>
      </c>
      <c r="E39" s="522">
        <f>IF(+I14&lt;F38,I14,D39)</f>
        <v>370882.81818181818</v>
      </c>
      <c r="F39" s="523">
        <f t="shared" si="27"/>
        <v>7648460.9531376474</v>
      </c>
      <c r="G39" s="524">
        <f t="shared" si="24"/>
        <v>1307246.6971967702</v>
      </c>
      <c r="H39" s="491">
        <f t="shared" si="25"/>
        <v>1307246.6971967702</v>
      </c>
      <c r="I39" s="511">
        <f t="shared" si="28"/>
        <v>0</v>
      </c>
      <c r="J39" s="511"/>
      <c r="K39" s="525"/>
      <c r="L39" s="514">
        <f t="shared" si="26"/>
        <v>0</v>
      </c>
      <c r="M39" s="525"/>
      <c r="N39" s="514">
        <f t="shared" si="10"/>
        <v>0</v>
      </c>
      <c r="O39" s="514">
        <f t="shared" si="11"/>
        <v>0</v>
      </c>
      <c r="P39" s="272"/>
    </row>
    <row r="40" spans="2:16">
      <c r="B40" s="195" t="str">
        <f t="shared" si="5"/>
        <v/>
      </c>
      <c r="C40" s="507">
        <f>IF(D11="","-",+C39+1)</f>
        <v>2031</v>
      </c>
      <c r="D40" s="523">
        <f>IF(F39+SUM(E$17:E39)=D$10,F39,D$10-SUM(E$17:E39))</f>
        <v>7648460.9531376474</v>
      </c>
      <c r="E40" s="522">
        <f>IF(+I14&lt;F39,I14,D40)</f>
        <v>370882.81818181818</v>
      </c>
      <c r="F40" s="523">
        <f t="shared" si="27"/>
        <v>7277578.134955829</v>
      </c>
      <c r="G40" s="524">
        <f t="shared" si="24"/>
        <v>1262916.1377597323</v>
      </c>
      <c r="H40" s="491">
        <f t="shared" si="25"/>
        <v>1262916.1377597323</v>
      </c>
      <c r="I40" s="511">
        <f t="shared" si="28"/>
        <v>0</v>
      </c>
      <c r="J40" s="511"/>
      <c r="K40" s="525"/>
      <c r="L40" s="514">
        <f t="shared" si="26"/>
        <v>0</v>
      </c>
      <c r="M40" s="525"/>
      <c r="N40" s="514">
        <f t="shared" si="10"/>
        <v>0</v>
      </c>
      <c r="O40" s="514">
        <f t="shared" si="11"/>
        <v>0</v>
      </c>
      <c r="P40" s="272"/>
    </row>
    <row r="41" spans="2:16">
      <c r="B41" s="195" t="str">
        <f t="shared" si="5"/>
        <v/>
      </c>
      <c r="C41" s="507">
        <f>IF(D11="","-",+C40+1)</f>
        <v>2032</v>
      </c>
      <c r="D41" s="523">
        <f>IF(F40+SUM(E$17:E40)=D$10,F40,D$10-SUM(E$17:E40))</f>
        <v>7277578.134955829</v>
      </c>
      <c r="E41" s="522">
        <f>IF(+I14&lt;F40,I14,D41)</f>
        <v>370882.81818181818</v>
      </c>
      <c r="F41" s="523">
        <f t="shared" si="27"/>
        <v>6906695.3167740107</v>
      </c>
      <c r="G41" s="524">
        <f t="shared" si="24"/>
        <v>1218585.5783226944</v>
      </c>
      <c r="H41" s="491">
        <f t="shared" si="25"/>
        <v>1218585.5783226944</v>
      </c>
      <c r="I41" s="511">
        <f t="shared" si="28"/>
        <v>0</v>
      </c>
      <c r="J41" s="511"/>
      <c r="K41" s="525"/>
      <c r="L41" s="514">
        <f t="shared" si="26"/>
        <v>0</v>
      </c>
      <c r="M41" s="525"/>
      <c r="N41" s="514">
        <f t="shared" si="10"/>
        <v>0</v>
      </c>
      <c r="O41" s="514">
        <f t="shared" si="11"/>
        <v>0</v>
      </c>
      <c r="P41" s="272"/>
    </row>
    <row r="42" spans="2:16">
      <c r="B42" s="195" t="str">
        <f t="shared" si="5"/>
        <v/>
      </c>
      <c r="C42" s="507">
        <f>IF(D11="","-",+C41+1)</f>
        <v>2033</v>
      </c>
      <c r="D42" s="523">
        <f>IF(F41+SUM(E$17:E41)=D$10,F41,D$10-SUM(E$17:E41))</f>
        <v>6906695.3167740107</v>
      </c>
      <c r="E42" s="522">
        <f>IF(+I14&lt;F41,I14,D42)</f>
        <v>370882.81818181818</v>
      </c>
      <c r="F42" s="523">
        <f t="shared" si="27"/>
        <v>6535812.4985921923</v>
      </c>
      <c r="G42" s="524">
        <f t="shared" si="24"/>
        <v>1174255.0188856565</v>
      </c>
      <c r="H42" s="491">
        <f t="shared" si="25"/>
        <v>1174255.0188856565</v>
      </c>
      <c r="I42" s="511">
        <f t="shared" si="28"/>
        <v>0</v>
      </c>
      <c r="J42" s="511"/>
      <c r="K42" s="525"/>
      <c r="L42" s="514">
        <f t="shared" si="26"/>
        <v>0</v>
      </c>
      <c r="M42" s="525"/>
      <c r="N42" s="514">
        <f t="shared" si="10"/>
        <v>0</v>
      </c>
      <c r="O42" s="514">
        <f t="shared" si="11"/>
        <v>0</v>
      </c>
      <c r="P42" s="272"/>
    </row>
    <row r="43" spans="2:16">
      <c r="B43" s="195" t="str">
        <f t="shared" si="5"/>
        <v/>
      </c>
      <c r="C43" s="507">
        <f>IF(D11="","-",+C42+1)</f>
        <v>2034</v>
      </c>
      <c r="D43" s="523">
        <f>IF(F42+SUM(E$17:E42)=D$10,F42,D$10-SUM(E$17:E42))</f>
        <v>6535812.4985921923</v>
      </c>
      <c r="E43" s="522">
        <f>IF(+I14&lt;F42,I14,D43)</f>
        <v>370882.81818181818</v>
      </c>
      <c r="F43" s="523">
        <f t="shared" si="27"/>
        <v>6164929.680410374</v>
      </c>
      <c r="G43" s="524">
        <f t="shared" si="24"/>
        <v>1129924.4594486186</v>
      </c>
      <c r="H43" s="491">
        <f t="shared" si="25"/>
        <v>1129924.4594486186</v>
      </c>
      <c r="I43" s="511">
        <f t="shared" si="28"/>
        <v>0</v>
      </c>
      <c r="J43" s="511"/>
      <c r="K43" s="525"/>
      <c r="L43" s="514">
        <f t="shared" si="26"/>
        <v>0</v>
      </c>
      <c r="M43" s="525"/>
      <c r="N43" s="514">
        <f t="shared" si="10"/>
        <v>0</v>
      </c>
      <c r="O43" s="514">
        <f t="shared" si="11"/>
        <v>0</v>
      </c>
      <c r="P43" s="272"/>
    </row>
    <row r="44" spans="2:16">
      <c r="B44" s="195" t="str">
        <f t="shared" si="5"/>
        <v/>
      </c>
      <c r="C44" s="507">
        <f>IF(D11="","-",+C43+1)</f>
        <v>2035</v>
      </c>
      <c r="D44" s="523">
        <f>IF(F43+SUM(E$17:E43)=D$10,F43,D$10-SUM(E$17:E43))</f>
        <v>6164929.680410374</v>
      </c>
      <c r="E44" s="522">
        <f>IF(+I14&lt;F43,I14,D44)</f>
        <v>370882.81818181818</v>
      </c>
      <c r="F44" s="523">
        <f t="shared" si="27"/>
        <v>5794046.8622285556</v>
      </c>
      <c r="G44" s="524">
        <f t="shared" si="24"/>
        <v>1085593.9000115807</v>
      </c>
      <c r="H44" s="491">
        <f t="shared" si="25"/>
        <v>1085593.9000115807</v>
      </c>
      <c r="I44" s="511">
        <f t="shared" si="28"/>
        <v>0</v>
      </c>
      <c r="J44" s="511"/>
      <c r="K44" s="525"/>
      <c r="L44" s="514">
        <f t="shared" si="26"/>
        <v>0</v>
      </c>
      <c r="M44" s="525"/>
      <c r="N44" s="514">
        <f t="shared" si="10"/>
        <v>0</v>
      </c>
      <c r="O44" s="514">
        <f t="shared" si="11"/>
        <v>0</v>
      </c>
      <c r="P44" s="272"/>
    </row>
    <row r="45" spans="2:16">
      <c r="B45" s="195" t="str">
        <f t="shared" si="5"/>
        <v/>
      </c>
      <c r="C45" s="507">
        <f>IF(D11="","-",+C44+1)</f>
        <v>2036</v>
      </c>
      <c r="D45" s="523">
        <f>IF(F44+SUM(E$17:E44)=D$10,F44,D$10-SUM(E$17:E44))</f>
        <v>5794046.8622285556</v>
      </c>
      <c r="E45" s="522">
        <f>IF(+I14&lt;F44,I14,D45)</f>
        <v>370882.81818181818</v>
      </c>
      <c r="F45" s="523">
        <f t="shared" si="27"/>
        <v>5423164.0440467373</v>
      </c>
      <c r="G45" s="524">
        <f t="shared" si="24"/>
        <v>1041263.3405745428</v>
      </c>
      <c r="H45" s="491">
        <f t="shared" si="25"/>
        <v>1041263.3405745428</v>
      </c>
      <c r="I45" s="511">
        <f t="shared" si="28"/>
        <v>0</v>
      </c>
      <c r="J45" s="511"/>
      <c r="K45" s="525"/>
      <c r="L45" s="514">
        <f t="shared" si="26"/>
        <v>0</v>
      </c>
      <c r="M45" s="525"/>
      <c r="N45" s="514">
        <f t="shared" si="10"/>
        <v>0</v>
      </c>
      <c r="O45" s="514">
        <f t="shared" si="11"/>
        <v>0</v>
      </c>
      <c r="P45" s="272"/>
    </row>
    <row r="46" spans="2:16">
      <c r="B46" s="195" t="str">
        <f t="shared" si="5"/>
        <v/>
      </c>
      <c r="C46" s="507">
        <f>IF(D11="","-",+C45+1)</f>
        <v>2037</v>
      </c>
      <c r="D46" s="523">
        <f>IF(F45+SUM(E$17:E45)=D$10,F45,D$10-SUM(E$17:E45))</f>
        <v>5423164.0440467373</v>
      </c>
      <c r="E46" s="522">
        <f>IF(+I14&lt;F45,I14,D46)</f>
        <v>370882.81818181818</v>
      </c>
      <c r="F46" s="523">
        <f t="shared" si="27"/>
        <v>5052281.2258649189</v>
      </c>
      <c r="G46" s="524">
        <f t="shared" si="24"/>
        <v>996932.78113750485</v>
      </c>
      <c r="H46" s="491">
        <f t="shared" si="25"/>
        <v>996932.78113750485</v>
      </c>
      <c r="I46" s="511">
        <f t="shared" si="28"/>
        <v>0</v>
      </c>
      <c r="J46" s="511"/>
      <c r="K46" s="525"/>
      <c r="L46" s="514">
        <f t="shared" si="26"/>
        <v>0</v>
      </c>
      <c r="M46" s="525"/>
      <c r="N46" s="514">
        <f t="shared" si="10"/>
        <v>0</v>
      </c>
      <c r="O46" s="514">
        <f t="shared" si="11"/>
        <v>0</v>
      </c>
      <c r="P46" s="272"/>
    </row>
    <row r="47" spans="2:16">
      <c r="B47" s="195" t="str">
        <f t="shared" si="5"/>
        <v/>
      </c>
      <c r="C47" s="507">
        <f>IF(D11="","-",+C46+1)</f>
        <v>2038</v>
      </c>
      <c r="D47" s="523">
        <f>IF(F46+SUM(E$17:E46)=D$10,F46,D$10-SUM(E$17:E46))</f>
        <v>5052281.2258649189</v>
      </c>
      <c r="E47" s="522">
        <f>IF(+I14&lt;F46,I14,D47)</f>
        <v>370882.81818181818</v>
      </c>
      <c r="F47" s="523">
        <f t="shared" si="27"/>
        <v>4681398.4076831006</v>
      </c>
      <c r="G47" s="524">
        <f t="shared" si="24"/>
        <v>952602.22170046694</v>
      </c>
      <c r="H47" s="491">
        <f t="shared" si="25"/>
        <v>952602.22170046694</v>
      </c>
      <c r="I47" s="511">
        <f t="shared" si="28"/>
        <v>0</v>
      </c>
      <c r="J47" s="511"/>
      <c r="K47" s="525"/>
      <c r="L47" s="514">
        <f t="shared" si="26"/>
        <v>0</v>
      </c>
      <c r="M47" s="525"/>
      <c r="N47" s="514">
        <f t="shared" si="10"/>
        <v>0</v>
      </c>
      <c r="O47" s="514">
        <f t="shared" si="11"/>
        <v>0</v>
      </c>
      <c r="P47" s="272"/>
    </row>
    <row r="48" spans="2:16">
      <c r="B48" s="195" t="str">
        <f t="shared" si="5"/>
        <v/>
      </c>
      <c r="C48" s="507">
        <f>IF(D11="","-",+C47+1)</f>
        <v>2039</v>
      </c>
      <c r="D48" s="523">
        <f>IF(F47+SUM(E$17:E47)=D$10,F47,D$10-SUM(E$17:E47))</f>
        <v>4681398.4076831006</v>
      </c>
      <c r="E48" s="522">
        <f>IF(+I14&lt;F47,I14,D48)</f>
        <v>370882.81818181818</v>
      </c>
      <c r="F48" s="523">
        <f t="shared" si="27"/>
        <v>4310515.5895012822</v>
      </c>
      <c r="G48" s="524">
        <f t="shared" si="24"/>
        <v>908271.66226342903</v>
      </c>
      <c r="H48" s="491">
        <f t="shared" si="25"/>
        <v>908271.66226342903</v>
      </c>
      <c r="I48" s="511">
        <f t="shared" si="28"/>
        <v>0</v>
      </c>
      <c r="J48" s="511"/>
      <c r="K48" s="525"/>
      <c r="L48" s="514">
        <f t="shared" si="26"/>
        <v>0</v>
      </c>
      <c r="M48" s="525"/>
      <c r="N48" s="514">
        <f t="shared" si="10"/>
        <v>0</v>
      </c>
      <c r="O48" s="514">
        <f t="shared" si="11"/>
        <v>0</v>
      </c>
      <c r="P48" s="272"/>
    </row>
    <row r="49" spans="2:16">
      <c r="B49" s="195" t="str">
        <f t="shared" si="5"/>
        <v/>
      </c>
      <c r="C49" s="507">
        <f>IF(D11="","-",+C48+1)</f>
        <v>2040</v>
      </c>
      <c r="D49" s="523">
        <f>IF(F48+SUM(E$17:E48)=D$10,F48,D$10-SUM(E$17:E48))</f>
        <v>4310515.5895012822</v>
      </c>
      <c r="E49" s="522">
        <f>IF(+I14&lt;F48,I14,D49)</f>
        <v>370882.81818181818</v>
      </c>
      <c r="F49" s="523">
        <f t="shared" si="27"/>
        <v>3939632.7713194638</v>
      </c>
      <c r="G49" s="524">
        <f t="shared" si="24"/>
        <v>863941.10282639111</v>
      </c>
      <c r="H49" s="491">
        <f t="shared" si="25"/>
        <v>863941.10282639111</v>
      </c>
      <c r="I49" s="511">
        <f t="shared" si="28"/>
        <v>0</v>
      </c>
      <c r="J49" s="511"/>
      <c r="K49" s="525"/>
      <c r="L49" s="514">
        <f t="shared" si="26"/>
        <v>0</v>
      </c>
      <c r="M49" s="525"/>
      <c r="N49" s="514">
        <f t="shared" si="10"/>
        <v>0</v>
      </c>
      <c r="O49" s="514">
        <f t="shared" si="11"/>
        <v>0</v>
      </c>
      <c r="P49" s="272"/>
    </row>
    <row r="50" spans="2:16">
      <c r="B50" s="195" t="str">
        <f t="shared" si="5"/>
        <v/>
      </c>
      <c r="C50" s="507">
        <f>IF(D11="","-",+C49+1)</f>
        <v>2041</v>
      </c>
      <c r="D50" s="523">
        <f>IF(F49+SUM(E$17:E49)=D$10,F49,D$10-SUM(E$17:E49))</f>
        <v>3939632.7713194638</v>
      </c>
      <c r="E50" s="522">
        <f>IF(+I14&lt;F49,I14,D50)</f>
        <v>370882.81818181818</v>
      </c>
      <c r="F50" s="523">
        <f t="shared" si="27"/>
        <v>3568749.9531376455</v>
      </c>
      <c r="G50" s="524">
        <f t="shared" si="24"/>
        <v>819610.54338935332</v>
      </c>
      <c r="H50" s="491">
        <f t="shared" si="25"/>
        <v>819610.54338935332</v>
      </c>
      <c r="I50" s="511">
        <f t="shared" si="28"/>
        <v>0</v>
      </c>
      <c r="J50" s="511"/>
      <c r="K50" s="525"/>
      <c r="L50" s="514">
        <f t="shared" si="26"/>
        <v>0</v>
      </c>
      <c r="M50" s="525"/>
      <c r="N50" s="514">
        <f t="shared" si="10"/>
        <v>0</v>
      </c>
      <c r="O50" s="514">
        <f t="shared" si="11"/>
        <v>0</v>
      </c>
      <c r="P50" s="272"/>
    </row>
    <row r="51" spans="2:16">
      <c r="B51" s="195" t="str">
        <f t="shared" si="5"/>
        <v/>
      </c>
      <c r="C51" s="507">
        <f>IF(D11="","-",+C50+1)</f>
        <v>2042</v>
      </c>
      <c r="D51" s="523">
        <f>IF(F50+SUM(E$17:E50)=D$10,F50,D$10-SUM(E$17:E50))</f>
        <v>3568749.9531376455</v>
      </c>
      <c r="E51" s="522">
        <f>IF(+I14&lt;F50,I14,D51)</f>
        <v>370882.81818181818</v>
      </c>
      <c r="F51" s="523">
        <f t="shared" si="27"/>
        <v>3197867.1349558271</v>
      </c>
      <c r="G51" s="524">
        <f t="shared" si="24"/>
        <v>775279.98395231541</v>
      </c>
      <c r="H51" s="491">
        <f t="shared" si="25"/>
        <v>775279.98395231541</v>
      </c>
      <c r="I51" s="511">
        <f t="shared" si="28"/>
        <v>0</v>
      </c>
      <c r="J51" s="511"/>
      <c r="K51" s="525"/>
      <c r="L51" s="514">
        <f t="shared" si="26"/>
        <v>0</v>
      </c>
      <c r="M51" s="525"/>
      <c r="N51" s="514">
        <f t="shared" si="10"/>
        <v>0</v>
      </c>
      <c r="O51" s="514">
        <f t="shared" si="11"/>
        <v>0</v>
      </c>
      <c r="P51" s="272"/>
    </row>
    <row r="52" spans="2:16">
      <c r="B52" s="195" t="str">
        <f t="shared" si="5"/>
        <v/>
      </c>
      <c r="C52" s="507">
        <f>IF(D11="","-",+C51+1)</f>
        <v>2043</v>
      </c>
      <c r="D52" s="523">
        <f>IF(F51+SUM(E$17:E51)=D$10,F51,D$10-SUM(E$17:E51))</f>
        <v>3197867.1349558271</v>
      </c>
      <c r="E52" s="522">
        <f>IF(+I14&lt;F51,I14,D52)</f>
        <v>370882.81818181818</v>
      </c>
      <c r="F52" s="523">
        <f t="shared" si="27"/>
        <v>2826984.3167740088</v>
      </c>
      <c r="G52" s="524">
        <f t="shared" si="24"/>
        <v>730949.4245152775</v>
      </c>
      <c r="H52" s="491">
        <f t="shared" si="25"/>
        <v>730949.4245152775</v>
      </c>
      <c r="I52" s="511">
        <f t="shared" si="28"/>
        <v>0</v>
      </c>
      <c r="J52" s="511"/>
      <c r="K52" s="525"/>
      <c r="L52" s="514">
        <f t="shared" si="26"/>
        <v>0</v>
      </c>
      <c r="M52" s="525"/>
      <c r="N52" s="514">
        <f t="shared" si="10"/>
        <v>0</v>
      </c>
      <c r="O52" s="514">
        <f t="shared" si="11"/>
        <v>0</v>
      </c>
      <c r="P52" s="272"/>
    </row>
    <row r="53" spans="2:16">
      <c r="B53" s="195" t="str">
        <f t="shared" si="5"/>
        <v/>
      </c>
      <c r="C53" s="507">
        <f>IF(D11="","-",+C52+1)</f>
        <v>2044</v>
      </c>
      <c r="D53" s="523">
        <f>IF(F52+SUM(E$17:E52)=D$10,F52,D$10-SUM(E$17:E52))</f>
        <v>2826984.3167740088</v>
      </c>
      <c r="E53" s="522">
        <f>IF(+I14&lt;F52,I14,D53)</f>
        <v>370882.81818181818</v>
      </c>
      <c r="F53" s="523">
        <f t="shared" si="27"/>
        <v>2456101.4985921904</v>
      </c>
      <c r="G53" s="524">
        <f t="shared" si="24"/>
        <v>686618.8650782397</v>
      </c>
      <c r="H53" s="491">
        <f t="shared" si="25"/>
        <v>686618.8650782397</v>
      </c>
      <c r="I53" s="511">
        <f t="shared" si="28"/>
        <v>0</v>
      </c>
      <c r="J53" s="511"/>
      <c r="K53" s="525"/>
      <c r="L53" s="514">
        <f t="shared" si="26"/>
        <v>0</v>
      </c>
      <c r="M53" s="525"/>
      <c r="N53" s="514">
        <f t="shared" si="10"/>
        <v>0</v>
      </c>
      <c r="O53" s="514">
        <f t="shared" si="11"/>
        <v>0</v>
      </c>
      <c r="P53" s="272"/>
    </row>
    <row r="54" spans="2:16">
      <c r="B54" s="195" t="str">
        <f t="shared" si="5"/>
        <v/>
      </c>
      <c r="C54" s="507">
        <f>IF(D11="","-",+C53+1)</f>
        <v>2045</v>
      </c>
      <c r="D54" s="523">
        <f>IF(F53+SUM(E$17:E53)=D$10,F53,D$10-SUM(E$17:E53))</f>
        <v>2456101.4985921904</v>
      </c>
      <c r="E54" s="522">
        <f>IF(+I14&lt;F53,I14,D54)</f>
        <v>370882.81818181818</v>
      </c>
      <c r="F54" s="523">
        <f t="shared" si="27"/>
        <v>2085218.6804103723</v>
      </c>
      <c r="G54" s="524">
        <f t="shared" si="24"/>
        <v>642288.30564120179</v>
      </c>
      <c r="H54" s="491">
        <f t="shared" si="25"/>
        <v>642288.30564120179</v>
      </c>
      <c r="I54" s="511">
        <f t="shared" si="28"/>
        <v>0</v>
      </c>
      <c r="J54" s="511"/>
      <c r="K54" s="525"/>
      <c r="L54" s="514">
        <f t="shared" si="26"/>
        <v>0</v>
      </c>
      <c r="M54" s="525"/>
      <c r="N54" s="514">
        <f t="shared" si="10"/>
        <v>0</v>
      </c>
      <c r="O54" s="514">
        <f t="shared" si="11"/>
        <v>0</v>
      </c>
      <c r="P54" s="272"/>
    </row>
    <row r="55" spans="2:16">
      <c r="B55" s="195" t="str">
        <f t="shared" si="5"/>
        <v/>
      </c>
      <c r="C55" s="507">
        <f>IF(D11="","-",+C54+1)</f>
        <v>2046</v>
      </c>
      <c r="D55" s="523">
        <f>IF(F54+SUM(E$17:E54)=D$10,F54,D$10-SUM(E$17:E54))</f>
        <v>2085218.6804103723</v>
      </c>
      <c r="E55" s="522">
        <f>IF(+I14&lt;F54,I14,D55)</f>
        <v>370882.81818181818</v>
      </c>
      <c r="F55" s="523">
        <f t="shared" si="27"/>
        <v>1714335.8622285542</v>
      </c>
      <c r="G55" s="524">
        <f t="shared" si="24"/>
        <v>597957.74620416388</v>
      </c>
      <c r="H55" s="491">
        <f t="shared" si="25"/>
        <v>597957.74620416388</v>
      </c>
      <c r="I55" s="511">
        <f t="shared" si="28"/>
        <v>0</v>
      </c>
      <c r="J55" s="511"/>
      <c r="K55" s="525"/>
      <c r="L55" s="514">
        <f t="shared" si="26"/>
        <v>0</v>
      </c>
      <c r="M55" s="525"/>
      <c r="N55" s="514">
        <f t="shared" si="10"/>
        <v>0</v>
      </c>
      <c r="O55" s="514">
        <f t="shared" si="11"/>
        <v>0</v>
      </c>
      <c r="P55" s="272"/>
    </row>
    <row r="56" spans="2:16">
      <c r="B56" s="195" t="str">
        <f t="shared" si="5"/>
        <v/>
      </c>
      <c r="C56" s="507">
        <f>IF(D11="","-",+C55+1)</f>
        <v>2047</v>
      </c>
      <c r="D56" s="523">
        <f>IF(F55+SUM(E$17:E55)=D$10,F55,D$10-SUM(E$17:E55))</f>
        <v>1714335.8622285542</v>
      </c>
      <c r="E56" s="522">
        <f>IF(+I14&lt;F55,I14,D56)</f>
        <v>370882.81818181818</v>
      </c>
      <c r="F56" s="523">
        <f t="shared" si="27"/>
        <v>1343453.0440467361</v>
      </c>
      <c r="G56" s="524">
        <f t="shared" si="24"/>
        <v>553627.18676712597</v>
      </c>
      <c r="H56" s="491">
        <f t="shared" si="25"/>
        <v>553627.18676712597</v>
      </c>
      <c r="I56" s="511">
        <f t="shared" si="28"/>
        <v>0</v>
      </c>
      <c r="J56" s="511"/>
      <c r="K56" s="525"/>
      <c r="L56" s="514">
        <f t="shared" si="26"/>
        <v>0</v>
      </c>
      <c r="M56" s="525"/>
      <c r="N56" s="514">
        <f t="shared" si="10"/>
        <v>0</v>
      </c>
      <c r="O56" s="514">
        <f t="shared" si="11"/>
        <v>0</v>
      </c>
      <c r="P56" s="272"/>
    </row>
    <row r="57" spans="2:16">
      <c r="B57" s="195" t="str">
        <f t="shared" si="5"/>
        <v/>
      </c>
      <c r="C57" s="507">
        <f>IF(D11="","-",+C56+1)</f>
        <v>2048</v>
      </c>
      <c r="D57" s="523">
        <f>IF(F56+SUM(E$17:E56)=D$10,F56,D$10-SUM(E$17:E56))</f>
        <v>1343453.0440467361</v>
      </c>
      <c r="E57" s="522">
        <f>IF(+I14&lt;F56,I14,D57)</f>
        <v>370882.81818181818</v>
      </c>
      <c r="F57" s="523">
        <f t="shared" si="27"/>
        <v>972570.22586491797</v>
      </c>
      <c r="G57" s="524">
        <f t="shared" si="24"/>
        <v>509296.62733008817</v>
      </c>
      <c r="H57" s="491">
        <f t="shared" si="25"/>
        <v>509296.62733008817</v>
      </c>
      <c r="I57" s="511">
        <f t="shared" si="28"/>
        <v>0</v>
      </c>
      <c r="J57" s="511"/>
      <c r="K57" s="525"/>
      <c r="L57" s="514">
        <f t="shared" si="26"/>
        <v>0</v>
      </c>
      <c r="M57" s="525"/>
      <c r="N57" s="514">
        <f t="shared" si="10"/>
        <v>0</v>
      </c>
      <c r="O57" s="514">
        <f t="shared" si="11"/>
        <v>0</v>
      </c>
      <c r="P57" s="272"/>
    </row>
    <row r="58" spans="2:16">
      <c r="B58" s="195" t="str">
        <f t="shared" si="5"/>
        <v/>
      </c>
      <c r="C58" s="507">
        <f>IF(D11="","-",+C57+1)</f>
        <v>2049</v>
      </c>
      <c r="D58" s="523">
        <f>IF(F57+SUM(E$17:E57)=D$10,F57,D$10-SUM(E$17:E57))</f>
        <v>972570.22586491797</v>
      </c>
      <c r="E58" s="522">
        <f>IF(+I14&lt;F57,I14,D58)</f>
        <v>370882.81818181818</v>
      </c>
      <c r="F58" s="523">
        <f t="shared" si="27"/>
        <v>601687.40768309985</v>
      </c>
      <c r="G58" s="524">
        <f t="shared" si="24"/>
        <v>464966.06789305026</v>
      </c>
      <c r="H58" s="491">
        <f t="shared" si="25"/>
        <v>464966.06789305026</v>
      </c>
      <c r="I58" s="511">
        <f t="shared" si="28"/>
        <v>0</v>
      </c>
      <c r="J58" s="511"/>
      <c r="K58" s="525"/>
      <c r="L58" s="514">
        <f t="shared" si="26"/>
        <v>0</v>
      </c>
      <c r="M58" s="525"/>
      <c r="N58" s="514">
        <f t="shared" si="10"/>
        <v>0</v>
      </c>
      <c r="O58" s="514">
        <f t="shared" si="11"/>
        <v>0</v>
      </c>
      <c r="P58" s="272"/>
    </row>
    <row r="59" spans="2:16">
      <c r="B59" s="195" t="str">
        <f t="shared" si="5"/>
        <v/>
      </c>
      <c r="C59" s="507">
        <f>IF(D11="","-",+C58+1)</f>
        <v>2050</v>
      </c>
      <c r="D59" s="523">
        <f>IF(F58+SUM(E$17:E58)=D$10,F58,D$10-SUM(E$17:E58))</f>
        <v>601687.40768309985</v>
      </c>
      <c r="E59" s="522">
        <f>IF(+I14&lt;F58,I14,D59)</f>
        <v>370882.81818181818</v>
      </c>
      <c r="F59" s="523">
        <f t="shared" si="27"/>
        <v>230804.58950128168</v>
      </c>
      <c r="G59" s="524">
        <f t="shared" si="24"/>
        <v>420635.50845601241</v>
      </c>
      <c r="H59" s="491">
        <f t="shared" si="25"/>
        <v>420635.50845601241</v>
      </c>
      <c r="I59" s="511">
        <f t="shared" si="28"/>
        <v>0</v>
      </c>
      <c r="J59" s="511"/>
      <c r="K59" s="525"/>
      <c r="L59" s="514">
        <f t="shared" si="26"/>
        <v>0</v>
      </c>
      <c r="M59" s="525"/>
      <c r="N59" s="514">
        <f t="shared" si="10"/>
        <v>0</v>
      </c>
      <c r="O59" s="514">
        <f t="shared" si="11"/>
        <v>0</v>
      </c>
      <c r="P59" s="272"/>
    </row>
    <row r="60" spans="2:16">
      <c r="B60" s="195" t="str">
        <f t="shared" si="5"/>
        <v/>
      </c>
      <c r="C60" s="507">
        <f>IF(D11="","-",+C59+1)</f>
        <v>2051</v>
      </c>
      <c r="D60" s="523">
        <f>IF(F59+SUM(E$17:E59)=D$10,F59,D$10-SUM(E$17:E59))</f>
        <v>230804.58950128168</v>
      </c>
      <c r="E60" s="522">
        <f>IF(+I14&lt;F59,I14,D60)</f>
        <v>230804.58950128168</v>
      </c>
      <c r="F60" s="523">
        <f t="shared" si="27"/>
        <v>0</v>
      </c>
      <c r="G60" s="524">
        <f t="shared" si="24"/>
        <v>244598.29477911931</v>
      </c>
      <c r="H60" s="491">
        <f t="shared" si="25"/>
        <v>244598.29477911931</v>
      </c>
      <c r="I60" s="511">
        <f t="shared" si="28"/>
        <v>0</v>
      </c>
      <c r="J60" s="511"/>
      <c r="K60" s="525"/>
      <c r="L60" s="514">
        <f t="shared" si="26"/>
        <v>0</v>
      </c>
      <c r="M60" s="525"/>
      <c r="N60" s="514">
        <f t="shared" si="10"/>
        <v>0</v>
      </c>
      <c r="O60" s="514">
        <f t="shared" si="11"/>
        <v>0</v>
      </c>
      <c r="P60" s="272"/>
    </row>
    <row r="61" spans="2:16">
      <c r="B61" s="195" t="str">
        <f t="shared" si="5"/>
        <v/>
      </c>
      <c r="C61" s="507">
        <f>IF(D11="","-",+C60+1)</f>
        <v>2052</v>
      </c>
      <c r="D61" s="523">
        <f>IF(F60+SUM(E$17:E60)=D$10,F60,D$10-SUM(E$17:E60))</f>
        <v>0</v>
      </c>
      <c r="E61" s="522">
        <f>IF(+I14&lt;F60,I14,D61)</f>
        <v>0</v>
      </c>
      <c r="F61" s="523">
        <f t="shared" si="27"/>
        <v>0</v>
      </c>
      <c r="G61" s="524">
        <f t="shared" si="24"/>
        <v>0</v>
      </c>
      <c r="H61" s="491">
        <f t="shared" si="25"/>
        <v>0</v>
      </c>
      <c r="I61" s="511">
        <f t="shared" si="28"/>
        <v>0</v>
      </c>
      <c r="J61" s="511"/>
      <c r="K61" s="525"/>
      <c r="L61" s="514">
        <f t="shared" si="26"/>
        <v>0</v>
      </c>
      <c r="M61" s="525"/>
      <c r="N61" s="514">
        <f t="shared" si="10"/>
        <v>0</v>
      </c>
      <c r="O61" s="514">
        <f t="shared" si="11"/>
        <v>0</v>
      </c>
      <c r="P61" s="272"/>
    </row>
    <row r="62" spans="2:16">
      <c r="B62" s="195" t="str">
        <f t="shared" si="5"/>
        <v/>
      </c>
      <c r="C62" s="507">
        <f>IF(D11="","-",+C61+1)</f>
        <v>2053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27"/>
        <v>0</v>
      </c>
      <c r="G62" s="524">
        <f t="shared" si="24"/>
        <v>0</v>
      </c>
      <c r="H62" s="491">
        <f t="shared" si="25"/>
        <v>0</v>
      </c>
      <c r="I62" s="511">
        <f t="shared" si="28"/>
        <v>0</v>
      </c>
      <c r="J62" s="511"/>
      <c r="K62" s="525"/>
      <c r="L62" s="514">
        <f t="shared" si="26"/>
        <v>0</v>
      </c>
      <c r="M62" s="525"/>
      <c r="N62" s="514">
        <f t="shared" si="10"/>
        <v>0</v>
      </c>
      <c r="O62" s="514">
        <f t="shared" si="11"/>
        <v>0</v>
      </c>
      <c r="P62" s="272"/>
    </row>
    <row r="63" spans="2:16">
      <c r="B63" s="195" t="str">
        <f t="shared" si="5"/>
        <v/>
      </c>
      <c r="C63" s="507">
        <f>IF(D11="","-",+C62+1)</f>
        <v>2054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27"/>
        <v>0</v>
      </c>
      <c r="G63" s="524">
        <f t="shared" si="24"/>
        <v>0</v>
      </c>
      <c r="H63" s="491">
        <f t="shared" si="25"/>
        <v>0</v>
      </c>
      <c r="I63" s="511">
        <f t="shared" si="28"/>
        <v>0</v>
      </c>
      <c r="J63" s="511"/>
      <c r="K63" s="525"/>
      <c r="L63" s="514">
        <f t="shared" si="26"/>
        <v>0</v>
      </c>
      <c r="M63" s="525"/>
      <c r="N63" s="514">
        <f t="shared" si="10"/>
        <v>0</v>
      </c>
      <c r="O63" s="514">
        <f t="shared" si="11"/>
        <v>0</v>
      </c>
      <c r="P63" s="272"/>
    </row>
    <row r="64" spans="2:16">
      <c r="B64" s="195" t="str">
        <f t="shared" si="5"/>
        <v/>
      </c>
      <c r="C64" s="507">
        <f>IF(D11="","-",+C63+1)</f>
        <v>2055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27"/>
        <v>0</v>
      </c>
      <c r="G64" s="524">
        <f t="shared" si="24"/>
        <v>0</v>
      </c>
      <c r="H64" s="491">
        <f t="shared" si="25"/>
        <v>0</v>
      </c>
      <c r="I64" s="511">
        <f t="shared" si="28"/>
        <v>0</v>
      </c>
      <c r="J64" s="511"/>
      <c r="K64" s="525"/>
      <c r="L64" s="514">
        <f t="shared" si="26"/>
        <v>0</v>
      </c>
      <c r="M64" s="525"/>
      <c r="N64" s="514">
        <f t="shared" si="10"/>
        <v>0</v>
      </c>
      <c r="O64" s="514">
        <f t="shared" si="11"/>
        <v>0</v>
      </c>
      <c r="P64" s="272"/>
    </row>
    <row r="65" spans="2:16">
      <c r="B65" s="195" t="str">
        <f t="shared" si="5"/>
        <v/>
      </c>
      <c r="C65" s="507">
        <f>IF(D11="","-",+C64+1)</f>
        <v>2056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27"/>
        <v>0</v>
      </c>
      <c r="G65" s="524">
        <f t="shared" si="24"/>
        <v>0</v>
      </c>
      <c r="H65" s="491">
        <f t="shared" si="25"/>
        <v>0</v>
      </c>
      <c r="I65" s="511">
        <f t="shared" si="28"/>
        <v>0</v>
      </c>
      <c r="J65" s="511"/>
      <c r="K65" s="525"/>
      <c r="L65" s="514">
        <f t="shared" si="26"/>
        <v>0</v>
      </c>
      <c r="M65" s="525"/>
      <c r="N65" s="514">
        <f t="shared" si="10"/>
        <v>0</v>
      </c>
      <c r="O65" s="514">
        <f t="shared" si="11"/>
        <v>0</v>
      </c>
      <c r="P65" s="272"/>
    </row>
    <row r="66" spans="2:16">
      <c r="B66" s="195" t="str">
        <f t="shared" si="5"/>
        <v/>
      </c>
      <c r="C66" s="507">
        <f>IF(D11="","-",+C65+1)</f>
        <v>2057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27"/>
        <v>0</v>
      </c>
      <c r="G66" s="524">
        <f t="shared" si="24"/>
        <v>0</v>
      </c>
      <c r="H66" s="491">
        <f t="shared" si="25"/>
        <v>0</v>
      </c>
      <c r="I66" s="511">
        <f t="shared" si="28"/>
        <v>0</v>
      </c>
      <c r="J66" s="511"/>
      <c r="K66" s="525"/>
      <c r="L66" s="514">
        <f t="shared" si="26"/>
        <v>0</v>
      </c>
      <c r="M66" s="525"/>
      <c r="N66" s="514">
        <f t="shared" si="10"/>
        <v>0</v>
      </c>
      <c r="O66" s="514">
        <f t="shared" si="11"/>
        <v>0</v>
      </c>
      <c r="P66" s="272"/>
    </row>
    <row r="67" spans="2:16">
      <c r="B67" s="195" t="str">
        <f t="shared" si="5"/>
        <v/>
      </c>
      <c r="C67" s="507">
        <f>IF(D11="","-",+C66+1)</f>
        <v>2058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27"/>
        <v>0</v>
      </c>
      <c r="G67" s="524">
        <f t="shared" si="24"/>
        <v>0</v>
      </c>
      <c r="H67" s="491">
        <f t="shared" si="25"/>
        <v>0</v>
      </c>
      <c r="I67" s="511">
        <f t="shared" si="28"/>
        <v>0</v>
      </c>
      <c r="J67" s="511"/>
      <c r="K67" s="525"/>
      <c r="L67" s="514">
        <f t="shared" si="26"/>
        <v>0</v>
      </c>
      <c r="M67" s="525"/>
      <c r="N67" s="514">
        <f t="shared" si="10"/>
        <v>0</v>
      </c>
      <c r="O67" s="514">
        <f t="shared" si="11"/>
        <v>0</v>
      </c>
      <c r="P67" s="272"/>
    </row>
    <row r="68" spans="2:16">
      <c r="B68" s="195" t="str">
        <f t="shared" si="5"/>
        <v/>
      </c>
      <c r="C68" s="507">
        <f>IF(D11="","-",+C67+1)</f>
        <v>2059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27"/>
        <v>0</v>
      </c>
      <c r="G68" s="524">
        <f t="shared" si="24"/>
        <v>0</v>
      </c>
      <c r="H68" s="491">
        <f t="shared" si="25"/>
        <v>0</v>
      </c>
      <c r="I68" s="511">
        <f t="shared" si="28"/>
        <v>0</v>
      </c>
      <c r="J68" s="511"/>
      <c r="K68" s="525"/>
      <c r="L68" s="514">
        <f t="shared" si="26"/>
        <v>0</v>
      </c>
      <c r="M68" s="525"/>
      <c r="N68" s="514">
        <f t="shared" si="10"/>
        <v>0</v>
      </c>
      <c r="O68" s="514">
        <f t="shared" si="11"/>
        <v>0</v>
      </c>
      <c r="P68" s="272"/>
    </row>
    <row r="69" spans="2:16">
      <c r="B69" s="195" t="str">
        <f t="shared" si="5"/>
        <v/>
      </c>
      <c r="C69" s="507">
        <f>IF(D11="","-",+C68+1)</f>
        <v>2060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27"/>
        <v>0</v>
      </c>
      <c r="G69" s="524">
        <f t="shared" si="24"/>
        <v>0</v>
      </c>
      <c r="H69" s="491">
        <f t="shared" si="25"/>
        <v>0</v>
      </c>
      <c r="I69" s="511">
        <f t="shared" si="28"/>
        <v>0</v>
      </c>
      <c r="J69" s="511"/>
      <c r="K69" s="525"/>
      <c r="L69" s="514">
        <f t="shared" si="26"/>
        <v>0</v>
      </c>
      <c r="M69" s="525"/>
      <c r="N69" s="514">
        <f t="shared" si="10"/>
        <v>0</v>
      </c>
      <c r="O69" s="514">
        <f t="shared" si="11"/>
        <v>0</v>
      </c>
      <c r="P69" s="272"/>
    </row>
    <row r="70" spans="2:16">
      <c r="B70" s="195" t="str">
        <f t="shared" si="5"/>
        <v/>
      </c>
      <c r="C70" s="507">
        <f>IF(D11="","-",+C69+1)</f>
        <v>2061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27"/>
        <v>0</v>
      </c>
      <c r="G70" s="524">
        <f t="shared" si="24"/>
        <v>0</v>
      </c>
      <c r="H70" s="491">
        <f t="shared" si="25"/>
        <v>0</v>
      </c>
      <c r="I70" s="511">
        <f t="shared" si="28"/>
        <v>0</v>
      </c>
      <c r="J70" s="511"/>
      <c r="K70" s="525"/>
      <c r="L70" s="514">
        <f t="shared" si="26"/>
        <v>0</v>
      </c>
      <c r="M70" s="525"/>
      <c r="N70" s="514">
        <f t="shared" si="10"/>
        <v>0</v>
      </c>
      <c r="O70" s="514">
        <f t="shared" si="11"/>
        <v>0</v>
      </c>
      <c r="P70" s="272"/>
    </row>
    <row r="71" spans="2:16">
      <c r="B71" s="195" t="str">
        <f t="shared" si="5"/>
        <v/>
      </c>
      <c r="C71" s="507">
        <f>IF(D11="","-",+C70+1)</f>
        <v>2062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27"/>
        <v>0</v>
      </c>
      <c r="G71" s="524">
        <f t="shared" si="24"/>
        <v>0</v>
      </c>
      <c r="H71" s="491">
        <f t="shared" si="25"/>
        <v>0</v>
      </c>
      <c r="I71" s="511">
        <f t="shared" si="28"/>
        <v>0</v>
      </c>
      <c r="J71" s="511"/>
      <c r="K71" s="525"/>
      <c r="L71" s="514">
        <f t="shared" si="26"/>
        <v>0</v>
      </c>
      <c r="M71" s="525"/>
      <c r="N71" s="514">
        <f t="shared" si="10"/>
        <v>0</v>
      </c>
      <c r="O71" s="514">
        <f t="shared" si="11"/>
        <v>0</v>
      </c>
      <c r="P71" s="272"/>
    </row>
    <row r="72" spans="2:16" ht="13.5" thickBot="1">
      <c r="B72" s="195" t="str">
        <f t="shared" si="5"/>
        <v/>
      </c>
      <c r="C72" s="527">
        <f>IF(D11="","-",+C71+1)</f>
        <v>2063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27"/>
        <v>0</v>
      </c>
      <c r="G72" s="524">
        <f t="shared" si="24"/>
        <v>0</v>
      </c>
      <c r="H72" s="491">
        <f t="shared" si="25"/>
        <v>0</v>
      </c>
      <c r="I72" s="531">
        <f t="shared" si="28"/>
        <v>0</v>
      </c>
      <c r="J72" s="511"/>
      <c r="K72" s="532"/>
      <c r="L72" s="533">
        <f t="shared" si="26"/>
        <v>0</v>
      </c>
      <c r="M72" s="532"/>
      <c r="N72" s="533">
        <f t="shared" si="10"/>
        <v>0</v>
      </c>
      <c r="O72" s="533">
        <f t="shared" si="11"/>
        <v>0</v>
      </c>
      <c r="P72" s="272"/>
    </row>
    <row r="73" spans="2:16">
      <c r="C73" s="374" t="s">
        <v>78</v>
      </c>
      <c r="D73" s="375"/>
      <c r="E73" s="375">
        <f>SUM(E17:E72)</f>
        <v>16318844.000000002</v>
      </c>
      <c r="F73" s="375"/>
      <c r="G73" s="375">
        <f>SUM(G17:G72)</f>
        <v>60385323.555763185</v>
      </c>
      <c r="H73" s="375">
        <f>SUM(H17:H72)</f>
        <v>60385323.555763185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2:16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2:16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2:16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2:16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272"/>
      <c r="P77" s="272"/>
    </row>
    <row r="78" spans="2:16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2:16"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  <c r="O79" s="269"/>
      <c r="P79" s="269"/>
    </row>
    <row r="80" spans="2:16" ht="18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6">
      <c r="B81" s="269"/>
      <c r="C81" s="340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6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</row>
    <row r="83" spans="1:16" ht="20.25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451" t="str">
        <f ca="1">P1</f>
        <v>SWEPCO Project 46 of 75</v>
      </c>
    </row>
    <row r="84" spans="1:16" ht="18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538" t="s">
        <v>128</v>
      </c>
    </row>
    <row r="85" spans="1:16" ht="18.7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</row>
    <row r="86" spans="1:16" ht="15.75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2022</v>
      </c>
      <c r="M86" s="541" t="s">
        <v>9</v>
      </c>
      <c r="N86" s="542" t="s">
        <v>159</v>
      </c>
      <c r="O86" s="543" t="s">
        <v>11</v>
      </c>
      <c r="P86" s="269"/>
    </row>
    <row r="87" spans="1:16" ht="1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391</v>
      </c>
      <c r="M87" s="546">
        <f>IF(J92&lt;D11,0,VLOOKUP(J92,C17:O72,9))</f>
        <v>1606027.4766677744</v>
      </c>
      <c r="N87" s="546">
        <f>IF(J92&lt;D11,0,VLOOKUP(J92,C17:O72,11))</f>
        <v>1606027.4766677744</v>
      </c>
      <c r="O87" s="547">
        <f>+N87-M87</f>
        <v>0</v>
      </c>
      <c r="P87" s="269"/>
    </row>
    <row r="88" spans="1:16" ht="15.7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392</v>
      </c>
      <c r="M88" s="550">
        <f>IF(J92&lt;D11,0,VLOOKUP(J92,C99:P154,6))</f>
        <v>1971201.7214629296</v>
      </c>
      <c r="N88" s="550">
        <f>IF(J92&lt;D11,0,VLOOKUP(J92,C99:P154,7))</f>
        <v>1971201.7214629296</v>
      </c>
      <c r="O88" s="551">
        <f>+N88-M88</f>
        <v>0</v>
      </c>
      <c r="P88" s="269"/>
    </row>
    <row r="89" spans="1:16" ht="13.5" thickBot="1">
      <c r="C89" s="467" t="s">
        <v>84</v>
      </c>
      <c r="D89" s="552" t="str">
        <f>+D7</f>
        <v>CHAMBER SPRINGS - TONTITOWN 345KV CKT 1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365174.24479515525</v>
      </c>
      <c r="N89" s="555">
        <f>+N88-N87</f>
        <v>365174.24479515525</v>
      </c>
      <c r="O89" s="556">
        <f>+O88-O87</f>
        <v>0</v>
      </c>
      <c r="P89" s="269"/>
    </row>
    <row r="90" spans="1:16" ht="13.5" thickBot="1">
      <c r="C90" s="534"/>
      <c r="D90" s="646" t="str">
        <f>S.045!D90</f>
        <v xml:space="preserve">***Sch. 11 recovery commenced in the 2015 rate year.  Beg Bal = to depreciated balance as of 1/1/15. *** </v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</row>
    <row r="91" spans="1:16" ht="13.5" thickBot="1">
      <c r="A91" s="191"/>
      <c r="C91" s="558" t="s">
        <v>85</v>
      </c>
      <c r="D91" s="559" t="str">
        <f>+D9</f>
        <v>TP2002123</v>
      </c>
      <c r="E91" s="560"/>
      <c r="F91" s="560"/>
      <c r="G91" s="560"/>
      <c r="H91" s="560"/>
      <c r="I91" s="560"/>
      <c r="J91" s="560"/>
      <c r="K91" s="562"/>
      <c r="P91" s="481"/>
    </row>
    <row r="92" spans="1:16">
      <c r="C92" s="486" t="s">
        <v>51</v>
      </c>
      <c r="D92" s="628">
        <v>16318844</v>
      </c>
      <c r="E92" s="340" t="s">
        <v>86</v>
      </c>
      <c r="H92" s="484"/>
      <c r="I92" s="484"/>
      <c r="J92" s="485">
        <f>+'SWE.WS.G.BPU.ATRR.True-up'!M16</f>
        <v>2022</v>
      </c>
      <c r="K92" s="480"/>
      <c r="L92" s="375" t="s">
        <v>87</v>
      </c>
      <c r="P92" s="272"/>
    </row>
    <row r="93" spans="1:16">
      <c r="C93" s="486" t="s">
        <v>54</v>
      </c>
      <c r="D93" s="563">
        <f>D11</f>
        <v>2008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</row>
    <row r="94" spans="1:16">
      <c r="C94" s="486" t="s">
        <v>56</v>
      </c>
      <c r="D94" s="563">
        <f>D12</f>
        <v>5</v>
      </c>
      <c r="E94" s="486" t="s">
        <v>57</v>
      </c>
      <c r="F94" s="484"/>
      <c r="G94" s="484"/>
      <c r="J94" s="490">
        <f>'SWE.WS.G.BPU.ATRR.True-up'!$F$81</f>
        <v>0.11351422637179906</v>
      </c>
      <c r="K94" s="425"/>
      <c r="L94" s="183" t="s">
        <v>88</v>
      </c>
      <c r="P94" s="272"/>
    </row>
    <row r="95" spans="1:16">
      <c r="C95" s="486" t="s">
        <v>59</v>
      </c>
      <c r="D95" s="488">
        <f>'SWE.WS.G.BPU.ATRR.True-up'!F$93</f>
        <v>41</v>
      </c>
      <c r="E95" s="486" t="s">
        <v>60</v>
      </c>
      <c r="F95" s="484"/>
      <c r="G95" s="484"/>
      <c r="J95" s="490">
        <f>IF(H87="",J94,'SWE.WS.G.BPU.ATRR.True-up'!$F$80)</f>
        <v>0.11351422637179906</v>
      </c>
      <c r="K95" s="324"/>
      <c r="L95" s="375" t="s">
        <v>61</v>
      </c>
      <c r="M95" s="324"/>
      <c r="N95" s="324"/>
      <c r="O95" s="324"/>
      <c r="P95" s="272"/>
    </row>
    <row r="96" spans="1:16" ht="13.5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398020.58536585368</v>
      </c>
      <c r="K96" s="375"/>
      <c r="L96" s="375"/>
      <c r="M96" s="375"/>
      <c r="N96" s="375"/>
      <c r="O96" s="375"/>
      <c r="P96" s="272"/>
    </row>
    <row r="97" spans="1:16" ht="38.25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388</v>
      </c>
      <c r="I97" s="495" t="s">
        <v>389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</row>
    <row r="98" spans="1:16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</row>
    <row r="99" spans="1:16">
      <c r="C99" s="507">
        <f>IF(D93= "","-",D93)</f>
        <v>2008</v>
      </c>
      <c r="D99" s="374"/>
      <c r="E99" s="524"/>
      <c r="F99" s="523"/>
      <c r="G99" s="603"/>
      <c r="H99" s="604"/>
      <c r="I99" s="605"/>
      <c r="J99" s="514"/>
      <c r="K99" s="514"/>
      <c r="L99" s="512"/>
      <c r="M99" s="513">
        <f t="shared" ref="M99:M130" si="29">IF(L99&lt;&gt;0,+H99-L99,0)</f>
        <v>0</v>
      </c>
      <c r="N99" s="512"/>
      <c r="O99" s="513">
        <f t="shared" ref="O99:O130" si="30">IF(N99&lt;&gt;0,+I99-N99,0)</f>
        <v>0</v>
      </c>
      <c r="P99" s="513">
        <f t="shared" ref="P99:P130" si="31">+O99-M99</f>
        <v>0</v>
      </c>
    </row>
    <row r="100" spans="1:16">
      <c r="B100" s="195" t="str">
        <f>IF(D100=F99,"","IU")</f>
        <v/>
      </c>
      <c r="C100" s="507">
        <f>IF(D93="","-",+C99+1)</f>
        <v>2009</v>
      </c>
      <c r="D100" s="374"/>
      <c r="E100" s="522"/>
      <c r="F100" s="523"/>
      <c r="G100" s="523"/>
      <c r="H100" s="526"/>
      <c r="I100" s="577"/>
      <c r="J100" s="514"/>
      <c r="K100" s="514"/>
      <c r="L100" s="518"/>
      <c r="M100" s="514">
        <f t="shared" si="29"/>
        <v>0</v>
      </c>
      <c r="N100" s="518"/>
      <c r="O100" s="514">
        <f t="shared" si="30"/>
        <v>0</v>
      </c>
      <c r="P100" s="514">
        <f t="shared" si="31"/>
        <v>0</v>
      </c>
    </row>
    <row r="101" spans="1:16">
      <c r="B101" s="195" t="str">
        <f t="shared" ref="B101:B154" si="32">IF(D101=F100,"","IU")</f>
        <v/>
      </c>
      <c r="C101" s="507">
        <f>IF(D93="","-",+C100+1)</f>
        <v>2010</v>
      </c>
      <c r="D101" s="374"/>
      <c r="E101" s="522"/>
      <c r="F101" s="523"/>
      <c r="G101" s="523"/>
      <c r="H101" s="526"/>
      <c r="I101" s="577"/>
      <c r="J101" s="514"/>
      <c r="K101" s="514"/>
      <c r="L101" s="518"/>
      <c r="M101" s="514">
        <f t="shared" si="29"/>
        <v>0</v>
      </c>
      <c r="N101" s="518"/>
      <c r="O101" s="514">
        <f t="shared" si="30"/>
        <v>0</v>
      </c>
      <c r="P101" s="514">
        <f t="shared" si="31"/>
        <v>0</v>
      </c>
    </row>
    <row r="102" spans="1:16">
      <c r="B102" s="195" t="str">
        <f t="shared" si="32"/>
        <v/>
      </c>
      <c r="C102" s="507">
        <f>IF(D93="","-",+C101+1)</f>
        <v>2011</v>
      </c>
      <c r="D102" s="374"/>
      <c r="E102" s="522"/>
      <c r="F102" s="523"/>
      <c r="G102" s="523"/>
      <c r="H102" s="526"/>
      <c r="I102" s="577"/>
      <c r="J102" s="514"/>
      <c r="K102" s="514"/>
      <c r="L102" s="518"/>
      <c r="M102" s="514">
        <f t="shared" si="29"/>
        <v>0</v>
      </c>
      <c r="N102" s="518"/>
      <c r="O102" s="514">
        <f t="shared" si="30"/>
        <v>0</v>
      </c>
      <c r="P102" s="514">
        <f t="shared" si="31"/>
        <v>0</v>
      </c>
    </row>
    <row r="103" spans="1:16">
      <c r="B103" s="195" t="str">
        <f t="shared" si="32"/>
        <v/>
      </c>
      <c r="C103" s="507">
        <f>IF(D93="","-",+C102+1)</f>
        <v>2012</v>
      </c>
      <c r="D103" s="374"/>
      <c r="E103" s="522"/>
      <c r="F103" s="523"/>
      <c r="G103" s="523"/>
      <c r="H103" s="526"/>
      <c r="I103" s="577"/>
      <c r="J103" s="514"/>
      <c r="K103" s="514"/>
      <c r="L103" s="518"/>
      <c r="M103" s="514">
        <f t="shared" si="29"/>
        <v>0</v>
      </c>
      <c r="N103" s="518"/>
      <c r="O103" s="514">
        <f t="shared" si="30"/>
        <v>0</v>
      </c>
      <c r="P103" s="514">
        <f t="shared" si="31"/>
        <v>0</v>
      </c>
    </row>
    <row r="104" spans="1:16">
      <c r="B104" s="195" t="str">
        <f t="shared" si="32"/>
        <v/>
      </c>
      <c r="C104" s="507">
        <f>IF(D93="","-",+C103+1)</f>
        <v>2013</v>
      </c>
      <c r="D104" s="374"/>
      <c r="E104" s="522"/>
      <c r="F104" s="523"/>
      <c r="G104" s="523"/>
      <c r="H104" s="526"/>
      <c r="I104" s="577"/>
      <c r="J104" s="514"/>
      <c r="K104" s="514"/>
      <c r="L104" s="518"/>
      <c r="M104" s="514">
        <f t="shared" si="29"/>
        <v>0</v>
      </c>
      <c r="N104" s="518"/>
      <c r="O104" s="514">
        <f t="shared" si="30"/>
        <v>0</v>
      </c>
      <c r="P104" s="514">
        <f t="shared" si="31"/>
        <v>0</v>
      </c>
    </row>
    <row r="105" spans="1:16">
      <c r="B105" s="195" t="str">
        <f t="shared" si="32"/>
        <v/>
      </c>
      <c r="C105" s="507">
        <f>IF(D93="","-",+C104+1)</f>
        <v>2014</v>
      </c>
      <c r="D105" s="374"/>
      <c r="E105" s="522"/>
      <c r="F105" s="523"/>
      <c r="G105" s="523"/>
      <c r="H105" s="526"/>
      <c r="I105" s="577"/>
      <c r="J105" s="514"/>
      <c r="K105" s="514"/>
      <c r="L105" s="518"/>
      <c r="M105" s="514">
        <f t="shared" si="29"/>
        <v>0</v>
      </c>
      <c r="N105" s="518"/>
      <c r="O105" s="514">
        <f t="shared" si="30"/>
        <v>0</v>
      </c>
      <c r="P105" s="514">
        <f t="shared" si="31"/>
        <v>0</v>
      </c>
    </row>
    <row r="106" spans="1:16">
      <c r="B106" s="195" t="str">
        <f t="shared" si="32"/>
        <v>IU</v>
      </c>
      <c r="C106" s="507">
        <f>IF(D93="","-",+C105+1)</f>
        <v>2015</v>
      </c>
      <c r="D106" s="629">
        <v>13760929.960317459</v>
      </c>
      <c r="E106" s="630">
        <v>327641.18953136809</v>
      </c>
      <c r="F106" s="631">
        <v>13433288.770786092</v>
      </c>
      <c r="G106" s="631">
        <v>13597109.365551775</v>
      </c>
      <c r="H106" s="633">
        <v>2119317.0329736611</v>
      </c>
      <c r="I106" s="634">
        <v>2119317.0329736611</v>
      </c>
      <c r="J106" s="514">
        <f>+I106-H106</f>
        <v>0</v>
      </c>
      <c r="K106" s="514"/>
      <c r="L106" s="518">
        <f t="shared" ref="L106:L111" si="33">+H106</f>
        <v>2119317.0329736611</v>
      </c>
      <c r="M106" s="514">
        <f t="shared" si="29"/>
        <v>0</v>
      </c>
      <c r="N106" s="518">
        <f t="shared" ref="N106:N111" si="34">+I106</f>
        <v>2119317.0329736611</v>
      </c>
      <c r="O106" s="514">
        <f t="shared" si="30"/>
        <v>0</v>
      </c>
      <c r="P106" s="514">
        <f t="shared" si="31"/>
        <v>0</v>
      </c>
    </row>
    <row r="107" spans="1:16">
      <c r="B107" s="195" t="str">
        <f t="shared" si="32"/>
        <v>IU</v>
      </c>
      <c r="C107" s="507">
        <f>IF(D93="","-",+C106+1)</f>
        <v>2016</v>
      </c>
      <c r="D107" s="629">
        <v>15991202.810468633</v>
      </c>
      <c r="E107" s="630">
        <v>379508</v>
      </c>
      <c r="F107" s="631">
        <v>15611694.810468633</v>
      </c>
      <c r="G107" s="631">
        <v>15801448.810468633</v>
      </c>
      <c r="H107" s="633">
        <v>2385501.7414281433</v>
      </c>
      <c r="I107" s="634">
        <v>2385501.7414281433</v>
      </c>
      <c r="J107" s="514">
        <f>+I107-H107</f>
        <v>0</v>
      </c>
      <c r="K107" s="514"/>
      <c r="L107" s="518">
        <f t="shared" si="33"/>
        <v>2385501.7414281433</v>
      </c>
      <c r="M107" s="514">
        <f t="shared" ref="M107:M112" si="35">IF(L107&lt;&gt;0,+H107-L107,0)</f>
        <v>0</v>
      </c>
      <c r="N107" s="518">
        <f t="shared" si="34"/>
        <v>2385501.7414281433</v>
      </c>
      <c r="O107" s="514">
        <f>IF(N107&lt;&gt;0,+I107-N107,0)</f>
        <v>0</v>
      </c>
      <c r="P107" s="514">
        <f>+O107-M107</f>
        <v>0</v>
      </c>
    </row>
    <row r="108" spans="1:16">
      <c r="B108" s="195" t="str">
        <f t="shared" si="32"/>
        <v/>
      </c>
      <c r="C108" s="507">
        <f>IF(D93="","-",+C107+1)</f>
        <v>2017</v>
      </c>
      <c r="D108" s="629">
        <v>15611694.810468633</v>
      </c>
      <c r="E108" s="630">
        <v>388543.90476190473</v>
      </c>
      <c r="F108" s="631">
        <v>15223150.905706728</v>
      </c>
      <c r="G108" s="631">
        <v>15417422.858087681</v>
      </c>
      <c r="H108" s="633">
        <v>2261320.7330641602</v>
      </c>
      <c r="I108" s="634">
        <v>2261320.7330641602</v>
      </c>
      <c r="J108" s="514">
        <f t="shared" ref="J108:J154" si="36">+I108-H108</f>
        <v>0</v>
      </c>
      <c r="K108" s="514"/>
      <c r="L108" s="518">
        <f t="shared" si="33"/>
        <v>2261320.7330641602</v>
      </c>
      <c r="M108" s="514">
        <f t="shared" si="35"/>
        <v>0</v>
      </c>
      <c r="N108" s="518">
        <f t="shared" si="34"/>
        <v>2261320.7330641602</v>
      </c>
      <c r="O108" s="514">
        <f>IF(N108&lt;&gt;0,+I108-N108,0)</f>
        <v>0</v>
      </c>
      <c r="P108" s="514">
        <f>+O108-M108</f>
        <v>0</v>
      </c>
    </row>
    <row r="109" spans="1:16">
      <c r="B109" s="195" t="str">
        <f t="shared" si="32"/>
        <v/>
      </c>
      <c r="C109" s="507">
        <f>IF(D93="","-",+C108+1)</f>
        <v>2018</v>
      </c>
      <c r="D109" s="629">
        <v>15223150.905706728</v>
      </c>
      <c r="E109" s="630">
        <v>388543.90476190473</v>
      </c>
      <c r="F109" s="631">
        <v>14834607.000944823</v>
      </c>
      <c r="G109" s="631">
        <v>15028878.953325775</v>
      </c>
      <c r="H109" s="633">
        <v>1975662.4419636219</v>
      </c>
      <c r="I109" s="634">
        <v>1975662.4419636219</v>
      </c>
      <c r="J109" s="514">
        <f t="shared" si="36"/>
        <v>0</v>
      </c>
      <c r="K109" s="514"/>
      <c r="L109" s="518">
        <f t="shared" si="33"/>
        <v>1975662.4419636219</v>
      </c>
      <c r="M109" s="514">
        <f t="shared" si="35"/>
        <v>0</v>
      </c>
      <c r="N109" s="518">
        <f t="shared" si="34"/>
        <v>1975662.4419636219</v>
      </c>
      <c r="O109" s="514">
        <f>IF(N109&lt;&gt;0,+I109-N109,0)</f>
        <v>0</v>
      </c>
      <c r="P109" s="514">
        <f>+O109-M109</f>
        <v>0</v>
      </c>
    </row>
    <row r="110" spans="1:16">
      <c r="B110" s="195" t="str">
        <f t="shared" si="32"/>
        <v/>
      </c>
      <c r="C110" s="507">
        <f>IF(D93="","-",+C109+1)</f>
        <v>2019</v>
      </c>
      <c r="D110" s="629">
        <v>14834607.000944823</v>
      </c>
      <c r="E110" s="630">
        <v>379508</v>
      </c>
      <c r="F110" s="631">
        <v>14455099.000944823</v>
      </c>
      <c r="G110" s="631">
        <v>14644853.000944823</v>
      </c>
      <c r="H110" s="633">
        <v>1947101.0692492859</v>
      </c>
      <c r="I110" s="634">
        <v>1947101.0692492859</v>
      </c>
      <c r="J110" s="514">
        <f t="shared" si="36"/>
        <v>0</v>
      </c>
      <c r="K110" s="514"/>
      <c r="L110" s="518">
        <f t="shared" si="33"/>
        <v>1947101.0692492859</v>
      </c>
      <c r="M110" s="514">
        <f t="shared" si="35"/>
        <v>0</v>
      </c>
      <c r="N110" s="518">
        <f t="shared" si="34"/>
        <v>1947101.0692492859</v>
      </c>
      <c r="O110" s="514">
        <f t="shared" si="30"/>
        <v>0</v>
      </c>
      <c r="P110" s="514">
        <f t="shared" si="31"/>
        <v>0</v>
      </c>
    </row>
    <row r="111" spans="1:16">
      <c r="B111" s="195" t="str">
        <f t="shared" si="32"/>
        <v/>
      </c>
      <c r="C111" s="507">
        <f>IF(D93="","-",+C110+1)</f>
        <v>2020</v>
      </c>
      <c r="D111" s="629">
        <v>14455099.000944823</v>
      </c>
      <c r="E111" s="630">
        <v>388543.90476190473</v>
      </c>
      <c r="F111" s="631">
        <v>14066555.096182918</v>
      </c>
      <c r="G111" s="631">
        <v>14260827.048563872</v>
      </c>
      <c r="H111" s="633">
        <v>1922635.7250061021</v>
      </c>
      <c r="I111" s="634">
        <v>1922635.7250061021</v>
      </c>
      <c r="J111" s="514">
        <f t="shared" si="36"/>
        <v>0</v>
      </c>
      <c r="K111" s="514"/>
      <c r="L111" s="518">
        <f t="shared" si="33"/>
        <v>1922635.7250061021</v>
      </c>
      <c r="M111" s="514">
        <f t="shared" si="35"/>
        <v>0</v>
      </c>
      <c r="N111" s="518">
        <f t="shared" si="34"/>
        <v>1922635.7250061021</v>
      </c>
      <c r="O111" s="514">
        <f t="shared" si="30"/>
        <v>0</v>
      </c>
      <c r="P111" s="514">
        <f t="shared" si="31"/>
        <v>0</v>
      </c>
    </row>
    <row r="112" spans="1:16">
      <c r="B112" s="195" t="str">
        <f t="shared" si="32"/>
        <v/>
      </c>
      <c r="C112" s="507">
        <f>IF(D93="","-",+C111+1)</f>
        <v>2021</v>
      </c>
      <c r="D112" s="629">
        <v>14066555.096182918</v>
      </c>
      <c r="E112" s="630">
        <v>398020.58536585368</v>
      </c>
      <c r="F112" s="631">
        <v>13668534.510817064</v>
      </c>
      <c r="G112" s="631">
        <v>13867544.803499991</v>
      </c>
      <c r="H112" s="633">
        <v>1972184.2054114174</v>
      </c>
      <c r="I112" s="634">
        <v>1972184.2054114174</v>
      </c>
      <c r="J112" s="514">
        <f t="shared" si="36"/>
        <v>0</v>
      </c>
      <c r="K112" s="514"/>
      <c r="L112" s="518">
        <f t="shared" ref="L112" si="37">+H112</f>
        <v>1972184.2054114174</v>
      </c>
      <c r="M112" s="514">
        <f t="shared" si="35"/>
        <v>0</v>
      </c>
      <c r="N112" s="518">
        <f t="shared" ref="N112" si="38">+I112</f>
        <v>1972184.2054114174</v>
      </c>
      <c r="O112" s="514">
        <f t="shared" ref="O112" si="39">IF(N112&lt;&gt;0,+I112-N112,0)</f>
        <v>0</v>
      </c>
      <c r="P112" s="514">
        <f t="shared" ref="P112" si="40">+O112-M112</f>
        <v>0</v>
      </c>
    </row>
    <row r="113" spans="2:16">
      <c r="B113" s="195" t="str">
        <f t="shared" si="32"/>
        <v/>
      </c>
      <c r="C113" s="673">
        <f>IF(D93="","-",+C112+1)</f>
        <v>2022</v>
      </c>
      <c r="D113" s="374">
        <v>13668534.510817064</v>
      </c>
      <c r="E113" s="522">
        <v>388543.90476190473</v>
      </c>
      <c r="F113" s="523">
        <v>13279990.606055159</v>
      </c>
      <c r="G113" s="523">
        <v>13474262.558436111</v>
      </c>
      <c r="H113" s="526">
        <v>1971201.7214629296</v>
      </c>
      <c r="I113" s="577">
        <v>1971201.7214629296</v>
      </c>
      <c r="J113" s="514">
        <f t="shared" si="36"/>
        <v>0</v>
      </c>
      <c r="K113" s="514"/>
      <c r="L113" s="525"/>
      <c r="M113" s="514">
        <f t="shared" si="29"/>
        <v>0</v>
      </c>
      <c r="N113" s="525"/>
      <c r="O113" s="514">
        <f t="shared" si="30"/>
        <v>0</v>
      </c>
      <c r="P113" s="514">
        <f t="shared" si="31"/>
        <v>0</v>
      </c>
    </row>
    <row r="114" spans="2:16">
      <c r="B114" s="195" t="str">
        <f t="shared" si="32"/>
        <v/>
      </c>
      <c r="C114" s="507">
        <f>IF(D93="","-",+C113+1)</f>
        <v>2023</v>
      </c>
      <c r="D114" s="374">
        <f>IF(F113+SUM(E$99:E113)=D$92,F113,D$92-SUM(E$99:E113))</f>
        <v>13279990.606055159</v>
      </c>
      <c r="E114" s="522">
        <f t="shared" ref="E114:E154" si="41">IF(+$J$96&lt;F113,$J$96,D114)</f>
        <v>398020.58536585368</v>
      </c>
      <c r="F114" s="523">
        <f t="shared" ref="F114:F154" si="42">+D114-E114</f>
        <v>12881970.020689305</v>
      </c>
      <c r="G114" s="523">
        <f t="shared" ref="G114:G154" si="43">+(F114+D114)/2</f>
        <v>13080980.313372232</v>
      </c>
      <c r="H114" s="526">
        <f t="shared" ref="H114:H154" si="44">+J$94*G114+E114</f>
        <v>1882897.9458230364</v>
      </c>
      <c r="I114" s="577">
        <f t="shared" ref="I114:I154" si="45">+J$95*G114+E114</f>
        <v>1882897.9458230364</v>
      </c>
      <c r="J114" s="514">
        <f t="shared" si="36"/>
        <v>0</v>
      </c>
      <c r="K114" s="514"/>
      <c r="L114" s="525"/>
      <c r="M114" s="514">
        <f t="shared" si="29"/>
        <v>0</v>
      </c>
      <c r="N114" s="525"/>
      <c r="O114" s="514">
        <f t="shared" si="30"/>
        <v>0</v>
      </c>
      <c r="P114" s="514">
        <f t="shared" si="31"/>
        <v>0</v>
      </c>
    </row>
    <row r="115" spans="2:16">
      <c r="B115" s="195" t="str">
        <f t="shared" si="32"/>
        <v/>
      </c>
      <c r="C115" s="507">
        <f>IF(D93="","-",+C114+1)</f>
        <v>2024</v>
      </c>
      <c r="D115" s="374">
        <f>IF(F114+SUM(E$99:E114)=D$92,F114,D$92-SUM(E$99:E114))</f>
        <v>12881970.020689305</v>
      </c>
      <c r="E115" s="522">
        <f t="shared" si="41"/>
        <v>398020.58536585368</v>
      </c>
      <c r="F115" s="523">
        <f t="shared" si="42"/>
        <v>12483949.435323451</v>
      </c>
      <c r="G115" s="523">
        <f t="shared" si="43"/>
        <v>12682959.728006378</v>
      </c>
      <c r="H115" s="526">
        <f t="shared" si="44"/>
        <v>1837716.9469951808</v>
      </c>
      <c r="I115" s="577">
        <f t="shared" si="45"/>
        <v>1837716.9469951808</v>
      </c>
      <c r="J115" s="514">
        <f t="shared" si="36"/>
        <v>0</v>
      </c>
      <c r="K115" s="514"/>
      <c r="L115" s="525"/>
      <c r="M115" s="514">
        <f t="shared" si="29"/>
        <v>0</v>
      </c>
      <c r="N115" s="525"/>
      <c r="O115" s="514">
        <f t="shared" si="30"/>
        <v>0</v>
      </c>
      <c r="P115" s="514">
        <f t="shared" si="31"/>
        <v>0</v>
      </c>
    </row>
    <row r="116" spans="2:16">
      <c r="B116" s="195" t="str">
        <f t="shared" si="32"/>
        <v/>
      </c>
      <c r="C116" s="507">
        <f>IF(D93="","-",+C115+1)</f>
        <v>2025</v>
      </c>
      <c r="D116" s="374">
        <f>IF(F115+SUM(E$99:E115)=D$92,F115,D$92-SUM(E$99:E115))</f>
        <v>12483949.435323451</v>
      </c>
      <c r="E116" s="522">
        <f t="shared" si="41"/>
        <v>398020.58536585368</v>
      </c>
      <c r="F116" s="523">
        <f t="shared" si="42"/>
        <v>12085928.849957597</v>
      </c>
      <c r="G116" s="523">
        <f t="shared" si="43"/>
        <v>12284939.142640524</v>
      </c>
      <c r="H116" s="526">
        <f t="shared" si="44"/>
        <v>1792535.9481673252</v>
      </c>
      <c r="I116" s="577">
        <f t="shared" si="45"/>
        <v>1792535.9481673252</v>
      </c>
      <c r="J116" s="514">
        <f t="shared" si="36"/>
        <v>0</v>
      </c>
      <c r="K116" s="514"/>
      <c r="L116" s="525"/>
      <c r="M116" s="514">
        <f t="shared" si="29"/>
        <v>0</v>
      </c>
      <c r="N116" s="525"/>
      <c r="O116" s="514">
        <f t="shared" si="30"/>
        <v>0</v>
      </c>
      <c r="P116" s="514">
        <f t="shared" si="31"/>
        <v>0</v>
      </c>
    </row>
    <row r="117" spans="2:16">
      <c r="B117" s="195" t="str">
        <f t="shared" si="32"/>
        <v/>
      </c>
      <c r="C117" s="507">
        <f>IF(D93="","-",+C116+1)</f>
        <v>2026</v>
      </c>
      <c r="D117" s="374">
        <f>IF(F116+SUM(E$99:E116)=D$92,F116,D$92-SUM(E$99:E116))</f>
        <v>12085928.849957597</v>
      </c>
      <c r="E117" s="522">
        <f t="shared" si="41"/>
        <v>398020.58536585368</v>
      </c>
      <c r="F117" s="523">
        <f t="shared" si="42"/>
        <v>11687908.264591742</v>
      </c>
      <c r="G117" s="523">
        <f t="shared" si="43"/>
        <v>11886918.557274669</v>
      </c>
      <c r="H117" s="526">
        <f t="shared" si="44"/>
        <v>1747354.9493394697</v>
      </c>
      <c r="I117" s="577">
        <f t="shared" si="45"/>
        <v>1747354.9493394697</v>
      </c>
      <c r="J117" s="514">
        <f t="shared" si="36"/>
        <v>0</v>
      </c>
      <c r="K117" s="514"/>
      <c r="L117" s="525"/>
      <c r="M117" s="514">
        <f t="shared" si="29"/>
        <v>0</v>
      </c>
      <c r="N117" s="525"/>
      <c r="O117" s="514">
        <f t="shared" si="30"/>
        <v>0</v>
      </c>
      <c r="P117" s="514">
        <f t="shared" si="31"/>
        <v>0</v>
      </c>
    </row>
    <row r="118" spans="2:16">
      <c r="B118" s="195" t="str">
        <f t="shared" si="32"/>
        <v/>
      </c>
      <c r="C118" s="507">
        <f>IF(D93="","-",+C117+1)</f>
        <v>2027</v>
      </c>
      <c r="D118" s="374">
        <f>IF(F117+SUM(E$99:E117)=D$92,F117,D$92-SUM(E$99:E117))</f>
        <v>11687908.264591742</v>
      </c>
      <c r="E118" s="522">
        <f t="shared" si="41"/>
        <v>398020.58536585368</v>
      </c>
      <c r="F118" s="523">
        <f t="shared" si="42"/>
        <v>11289887.679225888</v>
      </c>
      <c r="G118" s="523">
        <f t="shared" si="43"/>
        <v>11488897.971908815</v>
      </c>
      <c r="H118" s="526">
        <f t="shared" si="44"/>
        <v>1702173.9505116141</v>
      </c>
      <c r="I118" s="577">
        <f t="shared" si="45"/>
        <v>1702173.9505116141</v>
      </c>
      <c r="J118" s="514">
        <f t="shared" si="36"/>
        <v>0</v>
      </c>
      <c r="K118" s="514"/>
      <c r="L118" s="525"/>
      <c r="M118" s="514">
        <f t="shared" si="29"/>
        <v>0</v>
      </c>
      <c r="N118" s="525"/>
      <c r="O118" s="514">
        <f t="shared" si="30"/>
        <v>0</v>
      </c>
      <c r="P118" s="514">
        <f t="shared" si="31"/>
        <v>0</v>
      </c>
    </row>
    <row r="119" spans="2:16">
      <c r="B119" s="195" t="str">
        <f t="shared" si="32"/>
        <v/>
      </c>
      <c r="C119" s="507">
        <f>IF(D93="","-",+C118+1)</f>
        <v>2028</v>
      </c>
      <c r="D119" s="374">
        <f>IF(F118+SUM(E$99:E118)=D$92,F118,D$92-SUM(E$99:E118))</f>
        <v>11289887.679225888</v>
      </c>
      <c r="E119" s="522">
        <f t="shared" si="41"/>
        <v>398020.58536585368</v>
      </c>
      <c r="F119" s="523">
        <f t="shared" si="42"/>
        <v>10891867.093860034</v>
      </c>
      <c r="G119" s="523">
        <f t="shared" si="43"/>
        <v>11090877.386542961</v>
      </c>
      <c r="H119" s="526">
        <f t="shared" si="44"/>
        <v>1656992.9516837585</v>
      </c>
      <c r="I119" s="577">
        <f t="shared" si="45"/>
        <v>1656992.9516837585</v>
      </c>
      <c r="J119" s="514">
        <f t="shared" si="36"/>
        <v>0</v>
      </c>
      <c r="K119" s="514"/>
      <c r="L119" s="525"/>
      <c r="M119" s="514">
        <f t="shared" si="29"/>
        <v>0</v>
      </c>
      <c r="N119" s="525"/>
      <c r="O119" s="514">
        <f t="shared" si="30"/>
        <v>0</v>
      </c>
      <c r="P119" s="514">
        <f t="shared" si="31"/>
        <v>0</v>
      </c>
    </row>
    <row r="120" spans="2:16">
      <c r="B120" s="195" t="str">
        <f t="shared" si="32"/>
        <v/>
      </c>
      <c r="C120" s="507">
        <f>IF(D93="","-",+C119+1)</f>
        <v>2029</v>
      </c>
      <c r="D120" s="374">
        <f>IF(F119+SUM(E$99:E119)=D$92,F119,D$92-SUM(E$99:E119))</f>
        <v>10891867.093860034</v>
      </c>
      <c r="E120" s="522">
        <f t="shared" si="41"/>
        <v>398020.58536585368</v>
      </c>
      <c r="F120" s="523">
        <f t="shared" si="42"/>
        <v>10493846.50849418</v>
      </c>
      <c r="G120" s="523">
        <f t="shared" si="43"/>
        <v>10692856.801177107</v>
      </c>
      <c r="H120" s="526">
        <f t="shared" si="44"/>
        <v>1611811.952855903</v>
      </c>
      <c r="I120" s="577">
        <f t="shared" si="45"/>
        <v>1611811.952855903</v>
      </c>
      <c r="J120" s="514">
        <f t="shared" si="36"/>
        <v>0</v>
      </c>
      <c r="K120" s="514"/>
      <c r="L120" s="525"/>
      <c r="M120" s="514">
        <f t="shared" si="29"/>
        <v>0</v>
      </c>
      <c r="N120" s="525"/>
      <c r="O120" s="514">
        <f t="shared" si="30"/>
        <v>0</v>
      </c>
      <c r="P120" s="514">
        <f t="shared" si="31"/>
        <v>0</v>
      </c>
    </row>
    <row r="121" spans="2:16">
      <c r="B121" s="195" t="str">
        <f t="shared" si="32"/>
        <v/>
      </c>
      <c r="C121" s="507">
        <f>IF(D93="","-",+C120+1)</f>
        <v>2030</v>
      </c>
      <c r="D121" s="374">
        <f>IF(F120+SUM(E$99:E120)=D$92,F120,D$92-SUM(E$99:E120))</f>
        <v>10493846.50849418</v>
      </c>
      <c r="E121" s="522">
        <f t="shared" si="41"/>
        <v>398020.58536585368</v>
      </c>
      <c r="F121" s="523">
        <f t="shared" si="42"/>
        <v>10095825.923128325</v>
      </c>
      <c r="G121" s="523">
        <f t="shared" si="43"/>
        <v>10294836.215811253</v>
      </c>
      <c r="H121" s="526">
        <f t="shared" si="44"/>
        <v>1566630.9540280474</v>
      </c>
      <c r="I121" s="577">
        <f t="shared" si="45"/>
        <v>1566630.9540280474</v>
      </c>
      <c r="J121" s="514">
        <f t="shared" si="36"/>
        <v>0</v>
      </c>
      <c r="K121" s="514"/>
      <c r="L121" s="525"/>
      <c r="M121" s="514">
        <f t="shared" si="29"/>
        <v>0</v>
      </c>
      <c r="N121" s="525"/>
      <c r="O121" s="514">
        <f t="shared" si="30"/>
        <v>0</v>
      </c>
      <c r="P121" s="514">
        <f t="shared" si="31"/>
        <v>0</v>
      </c>
    </row>
    <row r="122" spans="2:16">
      <c r="B122" s="195" t="str">
        <f t="shared" si="32"/>
        <v/>
      </c>
      <c r="C122" s="507">
        <f>IF(D93="","-",+C121+1)</f>
        <v>2031</v>
      </c>
      <c r="D122" s="374">
        <f>IF(F121+SUM(E$99:E121)=D$92,F121,D$92-SUM(E$99:E121))</f>
        <v>10095825.923128325</v>
      </c>
      <c r="E122" s="522">
        <f t="shared" si="41"/>
        <v>398020.58536585368</v>
      </c>
      <c r="F122" s="523">
        <f t="shared" si="42"/>
        <v>9697805.3377624713</v>
      </c>
      <c r="G122" s="523">
        <f t="shared" si="43"/>
        <v>9896815.6304453984</v>
      </c>
      <c r="H122" s="526">
        <f t="shared" si="44"/>
        <v>1521449.9552001918</v>
      </c>
      <c r="I122" s="577">
        <f t="shared" si="45"/>
        <v>1521449.9552001918</v>
      </c>
      <c r="J122" s="514">
        <f t="shared" si="36"/>
        <v>0</v>
      </c>
      <c r="K122" s="514"/>
      <c r="L122" s="525"/>
      <c r="M122" s="514">
        <f t="shared" si="29"/>
        <v>0</v>
      </c>
      <c r="N122" s="525"/>
      <c r="O122" s="514">
        <f t="shared" si="30"/>
        <v>0</v>
      </c>
      <c r="P122" s="514">
        <f t="shared" si="31"/>
        <v>0</v>
      </c>
    </row>
    <row r="123" spans="2:16">
      <c r="B123" s="195" t="str">
        <f t="shared" si="32"/>
        <v/>
      </c>
      <c r="C123" s="507">
        <f>IF(D93="","-",+C122+1)</f>
        <v>2032</v>
      </c>
      <c r="D123" s="374">
        <f>IF(F122+SUM(E$99:E122)=D$92,F122,D$92-SUM(E$99:E122))</f>
        <v>9697805.3377624713</v>
      </c>
      <c r="E123" s="522">
        <f t="shared" si="41"/>
        <v>398020.58536585368</v>
      </c>
      <c r="F123" s="523">
        <f t="shared" si="42"/>
        <v>9299784.7523966171</v>
      </c>
      <c r="G123" s="523">
        <f t="shared" si="43"/>
        <v>9498795.0450795442</v>
      </c>
      <c r="H123" s="526">
        <f t="shared" si="44"/>
        <v>1476268.9563723365</v>
      </c>
      <c r="I123" s="577">
        <f t="shared" si="45"/>
        <v>1476268.9563723365</v>
      </c>
      <c r="J123" s="514">
        <f t="shared" si="36"/>
        <v>0</v>
      </c>
      <c r="K123" s="514"/>
      <c r="L123" s="525"/>
      <c r="M123" s="514">
        <f t="shared" si="29"/>
        <v>0</v>
      </c>
      <c r="N123" s="525"/>
      <c r="O123" s="514">
        <f t="shared" si="30"/>
        <v>0</v>
      </c>
      <c r="P123" s="514">
        <f t="shared" si="31"/>
        <v>0</v>
      </c>
    </row>
    <row r="124" spans="2:16">
      <c r="B124" s="195" t="str">
        <f t="shared" si="32"/>
        <v/>
      </c>
      <c r="C124" s="507">
        <f>IF(D93="","-",+C123+1)</f>
        <v>2033</v>
      </c>
      <c r="D124" s="374">
        <f>IF(F123+SUM(E$99:E123)=D$92,F123,D$92-SUM(E$99:E123))</f>
        <v>9299784.7523966171</v>
      </c>
      <c r="E124" s="522">
        <f t="shared" si="41"/>
        <v>398020.58536585368</v>
      </c>
      <c r="F124" s="523">
        <f t="shared" si="42"/>
        <v>8901764.1670307629</v>
      </c>
      <c r="G124" s="523">
        <f t="shared" si="43"/>
        <v>9100774.45971369</v>
      </c>
      <c r="H124" s="526">
        <f t="shared" si="44"/>
        <v>1431087.9575444807</v>
      </c>
      <c r="I124" s="577">
        <f t="shared" si="45"/>
        <v>1431087.9575444807</v>
      </c>
      <c r="J124" s="514">
        <f t="shared" si="36"/>
        <v>0</v>
      </c>
      <c r="K124" s="514"/>
      <c r="L124" s="525"/>
      <c r="M124" s="514">
        <f t="shared" si="29"/>
        <v>0</v>
      </c>
      <c r="N124" s="525"/>
      <c r="O124" s="514">
        <f t="shared" si="30"/>
        <v>0</v>
      </c>
      <c r="P124" s="514">
        <f t="shared" si="31"/>
        <v>0</v>
      </c>
    </row>
    <row r="125" spans="2:16">
      <c r="B125" s="195" t="str">
        <f t="shared" si="32"/>
        <v/>
      </c>
      <c r="C125" s="507">
        <f>IF(D93="","-",+C124+1)</f>
        <v>2034</v>
      </c>
      <c r="D125" s="374">
        <f>IF(F124+SUM(E$99:E124)=D$92,F124,D$92-SUM(E$99:E124))</f>
        <v>8901764.1670307629</v>
      </c>
      <c r="E125" s="522">
        <f t="shared" si="41"/>
        <v>398020.58536585368</v>
      </c>
      <c r="F125" s="523">
        <f t="shared" si="42"/>
        <v>8503743.5816649087</v>
      </c>
      <c r="G125" s="523">
        <f t="shared" si="43"/>
        <v>8702753.8743478358</v>
      </c>
      <c r="H125" s="526">
        <f t="shared" si="44"/>
        <v>1385906.9587166251</v>
      </c>
      <c r="I125" s="577">
        <f t="shared" si="45"/>
        <v>1385906.9587166251</v>
      </c>
      <c r="J125" s="514">
        <f t="shared" si="36"/>
        <v>0</v>
      </c>
      <c r="K125" s="514"/>
      <c r="L125" s="525"/>
      <c r="M125" s="514">
        <f t="shared" si="29"/>
        <v>0</v>
      </c>
      <c r="N125" s="525"/>
      <c r="O125" s="514">
        <f t="shared" si="30"/>
        <v>0</v>
      </c>
      <c r="P125" s="514">
        <f t="shared" si="31"/>
        <v>0</v>
      </c>
    </row>
    <row r="126" spans="2:16">
      <c r="B126" s="195" t="str">
        <f t="shared" si="32"/>
        <v/>
      </c>
      <c r="C126" s="507">
        <f>IF(D93="","-",+C125+1)</f>
        <v>2035</v>
      </c>
      <c r="D126" s="374">
        <f>IF(F125+SUM(E$99:E125)=D$92,F125,D$92-SUM(E$99:E125))</f>
        <v>8503743.5816649087</v>
      </c>
      <c r="E126" s="522">
        <f t="shared" si="41"/>
        <v>398020.58536585368</v>
      </c>
      <c r="F126" s="523">
        <f t="shared" si="42"/>
        <v>8105722.9962990554</v>
      </c>
      <c r="G126" s="523">
        <f t="shared" si="43"/>
        <v>8304733.2889819816</v>
      </c>
      <c r="H126" s="526">
        <f t="shared" si="44"/>
        <v>1340725.9598887698</v>
      </c>
      <c r="I126" s="577">
        <f t="shared" si="45"/>
        <v>1340725.9598887698</v>
      </c>
      <c r="J126" s="514">
        <f t="shared" si="36"/>
        <v>0</v>
      </c>
      <c r="K126" s="514"/>
      <c r="L126" s="525"/>
      <c r="M126" s="514">
        <f t="shared" si="29"/>
        <v>0</v>
      </c>
      <c r="N126" s="525"/>
      <c r="O126" s="514">
        <f t="shared" si="30"/>
        <v>0</v>
      </c>
      <c r="P126" s="514">
        <f t="shared" si="31"/>
        <v>0</v>
      </c>
    </row>
    <row r="127" spans="2:16">
      <c r="B127" s="195" t="str">
        <f t="shared" si="32"/>
        <v/>
      </c>
      <c r="C127" s="507">
        <f>IF(D93="","-",+C126+1)</f>
        <v>2036</v>
      </c>
      <c r="D127" s="374">
        <f>IF(F126+SUM(E$99:E126)=D$92,F126,D$92-SUM(E$99:E126))</f>
        <v>8105722.9962990554</v>
      </c>
      <c r="E127" s="522">
        <f t="shared" si="41"/>
        <v>398020.58536585368</v>
      </c>
      <c r="F127" s="523">
        <f t="shared" si="42"/>
        <v>7707702.4109332021</v>
      </c>
      <c r="G127" s="523">
        <f t="shared" si="43"/>
        <v>7906712.7036161292</v>
      </c>
      <c r="H127" s="526">
        <f t="shared" si="44"/>
        <v>1295544.9610609144</v>
      </c>
      <c r="I127" s="577">
        <f t="shared" si="45"/>
        <v>1295544.9610609144</v>
      </c>
      <c r="J127" s="514">
        <f t="shared" si="36"/>
        <v>0</v>
      </c>
      <c r="K127" s="514"/>
      <c r="L127" s="525"/>
      <c r="M127" s="514">
        <f t="shared" si="29"/>
        <v>0</v>
      </c>
      <c r="N127" s="525"/>
      <c r="O127" s="514">
        <f t="shared" si="30"/>
        <v>0</v>
      </c>
      <c r="P127" s="514">
        <f t="shared" si="31"/>
        <v>0</v>
      </c>
    </row>
    <row r="128" spans="2:16">
      <c r="B128" s="195" t="str">
        <f t="shared" si="32"/>
        <v/>
      </c>
      <c r="C128" s="507">
        <f>IF(D93="","-",+C127+1)</f>
        <v>2037</v>
      </c>
      <c r="D128" s="374">
        <f>IF(F127+SUM(E$99:E127)=D$92,F127,D$92-SUM(E$99:E127))</f>
        <v>7707702.4109332021</v>
      </c>
      <c r="E128" s="522">
        <f t="shared" si="41"/>
        <v>398020.58536585368</v>
      </c>
      <c r="F128" s="523">
        <f t="shared" si="42"/>
        <v>7309681.8255673489</v>
      </c>
      <c r="G128" s="523">
        <f t="shared" si="43"/>
        <v>7508692.118250275</v>
      </c>
      <c r="H128" s="526">
        <f t="shared" si="44"/>
        <v>1250363.9622330589</v>
      </c>
      <c r="I128" s="577">
        <f t="shared" si="45"/>
        <v>1250363.9622330589</v>
      </c>
      <c r="J128" s="514">
        <f t="shared" si="36"/>
        <v>0</v>
      </c>
      <c r="K128" s="514"/>
      <c r="L128" s="525"/>
      <c r="M128" s="514">
        <f t="shared" si="29"/>
        <v>0</v>
      </c>
      <c r="N128" s="525"/>
      <c r="O128" s="514">
        <f t="shared" si="30"/>
        <v>0</v>
      </c>
      <c r="P128" s="514">
        <f t="shared" si="31"/>
        <v>0</v>
      </c>
    </row>
    <row r="129" spans="2:16">
      <c r="B129" s="195" t="str">
        <f t="shared" si="32"/>
        <v/>
      </c>
      <c r="C129" s="507">
        <f>IF(D93="","-",+C128+1)</f>
        <v>2038</v>
      </c>
      <c r="D129" s="374">
        <f>IF(F128+SUM(E$99:E128)=D$92,F128,D$92-SUM(E$99:E128))</f>
        <v>7309681.8255673489</v>
      </c>
      <c r="E129" s="522">
        <f t="shared" si="41"/>
        <v>398020.58536585368</v>
      </c>
      <c r="F129" s="523">
        <f t="shared" si="42"/>
        <v>6911661.2402014956</v>
      </c>
      <c r="G129" s="523">
        <f t="shared" si="43"/>
        <v>7110671.5328844227</v>
      </c>
      <c r="H129" s="526">
        <f t="shared" si="44"/>
        <v>1205182.9634052035</v>
      </c>
      <c r="I129" s="577">
        <f t="shared" si="45"/>
        <v>1205182.9634052035</v>
      </c>
      <c r="J129" s="514">
        <f t="shared" si="36"/>
        <v>0</v>
      </c>
      <c r="K129" s="514"/>
      <c r="L129" s="525"/>
      <c r="M129" s="514">
        <f t="shared" si="29"/>
        <v>0</v>
      </c>
      <c r="N129" s="525"/>
      <c r="O129" s="514">
        <f t="shared" si="30"/>
        <v>0</v>
      </c>
      <c r="P129" s="514">
        <f t="shared" si="31"/>
        <v>0</v>
      </c>
    </row>
    <row r="130" spans="2:16">
      <c r="B130" s="195" t="str">
        <f t="shared" si="32"/>
        <v/>
      </c>
      <c r="C130" s="507">
        <f>IF(D93="","-",+C129+1)</f>
        <v>2039</v>
      </c>
      <c r="D130" s="374">
        <f>IF(F129+SUM(E$99:E129)=D$92,F129,D$92-SUM(E$99:E129))</f>
        <v>6911661.2402014956</v>
      </c>
      <c r="E130" s="522">
        <f t="shared" si="41"/>
        <v>398020.58536585368</v>
      </c>
      <c r="F130" s="523">
        <f t="shared" si="42"/>
        <v>6513640.6548356423</v>
      </c>
      <c r="G130" s="523">
        <f t="shared" si="43"/>
        <v>6712650.9475185685</v>
      </c>
      <c r="H130" s="526">
        <f t="shared" si="44"/>
        <v>1160001.964577348</v>
      </c>
      <c r="I130" s="577">
        <f t="shared" si="45"/>
        <v>1160001.964577348</v>
      </c>
      <c r="J130" s="514">
        <f t="shared" si="36"/>
        <v>0</v>
      </c>
      <c r="K130" s="514"/>
      <c r="L130" s="525"/>
      <c r="M130" s="514">
        <f t="shared" si="29"/>
        <v>0</v>
      </c>
      <c r="N130" s="525"/>
      <c r="O130" s="514">
        <f t="shared" si="30"/>
        <v>0</v>
      </c>
      <c r="P130" s="514">
        <f t="shared" si="31"/>
        <v>0</v>
      </c>
    </row>
    <row r="131" spans="2:16">
      <c r="B131" s="195" t="str">
        <f t="shared" si="32"/>
        <v/>
      </c>
      <c r="C131" s="507">
        <f>IF(D93="","-",+C130+1)</f>
        <v>2040</v>
      </c>
      <c r="D131" s="374">
        <f>IF(F130+SUM(E$99:E130)=D$92,F130,D$92-SUM(E$99:E130))</f>
        <v>6513640.6548356423</v>
      </c>
      <c r="E131" s="522">
        <f t="shared" si="41"/>
        <v>398020.58536585368</v>
      </c>
      <c r="F131" s="523">
        <f t="shared" si="42"/>
        <v>6115620.069469789</v>
      </c>
      <c r="G131" s="523">
        <f t="shared" si="43"/>
        <v>6314630.3621527161</v>
      </c>
      <c r="H131" s="526">
        <f t="shared" si="44"/>
        <v>1114820.9657494926</v>
      </c>
      <c r="I131" s="577">
        <f t="shared" si="45"/>
        <v>1114820.9657494926</v>
      </c>
      <c r="J131" s="514">
        <f t="shared" si="36"/>
        <v>0</v>
      </c>
      <c r="K131" s="514"/>
      <c r="L131" s="525"/>
      <c r="M131" s="514">
        <f t="shared" ref="M131:M154" si="46">IF(L541&lt;&gt;0,+H541-L541,0)</f>
        <v>0</v>
      </c>
      <c r="N131" s="525"/>
      <c r="O131" s="514">
        <f t="shared" ref="O131:O154" si="47">IF(N541&lt;&gt;0,+I541-N541,0)</f>
        <v>0</v>
      </c>
      <c r="P131" s="514">
        <f t="shared" ref="P131:P154" si="48">+O541-M541</f>
        <v>0</v>
      </c>
    </row>
    <row r="132" spans="2:16">
      <c r="B132" s="195" t="str">
        <f t="shared" si="32"/>
        <v/>
      </c>
      <c r="C132" s="507">
        <f>IF(D93="","-",+C131+1)</f>
        <v>2041</v>
      </c>
      <c r="D132" s="374">
        <f>IF(F131+SUM(E$99:E131)=D$92,F131,D$92-SUM(E$99:E131))</f>
        <v>6115620.069469789</v>
      </c>
      <c r="E132" s="522">
        <f t="shared" si="41"/>
        <v>398020.58536585368</v>
      </c>
      <c r="F132" s="523">
        <f t="shared" si="42"/>
        <v>5717599.4841039358</v>
      </c>
      <c r="G132" s="523">
        <f t="shared" si="43"/>
        <v>5916609.7767868619</v>
      </c>
      <c r="H132" s="526">
        <f t="shared" si="44"/>
        <v>1069639.9669216371</v>
      </c>
      <c r="I132" s="577">
        <f t="shared" si="45"/>
        <v>1069639.9669216371</v>
      </c>
      <c r="J132" s="514">
        <f t="shared" si="36"/>
        <v>0</v>
      </c>
      <c r="K132" s="514"/>
      <c r="L132" s="525"/>
      <c r="M132" s="514">
        <f t="shared" si="46"/>
        <v>0</v>
      </c>
      <c r="N132" s="525"/>
      <c r="O132" s="514">
        <f t="shared" si="47"/>
        <v>0</v>
      </c>
      <c r="P132" s="514">
        <f t="shared" si="48"/>
        <v>0</v>
      </c>
    </row>
    <row r="133" spans="2:16">
      <c r="B133" s="195" t="str">
        <f t="shared" si="32"/>
        <v/>
      </c>
      <c r="C133" s="507">
        <f>IF(D93="","-",+C132+1)</f>
        <v>2042</v>
      </c>
      <c r="D133" s="374">
        <f>IF(F132+SUM(E$99:E132)=D$92,F132,D$92-SUM(E$99:E132))</f>
        <v>5717599.4841039358</v>
      </c>
      <c r="E133" s="522">
        <f t="shared" si="41"/>
        <v>398020.58536585368</v>
      </c>
      <c r="F133" s="523">
        <f t="shared" si="42"/>
        <v>5319578.8987380825</v>
      </c>
      <c r="G133" s="523">
        <f t="shared" si="43"/>
        <v>5518589.1914210096</v>
      </c>
      <c r="H133" s="526">
        <f t="shared" si="44"/>
        <v>1024458.9680937817</v>
      </c>
      <c r="I133" s="577">
        <f t="shared" si="45"/>
        <v>1024458.9680937817</v>
      </c>
      <c r="J133" s="514">
        <f t="shared" si="36"/>
        <v>0</v>
      </c>
      <c r="K133" s="514"/>
      <c r="L133" s="525"/>
      <c r="M133" s="514">
        <f t="shared" si="46"/>
        <v>0</v>
      </c>
      <c r="N133" s="525"/>
      <c r="O133" s="514">
        <f t="shared" si="47"/>
        <v>0</v>
      </c>
      <c r="P133" s="514">
        <f t="shared" si="48"/>
        <v>0</v>
      </c>
    </row>
    <row r="134" spans="2:16">
      <c r="B134" s="195" t="str">
        <f t="shared" si="32"/>
        <v/>
      </c>
      <c r="C134" s="507">
        <f>IF(D93="","-",+C133+1)</f>
        <v>2043</v>
      </c>
      <c r="D134" s="374">
        <f>IF(F133+SUM(E$99:E133)=D$92,F133,D$92-SUM(E$99:E133))</f>
        <v>5319578.8987380825</v>
      </c>
      <c r="E134" s="522">
        <f t="shared" si="41"/>
        <v>398020.58536585368</v>
      </c>
      <c r="F134" s="523">
        <f t="shared" si="42"/>
        <v>4921558.3133722292</v>
      </c>
      <c r="G134" s="523">
        <f t="shared" si="43"/>
        <v>5120568.6060551554</v>
      </c>
      <c r="H134" s="526">
        <f t="shared" si="44"/>
        <v>979277.96926592616</v>
      </c>
      <c r="I134" s="577">
        <f t="shared" si="45"/>
        <v>979277.96926592616</v>
      </c>
      <c r="J134" s="514">
        <f t="shared" si="36"/>
        <v>0</v>
      </c>
      <c r="K134" s="514"/>
      <c r="L134" s="525"/>
      <c r="M134" s="514">
        <f t="shared" si="46"/>
        <v>0</v>
      </c>
      <c r="N134" s="525"/>
      <c r="O134" s="514">
        <f t="shared" si="47"/>
        <v>0</v>
      </c>
      <c r="P134" s="514">
        <f t="shared" si="48"/>
        <v>0</v>
      </c>
    </row>
    <row r="135" spans="2:16">
      <c r="B135" s="195" t="str">
        <f t="shared" si="32"/>
        <v/>
      </c>
      <c r="C135" s="507">
        <f>IF(D93="","-",+C134+1)</f>
        <v>2044</v>
      </c>
      <c r="D135" s="374">
        <f>IF(F134+SUM(E$99:E134)=D$92,F134,D$92-SUM(E$99:E134))</f>
        <v>4921558.3133722292</v>
      </c>
      <c r="E135" s="522">
        <f t="shared" si="41"/>
        <v>398020.58536585368</v>
      </c>
      <c r="F135" s="523">
        <f t="shared" si="42"/>
        <v>4523537.728006376</v>
      </c>
      <c r="G135" s="523">
        <f t="shared" si="43"/>
        <v>4722548.0206893031</v>
      </c>
      <c r="H135" s="526">
        <f t="shared" si="44"/>
        <v>934096.97043807083</v>
      </c>
      <c r="I135" s="577">
        <f t="shared" si="45"/>
        <v>934096.97043807083</v>
      </c>
      <c r="J135" s="514">
        <f t="shared" si="36"/>
        <v>0</v>
      </c>
      <c r="K135" s="514"/>
      <c r="L135" s="525"/>
      <c r="M135" s="514">
        <f t="shared" si="46"/>
        <v>0</v>
      </c>
      <c r="N135" s="525"/>
      <c r="O135" s="514">
        <f t="shared" si="47"/>
        <v>0</v>
      </c>
      <c r="P135" s="514">
        <f t="shared" si="48"/>
        <v>0</v>
      </c>
    </row>
    <row r="136" spans="2:16">
      <c r="B136" s="195" t="str">
        <f t="shared" si="32"/>
        <v/>
      </c>
      <c r="C136" s="507">
        <f>IF(D93="","-",+C135+1)</f>
        <v>2045</v>
      </c>
      <c r="D136" s="374">
        <f>IF(F135+SUM(E$99:E135)=D$92,F135,D$92-SUM(E$99:E135))</f>
        <v>4523537.728006376</v>
      </c>
      <c r="E136" s="522">
        <f t="shared" si="41"/>
        <v>398020.58536585368</v>
      </c>
      <c r="F136" s="523">
        <f t="shared" si="42"/>
        <v>4125517.1426405222</v>
      </c>
      <c r="G136" s="523">
        <f t="shared" si="43"/>
        <v>4324527.4353234489</v>
      </c>
      <c r="H136" s="526">
        <f t="shared" si="44"/>
        <v>888915.97161021526</v>
      </c>
      <c r="I136" s="577">
        <f t="shared" si="45"/>
        <v>888915.97161021526</v>
      </c>
      <c r="J136" s="514">
        <f t="shared" si="36"/>
        <v>0</v>
      </c>
      <c r="K136" s="514"/>
      <c r="L136" s="525"/>
      <c r="M136" s="514">
        <f t="shared" si="46"/>
        <v>0</v>
      </c>
      <c r="N136" s="525"/>
      <c r="O136" s="514">
        <f t="shared" si="47"/>
        <v>0</v>
      </c>
      <c r="P136" s="514">
        <f t="shared" si="48"/>
        <v>0</v>
      </c>
    </row>
    <row r="137" spans="2:16">
      <c r="B137" s="195" t="str">
        <f t="shared" si="32"/>
        <v/>
      </c>
      <c r="C137" s="507">
        <f>IF(D93="","-",+C136+1)</f>
        <v>2046</v>
      </c>
      <c r="D137" s="374">
        <f>IF(F136+SUM(E$99:E136)=D$92,F136,D$92-SUM(E$99:E136))</f>
        <v>4125517.1426405222</v>
      </c>
      <c r="E137" s="522">
        <f t="shared" si="41"/>
        <v>398020.58536585368</v>
      </c>
      <c r="F137" s="523">
        <f t="shared" si="42"/>
        <v>3727496.5572746685</v>
      </c>
      <c r="G137" s="523">
        <f t="shared" si="43"/>
        <v>3926506.8499575956</v>
      </c>
      <c r="H137" s="526">
        <f t="shared" si="44"/>
        <v>843734.97278235981</v>
      </c>
      <c r="I137" s="577">
        <f t="shared" si="45"/>
        <v>843734.97278235981</v>
      </c>
      <c r="J137" s="514">
        <f t="shared" si="36"/>
        <v>0</v>
      </c>
      <c r="K137" s="514"/>
      <c r="L137" s="525"/>
      <c r="M137" s="514">
        <f t="shared" si="46"/>
        <v>0</v>
      </c>
      <c r="N137" s="525"/>
      <c r="O137" s="514">
        <f t="shared" si="47"/>
        <v>0</v>
      </c>
      <c r="P137" s="514">
        <f t="shared" si="48"/>
        <v>0</v>
      </c>
    </row>
    <row r="138" spans="2:16">
      <c r="B138" s="195" t="str">
        <f t="shared" si="32"/>
        <v/>
      </c>
      <c r="C138" s="507">
        <f>IF(D93="","-",+C137+1)</f>
        <v>2047</v>
      </c>
      <c r="D138" s="374">
        <f>IF(F137+SUM(E$99:E137)=D$92,F137,D$92-SUM(E$99:E137))</f>
        <v>3727496.5572746685</v>
      </c>
      <c r="E138" s="522">
        <f t="shared" si="41"/>
        <v>398020.58536585368</v>
      </c>
      <c r="F138" s="523">
        <f t="shared" si="42"/>
        <v>3329475.9719088147</v>
      </c>
      <c r="G138" s="523">
        <f t="shared" si="43"/>
        <v>3528486.2645917414</v>
      </c>
      <c r="H138" s="526">
        <f t="shared" si="44"/>
        <v>798553.97395450436</v>
      </c>
      <c r="I138" s="577">
        <f t="shared" si="45"/>
        <v>798553.97395450436</v>
      </c>
      <c r="J138" s="514">
        <f t="shared" si="36"/>
        <v>0</v>
      </c>
      <c r="K138" s="514"/>
      <c r="L138" s="525"/>
      <c r="M138" s="514">
        <f t="shared" si="46"/>
        <v>0</v>
      </c>
      <c r="N138" s="525"/>
      <c r="O138" s="514">
        <f t="shared" si="47"/>
        <v>0</v>
      </c>
      <c r="P138" s="514">
        <f t="shared" si="48"/>
        <v>0</v>
      </c>
    </row>
    <row r="139" spans="2:16">
      <c r="B139" s="195" t="str">
        <f t="shared" si="32"/>
        <v/>
      </c>
      <c r="C139" s="507">
        <f>IF(D93="","-",+C138+1)</f>
        <v>2048</v>
      </c>
      <c r="D139" s="374">
        <f>IF(F138+SUM(E$99:E138)=D$92,F138,D$92-SUM(E$99:E138))</f>
        <v>3329475.9719088147</v>
      </c>
      <c r="E139" s="522">
        <f t="shared" si="41"/>
        <v>398020.58536585368</v>
      </c>
      <c r="F139" s="523">
        <f t="shared" si="42"/>
        <v>2931455.386542961</v>
      </c>
      <c r="G139" s="523">
        <f t="shared" si="43"/>
        <v>3130465.6792258881</v>
      </c>
      <c r="H139" s="526">
        <f t="shared" si="44"/>
        <v>753372.97512664879</v>
      </c>
      <c r="I139" s="577">
        <f t="shared" si="45"/>
        <v>753372.97512664879</v>
      </c>
      <c r="J139" s="514">
        <f t="shared" si="36"/>
        <v>0</v>
      </c>
      <c r="K139" s="514"/>
      <c r="L139" s="525"/>
      <c r="M139" s="514">
        <f t="shared" si="46"/>
        <v>0</v>
      </c>
      <c r="N139" s="525"/>
      <c r="O139" s="514">
        <f t="shared" si="47"/>
        <v>0</v>
      </c>
      <c r="P139" s="514">
        <f t="shared" si="48"/>
        <v>0</v>
      </c>
    </row>
    <row r="140" spans="2:16">
      <c r="B140" s="195" t="str">
        <f t="shared" si="32"/>
        <v/>
      </c>
      <c r="C140" s="507">
        <f>IF(D93="","-",+C139+1)</f>
        <v>2049</v>
      </c>
      <c r="D140" s="374">
        <f>IF(F139+SUM(E$99:E139)=D$92,F139,D$92-SUM(E$99:E139))</f>
        <v>2931455.386542961</v>
      </c>
      <c r="E140" s="522">
        <f t="shared" si="41"/>
        <v>398020.58536585368</v>
      </c>
      <c r="F140" s="523">
        <f t="shared" si="42"/>
        <v>2533434.8011771073</v>
      </c>
      <c r="G140" s="523">
        <f t="shared" si="43"/>
        <v>2732445.0938600339</v>
      </c>
      <c r="H140" s="526">
        <f t="shared" si="44"/>
        <v>708191.97629879322</v>
      </c>
      <c r="I140" s="577">
        <f t="shared" si="45"/>
        <v>708191.97629879322</v>
      </c>
      <c r="J140" s="514">
        <f t="shared" si="36"/>
        <v>0</v>
      </c>
      <c r="K140" s="514"/>
      <c r="L140" s="525"/>
      <c r="M140" s="514">
        <f t="shared" si="46"/>
        <v>0</v>
      </c>
      <c r="N140" s="525"/>
      <c r="O140" s="514">
        <f t="shared" si="47"/>
        <v>0</v>
      </c>
      <c r="P140" s="514">
        <f t="shared" si="48"/>
        <v>0</v>
      </c>
    </row>
    <row r="141" spans="2:16">
      <c r="B141" s="195" t="str">
        <f t="shared" si="32"/>
        <v/>
      </c>
      <c r="C141" s="507">
        <f>IF(D93="","-",+C140+1)</f>
        <v>2050</v>
      </c>
      <c r="D141" s="374">
        <f>IF(F140+SUM(E$99:E140)=D$92,F140,D$92-SUM(E$99:E140))</f>
        <v>2533434.8011771073</v>
      </c>
      <c r="E141" s="522">
        <f t="shared" si="41"/>
        <v>398020.58536585368</v>
      </c>
      <c r="F141" s="523">
        <f t="shared" si="42"/>
        <v>2135414.2158112535</v>
      </c>
      <c r="G141" s="523">
        <f t="shared" si="43"/>
        <v>2334424.5084941806</v>
      </c>
      <c r="H141" s="526">
        <f t="shared" si="44"/>
        <v>663010.97747093788</v>
      </c>
      <c r="I141" s="577">
        <f t="shared" si="45"/>
        <v>663010.97747093788</v>
      </c>
      <c r="J141" s="514">
        <f t="shared" si="36"/>
        <v>0</v>
      </c>
      <c r="K141" s="514"/>
      <c r="L141" s="525"/>
      <c r="M141" s="514">
        <f t="shared" si="46"/>
        <v>0</v>
      </c>
      <c r="N141" s="525"/>
      <c r="O141" s="514">
        <f t="shared" si="47"/>
        <v>0</v>
      </c>
      <c r="P141" s="514">
        <f t="shared" si="48"/>
        <v>0</v>
      </c>
    </row>
    <row r="142" spans="2:16">
      <c r="B142" s="195" t="str">
        <f t="shared" si="32"/>
        <v/>
      </c>
      <c r="C142" s="507">
        <f>IF(D93="","-",+C141+1)</f>
        <v>2051</v>
      </c>
      <c r="D142" s="374">
        <f>IF(F141+SUM(E$99:E141)=D$92,F141,D$92-SUM(E$99:E141))</f>
        <v>2135414.2158112535</v>
      </c>
      <c r="E142" s="522">
        <f t="shared" si="41"/>
        <v>398020.58536585368</v>
      </c>
      <c r="F142" s="523">
        <f t="shared" si="42"/>
        <v>1737393.6304453998</v>
      </c>
      <c r="G142" s="523">
        <f t="shared" si="43"/>
        <v>1936403.9231283267</v>
      </c>
      <c r="H142" s="526">
        <f t="shared" si="44"/>
        <v>617829.97864308232</v>
      </c>
      <c r="I142" s="577">
        <f t="shared" si="45"/>
        <v>617829.97864308232</v>
      </c>
      <c r="J142" s="514">
        <f t="shared" si="36"/>
        <v>0</v>
      </c>
      <c r="K142" s="514"/>
      <c r="L142" s="525"/>
      <c r="M142" s="514">
        <f t="shared" si="46"/>
        <v>0</v>
      </c>
      <c r="N142" s="525"/>
      <c r="O142" s="514">
        <f t="shared" si="47"/>
        <v>0</v>
      </c>
      <c r="P142" s="514">
        <f t="shared" si="48"/>
        <v>0</v>
      </c>
    </row>
    <row r="143" spans="2:16">
      <c r="B143" s="195" t="str">
        <f t="shared" si="32"/>
        <v/>
      </c>
      <c r="C143" s="507">
        <f>IF(D93="","-",+C142+1)</f>
        <v>2052</v>
      </c>
      <c r="D143" s="374">
        <f>IF(F142+SUM(E$99:E142)=D$92,F142,D$92-SUM(E$99:E142))</f>
        <v>1737393.6304453998</v>
      </c>
      <c r="E143" s="522">
        <f t="shared" si="41"/>
        <v>398020.58536585368</v>
      </c>
      <c r="F143" s="523">
        <f t="shared" si="42"/>
        <v>1339373.045079546</v>
      </c>
      <c r="G143" s="523">
        <f t="shared" si="43"/>
        <v>1538383.3377624729</v>
      </c>
      <c r="H143" s="526">
        <f t="shared" si="44"/>
        <v>572648.97981522686</v>
      </c>
      <c r="I143" s="577">
        <f t="shared" si="45"/>
        <v>572648.97981522686</v>
      </c>
      <c r="J143" s="514">
        <f t="shared" si="36"/>
        <v>0</v>
      </c>
      <c r="K143" s="514"/>
      <c r="L143" s="525"/>
      <c r="M143" s="514">
        <f t="shared" si="46"/>
        <v>0</v>
      </c>
      <c r="N143" s="525"/>
      <c r="O143" s="514">
        <f t="shared" si="47"/>
        <v>0</v>
      </c>
      <c r="P143" s="514">
        <f t="shared" si="48"/>
        <v>0</v>
      </c>
    </row>
    <row r="144" spans="2:16">
      <c r="B144" s="195" t="str">
        <f t="shared" si="32"/>
        <v/>
      </c>
      <c r="C144" s="507">
        <f>IF(D93="","-",+C143+1)</f>
        <v>2053</v>
      </c>
      <c r="D144" s="374">
        <f>IF(F143+SUM(E$99:E143)=D$92,F143,D$92-SUM(E$99:E143))</f>
        <v>1339373.045079546</v>
      </c>
      <c r="E144" s="522">
        <f t="shared" si="41"/>
        <v>398020.58536585368</v>
      </c>
      <c r="F144" s="523">
        <f t="shared" si="42"/>
        <v>941352.45971369231</v>
      </c>
      <c r="G144" s="523">
        <f t="shared" si="43"/>
        <v>1140362.7523966192</v>
      </c>
      <c r="H144" s="526">
        <f t="shared" si="44"/>
        <v>527467.98098737141</v>
      </c>
      <c r="I144" s="577">
        <f t="shared" si="45"/>
        <v>527467.98098737141</v>
      </c>
      <c r="J144" s="514">
        <f t="shared" si="36"/>
        <v>0</v>
      </c>
      <c r="K144" s="514"/>
      <c r="L144" s="525"/>
      <c r="M144" s="514">
        <f t="shared" si="46"/>
        <v>0</v>
      </c>
      <c r="N144" s="525"/>
      <c r="O144" s="514">
        <f t="shared" si="47"/>
        <v>0</v>
      </c>
      <c r="P144" s="514">
        <f t="shared" si="48"/>
        <v>0</v>
      </c>
    </row>
    <row r="145" spans="2:16">
      <c r="B145" s="195" t="str">
        <f t="shared" si="32"/>
        <v/>
      </c>
      <c r="C145" s="507">
        <f>IF(D93="","-",+C144+1)</f>
        <v>2054</v>
      </c>
      <c r="D145" s="374">
        <f>IF(F144+SUM(E$99:E144)=D$92,F144,D$92-SUM(E$99:E144))</f>
        <v>941352.45971369231</v>
      </c>
      <c r="E145" s="522">
        <f t="shared" si="41"/>
        <v>398020.58536585368</v>
      </c>
      <c r="F145" s="523">
        <f t="shared" si="42"/>
        <v>543331.87434783857</v>
      </c>
      <c r="G145" s="523">
        <f t="shared" si="43"/>
        <v>742342.16703076544</v>
      </c>
      <c r="H145" s="526">
        <f t="shared" si="44"/>
        <v>482286.98215951584</v>
      </c>
      <c r="I145" s="577">
        <f t="shared" si="45"/>
        <v>482286.98215951584</v>
      </c>
      <c r="J145" s="514">
        <f t="shared" si="36"/>
        <v>0</v>
      </c>
      <c r="K145" s="514"/>
      <c r="L145" s="525"/>
      <c r="M145" s="514">
        <f t="shared" si="46"/>
        <v>0</v>
      </c>
      <c r="N145" s="525"/>
      <c r="O145" s="514">
        <f t="shared" si="47"/>
        <v>0</v>
      </c>
      <c r="P145" s="514">
        <f t="shared" si="48"/>
        <v>0</v>
      </c>
    </row>
    <row r="146" spans="2:16">
      <c r="B146" s="195" t="str">
        <f t="shared" si="32"/>
        <v/>
      </c>
      <c r="C146" s="507">
        <f>IF(D93="","-",+C145+1)</f>
        <v>2055</v>
      </c>
      <c r="D146" s="374">
        <f>IF(F145+SUM(E$99:E145)=D$92,F145,D$92-SUM(E$99:E145))</f>
        <v>543331.87434783857</v>
      </c>
      <c r="E146" s="522">
        <f t="shared" si="41"/>
        <v>398020.58536585368</v>
      </c>
      <c r="F146" s="523">
        <f t="shared" si="42"/>
        <v>145311.28898198489</v>
      </c>
      <c r="G146" s="523">
        <f t="shared" si="43"/>
        <v>344321.5816649117</v>
      </c>
      <c r="H146" s="526">
        <f t="shared" si="44"/>
        <v>437105.98333166039</v>
      </c>
      <c r="I146" s="577">
        <f t="shared" si="45"/>
        <v>437105.98333166039</v>
      </c>
      <c r="J146" s="514">
        <f t="shared" si="36"/>
        <v>0</v>
      </c>
      <c r="K146" s="514"/>
      <c r="L146" s="525"/>
      <c r="M146" s="514">
        <f t="shared" si="46"/>
        <v>0</v>
      </c>
      <c r="N146" s="525"/>
      <c r="O146" s="514">
        <f t="shared" si="47"/>
        <v>0</v>
      </c>
      <c r="P146" s="514">
        <f t="shared" si="48"/>
        <v>0</v>
      </c>
    </row>
    <row r="147" spans="2:16">
      <c r="B147" s="195" t="str">
        <f t="shared" si="32"/>
        <v/>
      </c>
      <c r="C147" s="507">
        <f>IF(D93="","-",+C146+1)</f>
        <v>2056</v>
      </c>
      <c r="D147" s="374">
        <f>IF(F146+SUM(E$99:E146)=D$92,F146,D$92-SUM(E$99:E146))</f>
        <v>145311.28898198489</v>
      </c>
      <c r="E147" s="522">
        <f t="shared" si="41"/>
        <v>145311.28898198489</v>
      </c>
      <c r="F147" s="523">
        <f t="shared" si="42"/>
        <v>0</v>
      </c>
      <c r="G147" s="523">
        <f t="shared" si="43"/>
        <v>72655.644490992447</v>
      </c>
      <c r="H147" s="526">
        <f t="shared" si="44"/>
        <v>153558.73825792436</v>
      </c>
      <c r="I147" s="577">
        <f t="shared" si="45"/>
        <v>153558.73825792436</v>
      </c>
      <c r="J147" s="514">
        <f t="shared" si="36"/>
        <v>0</v>
      </c>
      <c r="K147" s="514"/>
      <c r="L147" s="525"/>
      <c r="M147" s="514">
        <f t="shared" si="46"/>
        <v>0</v>
      </c>
      <c r="N147" s="525"/>
      <c r="O147" s="514">
        <f t="shared" si="47"/>
        <v>0</v>
      </c>
      <c r="P147" s="514">
        <f t="shared" si="48"/>
        <v>0</v>
      </c>
    </row>
    <row r="148" spans="2:16">
      <c r="B148" s="195" t="str">
        <f t="shared" si="32"/>
        <v/>
      </c>
      <c r="C148" s="507">
        <f>IF(D93="","-",+C147+1)</f>
        <v>2057</v>
      </c>
      <c r="D148" s="374">
        <f>IF(F147+SUM(E$99:E147)=D$92,F147,D$92-SUM(E$99:E147))</f>
        <v>0</v>
      </c>
      <c r="E148" s="522">
        <f t="shared" si="41"/>
        <v>0</v>
      </c>
      <c r="F148" s="523">
        <f t="shared" si="42"/>
        <v>0</v>
      </c>
      <c r="G148" s="523">
        <f t="shared" si="43"/>
        <v>0</v>
      </c>
      <c r="H148" s="526">
        <f t="shared" si="44"/>
        <v>0</v>
      </c>
      <c r="I148" s="577">
        <f t="shared" si="45"/>
        <v>0</v>
      </c>
      <c r="J148" s="514">
        <f t="shared" si="36"/>
        <v>0</v>
      </c>
      <c r="K148" s="514"/>
      <c r="L148" s="525"/>
      <c r="M148" s="514">
        <f t="shared" si="46"/>
        <v>0</v>
      </c>
      <c r="N148" s="525"/>
      <c r="O148" s="514">
        <f t="shared" si="47"/>
        <v>0</v>
      </c>
      <c r="P148" s="514">
        <f t="shared" si="48"/>
        <v>0</v>
      </c>
    </row>
    <row r="149" spans="2:16">
      <c r="B149" s="195" t="str">
        <f t="shared" si="32"/>
        <v/>
      </c>
      <c r="C149" s="507">
        <f>IF(D93="","-",+C148+1)</f>
        <v>2058</v>
      </c>
      <c r="D149" s="374">
        <f>IF(F148+SUM(E$99:E148)=D$92,F148,D$92-SUM(E$99:E148))</f>
        <v>0</v>
      </c>
      <c r="E149" s="522">
        <f t="shared" si="41"/>
        <v>0</v>
      </c>
      <c r="F149" s="523">
        <f t="shared" si="42"/>
        <v>0</v>
      </c>
      <c r="G149" s="523">
        <f t="shared" si="43"/>
        <v>0</v>
      </c>
      <c r="H149" s="526">
        <f t="shared" si="44"/>
        <v>0</v>
      </c>
      <c r="I149" s="577">
        <f t="shared" si="45"/>
        <v>0</v>
      </c>
      <c r="J149" s="514">
        <f t="shared" si="36"/>
        <v>0</v>
      </c>
      <c r="K149" s="514"/>
      <c r="L149" s="525"/>
      <c r="M149" s="514">
        <f t="shared" si="46"/>
        <v>0</v>
      </c>
      <c r="N149" s="525"/>
      <c r="O149" s="514">
        <f t="shared" si="47"/>
        <v>0</v>
      </c>
      <c r="P149" s="514">
        <f t="shared" si="48"/>
        <v>0</v>
      </c>
    </row>
    <row r="150" spans="2:16">
      <c r="B150" s="195" t="str">
        <f t="shared" si="32"/>
        <v/>
      </c>
      <c r="C150" s="507">
        <f>IF(D93="","-",+C149+1)</f>
        <v>2059</v>
      </c>
      <c r="D150" s="374">
        <f>IF(F149+SUM(E$99:E149)=D$92,F149,D$92-SUM(E$99:E149))</f>
        <v>0</v>
      </c>
      <c r="E150" s="522">
        <f t="shared" si="41"/>
        <v>0</v>
      </c>
      <c r="F150" s="523">
        <f t="shared" si="42"/>
        <v>0</v>
      </c>
      <c r="G150" s="523">
        <f t="shared" si="43"/>
        <v>0</v>
      </c>
      <c r="H150" s="526">
        <f t="shared" si="44"/>
        <v>0</v>
      </c>
      <c r="I150" s="577">
        <f t="shared" si="45"/>
        <v>0</v>
      </c>
      <c r="J150" s="514">
        <f t="shared" si="36"/>
        <v>0</v>
      </c>
      <c r="K150" s="514"/>
      <c r="L150" s="525"/>
      <c r="M150" s="514">
        <f t="shared" si="46"/>
        <v>0</v>
      </c>
      <c r="N150" s="525"/>
      <c r="O150" s="514">
        <f t="shared" si="47"/>
        <v>0</v>
      </c>
      <c r="P150" s="514">
        <f t="shared" si="48"/>
        <v>0</v>
      </c>
    </row>
    <row r="151" spans="2:16">
      <c r="B151" s="195" t="str">
        <f t="shared" si="32"/>
        <v/>
      </c>
      <c r="C151" s="507">
        <f>IF(D93="","-",+C150+1)</f>
        <v>2060</v>
      </c>
      <c r="D151" s="374">
        <f>IF(F150+SUM(E$99:E150)=D$92,F150,D$92-SUM(E$99:E150))</f>
        <v>0</v>
      </c>
      <c r="E151" s="522">
        <f t="shared" si="41"/>
        <v>0</v>
      </c>
      <c r="F151" s="523">
        <f t="shared" si="42"/>
        <v>0</v>
      </c>
      <c r="G151" s="523">
        <f t="shared" si="43"/>
        <v>0</v>
      </c>
      <c r="H151" s="526">
        <f t="shared" si="44"/>
        <v>0</v>
      </c>
      <c r="I151" s="577">
        <f t="shared" si="45"/>
        <v>0</v>
      </c>
      <c r="J151" s="514">
        <f t="shared" si="36"/>
        <v>0</v>
      </c>
      <c r="K151" s="514"/>
      <c r="L151" s="525"/>
      <c r="M151" s="514">
        <f t="shared" si="46"/>
        <v>0</v>
      </c>
      <c r="N151" s="525"/>
      <c r="O151" s="514">
        <f t="shared" si="47"/>
        <v>0</v>
      </c>
      <c r="P151" s="514">
        <f t="shared" si="48"/>
        <v>0</v>
      </c>
    </row>
    <row r="152" spans="2:16">
      <c r="B152" s="195" t="str">
        <f t="shared" si="32"/>
        <v/>
      </c>
      <c r="C152" s="507">
        <f>IF(D93="","-",+C151+1)</f>
        <v>2061</v>
      </c>
      <c r="D152" s="374">
        <f>IF(F151+SUM(E$99:E151)=D$92,F151,D$92-SUM(E$99:E151))</f>
        <v>0</v>
      </c>
      <c r="E152" s="522">
        <f t="shared" si="41"/>
        <v>0</v>
      </c>
      <c r="F152" s="523">
        <f t="shared" si="42"/>
        <v>0</v>
      </c>
      <c r="G152" s="523">
        <f t="shared" si="43"/>
        <v>0</v>
      </c>
      <c r="H152" s="526">
        <f t="shared" si="44"/>
        <v>0</v>
      </c>
      <c r="I152" s="577">
        <f t="shared" si="45"/>
        <v>0</v>
      </c>
      <c r="J152" s="514">
        <f t="shared" si="36"/>
        <v>0</v>
      </c>
      <c r="K152" s="514"/>
      <c r="L152" s="525"/>
      <c r="M152" s="514">
        <f t="shared" si="46"/>
        <v>0</v>
      </c>
      <c r="N152" s="525"/>
      <c r="O152" s="514">
        <f t="shared" si="47"/>
        <v>0</v>
      </c>
      <c r="P152" s="514">
        <f t="shared" si="48"/>
        <v>0</v>
      </c>
    </row>
    <row r="153" spans="2:16">
      <c r="B153" s="195" t="str">
        <f t="shared" si="32"/>
        <v/>
      </c>
      <c r="C153" s="507">
        <f>IF(D93="","-",+C152+1)</f>
        <v>2062</v>
      </c>
      <c r="D153" s="374">
        <f>IF(F152+SUM(E$99:E152)=D$92,F152,D$92-SUM(E$99:E152))</f>
        <v>0</v>
      </c>
      <c r="E153" s="522">
        <f t="shared" si="41"/>
        <v>0</v>
      </c>
      <c r="F153" s="523">
        <f t="shared" si="42"/>
        <v>0</v>
      </c>
      <c r="G153" s="523">
        <f t="shared" si="43"/>
        <v>0</v>
      </c>
      <c r="H153" s="526">
        <f t="shared" si="44"/>
        <v>0</v>
      </c>
      <c r="I153" s="577">
        <f t="shared" si="45"/>
        <v>0</v>
      </c>
      <c r="J153" s="514">
        <f t="shared" si="36"/>
        <v>0</v>
      </c>
      <c r="K153" s="514"/>
      <c r="L153" s="525"/>
      <c r="M153" s="514">
        <f t="shared" si="46"/>
        <v>0</v>
      </c>
      <c r="N153" s="525"/>
      <c r="O153" s="514">
        <f t="shared" si="47"/>
        <v>0</v>
      </c>
      <c r="P153" s="514">
        <f t="shared" si="48"/>
        <v>0</v>
      </c>
    </row>
    <row r="154" spans="2:16" ht="13.5" thickBot="1">
      <c r="B154" s="195" t="str">
        <f t="shared" si="32"/>
        <v/>
      </c>
      <c r="C154" s="527">
        <f>IF(D93="","-",+C153+1)</f>
        <v>2063</v>
      </c>
      <c r="D154" s="374">
        <f>IF(F153+SUM(E$99:E153)=D$92,F153,D$92-SUM(E$99:E153))</f>
        <v>0</v>
      </c>
      <c r="E154" s="522">
        <f t="shared" si="41"/>
        <v>0</v>
      </c>
      <c r="F154" s="523">
        <f t="shared" si="42"/>
        <v>0</v>
      </c>
      <c r="G154" s="523">
        <f t="shared" si="43"/>
        <v>0</v>
      </c>
      <c r="H154" s="526">
        <f t="shared" si="44"/>
        <v>0</v>
      </c>
      <c r="I154" s="577">
        <f t="shared" si="45"/>
        <v>0</v>
      </c>
      <c r="J154" s="514">
        <f t="shared" si="36"/>
        <v>0</v>
      </c>
      <c r="K154" s="514"/>
      <c r="L154" s="532"/>
      <c r="M154" s="533">
        <f t="shared" si="46"/>
        <v>0</v>
      </c>
      <c r="N154" s="532"/>
      <c r="O154" s="533">
        <f t="shared" si="47"/>
        <v>0</v>
      </c>
      <c r="P154" s="533">
        <f t="shared" si="48"/>
        <v>0</v>
      </c>
    </row>
    <row r="155" spans="2:16">
      <c r="C155" s="374" t="s">
        <v>78</v>
      </c>
      <c r="D155" s="375"/>
      <c r="E155" s="375">
        <f>SUM(E99:E154)</f>
        <v>16318844.000000004</v>
      </c>
      <c r="F155" s="375"/>
      <c r="G155" s="375"/>
      <c r="H155" s="375">
        <f>SUM(H99:H154)</f>
        <v>54988548.239869729</v>
      </c>
      <c r="I155" s="375">
        <f>SUM(I99:I154)</f>
        <v>54988548.239869729</v>
      </c>
      <c r="J155" s="375">
        <f>SUM(J99:J154)</f>
        <v>0</v>
      </c>
      <c r="K155" s="375"/>
      <c r="L155" s="375"/>
      <c r="M155" s="375"/>
      <c r="N155" s="375"/>
      <c r="O155" s="375"/>
      <c r="P155" s="269"/>
    </row>
    <row r="156" spans="2:16">
      <c r="C156" s="183" t="s">
        <v>92</v>
      </c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</row>
    <row r="157" spans="2:16">
      <c r="C157" s="580"/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</row>
    <row r="158" spans="2:16">
      <c r="C158" s="614" t="s">
        <v>132</v>
      </c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</row>
    <row r="159" spans="2:16">
      <c r="C159" s="467" t="s">
        <v>79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</row>
    <row r="160" spans="2:16">
      <c r="C160" s="581" t="s">
        <v>80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</row>
    <row r="161" spans="3:16">
      <c r="C161" s="581"/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</row>
    <row r="162" spans="3:16" ht="18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635" t="s">
        <v>131</v>
      </c>
    </row>
  </sheetData>
  <conditionalFormatting sqref="C17:C72">
    <cfRule type="cellIs" dxfId="70" priority="1" stopIfTrue="1" operator="equal">
      <formula>$I$10</formula>
    </cfRule>
  </conditionalFormatting>
  <conditionalFormatting sqref="C99:C154">
    <cfRule type="cellIs" dxfId="69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0"/>
  <dimension ref="A1:Q162"/>
  <sheetViews>
    <sheetView topLeftCell="A97" zoomScaleNormal="100" zoomScaleSheetLayoutView="82" workbookViewId="0">
      <selection activeCell="D99" sqref="D99:I112"/>
    </sheetView>
  </sheetViews>
  <sheetFormatPr defaultColWidth="8.7109375" defaultRowHeight="12.75" customHeight="1"/>
  <cols>
    <col min="1" max="1" width="4.7109375" style="183" customWidth="1"/>
    <col min="2" max="2" width="6.7109375" style="183" customWidth="1"/>
    <col min="3" max="3" width="23.28515625" style="183" customWidth="1"/>
    <col min="4" max="8" width="17.7109375" style="183" customWidth="1"/>
    <col min="9" max="9" width="20.42578125" style="183" customWidth="1"/>
    <col min="10" max="10" width="16.42578125" style="183" customWidth="1"/>
    <col min="11" max="11" width="17.7109375" style="183" customWidth="1"/>
    <col min="12" max="12" width="16.140625" style="183" customWidth="1"/>
    <col min="13" max="13" width="17.7109375" style="183" customWidth="1"/>
    <col min="14" max="14" width="16.140625" style="183" customWidth="1"/>
    <col min="15" max="15" width="16.85546875" style="183" customWidth="1"/>
    <col min="16" max="16" width="24.42578125" style="183" customWidth="1"/>
    <col min="17" max="17" width="4.7109375" style="183" customWidth="1"/>
    <col min="18" max="22" width="8.7109375" style="183"/>
    <col min="23" max="23" width="9.140625" style="183" customWidth="1"/>
    <col min="24" max="16384" width="8.7109375" style="183"/>
  </cols>
  <sheetData>
    <row r="1" spans="1:17" ht="20.25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"&amp;RIGHT(MID(CELL("filename",$A$1),FIND("]",CELL("filename",$A$1))+1,256),1)&amp;" of "&amp;COUNT('S.001:S.xyz - blank'!$P$3)-1</f>
        <v>SWEPCO Project 2 of 75</v>
      </c>
      <c r="Q1" s="453"/>
    </row>
    <row r="2" spans="1:17" ht="18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454" t="s">
        <v>129</v>
      </c>
    </row>
    <row r="3" spans="1:17" ht="18.75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 t="str">
        <f>RIGHT(N3,3)</f>
        <v/>
      </c>
      <c r="P3" s="455">
        <v>1</v>
      </c>
    </row>
    <row r="4" spans="1:17" ht="15.75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7" ht="1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809354.80776179023</v>
      </c>
      <c r="P5" s="269"/>
    </row>
    <row r="6" spans="1:17" ht="15.7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809354.80776179023</v>
      </c>
      <c r="O6" s="269"/>
      <c r="P6" s="269"/>
    </row>
    <row r="7" spans="1:17" ht="13.5" thickBot="1">
      <c r="C7" s="467" t="s">
        <v>48</v>
      </c>
      <c r="D7" s="468" t="s">
        <v>226</v>
      </c>
      <c r="E7" s="269"/>
      <c r="F7" s="269"/>
      <c r="G7" s="269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7" ht="13.5" thickBot="1">
      <c r="C8" s="472"/>
      <c r="D8" s="473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7" ht="13.5" thickBot="1">
      <c r="A9" s="191"/>
      <c r="C9" s="476" t="s">
        <v>50</v>
      </c>
      <c r="D9" s="477" t="s">
        <v>141</v>
      </c>
      <c r="E9" s="666" t="s">
        <v>472</v>
      </c>
      <c r="F9" s="478"/>
      <c r="G9" s="478"/>
      <c r="H9" s="478"/>
      <c r="I9" s="479"/>
      <c r="J9" s="480"/>
      <c r="O9" s="481"/>
      <c r="P9" s="272"/>
    </row>
    <row r="10" spans="1:17">
      <c r="C10" s="482" t="s">
        <v>51</v>
      </c>
      <c r="D10" s="483">
        <v>8402687</v>
      </c>
      <c r="E10" s="353" t="s">
        <v>52</v>
      </c>
      <c r="F10" s="481"/>
      <c r="G10" s="484"/>
      <c r="H10" s="484"/>
      <c r="I10" s="485">
        <f>+'SWE.WS.F.BPU.ATRR.Projected'!L19</f>
        <v>2024</v>
      </c>
      <c r="J10" s="480"/>
      <c r="K10" s="375" t="s">
        <v>53</v>
      </c>
      <c r="O10" s="272"/>
      <c r="P10" s="272"/>
    </row>
    <row r="11" spans="1:17">
      <c r="C11" s="486" t="s">
        <v>54</v>
      </c>
      <c r="D11" s="487">
        <v>2009</v>
      </c>
      <c r="E11" s="486" t="s">
        <v>55</v>
      </c>
      <c r="F11" s="484"/>
      <c r="G11" s="233"/>
      <c r="H11" s="233"/>
      <c r="I11" s="488"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7">
      <c r="C12" s="486" t="s">
        <v>56</v>
      </c>
      <c r="D12" s="483">
        <v>1</v>
      </c>
      <c r="E12" s="486" t="s">
        <v>57</v>
      </c>
      <c r="F12" s="484"/>
      <c r="G12" s="233"/>
      <c r="H12" s="233"/>
      <c r="I12" s="490">
        <f>'SWE.WS.F.BPU.ATRR.Projected'!$F$81</f>
        <v>0.11952713165403545</v>
      </c>
      <c r="J12" s="425"/>
      <c r="K12" s="183" t="s">
        <v>58</v>
      </c>
      <c r="O12" s="272"/>
      <c r="P12" s="272"/>
    </row>
    <row r="13" spans="1:17">
      <c r="C13" s="486" t="s">
        <v>59</v>
      </c>
      <c r="D13" s="488">
        <f>+'SWE.WS.F.BPU.ATRR.Projected'!F$93</f>
        <v>44</v>
      </c>
      <c r="E13" s="486" t="s">
        <v>60</v>
      </c>
      <c r="F13" s="484"/>
      <c r="G13" s="233"/>
      <c r="H13" s="233"/>
      <c r="I13" s="490">
        <f>IF(G5="",I12,'SWE.WS.F.BPU.ATRR.Projected'!$F$80)</f>
        <v>0.11952713165403545</v>
      </c>
      <c r="J13" s="425"/>
      <c r="K13" s="375" t="s">
        <v>61</v>
      </c>
      <c r="L13" s="324"/>
      <c r="M13" s="324"/>
      <c r="N13" s="324"/>
      <c r="O13" s="272"/>
      <c r="P13" s="272"/>
    </row>
    <row r="14" spans="1:17" ht="13.5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190970.15909090909</v>
      </c>
      <c r="J14" s="375"/>
      <c r="K14" s="375"/>
      <c r="L14" s="375"/>
      <c r="M14" s="375"/>
      <c r="N14" s="375"/>
      <c r="O14" s="272"/>
      <c r="P14" s="272"/>
    </row>
    <row r="15" spans="1:17" ht="38.25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388</v>
      </c>
      <c r="H15" s="495" t="s">
        <v>389</v>
      </c>
      <c r="I15" s="496" t="s">
        <v>260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7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>
      <c r="C17" s="507">
        <f>IF(D11= "","-",D11)</f>
        <v>2009</v>
      </c>
      <c r="D17" s="508">
        <v>11979500</v>
      </c>
      <c r="E17" s="509">
        <v>296789</v>
      </c>
      <c r="F17" s="508">
        <v>11682711</v>
      </c>
      <c r="G17" s="509">
        <v>2087310</v>
      </c>
      <c r="H17" s="510">
        <v>2087310</v>
      </c>
      <c r="I17" s="511">
        <f>H17-G17</f>
        <v>0</v>
      </c>
      <c r="J17" s="511"/>
      <c r="K17" s="512">
        <v>2087310</v>
      </c>
      <c r="L17" s="513">
        <f t="shared" ref="L17:L48" si="0">IF(K17&lt;&gt;0,+G17-K17,0)</f>
        <v>0</v>
      </c>
      <c r="M17" s="512">
        <v>2087310</v>
      </c>
      <c r="N17" s="513">
        <f t="shared" ref="N17:N48" si="1">IF(M17&lt;&gt;0,+H17-M17,0)</f>
        <v>0</v>
      </c>
      <c r="O17" s="514">
        <f t="shared" ref="O17:O48" si="2">+N17-L17</f>
        <v>0</v>
      </c>
      <c r="P17" s="272"/>
    </row>
    <row r="18" spans="2:16">
      <c r="B18" s="195" t="str">
        <f>IF(D18=F17,"","IU")</f>
        <v>IU</v>
      </c>
      <c r="C18" s="507">
        <f>IF(D11="","-",+C17+1)</f>
        <v>2010</v>
      </c>
      <c r="D18" s="515">
        <v>8105898</v>
      </c>
      <c r="E18" s="516">
        <v>221123</v>
      </c>
      <c r="F18" s="515">
        <v>7884775</v>
      </c>
      <c r="G18" s="516">
        <v>1354678</v>
      </c>
      <c r="H18" s="510">
        <v>1354678</v>
      </c>
      <c r="I18" s="517">
        <v>0</v>
      </c>
      <c r="J18" s="511"/>
      <c r="K18" s="518">
        <f t="shared" ref="K18:K23" si="3">G18</f>
        <v>1354678</v>
      </c>
      <c r="L18" s="519">
        <f t="shared" si="0"/>
        <v>0</v>
      </c>
      <c r="M18" s="518">
        <f t="shared" ref="M18:M23" si="4">H18</f>
        <v>1354678</v>
      </c>
      <c r="N18" s="514">
        <f t="shared" si="1"/>
        <v>0</v>
      </c>
      <c r="O18" s="514">
        <f t="shared" si="2"/>
        <v>0</v>
      </c>
      <c r="P18" s="272"/>
    </row>
    <row r="19" spans="2:16">
      <c r="B19" s="195" t="str">
        <f>IF(D19=F18,"","IU")</f>
        <v>IU</v>
      </c>
      <c r="C19" s="507">
        <f>IF(D11="","-",+C18+1)</f>
        <v>2011</v>
      </c>
      <c r="D19" s="515">
        <v>7884775.4800000004</v>
      </c>
      <c r="E19" s="516">
        <v>204943.59707317073</v>
      </c>
      <c r="F19" s="515">
        <v>7679831.8829268301</v>
      </c>
      <c r="G19" s="516">
        <v>1404473.3146370691</v>
      </c>
      <c r="H19" s="510">
        <v>1404473.3146370691</v>
      </c>
      <c r="I19" s="517">
        <v>0</v>
      </c>
      <c r="J19" s="511"/>
      <c r="K19" s="518">
        <f t="shared" si="3"/>
        <v>1404473.3146370691</v>
      </c>
      <c r="L19" s="519">
        <f t="shared" si="0"/>
        <v>0</v>
      </c>
      <c r="M19" s="518">
        <f t="shared" si="4"/>
        <v>1404473.3146370691</v>
      </c>
      <c r="N19" s="514">
        <f t="shared" si="1"/>
        <v>0</v>
      </c>
      <c r="O19" s="514">
        <f t="shared" si="2"/>
        <v>0</v>
      </c>
      <c r="P19" s="272"/>
    </row>
    <row r="20" spans="2:16">
      <c r="B20" s="195" t="str">
        <f t="shared" ref="B20:B72" si="5">IF(D20=F19,"","IU")</f>
        <v/>
      </c>
      <c r="C20" s="507">
        <f>IF(D11="","-",+C19+1)</f>
        <v>2012</v>
      </c>
      <c r="D20" s="515">
        <v>7679831.8829268301</v>
      </c>
      <c r="E20" s="520">
        <v>200063.98761904764</v>
      </c>
      <c r="F20" s="515">
        <v>7479767.8953077821</v>
      </c>
      <c r="G20" s="516">
        <v>1312456.1166807273</v>
      </c>
      <c r="H20" s="510">
        <v>1312456.1166807273</v>
      </c>
      <c r="I20" s="517">
        <v>0</v>
      </c>
      <c r="J20" s="511"/>
      <c r="K20" s="518">
        <f t="shared" si="3"/>
        <v>1312456.1166807273</v>
      </c>
      <c r="L20" s="519">
        <f t="shared" si="0"/>
        <v>0</v>
      </c>
      <c r="M20" s="518">
        <f t="shared" si="4"/>
        <v>1312456.1166807273</v>
      </c>
      <c r="N20" s="514">
        <f t="shared" si="1"/>
        <v>0</v>
      </c>
      <c r="O20" s="514">
        <f t="shared" si="2"/>
        <v>0</v>
      </c>
      <c r="P20" s="272"/>
    </row>
    <row r="21" spans="2:16">
      <c r="B21" s="195" t="str">
        <f t="shared" si="5"/>
        <v/>
      </c>
      <c r="C21" s="507">
        <f t="shared" ref="C21:C72" si="6">IF(D12="","-",+C20+1)</f>
        <v>2013</v>
      </c>
      <c r="D21" s="515">
        <v>7479767.8953077821</v>
      </c>
      <c r="E21" s="520">
        <v>200063.98761904764</v>
      </c>
      <c r="F21" s="515">
        <v>7279703.9076887341</v>
      </c>
      <c r="G21" s="516">
        <v>1219128.4960322082</v>
      </c>
      <c r="H21" s="510">
        <v>1219128.4960322082</v>
      </c>
      <c r="I21" s="511">
        <f t="shared" ref="I21:I72" si="7">H21-G21</f>
        <v>0</v>
      </c>
      <c r="J21" s="511"/>
      <c r="K21" s="518">
        <f t="shared" si="3"/>
        <v>1219128.4960322082</v>
      </c>
      <c r="L21" s="519">
        <f t="shared" ref="L21:L26" si="8">IF(K21&lt;&gt;0,+G21-K21,0)</f>
        <v>0</v>
      </c>
      <c r="M21" s="518">
        <f t="shared" si="4"/>
        <v>1219128.4960322082</v>
      </c>
      <c r="N21" s="514">
        <f t="shared" ref="N21:N26" si="9">IF(M21&lt;&gt;0,+H21-M21,0)</f>
        <v>0</v>
      </c>
      <c r="O21" s="514">
        <f t="shared" ref="O21:O26" si="10">+N21-L21</f>
        <v>0</v>
      </c>
      <c r="P21" s="272"/>
    </row>
    <row r="22" spans="2:16">
      <c r="B22" s="195" t="str">
        <f t="shared" si="5"/>
        <v/>
      </c>
      <c r="C22" s="507">
        <f t="shared" si="6"/>
        <v>2014</v>
      </c>
      <c r="D22" s="515">
        <v>7279703.9076887341</v>
      </c>
      <c r="E22" s="520">
        <v>200063.98761904764</v>
      </c>
      <c r="F22" s="515">
        <v>7079639.9200696861</v>
      </c>
      <c r="G22" s="516">
        <v>1155181.8074626003</v>
      </c>
      <c r="H22" s="510">
        <v>1155181.8074626003</v>
      </c>
      <c r="I22" s="511">
        <v>0</v>
      </c>
      <c r="J22" s="511"/>
      <c r="K22" s="518">
        <f t="shared" si="3"/>
        <v>1155181.8074626003</v>
      </c>
      <c r="L22" s="519">
        <f t="shared" si="8"/>
        <v>0</v>
      </c>
      <c r="M22" s="518">
        <f t="shared" si="4"/>
        <v>1155181.8074626003</v>
      </c>
      <c r="N22" s="514">
        <f t="shared" si="9"/>
        <v>0</v>
      </c>
      <c r="O22" s="514">
        <f t="shared" si="10"/>
        <v>0</v>
      </c>
      <c r="P22" s="272"/>
    </row>
    <row r="23" spans="2:16">
      <c r="B23" s="195" t="str">
        <f t="shared" si="5"/>
        <v/>
      </c>
      <c r="C23" s="507">
        <f t="shared" si="6"/>
        <v>2015</v>
      </c>
      <c r="D23" s="515">
        <v>7079639.9200696861</v>
      </c>
      <c r="E23" s="520">
        <v>200063.98761904764</v>
      </c>
      <c r="F23" s="515">
        <v>6879575.9324506382</v>
      </c>
      <c r="G23" s="516">
        <v>1106137.1665956248</v>
      </c>
      <c r="H23" s="510">
        <v>1106137.1665956248</v>
      </c>
      <c r="I23" s="511">
        <v>0</v>
      </c>
      <c r="J23" s="511"/>
      <c r="K23" s="518">
        <f t="shared" si="3"/>
        <v>1106137.1665956248</v>
      </c>
      <c r="L23" s="519">
        <f t="shared" si="8"/>
        <v>0</v>
      </c>
      <c r="M23" s="518">
        <f t="shared" si="4"/>
        <v>1106137.1665956248</v>
      </c>
      <c r="N23" s="514">
        <f t="shared" si="9"/>
        <v>0</v>
      </c>
      <c r="O23" s="514">
        <f t="shared" si="10"/>
        <v>0</v>
      </c>
      <c r="P23" s="272"/>
    </row>
    <row r="24" spans="2:16">
      <c r="B24" s="195" t="str">
        <f t="shared" si="5"/>
        <v/>
      </c>
      <c r="C24" s="507">
        <f t="shared" si="6"/>
        <v>2016</v>
      </c>
      <c r="D24" s="515">
        <v>6879575.9324506382</v>
      </c>
      <c r="E24" s="520">
        <v>200063.98761904764</v>
      </c>
      <c r="F24" s="515">
        <v>6679511.9448315902</v>
      </c>
      <c r="G24" s="516">
        <v>1068934.7345413081</v>
      </c>
      <c r="H24" s="510">
        <v>1068934.7345413081</v>
      </c>
      <c r="I24" s="511">
        <f t="shared" si="7"/>
        <v>0</v>
      </c>
      <c r="J24" s="511"/>
      <c r="K24" s="518">
        <f t="shared" ref="K24:K29" si="11">G24</f>
        <v>1068934.7345413081</v>
      </c>
      <c r="L24" s="519">
        <f t="shared" si="8"/>
        <v>0</v>
      </c>
      <c r="M24" s="518">
        <f t="shared" ref="M24:M29" si="12">H24</f>
        <v>1068934.7345413081</v>
      </c>
      <c r="N24" s="514">
        <f t="shared" si="9"/>
        <v>0</v>
      </c>
      <c r="O24" s="514">
        <f t="shared" si="10"/>
        <v>0</v>
      </c>
      <c r="P24" s="272"/>
    </row>
    <row r="25" spans="2:16">
      <c r="B25" s="195" t="str">
        <f t="shared" si="5"/>
        <v/>
      </c>
      <c r="C25" s="507">
        <f t="shared" si="6"/>
        <v>2017</v>
      </c>
      <c r="D25" s="515">
        <v>6679511.9448315902</v>
      </c>
      <c r="E25" s="520">
        <v>195411.33674418606</v>
      </c>
      <c r="F25" s="515">
        <v>6484100.6080874037</v>
      </c>
      <c r="G25" s="516">
        <v>1010847.9921071748</v>
      </c>
      <c r="H25" s="510">
        <v>1010847.9921071748</v>
      </c>
      <c r="I25" s="511">
        <f t="shared" si="7"/>
        <v>0</v>
      </c>
      <c r="J25" s="511"/>
      <c r="K25" s="518">
        <f t="shared" si="11"/>
        <v>1010847.9921071748</v>
      </c>
      <c r="L25" s="519">
        <f t="shared" si="8"/>
        <v>0</v>
      </c>
      <c r="M25" s="518">
        <f t="shared" si="12"/>
        <v>1010847.9921071748</v>
      </c>
      <c r="N25" s="514">
        <f t="shared" si="9"/>
        <v>0</v>
      </c>
      <c r="O25" s="514">
        <f t="shared" si="10"/>
        <v>0</v>
      </c>
      <c r="P25" s="272"/>
    </row>
    <row r="26" spans="2:16">
      <c r="B26" s="195" t="str">
        <f t="shared" si="5"/>
        <v/>
      </c>
      <c r="C26" s="507">
        <f t="shared" si="6"/>
        <v>2018</v>
      </c>
      <c r="D26" s="515">
        <v>6484100.6080874037</v>
      </c>
      <c r="E26" s="520">
        <v>204943.59707317073</v>
      </c>
      <c r="F26" s="515">
        <v>6279157.0110142333</v>
      </c>
      <c r="G26" s="516">
        <v>1016010.9603176524</v>
      </c>
      <c r="H26" s="510">
        <v>1016010.9603176524</v>
      </c>
      <c r="I26" s="511">
        <f t="shared" si="7"/>
        <v>0</v>
      </c>
      <c r="J26" s="511"/>
      <c r="K26" s="518">
        <f t="shared" si="11"/>
        <v>1016010.9603176524</v>
      </c>
      <c r="L26" s="519">
        <f t="shared" si="8"/>
        <v>0</v>
      </c>
      <c r="M26" s="518">
        <f t="shared" si="12"/>
        <v>1016010.9603176524</v>
      </c>
      <c r="N26" s="514">
        <f t="shared" si="9"/>
        <v>0</v>
      </c>
      <c r="O26" s="514">
        <f t="shared" si="10"/>
        <v>0</v>
      </c>
      <c r="P26" s="272"/>
    </row>
    <row r="27" spans="2:16">
      <c r="B27" s="195" t="str">
        <f t="shared" si="5"/>
        <v/>
      </c>
      <c r="C27" s="507">
        <f t="shared" si="6"/>
        <v>2019</v>
      </c>
      <c r="D27" s="515">
        <v>6279157.0110142333</v>
      </c>
      <c r="E27" s="520">
        <v>204943.59707317073</v>
      </c>
      <c r="F27" s="515">
        <v>6074213.413941063</v>
      </c>
      <c r="G27" s="516">
        <v>989963.83851652173</v>
      </c>
      <c r="H27" s="510">
        <v>989963.83851652173</v>
      </c>
      <c r="I27" s="511">
        <f t="shared" si="7"/>
        <v>0</v>
      </c>
      <c r="J27" s="511"/>
      <c r="K27" s="518">
        <f t="shared" si="11"/>
        <v>989963.83851652173</v>
      </c>
      <c r="L27" s="519">
        <f t="shared" ref="L27" si="13">IF(K27&lt;&gt;0,+G27-K27,0)</f>
        <v>0</v>
      </c>
      <c r="M27" s="518">
        <f t="shared" si="12"/>
        <v>989963.83851652173</v>
      </c>
      <c r="N27" s="514">
        <f t="shared" si="1"/>
        <v>0</v>
      </c>
      <c r="O27" s="514">
        <f t="shared" si="2"/>
        <v>0</v>
      </c>
      <c r="P27" s="272"/>
    </row>
    <row r="28" spans="2:16">
      <c r="B28" s="195" t="str">
        <f t="shared" si="5"/>
        <v/>
      </c>
      <c r="C28" s="507">
        <f t="shared" si="6"/>
        <v>2020</v>
      </c>
      <c r="D28" s="515">
        <v>6074213.413941063</v>
      </c>
      <c r="E28" s="520">
        <v>204943.59707317073</v>
      </c>
      <c r="F28" s="515">
        <v>5869269.8168678926</v>
      </c>
      <c r="G28" s="516">
        <v>816064.49414072814</v>
      </c>
      <c r="H28" s="510">
        <v>816064.49414072814</v>
      </c>
      <c r="I28" s="511">
        <f t="shared" si="7"/>
        <v>0</v>
      </c>
      <c r="J28" s="511"/>
      <c r="K28" s="518">
        <f t="shared" si="11"/>
        <v>816064.49414072814</v>
      </c>
      <c r="L28" s="519">
        <f t="shared" ref="L28" si="14">IF(K28&lt;&gt;0,+G28-K28,0)</f>
        <v>0</v>
      </c>
      <c r="M28" s="518">
        <f t="shared" si="12"/>
        <v>816064.49414072814</v>
      </c>
      <c r="N28" s="514">
        <f t="shared" si="1"/>
        <v>0</v>
      </c>
      <c r="O28" s="514">
        <f t="shared" si="2"/>
        <v>0</v>
      </c>
      <c r="P28" s="272"/>
    </row>
    <row r="29" spans="2:16">
      <c r="B29" s="195" t="str">
        <f t="shared" si="5"/>
        <v>IU</v>
      </c>
      <c r="C29" s="507">
        <f t="shared" si="6"/>
        <v>2021</v>
      </c>
      <c r="D29" s="515">
        <v>5878802.0771968784</v>
      </c>
      <c r="E29" s="520">
        <v>200063.98761904764</v>
      </c>
      <c r="F29" s="515">
        <v>5678738.0895778304</v>
      </c>
      <c r="G29" s="516">
        <v>812639.88121443952</v>
      </c>
      <c r="H29" s="510">
        <v>812639.88121443952</v>
      </c>
      <c r="I29" s="511">
        <f t="shared" si="7"/>
        <v>0</v>
      </c>
      <c r="J29" s="511"/>
      <c r="K29" s="518">
        <f t="shared" si="11"/>
        <v>812639.88121443952</v>
      </c>
      <c r="L29" s="519">
        <f t="shared" ref="L29" si="15">IF(K29&lt;&gt;0,+G29-K29,0)</f>
        <v>0</v>
      </c>
      <c r="M29" s="518">
        <f t="shared" si="12"/>
        <v>812639.88121443952</v>
      </c>
      <c r="N29" s="514">
        <f t="shared" si="1"/>
        <v>0</v>
      </c>
      <c r="O29" s="514">
        <f t="shared" si="2"/>
        <v>0</v>
      </c>
      <c r="P29" s="272"/>
    </row>
    <row r="30" spans="2:16">
      <c r="B30" s="195" t="str">
        <f t="shared" si="5"/>
        <v>IU</v>
      </c>
      <c r="C30" s="507">
        <f t="shared" si="6"/>
        <v>2022</v>
      </c>
      <c r="D30" s="515">
        <v>5669205.8292488456</v>
      </c>
      <c r="E30" s="520">
        <v>200063.98761904764</v>
      </c>
      <c r="F30" s="515">
        <v>5469141.8416297976</v>
      </c>
      <c r="G30" s="516">
        <v>826284.70992984762</v>
      </c>
      <c r="H30" s="510">
        <v>826284.70992984762</v>
      </c>
      <c r="I30" s="511">
        <f t="shared" si="7"/>
        <v>0</v>
      </c>
      <c r="J30" s="511"/>
      <c r="K30" s="518">
        <f t="shared" ref="K30" si="16">G30</f>
        <v>826284.70992984762</v>
      </c>
      <c r="L30" s="519">
        <f t="shared" ref="L30" si="17">IF(K30&lt;&gt;0,+G30-K30,0)</f>
        <v>0</v>
      </c>
      <c r="M30" s="518">
        <f t="shared" ref="M30" si="18">H30</f>
        <v>826284.70992984762</v>
      </c>
      <c r="N30" s="514">
        <f t="shared" si="1"/>
        <v>0</v>
      </c>
      <c r="O30" s="514">
        <f t="shared" si="2"/>
        <v>0</v>
      </c>
      <c r="P30" s="272"/>
    </row>
    <row r="31" spans="2:16">
      <c r="B31" s="195"/>
      <c r="C31" s="507">
        <f t="shared" si="6"/>
        <v>2023</v>
      </c>
      <c r="D31" s="515">
        <v>5469141.3616297981</v>
      </c>
      <c r="E31" s="520">
        <v>200063.97619047618</v>
      </c>
      <c r="F31" s="515">
        <v>5269077.3854393223</v>
      </c>
      <c r="G31" s="516">
        <v>878326.3176604046</v>
      </c>
      <c r="H31" s="510">
        <v>878326.3176604046</v>
      </c>
      <c r="I31" s="511">
        <f t="shared" si="7"/>
        <v>0</v>
      </c>
      <c r="J31" s="511"/>
      <c r="K31" s="518">
        <f t="shared" ref="K31" si="19">G31</f>
        <v>878326.3176604046</v>
      </c>
      <c r="L31" s="519">
        <f t="shared" ref="L31" si="20">IF(K31&lt;&gt;0,+G31-K31,0)</f>
        <v>0</v>
      </c>
      <c r="M31" s="518">
        <f t="shared" ref="M31" si="21">H31</f>
        <v>878326.3176604046</v>
      </c>
      <c r="N31" s="514">
        <f t="shared" ref="N31" si="22">IF(M31&lt;&gt;0,+H31-M31,0)</f>
        <v>0</v>
      </c>
      <c r="O31" s="514">
        <f t="shared" ref="O31" si="23">+N31-L31</f>
        <v>0</v>
      </c>
      <c r="P31" s="272"/>
    </row>
    <row r="32" spans="2:16">
      <c r="B32" s="582" t="str">
        <f t="shared" si="5"/>
        <v/>
      </c>
      <c r="C32" s="673">
        <f t="shared" si="6"/>
        <v>2024</v>
      </c>
      <c r="D32" s="523">
        <f>IF(F31+SUM(E$17:E31)=D$10,F31,D$10-SUM(E$17:E31))</f>
        <v>5269077.3854393223</v>
      </c>
      <c r="E32" s="522">
        <f t="shared" ref="E32:E72" si="24">IF(+I$14&lt;F31,I$14,D32)</f>
        <v>190970.15909090909</v>
      </c>
      <c r="F32" s="523">
        <f t="shared" ref="F32:F72" si="25">+D32-E32</f>
        <v>5078107.2263484132</v>
      </c>
      <c r="G32" s="524">
        <f t="shared" ref="G32:G72" si="26">+I$12*((D32+F32)/2)+E32</f>
        <v>809354.80776179023</v>
      </c>
      <c r="H32" s="491">
        <f t="shared" ref="H32:H72" si="27">+I$13*((D32+F32)/2)+E32</f>
        <v>809354.80776179023</v>
      </c>
      <c r="I32" s="511">
        <f t="shared" si="7"/>
        <v>0</v>
      </c>
      <c r="J32" s="511"/>
      <c r="K32" s="525"/>
      <c r="L32" s="514">
        <f t="shared" si="0"/>
        <v>0</v>
      </c>
      <c r="M32" s="525"/>
      <c r="N32" s="514">
        <f t="shared" si="1"/>
        <v>0</v>
      </c>
      <c r="O32" s="514">
        <f t="shared" si="2"/>
        <v>0</v>
      </c>
      <c r="P32" s="272"/>
    </row>
    <row r="33" spans="2:16">
      <c r="B33" s="195" t="str">
        <f t="shared" si="5"/>
        <v/>
      </c>
      <c r="C33" s="507">
        <f t="shared" si="6"/>
        <v>2025</v>
      </c>
      <c r="D33" s="523">
        <f>IF(F32+SUM(E$17:E32)=D$10,F32,D$10-SUM(E$17:E32))</f>
        <v>5078107.2263484132</v>
      </c>
      <c r="E33" s="522">
        <f t="shared" si="24"/>
        <v>190970.15909090909</v>
      </c>
      <c r="F33" s="523">
        <f t="shared" si="25"/>
        <v>4887137.067257504</v>
      </c>
      <c r="G33" s="524">
        <f t="shared" si="26"/>
        <v>786528.69241413893</v>
      </c>
      <c r="H33" s="491">
        <f t="shared" si="27"/>
        <v>786528.69241413893</v>
      </c>
      <c r="I33" s="511">
        <f t="shared" si="7"/>
        <v>0</v>
      </c>
      <c r="J33" s="511"/>
      <c r="K33" s="525"/>
      <c r="L33" s="514">
        <f t="shared" si="0"/>
        <v>0</v>
      </c>
      <c r="M33" s="525"/>
      <c r="N33" s="514">
        <f t="shared" si="1"/>
        <v>0</v>
      </c>
      <c r="O33" s="514">
        <f t="shared" si="2"/>
        <v>0</v>
      </c>
      <c r="P33" s="272"/>
    </row>
    <row r="34" spans="2:16">
      <c r="B34" s="195" t="str">
        <f t="shared" si="5"/>
        <v/>
      </c>
      <c r="C34" s="507">
        <f t="shared" si="6"/>
        <v>2026</v>
      </c>
      <c r="D34" s="523">
        <f>IF(F33+SUM(E$17:E33)=D$10,F33,D$10-SUM(E$17:E33))</f>
        <v>4887137.067257504</v>
      </c>
      <c r="E34" s="522">
        <f t="shared" si="24"/>
        <v>190970.15909090909</v>
      </c>
      <c r="F34" s="523">
        <f t="shared" si="25"/>
        <v>4696166.9081665948</v>
      </c>
      <c r="G34" s="524">
        <f t="shared" si="26"/>
        <v>763702.57706648787</v>
      </c>
      <c r="H34" s="491">
        <f t="shared" si="27"/>
        <v>763702.57706648787</v>
      </c>
      <c r="I34" s="511">
        <f t="shared" si="7"/>
        <v>0</v>
      </c>
      <c r="J34" s="511"/>
      <c r="K34" s="525"/>
      <c r="L34" s="514">
        <f t="shared" si="0"/>
        <v>0</v>
      </c>
      <c r="M34" s="525"/>
      <c r="N34" s="514">
        <f t="shared" si="1"/>
        <v>0</v>
      </c>
      <c r="O34" s="514">
        <f t="shared" si="2"/>
        <v>0</v>
      </c>
      <c r="P34" s="272"/>
    </row>
    <row r="35" spans="2:16">
      <c r="B35" s="195" t="str">
        <f t="shared" si="5"/>
        <v/>
      </c>
      <c r="C35" s="507">
        <f t="shared" si="6"/>
        <v>2027</v>
      </c>
      <c r="D35" s="523">
        <f>IF(F34+SUM(E$17:E34)=D$10,F34,D$10-SUM(E$17:E34))</f>
        <v>4696166.9081665948</v>
      </c>
      <c r="E35" s="522">
        <f t="shared" si="24"/>
        <v>190970.15909090909</v>
      </c>
      <c r="F35" s="523">
        <f t="shared" si="25"/>
        <v>4505196.7490756856</v>
      </c>
      <c r="G35" s="524">
        <f t="shared" si="26"/>
        <v>740876.46171883657</v>
      </c>
      <c r="H35" s="491">
        <f t="shared" si="27"/>
        <v>740876.46171883657</v>
      </c>
      <c r="I35" s="511">
        <f t="shared" si="7"/>
        <v>0</v>
      </c>
      <c r="J35" s="511"/>
      <c r="K35" s="525"/>
      <c r="L35" s="514">
        <f t="shared" si="0"/>
        <v>0</v>
      </c>
      <c r="M35" s="525"/>
      <c r="N35" s="514">
        <f t="shared" si="1"/>
        <v>0</v>
      </c>
      <c r="O35" s="514">
        <f t="shared" si="2"/>
        <v>0</v>
      </c>
      <c r="P35" s="272"/>
    </row>
    <row r="36" spans="2:16">
      <c r="B36" s="195" t="str">
        <f t="shared" si="5"/>
        <v/>
      </c>
      <c r="C36" s="507">
        <f t="shared" si="6"/>
        <v>2028</v>
      </c>
      <c r="D36" s="523">
        <f>IF(F35+SUM(E$17:E35)=D$10,F35,D$10-SUM(E$17:E35))</f>
        <v>4505196.7490756856</v>
      </c>
      <c r="E36" s="522">
        <f t="shared" si="24"/>
        <v>190970.15909090909</v>
      </c>
      <c r="F36" s="523">
        <f t="shared" si="25"/>
        <v>4314226.5899847765</v>
      </c>
      <c r="G36" s="524">
        <f t="shared" si="26"/>
        <v>718050.3463711855</v>
      </c>
      <c r="H36" s="491">
        <f t="shared" si="27"/>
        <v>718050.3463711855</v>
      </c>
      <c r="I36" s="511">
        <f t="shared" si="7"/>
        <v>0</v>
      </c>
      <c r="J36" s="511"/>
      <c r="K36" s="525"/>
      <c r="L36" s="514">
        <f t="shared" si="0"/>
        <v>0</v>
      </c>
      <c r="M36" s="525"/>
      <c r="N36" s="514">
        <f t="shared" si="1"/>
        <v>0</v>
      </c>
      <c r="O36" s="514">
        <f t="shared" si="2"/>
        <v>0</v>
      </c>
      <c r="P36" s="272"/>
    </row>
    <row r="37" spans="2:16">
      <c r="B37" s="195" t="str">
        <f t="shared" si="5"/>
        <v/>
      </c>
      <c r="C37" s="507">
        <f t="shared" si="6"/>
        <v>2029</v>
      </c>
      <c r="D37" s="523">
        <f>IF(F36+SUM(E$17:E36)=D$10,F36,D$10-SUM(E$17:E36))</f>
        <v>4314226.5899847765</v>
      </c>
      <c r="E37" s="522">
        <f t="shared" si="24"/>
        <v>190970.15909090909</v>
      </c>
      <c r="F37" s="523">
        <f t="shared" si="25"/>
        <v>4123256.4308938673</v>
      </c>
      <c r="G37" s="524">
        <f t="shared" si="26"/>
        <v>695224.2310235342</v>
      </c>
      <c r="H37" s="491">
        <f t="shared" si="27"/>
        <v>695224.2310235342</v>
      </c>
      <c r="I37" s="511">
        <f t="shared" si="7"/>
        <v>0</v>
      </c>
      <c r="J37" s="511"/>
      <c r="K37" s="525"/>
      <c r="L37" s="514">
        <f t="shared" si="0"/>
        <v>0</v>
      </c>
      <c r="M37" s="525"/>
      <c r="N37" s="514">
        <f t="shared" si="1"/>
        <v>0</v>
      </c>
      <c r="O37" s="514">
        <f t="shared" si="2"/>
        <v>0</v>
      </c>
      <c r="P37" s="272"/>
    </row>
    <row r="38" spans="2:16">
      <c r="B38" s="195" t="str">
        <f t="shared" si="5"/>
        <v/>
      </c>
      <c r="C38" s="507">
        <f t="shared" si="6"/>
        <v>2030</v>
      </c>
      <c r="D38" s="523">
        <f>IF(F37+SUM(E$17:E37)=D$10,F37,D$10-SUM(E$17:E37))</f>
        <v>4123256.4308938673</v>
      </c>
      <c r="E38" s="522">
        <f t="shared" si="24"/>
        <v>190970.15909090909</v>
      </c>
      <c r="F38" s="523">
        <f t="shared" si="25"/>
        <v>3932286.2718029581</v>
      </c>
      <c r="G38" s="524">
        <f t="shared" si="26"/>
        <v>672398.11567588302</v>
      </c>
      <c r="H38" s="491">
        <f t="shared" si="27"/>
        <v>672398.11567588302</v>
      </c>
      <c r="I38" s="511">
        <f t="shared" si="7"/>
        <v>0</v>
      </c>
      <c r="J38" s="511"/>
      <c r="K38" s="525"/>
      <c r="L38" s="514">
        <f t="shared" si="0"/>
        <v>0</v>
      </c>
      <c r="M38" s="525"/>
      <c r="N38" s="514">
        <f t="shared" si="1"/>
        <v>0</v>
      </c>
      <c r="O38" s="514">
        <f t="shared" si="2"/>
        <v>0</v>
      </c>
      <c r="P38" s="272"/>
    </row>
    <row r="39" spans="2:16">
      <c r="B39" s="195" t="str">
        <f t="shared" si="5"/>
        <v/>
      </c>
      <c r="C39" s="507">
        <f t="shared" si="6"/>
        <v>2031</v>
      </c>
      <c r="D39" s="523">
        <f>IF(F38+SUM(E$17:E38)=D$10,F38,D$10-SUM(E$17:E38))</f>
        <v>3932286.2718029581</v>
      </c>
      <c r="E39" s="522">
        <f t="shared" si="24"/>
        <v>190970.15909090909</v>
      </c>
      <c r="F39" s="523">
        <f t="shared" si="25"/>
        <v>3741316.1127120489</v>
      </c>
      <c r="G39" s="524">
        <f t="shared" si="26"/>
        <v>649572.00032823184</v>
      </c>
      <c r="H39" s="491">
        <f t="shared" si="27"/>
        <v>649572.00032823184</v>
      </c>
      <c r="I39" s="511">
        <f t="shared" si="7"/>
        <v>0</v>
      </c>
      <c r="J39" s="511"/>
      <c r="K39" s="525"/>
      <c r="L39" s="514">
        <f t="shared" si="0"/>
        <v>0</v>
      </c>
      <c r="M39" s="525"/>
      <c r="N39" s="514">
        <f t="shared" si="1"/>
        <v>0</v>
      </c>
      <c r="O39" s="514">
        <f t="shared" si="2"/>
        <v>0</v>
      </c>
      <c r="P39" s="272"/>
    </row>
    <row r="40" spans="2:16">
      <c r="B40" s="195" t="str">
        <f t="shared" si="5"/>
        <v/>
      </c>
      <c r="C40" s="507">
        <f t="shared" si="6"/>
        <v>2032</v>
      </c>
      <c r="D40" s="523">
        <f>IF(F39+SUM(E$17:E39)=D$10,F39,D$10-SUM(E$17:E39))</f>
        <v>3741316.1127120489</v>
      </c>
      <c r="E40" s="522">
        <f t="shared" si="24"/>
        <v>190970.15909090909</v>
      </c>
      <c r="F40" s="523">
        <f t="shared" si="25"/>
        <v>3550345.9536211397</v>
      </c>
      <c r="G40" s="524">
        <f t="shared" si="26"/>
        <v>626745.88498058065</v>
      </c>
      <c r="H40" s="491">
        <f t="shared" si="27"/>
        <v>626745.88498058065</v>
      </c>
      <c r="I40" s="511">
        <f t="shared" si="7"/>
        <v>0</v>
      </c>
      <c r="J40" s="511"/>
      <c r="K40" s="525"/>
      <c r="L40" s="514">
        <f t="shared" si="0"/>
        <v>0</v>
      </c>
      <c r="M40" s="525"/>
      <c r="N40" s="514">
        <f t="shared" si="1"/>
        <v>0</v>
      </c>
      <c r="O40" s="514">
        <f t="shared" si="2"/>
        <v>0</v>
      </c>
      <c r="P40" s="272"/>
    </row>
    <row r="41" spans="2:16">
      <c r="B41" s="195" t="str">
        <f t="shared" si="5"/>
        <v/>
      </c>
      <c r="C41" s="507">
        <f t="shared" si="6"/>
        <v>2033</v>
      </c>
      <c r="D41" s="523">
        <f>IF(F40+SUM(E$17:E40)=D$10,F40,D$10-SUM(E$17:E40))</f>
        <v>3550345.9536211397</v>
      </c>
      <c r="E41" s="522">
        <f t="shared" si="24"/>
        <v>190970.15909090909</v>
      </c>
      <c r="F41" s="523">
        <f t="shared" si="25"/>
        <v>3359375.7945302306</v>
      </c>
      <c r="G41" s="524">
        <f t="shared" si="26"/>
        <v>603919.76963292947</v>
      </c>
      <c r="H41" s="491">
        <f t="shared" si="27"/>
        <v>603919.76963292947</v>
      </c>
      <c r="I41" s="511">
        <f t="shared" si="7"/>
        <v>0</v>
      </c>
      <c r="J41" s="511"/>
      <c r="K41" s="525"/>
      <c r="L41" s="514">
        <f t="shared" si="0"/>
        <v>0</v>
      </c>
      <c r="M41" s="525"/>
      <c r="N41" s="514">
        <f t="shared" si="1"/>
        <v>0</v>
      </c>
      <c r="O41" s="514">
        <f t="shared" si="2"/>
        <v>0</v>
      </c>
      <c r="P41" s="272"/>
    </row>
    <row r="42" spans="2:16">
      <c r="B42" s="195" t="str">
        <f t="shared" si="5"/>
        <v/>
      </c>
      <c r="C42" s="507">
        <f t="shared" si="6"/>
        <v>2034</v>
      </c>
      <c r="D42" s="523">
        <f>IF(F41+SUM(E$17:E41)=D$10,F41,D$10-SUM(E$17:E41))</f>
        <v>3359375.7945302306</v>
      </c>
      <c r="E42" s="522">
        <f t="shared" si="24"/>
        <v>190970.15909090909</v>
      </c>
      <c r="F42" s="523">
        <f t="shared" si="25"/>
        <v>3168405.6354393214</v>
      </c>
      <c r="G42" s="524">
        <f t="shared" si="26"/>
        <v>581093.65428527829</v>
      </c>
      <c r="H42" s="491">
        <f t="shared" si="27"/>
        <v>581093.65428527829</v>
      </c>
      <c r="I42" s="511">
        <f t="shared" si="7"/>
        <v>0</v>
      </c>
      <c r="J42" s="511"/>
      <c r="K42" s="525"/>
      <c r="L42" s="514">
        <f t="shared" si="0"/>
        <v>0</v>
      </c>
      <c r="M42" s="525"/>
      <c r="N42" s="514">
        <f t="shared" si="1"/>
        <v>0</v>
      </c>
      <c r="O42" s="514">
        <f t="shared" si="2"/>
        <v>0</v>
      </c>
      <c r="P42" s="272"/>
    </row>
    <row r="43" spans="2:16">
      <c r="B43" s="195" t="str">
        <f t="shared" si="5"/>
        <v/>
      </c>
      <c r="C43" s="507">
        <f t="shared" si="6"/>
        <v>2035</v>
      </c>
      <c r="D43" s="523">
        <f>IF(F42+SUM(E$17:E42)=D$10,F42,D$10-SUM(E$17:E42))</f>
        <v>3168405.6354393214</v>
      </c>
      <c r="E43" s="522">
        <f t="shared" si="24"/>
        <v>190970.15909090909</v>
      </c>
      <c r="F43" s="523">
        <f t="shared" si="25"/>
        <v>2977435.4763484122</v>
      </c>
      <c r="G43" s="524">
        <f t="shared" si="26"/>
        <v>558267.53893762711</v>
      </c>
      <c r="H43" s="491">
        <f t="shared" si="27"/>
        <v>558267.53893762711</v>
      </c>
      <c r="I43" s="511">
        <f t="shared" si="7"/>
        <v>0</v>
      </c>
      <c r="J43" s="511"/>
      <c r="K43" s="525"/>
      <c r="L43" s="514">
        <f t="shared" si="0"/>
        <v>0</v>
      </c>
      <c r="M43" s="525"/>
      <c r="N43" s="514">
        <f t="shared" si="1"/>
        <v>0</v>
      </c>
      <c r="O43" s="514">
        <f t="shared" si="2"/>
        <v>0</v>
      </c>
      <c r="P43" s="272"/>
    </row>
    <row r="44" spans="2:16">
      <c r="B44" s="195" t="str">
        <f t="shared" si="5"/>
        <v/>
      </c>
      <c r="C44" s="507">
        <f t="shared" si="6"/>
        <v>2036</v>
      </c>
      <c r="D44" s="523">
        <f>IF(F43+SUM(E$17:E43)=D$10,F43,D$10-SUM(E$17:E43))</f>
        <v>2977435.4763484122</v>
      </c>
      <c r="E44" s="522">
        <f t="shared" si="24"/>
        <v>190970.15909090909</v>
      </c>
      <c r="F44" s="523">
        <f t="shared" si="25"/>
        <v>2786465.317257503</v>
      </c>
      <c r="G44" s="524">
        <f t="shared" si="26"/>
        <v>535441.42358997592</v>
      </c>
      <c r="H44" s="491">
        <f t="shared" si="27"/>
        <v>535441.42358997592</v>
      </c>
      <c r="I44" s="511">
        <f t="shared" si="7"/>
        <v>0</v>
      </c>
      <c r="J44" s="511"/>
      <c r="K44" s="525"/>
      <c r="L44" s="514">
        <f t="shared" si="0"/>
        <v>0</v>
      </c>
      <c r="M44" s="525"/>
      <c r="N44" s="514">
        <f t="shared" si="1"/>
        <v>0</v>
      </c>
      <c r="O44" s="514">
        <f t="shared" si="2"/>
        <v>0</v>
      </c>
      <c r="P44" s="272"/>
    </row>
    <row r="45" spans="2:16">
      <c r="B45" s="195" t="str">
        <f t="shared" si="5"/>
        <v/>
      </c>
      <c r="C45" s="507">
        <f t="shared" si="6"/>
        <v>2037</v>
      </c>
      <c r="D45" s="523">
        <f>IF(F44+SUM(E$17:E44)=D$10,F44,D$10-SUM(E$17:E44))</f>
        <v>2786465.317257503</v>
      </c>
      <c r="E45" s="522">
        <f t="shared" si="24"/>
        <v>190970.15909090909</v>
      </c>
      <c r="F45" s="523">
        <f t="shared" si="25"/>
        <v>2595495.1581665939</v>
      </c>
      <c r="G45" s="524">
        <f t="shared" si="26"/>
        <v>512615.30824232474</v>
      </c>
      <c r="H45" s="491">
        <f t="shared" si="27"/>
        <v>512615.30824232474</v>
      </c>
      <c r="I45" s="511">
        <f t="shared" si="7"/>
        <v>0</v>
      </c>
      <c r="J45" s="511"/>
      <c r="K45" s="525"/>
      <c r="L45" s="514">
        <f t="shared" si="0"/>
        <v>0</v>
      </c>
      <c r="M45" s="525"/>
      <c r="N45" s="514">
        <f t="shared" si="1"/>
        <v>0</v>
      </c>
      <c r="O45" s="514">
        <f t="shared" si="2"/>
        <v>0</v>
      </c>
      <c r="P45" s="272"/>
    </row>
    <row r="46" spans="2:16">
      <c r="B46" s="195" t="str">
        <f t="shared" si="5"/>
        <v/>
      </c>
      <c r="C46" s="507">
        <f t="shared" si="6"/>
        <v>2038</v>
      </c>
      <c r="D46" s="523">
        <f>IF(F45+SUM(E$17:E45)=D$10,F45,D$10-SUM(E$17:E45))</f>
        <v>2595495.1581665939</v>
      </c>
      <c r="E46" s="522">
        <f t="shared" si="24"/>
        <v>190970.15909090909</v>
      </c>
      <c r="F46" s="523">
        <f t="shared" si="25"/>
        <v>2404524.9990756847</v>
      </c>
      <c r="G46" s="524">
        <f t="shared" si="26"/>
        <v>489789.19289467356</v>
      </c>
      <c r="H46" s="491">
        <f t="shared" si="27"/>
        <v>489789.19289467356</v>
      </c>
      <c r="I46" s="511">
        <f t="shared" si="7"/>
        <v>0</v>
      </c>
      <c r="J46" s="511"/>
      <c r="K46" s="525"/>
      <c r="L46" s="514">
        <f t="shared" si="0"/>
        <v>0</v>
      </c>
      <c r="M46" s="525"/>
      <c r="N46" s="514">
        <f t="shared" si="1"/>
        <v>0</v>
      </c>
      <c r="O46" s="514">
        <f t="shared" si="2"/>
        <v>0</v>
      </c>
      <c r="P46" s="272"/>
    </row>
    <row r="47" spans="2:16">
      <c r="B47" s="195" t="str">
        <f t="shared" si="5"/>
        <v/>
      </c>
      <c r="C47" s="507">
        <f t="shared" si="6"/>
        <v>2039</v>
      </c>
      <c r="D47" s="523">
        <f>IF(F46+SUM(E$17:E46)=D$10,F46,D$10-SUM(E$17:E46))</f>
        <v>2404524.9990756847</v>
      </c>
      <c r="E47" s="522">
        <f t="shared" si="24"/>
        <v>190970.15909090909</v>
      </c>
      <c r="F47" s="523">
        <f t="shared" si="25"/>
        <v>2213554.8399847755</v>
      </c>
      <c r="G47" s="524">
        <f t="shared" si="26"/>
        <v>466963.07754702226</v>
      </c>
      <c r="H47" s="491">
        <f t="shared" si="27"/>
        <v>466963.07754702226</v>
      </c>
      <c r="I47" s="511">
        <f t="shared" si="7"/>
        <v>0</v>
      </c>
      <c r="J47" s="511"/>
      <c r="K47" s="525"/>
      <c r="L47" s="514">
        <f t="shared" si="0"/>
        <v>0</v>
      </c>
      <c r="M47" s="525"/>
      <c r="N47" s="514">
        <f t="shared" si="1"/>
        <v>0</v>
      </c>
      <c r="O47" s="514">
        <f t="shared" si="2"/>
        <v>0</v>
      </c>
      <c r="P47" s="272"/>
    </row>
    <row r="48" spans="2:16">
      <c r="B48" s="195" t="str">
        <f t="shared" si="5"/>
        <v/>
      </c>
      <c r="C48" s="507">
        <f t="shared" si="6"/>
        <v>2040</v>
      </c>
      <c r="D48" s="523">
        <f>IF(F47+SUM(E$17:E47)=D$10,F47,D$10-SUM(E$17:E47))</f>
        <v>2213554.8399847755</v>
      </c>
      <c r="E48" s="522">
        <f t="shared" si="24"/>
        <v>190970.15909090909</v>
      </c>
      <c r="F48" s="523">
        <f t="shared" si="25"/>
        <v>2022584.6808938663</v>
      </c>
      <c r="G48" s="524">
        <f t="shared" si="26"/>
        <v>444136.96219937108</v>
      </c>
      <c r="H48" s="491">
        <f t="shared" si="27"/>
        <v>444136.96219937108</v>
      </c>
      <c r="I48" s="511">
        <f t="shared" si="7"/>
        <v>0</v>
      </c>
      <c r="J48" s="511"/>
      <c r="K48" s="525"/>
      <c r="L48" s="514">
        <f t="shared" si="0"/>
        <v>0</v>
      </c>
      <c r="M48" s="525"/>
      <c r="N48" s="514">
        <f t="shared" si="1"/>
        <v>0</v>
      </c>
      <c r="O48" s="514">
        <f t="shared" si="2"/>
        <v>0</v>
      </c>
      <c r="P48" s="272"/>
    </row>
    <row r="49" spans="2:17">
      <c r="B49" s="195" t="str">
        <f t="shared" si="5"/>
        <v/>
      </c>
      <c r="C49" s="507">
        <f t="shared" si="6"/>
        <v>2041</v>
      </c>
      <c r="D49" s="523">
        <f>IF(F48+SUM(E$17:E48)=D$10,F48,D$10-SUM(E$17:E48))</f>
        <v>2022584.6808938663</v>
      </c>
      <c r="E49" s="522">
        <f t="shared" si="24"/>
        <v>190970.15909090909</v>
      </c>
      <c r="F49" s="523">
        <f t="shared" si="25"/>
        <v>1831614.5218029572</v>
      </c>
      <c r="G49" s="524">
        <f t="shared" si="26"/>
        <v>421310.84685171989</v>
      </c>
      <c r="H49" s="491">
        <f t="shared" si="27"/>
        <v>421310.84685171989</v>
      </c>
      <c r="I49" s="511">
        <f t="shared" si="7"/>
        <v>0</v>
      </c>
      <c r="J49" s="511"/>
      <c r="K49" s="525"/>
      <c r="L49" s="514">
        <f t="shared" ref="L49:L72" si="28">IF(K49&lt;&gt;0,+G49-K49,0)</f>
        <v>0</v>
      </c>
      <c r="M49" s="525"/>
      <c r="N49" s="514">
        <f t="shared" ref="N49:N72" si="29">IF(M49&lt;&gt;0,+H49-M49,0)</f>
        <v>0</v>
      </c>
      <c r="O49" s="514">
        <f t="shared" ref="O49:O72" si="30">+N49-L49</f>
        <v>0</v>
      </c>
      <c r="P49" s="272"/>
    </row>
    <row r="50" spans="2:17">
      <c r="B50" s="195" t="str">
        <f t="shared" si="5"/>
        <v/>
      </c>
      <c r="C50" s="507">
        <f t="shared" si="6"/>
        <v>2042</v>
      </c>
      <c r="D50" s="523">
        <f>IF(F49+SUM(E$17:E49)=D$10,F49,D$10-SUM(E$17:E49))</f>
        <v>1831614.5218029572</v>
      </c>
      <c r="E50" s="522">
        <f t="shared" si="24"/>
        <v>190970.15909090909</v>
      </c>
      <c r="F50" s="523">
        <f t="shared" si="25"/>
        <v>1640644.362712048</v>
      </c>
      <c r="G50" s="524">
        <f t="shared" si="26"/>
        <v>398484.73150406871</v>
      </c>
      <c r="H50" s="491">
        <f t="shared" si="27"/>
        <v>398484.73150406871</v>
      </c>
      <c r="I50" s="511">
        <f t="shared" si="7"/>
        <v>0</v>
      </c>
      <c r="J50" s="511"/>
      <c r="K50" s="525"/>
      <c r="L50" s="514">
        <f t="shared" si="28"/>
        <v>0</v>
      </c>
      <c r="M50" s="525"/>
      <c r="N50" s="514">
        <f t="shared" si="29"/>
        <v>0</v>
      </c>
      <c r="O50" s="514">
        <f t="shared" si="30"/>
        <v>0</v>
      </c>
      <c r="P50" s="272"/>
    </row>
    <row r="51" spans="2:17">
      <c r="B51" s="195" t="str">
        <f t="shared" si="5"/>
        <v/>
      </c>
      <c r="C51" s="507">
        <f t="shared" si="6"/>
        <v>2043</v>
      </c>
      <c r="D51" s="523">
        <f>IF(F50+SUM(E$17:E50)=D$10,F50,D$10-SUM(E$17:E50))</f>
        <v>1640644.362712048</v>
      </c>
      <c r="E51" s="522">
        <f t="shared" si="24"/>
        <v>190970.15909090909</v>
      </c>
      <c r="F51" s="523">
        <f t="shared" si="25"/>
        <v>1449674.2036211388</v>
      </c>
      <c r="G51" s="524">
        <f t="shared" si="26"/>
        <v>375658.61615641753</v>
      </c>
      <c r="H51" s="491">
        <f t="shared" si="27"/>
        <v>375658.61615641753</v>
      </c>
      <c r="I51" s="511">
        <f t="shared" si="7"/>
        <v>0</v>
      </c>
      <c r="J51" s="511"/>
      <c r="K51" s="525"/>
      <c r="L51" s="514">
        <f t="shared" si="28"/>
        <v>0</v>
      </c>
      <c r="M51" s="525"/>
      <c r="N51" s="514">
        <f t="shared" si="29"/>
        <v>0</v>
      </c>
      <c r="O51" s="514">
        <f t="shared" si="30"/>
        <v>0</v>
      </c>
      <c r="P51" s="272"/>
    </row>
    <row r="52" spans="2:17">
      <c r="B52" s="195" t="str">
        <f t="shared" si="5"/>
        <v/>
      </c>
      <c r="C52" s="507">
        <f t="shared" si="6"/>
        <v>2044</v>
      </c>
      <c r="D52" s="523">
        <f>IF(F51+SUM(E$17:E51)=D$10,F51,D$10-SUM(E$17:E51))</f>
        <v>1449674.2036211388</v>
      </c>
      <c r="E52" s="522">
        <f t="shared" si="24"/>
        <v>190970.15909090909</v>
      </c>
      <c r="F52" s="523">
        <f t="shared" si="25"/>
        <v>1258704.0445302296</v>
      </c>
      <c r="G52" s="524">
        <f t="shared" si="26"/>
        <v>352832.50080876634</v>
      </c>
      <c r="H52" s="491">
        <f t="shared" si="27"/>
        <v>352832.50080876634</v>
      </c>
      <c r="I52" s="511">
        <f t="shared" si="7"/>
        <v>0</v>
      </c>
      <c r="J52" s="511"/>
      <c r="K52" s="525"/>
      <c r="L52" s="514">
        <f t="shared" si="28"/>
        <v>0</v>
      </c>
      <c r="M52" s="525"/>
      <c r="N52" s="514">
        <f t="shared" si="29"/>
        <v>0</v>
      </c>
      <c r="O52" s="514">
        <f t="shared" si="30"/>
        <v>0</v>
      </c>
      <c r="P52" s="272"/>
    </row>
    <row r="53" spans="2:17">
      <c r="B53" s="195" t="str">
        <f t="shared" si="5"/>
        <v/>
      </c>
      <c r="C53" s="507">
        <f t="shared" si="6"/>
        <v>2045</v>
      </c>
      <c r="D53" s="523">
        <f>IF(F52+SUM(E$17:E52)=D$10,F52,D$10-SUM(E$17:E52))</f>
        <v>1258704.0445302296</v>
      </c>
      <c r="E53" s="522">
        <f t="shared" si="24"/>
        <v>190970.15909090909</v>
      </c>
      <c r="F53" s="523">
        <f t="shared" si="25"/>
        <v>1067733.8854393205</v>
      </c>
      <c r="G53" s="524">
        <f t="shared" si="26"/>
        <v>330006.38546111516</v>
      </c>
      <c r="H53" s="491">
        <f t="shared" si="27"/>
        <v>330006.38546111516</v>
      </c>
      <c r="I53" s="511">
        <f t="shared" si="7"/>
        <v>0</v>
      </c>
      <c r="J53" s="511"/>
      <c r="K53" s="525"/>
      <c r="L53" s="514">
        <f t="shared" si="28"/>
        <v>0</v>
      </c>
      <c r="M53" s="525"/>
      <c r="N53" s="514">
        <f t="shared" si="29"/>
        <v>0</v>
      </c>
      <c r="O53" s="514">
        <f t="shared" si="30"/>
        <v>0</v>
      </c>
      <c r="P53" s="272"/>
    </row>
    <row r="54" spans="2:17">
      <c r="B54" s="582" t="str">
        <f t="shared" si="5"/>
        <v/>
      </c>
      <c r="C54" s="507">
        <f t="shared" si="6"/>
        <v>2046</v>
      </c>
      <c r="D54" s="523">
        <f>IF(F53+SUM(E$17:E53)=D$10,F53,D$10-SUM(E$17:E53))</f>
        <v>1067733.8854393205</v>
      </c>
      <c r="E54" s="522">
        <f t="shared" si="24"/>
        <v>190970.15909090909</v>
      </c>
      <c r="F54" s="523">
        <f t="shared" si="25"/>
        <v>876763.72634841141</v>
      </c>
      <c r="G54" s="524">
        <f t="shared" si="26"/>
        <v>307180.27011346398</v>
      </c>
      <c r="H54" s="491">
        <f t="shared" si="27"/>
        <v>307180.27011346398</v>
      </c>
      <c r="I54" s="511">
        <f t="shared" si="7"/>
        <v>0</v>
      </c>
      <c r="J54" s="511"/>
      <c r="K54" s="525"/>
      <c r="L54" s="514">
        <f t="shared" si="28"/>
        <v>0</v>
      </c>
      <c r="M54" s="525"/>
      <c r="N54" s="514">
        <f t="shared" si="29"/>
        <v>0</v>
      </c>
      <c r="O54" s="514">
        <f t="shared" si="30"/>
        <v>0</v>
      </c>
      <c r="P54" s="272"/>
    </row>
    <row r="55" spans="2:17">
      <c r="B55" s="195" t="str">
        <f t="shared" si="5"/>
        <v/>
      </c>
      <c r="C55" s="507">
        <f t="shared" si="6"/>
        <v>2047</v>
      </c>
      <c r="D55" s="523">
        <f>IF(F54+SUM(E$17:E54)=D$10,F54,D$10-SUM(E$17:E54))</f>
        <v>876763.72634841141</v>
      </c>
      <c r="E55" s="522">
        <f t="shared" si="24"/>
        <v>190970.15909090909</v>
      </c>
      <c r="F55" s="523">
        <f t="shared" si="25"/>
        <v>685793.56725750235</v>
      </c>
      <c r="G55" s="524">
        <f t="shared" si="26"/>
        <v>284354.1547658128</v>
      </c>
      <c r="H55" s="491">
        <f t="shared" si="27"/>
        <v>284354.1547658128</v>
      </c>
      <c r="I55" s="511">
        <f t="shared" si="7"/>
        <v>0</v>
      </c>
      <c r="J55" s="511"/>
      <c r="K55" s="525"/>
      <c r="L55" s="514">
        <f t="shared" si="28"/>
        <v>0</v>
      </c>
      <c r="M55" s="525"/>
      <c r="N55" s="514">
        <f t="shared" si="29"/>
        <v>0</v>
      </c>
      <c r="O55" s="514">
        <f t="shared" si="30"/>
        <v>0</v>
      </c>
      <c r="P55" s="272"/>
    </row>
    <row r="56" spans="2:17">
      <c r="B56" s="195" t="str">
        <f t="shared" si="5"/>
        <v/>
      </c>
      <c r="C56" s="507">
        <f t="shared" si="6"/>
        <v>2048</v>
      </c>
      <c r="D56" s="523">
        <f>IF(F55+SUM(E$17:E55)=D$10,F55,D$10-SUM(E$17:E55))</f>
        <v>685793.56725750235</v>
      </c>
      <c r="E56" s="522">
        <f t="shared" si="24"/>
        <v>190970.15909090909</v>
      </c>
      <c r="F56" s="523">
        <f t="shared" si="25"/>
        <v>494823.40816659329</v>
      </c>
      <c r="G56" s="524">
        <f t="shared" si="26"/>
        <v>261528.03941816158</v>
      </c>
      <c r="H56" s="491">
        <f t="shared" si="27"/>
        <v>261528.03941816158</v>
      </c>
      <c r="I56" s="511">
        <f t="shared" si="7"/>
        <v>0</v>
      </c>
      <c r="J56" s="511"/>
      <c r="K56" s="525"/>
      <c r="L56" s="514">
        <f t="shared" si="28"/>
        <v>0</v>
      </c>
      <c r="M56" s="525"/>
      <c r="N56" s="514">
        <f t="shared" si="29"/>
        <v>0</v>
      </c>
      <c r="O56" s="514">
        <f t="shared" si="30"/>
        <v>0</v>
      </c>
      <c r="P56" s="272"/>
    </row>
    <row r="57" spans="2:17">
      <c r="B57" s="195" t="str">
        <f t="shared" si="5"/>
        <v/>
      </c>
      <c r="C57" s="507">
        <f t="shared" si="6"/>
        <v>2049</v>
      </c>
      <c r="D57" s="523">
        <f>IF(F56+SUM(E$17:E56)=D$10,F56,D$10-SUM(E$17:E56))</f>
        <v>494823.40816659329</v>
      </c>
      <c r="E57" s="522">
        <f t="shared" si="24"/>
        <v>190970.15909090909</v>
      </c>
      <c r="F57" s="523">
        <f t="shared" si="25"/>
        <v>303853.24907568423</v>
      </c>
      <c r="G57" s="524">
        <f t="shared" si="26"/>
        <v>238701.9240705104</v>
      </c>
      <c r="H57" s="491">
        <f t="shared" si="27"/>
        <v>238701.9240705104</v>
      </c>
      <c r="I57" s="511">
        <f t="shared" si="7"/>
        <v>0</v>
      </c>
      <c r="J57" s="511"/>
      <c r="K57" s="525"/>
      <c r="L57" s="514">
        <f t="shared" si="28"/>
        <v>0</v>
      </c>
      <c r="M57" s="525"/>
      <c r="N57" s="514">
        <f t="shared" si="29"/>
        <v>0</v>
      </c>
      <c r="O57" s="514">
        <f t="shared" si="30"/>
        <v>0</v>
      </c>
      <c r="P57" s="272"/>
    </row>
    <row r="58" spans="2:17">
      <c r="B58" s="195" t="str">
        <f t="shared" si="5"/>
        <v/>
      </c>
      <c r="C58" s="507">
        <f t="shared" si="6"/>
        <v>2050</v>
      </c>
      <c r="D58" s="523">
        <f>IF(F57+SUM(E$17:E57)=D$10,F57,D$10-SUM(E$17:E57))</f>
        <v>303853.24907568423</v>
      </c>
      <c r="E58" s="522">
        <f t="shared" si="24"/>
        <v>190970.15909090909</v>
      </c>
      <c r="F58" s="523">
        <f t="shared" si="25"/>
        <v>112883.08998477514</v>
      </c>
      <c r="G58" s="524">
        <f t="shared" si="26"/>
        <v>215875.80872285922</v>
      </c>
      <c r="H58" s="491">
        <f t="shared" si="27"/>
        <v>215875.80872285922</v>
      </c>
      <c r="I58" s="511">
        <f t="shared" si="7"/>
        <v>0</v>
      </c>
      <c r="J58" s="511"/>
      <c r="K58" s="525"/>
      <c r="L58" s="514">
        <f t="shared" si="28"/>
        <v>0</v>
      </c>
      <c r="M58" s="525"/>
      <c r="N58" s="514">
        <f t="shared" si="29"/>
        <v>0</v>
      </c>
      <c r="O58" s="514">
        <f t="shared" si="30"/>
        <v>0</v>
      </c>
      <c r="P58" s="272"/>
      <c r="Q58" s="183" t="str">
        <f>IF(ROUND(Q57,0)=ROUND(SUM(Q18:Q56),0),"","Error -- check allocations above).")</f>
        <v/>
      </c>
    </row>
    <row r="59" spans="2:17">
      <c r="B59" s="195" t="str">
        <f t="shared" si="5"/>
        <v/>
      </c>
      <c r="C59" s="507">
        <f t="shared" si="6"/>
        <v>2051</v>
      </c>
      <c r="D59" s="523">
        <f>IF(F58+SUM(E$17:E58)=D$10,F58,D$10-SUM(E$17:E58))</f>
        <v>112883.08998477514</v>
      </c>
      <c r="E59" s="522">
        <f t="shared" si="24"/>
        <v>112883.08998477514</v>
      </c>
      <c r="F59" s="523">
        <f t="shared" si="25"/>
        <v>0</v>
      </c>
      <c r="G59" s="524">
        <f t="shared" si="26"/>
        <v>119629.38596383741</v>
      </c>
      <c r="H59" s="491">
        <f t="shared" si="27"/>
        <v>119629.38596383741</v>
      </c>
      <c r="I59" s="511">
        <f t="shared" si="7"/>
        <v>0</v>
      </c>
      <c r="J59" s="511"/>
      <c r="K59" s="525"/>
      <c r="L59" s="514">
        <f t="shared" si="28"/>
        <v>0</v>
      </c>
      <c r="M59" s="525"/>
      <c r="N59" s="514">
        <f t="shared" si="29"/>
        <v>0</v>
      </c>
      <c r="O59" s="514">
        <f t="shared" si="30"/>
        <v>0</v>
      </c>
      <c r="P59" s="272"/>
    </row>
    <row r="60" spans="2:17">
      <c r="B60" s="195" t="str">
        <f t="shared" si="5"/>
        <v/>
      </c>
      <c r="C60" s="507">
        <f t="shared" si="6"/>
        <v>2052</v>
      </c>
      <c r="D60" s="523">
        <f>IF(F59+SUM(E$17:E59)=D$10,F59,D$10-SUM(E$17:E59))</f>
        <v>0</v>
      </c>
      <c r="E60" s="522">
        <f t="shared" si="24"/>
        <v>0</v>
      </c>
      <c r="F60" s="523">
        <f t="shared" si="25"/>
        <v>0</v>
      </c>
      <c r="G60" s="524">
        <f t="shared" si="26"/>
        <v>0</v>
      </c>
      <c r="H60" s="491">
        <f t="shared" si="27"/>
        <v>0</v>
      </c>
      <c r="I60" s="511">
        <f t="shared" si="7"/>
        <v>0</v>
      </c>
      <c r="J60" s="511"/>
      <c r="K60" s="525"/>
      <c r="L60" s="514">
        <f t="shared" si="28"/>
        <v>0</v>
      </c>
      <c r="M60" s="525"/>
      <c r="N60" s="514">
        <f t="shared" si="29"/>
        <v>0</v>
      </c>
      <c r="O60" s="514">
        <f t="shared" si="30"/>
        <v>0</v>
      </c>
      <c r="P60" s="272"/>
    </row>
    <row r="61" spans="2:17">
      <c r="B61" s="195" t="str">
        <f t="shared" si="5"/>
        <v/>
      </c>
      <c r="C61" s="507">
        <f t="shared" si="6"/>
        <v>2053</v>
      </c>
      <c r="D61" s="523">
        <f>IF(F60+SUM(E$17:E60)=D$10,F60,D$10-SUM(E$17:E60))</f>
        <v>0</v>
      </c>
      <c r="E61" s="522">
        <f t="shared" si="24"/>
        <v>0</v>
      </c>
      <c r="F61" s="523">
        <f t="shared" si="25"/>
        <v>0</v>
      </c>
      <c r="G61" s="526">
        <f t="shared" si="26"/>
        <v>0</v>
      </c>
      <c r="H61" s="491">
        <f t="shared" si="27"/>
        <v>0</v>
      </c>
      <c r="I61" s="511">
        <f t="shared" si="7"/>
        <v>0</v>
      </c>
      <c r="J61" s="511"/>
      <c r="K61" s="525"/>
      <c r="L61" s="514">
        <f t="shared" si="28"/>
        <v>0</v>
      </c>
      <c r="M61" s="525"/>
      <c r="N61" s="514">
        <f t="shared" si="29"/>
        <v>0</v>
      </c>
      <c r="O61" s="514">
        <f t="shared" si="30"/>
        <v>0</v>
      </c>
      <c r="P61" s="272"/>
    </row>
    <row r="62" spans="2:17">
      <c r="B62" s="195" t="str">
        <f t="shared" si="5"/>
        <v/>
      </c>
      <c r="C62" s="507">
        <f t="shared" si="6"/>
        <v>2054</v>
      </c>
      <c r="D62" s="523">
        <f>IF(F61+SUM(E$17:E61)=D$10,F61,D$10-SUM(E$17:E61))</f>
        <v>0</v>
      </c>
      <c r="E62" s="522">
        <f t="shared" si="24"/>
        <v>0</v>
      </c>
      <c r="F62" s="523">
        <f t="shared" si="25"/>
        <v>0</v>
      </c>
      <c r="G62" s="526">
        <f t="shared" si="26"/>
        <v>0</v>
      </c>
      <c r="H62" s="491">
        <f t="shared" si="27"/>
        <v>0</v>
      </c>
      <c r="I62" s="511">
        <f t="shared" si="7"/>
        <v>0</v>
      </c>
      <c r="J62" s="511"/>
      <c r="K62" s="525"/>
      <c r="L62" s="514">
        <f t="shared" si="28"/>
        <v>0</v>
      </c>
      <c r="M62" s="525"/>
      <c r="N62" s="514">
        <f t="shared" si="29"/>
        <v>0</v>
      </c>
      <c r="O62" s="514">
        <f t="shared" si="30"/>
        <v>0</v>
      </c>
      <c r="P62" s="272"/>
    </row>
    <row r="63" spans="2:17">
      <c r="B63" s="195" t="str">
        <f t="shared" si="5"/>
        <v/>
      </c>
      <c r="C63" s="507">
        <f t="shared" si="6"/>
        <v>2055</v>
      </c>
      <c r="D63" s="523">
        <f>IF(F62+SUM(E$17:E62)=D$10,F62,D$10-SUM(E$17:E62))</f>
        <v>0</v>
      </c>
      <c r="E63" s="522">
        <f t="shared" si="24"/>
        <v>0</v>
      </c>
      <c r="F63" s="523">
        <f t="shared" si="25"/>
        <v>0</v>
      </c>
      <c r="G63" s="526">
        <f t="shared" si="26"/>
        <v>0</v>
      </c>
      <c r="H63" s="491">
        <f t="shared" si="27"/>
        <v>0</v>
      </c>
      <c r="I63" s="511">
        <f t="shared" si="7"/>
        <v>0</v>
      </c>
      <c r="J63" s="511"/>
      <c r="K63" s="525"/>
      <c r="L63" s="514">
        <f t="shared" si="28"/>
        <v>0</v>
      </c>
      <c r="M63" s="525"/>
      <c r="N63" s="514">
        <f t="shared" si="29"/>
        <v>0</v>
      </c>
      <c r="O63" s="514">
        <f t="shared" si="30"/>
        <v>0</v>
      </c>
      <c r="P63" s="272"/>
    </row>
    <row r="64" spans="2:17">
      <c r="B64" s="195" t="str">
        <f t="shared" si="5"/>
        <v/>
      </c>
      <c r="C64" s="507">
        <f t="shared" si="6"/>
        <v>2056</v>
      </c>
      <c r="D64" s="523">
        <f>IF(F63+SUM(E$17:E63)=D$10,F63,D$10-SUM(E$17:E63))</f>
        <v>0</v>
      </c>
      <c r="E64" s="522">
        <f t="shared" si="24"/>
        <v>0</v>
      </c>
      <c r="F64" s="523">
        <f t="shared" si="25"/>
        <v>0</v>
      </c>
      <c r="G64" s="526">
        <f t="shared" si="26"/>
        <v>0</v>
      </c>
      <c r="H64" s="491">
        <f t="shared" si="27"/>
        <v>0</v>
      </c>
      <c r="I64" s="511">
        <f t="shared" si="7"/>
        <v>0</v>
      </c>
      <c r="J64" s="511"/>
      <c r="K64" s="525"/>
      <c r="L64" s="514">
        <f t="shared" si="28"/>
        <v>0</v>
      </c>
      <c r="M64" s="525"/>
      <c r="N64" s="514">
        <f t="shared" si="29"/>
        <v>0</v>
      </c>
      <c r="O64" s="514">
        <f t="shared" si="30"/>
        <v>0</v>
      </c>
      <c r="P64" s="272"/>
    </row>
    <row r="65" spans="1:16">
      <c r="B65" s="195" t="str">
        <f t="shared" si="5"/>
        <v/>
      </c>
      <c r="C65" s="507">
        <f t="shared" si="6"/>
        <v>2057</v>
      </c>
      <c r="D65" s="523">
        <f>IF(F64+SUM(E$17:E64)=D$10,F64,D$10-SUM(E$17:E64))</f>
        <v>0</v>
      </c>
      <c r="E65" s="522">
        <f t="shared" si="24"/>
        <v>0</v>
      </c>
      <c r="F65" s="523">
        <f t="shared" si="25"/>
        <v>0</v>
      </c>
      <c r="G65" s="526">
        <f t="shared" si="26"/>
        <v>0</v>
      </c>
      <c r="H65" s="491">
        <f t="shared" si="27"/>
        <v>0</v>
      </c>
      <c r="I65" s="511">
        <f t="shared" si="7"/>
        <v>0</v>
      </c>
      <c r="J65" s="511"/>
      <c r="K65" s="525"/>
      <c r="L65" s="514">
        <f t="shared" si="28"/>
        <v>0</v>
      </c>
      <c r="M65" s="525"/>
      <c r="N65" s="514">
        <f t="shared" si="29"/>
        <v>0</v>
      </c>
      <c r="O65" s="514">
        <f t="shared" si="30"/>
        <v>0</v>
      </c>
      <c r="P65" s="272"/>
    </row>
    <row r="66" spans="1:16">
      <c r="B66" s="195" t="str">
        <f t="shared" si="5"/>
        <v/>
      </c>
      <c r="C66" s="507">
        <f t="shared" si="6"/>
        <v>2058</v>
      </c>
      <c r="D66" s="523">
        <f>IF(F65+SUM(E$17:E65)=D$10,F65,D$10-SUM(E$17:E65))</f>
        <v>0</v>
      </c>
      <c r="E66" s="522">
        <f t="shared" si="24"/>
        <v>0</v>
      </c>
      <c r="F66" s="523">
        <f t="shared" si="25"/>
        <v>0</v>
      </c>
      <c r="G66" s="526">
        <f t="shared" si="26"/>
        <v>0</v>
      </c>
      <c r="H66" s="491">
        <f t="shared" si="27"/>
        <v>0</v>
      </c>
      <c r="I66" s="511">
        <f t="shared" si="7"/>
        <v>0</v>
      </c>
      <c r="J66" s="511"/>
      <c r="K66" s="525"/>
      <c r="L66" s="514">
        <f t="shared" si="28"/>
        <v>0</v>
      </c>
      <c r="M66" s="525"/>
      <c r="N66" s="514">
        <f t="shared" si="29"/>
        <v>0</v>
      </c>
      <c r="O66" s="514">
        <f t="shared" si="30"/>
        <v>0</v>
      </c>
      <c r="P66" s="272"/>
    </row>
    <row r="67" spans="1:16">
      <c r="B67" s="195" t="str">
        <f t="shared" si="5"/>
        <v/>
      </c>
      <c r="C67" s="507">
        <f t="shared" si="6"/>
        <v>2059</v>
      </c>
      <c r="D67" s="523">
        <f>IF(F66+SUM(E$17:E66)=D$10,F66,D$10-SUM(E$17:E66))</f>
        <v>0</v>
      </c>
      <c r="E67" s="522">
        <f t="shared" si="24"/>
        <v>0</v>
      </c>
      <c r="F67" s="523">
        <f t="shared" si="25"/>
        <v>0</v>
      </c>
      <c r="G67" s="526">
        <f t="shared" si="26"/>
        <v>0</v>
      </c>
      <c r="H67" s="491">
        <f t="shared" si="27"/>
        <v>0</v>
      </c>
      <c r="I67" s="511">
        <f t="shared" si="7"/>
        <v>0</v>
      </c>
      <c r="J67" s="511"/>
      <c r="K67" s="525"/>
      <c r="L67" s="514">
        <f t="shared" si="28"/>
        <v>0</v>
      </c>
      <c r="M67" s="525"/>
      <c r="N67" s="514">
        <f t="shared" si="29"/>
        <v>0</v>
      </c>
      <c r="O67" s="514">
        <f t="shared" si="30"/>
        <v>0</v>
      </c>
      <c r="P67" s="272"/>
    </row>
    <row r="68" spans="1:16">
      <c r="B68" s="195" t="str">
        <f t="shared" si="5"/>
        <v/>
      </c>
      <c r="C68" s="507">
        <f t="shared" si="6"/>
        <v>2060</v>
      </c>
      <c r="D68" s="523">
        <f>IF(F67+SUM(E$17:E67)=D$10,F67,D$10-SUM(E$17:E67))</f>
        <v>0</v>
      </c>
      <c r="E68" s="522">
        <f t="shared" si="24"/>
        <v>0</v>
      </c>
      <c r="F68" s="523">
        <f t="shared" si="25"/>
        <v>0</v>
      </c>
      <c r="G68" s="526">
        <f t="shared" si="26"/>
        <v>0</v>
      </c>
      <c r="H68" s="491">
        <f t="shared" si="27"/>
        <v>0</v>
      </c>
      <c r="I68" s="511">
        <f t="shared" si="7"/>
        <v>0</v>
      </c>
      <c r="J68" s="511"/>
      <c r="K68" s="525"/>
      <c r="L68" s="514">
        <f t="shared" si="28"/>
        <v>0</v>
      </c>
      <c r="M68" s="525"/>
      <c r="N68" s="514">
        <f t="shared" si="29"/>
        <v>0</v>
      </c>
      <c r="O68" s="514">
        <f t="shared" si="30"/>
        <v>0</v>
      </c>
      <c r="P68" s="272"/>
    </row>
    <row r="69" spans="1:16">
      <c r="B69" s="195" t="str">
        <f t="shared" si="5"/>
        <v/>
      </c>
      <c r="C69" s="507">
        <f t="shared" si="6"/>
        <v>2061</v>
      </c>
      <c r="D69" s="523">
        <f>IF(F68+SUM(E$17:E68)=D$10,F68,D$10-SUM(E$17:E68))</f>
        <v>0</v>
      </c>
      <c r="E69" s="522">
        <f t="shared" si="24"/>
        <v>0</v>
      </c>
      <c r="F69" s="523">
        <f t="shared" si="25"/>
        <v>0</v>
      </c>
      <c r="G69" s="526">
        <f t="shared" si="26"/>
        <v>0</v>
      </c>
      <c r="H69" s="491">
        <f t="shared" si="27"/>
        <v>0</v>
      </c>
      <c r="I69" s="511">
        <f t="shared" si="7"/>
        <v>0</v>
      </c>
      <c r="J69" s="511"/>
      <c r="K69" s="525"/>
      <c r="L69" s="514">
        <f t="shared" si="28"/>
        <v>0</v>
      </c>
      <c r="M69" s="525"/>
      <c r="N69" s="514">
        <f t="shared" si="29"/>
        <v>0</v>
      </c>
      <c r="O69" s="514">
        <f t="shared" si="30"/>
        <v>0</v>
      </c>
      <c r="P69" s="272"/>
    </row>
    <row r="70" spans="1:16">
      <c r="B70" s="195" t="str">
        <f t="shared" si="5"/>
        <v/>
      </c>
      <c r="C70" s="507">
        <f t="shared" si="6"/>
        <v>2062</v>
      </c>
      <c r="D70" s="523">
        <f>IF(F69+SUM(E$17:E69)=D$10,F69,D$10-SUM(E$17:E69))</f>
        <v>0</v>
      </c>
      <c r="E70" s="522">
        <f t="shared" si="24"/>
        <v>0</v>
      </c>
      <c r="F70" s="523">
        <f t="shared" si="25"/>
        <v>0</v>
      </c>
      <c r="G70" s="526">
        <f t="shared" si="26"/>
        <v>0</v>
      </c>
      <c r="H70" s="491">
        <f t="shared" si="27"/>
        <v>0</v>
      </c>
      <c r="I70" s="511">
        <f t="shared" si="7"/>
        <v>0</v>
      </c>
      <c r="J70" s="511"/>
      <c r="K70" s="525"/>
      <c r="L70" s="514">
        <f t="shared" si="28"/>
        <v>0</v>
      </c>
      <c r="M70" s="525"/>
      <c r="N70" s="514">
        <f t="shared" si="29"/>
        <v>0</v>
      </c>
      <c r="O70" s="514">
        <f t="shared" si="30"/>
        <v>0</v>
      </c>
      <c r="P70" s="272"/>
    </row>
    <row r="71" spans="1:16">
      <c r="B71" s="195" t="str">
        <f t="shared" si="5"/>
        <v/>
      </c>
      <c r="C71" s="507">
        <f t="shared" si="6"/>
        <v>2063</v>
      </c>
      <c r="D71" s="523">
        <f>IF(F70+SUM(E$17:E70)=D$10,F70,D$10-SUM(E$17:E70))</f>
        <v>0</v>
      </c>
      <c r="E71" s="522">
        <f t="shared" si="24"/>
        <v>0</v>
      </c>
      <c r="F71" s="523">
        <f t="shared" si="25"/>
        <v>0</v>
      </c>
      <c r="G71" s="526">
        <f t="shared" si="26"/>
        <v>0</v>
      </c>
      <c r="H71" s="491">
        <f t="shared" si="27"/>
        <v>0</v>
      </c>
      <c r="I71" s="511">
        <f t="shared" si="7"/>
        <v>0</v>
      </c>
      <c r="J71" s="511"/>
      <c r="K71" s="525"/>
      <c r="L71" s="514">
        <f t="shared" si="28"/>
        <v>0</v>
      </c>
      <c r="M71" s="525"/>
      <c r="N71" s="514">
        <f t="shared" si="29"/>
        <v>0</v>
      </c>
      <c r="O71" s="514">
        <f t="shared" si="30"/>
        <v>0</v>
      </c>
      <c r="P71" s="272"/>
    </row>
    <row r="72" spans="1:16" ht="13.5" thickBot="1">
      <c r="B72" s="195" t="str">
        <f t="shared" si="5"/>
        <v/>
      </c>
      <c r="C72" s="527">
        <f t="shared" si="6"/>
        <v>2064</v>
      </c>
      <c r="D72" s="528">
        <f>IF(F71+SUM(E$17:E71)=D$10,F71,D$10-SUM(E$17:E71))</f>
        <v>0</v>
      </c>
      <c r="E72" s="529">
        <f t="shared" si="24"/>
        <v>0</v>
      </c>
      <c r="F72" s="528">
        <f t="shared" si="25"/>
        <v>0</v>
      </c>
      <c r="G72" s="530">
        <f t="shared" si="26"/>
        <v>0</v>
      </c>
      <c r="H72" s="471">
        <f t="shared" si="27"/>
        <v>0</v>
      </c>
      <c r="I72" s="531">
        <f t="shared" si="7"/>
        <v>0</v>
      </c>
      <c r="J72" s="511"/>
      <c r="K72" s="532"/>
      <c r="L72" s="533">
        <f t="shared" si="28"/>
        <v>0</v>
      </c>
      <c r="M72" s="532"/>
      <c r="N72" s="533">
        <f t="shared" si="29"/>
        <v>0</v>
      </c>
      <c r="O72" s="533">
        <f t="shared" si="30"/>
        <v>0</v>
      </c>
      <c r="P72" s="272"/>
    </row>
    <row r="73" spans="1:16">
      <c r="C73" s="374" t="s">
        <v>78</v>
      </c>
      <c r="D73" s="375"/>
      <c r="E73" s="375">
        <f>SUM(E17:E72)</f>
        <v>8402687</v>
      </c>
      <c r="F73" s="375"/>
      <c r="G73" s="375">
        <f>SUM(G17:G72)</f>
        <v>31018680.538342912</v>
      </c>
      <c r="H73" s="375">
        <f>SUM(H17:H72)</f>
        <v>31018680.538342912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1:16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1:16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1:16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1:16" ht="18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535"/>
      <c r="P77" s="272"/>
    </row>
    <row r="78" spans="1:16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1:16" ht="15">
      <c r="A79" s="536"/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</row>
    <row r="80" spans="1:16" ht="18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7">
      <c r="B81" s="269"/>
      <c r="C81" s="537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7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  <c r="Q82" s="269"/>
    </row>
    <row r="83" spans="1:17" ht="20.25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535" t="str">
        <f ca="1">P1</f>
        <v>SWEPCO Project 2 of 75</v>
      </c>
      <c r="Q83" s="269"/>
    </row>
    <row r="84" spans="1:17" ht="18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454" t="s">
        <v>128</v>
      </c>
      <c r="Q84" s="269"/>
    </row>
    <row r="85" spans="1:17" ht="18.7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  <c r="Q85" s="269"/>
    </row>
    <row r="86" spans="1:17" ht="15.75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2022</v>
      </c>
      <c r="M86" s="541" t="s">
        <v>9</v>
      </c>
      <c r="N86" s="542" t="s">
        <v>159</v>
      </c>
      <c r="O86" s="543" t="s">
        <v>11</v>
      </c>
      <c r="P86" s="269"/>
      <c r="Q86" s="269"/>
    </row>
    <row r="87" spans="1:17" ht="1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391</v>
      </c>
      <c r="M87" s="546">
        <f>IF(J92&lt;D11,0,VLOOKUP(J92,C17:O72,9))</f>
        <v>826284.70992984762</v>
      </c>
      <c r="N87" s="546">
        <f>IF(J92&lt;D11,0,VLOOKUP(J92,C17:O72,11))</f>
        <v>826284.70992984762</v>
      </c>
      <c r="O87" s="547">
        <f>+N87-M87</f>
        <v>0</v>
      </c>
      <c r="P87" s="269"/>
      <c r="Q87" s="269"/>
    </row>
    <row r="88" spans="1:17" ht="15.7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392</v>
      </c>
      <c r="M88" s="550">
        <f>IF(J92&lt;D11,0,VLOOKUP(J92,C99:P154,6))</f>
        <v>869425.42799317313</v>
      </c>
      <c r="N88" s="550">
        <f>IF(J92&lt;D11,0,VLOOKUP(J92,C99:P154,7))</f>
        <v>869425.42799317313</v>
      </c>
      <c r="O88" s="551">
        <f>+N88-M88</f>
        <v>0</v>
      </c>
      <c r="P88" s="269"/>
      <c r="Q88" s="269"/>
    </row>
    <row r="89" spans="1:17" ht="13.5" thickBot="1">
      <c r="C89" s="467" t="s">
        <v>84</v>
      </c>
      <c r="D89" s="552" t="str">
        <f>+D7</f>
        <v>SW Shreveport (sub work &amp; tap)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43140.718063325505</v>
      </c>
      <c r="N89" s="555">
        <f>+N88-N87</f>
        <v>43140.718063325505</v>
      </c>
      <c r="O89" s="556">
        <f>+O88-O87</f>
        <v>0</v>
      </c>
      <c r="P89" s="269"/>
      <c r="Q89" s="269"/>
    </row>
    <row r="90" spans="1:17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  <c r="Q90" s="269"/>
    </row>
    <row r="91" spans="1:17" ht="13.5" thickBot="1">
      <c r="A91" s="191"/>
      <c r="C91" s="558" t="s">
        <v>85</v>
      </c>
      <c r="D91" s="559" t="str">
        <f>+D9</f>
        <v>TP2007060</v>
      </c>
      <c r="E91" s="560"/>
      <c r="F91" s="560"/>
      <c r="G91" s="560"/>
      <c r="H91" s="560"/>
      <c r="I91" s="560"/>
      <c r="J91" s="561"/>
      <c r="K91" s="562"/>
      <c r="P91" s="481"/>
      <c r="Q91" s="269"/>
    </row>
    <row r="92" spans="1:17">
      <c r="C92" s="486" t="s">
        <v>51</v>
      </c>
      <c r="D92" s="483">
        <v>8402687.4800000004</v>
      </c>
      <c r="E92" s="340" t="s">
        <v>86</v>
      </c>
      <c r="H92" s="484"/>
      <c r="I92" s="484"/>
      <c r="J92" s="485">
        <f>+'SWE.WS.G.BPU.ATRR.True-up'!M16</f>
        <v>2022</v>
      </c>
      <c r="K92" s="480"/>
      <c r="L92" s="375" t="s">
        <v>87</v>
      </c>
      <c r="P92" s="272"/>
      <c r="Q92" s="269"/>
    </row>
    <row r="93" spans="1:17">
      <c r="C93" s="486" t="s">
        <v>54</v>
      </c>
      <c r="D93" s="563">
        <f>IF(D11=I10,"",D11)</f>
        <v>2009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  <c r="Q93" s="269"/>
    </row>
    <row r="94" spans="1:17">
      <c r="C94" s="486" t="s">
        <v>56</v>
      </c>
      <c r="D94" s="564">
        <f>IF(D11=I10,"",D12)</f>
        <v>1</v>
      </c>
      <c r="E94" s="486" t="s">
        <v>57</v>
      </c>
      <c r="F94" s="484"/>
      <c r="G94" s="484"/>
      <c r="J94" s="490">
        <f>'SWE.WS.G.BPU.ATRR.True-up'!$F$81</f>
        <v>0.11351422637179906</v>
      </c>
      <c r="K94" s="425"/>
      <c r="L94" s="183" t="s">
        <v>88</v>
      </c>
      <c r="P94" s="272"/>
      <c r="Q94" s="269"/>
    </row>
    <row r="95" spans="1:17">
      <c r="C95" s="486" t="s">
        <v>59</v>
      </c>
      <c r="D95" s="488">
        <f>'SWE.WS.G.BPU.ATRR.True-up'!F$93</f>
        <v>41</v>
      </c>
      <c r="E95" s="486" t="s">
        <v>60</v>
      </c>
      <c r="F95" s="484"/>
      <c r="G95" s="484"/>
      <c r="J95" s="490">
        <f>IF(H87="",J94,'SWE.WS.G.BPU.ATRR.True-up'!$F$80)</f>
        <v>0.11351422637179906</v>
      </c>
      <c r="K95" s="324"/>
      <c r="L95" s="375" t="s">
        <v>61</v>
      </c>
      <c r="M95" s="324"/>
      <c r="N95" s="324"/>
      <c r="O95" s="324"/>
      <c r="P95" s="272"/>
      <c r="Q95" s="269"/>
    </row>
    <row r="96" spans="1:17" ht="13.5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204943.59707317073</v>
      </c>
      <c r="K96" s="375"/>
      <c r="L96" s="375"/>
      <c r="M96" s="375"/>
      <c r="N96" s="375"/>
      <c r="O96" s="375"/>
      <c r="P96" s="272"/>
      <c r="Q96" s="269"/>
    </row>
    <row r="97" spans="1:17" ht="38.25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388</v>
      </c>
      <c r="I97" s="495" t="s">
        <v>389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  <c r="Q97" s="269"/>
    </row>
    <row r="98" spans="1:17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  <c r="Q98" s="269"/>
    </row>
    <row r="99" spans="1:17">
      <c r="C99" s="507">
        <f>IF(D93= "","-",D93)</f>
        <v>2009</v>
      </c>
      <c r="D99" s="508">
        <v>0</v>
      </c>
      <c r="E99" s="516">
        <v>202696</v>
      </c>
      <c r="F99" s="515">
        <v>8199991</v>
      </c>
      <c r="G99" s="574">
        <v>4099995</v>
      </c>
      <c r="H99" s="575">
        <v>796120</v>
      </c>
      <c r="I99" s="576">
        <v>796120</v>
      </c>
      <c r="J99" s="514">
        <f t="shared" ref="J99:J130" si="31">+I99-H99</f>
        <v>0</v>
      </c>
      <c r="K99" s="514"/>
      <c r="L99" s="512">
        <f t="shared" ref="L99:L104" si="32">H99</f>
        <v>796120</v>
      </c>
      <c r="M99" s="513">
        <f t="shared" ref="M99:M130" si="33">IF(L99&lt;&gt;0,+H99-L99,0)</f>
        <v>0</v>
      </c>
      <c r="N99" s="512">
        <f t="shared" ref="N99:N104" si="34">I99</f>
        <v>796120</v>
      </c>
      <c r="O99" s="513">
        <f t="shared" ref="O99:O130" si="35">IF(N99&lt;&gt;0,+I99-N99,0)</f>
        <v>0</v>
      </c>
      <c r="P99" s="513">
        <f t="shared" ref="P99:P130" si="36">+O99-M99</f>
        <v>0</v>
      </c>
      <c r="Q99" s="269"/>
    </row>
    <row r="100" spans="1:17">
      <c r="B100" s="195" t="str">
        <f>IF(D100=F99,"","IU")</f>
        <v>IU</v>
      </c>
      <c r="C100" s="507">
        <f>IF(D93="","-",+C99+1)</f>
        <v>2010</v>
      </c>
      <c r="D100" s="508">
        <v>8199991.4800000004</v>
      </c>
      <c r="E100" s="516">
        <v>204943.59707317073</v>
      </c>
      <c r="F100" s="515">
        <v>7995047.8829268301</v>
      </c>
      <c r="G100" s="515">
        <v>8097519.6814634148</v>
      </c>
      <c r="H100" s="516">
        <v>1541731.3961161568</v>
      </c>
      <c r="I100" s="510">
        <v>1541731.3961161568</v>
      </c>
      <c r="J100" s="514">
        <f t="shared" si="31"/>
        <v>0</v>
      </c>
      <c r="K100" s="514"/>
      <c r="L100" s="518">
        <f t="shared" si="32"/>
        <v>1541731.3961161568</v>
      </c>
      <c r="M100" s="519">
        <f t="shared" si="33"/>
        <v>0</v>
      </c>
      <c r="N100" s="518">
        <f t="shared" si="34"/>
        <v>1541731.3961161568</v>
      </c>
      <c r="O100" s="514">
        <f t="shared" si="35"/>
        <v>0</v>
      </c>
      <c r="P100" s="514">
        <f t="shared" si="36"/>
        <v>0</v>
      </c>
      <c r="Q100" s="269"/>
    </row>
    <row r="101" spans="1:17">
      <c r="B101" s="195" t="str">
        <f t="shared" ref="B101:B154" si="37">IF(D101=F100,"","IU")</f>
        <v/>
      </c>
      <c r="C101" s="507">
        <f>IF(D93="","-",+C100+1)</f>
        <v>2011</v>
      </c>
      <c r="D101" s="508">
        <v>7995047.8829268301</v>
      </c>
      <c r="E101" s="520">
        <v>200063.98761904764</v>
      </c>
      <c r="F101" s="515">
        <v>7794983.8953077821</v>
      </c>
      <c r="G101" s="515">
        <v>7895015.8891173061</v>
      </c>
      <c r="H101" s="516">
        <v>1387315.6975317788</v>
      </c>
      <c r="I101" s="510">
        <v>1387315.6975317788</v>
      </c>
      <c r="J101" s="514">
        <f t="shared" si="31"/>
        <v>0</v>
      </c>
      <c r="K101" s="514"/>
      <c r="L101" s="518">
        <f t="shared" si="32"/>
        <v>1387315.6975317788</v>
      </c>
      <c r="M101" s="519">
        <f t="shared" si="33"/>
        <v>0</v>
      </c>
      <c r="N101" s="518">
        <f t="shared" si="34"/>
        <v>1387315.6975317788</v>
      </c>
      <c r="O101" s="514">
        <f t="shared" si="35"/>
        <v>0</v>
      </c>
      <c r="P101" s="514">
        <f t="shared" si="36"/>
        <v>0</v>
      </c>
      <c r="Q101" s="269"/>
    </row>
    <row r="102" spans="1:17">
      <c r="B102" s="195" t="str">
        <f t="shared" si="37"/>
        <v/>
      </c>
      <c r="C102" s="507">
        <f>IF(D93="","-",+C101+1)</f>
        <v>2012</v>
      </c>
      <c r="D102" s="508">
        <v>7794983.8953077821</v>
      </c>
      <c r="E102" s="516">
        <v>200063.98761904764</v>
      </c>
      <c r="F102" s="515">
        <v>7594919.9076887341</v>
      </c>
      <c r="G102" s="515">
        <v>7694951.9014982581</v>
      </c>
      <c r="H102" s="516">
        <v>1332406.4149067886</v>
      </c>
      <c r="I102" s="510">
        <v>1332406.4149067886</v>
      </c>
      <c r="J102" s="514">
        <f t="shared" si="31"/>
        <v>0</v>
      </c>
      <c r="K102" s="514"/>
      <c r="L102" s="518">
        <f t="shared" si="32"/>
        <v>1332406.4149067886</v>
      </c>
      <c r="M102" s="519">
        <f t="shared" si="33"/>
        <v>0</v>
      </c>
      <c r="N102" s="518">
        <f t="shared" si="34"/>
        <v>1332406.4149067886</v>
      </c>
      <c r="O102" s="514">
        <f t="shared" si="35"/>
        <v>0</v>
      </c>
      <c r="P102" s="514">
        <f t="shared" si="36"/>
        <v>0</v>
      </c>
      <c r="Q102" s="269"/>
    </row>
    <row r="103" spans="1:17">
      <c r="B103" s="195" t="str">
        <f t="shared" si="37"/>
        <v/>
      </c>
      <c r="C103" s="507">
        <f>IF(D93="","-",+C102+1)</f>
        <v>2013</v>
      </c>
      <c r="D103" s="508">
        <v>7594919.9076887341</v>
      </c>
      <c r="E103" s="516">
        <v>200063.98761904764</v>
      </c>
      <c r="F103" s="515">
        <v>7394855.9200696861</v>
      </c>
      <c r="G103" s="515">
        <v>7494887.9138792101</v>
      </c>
      <c r="H103" s="516">
        <v>1214060.1321062704</v>
      </c>
      <c r="I103" s="510">
        <v>1214060.1321062704</v>
      </c>
      <c r="J103" s="514">
        <v>0</v>
      </c>
      <c r="K103" s="514"/>
      <c r="L103" s="518">
        <f t="shared" si="32"/>
        <v>1214060.1321062704</v>
      </c>
      <c r="M103" s="519">
        <f t="shared" ref="M103:M108" si="38">IF(L103&lt;&gt;0,+H103-L103,0)</f>
        <v>0</v>
      </c>
      <c r="N103" s="518">
        <f t="shared" si="34"/>
        <v>1214060.1321062704</v>
      </c>
      <c r="O103" s="514">
        <f t="shared" ref="O103:O108" si="39">IF(N103&lt;&gt;0,+I103-N103,0)</f>
        <v>0</v>
      </c>
      <c r="P103" s="514">
        <f t="shared" ref="P103:P108" si="40">+O103-M103</f>
        <v>0</v>
      </c>
      <c r="Q103" s="269"/>
    </row>
    <row r="104" spans="1:17">
      <c r="B104" s="195" t="str">
        <f t="shared" si="37"/>
        <v/>
      </c>
      <c r="C104" s="507">
        <f>IF(D93="","-",+C103+1)</f>
        <v>2014</v>
      </c>
      <c r="D104" s="508">
        <v>7394855.9200696861</v>
      </c>
      <c r="E104" s="516">
        <v>200063.98761904764</v>
      </c>
      <c r="F104" s="515">
        <v>7194791.9324506382</v>
      </c>
      <c r="G104" s="515">
        <v>7294823.9262601621</v>
      </c>
      <c r="H104" s="516">
        <v>1191601.6940490135</v>
      </c>
      <c r="I104" s="510">
        <v>1191601.6940490135</v>
      </c>
      <c r="J104" s="514">
        <v>0</v>
      </c>
      <c r="K104" s="514"/>
      <c r="L104" s="518">
        <f t="shared" si="32"/>
        <v>1191601.6940490135</v>
      </c>
      <c r="M104" s="519">
        <f t="shared" si="38"/>
        <v>0</v>
      </c>
      <c r="N104" s="518">
        <f t="shared" si="34"/>
        <v>1191601.6940490135</v>
      </c>
      <c r="O104" s="514">
        <f t="shared" si="39"/>
        <v>0</v>
      </c>
      <c r="P104" s="514">
        <f t="shared" si="40"/>
        <v>0</v>
      </c>
      <c r="Q104" s="269"/>
    </row>
    <row r="105" spans="1:17">
      <c r="B105" s="195" t="str">
        <f t="shared" si="37"/>
        <v/>
      </c>
      <c r="C105" s="507">
        <f>IF(D93="","-",+C104+1)</f>
        <v>2015</v>
      </c>
      <c r="D105" s="508">
        <v>7194791.9324506382</v>
      </c>
      <c r="E105" s="516">
        <v>200063.98761904764</v>
      </c>
      <c r="F105" s="515">
        <v>6994727.9448315902</v>
      </c>
      <c r="G105" s="515">
        <v>7094759.9386411142</v>
      </c>
      <c r="H105" s="516">
        <v>1134932.5435262297</v>
      </c>
      <c r="I105" s="510">
        <v>1134932.5435262297</v>
      </c>
      <c r="J105" s="514">
        <f t="shared" si="31"/>
        <v>0</v>
      </c>
      <c r="K105" s="514"/>
      <c r="L105" s="518">
        <f t="shared" ref="L105:L110" si="41">H105</f>
        <v>1134932.5435262297</v>
      </c>
      <c r="M105" s="519">
        <f t="shared" si="38"/>
        <v>0</v>
      </c>
      <c r="N105" s="518">
        <f t="shared" ref="N105:N110" si="42">I105</f>
        <v>1134932.5435262297</v>
      </c>
      <c r="O105" s="514">
        <f t="shared" si="39"/>
        <v>0</v>
      </c>
      <c r="P105" s="514">
        <f t="shared" si="40"/>
        <v>0</v>
      </c>
      <c r="Q105" s="269"/>
    </row>
    <row r="106" spans="1:17">
      <c r="B106" s="195" t="str">
        <f t="shared" si="37"/>
        <v/>
      </c>
      <c r="C106" s="507">
        <f>IF(D93="","-",+C105+1)</f>
        <v>2016</v>
      </c>
      <c r="D106" s="508">
        <v>6994727.9448315902</v>
      </c>
      <c r="E106" s="516">
        <v>195411.33674418606</v>
      </c>
      <c r="F106" s="515">
        <v>6799316.6080874037</v>
      </c>
      <c r="G106" s="515">
        <v>6897022.2764594965</v>
      </c>
      <c r="H106" s="516">
        <v>1070988.2339652905</v>
      </c>
      <c r="I106" s="510">
        <v>1070988.2339652905</v>
      </c>
      <c r="J106" s="514">
        <f t="shared" si="31"/>
        <v>0</v>
      </c>
      <c r="K106" s="514"/>
      <c r="L106" s="518">
        <f t="shared" si="41"/>
        <v>1070988.2339652905</v>
      </c>
      <c r="M106" s="519">
        <f t="shared" si="38"/>
        <v>0</v>
      </c>
      <c r="N106" s="518">
        <f t="shared" si="42"/>
        <v>1070988.2339652905</v>
      </c>
      <c r="O106" s="514">
        <f t="shared" si="39"/>
        <v>0</v>
      </c>
      <c r="P106" s="514">
        <f t="shared" si="40"/>
        <v>0</v>
      </c>
      <c r="Q106" s="269"/>
    </row>
    <row r="107" spans="1:17">
      <c r="B107" s="195" t="str">
        <f t="shared" si="37"/>
        <v/>
      </c>
      <c r="C107" s="507">
        <f>IF(D93="","-",+C106+1)</f>
        <v>2017</v>
      </c>
      <c r="D107" s="508">
        <v>6799316.6080874037</v>
      </c>
      <c r="E107" s="516">
        <v>200063.98761904764</v>
      </c>
      <c r="F107" s="515">
        <v>6599252.6204683557</v>
      </c>
      <c r="G107" s="515">
        <v>6699284.6142778797</v>
      </c>
      <c r="H107" s="516">
        <v>1013835.8551552552</v>
      </c>
      <c r="I107" s="510">
        <v>1013835.8551552552</v>
      </c>
      <c r="J107" s="514">
        <f t="shared" si="31"/>
        <v>0</v>
      </c>
      <c r="K107" s="514"/>
      <c r="L107" s="518">
        <f t="shared" si="41"/>
        <v>1013835.8551552552</v>
      </c>
      <c r="M107" s="519">
        <f t="shared" si="38"/>
        <v>0</v>
      </c>
      <c r="N107" s="518">
        <f t="shared" si="42"/>
        <v>1013835.8551552552</v>
      </c>
      <c r="O107" s="514">
        <f t="shared" si="39"/>
        <v>0</v>
      </c>
      <c r="P107" s="514">
        <f t="shared" si="40"/>
        <v>0</v>
      </c>
      <c r="Q107" s="269"/>
    </row>
    <row r="108" spans="1:17">
      <c r="B108" s="195" t="str">
        <f t="shared" si="37"/>
        <v/>
      </c>
      <c r="C108" s="507">
        <f>IF(D93="","-",+C107+1)</f>
        <v>2018</v>
      </c>
      <c r="D108" s="508">
        <v>6599252.6204683557</v>
      </c>
      <c r="E108" s="516">
        <v>200063.98761904764</v>
      </c>
      <c r="F108" s="515">
        <v>6399188.6328493077</v>
      </c>
      <c r="G108" s="515">
        <v>6499220.6266588317</v>
      </c>
      <c r="H108" s="516">
        <v>886411.49004878511</v>
      </c>
      <c r="I108" s="510">
        <v>886411.49004878511</v>
      </c>
      <c r="J108" s="514">
        <f t="shared" si="31"/>
        <v>0</v>
      </c>
      <c r="K108" s="514"/>
      <c r="L108" s="518">
        <f t="shared" si="41"/>
        <v>886411.49004878511</v>
      </c>
      <c r="M108" s="519">
        <f t="shared" si="38"/>
        <v>0</v>
      </c>
      <c r="N108" s="518">
        <f t="shared" si="42"/>
        <v>886411.49004878511</v>
      </c>
      <c r="O108" s="514">
        <f t="shared" si="39"/>
        <v>0</v>
      </c>
      <c r="P108" s="514">
        <f t="shared" si="40"/>
        <v>0</v>
      </c>
      <c r="Q108" s="269"/>
    </row>
    <row r="109" spans="1:17">
      <c r="B109" s="195" t="str">
        <f t="shared" si="37"/>
        <v/>
      </c>
      <c r="C109" s="507">
        <f>IF(D93="","-",+C108+1)</f>
        <v>2019</v>
      </c>
      <c r="D109" s="508">
        <v>6399188.6328493077</v>
      </c>
      <c r="E109" s="516">
        <v>195411.33674418606</v>
      </c>
      <c r="F109" s="515">
        <v>6203777.2961051213</v>
      </c>
      <c r="G109" s="515">
        <v>6301482.964477215</v>
      </c>
      <c r="H109" s="516">
        <v>869925.51728731813</v>
      </c>
      <c r="I109" s="510">
        <v>869925.51728731813</v>
      </c>
      <c r="J109" s="514">
        <f t="shared" si="31"/>
        <v>0</v>
      </c>
      <c r="K109" s="514"/>
      <c r="L109" s="518">
        <f t="shared" si="41"/>
        <v>869925.51728731813</v>
      </c>
      <c r="M109" s="519">
        <f t="shared" ref="M109:M110" si="43">IF(L109&lt;&gt;0,+H109-L109,0)</f>
        <v>0</v>
      </c>
      <c r="N109" s="518">
        <f t="shared" si="42"/>
        <v>869925.51728731813</v>
      </c>
      <c r="O109" s="514">
        <f t="shared" si="35"/>
        <v>0</v>
      </c>
      <c r="P109" s="514">
        <f t="shared" si="36"/>
        <v>0</v>
      </c>
      <c r="Q109" s="269"/>
    </row>
    <row r="110" spans="1:17">
      <c r="B110" s="195" t="str">
        <f t="shared" si="37"/>
        <v/>
      </c>
      <c r="C110" s="507">
        <f>IF(D93="","-",+C109+1)</f>
        <v>2020</v>
      </c>
      <c r="D110" s="508">
        <v>6203777.2961051213</v>
      </c>
      <c r="E110" s="516">
        <v>200063.98761904764</v>
      </c>
      <c r="F110" s="515">
        <v>6003713.3084860733</v>
      </c>
      <c r="G110" s="515">
        <v>6103745.3022955973</v>
      </c>
      <c r="H110" s="516">
        <v>856667.26239535783</v>
      </c>
      <c r="I110" s="510">
        <v>856667.26239535783</v>
      </c>
      <c r="J110" s="514">
        <f t="shared" si="31"/>
        <v>0</v>
      </c>
      <c r="K110" s="514"/>
      <c r="L110" s="518">
        <f t="shared" si="41"/>
        <v>856667.26239535783</v>
      </c>
      <c r="M110" s="519">
        <f t="shared" si="43"/>
        <v>0</v>
      </c>
      <c r="N110" s="518">
        <f t="shared" si="42"/>
        <v>856667.26239535783</v>
      </c>
      <c r="O110" s="514">
        <f t="shared" si="35"/>
        <v>0</v>
      </c>
      <c r="P110" s="514">
        <f t="shared" si="36"/>
        <v>0</v>
      </c>
      <c r="Q110" s="269"/>
    </row>
    <row r="111" spans="1:17">
      <c r="B111" s="195" t="str">
        <f t="shared" si="37"/>
        <v/>
      </c>
      <c r="C111" s="507">
        <f>IF(D93="","-",+C110+1)</f>
        <v>2021</v>
      </c>
      <c r="D111" s="508">
        <v>6003713.3084860733</v>
      </c>
      <c r="E111" s="516">
        <v>204943.59707317073</v>
      </c>
      <c r="F111" s="515">
        <v>5798769.7114129029</v>
      </c>
      <c r="G111" s="515">
        <v>5901241.5099494886</v>
      </c>
      <c r="H111" s="516">
        <v>874818.46170823427</v>
      </c>
      <c r="I111" s="510">
        <v>874818.46170823427</v>
      </c>
      <c r="J111" s="514">
        <f t="shared" si="31"/>
        <v>0</v>
      </c>
      <c r="K111" s="514"/>
      <c r="L111" s="518">
        <f t="shared" ref="L111" si="44">H111</f>
        <v>874818.46170823427</v>
      </c>
      <c r="M111" s="519">
        <f t="shared" ref="M111" si="45">IF(L111&lt;&gt;0,+H111-L111,0)</f>
        <v>0</v>
      </c>
      <c r="N111" s="518">
        <f t="shared" ref="N111" si="46">I111</f>
        <v>874818.46170823427</v>
      </c>
      <c r="O111" s="514">
        <f t="shared" ref="O111" si="47">IF(N111&lt;&gt;0,+I111-N111,0)</f>
        <v>0</v>
      </c>
      <c r="P111" s="514">
        <f t="shared" ref="P111" si="48">+O111-M111</f>
        <v>0</v>
      </c>
      <c r="Q111" s="269"/>
    </row>
    <row r="112" spans="1:17">
      <c r="B112" s="195"/>
      <c r="C112" s="673">
        <f>IF(D93="","-",+C111+1)</f>
        <v>2022</v>
      </c>
      <c r="D112" s="374">
        <v>5798769.7114129029</v>
      </c>
      <c r="E112" s="522">
        <v>200063.98761904764</v>
      </c>
      <c r="F112" s="523">
        <v>5598705.7237938549</v>
      </c>
      <c r="G112" s="523">
        <v>5698737.7176033789</v>
      </c>
      <c r="H112" s="526">
        <v>869425.42799317313</v>
      </c>
      <c r="I112" s="577">
        <v>869425.42799317313</v>
      </c>
      <c r="J112" s="514">
        <f t="shared" si="31"/>
        <v>0</v>
      </c>
      <c r="K112" s="514"/>
      <c r="L112" s="525"/>
      <c r="M112" s="514">
        <f t="shared" si="33"/>
        <v>0</v>
      </c>
      <c r="N112" s="525"/>
      <c r="O112" s="514">
        <f t="shared" si="35"/>
        <v>0</v>
      </c>
      <c r="P112" s="514">
        <f t="shared" si="36"/>
        <v>0</v>
      </c>
      <c r="Q112" s="269"/>
    </row>
    <row r="113" spans="2:17">
      <c r="B113" s="195" t="str">
        <f t="shared" si="37"/>
        <v/>
      </c>
      <c r="C113" s="507">
        <f>IF(D93="","-",+C112+1)</f>
        <v>2023</v>
      </c>
      <c r="D113" s="374">
        <f>IF(F112+SUM(E$99:E112)=D$92,F112,D$92-SUM(E$99:E112))</f>
        <v>5598705.7237938549</v>
      </c>
      <c r="E113" s="522">
        <f>IF(+J96&lt;F112,J96,D113)</f>
        <v>204943.59707317073</v>
      </c>
      <c r="F113" s="523">
        <f t="shared" ref="F113:F130" si="49">+D113-E113</f>
        <v>5393762.1267206846</v>
      </c>
      <c r="G113" s="523">
        <f t="shared" ref="G113:G130" si="50">+(F113+D113)/2</f>
        <v>5496233.9252572693</v>
      </c>
      <c r="H113" s="526">
        <f t="shared" ref="H113:H154" si="51">+J$94*G113+E113</f>
        <v>828844.33905718604</v>
      </c>
      <c r="I113" s="577">
        <f t="shared" ref="I113:I154" si="52">+J$95*G113+E113</f>
        <v>828844.33905718604</v>
      </c>
      <c r="J113" s="514">
        <f t="shared" si="31"/>
        <v>0</v>
      </c>
      <c r="K113" s="514"/>
      <c r="L113" s="525"/>
      <c r="M113" s="514">
        <f t="shared" si="33"/>
        <v>0</v>
      </c>
      <c r="N113" s="525"/>
      <c r="O113" s="514">
        <f t="shared" si="35"/>
        <v>0</v>
      </c>
      <c r="P113" s="514">
        <f t="shared" si="36"/>
        <v>0</v>
      </c>
      <c r="Q113" s="269"/>
    </row>
    <row r="114" spans="2:17">
      <c r="B114" s="195" t="str">
        <f t="shared" si="37"/>
        <v/>
      </c>
      <c r="C114" s="507">
        <f>IF(D93="","-",+C113+1)</f>
        <v>2024</v>
      </c>
      <c r="D114" s="374">
        <f>IF(F113+SUM(E$99:E113)=D$92,F113,D$92-SUM(E$99:E113))</f>
        <v>5393762.1267206846</v>
      </c>
      <c r="E114" s="522">
        <f>IF(+J96&lt;F113,J96,D114)</f>
        <v>204943.59707317073</v>
      </c>
      <c r="F114" s="523">
        <f t="shared" si="49"/>
        <v>5188818.5296475142</v>
      </c>
      <c r="G114" s="523">
        <f t="shared" si="50"/>
        <v>5291290.3281840999</v>
      </c>
      <c r="H114" s="526">
        <f t="shared" si="51"/>
        <v>805580.32518557156</v>
      </c>
      <c r="I114" s="577">
        <f t="shared" si="52"/>
        <v>805580.32518557156</v>
      </c>
      <c r="J114" s="514">
        <f t="shared" si="31"/>
        <v>0</v>
      </c>
      <c r="K114" s="514"/>
      <c r="L114" s="525"/>
      <c r="M114" s="514">
        <f t="shared" si="33"/>
        <v>0</v>
      </c>
      <c r="N114" s="525"/>
      <c r="O114" s="514">
        <f t="shared" si="35"/>
        <v>0</v>
      </c>
      <c r="P114" s="514">
        <f t="shared" si="36"/>
        <v>0</v>
      </c>
      <c r="Q114" s="269"/>
    </row>
    <row r="115" spans="2:17">
      <c r="B115" s="195" t="str">
        <f t="shared" si="37"/>
        <v/>
      </c>
      <c r="C115" s="507">
        <f>IF(D93="","-",+C114+1)</f>
        <v>2025</v>
      </c>
      <c r="D115" s="374">
        <f>IF(F114+SUM(E$99:E114)=D$92,F114,D$92-SUM(E$99:E114))</f>
        <v>5188818.5296475142</v>
      </c>
      <c r="E115" s="522">
        <f>IF(+J96&lt;F114,J96,D115)</f>
        <v>204943.59707317073</v>
      </c>
      <c r="F115" s="523">
        <f t="shared" si="49"/>
        <v>4983874.9325743439</v>
      </c>
      <c r="G115" s="523">
        <f t="shared" si="50"/>
        <v>5086346.7311109286</v>
      </c>
      <c r="H115" s="526">
        <f t="shared" si="51"/>
        <v>782316.31131395686</v>
      </c>
      <c r="I115" s="577">
        <f t="shared" si="52"/>
        <v>782316.31131395686</v>
      </c>
      <c r="J115" s="514">
        <f t="shared" si="31"/>
        <v>0</v>
      </c>
      <c r="K115" s="514"/>
      <c r="L115" s="525"/>
      <c r="M115" s="514">
        <f t="shared" si="33"/>
        <v>0</v>
      </c>
      <c r="N115" s="525"/>
      <c r="O115" s="514">
        <f t="shared" si="35"/>
        <v>0</v>
      </c>
      <c r="P115" s="514">
        <f t="shared" si="36"/>
        <v>0</v>
      </c>
      <c r="Q115" s="269"/>
    </row>
    <row r="116" spans="2:17">
      <c r="B116" s="195" t="str">
        <f t="shared" si="37"/>
        <v/>
      </c>
      <c r="C116" s="507">
        <f>IF(D93="","-",+C115+1)</f>
        <v>2026</v>
      </c>
      <c r="D116" s="374">
        <f>IF(F115+SUM(E$99:E115)=D$92,F115,D$92-SUM(E$99:E115))</f>
        <v>4983874.9325743439</v>
      </c>
      <c r="E116" s="522">
        <f>IF(+J96&lt;F115,J96,D116)</f>
        <v>204943.59707317073</v>
      </c>
      <c r="F116" s="523">
        <f t="shared" si="49"/>
        <v>4778931.3355011735</v>
      </c>
      <c r="G116" s="523">
        <f t="shared" si="50"/>
        <v>4881403.1340377592</v>
      </c>
      <c r="H116" s="526">
        <f t="shared" si="51"/>
        <v>759052.29744234227</v>
      </c>
      <c r="I116" s="577">
        <f t="shared" si="52"/>
        <v>759052.29744234227</v>
      </c>
      <c r="J116" s="514">
        <f t="shared" si="31"/>
        <v>0</v>
      </c>
      <c r="K116" s="514"/>
      <c r="L116" s="525"/>
      <c r="M116" s="514">
        <f t="shared" si="33"/>
        <v>0</v>
      </c>
      <c r="N116" s="525"/>
      <c r="O116" s="514">
        <f t="shared" si="35"/>
        <v>0</v>
      </c>
      <c r="P116" s="514">
        <f t="shared" si="36"/>
        <v>0</v>
      </c>
      <c r="Q116" s="269"/>
    </row>
    <row r="117" spans="2:17">
      <c r="B117" s="195" t="str">
        <f t="shared" si="37"/>
        <v/>
      </c>
      <c r="C117" s="507">
        <f>IF(D93="","-",+C116+1)</f>
        <v>2027</v>
      </c>
      <c r="D117" s="374">
        <f>IF(F116+SUM(E$99:E116)=D$92,F116,D$92-SUM(E$99:E116))</f>
        <v>4778931.3355011735</v>
      </c>
      <c r="E117" s="522">
        <f>IF(+J96&lt;F116,J96,D117)</f>
        <v>204943.59707317073</v>
      </c>
      <c r="F117" s="523">
        <f t="shared" si="49"/>
        <v>4573987.7384280032</v>
      </c>
      <c r="G117" s="523">
        <f t="shared" si="50"/>
        <v>4676459.5369645879</v>
      </c>
      <c r="H117" s="526">
        <f t="shared" si="51"/>
        <v>735788.28357072757</v>
      </c>
      <c r="I117" s="577">
        <f t="shared" si="52"/>
        <v>735788.28357072757</v>
      </c>
      <c r="J117" s="514">
        <f t="shared" si="31"/>
        <v>0</v>
      </c>
      <c r="K117" s="514"/>
      <c r="L117" s="525"/>
      <c r="M117" s="514">
        <f t="shared" si="33"/>
        <v>0</v>
      </c>
      <c r="N117" s="525"/>
      <c r="O117" s="514">
        <f t="shared" si="35"/>
        <v>0</v>
      </c>
      <c r="P117" s="514">
        <f t="shared" si="36"/>
        <v>0</v>
      </c>
      <c r="Q117" s="269"/>
    </row>
    <row r="118" spans="2:17">
      <c r="B118" s="195" t="str">
        <f t="shared" si="37"/>
        <v/>
      </c>
      <c r="C118" s="507">
        <f>IF(D93="","-",+C117+1)</f>
        <v>2028</v>
      </c>
      <c r="D118" s="374">
        <f>IF(F117+SUM(E$99:E117)=D$92,F117,D$92-SUM(E$99:E117))</f>
        <v>4573987.7384280032</v>
      </c>
      <c r="E118" s="522">
        <f>IF(+J96&lt;F117,J96,D118)</f>
        <v>204943.59707317073</v>
      </c>
      <c r="F118" s="523">
        <f t="shared" si="49"/>
        <v>4369044.1413548328</v>
      </c>
      <c r="G118" s="523">
        <f t="shared" si="50"/>
        <v>4471515.9398914184</v>
      </c>
      <c r="H118" s="526">
        <f t="shared" si="51"/>
        <v>712524.26969911309</v>
      </c>
      <c r="I118" s="577">
        <f t="shared" si="52"/>
        <v>712524.26969911309</v>
      </c>
      <c r="J118" s="514">
        <f t="shared" si="31"/>
        <v>0</v>
      </c>
      <c r="K118" s="514"/>
      <c r="L118" s="525"/>
      <c r="M118" s="514">
        <f t="shared" si="33"/>
        <v>0</v>
      </c>
      <c r="N118" s="525"/>
      <c r="O118" s="514">
        <f t="shared" si="35"/>
        <v>0</v>
      </c>
      <c r="P118" s="514">
        <f t="shared" si="36"/>
        <v>0</v>
      </c>
      <c r="Q118" s="269"/>
    </row>
    <row r="119" spans="2:17">
      <c r="B119" s="195" t="str">
        <f t="shared" si="37"/>
        <v/>
      </c>
      <c r="C119" s="507">
        <f>IF(D93="","-",+C118+1)</f>
        <v>2029</v>
      </c>
      <c r="D119" s="374">
        <f>IF(F118+SUM(E$99:E118)=D$92,F118,D$92-SUM(E$99:E118))</f>
        <v>4369044.1413548328</v>
      </c>
      <c r="E119" s="522">
        <f>IF(+J96&lt;F118,J96,D119)</f>
        <v>204943.59707317073</v>
      </c>
      <c r="F119" s="523">
        <f t="shared" si="49"/>
        <v>4164100.544281662</v>
      </c>
      <c r="G119" s="523">
        <f t="shared" si="50"/>
        <v>4266572.3428182472</v>
      </c>
      <c r="H119" s="526">
        <f t="shared" si="51"/>
        <v>689260.25582749827</v>
      </c>
      <c r="I119" s="577">
        <f t="shared" si="52"/>
        <v>689260.25582749827</v>
      </c>
      <c r="J119" s="514">
        <f t="shared" si="31"/>
        <v>0</v>
      </c>
      <c r="K119" s="514"/>
      <c r="L119" s="525"/>
      <c r="M119" s="514">
        <f t="shared" si="33"/>
        <v>0</v>
      </c>
      <c r="N119" s="525"/>
      <c r="O119" s="514">
        <f t="shared" si="35"/>
        <v>0</v>
      </c>
      <c r="P119" s="514">
        <f t="shared" si="36"/>
        <v>0</v>
      </c>
      <c r="Q119" s="269"/>
    </row>
    <row r="120" spans="2:17">
      <c r="B120" s="195" t="str">
        <f t="shared" si="37"/>
        <v/>
      </c>
      <c r="C120" s="507">
        <f>IF(D93="","-",+C119+1)</f>
        <v>2030</v>
      </c>
      <c r="D120" s="374">
        <f>IF(F119+SUM(E$99:E119)=D$92,F119,D$92-SUM(E$99:E119))</f>
        <v>4164100.544281662</v>
      </c>
      <c r="E120" s="522">
        <f>IF(+J96&lt;F119,J96,D120)</f>
        <v>204943.59707317073</v>
      </c>
      <c r="F120" s="523">
        <f t="shared" si="49"/>
        <v>3959156.9472084912</v>
      </c>
      <c r="G120" s="523">
        <f t="shared" si="50"/>
        <v>4061628.7457450768</v>
      </c>
      <c r="H120" s="526">
        <f t="shared" si="51"/>
        <v>665996.24195588368</v>
      </c>
      <c r="I120" s="577">
        <f t="shared" si="52"/>
        <v>665996.24195588368</v>
      </c>
      <c r="J120" s="514">
        <f t="shared" si="31"/>
        <v>0</v>
      </c>
      <c r="K120" s="514"/>
      <c r="L120" s="525"/>
      <c r="M120" s="514">
        <f t="shared" si="33"/>
        <v>0</v>
      </c>
      <c r="N120" s="525"/>
      <c r="O120" s="514">
        <f t="shared" si="35"/>
        <v>0</v>
      </c>
      <c r="P120" s="514">
        <f t="shared" si="36"/>
        <v>0</v>
      </c>
      <c r="Q120" s="269"/>
    </row>
    <row r="121" spans="2:17">
      <c r="B121" s="195" t="str">
        <f t="shared" si="37"/>
        <v/>
      </c>
      <c r="C121" s="507">
        <f>IF(D93="","-",+C120+1)</f>
        <v>2031</v>
      </c>
      <c r="D121" s="374">
        <f>IF(F120+SUM(E$99:E120)=D$92,F120,D$92-SUM(E$99:E120))</f>
        <v>3959156.9472084912</v>
      </c>
      <c r="E121" s="522">
        <f>IF(+J96&lt;F120,J96,D121)</f>
        <v>204943.59707317073</v>
      </c>
      <c r="F121" s="523">
        <f t="shared" si="49"/>
        <v>3754213.3501353203</v>
      </c>
      <c r="G121" s="523">
        <f t="shared" si="50"/>
        <v>3856685.1486719055</v>
      </c>
      <c r="H121" s="526">
        <f t="shared" si="51"/>
        <v>642732.22808426898</v>
      </c>
      <c r="I121" s="577">
        <f t="shared" si="52"/>
        <v>642732.22808426898</v>
      </c>
      <c r="J121" s="514">
        <f t="shared" si="31"/>
        <v>0</v>
      </c>
      <c r="K121" s="514"/>
      <c r="L121" s="525"/>
      <c r="M121" s="514">
        <f t="shared" si="33"/>
        <v>0</v>
      </c>
      <c r="N121" s="525"/>
      <c r="O121" s="514">
        <f t="shared" si="35"/>
        <v>0</v>
      </c>
      <c r="P121" s="514">
        <f t="shared" si="36"/>
        <v>0</v>
      </c>
      <c r="Q121" s="269"/>
    </row>
    <row r="122" spans="2:17">
      <c r="B122" s="195" t="str">
        <f t="shared" si="37"/>
        <v/>
      </c>
      <c r="C122" s="507">
        <f>IF(D93="","-",+C121+1)</f>
        <v>2032</v>
      </c>
      <c r="D122" s="374">
        <f>IF(F121+SUM(E$99:E121)=D$92,F121,D$92-SUM(E$99:E121))</f>
        <v>3754213.3501353203</v>
      </c>
      <c r="E122" s="522">
        <f>IF(+J96&lt;F121,J96,D122)</f>
        <v>204943.59707317073</v>
      </c>
      <c r="F122" s="523">
        <f t="shared" si="49"/>
        <v>3549269.7530621495</v>
      </c>
      <c r="G122" s="523">
        <f t="shared" si="50"/>
        <v>3651741.5515987352</v>
      </c>
      <c r="H122" s="526">
        <f t="shared" si="51"/>
        <v>619468.21421265427</v>
      </c>
      <c r="I122" s="577">
        <f t="shared" si="52"/>
        <v>619468.21421265427</v>
      </c>
      <c r="J122" s="514">
        <f t="shared" si="31"/>
        <v>0</v>
      </c>
      <c r="K122" s="514"/>
      <c r="L122" s="525"/>
      <c r="M122" s="514">
        <f t="shared" si="33"/>
        <v>0</v>
      </c>
      <c r="N122" s="525"/>
      <c r="O122" s="514">
        <f t="shared" si="35"/>
        <v>0</v>
      </c>
      <c r="P122" s="514">
        <f t="shared" si="36"/>
        <v>0</v>
      </c>
      <c r="Q122" s="269"/>
    </row>
    <row r="123" spans="2:17">
      <c r="B123" s="195" t="str">
        <f t="shared" si="37"/>
        <v/>
      </c>
      <c r="C123" s="507">
        <f>IF(D93="","-",+C122+1)</f>
        <v>2033</v>
      </c>
      <c r="D123" s="374">
        <f>IF(F122+SUM(E$99:E122)=D$92,F122,D$92-SUM(E$99:E122))</f>
        <v>3549269.7530621495</v>
      </c>
      <c r="E123" s="522">
        <f>IF(+J96&lt;F122,J96,D123)</f>
        <v>204943.59707317073</v>
      </c>
      <c r="F123" s="523">
        <f t="shared" si="49"/>
        <v>3344326.1559889787</v>
      </c>
      <c r="G123" s="523">
        <f t="shared" si="50"/>
        <v>3446797.9545255639</v>
      </c>
      <c r="H123" s="526">
        <f t="shared" si="51"/>
        <v>596204.20034103957</v>
      </c>
      <c r="I123" s="577">
        <f t="shared" si="52"/>
        <v>596204.20034103957</v>
      </c>
      <c r="J123" s="514">
        <f t="shared" si="31"/>
        <v>0</v>
      </c>
      <c r="K123" s="514"/>
      <c r="L123" s="525"/>
      <c r="M123" s="514">
        <f t="shared" si="33"/>
        <v>0</v>
      </c>
      <c r="N123" s="525"/>
      <c r="O123" s="514">
        <f t="shared" si="35"/>
        <v>0</v>
      </c>
      <c r="P123" s="514">
        <f t="shared" si="36"/>
        <v>0</v>
      </c>
      <c r="Q123" s="269"/>
    </row>
    <row r="124" spans="2:17">
      <c r="B124" s="195" t="str">
        <f t="shared" si="37"/>
        <v/>
      </c>
      <c r="C124" s="507">
        <f>IF(D93="","-",+C123+1)</f>
        <v>2034</v>
      </c>
      <c r="D124" s="374">
        <f>IF(F123+SUM(E$99:E123)=D$92,F123,D$92-SUM(E$99:E123))</f>
        <v>3344326.1559889787</v>
      </c>
      <c r="E124" s="522">
        <f>IF(+J96&lt;F123,J96,D124)</f>
        <v>204943.59707317073</v>
      </c>
      <c r="F124" s="523">
        <f t="shared" si="49"/>
        <v>3139382.5589158079</v>
      </c>
      <c r="G124" s="523">
        <f t="shared" si="50"/>
        <v>3241854.3574523935</v>
      </c>
      <c r="H124" s="526">
        <f t="shared" si="51"/>
        <v>572940.18646942487</v>
      </c>
      <c r="I124" s="577">
        <f t="shared" si="52"/>
        <v>572940.18646942487</v>
      </c>
      <c r="J124" s="514">
        <f t="shared" si="31"/>
        <v>0</v>
      </c>
      <c r="K124" s="514"/>
      <c r="L124" s="525"/>
      <c r="M124" s="514">
        <f t="shared" si="33"/>
        <v>0</v>
      </c>
      <c r="N124" s="525"/>
      <c r="O124" s="514">
        <f t="shared" si="35"/>
        <v>0</v>
      </c>
      <c r="P124" s="514">
        <f t="shared" si="36"/>
        <v>0</v>
      </c>
      <c r="Q124" s="269"/>
    </row>
    <row r="125" spans="2:17">
      <c r="B125" s="195" t="str">
        <f t="shared" si="37"/>
        <v/>
      </c>
      <c r="C125" s="507">
        <f>IF(D93="","-",+C124+1)</f>
        <v>2035</v>
      </c>
      <c r="D125" s="374">
        <f>IF(F124+SUM(E$99:E124)=D$92,F124,D$92-SUM(E$99:E124))</f>
        <v>3139382.5589158079</v>
      </c>
      <c r="E125" s="522">
        <f>IF(+J96&lt;F124,J96,D125)</f>
        <v>204943.59707317073</v>
      </c>
      <c r="F125" s="523">
        <f t="shared" si="49"/>
        <v>2934438.961842637</v>
      </c>
      <c r="G125" s="523">
        <f t="shared" si="50"/>
        <v>3036910.7603792222</v>
      </c>
      <c r="H125" s="526">
        <f t="shared" si="51"/>
        <v>549676.17259781016</v>
      </c>
      <c r="I125" s="577">
        <f t="shared" si="52"/>
        <v>549676.17259781016</v>
      </c>
      <c r="J125" s="514">
        <f t="shared" si="31"/>
        <v>0</v>
      </c>
      <c r="K125" s="514"/>
      <c r="L125" s="525"/>
      <c r="M125" s="514">
        <f t="shared" si="33"/>
        <v>0</v>
      </c>
      <c r="N125" s="525"/>
      <c r="O125" s="514">
        <f t="shared" si="35"/>
        <v>0</v>
      </c>
      <c r="P125" s="514">
        <f t="shared" si="36"/>
        <v>0</v>
      </c>
      <c r="Q125" s="269"/>
    </row>
    <row r="126" spans="2:17">
      <c r="B126" s="195" t="str">
        <f t="shared" si="37"/>
        <v/>
      </c>
      <c r="C126" s="507">
        <f>IF(D93="","-",+C125+1)</f>
        <v>2036</v>
      </c>
      <c r="D126" s="374">
        <f>IF(F125+SUM(E$99:E125)=D$92,F125,D$92-SUM(E$99:E125))</f>
        <v>2934438.961842637</v>
      </c>
      <c r="E126" s="522">
        <f>IF(+J96&lt;F125,J96,D126)</f>
        <v>204943.59707317073</v>
      </c>
      <c r="F126" s="523">
        <f t="shared" si="49"/>
        <v>2729495.3647694662</v>
      </c>
      <c r="G126" s="523">
        <f t="shared" si="50"/>
        <v>2831967.1633060519</v>
      </c>
      <c r="H126" s="526">
        <f t="shared" si="51"/>
        <v>526412.15872619557</v>
      </c>
      <c r="I126" s="577">
        <f t="shared" si="52"/>
        <v>526412.15872619557</v>
      </c>
      <c r="J126" s="514">
        <f t="shared" si="31"/>
        <v>0</v>
      </c>
      <c r="K126" s="514"/>
      <c r="L126" s="525"/>
      <c r="M126" s="514">
        <f t="shared" si="33"/>
        <v>0</v>
      </c>
      <c r="N126" s="525"/>
      <c r="O126" s="514">
        <f t="shared" si="35"/>
        <v>0</v>
      </c>
      <c r="P126" s="514">
        <f t="shared" si="36"/>
        <v>0</v>
      </c>
      <c r="Q126" s="269"/>
    </row>
    <row r="127" spans="2:17">
      <c r="B127" s="195" t="str">
        <f t="shared" si="37"/>
        <v/>
      </c>
      <c r="C127" s="507">
        <f>IF(D93="","-",+C126+1)</f>
        <v>2037</v>
      </c>
      <c r="D127" s="374">
        <f>IF(F126+SUM(E$99:E126)=D$92,F126,D$92-SUM(E$99:E126))</f>
        <v>2729495.3647694662</v>
      </c>
      <c r="E127" s="522">
        <f>IF(+J96&lt;F126,J96,D127)</f>
        <v>204943.59707317073</v>
      </c>
      <c r="F127" s="523">
        <f t="shared" si="49"/>
        <v>2524551.7676962954</v>
      </c>
      <c r="G127" s="523">
        <f t="shared" si="50"/>
        <v>2627023.5662328806</v>
      </c>
      <c r="H127" s="526">
        <f t="shared" si="51"/>
        <v>503148.14485458075</v>
      </c>
      <c r="I127" s="577">
        <f t="shared" si="52"/>
        <v>503148.14485458075</v>
      </c>
      <c r="J127" s="514">
        <f t="shared" si="31"/>
        <v>0</v>
      </c>
      <c r="K127" s="514"/>
      <c r="L127" s="525"/>
      <c r="M127" s="514">
        <f t="shared" si="33"/>
        <v>0</v>
      </c>
      <c r="N127" s="525"/>
      <c r="O127" s="514">
        <f t="shared" si="35"/>
        <v>0</v>
      </c>
      <c r="P127" s="514">
        <f t="shared" si="36"/>
        <v>0</v>
      </c>
      <c r="Q127" s="269"/>
    </row>
    <row r="128" spans="2:17">
      <c r="B128" s="195" t="str">
        <f t="shared" si="37"/>
        <v/>
      </c>
      <c r="C128" s="507">
        <f>IF(D93="","-",+C127+1)</f>
        <v>2038</v>
      </c>
      <c r="D128" s="374">
        <f>IF(F127+SUM(E$99:E127)=D$92,F127,D$92-SUM(E$99:E127))</f>
        <v>2524551.7676963005</v>
      </c>
      <c r="E128" s="522">
        <f>IF(+J96&lt;F127,J96,D128)</f>
        <v>204943.59707317073</v>
      </c>
      <c r="F128" s="523">
        <f t="shared" si="49"/>
        <v>2319608.1706231297</v>
      </c>
      <c r="G128" s="523">
        <f t="shared" si="50"/>
        <v>2422079.9691597149</v>
      </c>
      <c r="H128" s="526">
        <f t="shared" si="51"/>
        <v>479884.13098296674</v>
      </c>
      <c r="I128" s="577">
        <f t="shared" si="52"/>
        <v>479884.13098296674</v>
      </c>
      <c r="J128" s="514">
        <f t="shared" si="31"/>
        <v>0</v>
      </c>
      <c r="K128" s="514"/>
      <c r="L128" s="525"/>
      <c r="M128" s="514">
        <f t="shared" si="33"/>
        <v>0</v>
      </c>
      <c r="N128" s="525"/>
      <c r="O128" s="514">
        <f t="shared" si="35"/>
        <v>0</v>
      </c>
      <c r="P128" s="514">
        <f t="shared" si="36"/>
        <v>0</v>
      </c>
      <c r="Q128" s="269"/>
    </row>
    <row r="129" spans="2:17">
      <c r="B129" s="195" t="str">
        <f t="shared" si="37"/>
        <v/>
      </c>
      <c r="C129" s="507">
        <f>IF(D93="","-",+C128+1)</f>
        <v>2039</v>
      </c>
      <c r="D129" s="374">
        <f>IF(F128+SUM(E$99:E128)=D$92,F128,D$92-SUM(E$99:E128))</f>
        <v>2319608.1706231297</v>
      </c>
      <c r="E129" s="522">
        <f>IF(+J96&lt;F128,J96,D129)</f>
        <v>204943.59707317073</v>
      </c>
      <c r="F129" s="523">
        <f t="shared" si="49"/>
        <v>2114664.5735499589</v>
      </c>
      <c r="G129" s="523">
        <f t="shared" si="50"/>
        <v>2217136.3720865445</v>
      </c>
      <c r="H129" s="526">
        <f t="shared" si="51"/>
        <v>456620.11711135204</v>
      </c>
      <c r="I129" s="577">
        <f t="shared" si="52"/>
        <v>456620.11711135204</v>
      </c>
      <c r="J129" s="514">
        <f t="shared" si="31"/>
        <v>0</v>
      </c>
      <c r="K129" s="514"/>
      <c r="L129" s="525"/>
      <c r="M129" s="514">
        <f t="shared" si="33"/>
        <v>0</v>
      </c>
      <c r="N129" s="525"/>
      <c r="O129" s="514">
        <f t="shared" si="35"/>
        <v>0</v>
      </c>
      <c r="P129" s="514">
        <f t="shared" si="36"/>
        <v>0</v>
      </c>
      <c r="Q129" s="269"/>
    </row>
    <row r="130" spans="2:17">
      <c r="B130" s="195" t="str">
        <f t="shared" si="37"/>
        <v/>
      </c>
      <c r="C130" s="507">
        <f>IF(D93="","-",+C129+1)</f>
        <v>2040</v>
      </c>
      <c r="D130" s="374">
        <f>IF(F129+SUM(E$99:E129)=D$92,F129,D$92-SUM(E$99:E129))</f>
        <v>2114664.5735499589</v>
      </c>
      <c r="E130" s="522">
        <f>IF(+J96&lt;F129,J96,D130)</f>
        <v>204943.59707317073</v>
      </c>
      <c r="F130" s="523">
        <f t="shared" si="49"/>
        <v>1909720.9764767881</v>
      </c>
      <c r="G130" s="523">
        <f t="shared" si="50"/>
        <v>2012192.7750133735</v>
      </c>
      <c r="H130" s="526">
        <f t="shared" si="51"/>
        <v>433356.10323973733</v>
      </c>
      <c r="I130" s="577">
        <f t="shared" si="52"/>
        <v>433356.10323973733</v>
      </c>
      <c r="J130" s="514">
        <f t="shared" si="31"/>
        <v>0</v>
      </c>
      <c r="K130" s="514"/>
      <c r="L130" s="525"/>
      <c r="M130" s="514">
        <f t="shared" si="33"/>
        <v>0</v>
      </c>
      <c r="N130" s="525"/>
      <c r="O130" s="514">
        <f t="shared" si="35"/>
        <v>0</v>
      </c>
      <c r="P130" s="514">
        <f t="shared" si="36"/>
        <v>0</v>
      </c>
      <c r="Q130" s="269"/>
    </row>
    <row r="131" spans="2:17">
      <c r="B131" s="195" t="str">
        <f t="shared" si="37"/>
        <v/>
      </c>
      <c r="C131" s="507">
        <f>IF(D93="","-",+C130+1)</f>
        <v>2041</v>
      </c>
      <c r="D131" s="374">
        <f>IF(F130+SUM(E$99:E130)=D$92,F130,D$92-SUM(E$99:E130))</f>
        <v>1909720.9764767881</v>
      </c>
      <c r="E131" s="522">
        <f>IF(+J96&lt;F130,J96,D131)</f>
        <v>204943.59707317073</v>
      </c>
      <c r="F131" s="523">
        <f t="shared" ref="F131:F154" si="53">+D131-E131</f>
        <v>1704777.3794036172</v>
      </c>
      <c r="G131" s="523">
        <f t="shared" ref="G131:G154" si="54">+(F131+D131)/2</f>
        <v>1807249.1779402026</v>
      </c>
      <c r="H131" s="526">
        <f t="shared" si="51"/>
        <v>410092.08936812263</v>
      </c>
      <c r="I131" s="577">
        <f t="shared" si="52"/>
        <v>410092.08936812263</v>
      </c>
      <c r="J131" s="514">
        <f t="shared" ref="J131:J154" si="55">+I131-H131</f>
        <v>0</v>
      </c>
      <c r="K131" s="514"/>
      <c r="L131" s="525"/>
      <c r="M131" s="514">
        <f t="shared" ref="M131:M154" si="56">IF(L131&lt;&gt;0,+H131-L131,0)</f>
        <v>0</v>
      </c>
      <c r="N131" s="525"/>
      <c r="O131" s="514">
        <f t="shared" ref="O131:O154" si="57">IF(N131&lt;&gt;0,+I131-N131,0)</f>
        <v>0</v>
      </c>
      <c r="P131" s="514">
        <f t="shared" ref="P131:P154" si="58">+O131-M131</f>
        <v>0</v>
      </c>
      <c r="Q131" s="269"/>
    </row>
    <row r="132" spans="2:17">
      <c r="B132" s="195" t="str">
        <f t="shared" si="37"/>
        <v/>
      </c>
      <c r="C132" s="507">
        <f>IF(D93="","-",+C131+1)</f>
        <v>2042</v>
      </c>
      <c r="D132" s="374">
        <f>IF(F131+SUM(E$99:E131)=D$92,F131,D$92-SUM(E$99:E131))</f>
        <v>1704777.3794036172</v>
      </c>
      <c r="E132" s="522">
        <f>IF(+J96&lt;F131,J96,D132)</f>
        <v>204943.59707317073</v>
      </c>
      <c r="F132" s="523">
        <f t="shared" si="53"/>
        <v>1499833.7823304464</v>
      </c>
      <c r="G132" s="523">
        <f t="shared" si="54"/>
        <v>1602305.5808670318</v>
      </c>
      <c r="H132" s="526">
        <f t="shared" si="51"/>
        <v>386828.07549650798</v>
      </c>
      <c r="I132" s="577">
        <f t="shared" si="52"/>
        <v>386828.07549650798</v>
      </c>
      <c r="J132" s="514">
        <f t="shared" si="55"/>
        <v>0</v>
      </c>
      <c r="K132" s="514"/>
      <c r="L132" s="525"/>
      <c r="M132" s="514">
        <f t="shared" si="56"/>
        <v>0</v>
      </c>
      <c r="N132" s="525"/>
      <c r="O132" s="514">
        <f t="shared" si="57"/>
        <v>0</v>
      </c>
      <c r="P132" s="514">
        <f t="shared" si="58"/>
        <v>0</v>
      </c>
      <c r="Q132" s="269"/>
    </row>
    <row r="133" spans="2:17">
      <c r="B133" s="195" t="str">
        <f t="shared" si="37"/>
        <v/>
      </c>
      <c r="C133" s="507">
        <f>IF(D93="","-",+C132+1)</f>
        <v>2043</v>
      </c>
      <c r="D133" s="374">
        <f>IF(F132+SUM(E$99:E132)=D$92,F132,D$92-SUM(E$99:E132))</f>
        <v>1499833.7823304464</v>
      </c>
      <c r="E133" s="522">
        <f>IF(+J96&lt;F132,J96,D133)</f>
        <v>204943.59707317073</v>
      </c>
      <c r="F133" s="523">
        <f t="shared" si="53"/>
        <v>1294890.1852572756</v>
      </c>
      <c r="G133" s="523">
        <f t="shared" si="54"/>
        <v>1397361.983793861</v>
      </c>
      <c r="H133" s="526">
        <f t="shared" si="51"/>
        <v>363564.06162489328</v>
      </c>
      <c r="I133" s="577">
        <f t="shared" si="52"/>
        <v>363564.06162489328</v>
      </c>
      <c r="J133" s="514">
        <f t="shared" si="55"/>
        <v>0</v>
      </c>
      <c r="K133" s="514"/>
      <c r="L133" s="525"/>
      <c r="M133" s="514">
        <f t="shared" si="56"/>
        <v>0</v>
      </c>
      <c r="N133" s="525"/>
      <c r="O133" s="514">
        <f t="shared" si="57"/>
        <v>0</v>
      </c>
      <c r="P133" s="514">
        <f t="shared" si="58"/>
        <v>0</v>
      </c>
      <c r="Q133" s="269"/>
    </row>
    <row r="134" spans="2:17">
      <c r="B134" s="195" t="str">
        <f t="shared" si="37"/>
        <v/>
      </c>
      <c r="C134" s="507">
        <f>IF(D93="","-",+C133+1)</f>
        <v>2044</v>
      </c>
      <c r="D134" s="374">
        <f>IF(F133+SUM(E$99:E133)=D$92,F133,D$92-SUM(E$99:E133))</f>
        <v>1294890.1852572756</v>
      </c>
      <c r="E134" s="522">
        <f>IF(+J96&lt;F133,J96,D134)</f>
        <v>204943.59707317073</v>
      </c>
      <c r="F134" s="523">
        <f t="shared" si="53"/>
        <v>1089946.5881841048</v>
      </c>
      <c r="G134" s="523">
        <f t="shared" si="54"/>
        <v>1192418.3867206902</v>
      </c>
      <c r="H134" s="526">
        <f t="shared" si="51"/>
        <v>340300.04775327863</v>
      </c>
      <c r="I134" s="577">
        <f t="shared" si="52"/>
        <v>340300.04775327863</v>
      </c>
      <c r="J134" s="514">
        <f t="shared" si="55"/>
        <v>0</v>
      </c>
      <c r="K134" s="514"/>
      <c r="L134" s="525"/>
      <c r="M134" s="514">
        <f t="shared" si="56"/>
        <v>0</v>
      </c>
      <c r="N134" s="525"/>
      <c r="O134" s="514">
        <f t="shared" si="57"/>
        <v>0</v>
      </c>
      <c r="P134" s="514">
        <f t="shared" si="58"/>
        <v>0</v>
      </c>
      <c r="Q134" s="269"/>
    </row>
    <row r="135" spans="2:17">
      <c r="B135" s="195" t="str">
        <f t="shared" si="37"/>
        <v/>
      </c>
      <c r="C135" s="507">
        <f>IF(D93="","-",+C134+1)</f>
        <v>2045</v>
      </c>
      <c r="D135" s="374">
        <f>IF(F134+SUM(E$99:E134)=D$92,F134,D$92-SUM(E$99:E134))</f>
        <v>1089946.5881841048</v>
      </c>
      <c r="E135" s="522">
        <f>IF(+J96&lt;F134,J96,D135)</f>
        <v>204943.59707317073</v>
      </c>
      <c r="F135" s="523">
        <f t="shared" si="53"/>
        <v>885002.99111093406</v>
      </c>
      <c r="G135" s="523">
        <f t="shared" si="54"/>
        <v>987474.78964751936</v>
      </c>
      <c r="H135" s="526">
        <f t="shared" si="51"/>
        <v>317036.03388166393</v>
      </c>
      <c r="I135" s="577">
        <f t="shared" si="52"/>
        <v>317036.03388166393</v>
      </c>
      <c r="J135" s="514">
        <f t="shared" si="55"/>
        <v>0</v>
      </c>
      <c r="K135" s="514"/>
      <c r="L135" s="525"/>
      <c r="M135" s="514">
        <f t="shared" si="56"/>
        <v>0</v>
      </c>
      <c r="N135" s="525"/>
      <c r="O135" s="514">
        <f t="shared" si="57"/>
        <v>0</v>
      </c>
      <c r="P135" s="514">
        <f t="shared" si="58"/>
        <v>0</v>
      </c>
      <c r="Q135" s="269"/>
    </row>
    <row r="136" spans="2:17">
      <c r="B136" s="195"/>
      <c r="C136" s="507">
        <f>IF(D93="","-",+C135+1)</f>
        <v>2046</v>
      </c>
      <c r="D136" s="374">
        <f>IF(F135+SUM(E$99:E135)=D$92,F135,D$92-SUM(E$99:E135))</f>
        <v>885002.99111093406</v>
      </c>
      <c r="E136" s="522">
        <f>IF(+J96&lt;F135,J96,D136)</f>
        <v>204943.59707317073</v>
      </c>
      <c r="F136" s="523">
        <f t="shared" si="53"/>
        <v>680059.39403776336</v>
      </c>
      <c r="G136" s="523">
        <f t="shared" si="54"/>
        <v>782531.19257434877</v>
      </c>
      <c r="H136" s="526">
        <f t="shared" si="51"/>
        <v>293772.02001004922</v>
      </c>
      <c r="I136" s="577">
        <f t="shared" si="52"/>
        <v>293772.02001004922</v>
      </c>
      <c r="J136" s="514">
        <f t="shared" si="55"/>
        <v>0</v>
      </c>
      <c r="K136" s="514"/>
      <c r="L136" s="525"/>
      <c r="M136" s="514">
        <f t="shared" si="56"/>
        <v>0</v>
      </c>
      <c r="N136" s="525"/>
      <c r="O136" s="514">
        <f t="shared" si="57"/>
        <v>0</v>
      </c>
      <c r="P136" s="514">
        <f t="shared" si="58"/>
        <v>0</v>
      </c>
      <c r="Q136" s="269"/>
    </row>
    <row r="137" spans="2:17">
      <c r="B137" s="195" t="str">
        <f t="shared" si="37"/>
        <v/>
      </c>
      <c r="C137" s="507">
        <f>IF(D93="","-",+C136+1)</f>
        <v>2047</v>
      </c>
      <c r="D137" s="374">
        <f>IF(F136+SUM(E$99:E136)=D$92,F136,D$92-SUM(E$99:E136))</f>
        <v>680059.39403776336</v>
      </c>
      <c r="E137" s="522">
        <f>IF(+J96&lt;F136,J96,D137)</f>
        <v>204943.59707317073</v>
      </c>
      <c r="F137" s="523">
        <f t="shared" si="53"/>
        <v>475115.79696459265</v>
      </c>
      <c r="G137" s="523">
        <f t="shared" si="54"/>
        <v>577587.59550117794</v>
      </c>
      <c r="H137" s="526">
        <f t="shared" si="51"/>
        <v>270508.00613843458</v>
      </c>
      <c r="I137" s="577">
        <f t="shared" si="52"/>
        <v>270508.00613843458</v>
      </c>
      <c r="J137" s="514">
        <f t="shared" si="55"/>
        <v>0</v>
      </c>
      <c r="K137" s="514"/>
      <c r="L137" s="525"/>
      <c r="M137" s="514">
        <f t="shared" si="56"/>
        <v>0</v>
      </c>
      <c r="N137" s="525"/>
      <c r="O137" s="514">
        <f t="shared" si="57"/>
        <v>0</v>
      </c>
      <c r="P137" s="514">
        <f t="shared" si="58"/>
        <v>0</v>
      </c>
      <c r="Q137" s="269"/>
    </row>
    <row r="138" spans="2:17">
      <c r="B138" s="195" t="str">
        <f t="shared" si="37"/>
        <v/>
      </c>
      <c r="C138" s="507">
        <f>IF(D93="","-",+C137+1)</f>
        <v>2048</v>
      </c>
      <c r="D138" s="374">
        <f>IF(F137+SUM(E$99:E137)=D$92,F137,D$92-SUM(E$99:E137))</f>
        <v>475115.79696459265</v>
      </c>
      <c r="E138" s="522">
        <f>IF(+J96&lt;F137,J96,D138)</f>
        <v>204943.59707317073</v>
      </c>
      <c r="F138" s="523">
        <f t="shared" si="53"/>
        <v>270172.19989142194</v>
      </c>
      <c r="G138" s="523">
        <f t="shared" si="54"/>
        <v>372643.9984280073</v>
      </c>
      <c r="H138" s="526">
        <f t="shared" si="51"/>
        <v>247243.99226681987</v>
      </c>
      <c r="I138" s="577">
        <f t="shared" si="52"/>
        <v>247243.99226681987</v>
      </c>
      <c r="J138" s="514">
        <f t="shared" si="55"/>
        <v>0</v>
      </c>
      <c r="K138" s="514"/>
      <c r="L138" s="525"/>
      <c r="M138" s="514">
        <f t="shared" si="56"/>
        <v>0</v>
      </c>
      <c r="N138" s="525"/>
      <c r="O138" s="514">
        <f t="shared" si="57"/>
        <v>0</v>
      </c>
      <c r="P138" s="514">
        <f t="shared" si="58"/>
        <v>0</v>
      </c>
      <c r="Q138" s="269"/>
    </row>
    <row r="139" spans="2:17">
      <c r="B139" s="195" t="str">
        <f t="shared" si="37"/>
        <v/>
      </c>
      <c r="C139" s="507">
        <f>IF(D93="","-",+C138+1)</f>
        <v>2049</v>
      </c>
      <c r="D139" s="374">
        <f>IF(F138+SUM(E$99:E138)=D$92,F138,D$92-SUM(E$99:E138))</f>
        <v>270172.19989142194</v>
      </c>
      <c r="E139" s="522">
        <f>IF(+J96&lt;F138,J96,D139)</f>
        <v>204943.59707317073</v>
      </c>
      <c r="F139" s="523">
        <f t="shared" si="53"/>
        <v>65228.602818251209</v>
      </c>
      <c r="G139" s="523">
        <f t="shared" si="54"/>
        <v>167700.40135483659</v>
      </c>
      <c r="H139" s="526">
        <f t="shared" si="51"/>
        <v>223979.97839520522</v>
      </c>
      <c r="I139" s="577">
        <f t="shared" si="52"/>
        <v>223979.97839520522</v>
      </c>
      <c r="J139" s="514">
        <f t="shared" si="55"/>
        <v>0</v>
      </c>
      <c r="K139" s="514"/>
      <c r="L139" s="525"/>
      <c r="M139" s="514">
        <f t="shared" si="56"/>
        <v>0</v>
      </c>
      <c r="N139" s="525"/>
      <c r="O139" s="514">
        <f t="shared" si="57"/>
        <v>0</v>
      </c>
      <c r="P139" s="514">
        <f t="shared" si="58"/>
        <v>0</v>
      </c>
      <c r="Q139" s="269"/>
    </row>
    <row r="140" spans="2:17">
      <c r="B140" s="195" t="str">
        <f t="shared" si="37"/>
        <v>IU</v>
      </c>
      <c r="C140" s="507">
        <f>IF(D93="","-",+C139+1)</f>
        <v>2050</v>
      </c>
      <c r="D140" s="374">
        <f>IF(F139+SUM(E$99:E139)=D$92,F139,D$92-SUM(E$99:E139))</f>
        <v>65228.602818256244</v>
      </c>
      <c r="E140" s="522">
        <f>IF(+J96&lt;F139,J96,D140)</f>
        <v>65228.602818256244</v>
      </c>
      <c r="F140" s="523">
        <f t="shared" si="53"/>
        <v>0</v>
      </c>
      <c r="G140" s="523">
        <f t="shared" si="54"/>
        <v>32614.301409128122</v>
      </c>
      <c r="H140" s="526">
        <f t="shared" si="51"/>
        <v>68930.790011370103</v>
      </c>
      <c r="I140" s="577">
        <f t="shared" si="52"/>
        <v>68930.790011370103</v>
      </c>
      <c r="J140" s="514">
        <f t="shared" si="55"/>
        <v>0</v>
      </c>
      <c r="K140" s="514"/>
      <c r="L140" s="525"/>
      <c r="M140" s="514">
        <f t="shared" si="56"/>
        <v>0</v>
      </c>
      <c r="N140" s="525"/>
      <c r="O140" s="514">
        <f t="shared" si="57"/>
        <v>0</v>
      </c>
      <c r="P140" s="514">
        <f t="shared" si="58"/>
        <v>0</v>
      </c>
      <c r="Q140" s="269"/>
    </row>
    <row r="141" spans="2:17">
      <c r="B141" s="195" t="str">
        <f t="shared" si="37"/>
        <v/>
      </c>
      <c r="C141" s="507">
        <f>IF(D93="","-",+C140+1)</f>
        <v>2051</v>
      </c>
      <c r="D141" s="374">
        <f>IF(F140+SUM(E$99:E140)=D$92,F140,D$92-SUM(E$99:E140))</f>
        <v>0</v>
      </c>
      <c r="E141" s="522">
        <f>IF(+J96&lt;F140,J96,D141)</f>
        <v>0</v>
      </c>
      <c r="F141" s="523">
        <f t="shared" si="53"/>
        <v>0</v>
      </c>
      <c r="G141" s="523">
        <f t="shared" si="54"/>
        <v>0</v>
      </c>
      <c r="H141" s="526">
        <f t="shared" si="51"/>
        <v>0</v>
      </c>
      <c r="I141" s="577">
        <f t="shared" si="52"/>
        <v>0</v>
      </c>
      <c r="J141" s="514">
        <f t="shared" si="55"/>
        <v>0</v>
      </c>
      <c r="K141" s="514"/>
      <c r="L141" s="525"/>
      <c r="M141" s="514">
        <f t="shared" si="56"/>
        <v>0</v>
      </c>
      <c r="N141" s="525"/>
      <c r="O141" s="514">
        <f t="shared" si="57"/>
        <v>0</v>
      </c>
      <c r="P141" s="514">
        <f t="shared" si="58"/>
        <v>0</v>
      </c>
      <c r="Q141" s="269"/>
    </row>
    <row r="142" spans="2:17">
      <c r="B142" s="195" t="str">
        <f t="shared" si="37"/>
        <v/>
      </c>
      <c r="C142" s="507">
        <f>IF(D93="","-",+C141+1)</f>
        <v>2052</v>
      </c>
      <c r="D142" s="374">
        <f>IF(F141+SUM(E$99:E141)=D$92,F141,D$92-SUM(E$99:E141))</f>
        <v>0</v>
      </c>
      <c r="E142" s="522">
        <f>IF(+J96&lt;F141,J96,D142)</f>
        <v>0</v>
      </c>
      <c r="F142" s="523">
        <f t="shared" si="53"/>
        <v>0</v>
      </c>
      <c r="G142" s="523">
        <f t="shared" si="54"/>
        <v>0</v>
      </c>
      <c r="H142" s="526">
        <f t="shared" si="51"/>
        <v>0</v>
      </c>
      <c r="I142" s="577">
        <f t="shared" si="52"/>
        <v>0</v>
      </c>
      <c r="J142" s="514">
        <f t="shared" si="55"/>
        <v>0</v>
      </c>
      <c r="K142" s="514"/>
      <c r="L142" s="525"/>
      <c r="M142" s="514">
        <f t="shared" si="56"/>
        <v>0</v>
      </c>
      <c r="N142" s="525"/>
      <c r="O142" s="514">
        <f t="shared" si="57"/>
        <v>0</v>
      </c>
      <c r="P142" s="514">
        <f t="shared" si="58"/>
        <v>0</v>
      </c>
      <c r="Q142" s="269"/>
    </row>
    <row r="143" spans="2:17">
      <c r="B143" s="195" t="str">
        <f t="shared" si="37"/>
        <v/>
      </c>
      <c r="C143" s="507">
        <f>IF(D93="","-",+C142+1)</f>
        <v>2053</v>
      </c>
      <c r="D143" s="374">
        <f>IF(F142+SUM(E$99:E142)=D$92,F142,D$92-SUM(E$99:E142))</f>
        <v>0</v>
      </c>
      <c r="E143" s="522">
        <f>IF(+J96&lt;F142,J96,D143)</f>
        <v>0</v>
      </c>
      <c r="F143" s="523">
        <f t="shared" si="53"/>
        <v>0</v>
      </c>
      <c r="G143" s="523">
        <f t="shared" si="54"/>
        <v>0</v>
      </c>
      <c r="H143" s="526">
        <f t="shared" si="51"/>
        <v>0</v>
      </c>
      <c r="I143" s="577">
        <f t="shared" si="52"/>
        <v>0</v>
      </c>
      <c r="J143" s="514">
        <f t="shared" si="55"/>
        <v>0</v>
      </c>
      <c r="K143" s="514"/>
      <c r="L143" s="525"/>
      <c r="M143" s="514">
        <f t="shared" si="56"/>
        <v>0</v>
      </c>
      <c r="N143" s="525"/>
      <c r="O143" s="514">
        <f t="shared" si="57"/>
        <v>0</v>
      </c>
      <c r="P143" s="514">
        <f t="shared" si="58"/>
        <v>0</v>
      </c>
      <c r="Q143" s="269"/>
    </row>
    <row r="144" spans="2:17">
      <c r="B144" s="195" t="str">
        <f t="shared" si="37"/>
        <v/>
      </c>
      <c r="C144" s="507">
        <f>IF(D93="","-",+C143+1)</f>
        <v>2054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53"/>
        <v>0</v>
      </c>
      <c r="G144" s="523">
        <f t="shared" si="54"/>
        <v>0</v>
      </c>
      <c r="H144" s="526">
        <f t="shared" si="51"/>
        <v>0</v>
      </c>
      <c r="I144" s="577">
        <f t="shared" si="52"/>
        <v>0</v>
      </c>
      <c r="J144" s="514">
        <f t="shared" si="55"/>
        <v>0</v>
      </c>
      <c r="K144" s="514"/>
      <c r="L144" s="525"/>
      <c r="M144" s="514">
        <f t="shared" si="56"/>
        <v>0</v>
      </c>
      <c r="N144" s="525"/>
      <c r="O144" s="514">
        <f t="shared" si="57"/>
        <v>0</v>
      </c>
      <c r="P144" s="514">
        <f t="shared" si="58"/>
        <v>0</v>
      </c>
      <c r="Q144" s="269"/>
    </row>
    <row r="145" spans="2:17">
      <c r="B145" s="195" t="str">
        <f t="shared" si="37"/>
        <v/>
      </c>
      <c r="C145" s="507">
        <f>IF(D93="","-",+C144+1)</f>
        <v>2055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53"/>
        <v>0</v>
      </c>
      <c r="G145" s="523">
        <f t="shared" si="54"/>
        <v>0</v>
      </c>
      <c r="H145" s="526">
        <f t="shared" si="51"/>
        <v>0</v>
      </c>
      <c r="I145" s="577">
        <f t="shared" si="52"/>
        <v>0</v>
      </c>
      <c r="J145" s="514">
        <f t="shared" si="55"/>
        <v>0</v>
      </c>
      <c r="K145" s="514"/>
      <c r="L145" s="525"/>
      <c r="M145" s="514">
        <f t="shared" si="56"/>
        <v>0</v>
      </c>
      <c r="N145" s="525"/>
      <c r="O145" s="514">
        <f t="shared" si="57"/>
        <v>0</v>
      </c>
      <c r="P145" s="514">
        <f t="shared" si="58"/>
        <v>0</v>
      </c>
      <c r="Q145" s="269"/>
    </row>
    <row r="146" spans="2:17">
      <c r="B146" s="195" t="str">
        <f t="shared" si="37"/>
        <v/>
      </c>
      <c r="C146" s="507">
        <f>IF(D93="","-",+C145+1)</f>
        <v>2056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53"/>
        <v>0</v>
      </c>
      <c r="G146" s="523">
        <f t="shared" si="54"/>
        <v>0</v>
      </c>
      <c r="H146" s="526">
        <f t="shared" si="51"/>
        <v>0</v>
      </c>
      <c r="I146" s="577">
        <f t="shared" si="52"/>
        <v>0</v>
      </c>
      <c r="J146" s="514">
        <f t="shared" si="55"/>
        <v>0</v>
      </c>
      <c r="K146" s="514"/>
      <c r="L146" s="525"/>
      <c r="M146" s="514">
        <f t="shared" si="56"/>
        <v>0</v>
      </c>
      <c r="N146" s="525"/>
      <c r="O146" s="514">
        <f t="shared" si="57"/>
        <v>0</v>
      </c>
      <c r="P146" s="514">
        <f t="shared" si="58"/>
        <v>0</v>
      </c>
      <c r="Q146" s="269"/>
    </row>
    <row r="147" spans="2:17">
      <c r="B147" s="195" t="str">
        <f t="shared" si="37"/>
        <v/>
      </c>
      <c r="C147" s="507">
        <f>IF(D93="","-",+C146+1)</f>
        <v>2057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53"/>
        <v>0</v>
      </c>
      <c r="G147" s="523">
        <f t="shared" si="54"/>
        <v>0</v>
      </c>
      <c r="H147" s="526">
        <f t="shared" si="51"/>
        <v>0</v>
      </c>
      <c r="I147" s="577">
        <f t="shared" si="52"/>
        <v>0</v>
      </c>
      <c r="J147" s="514">
        <f t="shared" si="55"/>
        <v>0</v>
      </c>
      <c r="K147" s="514"/>
      <c r="L147" s="525"/>
      <c r="M147" s="514">
        <f t="shared" si="56"/>
        <v>0</v>
      </c>
      <c r="N147" s="525"/>
      <c r="O147" s="514">
        <f t="shared" si="57"/>
        <v>0</v>
      </c>
      <c r="P147" s="514">
        <f t="shared" si="58"/>
        <v>0</v>
      </c>
      <c r="Q147" s="269"/>
    </row>
    <row r="148" spans="2:17">
      <c r="B148" s="195" t="str">
        <f t="shared" si="37"/>
        <v/>
      </c>
      <c r="C148" s="507">
        <f>IF(D93="","-",+C147+1)</f>
        <v>2058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53"/>
        <v>0</v>
      </c>
      <c r="G148" s="523">
        <f t="shared" si="54"/>
        <v>0</v>
      </c>
      <c r="H148" s="526">
        <f t="shared" si="51"/>
        <v>0</v>
      </c>
      <c r="I148" s="577">
        <f t="shared" si="52"/>
        <v>0</v>
      </c>
      <c r="J148" s="514">
        <f t="shared" si="55"/>
        <v>0</v>
      </c>
      <c r="K148" s="514"/>
      <c r="L148" s="525"/>
      <c r="M148" s="514">
        <f t="shared" si="56"/>
        <v>0</v>
      </c>
      <c r="N148" s="525"/>
      <c r="O148" s="514">
        <f t="shared" si="57"/>
        <v>0</v>
      </c>
      <c r="P148" s="514">
        <f t="shared" si="58"/>
        <v>0</v>
      </c>
      <c r="Q148" s="269"/>
    </row>
    <row r="149" spans="2:17">
      <c r="B149" s="195" t="str">
        <f t="shared" si="37"/>
        <v/>
      </c>
      <c r="C149" s="507">
        <f>IF(D93="","-",+C148+1)</f>
        <v>2059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53"/>
        <v>0</v>
      </c>
      <c r="G149" s="523">
        <f t="shared" si="54"/>
        <v>0</v>
      </c>
      <c r="H149" s="526">
        <f t="shared" si="51"/>
        <v>0</v>
      </c>
      <c r="I149" s="577">
        <f t="shared" si="52"/>
        <v>0</v>
      </c>
      <c r="J149" s="514">
        <f t="shared" si="55"/>
        <v>0</v>
      </c>
      <c r="K149" s="514"/>
      <c r="L149" s="525"/>
      <c r="M149" s="514">
        <f t="shared" si="56"/>
        <v>0</v>
      </c>
      <c r="N149" s="525"/>
      <c r="O149" s="514">
        <f t="shared" si="57"/>
        <v>0</v>
      </c>
      <c r="P149" s="514">
        <f t="shared" si="58"/>
        <v>0</v>
      </c>
      <c r="Q149" s="269"/>
    </row>
    <row r="150" spans="2:17">
      <c r="B150" s="195" t="str">
        <f t="shared" si="37"/>
        <v/>
      </c>
      <c r="C150" s="507">
        <f>IF(D93="","-",+C149+1)</f>
        <v>2060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53"/>
        <v>0</v>
      </c>
      <c r="G150" s="523">
        <f t="shared" si="54"/>
        <v>0</v>
      </c>
      <c r="H150" s="526">
        <f t="shared" si="51"/>
        <v>0</v>
      </c>
      <c r="I150" s="577">
        <f t="shared" si="52"/>
        <v>0</v>
      </c>
      <c r="J150" s="514">
        <f t="shared" si="55"/>
        <v>0</v>
      </c>
      <c r="K150" s="514"/>
      <c r="L150" s="525"/>
      <c r="M150" s="514">
        <f t="shared" si="56"/>
        <v>0</v>
      </c>
      <c r="N150" s="525"/>
      <c r="O150" s="514">
        <f t="shared" si="57"/>
        <v>0</v>
      </c>
      <c r="P150" s="514">
        <f t="shared" si="58"/>
        <v>0</v>
      </c>
      <c r="Q150" s="269"/>
    </row>
    <row r="151" spans="2:17">
      <c r="B151" s="195" t="str">
        <f t="shared" si="37"/>
        <v/>
      </c>
      <c r="C151" s="507">
        <f>IF(D93="","-",+C150+1)</f>
        <v>2061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53"/>
        <v>0</v>
      </c>
      <c r="G151" s="523">
        <f t="shared" si="54"/>
        <v>0</v>
      </c>
      <c r="H151" s="526">
        <f t="shared" si="51"/>
        <v>0</v>
      </c>
      <c r="I151" s="577">
        <f t="shared" si="52"/>
        <v>0</v>
      </c>
      <c r="J151" s="514">
        <f t="shared" si="55"/>
        <v>0</v>
      </c>
      <c r="K151" s="514"/>
      <c r="L151" s="525"/>
      <c r="M151" s="514">
        <f t="shared" si="56"/>
        <v>0</v>
      </c>
      <c r="N151" s="525"/>
      <c r="O151" s="514">
        <f t="shared" si="57"/>
        <v>0</v>
      </c>
      <c r="P151" s="514">
        <f t="shared" si="58"/>
        <v>0</v>
      </c>
      <c r="Q151" s="269"/>
    </row>
    <row r="152" spans="2:17">
      <c r="B152" s="195" t="str">
        <f t="shared" si="37"/>
        <v/>
      </c>
      <c r="C152" s="507">
        <f>IF(D93="","-",+C151+1)</f>
        <v>2062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53"/>
        <v>0</v>
      </c>
      <c r="G152" s="523">
        <f t="shared" si="54"/>
        <v>0</v>
      </c>
      <c r="H152" s="526">
        <f t="shared" si="51"/>
        <v>0</v>
      </c>
      <c r="I152" s="577">
        <f t="shared" si="52"/>
        <v>0</v>
      </c>
      <c r="J152" s="514">
        <f t="shared" si="55"/>
        <v>0</v>
      </c>
      <c r="K152" s="514"/>
      <c r="L152" s="525"/>
      <c r="M152" s="514">
        <f t="shared" si="56"/>
        <v>0</v>
      </c>
      <c r="N152" s="525"/>
      <c r="O152" s="514">
        <f t="shared" si="57"/>
        <v>0</v>
      </c>
      <c r="P152" s="514">
        <f t="shared" si="58"/>
        <v>0</v>
      </c>
      <c r="Q152" s="269"/>
    </row>
    <row r="153" spans="2:17">
      <c r="B153" s="195" t="str">
        <f t="shared" si="37"/>
        <v/>
      </c>
      <c r="C153" s="507">
        <f>IF(D93="","-",+C152+1)</f>
        <v>2063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53"/>
        <v>0</v>
      </c>
      <c r="G153" s="523">
        <f t="shared" si="54"/>
        <v>0</v>
      </c>
      <c r="H153" s="526">
        <f t="shared" si="51"/>
        <v>0</v>
      </c>
      <c r="I153" s="577">
        <f t="shared" si="52"/>
        <v>0</v>
      </c>
      <c r="J153" s="514">
        <f t="shared" si="55"/>
        <v>0</v>
      </c>
      <c r="K153" s="514"/>
      <c r="L153" s="525"/>
      <c r="M153" s="514">
        <f t="shared" si="56"/>
        <v>0</v>
      </c>
      <c r="N153" s="525"/>
      <c r="O153" s="514">
        <f t="shared" si="57"/>
        <v>0</v>
      </c>
      <c r="P153" s="514">
        <f t="shared" si="58"/>
        <v>0</v>
      </c>
      <c r="Q153" s="269"/>
    </row>
    <row r="154" spans="2:17" ht="13.5" thickBot="1">
      <c r="B154" s="195" t="str">
        <f t="shared" si="37"/>
        <v/>
      </c>
      <c r="C154" s="527">
        <f>IF(D93="","-",+C153+1)</f>
        <v>2064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53"/>
        <v>0</v>
      </c>
      <c r="G154" s="528">
        <f t="shared" si="54"/>
        <v>0</v>
      </c>
      <c r="H154" s="530">
        <f t="shared" si="51"/>
        <v>0</v>
      </c>
      <c r="I154" s="579">
        <f t="shared" si="52"/>
        <v>0</v>
      </c>
      <c r="J154" s="533">
        <f t="shared" si="55"/>
        <v>0</v>
      </c>
      <c r="K154" s="514"/>
      <c r="L154" s="532"/>
      <c r="M154" s="533">
        <f t="shared" si="56"/>
        <v>0</v>
      </c>
      <c r="N154" s="532"/>
      <c r="O154" s="533">
        <f t="shared" si="57"/>
        <v>0</v>
      </c>
      <c r="P154" s="533">
        <f t="shared" si="58"/>
        <v>0</v>
      </c>
      <c r="Q154" s="269"/>
    </row>
    <row r="155" spans="2:17">
      <c r="C155" s="374" t="s">
        <v>78</v>
      </c>
      <c r="D155" s="375"/>
      <c r="E155" s="375">
        <f>SUM(E99:E154)</f>
        <v>8402687.4800000004</v>
      </c>
      <c r="F155" s="375"/>
      <c r="G155" s="375"/>
      <c r="H155" s="375">
        <f>SUM(H99:H154)</f>
        <v>29322299.202408306</v>
      </c>
      <c r="I155" s="375">
        <f>SUM(I99:I154)</f>
        <v>29322299.202408306</v>
      </c>
      <c r="J155" s="375">
        <f>SUM(J99:J154)</f>
        <v>0</v>
      </c>
      <c r="K155" s="375"/>
      <c r="L155" s="375"/>
      <c r="M155" s="375"/>
      <c r="N155" s="375"/>
      <c r="O155" s="375"/>
      <c r="P155" s="269"/>
      <c r="Q155" s="269"/>
    </row>
    <row r="156" spans="2:17"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  <c r="Q156" s="269"/>
    </row>
    <row r="157" spans="2:17">
      <c r="C157" s="580" t="s">
        <v>92</v>
      </c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  <c r="Q157" s="269"/>
    </row>
    <row r="158" spans="2:17"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  <c r="Q158" s="269"/>
    </row>
    <row r="159" spans="2:17">
      <c r="C159" s="534" t="s">
        <v>97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  <c r="Q159" s="269"/>
    </row>
    <row r="160" spans="2:17">
      <c r="C160" s="581" t="s">
        <v>79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  <c r="Q160" s="269"/>
    </row>
    <row r="161" spans="3:17">
      <c r="C161" s="581" t="s">
        <v>80</v>
      </c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  <c r="Q161" s="269"/>
    </row>
    <row r="162" spans="3:17" ht="18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454" t="s">
        <v>131</v>
      </c>
      <c r="Q162" s="269"/>
    </row>
  </sheetData>
  <phoneticPr fontId="0" type="noConversion"/>
  <conditionalFormatting sqref="C17:C72">
    <cfRule type="cellIs" dxfId="159" priority="1" stopIfTrue="1" operator="equal">
      <formula>$I$10</formula>
    </cfRule>
  </conditionalFormatting>
  <conditionalFormatting sqref="C99:C154">
    <cfRule type="cellIs" dxfId="158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Sheet96">
    <tabColor theme="9" tint="-0.249977111117893"/>
  </sheetPr>
  <dimension ref="A1:P162"/>
  <sheetViews>
    <sheetView topLeftCell="A93" zoomScaleNormal="100" zoomScaleSheetLayoutView="82" workbookViewId="0">
      <selection activeCell="D102" sqref="D102:I109"/>
    </sheetView>
  </sheetViews>
  <sheetFormatPr defaultColWidth="8.7109375" defaultRowHeight="12.75" customHeight="1"/>
  <cols>
    <col min="1" max="1" width="4.7109375" style="183" customWidth="1"/>
    <col min="2" max="2" width="6.7109375" style="183" customWidth="1"/>
    <col min="3" max="3" width="23.28515625" style="183" customWidth="1"/>
    <col min="4" max="8" width="17.7109375" style="183" customWidth="1"/>
    <col min="9" max="9" width="20.42578125" style="183" customWidth="1"/>
    <col min="10" max="10" width="16.42578125" style="183" customWidth="1"/>
    <col min="11" max="11" width="17.7109375" style="183" customWidth="1"/>
    <col min="12" max="12" width="16.140625" style="183" customWidth="1"/>
    <col min="13" max="13" width="17.7109375" style="183" customWidth="1"/>
    <col min="14" max="14" width="16.7109375" style="183" customWidth="1"/>
    <col min="15" max="15" width="16.85546875" style="183" customWidth="1"/>
    <col min="16" max="16" width="24.42578125" style="183" customWidth="1"/>
    <col min="17" max="17" width="9.140625" style="183" customWidth="1"/>
    <col min="18" max="22" width="8.7109375" style="183"/>
    <col min="23" max="23" width="9.140625" style="183" customWidth="1"/>
    <col min="24" max="16384" width="8.7109375" style="183"/>
  </cols>
  <sheetData>
    <row r="1" spans="1:16" ht="20.25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47 of 75</v>
      </c>
    </row>
    <row r="2" spans="1:16" ht="18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538" t="s">
        <v>129</v>
      </c>
    </row>
    <row r="3" spans="1:16" ht="18.75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/>
      <c r="P3" s="623">
        <v>1</v>
      </c>
    </row>
    <row r="4" spans="1:16" ht="15.75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6" ht="1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84364.452669168837</v>
      </c>
      <c r="P5" s="269"/>
    </row>
    <row r="6" spans="1:16" ht="15.7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84364.452669168837</v>
      </c>
      <c r="O6" s="269"/>
      <c r="P6" s="269"/>
    </row>
    <row r="7" spans="1:16" ht="13.5" thickBot="1">
      <c r="C7" s="467" t="s">
        <v>48</v>
      </c>
      <c r="D7" s="624" t="s">
        <v>333</v>
      </c>
      <c r="E7" s="587"/>
      <c r="F7" s="587"/>
      <c r="G7" s="587"/>
      <c r="H7" s="59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6" ht="13.5" thickBot="1">
      <c r="C8" s="472"/>
      <c r="D8" s="645" t="s">
        <v>354</v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6" ht="13.5" thickBot="1">
      <c r="C9" s="476" t="s">
        <v>50</v>
      </c>
      <c r="D9" s="477" t="s">
        <v>248</v>
      </c>
      <c r="E9" s="637" t="s">
        <v>395</v>
      </c>
      <c r="F9" s="478"/>
      <c r="G9" s="478"/>
      <c r="H9" s="478"/>
      <c r="I9" s="479"/>
      <c r="J9" s="480"/>
      <c r="O9" s="481"/>
      <c r="P9" s="272"/>
    </row>
    <row r="10" spans="1:16">
      <c r="C10" s="482" t="s">
        <v>51</v>
      </c>
      <c r="D10" s="483">
        <v>787880</v>
      </c>
      <c r="E10" s="353" t="s">
        <v>52</v>
      </c>
      <c r="F10" s="481"/>
      <c r="G10" s="484"/>
      <c r="H10" s="484"/>
      <c r="I10" s="485">
        <f>+'SWE.WS.F.BPU.ATRR.Projected'!L19</f>
        <v>2024</v>
      </c>
      <c r="J10" s="480"/>
      <c r="K10" s="375" t="s">
        <v>53</v>
      </c>
      <c r="O10" s="272"/>
      <c r="P10" s="272"/>
    </row>
    <row r="11" spans="1:16">
      <c r="C11" s="486" t="s">
        <v>54</v>
      </c>
      <c r="D11" s="487">
        <v>2012</v>
      </c>
      <c r="E11" s="486" t="s">
        <v>55</v>
      </c>
      <c r="F11" s="484"/>
      <c r="G11" s="233"/>
      <c r="H11" s="233"/>
      <c r="I11" s="488">
        <f>IF(G5="",0,'SWE.WS.F.BPU.ATRR.Projected'!F$13)</f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6">
      <c r="C12" s="486" t="s">
        <v>56</v>
      </c>
      <c r="D12" s="483">
        <v>2</v>
      </c>
      <c r="E12" s="486" t="s">
        <v>57</v>
      </c>
      <c r="F12" s="484"/>
      <c r="G12" s="233"/>
      <c r="H12" s="233"/>
      <c r="I12" s="490">
        <f>'SWE.WS.F.BPU.ATRR.Projected'!$F$81</f>
        <v>0.11952713165403545</v>
      </c>
      <c r="J12" s="425"/>
      <c r="K12" s="183" t="s">
        <v>58</v>
      </c>
      <c r="O12" s="272"/>
      <c r="P12" s="272"/>
    </row>
    <row r="13" spans="1:16">
      <c r="C13" s="486" t="s">
        <v>59</v>
      </c>
      <c r="D13" s="488">
        <f>+'SWE.WS.F.BPU.ATRR.Projected'!F$93</f>
        <v>44</v>
      </c>
      <c r="E13" s="486" t="s">
        <v>60</v>
      </c>
      <c r="F13" s="484"/>
      <c r="G13" s="233"/>
      <c r="H13" s="233"/>
      <c r="I13" s="490">
        <f>IF(G5="",I12,'SWE.WS.F.BPU.ATRR.Projected'!$F$80)</f>
        <v>0.11952713165403545</v>
      </c>
      <c r="J13" s="425"/>
      <c r="K13" s="375" t="s">
        <v>61</v>
      </c>
      <c r="L13" s="324"/>
      <c r="M13" s="324"/>
      <c r="N13" s="324"/>
      <c r="O13" s="272"/>
      <c r="P13" s="272"/>
    </row>
    <row r="14" spans="1:16" ht="13.5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17906.363636363636</v>
      </c>
      <c r="J14" s="375"/>
      <c r="K14" s="375"/>
      <c r="L14" s="375"/>
      <c r="M14" s="375"/>
      <c r="N14" s="375"/>
      <c r="O14" s="272"/>
      <c r="P14" s="272"/>
    </row>
    <row r="15" spans="1:16" ht="38.25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388</v>
      </c>
      <c r="H15" s="495" t="s">
        <v>389</v>
      </c>
      <c r="I15" s="492" t="s">
        <v>68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6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>
      <c r="C17" s="507">
        <f>IF(D11= "","-",D11)</f>
        <v>2012</v>
      </c>
      <c r="D17" s="629">
        <v>787880</v>
      </c>
      <c r="E17" s="638">
        <v>15632.539682539682</v>
      </c>
      <c r="F17" s="629">
        <v>772247.46031746035</v>
      </c>
      <c r="G17" s="638">
        <v>119816.83704873582</v>
      </c>
      <c r="H17" s="639">
        <v>119816.83704873582</v>
      </c>
      <c r="I17" s="511">
        <v>0</v>
      </c>
      <c r="J17" s="511"/>
      <c r="K17" s="512">
        <f t="shared" ref="K17:K22" si="0">G17</f>
        <v>119816.83704873582</v>
      </c>
      <c r="L17" s="597">
        <f t="shared" ref="L17:L22" si="1">IF(K17&lt;&gt;0,+G17-K17,0)</f>
        <v>0</v>
      </c>
      <c r="M17" s="512">
        <f t="shared" ref="M17:M22" si="2">H17</f>
        <v>119816.83704873582</v>
      </c>
      <c r="N17" s="513">
        <f t="shared" ref="N17:N22" si="3">IF(M17&lt;&gt;0,+H17-M17,0)</f>
        <v>0</v>
      </c>
      <c r="O17" s="514">
        <f t="shared" ref="O17:O22" si="4">+N17-L17</f>
        <v>0</v>
      </c>
      <c r="P17" s="272"/>
    </row>
    <row r="18" spans="2:16">
      <c r="B18" s="195" t="str">
        <f>IF(D18=F17,"","IU")</f>
        <v/>
      </c>
      <c r="C18" s="507">
        <f>IF(D11="","-",+C17+1)</f>
        <v>2013</v>
      </c>
      <c r="D18" s="631">
        <v>772247.46031746035</v>
      </c>
      <c r="E18" s="630">
        <v>18759.047619047618</v>
      </c>
      <c r="F18" s="631">
        <v>753488.41269841278</v>
      </c>
      <c r="G18" s="630">
        <v>120412.55233667219</v>
      </c>
      <c r="H18" s="639">
        <v>120412.55233667219</v>
      </c>
      <c r="I18" s="511">
        <v>0</v>
      </c>
      <c r="J18" s="511"/>
      <c r="K18" s="518">
        <f t="shared" si="0"/>
        <v>120412.55233667219</v>
      </c>
      <c r="L18" s="519">
        <f t="shared" si="1"/>
        <v>0</v>
      </c>
      <c r="M18" s="518">
        <f t="shared" si="2"/>
        <v>120412.55233667219</v>
      </c>
      <c r="N18" s="514">
        <f t="shared" si="3"/>
        <v>0</v>
      </c>
      <c r="O18" s="514">
        <f t="shared" si="4"/>
        <v>0</v>
      </c>
      <c r="P18" s="272"/>
    </row>
    <row r="19" spans="2:16">
      <c r="B19" s="195" t="str">
        <f>IF(D19=F18,"","IU")</f>
        <v/>
      </c>
      <c r="C19" s="507">
        <f>IF(D11="","-",+C18+1)</f>
        <v>2014</v>
      </c>
      <c r="D19" s="631">
        <v>753488.41269841278</v>
      </c>
      <c r="E19" s="630">
        <v>18759.047619047618</v>
      </c>
      <c r="F19" s="631">
        <v>734729.36507936521</v>
      </c>
      <c r="G19" s="630">
        <v>117881.75968810063</v>
      </c>
      <c r="H19" s="639">
        <v>117881.75968810063</v>
      </c>
      <c r="I19" s="511">
        <v>0</v>
      </c>
      <c r="J19" s="511"/>
      <c r="K19" s="518">
        <f t="shared" si="0"/>
        <v>117881.75968810063</v>
      </c>
      <c r="L19" s="519">
        <f t="shared" si="1"/>
        <v>0</v>
      </c>
      <c r="M19" s="518">
        <f t="shared" si="2"/>
        <v>117881.75968810063</v>
      </c>
      <c r="N19" s="514">
        <f t="shared" si="3"/>
        <v>0</v>
      </c>
      <c r="O19" s="514">
        <f t="shared" si="4"/>
        <v>0</v>
      </c>
      <c r="P19" s="272"/>
    </row>
    <row r="20" spans="2:16">
      <c r="B20" s="195" t="str">
        <f t="shared" ref="B20:B72" si="5">IF(D20=F19,"","IU")</f>
        <v/>
      </c>
      <c r="C20" s="507">
        <f>IF(D11="","-",+C19+1)</f>
        <v>2015</v>
      </c>
      <c r="D20" s="631">
        <v>734729.36507936521</v>
      </c>
      <c r="E20" s="630">
        <v>18759.047619047618</v>
      </c>
      <c r="F20" s="631">
        <v>715970.31746031763</v>
      </c>
      <c r="G20" s="630">
        <v>113055.77578424601</v>
      </c>
      <c r="H20" s="639">
        <v>113055.77578424601</v>
      </c>
      <c r="I20" s="511">
        <v>0</v>
      </c>
      <c r="J20" s="511"/>
      <c r="K20" s="518">
        <f t="shared" si="0"/>
        <v>113055.77578424601</v>
      </c>
      <c r="L20" s="519">
        <f t="shared" si="1"/>
        <v>0</v>
      </c>
      <c r="M20" s="518">
        <f t="shared" si="2"/>
        <v>113055.77578424601</v>
      </c>
      <c r="N20" s="514">
        <f t="shared" si="3"/>
        <v>0</v>
      </c>
      <c r="O20" s="514">
        <f t="shared" si="4"/>
        <v>0</v>
      </c>
      <c r="P20" s="272"/>
    </row>
    <row r="21" spans="2:16">
      <c r="B21" s="195" t="str">
        <f t="shared" si="5"/>
        <v/>
      </c>
      <c r="C21" s="507">
        <f>IF(D11="","-",+C20+1)</f>
        <v>2016</v>
      </c>
      <c r="D21" s="631">
        <v>715970.31746031763</v>
      </c>
      <c r="E21" s="630">
        <v>18759.047619047618</v>
      </c>
      <c r="F21" s="631">
        <v>697211.26984127006</v>
      </c>
      <c r="G21" s="630">
        <v>109452.2721829084</v>
      </c>
      <c r="H21" s="639">
        <v>109452.2721829084</v>
      </c>
      <c r="I21" s="511">
        <f t="shared" ref="I21:I33" si="6">H21-G21</f>
        <v>0</v>
      </c>
      <c r="J21" s="511"/>
      <c r="K21" s="518">
        <f t="shared" si="0"/>
        <v>109452.2721829084</v>
      </c>
      <c r="L21" s="519">
        <f t="shared" si="1"/>
        <v>0</v>
      </c>
      <c r="M21" s="518">
        <f t="shared" si="2"/>
        <v>109452.2721829084</v>
      </c>
      <c r="N21" s="514">
        <f t="shared" si="3"/>
        <v>0</v>
      </c>
      <c r="O21" s="514">
        <f t="shared" si="4"/>
        <v>0</v>
      </c>
      <c r="P21" s="272"/>
    </row>
    <row r="22" spans="2:16">
      <c r="B22" s="195" t="str">
        <f t="shared" si="5"/>
        <v/>
      </c>
      <c r="C22" s="507">
        <f>IF(D11="","-",+C21+1)</f>
        <v>2017</v>
      </c>
      <c r="D22" s="631">
        <v>697211.26984127006</v>
      </c>
      <c r="E22" s="630">
        <v>18322.79069767442</v>
      </c>
      <c r="F22" s="631">
        <v>678888.47914359567</v>
      </c>
      <c r="G22" s="630">
        <v>103567.03290299821</v>
      </c>
      <c r="H22" s="639">
        <v>103567.03290299821</v>
      </c>
      <c r="I22" s="511">
        <f t="shared" si="6"/>
        <v>0</v>
      </c>
      <c r="J22" s="511"/>
      <c r="K22" s="518">
        <f t="shared" si="0"/>
        <v>103567.03290299821</v>
      </c>
      <c r="L22" s="519">
        <f t="shared" si="1"/>
        <v>0</v>
      </c>
      <c r="M22" s="518">
        <f t="shared" si="2"/>
        <v>103567.03290299821</v>
      </c>
      <c r="N22" s="514">
        <f t="shared" si="3"/>
        <v>0</v>
      </c>
      <c r="O22" s="514">
        <f t="shared" si="4"/>
        <v>0</v>
      </c>
      <c r="P22" s="272"/>
    </row>
    <row r="23" spans="2:16">
      <c r="B23" s="195" t="str">
        <f t="shared" si="5"/>
        <v/>
      </c>
      <c r="C23" s="507">
        <f>IF(D11="","-",+C22+1)</f>
        <v>2018</v>
      </c>
      <c r="D23" s="631">
        <v>678888.47914359567</v>
      </c>
      <c r="E23" s="630">
        <v>19216.585365853658</v>
      </c>
      <c r="F23" s="631">
        <v>659671.89377774205</v>
      </c>
      <c r="G23" s="630">
        <v>104278.14759460979</v>
      </c>
      <c r="H23" s="639">
        <v>104278.14759460979</v>
      </c>
      <c r="I23" s="511">
        <f t="shared" si="6"/>
        <v>0</v>
      </c>
      <c r="J23" s="511"/>
      <c r="K23" s="518">
        <f t="shared" ref="K23:K28" si="7">G23</f>
        <v>104278.14759460979</v>
      </c>
      <c r="L23" s="519">
        <f t="shared" ref="L23:L28" si="8">IF(K23&lt;&gt;0,+G23-K23,0)</f>
        <v>0</v>
      </c>
      <c r="M23" s="518">
        <f t="shared" ref="M23:M28" si="9">H23</f>
        <v>104278.14759460979</v>
      </c>
      <c r="N23" s="514">
        <f>IF(M23&lt;&gt;0,+H23-M23,0)</f>
        <v>0</v>
      </c>
      <c r="O23" s="514">
        <f>+N23-L23</f>
        <v>0</v>
      </c>
      <c r="P23" s="272"/>
    </row>
    <row r="24" spans="2:16">
      <c r="B24" s="195" t="str">
        <f t="shared" si="5"/>
        <v/>
      </c>
      <c r="C24" s="507">
        <f>IF(D11="","-",+C23+1)</f>
        <v>2019</v>
      </c>
      <c r="D24" s="631">
        <v>659671.89377774205</v>
      </c>
      <c r="E24" s="630">
        <v>19216.585365853658</v>
      </c>
      <c r="F24" s="631">
        <v>640455.30841188843</v>
      </c>
      <c r="G24" s="630">
        <v>101835.83299305863</v>
      </c>
      <c r="H24" s="639">
        <v>101835.83299305863</v>
      </c>
      <c r="I24" s="511">
        <f t="shared" si="6"/>
        <v>0</v>
      </c>
      <c r="J24" s="511"/>
      <c r="K24" s="518">
        <f t="shared" si="7"/>
        <v>101835.83299305863</v>
      </c>
      <c r="L24" s="519">
        <f t="shared" si="8"/>
        <v>0</v>
      </c>
      <c r="M24" s="518">
        <f t="shared" si="9"/>
        <v>101835.83299305863</v>
      </c>
      <c r="N24" s="514">
        <f t="shared" ref="N24:N72" si="10">IF(M24&lt;&gt;0,+H24-M24,0)</f>
        <v>0</v>
      </c>
      <c r="O24" s="514">
        <f t="shared" ref="O24:O72" si="11">+N24-L24</f>
        <v>0</v>
      </c>
      <c r="P24" s="272"/>
    </row>
    <row r="25" spans="2:16">
      <c r="B25" s="195" t="str">
        <f t="shared" si="5"/>
        <v/>
      </c>
      <c r="C25" s="507">
        <f>IF(D11="","-",+C24+1)</f>
        <v>2020</v>
      </c>
      <c r="D25" s="631">
        <v>640455.30841188843</v>
      </c>
      <c r="E25" s="630">
        <v>19216.585365853658</v>
      </c>
      <c r="F25" s="631">
        <v>621238.72304603481</v>
      </c>
      <c r="G25" s="630">
        <v>83774.601936797058</v>
      </c>
      <c r="H25" s="639">
        <v>83774.601936797058</v>
      </c>
      <c r="I25" s="511">
        <f t="shared" si="6"/>
        <v>0</v>
      </c>
      <c r="J25" s="511"/>
      <c r="K25" s="518">
        <f t="shared" si="7"/>
        <v>83774.601936797058</v>
      </c>
      <c r="L25" s="519">
        <f t="shared" si="8"/>
        <v>0</v>
      </c>
      <c r="M25" s="518">
        <f t="shared" si="9"/>
        <v>83774.601936797058</v>
      </c>
      <c r="N25" s="514">
        <f t="shared" si="10"/>
        <v>0</v>
      </c>
      <c r="O25" s="514">
        <f t="shared" si="11"/>
        <v>0</v>
      </c>
      <c r="P25" s="272"/>
    </row>
    <row r="26" spans="2:16">
      <c r="B26" s="195" t="str">
        <f t="shared" si="5"/>
        <v>IU</v>
      </c>
      <c r="C26" s="507">
        <f>IF(D11="","-",+C25+1)</f>
        <v>2021</v>
      </c>
      <c r="D26" s="631">
        <v>622132.5177142137</v>
      </c>
      <c r="E26" s="630">
        <v>18759.047619047618</v>
      </c>
      <c r="F26" s="631">
        <v>603373.47009516612</v>
      </c>
      <c r="G26" s="630">
        <v>83713.649961418851</v>
      </c>
      <c r="H26" s="639">
        <v>83713.649961418851</v>
      </c>
      <c r="I26" s="511">
        <f t="shared" si="6"/>
        <v>0</v>
      </c>
      <c r="J26" s="511"/>
      <c r="K26" s="518">
        <f t="shared" si="7"/>
        <v>83713.649961418851</v>
      </c>
      <c r="L26" s="519">
        <f t="shared" si="8"/>
        <v>0</v>
      </c>
      <c r="M26" s="518">
        <f t="shared" si="9"/>
        <v>83713.649961418851</v>
      </c>
      <c r="N26" s="514">
        <f t="shared" si="10"/>
        <v>0</v>
      </c>
      <c r="O26" s="514">
        <f t="shared" si="11"/>
        <v>0</v>
      </c>
      <c r="P26" s="272"/>
    </row>
    <row r="27" spans="2:16">
      <c r="B27" s="195" t="str">
        <f t="shared" si="5"/>
        <v>IU</v>
      </c>
      <c r="C27" s="507">
        <f>IF(D11="","-",+C26+1)</f>
        <v>2022</v>
      </c>
      <c r="D27" s="631">
        <v>602479.67542698677</v>
      </c>
      <c r="E27" s="630">
        <v>18759.047619047618</v>
      </c>
      <c r="F27" s="631">
        <v>583720.62780793919</v>
      </c>
      <c r="G27" s="630">
        <v>85449.658528885382</v>
      </c>
      <c r="H27" s="639">
        <v>85449.658528885382</v>
      </c>
      <c r="I27" s="511">
        <f t="shared" si="6"/>
        <v>0</v>
      </c>
      <c r="J27" s="511"/>
      <c r="K27" s="518">
        <f t="shared" si="7"/>
        <v>85449.658528885382</v>
      </c>
      <c r="L27" s="519">
        <f t="shared" si="8"/>
        <v>0</v>
      </c>
      <c r="M27" s="518">
        <f t="shared" si="9"/>
        <v>85449.658528885382</v>
      </c>
      <c r="N27" s="514">
        <f t="shared" si="10"/>
        <v>0</v>
      </c>
      <c r="O27" s="514">
        <f t="shared" si="11"/>
        <v>0</v>
      </c>
      <c r="P27" s="272"/>
    </row>
    <row r="28" spans="2:16">
      <c r="B28" s="195" t="str">
        <f t="shared" si="5"/>
        <v/>
      </c>
      <c r="C28" s="507">
        <f>IF(D11="","-",+C27+1)</f>
        <v>2023</v>
      </c>
      <c r="D28" s="631">
        <v>583720.62780793919</v>
      </c>
      <c r="E28" s="630">
        <v>18759.047619047618</v>
      </c>
      <c r="F28" s="631">
        <v>564961.58018889162</v>
      </c>
      <c r="G28" s="630">
        <v>91313.71449184035</v>
      </c>
      <c r="H28" s="639">
        <v>91313.71449184035</v>
      </c>
      <c r="I28" s="511">
        <f t="shared" si="6"/>
        <v>0</v>
      </c>
      <c r="J28" s="511"/>
      <c r="K28" s="518">
        <f t="shared" si="7"/>
        <v>91313.71449184035</v>
      </c>
      <c r="L28" s="519">
        <f t="shared" si="8"/>
        <v>0</v>
      </c>
      <c r="M28" s="518">
        <f t="shared" si="9"/>
        <v>91313.71449184035</v>
      </c>
      <c r="N28" s="514">
        <f t="shared" ref="N28" si="12">IF(M28&lt;&gt;0,+H28-M28,0)</f>
        <v>0</v>
      </c>
      <c r="O28" s="514">
        <f t="shared" ref="O28" si="13">+N28-L28</f>
        <v>0</v>
      </c>
      <c r="P28" s="272"/>
    </row>
    <row r="29" spans="2:16">
      <c r="B29" s="195" t="str">
        <f t="shared" si="5"/>
        <v/>
      </c>
      <c r="C29" s="673">
        <f>IF(D11="","-",+C28+1)</f>
        <v>2024</v>
      </c>
      <c r="D29" s="523">
        <f>IF(F28+SUM(E$17:E28)=D$10,F28,D$10-SUM(E$17:E28))</f>
        <v>564961.58018889162</v>
      </c>
      <c r="E29" s="522">
        <f>IF(+I14&lt;F28,I14,D29)</f>
        <v>17906.363636363636</v>
      </c>
      <c r="F29" s="523">
        <f t="shared" ref="F29:F33" si="14">+D29-E29</f>
        <v>547055.21655252797</v>
      </c>
      <c r="G29" s="524">
        <f t="shared" ref="G29:G53" si="15">+I$12*((D29+F29)/2)+E29</f>
        <v>84364.452669168837</v>
      </c>
      <c r="H29" s="491">
        <f t="shared" ref="H29:H53" si="16">+I$13*((D29+F29)/2)+E29</f>
        <v>84364.452669168837</v>
      </c>
      <c r="I29" s="511">
        <f t="shared" si="6"/>
        <v>0</v>
      </c>
      <c r="J29" s="511"/>
      <c r="K29" s="525"/>
      <c r="L29" s="514">
        <f t="shared" ref="L29:L72" si="17">IF(K29&lt;&gt;0,+G29-K29,0)</f>
        <v>0</v>
      </c>
      <c r="M29" s="525"/>
      <c r="N29" s="514">
        <f t="shared" si="10"/>
        <v>0</v>
      </c>
      <c r="O29" s="514">
        <f t="shared" si="11"/>
        <v>0</v>
      </c>
      <c r="P29" s="272"/>
    </row>
    <row r="30" spans="2:16">
      <c r="B30" s="195" t="str">
        <f t="shared" si="5"/>
        <v/>
      </c>
      <c r="C30" s="507">
        <f>IF(D11="","-",+C29+1)</f>
        <v>2025</v>
      </c>
      <c r="D30" s="523">
        <f>IF(F29+SUM(E$17:E29)=D$10,F29,D$10-SUM(E$17:E29))</f>
        <v>547055.21655252797</v>
      </c>
      <c r="E30" s="522">
        <f>IF(+I14&lt;F29,I14,D30)</f>
        <v>17906.363636363636</v>
      </c>
      <c r="F30" s="523">
        <f t="shared" si="14"/>
        <v>529148.85291616432</v>
      </c>
      <c r="G30" s="524">
        <f t="shared" si="15"/>
        <v>82224.156385360184</v>
      </c>
      <c r="H30" s="491">
        <f t="shared" si="16"/>
        <v>82224.156385360184</v>
      </c>
      <c r="I30" s="511">
        <f t="shared" si="6"/>
        <v>0</v>
      </c>
      <c r="J30" s="511"/>
      <c r="K30" s="525"/>
      <c r="L30" s="514">
        <f t="shared" si="17"/>
        <v>0</v>
      </c>
      <c r="M30" s="525"/>
      <c r="N30" s="514">
        <f t="shared" si="10"/>
        <v>0</v>
      </c>
      <c r="O30" s="514">
        <f t="shared" si="11"/>
        <v>0</v>
      </c>
      <c r="P30" s="272"/>
    </row>
    <row r="31" spans="2:16">
      <c r="B31" s="195" t="str">
        <f t="shared" si="5"/>
        <v/>
      </c>
      <c r="C31" s="507">
        <f>IF(D11="","-",+C30+1)</f>
        <v>2026</v>
      </c>
      <c r="D31" s="523">
        <f>IF(F30+SUM(E$17:E30)=D$10,F30,D$10-SUM(E$17:E30))</f>
        <v>529148.85291616432</v>
      </c>
      <c r="E31" s="522">
        <f>IF(+I14&lt;F30,I14,D31)</f>
        <v>17906.363636363636</v>
      </c>
      <c r="F31" s="523">
        <f t="shared" si="14"/>
        <v>511242.48927980068</v>
      </c>
      <c r="G31" s="524">
        <f t="shared" si="15"/>
        <v>80083.860101551516</v>
      </c>
      <c r="H31" s="491">
        <f t="shared" si="16"/>
        <v>80083.860101551516</v>
      </c>
      <c r="I31" s="511">
        <f t="shared" si="6"/>
        <v>0</v>
      </c>
      <c r="J31" s="511"/>
      <c r="K31" s="525"/>
      <c r="L31" s="514">
        <f t="shared" si="17"/>
        <v>0</v>
      </c>
      <c r="M31" s="525"/>
      <c r="N31" s="514">
        <f t="shared" si="10"/>
        <v>0</v>
      </c>
      <c r="O31" s="514">
        <f t="shared" si="11"/>
        <v>0</v>
      </c>
      <c r="P31" s="272"/>
    </row>
    <row r="32" spans="2:16">
      <c r="B32" s="195" t="str">
        <f t="shared" si="5"/>
        <v/>
      </c>
      <c r="C32" s="507">
        <f>IF(D11="","-",+C31+1)</f>
        <v>2027</v>
      </c>
      <c r="D32" s="523">
        <f>IF(F31+SUM(E$17:E31)=D$10,F31,D$10-SUM(E$17:E31))</f>
        <v>511242.48927980068</v>
      </c>
      <c r="E32" s="522">
        <f>IF(+I14&lt;F31,I14,D32)</f>
        <v>17906.363636363636</v>
      </c>
      <c r="F32" s="523">
        <f t="shared" si="14"/>
        <v>493336.12564343703</v>
      </c>
      <c r="G32" s="524">
        <f t="shared" si="15"/>
        <v>77943.563817742848</v>
      </c>
      <c r="H32" s="491">
        <f t="shared" si="16"/>
        <v>77943.563817742848</v>
      </c>
      <c r="I32" s="511">
        <f t="shared" si="6"/>
        <v>0</v>
      </c>
      <c r="J32" s="511"/>
      <c r="K32" s="525"/>
      <c r="L32" s="514">
        <f t="shared" si="17"/>
        <v>0</v>
      </c>
      <c r="M32" s="525"/>
      <c r="N32" s="514">
        <f t="shared" si="10"/>
        <v>0</v>
      </c>
      <c r="O32" s="514">
        <f t="shared" si="11"/>
        <v>0</v>
      </c>
      <c r="P32" s="272"/>
    </row>
    <row r="33" spans="2:16">
      <c r="B33" s="195" t="str">
        <f t="shared" si="5"/>
        <v/>
      </c>
      <c r="C33" s="507">
        <f>IF(D11="","-",+C32+1)</f>
        <v>2028</v>
      </c>
      <c r="D33" s="523">
        <f>IF(F32+SUM(E$17:E32)=D$10,F32,D$10-SUM(E$17:E32))</f>
        <v>493336.12564343703</v>
      </c>
      <c r="E33" s="522">
        <f>IF(+I14&lt;F32,I14,D33)</f>
        <v>17906.363636363636</v>
      </c>
      <c r="F33" s="523">
        <f t="shared" si="14"/>
        <v>475429.76200707338</v>
      </c>
      <c r="G33" s="524">
        <f t="shared" si="15"/>
        <v>75803.267533934166</v>
      </c>
      <c r="H33" s="491">
        <f t="shared" si="16"/>
        <v>75803.267533934166</v>
      </c>
      <c r="I33" s="511">
        <f t="shared" si="6"/>
        <v>0</v>
      </c>
      <c r="J33" s="511"/>
      <c r="K33" s="525"/>
      <c r="L33" s="514">
        <f t="shared" si="17"/>
        <v>0</v>
      </c>
      <c r="M33" s="525"/>
      <c r="N33" s="514">
        <f t="shared" si="10"/>
        <v>0</v>
      </c>
      <c r="O33" s="514">
        <f t="shared" si="11"/>
        <v>0</v>
      </c>
      <c r="P33" s="272"/>
    </row>
    <row r="34" spans="2:16">
      <c r="B34" s="195" t="str">
        <f t="shared" si="5"/>
        <v/>
      </c>
      <c r="C34" s="507">
        <f>IF(D11="","-",+C33+1)</f>
        <v>2029</v>
      </c>
      <c r="D34" s="523">
        <f>IF(F33+SUM(E$17:E33)=D$10,F33,D$10-SUM(E$17:E33))</f>
        <v>475429.76200707338</v>
      </c>
      <c r="E34" s="522">
        <f>IF(+I14&lt;F33,I14,D34)</f>
        <v>17906.363636363636</v>
      </c>
      <c r="F34" s="523">
        <f t="shared" ref="F34:F72" si="18">+D34-E34</f>
        <v>457523.39837070974</v>
      </c>
      <c r="G34" s="524">
        <f t="shared" si="15"/>
        <v>73662.971250125498</v>
      </c>
      <c r="H34" s="491">
        <f t="shared" si="16"/>
        <v>73662.971250125498</v>
      </c>
      <c r="I34" s="511">
        <f t="shared" ref="I34:I72" si="19">H34-G34</f>
        <v>0</v>
      </c>
      <c r="J34" s="511"/>
      <c r="K34" s="525"/>
      <c r="L34" s="514">
        <f t="shared" si="17"/>
        <v>0</v>
      </c>
      <c r="M34" s="525"/>
      <c r="N34" s="514">
        <f t="shared" si="10"/>
        <v>0</v>
      </c>
      <c r="O34" s="514">
        <f t="shared" si="11"/>
        <v>0</v>
      </c>
      <c r="P34" s="272"/>
    </row>
    <row r="35" spans="2:16">
      <c r="B35" s="195" t="str">
        <f t="shared" si="5"/>
        <v/>
      </c>
      <c r="C35" s="507">
        <f>IF(D11="","-",+C34+1)</f>
        <v>2030</v>
      </c>
      <c r="D35" s="523">
        <f>IF(F34+SUM(E$17:E34)=D$10,F34,D$10-SUM(E$17:E34))</f>
        <v>457523.39837070974</v>
      </c>
      <c r="E35" s="522">
        <f>IF(+I14&lt;F34,I14,D35)</f>
        <v>17906.363636363636</v>
      </c>
      <c r="F35" s="523">
        <f t="shared" si="18"/>
        <v>439617.03473434609</v>
      </c>
      <c r="G35" s="524">
        <f t="shared" si="15"/>
        <v>71522.67496631683</v>
      </c>
      <c r="H35" s="491">
        <f t="shared" si="16"/>
        <v>71522.67496631683</v>
      </c>
      <c r="I35" s="511">
        <f t="shared" si="19"/>
        <v>0</v>
      </c>
      <c r="J35" s="511"/>
      <c r="K35" s="525"/>
      <c r="L35" s="514">
        <f t="shared" si="17"/>
        <v>0</v>
      </c>
      <c r="M35" s="525"/>
      <c r="N35" s="514">
        <f t="shared" si="10"/>
        <v>0</v>
      </c>
      <c r="O35" s="514">
        <f t="shared" si="11"/>
        <v>0</v>
      </c>
      <c r="P35" s="272"/>
    </row>
    <row r="36" spans="2:16">
      <c r="B36" s="195" t="str">
        <f t="shared" si="5"/>
        <v/>
      </c>
      <c r="C36" s="507">
        <f>IF(D11="","-",+C35+1)</f>
        <v>2031</v>
      </c>
      <c r="D36" s="523">
        <f>IF(F35+SUM(E$17:E35)=D$10,F35,D$10-SUM(E$17:E35))</f>
        <v>439617.03473434609</v>
      </c>
      <c r="E36" s="522">
        <f>IF(+I14&lt;F35,I14,D36)</f>
        <v>17906.363636363636</v>
      </c>
      <c r="F36" s="523">
        <f t="shared" si="18"/>
        <v>421710.67109798244</v>
      </c>
      <c r="G36" s="524">
        <f t="shared" si="15"/>
        <v>69382.378682508162</v>
      </c>
      <c r="H36" s="491">
        <f t="shared" si="16"/>
        <v>69382.378682508162</v>
      </c>
      <c r="I36" s="511">
        <f t="shared" si="19"/>
        <v>0</v>
      </c>
      <c r="J36" s="511"/>
      <c r="K36" s="525"/>
      <c r="L36" s="514">
        <f t="shared" si="17"/>
        <v>0</v>
      </c>
      <c r="M36" s="525"/>
      <c r="N36" s="514">
        <f t="shared" si="10"/>
        <v>0</v>
      </c>
      <c r="O36" s="514">
        <f t="shared" si="11"/>
        <v>0</v>
      </c>
      <c r="P36" s="272"/>
    </row>
    <row r="37" spans="2:16">
      <c r="B37" s="195" t="str">
        <f t="shared" si="5"/>
        <v/>
      </c>
      <c r="C37" s="507">
        <f>IF(D11="","-",+C36+1)</f>
        <v>2032</v>
      </c>
      <c r="D37" s="523">
        <f>IF(F36+SUM(E$17:E36)=D$10,F36,D$10-SUM(E$17:E36))</f>
        <v>421710.67109798244</v>
      </c>
      <c r="E37" s="522">
        <f>IF(+I14&lt;F36,I14,D37)</f>
        <v>17906.363636363636</v>
      </c>
      <c r="F37" s="523">
        <f t="shared" si="18"/>
        <v>403804.3074616188</v>
      </c>
      <c r="G37" s="524">
        <f t="shared" si="15"/>
        <v>67242.082398699495</v>
      </c>
      <c r="H37" s="491">
        <f t="shared" si="16"/>
        <v>67242.082398699495</v>
      </c>
      <c r="I37" s="511">
        <f t="shared" si="19"/>
        <v>0</v>
      </c>
      <c r="J37" s="511"/>
      <c r="K37" s="525"/>
      <c r="L37" s="514">
        <f t="shared" si="17"/>
        <v>0</v>
      </c>
      <c r="M37" s="525"/>
      <c r="N37" s="514">
        <f t="shared" si="10"/>
        <v>0</v>
      </c>
      <c r="O37" s="514">
        <f t="shared" si="11"/>
        <v>0</v>
      </c>
      <c r="P37" s="272"/>
    </row>
    <row r="38" spans="2:16">
      <c r="B38" s="195" t="str">
        <f t="shared" si="5"/>
        <v/>
      </c>
      <c r="C38" s="507">
        <f>IF(D11="","-",+C37+1)</f>
        <v>2033</v>
      </c>
      <c r="D38" s="523">
        <f>IF(F37+SUM(E$17:E37)=D$10,F37,D$10-SUM(E$17:E37))</f>
        <v>403804.3074616188</v>
      </c>
      <c r="E38" s="522">
        <f>IF(+I14&lt;F37,I14,D38)</f>
        <v>17906.363636363636</v>
      </c>
      <c r="F38" s="523">
        <f t="shared" si="18"/>
        <v>385897.94382525515</v>
      </c>
      <c r="G38" s="524">
        <f t="shared" si="15"/>
        <v>65101.786114890812</v>
      </c>
      <c r="H38" s="491">
        <f t="shared" si="16"/>
        <v>65101.786114890812</v>
      </c>
      <c r="I38" s="511">
        <f t="shared" si="19"/>
        <v>0</v>
      </c>
      <c r="J38" s="511"/>
      <c r="K38" s="525"/>
      <c r="L38" s="514">
        <f t="shared" si="17"/>
        <v>0</v>
      </c>
      <c r="M38" s="525"/>
      <c r="N38" s="514">
        <f t="shared" si="10"/>
        <v>0</v>
      </c>
      <c r="O38" s="514">
        <f t="shared" si="11"/>
        <v>0</v>
      </c>
      <c r="P38" s="272"/>
    </row>
    <row r="39" spans="2:16">
      <c r="B39" s="195" t="str">
        <f t="shared" si="5"/>
        <v/>
      </c>
      <c r="C39" s="507">
        <f>IF(D11="","-",+C38+1)</f>
        <v>2034</v>
      </c>
      <c r="D39" s="523">
        <f>IF(F38+SUM(E$17:E38)=D$10,F38,D$10-SUM(E$17:E38))</f>
        <v>385897.94382525515</v>
      </c>
      <c r="E39" s="522">
        <f>IF(+I14&lt;F38,I14,D39)</f>
        <v>17906.363636363636</v>
      </c>
      <c r="F39" s="523">
        <f t="shared" si="18"/>
        <v>367991.5801888915</v>
      </c>
      <c r="G39" s="524">
        <f t="shared" si="15"/>
        <v>62961.489831082145</v>
      </c>
      <c r="H39" s="491">
        <f t="shared" si="16"/>
        <v>62961.489831082145</v>
      </c>
      <c r="I39" s="511">
        <f t="shared" si="19"/>
        <v>0</v>
      </c>
      <c r="J39" s="511"/>
      <c r="K39" s="525"/>
      <c r="L39" s="514">
        <f t="shared" si="17"/>
        <v>0</v>
      </c>
      <c r="M39" s="525"/>
      <c r="N39" s="514">
        <f t="shared" si="10"/>
        <v>0</v>
      </c>
      <c r="O39" s="514">
        <f t="shared" si="11"/>
        <v>0</v>
      </c>
      <c r="P39" s="272"/>
    </row>
    <row r="40" spans="2:16">
      <c r="B40" s="195" t="str">
        <f t="shared" si="5"/>
        <v/>
      </c>
      <c r="C40" s="507">
        <f>IF(D11="","-",+C39+1)</f>
        <v>2035</v>
      </c>
      <c r="D40" s="523">
        <f>IF(F39+SUM(E$17:E39)=D$10,F39,D$10-SUM(E$17:E39))</f>
        <v>367991.5801888915</v>
      </c>
      <c r="E40" s="522">
        <f>IF(+I14&lt;F39,I14,D40)</f>
        <v>17906.363636363636</v>
      </c>
      <c r="F40" s="523">
        <f t="shared" si="18"/>
        <v>350085.21655252785</v>
      </c>
      <c r="G40" s="524">
        <f t="shared" si="15"/>
        <v>60821.193547273477</v>
      </c>
      <c r="H40" s="491">
        <f t="shared" si="16"/>
        <v>60821.193547273477</v>
      </c>
      <c r="I40" s="511">
        <f t="shared" si="19"/>
        <v>0</v>
      </c>
      <c r="J40" s="511"/>
      <c r="K40" s="525"/>
      <c r="L40" s="514">
        <f t="shared" si="17"/>
        <v>0</v>
      </c>
      <c r="M40" s="525"/>
      <c r="N40" s="514">
        <f t="shared" si="10"/>
        <v>0</v>
      </c>
      <c r="O40" s="514">
        <f t="shared" si="11"/>
        <v>0</v>
      </c>
      <c r="P40" s="272"/>
    </row>
    <row r="41" spans="2:16">
      <c r="B41" s="195" t="str">
        <f t="shared" si="5"/>
        <v/>
      </c>
      <c r="C41" s="507">
        <f>IF(D11="","-",+C40+1)</f>
        <v>2036</v>
      </c>
      <c r="D41" s="523">
        <f>IF(F40+SUM(E$17:E40)=D$10,F40,D$10-SUM(E$17:E40))</f>
        <v>350085.21655252785</v>
      </c>
      <c r="E41" s="522">
        <f>IF(+I14&lt;F40,I14,D41)</f>
        <v>17906.363636363636</v>
      </c>
      <c r="F41" s="523">
        <f t="shared" si="18"/>
        <v>332178.85291616421</v>
      </c>
      <c r="G41" s="524">
        <f t="shared" si="15"/>
        <v>58680.897263464809</v>
      </c>
      <c r="H41" s="491">
        <f t="shared" si="16"/>
        <v>58680.897263464809</v>
      </c>
      <c r="I41" s="511">
        <f t="shared" si="19"/>
        <v>0</v>
      </c>
      <c r="J41" s="511"/>
      <c r="K41" s="525"/>
      <c r="L41" s="514">
        <f t="shared" si="17"/>
        <v>0</v>
      </c>
      <c r="M41" s="525"/>
      <c r="N41" s="514">
        <f t="shared" si="10"/>
        <v>0</v>
      </c>
      <c r="O41" s="514">
        <f t="shared" si="11"/>
        <v>0</v>
      </c>
      <c r="P41" s="272"/>
    </row>
    <row r="42" spans="2:16">
      <c r="B42" s="195" t="str">
        <f t="shared" si="5"/>
        <v/>
      </c>
      <c r="C42" s="507">
        <f>IF(D11="","-",+C41+1)</f>
        <v>2037</v>
      </c>
      <c r="D42" s="523">
        <f>IF(F41+SUM(E$17:E41)=D$10,F41,D$10-SUM(E$17:E41))</f>
        <v>332178.85291616421</v>
      </c>
      <c r="E42" s="522">
        <f>IF(+I14&lt;F41,I14,D42)</f>
        <v>17906.363636363636</v>
      </c>
      <c r="F42" s="523">
        <f t="shared" si="18"/>
        <v>314272.48927980056</v>
      </c>
      <c r="G42" s="524">
        <f t="shared" si="15"/>
        <v>56540.600979656141</v>
      </c>
      <c r="H42" s="491">
        <f t="shared" si="16"/>
        <v>56540.600979656141</v>
      </c>
      <c r="I42" s="511">
        <f t="shared" si="19"/>
        <v>0</v>
      </c>
      <c r="J42" s="511"/>
      <c r="K42" s="525"/>
      <c r="L42" s="514">
        <f t="shared" si="17"/>
        <v>0</v>
      </c>
      <c r="M42" s="525"/>
      <c r="N42" s="514">
        <f t="shared" si="10"/>
        <v>0</v>
      </c>
      <c r="O42" s="514">
        <f t="shared" si="11"/>
        <v>0</v>
      </c>
      <c r="P42" s="272"/>
    </row>
    <row r="43" spans="2:16">
      <c r="B43" s="195" t="str">
        <f t="shared" si="5"/>
        <v/>
      </c>
      <c r="C43" s="507">
        <f>IF(D11="","-",+C42+1)</f>
        <v>2038</v>
      </c>
      <c r="D43" s="523">
        <f>IF(F42+SUM(E$17:E42)=D$10,F42,D$10-SUM(E$17:E42))</f>
        <v>314272.48927980056</v>
      </c>
      <c r="E43" s="522">
        <f>IF(+I14&lt;F42,I14,D43)</f>
        <v>17906.363636363636</v>
      </c>
      <c r="F43" s="523">
        <f t="shared" si="18"/>
        <v>296366.12564343691</v>
      </c>
      <c r="G43" s="524">
        <f t="shared" si="15"/>
        <v>54400.304695847459</v>
      </c>
      <c r="H43" s="491">
        <f t="shared" si="16"/>
        <v>54400.304695847459</v>
      </c>
      <c r="I43" s="511">
        <f t="shared" si="19"/>
        <v>0</v>
      </c>
      <c r="J43" s="511"/>
      <c r="K43" s="525"/>
      <c r="L43" s="514">
        <f t="shared" si="17"/>
        <v>0</v>
      </c>
      <c r="M43" s="525"/>
      <c r="N43" s="514">
        <f t="shared" si="10"/>
        <v>0</v>
      </c>
      <c r="O43" s="514">
        <f t="shared" si="11"/>
        <v>0</v>
      </c>
      <c r="P43" s="272"/>
    </row>
    <row r="44" spans="2:16">
      <c r="B44" s="195" t="str">
        <f t="shared" si="5"/>
        <v/>
      </c>
      <c r="C44" s="507">
        <f>IF(D11="","-",+C43+1)</f>
        <v>2039</v>
      </c>
      <c r="D44" s="523">
        <f>IF(F43+SUM(E$17:E43)=D$10,F43,D$10-SUM(E$17:E43))</f>
        <v>296366.12564343691</v>
      </c>
      <c r="E44" s="522">
        <f>IF(+I14&lt;F43,I14,D44)</f>
        <v>17906.363636363636</v>
      </c>
      <c r="F44" s="523">
        <f t="shared" si="18"/>
        <v>278459.76200707327</v>
      </c>
      <c r="G44" s="524">
        <f t="shared" si="15"/>
        <v>52260.008412038791</v>
      </c>
      <c r="H44" s="491">
        <f t="shared" si="16"/>
        <v>52260.008412038791</v>
      </c>
      <c r="I44" s="511">
        <f t="shared" si="19"/>
        <v>0</v>
      </c>
      <c r="J44" s="511"/>
      <c r="K44" s="525"/>
      <c r="L44" s="514">
        <f t="shared" si="17"/>
        <v>0</v>
      </c>
      <c r="M44" s="525"/>
      <c r="N44" s="514">
        <f t="shared" si="10"/>
        <v>0</v>
      </c>
      <c r="O44" s="514">
        <f t="shared" si="11"/>
        <v>0</v>
      </c>
      <c r="P44" s="272"/>
    </row>
    <row r="45" spans="2:16">
      <c r="B45" s="195" t="str">
        <f t="shared" si="5"/>
        <v/>
      </c>
      <c r="C45" s="507">
        <f>IF(D11="","-",+C44+1)</f>
        <v>2040</v>
      </c>
      <c r="D45" s="523">
        <f>IF(F44+SUM(E$17:E44)=D$10,F44,D$10-SUM(E$17:E44))</f>
        <v>278459.76200707327</v>
      </c>
      <c r="E45" s="522">
        <f>IF(+I14&lt;F44,I14,D45)</f>
        <v>17906.363636363636</v>
      </c>
      <c r="F45" s="523">
        <f t="shared" si="18"/>
        <v>260553.39837070962</v>
      </c>
      <c r="G45" s="524">
        <f t="shared" si="15"/>
        <v>50119.712128230123</v>
      </c>
      <c r="H45" s="491">
        <f t="shared" si="16"/>
        <v>50119.712128230123</v>
      </c>
      <c r="I45" s="511">
        <f t="shared" si="19"/>
        <v>0</v>
      </c>
      <c r="J45" s="511"/>
      <c r="K45" s="525"/>
      <c r="L45" s="514">
        <f t="shared" si="17"/>
        <v>0</v>
      </c>
      <c r="M45" s="525"/>
      <c r="N45" s="514">
        <f t="shared" si="10"/>
        <v>0</v>
      </c>
      <c r="O45" s="514">
        <f t="shared" si="11"/>
        <v>0</v>
      </c>
      <c r="P45" s="272"/>
    </row>
    <row r="46" spans="2:16">
      <c r="B46" s="195" t="str">
        <f t="shared" si="5"/>
        <v/>
      </c>
      <c r="C46" s="507">
        <f>IF(D11="","-",+C45+1)</f>
        <v>2041</v>
      </c>
      <c r="D46" s="523">
        <f>IF(F45+SUM(E$17:E45)=D$10,F45,D$10-SUM(E$17:E45))</f>
        <v>260553.39837070962</v>
      </c>
      <c r="E46" s="522">
        <f>IF(+I14&lt;F45,I14,D46)</f>
        <v>17906.363636363636</v>
      </c>
      <c r="F46" s="523">
        <f t="shared" si="18"/>
        <v>242647.03473434597</v>
      </c>
      <c r="G46" s="524">
        <f t="shared" si="15"/>
        <v>47979.415844421455</v>
      </c>
      <c r="H46" s="491">
        <f t="shared" si="16"/>
        <v>47979.415844421455</v>
      </c>
      <c r="I46" s="511">
        <f t="shared" si="19"/>
        <v>0</v>
      </c>
      <c r="J46" s="511"/>
      <c r="K46" s="525"/>
      <c r="L46" s="514">
        <f t="shared" si="17"/>
        <v>0</v>
      </c>
      <c r="M46" s="525"/>
      <c r="N46" s="514">
        <f t="shared" si="10"/>
        <v>0</v>
      </c>
      <c r="O46" s="514">
        <f t="shared" si="11"/>
        <v>0</v>
      </c>
      <c r="P46" s="272"/>
    </row>
    <row r="47" spans="2:16">
      <c r="B47" s="195" t="str">
        <f t="shared" si="5"/>
        <v/>
      </c>
      <c r="C47" s="507">
        <f>IF(D11="","-",+C46+1)</f>
        <v>2042</v>
      </c>
      <c r="D47" s="523">
        <f>IF(F46+SUM(E$17:E46)=D$10,F46,D$10-SUM(E$17:E46))</f>
        <v>242647.03473434597</v>
      </c>
      <c r="E47" s="522">
        <f>IF(+I14&lt;F46,I14,D47)</f>
        <v>17906.363636363636</v>
      </c>
      <c r="F47" s="523">
        <f t="shared" si="18"/>
        <v>224740.67109798233</v>
      </c>
      <c r="G47" s="524">
        <f t="shared" si="15"/>
        <v>45839.119560612788</v>
      </c>
      <c r="H47" s="491">
        <f t="shared" si="16"/>
        <v>45839.119560612788</v>
      </c>
      <c r="I47" s="511">
        <f t="shared" si="19"/>
        <v>0</v>
      </c>
      <c r="J47" s="511"/>
      <c r="K47" s="525"/>
      <c r="L47" s="514">
        <f t="shared" si="17"/>
        <v>0</v>
      </c>
      <c r="M47" s="525"/>
      <c r="N47" s="514">
        <f t="shared" si="10"/>
        <v>0</v>
      </c>
      <c r="O47" s="514">
        <f t="shared" si="11"/>
        <v>0</v>
      </c>
      <c r="P47" s="272"/>
    </row>
    <row r="48" spans="2:16">
      <c r="B48" s="195" t="str">
        <f t="shared" si="5"/>
        <v/>
      </c>
      <c r="C48" s="507">
        <f>IF(D11="","-",+C47+1)</f>
        <v>2043</v>
      </c>
      <c r="D48" s="523">
        <f>IF(F47+SUM(E$17:E47)=D$10,F47,D$10-SUM(E$17:E47))</f>
        <v>224740.67109798233</v>
      </c>
      <c r="E48" s="522">
        <f>IF(+I14&lt;F47,I14,D48)</f>
        <v>17906.363636363636</v>
      </c>
      <c r="F48" s="523">
        <f t="shared" si="18"/>
        <v>206834.30746161868</v>
      </c>
      <c r="G48" s="524">
        <f t="shared" si="15"/>
        <v>43698.823276804113</v>
      </c>
      <c r="H48" s="491">
        <f t="shared" si="16"/>
        <v>43698.823276804113</v>
      </c>
      <c r="I48" s="511">
        <f t="shared" si="19"/>
        <v>0</v>
      </c>
      <c r="J48" s="511"/>
      <c r="K48" s="525"/>
      <c r="L48" s="514">
        <f t="shared" si="17"/>
        <v>0</v>
      </c>
      <c r="M48" s="525"/>
      <c r="N48" s="514">
        <f t="shared" si="10"/>
        <v>0</v>
      </c>
      <c r="O48" s="514">
        <f t="shared" si="11"/>
        <v>0</v>
      </c>
      <c r="P48" s="272"/>
    </row>
    <row r="49" spans="2:16">
      <c r="B49" s="195" t="str">
        <f t="shared" si="5"/>
        <v/>
      </c>
      <c r="C49" s="507">
        <f>IF(D11="","-",+C48+1)</f>
        <v>2044</v>
      </c>
      <c r="D49" s="523">
        <f>IF(F48+SUM(E$17:E48)=D$10,F48,D$10-SUM(E$17:E48))</f>
        <v>206834.30746161868</v>
      </c>
      <c r="E49" s="522">
        <f>IF(+I14&lt;F48,I14,D49)</f>
        <v>17906.363636363636</v>
      </c>
      <c r="F49" s="523">
        <f t="shared" si="18"/>
        <v>188927.94382525503</v>
      </c>
      <c r="G49" s="524">
        <f t="shared" si="15"/>
        <v>41558.526992995437</v>
      </c>
      <c r="H49" s="491">
        <f t="shared" si="16"/>
        <v>41558.526992995437</v>
      </c>
      <c r="I49" s="511">
        <f t="shared" si="19"/>
        <v>0</v>
      </c>
      <c r="J49" s="511"/>
      <c r="K49" s="525"/>
      <c r="L49" s="514">
        <f t="shared" si="17"/>
        <v>0</v>
      </c>
      <c r="M49" s="525"/>
      <c r="N49" s="514">
        <f t="shared" si="10"/>
        <v>0</v>
      </c>
      <c r="O49" s="514">
        <f t="shared" si="11"/>
        <v>0</v>
      </c>
      <c r="P49" s="272"/>
    </row>
    <row r="50" spans="2:16">
      <c r="B50" s="195" t="str">
        <f t="shared" si="5"/>
        <v/>
      </c>
      <c r="C50" s="507">
        <f>IF(D11="","-",+C49+1)</f>
        <v>2045</v>
      </c>
      <c r="D50" s="523">
        <f>IF(F49+SUM(E$17:E49)=D$10,F49,D$10-SUM(E$17:E49))</f>
        <v>188927.94382525503</v>
      </c>
      <c r="E50" s="522">
        <f>IF(+I14&lt;F49,I14,D50)</f>
        <v>17906.363636363636</v>
      </c>
      <c r="F50" s="523">
        <f t="shared" si="18"/>
        <v>171021.58018889138</v>
      </c>
      <c r="G50" s="524">
        <f t="shared" si="15"/>
        <v>39418.23070918677</v>
      </c>
      <c r="H50" s="491">
        <f t="shared" si="16"/>
        <v>39418.23070918677</v>
      </c>
      <c r="I50" s="511">
        <f t="shared" si="19"/>
        <v>0</v>
      </c>
      <c r="J50" s="511"/>
      <c r="K50" s="525"/>
      <c r="L50" s="514">
        <f t="shared" si="17"/>
        <v>0</v>
      </c>
      <c r="M50" s="525"/>
      <c r="N50" s="514">
        <f t="shared" si="10"/>
        <v>0</v>
      </c>
      <c r="O50" s="514">
        <f t="shared" si="11"/>
        <v>0</v>
      </c>
      <c r="P50" s="272"/>
    </row>
    <row r="51" spans="2:16">
      <c r="B51" s="195" t="str">
        <f t="shared" si="5"/>
        <v/>
      </c>
      <c r="C51" s="507">
        <f>IF(D11="","-",+C50+1)</f>
        <v>2046</v>
      </c>
      <c r="D51" s="523">
        <f>IF(F50+SUM(E$17:E50)=D$10,F50,D$10-SUM(E$17:E50))</f>
        <v>171021.58018889138</v>
      </c>
      <c r="E51" s="522">
        <f>IF(+I14&lt;F50,I14,D51)</f>
        <v>17906.363636363636</v>
      </c>
      <c r="F51" s="523">
        <f t="shared" si="18"/>
        <v>153115.21655252774</v>
      </c>
      <c r="G51" s="524">
        <f t="shared" si="15"/>
        <v>37277.934425378102</v>
      </c>
      <c r="H51" s="491">
        <f t="shared" si="16"/>
        <v>37277.934425378102</v>
      </c>
      <c r="I51" s="511">
        <f t="shared" si="19"/>
        <v>0</v>
      </c>
      <c r="J51" s="511"/>
      <c r="K51" s="525"/>
      <c r="L51" s="514">
        <f t="shared" si="17"/>
        <v>0</v>
      </c>
      <c r="M51" s="525"/>
      <c r="N51" s="514">
        <f t="shared" si="10"/>
        <v>0</v>
      </c>
      <c r="O51" s="514">
        <f t="shared" si="11"/>
        <v>0</v>
      </c>
      <c r="P51" s="272"/>
    </row>
    <row r="52" spans="2:16">
      <c r="B52" s="195" t="str">
        <f t="shared" si="5"/>
        <v/>
      </c>
      <c r="C52" s="507">
        <f>IF(D11="","-",+C51+1)</f>
        <v>2047</v>
      </c>
      <c r="D52" s="523">
        <f>IF(F51+SUM(E$17:E51)=D$10,F51,D$10-SUM(E$17:E51))</f>
        <v>153115.21655252774</v>
      </c>
      <c r="E52" s="522">
        <f>IF(+I14&lt;F51,I14,D52)</f>
        <v>17906.363636363636</v>
      </c>
      <c r="F52" s="523">
        <f t="shared" si="18"/>
        <v>135208.85291616409</v>
      </c>
      <c r="G52" s="524">
        <f t="shared" si="15"/>
        <v>35137.638141569434</v>
      </c>
      <c r="H52" s="491">
        <f t="shared" si="16"/>
        <v>35137.638141569434</v>
      </c>
      <c r="I52" s="511">
        <f t="shared" si="19"/>
        <v>0</v>
      </c>
      <c r="J52" s="511"/>
      <c r="K52" s="525"/>
      <c r="L52" s="514">
        <f t="shared" si="17"/>
        <v>0</v>
      </c>
      <c r="M52" s="525"/>
      <c r="N52" s="514">
        <f t="shared" si="10"/>
        <v>0</v>
      </c>
      <c r="O52" s="514">
        <f t="shared" si="11"/>
        <v>0</v>
      </c>
      <c r="P52" s="272"/>
    </row>
    <row r="53" spans="2:16">
      <c r="B53" s="195" t="str">
        <f t="shared" si="5"/>
        <v/>
      </c>
      <c r="C53" s="507">
        <f>IF(D11="","-",+C52+1)</f>
        <v>2048</v>
      </c>
      <c r="D53" s="523">
        <f>IF(F52+SUM(E$17:E52)=D$10,F52,D$10-SUM(E$17:E52))</f>
        <v>135208.85291616409</v>
      </c>
      <c r="E53" s="522">
        <f>IF(+I14&lt;F52,I14,D53)</f>
        <v>17906.363636363636</v>
      </c>
      <c r="F53" s="523">
        <f t="shared" si="18"/>
        <v>117302.48927980046</v>
      </c>
      <c r="G53" s="524">
        <f t="shared" si="15"/>
        <v>32997.341857760759</v>
      </c>
      <c r="H53" s="491">
        <f t="shared" si="16"/>
        <v>32997.341857760759</v>
      </c>
      <c r="I53" s="511">
        <f t="shared" si="19"/>
        <v>0</v>
      </c>
      <c r="J53" s="511"/>
      <c r="K53" s="525"/>
      <c r="L53" s="514">
        <f t="shared" si="17"/>
        <v>0</v>
      </c>
      <c r="M53" s="525"/>
      <c r="N53" s="514">
        <f t="shared" si="10"/>
        <v>0</v>
      </c>
      <c r="O53" s="514">
        <f t="shared" si="11"/>
        <v>0</v>
      </c>
      <c r="P53" s="272"/>
    </row>
    <row r="54" spans="2:16">
      <c r="B54" s="195" t="str">
        <f t="shared" si="5"/>
        <v/>
      </c>
      <c r="C54" s="507">
        <f>IF(D11="","-",+C53+1)</f>
        <v>2049</v>
      </c>
      <c r="D54" s="523">
        <f>IF(F53+SUM(E$17:E53)=D$10,F53,D$10-SUM(E$17:E53))</f>
        <v>117302.48927980046</v>
      </c>
      <c r="E54" s="522">
        <f>IF(+I14&lt;F53,I14,D54)</f>
        <v>17906.363636363636</v>
      </c>
      <c r="F54" s="523">
        <f t="shared" si="18"/>
        <v>99396.125643436826</v>
      </c>
      <c r="G54" s="524">
        <f t="shared" ref="G54:G72" si="20">+I$12*((D54+F54)/2)+E54</f>
        <v>30857.045573952091</v>
      </c>
      <c r="H54" s="491">
        <f t="shared" ref="H54:H72" si="21">+I$13*((D54+F54)/2)+E54</f>
        <v>30857.045573952091</v>
      </c>
      <c r="I54" s="511">
        <f t="shared" si="19"/>
        <v>0</v>
      </c>
      <c r="J54" s="511"/>
      <c r="K54" s="525"/>
      <c r="L54" s="514">
        <f t="shared" si="17"/>
        <v>0</v>
      </c>
      <c r="M54" s="525"/>
      <c r="N54" s="514">
        <f t="shared" si="10"/>
        <v>0</v>
      </c>
      <c r="O54" s="514">
        <f t="shared" si="11"/>
        <v>0</v>
      </c>
      <c r="P54" s="272"/>
    </row>
    <row r="55" spans="2:16">
      <c r="B55" s="195" t="str">
        <f t="shared" si="5"/>
        <v/>
      </c>
      <c r="C55" s="507">
        <f>IF(D11="","-",+C54+1)</f>
        <v>2050</v>
      </c>
      <c r="D55" s="523">
        <f>IF(F54+SUM(E$17:E54)=D$10,F54,D$10-SUM(E$17:E54))</f>
        <v>99396.125643436826</v>
      </c>
      <c r="E55" s="522">
        <f>IF(+I14&lt;F54,I14,D55)</f>
        <v>17906.363636363636</v>
      </c>
      <c r="F55" s="523">
        <f t="shared" si="18"/>
        <v>81489.762007073194</v>
      </c>
      <c r="G55" s="524">
        <f t="shared" si="20"/>
        <v>28716.749290143423</v>
      </c>
      <c r="H55" s="491">
        <f t="shared" si="21"/>
        <v>28716.749290143423</v>
      </c>
      <c r="I55" s="511">
        <f t="shared" si="19"/>
        <v>0</v>
      </c>
      <c r="J55" s="511"/>
      <c r="K55" s="525"/>
      <c r="L55" s="514">
        <f t="shared" si="17"/>
        <v>0</v>
      </c>
      <c r="M55" s="525"/>
      <c r="N55" s="514">
        <f t="shared" si="10"/>
        <v>0</v>
      </c>
      <c r="O55" s="514">
        <f t="shared" si="11"/>
        <v>0</v>
      </c>
      <c r="P55" s="272"/>
    </row>
    <row r="56" spans="2:16">
      <c r="B56" s="195" t="str">
        <f t="shared" si="5"/>
        <v/>
      </c>
      <c r="C56" s="507">
        <f>IF(D11="","-",+C55+1)</f>
        <v>2051</v>
      </c>
      <c r="D56" s="523">
        <f>IF(F55+SUM(E$17:E55)=D$10,F55,D$10-SUM(E$17:E55))</f>
        <v>81489.762007073194</v>
      </c>
      <c r="E56" s="522">
        <f>IF(+I14&lt;F55,I14,D56)</f>
        <v>17906.363636363636</v>
      </c>
      <c r="F56" s="523">
        <f t="shared" si="18"/>
        <v>63583.398370709561</v>
      </c>
      <c r="G56" s="524">
        <f t="shared" si="20"/>
        <v>26576.453006334756</v>
      </c>
      <c r="H56" s="491">
        <f t="shared" si="21"/>
        <v>26576.453006334756</v>
      </c>
      <c r="I56" s="511">
        <f t="shared" si="19"/>
        <v>0</v>
      </c>
      <c r="J56" s="511"/>
      <c r="K56" s="525"/>
      <c r="L56" s="514">
        <f t="shared" si="17"/>
        <v>0</v>
      </c>
      <c r="M56" s="525"/>
      <c r="N56" s="514">
        <f t="shared" si="10"/>
        <v>0</v>
      </c>
      <c r="O56" s="514">
        <f t="shared" si="11"/>
        <v>0</v>
      </c>
      <c r="P56" s="272"/>
    </row>
    <row r="57" spans="2:16">
      <c r="B57" s="195" t="str">
        <f t="shared" si="5"/>
        <v/>
      </c>
      <c r="C57" s="507">
        <f>IF(D11="","-",+C56+1)</f>
        <v>2052</v>
      </c>
      <c r="D57" s="523">
        <f>IF(F56+SUM(E$17:E56)=D$10,F56,D$10-SUM(E$17:E56))</f>
        <v>63583.398370709561</v>
      </c>
      <c r="E57" s="522">
        <f>IF(+I14&lt;F56,I14,D57)</f>
        <v>17906.363636363636</v>
      </c>
      <c r="F57" s="523">
        <f t="shared" si="18"/>
        <v>45677.034734345929</v>
      </c>
      <c r="G57" s="524">
        <f t="shared" si="20"/>
        <v>24436.156722526088</v>
      </c>
      <c r="H57" s="491">
        <f t="shared" si="21"/>
        <v>24436.156722526088</v>
      </c>
      <c r="I57" s="511">
        <f t="shared" si="19"/>
        <v>0</v>
      </c>
      <c r="J57" s="511"/>
      <c r="K57" s="525"/>
      <c r="L57" s="514">
        <f t="shared" si="17"/>
        <v>0</v>
      </c>
      <c r="M57" s="525"/>
      <c r="N57" s="514">
        <f t="shared" si="10"/>
        <v>0</v>
      </c>
      <c r="O57" s="514">
        <f t="shared" si="11"/>
        <v>0</v>
      </c>
      <c r="P57" s="272"/>
    </row>
    <row r="58" spans="2:16">
      <c r="B58" s="195" t="str">
        <f t="shared" si="5"/>
        <v/>
      </c>
      <c r="C58" s="507">
        <f>IF(D11="","-",+C57+1)</f>
        <v>2053</v>
      </c>
      <c r="D58" s="523">
        <f>IF(F57+SUM(E$17:E57)=D$10,F57,D$10-SUM(E$17:E57))</f>
        <v>45677.034734345929</v>
      </c>
      <c r="E58" s="522">
        <f>IF(+I14&lt;F57,I14,D58)</f>
        <v>17906.363636363636</v>
      </c>
      <c r="F58" s="523">
        <f t="shared" si="18"/>
        <v>27770.671097982293</v>
      </c>
      <c r="G58" s="524">
        <f t="shared" si="20"/>
        <v>22295.860438717416</v>
      </c>
      <c r="H58" s="491">
        <f t="shared" si="21"/>
        <v>22295.860438717416</v>
      </c>
      <c r="I58" s="511">
        <f t="shared" si="19"/>
        <v>0</v>
      </c>
      <c r="J58" s="511"/>
      <c r="K58" s="525"/>
      <c r="L58" s="514">
        <f t="shared" si="17"/>
        <v>0</v>
      </c>
      <c r="M58" s="525"/>
      <c r="N58" s="514">
        <f t="shared" si="10"/>
        <v>0</v>
      </c>
      <c r="O58" s="514">
        <f t="shared" si="11"/>
        <v>0</v>
      </c>
      <c r="P58" s="272"/>
    </row>
    <row r="59" spans="2:16">
      <c r="B59" s="195" t="str">
        <f t="shared" si="5"/>
        <v/>
      </c>
      <c r="C59" s="507">
        <f>IF(D11="","-",+C58+1)</f>
        <v>2054</v>
      </c>
      <c r="D59" s="523">
        <f>IF(F58+SUM(E$17:E58)=D$10,F58,D$10-SUM(E$17:E58))</f>
        <v>27770.671097982293</v>
      </c>
      <c r="E59" s="522">
        <f>IF(+I14&lt;F58,I14,D59)</f>
        <v>17906.363636363636</v>
      </c>
      <c r="F59" s="523">
        <f t="shared" si="18"/>
        <v>9864.3074616186568</v>
      </c>
      <c r="G59" s="524">
        <f t="shared" si="20"/>
        <v>20155.564154908749</v>
      </c>
      <c r="H59" s="491">
        <f t="shared" si="21"/>
        <v>20155.564154908749</v>
      </c>
      <c r="I59" s="511">
        <f t="shared" si="19"/>
        <v>0</v>
      </c>
      <c r="J59" s="511"/>
      <c r="K59" s="525"/>
      <c r="L59" s="514">
        <f t="shared" si="17"/>
        <v>0</v>
      </c>
      <c r="M59" s="525"/>
      <c r="N59" s="514">
        <f t="shared" si="10"/>
        <v>0</v>
      </c>
      <c r="O59" s="514">
        <f t="shared" si="11"/>
        <v>0</v>
      </c>
      <c r="P59" s="272"/>
    </row>
    <row r="60" spans="2:16">
      <c r="B60" s="195" t="str">
        <f t="shared" si="5"/>
        <v/>
      </c>
      <c r="C60" s="507">
        <f>IF(D11="","-",+C59+1)</f>
        <v>2055</v>
      </c>
      <c r="D60" s="523">
        <f>IF(F59+SUM(E$17:E59)=D$10,F59,D$10-SUM(E$17:E59))</f>
        <v>9864.3074616186568</v>
      </c>
      <c r="E60" s="522">
        <f>IF(+I14&lt;F59,I14,D60)</f>
        <v>9864.3074616186568</v>
      </c>
      <c r="F60" s="523">
        <f t="shared" si="18"/>
        <v>0</v>
      </c>
      <c r="G60" s="524">
        <f t="shared" si="20"/>
        <v>10453.833649939046</v>
      </c>
      <c r="H60" s="491">
        <f t="shared" si="21"/>
        <v>10453.833649939046</v>
      </c>
      <c r="I60" s="511">
        <f t="shared" si="19"/>
        <v>0</v>
      </c>
      <c r="J60" s="511"/>
      <c r="K60" s="525"/>
      <c r="L60" s="514">
        <f t="shared" si="17"/>
        <v>0</v>
      </c>
      <c r="M60" s="525"/>
      <c r="N60" s="514">
        <f t="shared" si="10"/>
        <v>0</v>
      </c>
      <c r="O60" s="514">
        <f t="shared" si="11"/>
        <v>0</v>
      </c>
      <c r="P60" s="272"/>
    </row>
    <row r="61" spans="2:16">
      <c r="B61" s="195" t="str">
        <f t="shared" si="5"/>
        <v/>
      </c>
      <c r="C61" s="507">
        <f>IF(D11="","-",+C60+1)</f>
        <v>2056</v>
      </c>
      <c r="D61" s="523">
        <f>IF(F60+SUM(E$17:E60)=D$10,F60,D$10-SUM(E$17:E60))</f>
        <v>0</v>
      </c>
      <c r="E61" s="522">
        <f>IF(+I14&lt;F60,I14,D61)</f>
        <v>0</v>
      </c>
      <c r="F61" s="523">
        <f t="shared" si="18"/>
        <v>0</v>
      </c>
      <c r="G61" s="526">
        <f t="shared" si="20"/>
        <v>0</v>
      </c>
      <c r="H61" s="491">
        <f t="shared" si="21"/>
        <v>0</v>
      </c>
      <c r="I61" s="511">
        <f t="shared" si="19"/>
        <v>0</v>
      </c>
      <c r="J61" s="511"/>
      <c r="K61" s="525"/>
      <c r="L61" s="514">
        <f t="shared" si="17"/>
        <v>0</v>
      </c>
      <c r="M61" s="525"/>
      <c r="N61" s="514">
        <f t="shared" si="10"/>
        <v>0</v>
      </c>
      <c r="O61" s="514">
        <f t="shared" si="11"/>
        <v>0</v>
      </c>
      <c r="P61" s="272"/>
    </row>
    <row r="62" spans="2:16">
      <c r="B62" s="195" t="str">
        <f t="shared" si="5"/>
        <v/>
      </c>
      <c r="C62" s="507">
        <f>IF(D11="","-",+C61+1)</f>
        <v>2057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18"/>
        <v>0</v>
      </c>
      <c r="G62" s="526">
        <f t="shared" si="20"/>
        <v>0</v>
      </c>
      <c r="H62" s="491">
        <f t="shared" si="21"/>
        <v>0</v>
      </c>
      <c r="I62" s="511">
        <f t="shared" si="19"/>
        <v>0</v>
      </c>
      <c r="J62" s="511"/>
      <c r="K62" s="525"/>
      <c r="L62" s="514">
        <f t="shared" si="17"/>
        <v>0</v>
      </c>
      <c r="M62" s="525"/>
      <c r="N62" s="514">
        <f t="shared" si="10"/>
        <v>0</v>
      </c>
      <c r="O62" s="514">
        <f t="shared" si="11"/>
        <v>0</v>
      </c>
      <c r="P62" s="272"/>
    </row>
    <row r="63" spans="2:16">
      <c r="B63" s="195" t="str">
        <f t="shared" si="5"/>
        <v/>
      </c>
      <c r="C63" s="507">
        <f>IF(D11="","-",+C62+1)</f>
        <v>2058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18"/>
        <v>0</v>
      </c>
      <c r="G63" s="526">
        <f t="shared" si="20"/>
        <v>0</v>
      </c>
      <c r="H63" s="491">
        <f t="shared" si="21"/>
        <v>0</v>
      </c>
      <c r="I63" s="511">
        <f t="shared" si="19"/>
        <v>0</v>
      </c>
      <c r="J63" s="511"/>
      <c r="K63" s="525"/>
      <c r="L63" s="514">
        <f t="shared" si="17"/>
        <v>0</v>
      </c>
      <c r="M63" s="525"/>
      <c r="N63" s="514">
        <f t="shared" si="10"/>
        <v>0</v>
      </c>
      <c r="O63" s="514">
        <f t="shared" si="11"/>
        <v>0</v>
      </c>
      <c r="P63" s="272"/>
    </row>
    <row r="64" spans="2:16">
      <c r="B64" s="195" t="str">
        <f t="shared" si="5"/>
        <v/>
      </c>
      <c r="C64" s="507">
        <f>IF(D11="","-",+C63+1)</f>
        <v>2059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18"/>
        <v>0</v>
      </c>
      <c r="G64" s="526">
        <f t="shared" si="20"/>
        <v>0</v>
      </c>
      <c r="H64" s="491">
        <f t="shared" si="21"/>
        <v>0</v>
      </c>
      <c r="I64" s="511">
        <f t="shared" si="19"/>
        <v>0</v>
      </c>
      <c r="J64" s="511"/>
      <c r="K64" s="525"/>
      <c r="L64" s="514">
        <f t="shared" si="17"/>
        <v>0</v>
      </c>
      <c r="M64" s="525"/>
      <c r="N64" s="514">
        <f t="shared" si="10"/>
        <v>0</v>
      </c>
      <c r="O64" s="514">
        <f t="shared" si="11"/>
        <v>0</v>
      </c>
      <c r="P64" s="272"/>
    </row>
    <row r="65" spans="2:16">
      <c r="B65" s="195" t="str">
        <f t="shared" si="5"/>
        <v/>
      </c>
      <c r="C65" s="507">
        <f>IF(D11="","-",+C64+1)</f>
        <v>2060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18"/>
        <v>0</v>
      </c>
      <c r="G65" s="526">
        <f t="shared" si="20"/>
        <v>0</v>
      </c>
      <c r="H65" s="491">
        <f t="shared" si="21"/>
        <v>0</v>
      </c>
      <c r="I65" s="511">
        <f t="shared" si="19"/>
        <v>0</v>
      </c>
      <c r="J65" s="511"/>
      <c r="K65" s="525"/>
      <c r="L65" s="514">
        <f t="shared" si="17"/>
        <v>0</v>
      </c>
      <c r="M65" s="525"/>
      <c r="N65" s="514">
        <f t="shared" si="10"/>
        <v>0</v>
      </c>
      <c r="O65" s="514">
        <f t="shared" si="11"/>
        <v>0</v>
      </c>
      <c r="P65" s="272"/>
    </row>
    <row r="66" spans="2:16">
      <c r="B66" s="195" t="str">
        <f t="shared" si="5"/>
        <v/>
      </c>
      <c r="C66" s="507">
        <f>IF(D11="","-",+C65+1)</f>
        <v>2061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18"/>
        <v>0</v>
      </c>
      <c r="G66" s="526">
        <f t="shared" si="20"/>
        <v>0</v>
      </c>
      <c r="H66" s="491">
        <f t="shared" si="21"/>
        <v>0</v>
      </c>
      <c r="I66" s="511">
        <f t="shared" si="19"/>
        <v>0</v>
      </c>
      <c r="J66" s="511"/>
      <c r="K66" s="525"/>
      <c r="L66" s="514">
        <f t="shared" si="17"/>
        <v>0</v>
      </c>
      <c r="M66" s="525"/>
      <c r="N66" s="514">
        <f t="shared" si="10"/>
        <v>0</v>
      </c>
      <c r="O66" s="514">
        <f t="shared" si="11"/>
        <v>0</v>
      </c>
      <c r="P66" s="272"/>
    </row>
    <row r="67" spans="2:16">
      <c r="B67" s="195" t="str">
        <f t="shared" si="5"/>
        <v/>
      </c>
      <c r="C67" s="507">
        <f>IF(D11="","-",+C66+1)</f>
        <v>2062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18"/>
        <v>0</v>
      </c>
      <c r="G67" s="526">
        <f t="shared" si="20"/>
        <v>0</v>
      </c>
      <c r="H67" s="491">
        <f t="shared" si="21"/>
        <v>0</v>
      </c>
      <c r="I67" s="511">
        <f t="shared" si="19"/>
        <v>0</v>
      </c>
      <c r="J67" s="511"/>
      <c r="K67" s="525"/>
      <c r="L67" s="514">
        <f t="shared" si="17"/>
        <v>0</v>
      </c>
      <c r="M67" s="525"/>
      <c r="N67" s="514">
        <f t="shared" si="10"/>
        <v>0</v>
      </c>
      <c r="O67" s="514">
        <f t="shared" si="11"/>
        <v>0</v>
      </c>
      <c r="P67" s="272"/>
    </row>
    <row r="68" spans="2:16">
      <c r="B68" s="195" t="str">
        <f t="shared" si="5"/>
        <v/>
      </c>
      <c r="C68" s="507">
        <f>IF(D11="","-",+C67+1)</f>
        <v>2063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18"/>
        <v>0</v>
      </c>
      <c r="G68" s="526">
        <f t="shared" si="20"/>
        <v>0</v>
      </c>
      <c r="H68" s="491">
        <f t="shared" si="21"/>
        <v>0</v>
      </c>
      <c r="I68" s="511">
        <f t="shared" si="19"/>
        <v>0</v>
      </c>
      <c r="J68" s="511"/>
      <c r="K68" s="525"/>
      <c r="L68" s="514">
        <f t="shared" si="17"/>
        <v>0</v>
      </c>
      <c r="M68" s="525"/>
      <c r="N68" s="514">
        <f t="shared" si="10"/>
        <v>0</v>
      </c>
      <c r="O68" s="514">
        <f t="shared" si="11"/>
        <v>0</v>
      </c>
      <c r="P68" s="272"/>
    </row>
    <row r="69" spans="2:16">
      <c r="B69" s="195" t="str">
        <f t="shared" si="5"/>
        <v/>
      </c>
      <c r="C69" s="507">
        <f>IF(D11="","-",+C68+1)</f>
        <v>2064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18"/>
        <v>0</v>
      </c>
      <c r="G69" s="526">
        <f t="shared" si="20"/>
        <v>0</v>
      </c>
      <c r="H69" s="491">
        <f t="shared" si="21"/>
        <v>0</v>
      </c>
      <c r="I69" s="511">
        <f t="shared" si="19"/>
        <v>0</v>
      </c>
      <c r="J69" s="511"/>
      <c r="K69" s="525"/>
      <c r="L69" s="514">
        <f t="shared" si="17"/>
        <v>0</v>
      </c>
      <c r="M69" s="525"/>
      <c r="N69" s="514">
        <f t="shared" si="10"/>
        <v>0</v>
      </c>
      <c r="O69" s="514">
        <f t="shared" si="11"/>
        <v>0</v>
      </c>
      <c r="P69" s="272"/>
    </row>
    <row r="70" spans="2:16">
      <c r="B70" s="195" t="str">
        <f t="shared" si="5"/>
        <v/>
      </c>
      <c r="C70" s="507">
        <f>IF(D11="","-",+C69+1)</f>
        <v>2065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18"/>
        <v>0</v>
      </c>
      <c r="G70" s="526">
        <f t="shared" si="20"/>
        <v>0</v>
      </c>
      <c r="H70" s="491">
        <f t="shared" si="21"/>
        <v>0</v>
      </c>
      <c r="I70" s="511">
        <f t="shared" si="19"/>
        <v>0</v>
      </c>
      <c r="J70" s="511"/>
      <c r="K70" s="525"/>
      <c r="L70" s="514">
        <f t="shared" si="17"/>
        <v>0</v>
      </c>
      <c r="M70" s="525"/>
      <c r="N70" s="514">
        <f t="shared" si="10"/>
        <v>0</v>
      </c>
      <c r="O70" s="514">
        <f t="shared" si="11"/>
        <v>0</v>
      </c>
      <c r="P70" s="272"/>
    </row>
    <row r="71" spans="2:16">
      <c r="B71" s="195" t="str">
        <f t="shared" si="5"/>
        <v/>
      </c>
      <c r="C71" s="507">
        <f>IF(D11="","-",+C70+1)</f>
        <v>2066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18"/>
        <v>0</v>
      </c>
      <c r="G71" s="526">
        <f t="shared" si="20"/>
        <v>0</v>
      </c>
      <c r="H71" s="491">
        <f t="shared" si="21"/>
        <v>0</v>
      </c>
      <c r="I71" s="511">
        <f t="shared" si="19"/>
        <v>0</v>
      </c>
      <c r="J71" s="511"/>
      <c r="K71" s="525"/>
      <c r="L71" s="514">
        <f t="shared" si="17"/>
        <v>0</v>
      </c>
      <c r="M71" s="525"/>
      <c r="N71" s="514">
        <f t="shared" si="10"/>
        <v>0</v>
      </c>
      <c r="O71" s="514">
        <f t="shared" si="11"/>
        <v>0</v>
      </c>
      <c r="P71" s="272"/>
    </row>
    <row r="72" spans="2:16" ht="13.5" thickBot="1">
      <c r="B72" s="195" t="str">
        <f t="shared" si="5"/>
        <v/>
      </c>
      <c r="C72" s="527">
        <f>IF(D11="","-",+C71+1)</f>
        <v>2067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18"/>
        <v>0</v>
      </c>
      <c r="G72" s="530">
        <f t="shared" si="20"/>
        <v>0</v>
      </c>
      <c r="H72" s="471">
        <f t="shared" si="21"/>
        <v>0</v>
      </c>
      <c r="I72" s="531">
        <f t="shared" si="19"/>
        <v>0</v>
      </c>
      <c r="J72" s="511"/>
      <c r="K72" s="532"/>
      <c r="L72" s="533">
        <f t="shared" si="17"/>
        <v>0</v>
      </c>
      <c r="M72" s="532"/>
      <c r="N72" s="533">
        <f t="shared" si="10"/>
        <v>0</v>
      </c>
      <c r="O72" s="533">
        <f t="shared" si="11"/>
        <v>0</v>
      </c>
      <c r="P72" s="272"/>
    </row>
    <row r="73" spans="2:16">
      <c r="C73" s="374" t="s">
        <v>78</v>
      </c>
      <c r="D73" s="375"/>
      <c r="E73" s="375">
        <f>SUM(E17:E72)</f>
        <v>787880.00000000012</v>
      </c>
      <c r="F73" s="375"/>
      <c r="G73" s="375">
        <f>SUM(G17:G72)</f>
        <v>2865065.9298734125</v>
      </c>
      <c r="H73" s="375">
        <f>SUM(H17:H72)</f>
        <v>2865065.9298734125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2:16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2:16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2:16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2:16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272"/>
      <c r="P77" s="272"/>
    </row>
    <row r="78" spans="2:16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2:16"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  <c r="O79" s="269"/>
      <c r="P79" s="269"/>
    </row>
    <row r="80" spans="2:16" ht="18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6">
      <c r="B81" s="269"/>
      <c r="C81" s="340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6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</row>
    <row r="83" spans="1:16" ht="20.25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451" t="str">
        <f ca="1">P1</f>
        <v>SWEPCO Project 47 of 75</v>
      </c>
    </row>
    <row r="84" spans="1:16" ht="18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538" t="s">
        <v>128</v>
      </c>
    </row>
    <row r="85" spans="1:16" ht="18.7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</row>
    <row r="86" spans="1:16" ht="15.75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2022</v>
      </c>
      <c r="M86" s="541" t="s">
        <v>9</v>
      </c>
      <c r="N86" s="542" t="s">
        <v>159</v>
      </c>
      <c r="O86" s="543" t="s">
        <v>11</v>
      </c>
      <c r="P86" s="269"/>
    </row>
    <row r="87" spans="1:16" ht="1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391</v>
      </c>
      <c r="M87" s="546">
        <f>IF(J92&lt;D11,0,VLOOKUP(J92,C17:O72,9))</f>
        <v>85449.658528885382</v>
      </c>
      <c r="N87" s="546">
        <f>IF(J92&lt;D11,0,VLOOKUP(J92,C17:O72,11))</f>
        <v>85449.658528885382</v>
      </c>
      <c r="O87" s="547">
        <f>+N87-M87</f>
        <v>0</v>
      </c>
      <c r="P87" s="269"/>
    </row>
    <row r="88" spans="1:16" ht="15.7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392</v>
      </c>
      <c r="M88" s="550">
        <f>IF(J92&lt;D11,0,VLOOKUP(J92,C99:P154,6))</f>
        <v>94973.637540355339</v>
      </c>
      <c r="N88" s="550">
        <f>IF(J92&lt;D11,0,VLOOKUP(J92,C99:P154,7))</f>
        <v>94973.637540355339</v>
      </c>
      <c r="O88" s="551">
        <f>+N88-M88</f>
        <v>0</v>
      </c>
      <c r="P88" s="269"/>
    </row>
    <row r="89" spans="1:16" ht="13.5" thickBot="1">
      <c r="C89" s="467" t="s">
        <v>84</v>
      </c>
      <c r="D89" s="552" t="str">
        <f>+D7</f>
        <v>FULTON - HOPE 115KV CKT 1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9523.9790114699572</v>
      </c>
      <c r="N89" s="555">
        <f>+N88-N87</f>
        <v>9523.9790114699572</v>
      </c>
      <c r="O89" s="556">
        <f>+O88-O87</f>
        <v>0</v>
      </c>
      <c r="P89" s="269"/>
    </row>
    <row r="90" spans="1:16" ht="13.5" thickBot="1">
      <c r="C90" s="534"/>
      <c r="D90" s="646" t="str">
        <f>S.046!D90</f>
        <v xml:space="preserve">***Sch. 11 recovery commenced in the 2015 rate year.  Beg Bal = to depreciated balance as of 1/1/15. *** </v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</row>
    <row r="91" spans="1:16" ht="13.5" thickBot="1">
      <c r="A91" s="191"/>
      <c r="C91" s="558" t="s">
        <v>85</v>
      </c>
      <c r="D91" s="559" t="str">
        <f>+D9</f>
        <v>TP2006077</v>
      </c>
      <c r="E91" s="560"/>
      <c r="F91" s="560"/>
      <c r="G91" s="560"/>
      <c r="H91" s="560"/>
      <c r="I91" s="560"/>
      <c r="J91" s="560"/>
      <c r="K91" s="562"/>
      <c r="P91" s="481"/>
    </row>
    <row r="92" spans="1:16">
      <c r="C92" s="486" t="s">
        <v>51</v>
      </c>
      <c r="D92" s="628">
        <v>787880</v>
      </c>
      <c r="E92" s="340" t="s">
        <v>86</v>
      </c>
      <c r="H92" s="484"/>
      <c r="I92" s="484"/>
      <c r="J92" s="485">
        <f>+'SWE.WS.G.BPU.ATRR.True-up'!M16</f>
        <v>2022</v>
      </c>
      <c r="K92" s="480"/>
      <c r="L92" s="375" t="s">
        <v>87</v>
      </c>
      <c r="P92" s="272"/>
    </row>
    <row r="93" spans="1:16">
      <c r="C93" s="486" t="s">
        <v>54</v>
      </c>
      <c r="D93" s="563">
        <f>D11</f>
        <v>2012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</row>
    <row r="94" spans="1:16">
      <c r="C94" s="486" t="s">
        <v>56</v>
      </c>
      <c r="D94" s="563">
        <f>D12</f>
        <v>2</v>
      </c>
      <c r="E94" s="486" t="s">
        <v>57</v>
      </c>
      <c r="F94" s="484"/>
      <c r="G94" s="484"/>
      <c r="J94" s="490">
        <f>'SWE.WS.G.BPU.ATRR.True-up'!$F$81</f>
        <v>0.11351422637179906</v>
      </c>
      <c r="K94" s="425"/>
      <c r="L94" s="183" t="s">
        <v>88</v>
      </c>
      <c r="P94" s="272"/>
    </row>
    <row r="95" spans="1:16">
      <c r="C95" s="486" t="s">
        <v>59</v>
      </c>
      <c r="D95" s="488">
        <f>'SWE.WS.G.BPU.ATRR.True-up'!F$93</f>
        <v>41</v>
      </c>
      <c r="E95" s="486" t="s">
        <v>60</v>
      </c>
      <c r="F95" s="484"/>
      <c r="G95" s="484"/>
      <c r="J95" s="490">
        <f>IF(H87="",J94,'SWE.WS.G.BPU.ATRR.True-up'!$F$80)</f>
        <v>0.11351422637179906</v>
      </c>
      <c r="K95" s="324"/>
      <c r="L95" s="375" t="s">
        <v>61</v>
      </c>
      <c r="M95" s="324"/>
      <c r="N95" s="324"/>
      <c r="O95" s="324"/>
      <c r="P95" s="272"/>
    </row>
    <row r="96" spans="1:16" ht="13.5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19216.585365853658</v>
      </c>
      <c r="K96" s="375"/>
      <c r="L96" s="375"/>
      <c r="M96" s="375"/>
      <c r="N96" s="375"/>
      <c r="O96" s="375"/>
      <c r="P96" s="272"/>
    </row>
    <row r="97" spans="1:16" ht="38.25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388</v>
      </c>
      <c r="I97" s="495" t="s">
        <v>389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</row>
    <row r="98" spans="1:16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</row>
    <row r="99" spans="1:16">
      <c r="C99" s="507">
        <f>IF(D93= "","-",D93)</f>
        <v>2012</v>
      </c>
      <c r="D99" s="374"/>
      <c r="E99" s="524"/>
      <c r="F99" s="523"/>
      <c r="G99" s="603"/>
      <c r="H99" s="604"/>
      <c r="I99" s="605"/>
      <c r="J99" s="514"/>
      <c r="K99" s="514"/>
      <c r="L99" s="512"/>
      <c r="M99" s="513">
        <f t="shared" ref="M99:M130" si="22">IF(L99&lt;&gt;0,+H99-L99,0)</f>
        <v>0</v>
      </c>
      <c r="N99" s="512"/>
      <c r="O99" s="513">
        <f t="shared" ref="O99:O130" si="23">IF(N99&lt;&gt;0,+I99-N99,0)</f>
        <v>0</v>
      </c>
      <c r="P99" s="513">
        <f t="shared" ref="P99:P130" si="24">+O99-M99</f>
        <v>0</v>
      </c>
    </row>
    <row r="100" spans="1:16">
      <c r="B100" s="195" t="str">
        <f>IF(D100=F99,"","IU")</f>
        <v/>
      </c>
      <c r="C100" s="507">
        <f>IF(D93="","-",+C99+1)</f>
        <v>2013</v>
      </c>
      <c r="D100" s="374"/>
      <c r="E100" s="522"/>
      <c r="F100" s="523"/>
      <c r="G100" s="523"/>
      <c r="H100" s="526"/>
      <c r="I100" s="577"/>
      <c r="J100" s="514"/>
      <c r="K100" s="514"/>
      <c r="L100" s="518"/>
      <c r="M100" s="514">
        <f t="shared" si="22"/>
        <v>0</v>
      </c>
      <c r="N100" s="518"/>
      <c r="O100" s="514">
        <f t="shared" si="23"/>
        <v>0</v>
      </c>
      <c r="P100" s="514">
        <f t="shared" si="24"/>
        <v>0</v>
      </c>
    </row>
    <row r="101" spans="1:16">
      <c r="B101" s="195" t="str">
        <f t="shared" ref="B101:B154" si="25">IF(D101=F100,"","IU")</f>
        <v/>
      </c>
      <c r="C101" s="507">
        <f>IF(D93="","-",+C100+1)</f>
        <v>2014</v>
      </c>
      <c r="D101" s="374"/>
      <c r="E101" s="522"/>
      <c r="F101" s="523"/>
      <c r="G101" s="523"/>
      <c r="H101" s="526"/>
      <c r="I101" s="577"/>
      <c r="J101" s="514"/>
      <c r="K101" s="514"/>
      <c r="L101" s="518"/>
      <c r="M101" s="514">
        <f t="shared" si="22"/>
        <v>0</v>
      </c>
      <c r="N101" s="518"/>
      <c r="O101" s="514">
        <f t="shared" si="23"/>
        <v>0</v>
      </c>
      <c r="P101" s="514">
        <f t="shared" si="24"/>
        <v>0</v>
      </c>
    </row>
    <row r="102" spans="1:16">
      <c r="B102" s="195" t="str">
        <f t="shared" si="25"/>
        <v>IU</v>
      </c>
      <c r="C102" s="507">
        <f>IF(D93="","-",+C101+1)</f>
        <v>2015</v>
      </c>
      <c r="D102" s="629">
        <v>734729.36507936521</v>
      </c>
      <c r="E102" s="630">
        <v>17493.556311413457</v>
      </c>
      <c r="F102" s="631">
        <v>717235.80876795179</v>
      </c>
      <c r="G102" s="631">
        <v>725982.5869236585</v>
      </c>
      <c r="H102" s="633">
        <v>113155.46714712729</v>
      </c>
      <c r="I102" s="634">
        <v>113155.46714712729</v>
      </c>
      <c r="J102" s="514">
        <f>+I102-H102</f>
        <v>0</v>
      </c>
      <c r="K102" s="514"/>
      <c r="L102" s="518">
        <f t="shared" ref="L102:L107" si="26">+H102</f>
        <v>113155.46714712729</v>
      </c>
      <c r="M102" s="514">
        <f t="shared" si="22"/>
        <v>0</v>
      </c>
      <c r="N102" s="518">
        <f t="shared" ref="N102:N107" si="27">+I102</f>
        <v>113155.46714712729</v>
      </c>
      <c r="O102" s="514">
        <f t="shared" si="23"/>
        <v>0</v>
      </c>
      <c r="P102" s="514">
        <f t="shared" si="24"/>
        <v>0</v>
      </c>
    </row>
    <row r="103" spans="1:16">
      <c r="B103" s="195" t="str">
        <f t="shared" si="25"/>
        <v>IU</v>
      </c>
      <c r="C103" s="507">
        <f>IF(D93="","-",+C102+1)</f>
        <v>2016</v>
      </c>
      <c r="D103" s="629">
        <v>770386.44368858659</v>
      </c>
      <c r="E103" s="630">
        <v>18322.79069767442</v>
      </c>
      <c r="F103" s="631">
        <v>752063.6529909122</v>
      </c>
      <c r="G103" s="631">
        <v>761225.04833974945</v>
      </c>
      <c r="H103" s="633">
        <v>114960.30166921337</v>
      </c>
      <c r="I103" s="634">
        <v>114960.30166921337</v>
      </c>
      <c r="J103" s="514">
        <f>+I103-H103</f>
        <v>0</v>
      </c>
      <c r="K103" s="514"/>
      <c r="L103" s="518">
        <f t="shared" si="26"/>
        <v>114960.30166921337</v>
      </c>
      <c r="M103" s="514">
        <f t="shared" ref="M103:M108" si="28">IF(L103&lt;&gt;0,+H103-L103,0)</f>
        <v>0</v>
      </c>
      <c r="N103" s="518">
        <f t="shared" si="27"/>
        <v>114960.30166921337</v>
      </c>
      <c r="O103" s="514">
        <f>IF(N103&lt;&gt;0,+I103-N103,0)</f>
        <v>0</v>
      </c>
      <c r="P103" s="514">
        <f>+O103-M103</f>
        <v>0</v>
      </c>
    </row>
    <row r="104" spans="1:16">
      <c r="B104" s="195" t="str">
        <f t="shared" si="25"/>
        <v/>
      </c>
      <c r="C104" s="507">
        <f>IF(D93="","-",+C103+1)</f>
        <v>2017</v>
      </c>
      <c r="D104" s="629">
        <v>752063.6529909122</v>
      </c>
      <c r="E104" s="630">
        <v>18759.047619047618</v>
      </c>
      <c r="F104" s="631">
        <v>733304.60537186463</v>
      </c>
      <c r="G104" s="631">
        <v>742684.12918138842</v>
      </c>
      <c r="H104" s="633">
        <v>108973.97138946971</v>
      </c>
      <c r="I104" s="634">
        <v>108973.97138946971</v>
      </c>
      <c r="J104" s="514">
        <f t="shared" ref="J104:J154" si="29">+I104-H104</f>
        <v>0</v>
      </c>
      <c r="K104" s="514"/>
      <c r="L104" s="518">
        <f t="shared" si="26"/>
        <v>108973.97138946971</v>
      </c>
      <c r="M104" s="514">
        <f t="shared" si="28"/>
        <v>0</v>
      </c>
      <c r="N104" s="518">
        <f t="shared" si="27"/>
        <v>108973.97138946971</v>
      </c>
      <c r="O104" s="514">
        <f>IF(N104&lt;&gt;0,+I104-N104,0)</f>
        <v>0</v>
      </c>
      <c r="P104" s="514">
        <f>+O104-M104</f>
        <v>0</v>
      </c>
    </row>
    <row r="105" spans="1:16">
      <c r="B105" s="195" t="str">
        <f t="shared" si="25"/>
        <v/>
      </c>
      <c r="C105" s="507">
        <f>IF(D93="","-",+C104+1)</f>
        <v>2018</v>
      </c>
      <c r="D105" s="629">
        <v>733304.60537186463</v>
      </c>
      <c r="E105" s="630">
        <v>18759.047619047618</v>
      </c>
      <c r="F105" s="631">
        <v>714545.55775281705</v>
      </c>
      <c r="G105" s="631">
        <v>723925.08156234084</v>
      </c>
      <c r="H105" s="633">
        <v>95208.856021995831</v>
      </c>
      <c r="I105" s="634">
        <v>95208.856021995831</v>
      </c>
      <c r="J105" s="514">
        <f t="shared" si="29"/>
        <v>0</v>
      </c>
      <c r="K105" s="514"/>
      <c r="L105" s="518">
        <f t="shared" si="26"/>
        <v>95208.856021995831</v>
      </c>
      <c r="M105" s="514">
        <f t="shared" si="28"/>
        <v>0</v>
      </c>
      <c r="N105" s="518">
        <f t="shared" si="27"/>
        <v>95208.856021995831</v>
      </c>
      <c r="O105" s="514">
        <f>IF(N105&lt;&gt;0,+I105-N105,0)</f>
        <v>0</v>
      </c>
      <c r="P105" s="514">
        <f t="shared" si="24"/>
        <v>0</v>
      </c>
    </row>
    <row r="106" spans="1:16">
      <c r="B106" s="195" t="str">
        <f t="shared" si="25"/>
        <v/>
      </c>
      <c r="C106" s="507">
        <f>IF(D93="","-",+C105+1)</f>
        <v>2019</v>
      </c>
      <c r="D106" s="629">
        <v>714545.55775281705</v>
      </c>
      <c r="E106" s="630">
        <v>18322.79069767442</v>
      </c>
      <c r="F106" s="631">
        <v>696222.76705514267</v>
      </c>
      <c r="G106" s="631">
        <v>705384.1624039798</v>
      </c>
      <c r="H106" s="633">
        <v>93827.496963510814</v>
      </c>
      <c r="I106" s="634">
        <v>93827.496963510814</v>
      </c>
      <c r="J106" s="514">
        <f t="shared" si="29"/>
        <v>0</v>
      </c>
      <c r="K106" s="514"/>
      <c r="L106" s="518">
        <f t="shared" si="26"/>
        <v>93827.496963510814</v>
      </c>
      <c r="M106" s="514">
        <f t="shared" si="28"/>
        <v>0</v>
      </c>
      <c r="N106" s="518">
        <f t="shared" si="27"/>
        <v>93827.496963510814</v>
      </c>
      <c r="O106" s="514">
        <f t="shared" si="23"/>
        <v>0</v>
      </c>
      <c r="P106" s="514">
        <f t="shared" si="24"/>
        <v>0</v>
      </c>
    </row>
    <row r="107" spans="1:16">
      <c r="B107" s="195" t="str">
        <f t="shared" si="25"/>
        <v/>
      </c>
      <c r="C107" s="507">
        <f>IF(D93="","-",+C106+1)</f>
        <v>2020</v>
      </c>
      <c r="D107" s="629">
        <v>696222.76705514267</v>
      </c>
      <c r="E107" s="630">
        <v>18759.047619047618</v>
      </c>
      <c r="F107" s="631">
        <v>677463.7194360951</v>
      </c>
      <c r="G107" s="631">
        <v>686843.24324561888</v>
      </c>
      <c r="H107" s="633">
        <v>92645.407622215163</v>
      </c>
      <c r="I107" s="634">
        <v>92645.407622215163</v>
      </c>
      <c r="J107" s="514">
        <f t="shared" si="29"/>
        <v>0</v>
      </c>
      <c r="K107" s="514"/>
      <c r="L107" s="518">
        <f t="shared" si="26"/>
        <v>92645.407622215163</v>
      </c>
      <c r="M107" s="514">
        <f t="shared" si="28"/>
        <v>0</v>
      </c>
      <c r="N107" s="518">
        <f t="shared" si="27"/>
        <v>92645.407622215163</v>
      </c>
      <c r="O107" s="514">
        <f t="shared" si="23"/>
        <v>0</v>
      </c>
      <c r="P107" s="514">
        <f t="shared" si="24"/>
        <v>0</v>
      </c>
    </row>
    <row r="108" spans="1:16">
      <c r="B108" s="195" t="str">
        <f t="shared" si="25"/>
        <v/>
      </c>
      <c r="C108" s="507">
        <f>IF(D93="","-",+C107+1)</f>
        <v>2021</v>
      </c>
      <c r="D108" s="629">
        <v>677463.7194360951</v>
      </c>
      <c r="E108" s="630">
        <v>19216.585365853658</v>
      </c>
      <c r="F108" s="631">
        <v>658247.13407024147</v>
      </c>
      <c r="G108" s="631">
        <v>667855.42675316823</v>
      </c>
      <c r="H108" s="633">
        <v>95027.677461947256</v>
      </c>
      <c r="I108" s="634">
        <v>95027.677461947256</v>
      </c>
      <c r="J108" s="514">
        <f t="shared" si="29"/>
        <v>0</v>
      </c>
      <c r="K108" s="514"/>
      <c r="L108" s="518">
        <f t="shared" ref="L108" si="30">+H108</f>
        <v>95027.677461947256</v>
      </c>
      <c r="M108" s="514">
        <f t="shared" si="28"/>
        <v>0</v>
      </c>
      <c r="N108" s="518">
        <f t="shared" ref="N108" si="31">+I108</f>
        <v>95027.677461947256</v>
      </c>
      <c r="O108" s="514">
        <f t="shared" ref="O108" si="32">IF(N108&lt;&gt;0,+I108-N108,0)</f>
        <v>0</v>
      </c>
      <c r="P108" s="514">
        <f t="shared" ref="P108" si="33">+O108-M108</f>
        <v>0</v>
      </c>
    </row>
    <row r="109" spans="1:16">
      <c r="B109" s="195" t="str">
        <f t="shared" si="25"/>
        <v/>
      </c>
      <c r="C109" s="673">
        <f>IF(D93="","-",+C108+1)</f>
        <v>2022</v>
      </c>
      <c r="D109" s="374">
        <v>658247.13407024147</v>
      </c>
      <c r="E109" s="522">
        <v>18759.047619047618</v>
      </c>
      <c r="F109" s="523">
        <v>639488.0864511939</v>
      </c>
      <c r="G109" s="523">
        <v>648867.61026071769</v>
      </c>
      <c r="H109" s="526">
        <v>94973.637540355339</v>
      </c>
      <c r="I109" s="577">
        <v>94973.637540355339</v>
      </c>
      <c r="J109" s="514">
        <f t="shared" si="29"/>
        <v>0</v>
      </c>
      <c r="K109" s="514"/>
      <c r="L109" s="525"/>
      <c r="M109" s="514">
        <f t="shared" si="22"/>
        <v>0</v>
      </c>
      <c r="N109" s="525"/>
      <c r="O109" s="514">
        <f t="shared" si="23"/>
        <v>0</v>
      </c>
      <c r="P109" s="514">
        <f t="shared" si="24"/>
        <v>0</v>
      </c>
    </row>
    <row r="110" spans="1:16">
      <c r="B110" s="195" t="str">
        <f t="shared" si="25"/>
        <v/>
      </c>
      <c r="C110" s="507">
        <f>IF(D93="","-",+C109+1)</f>
        <v>2023</v>
      </c>
      <c r="D110" s="374">
        <f>IF(F109+SUM(E$99:E109)=D$92,F109,D$92-SUM(E$99:E109))</f>
        <v>639488.0864511939</v>
      </c>
      <c r="E110" s="522">
        <f t="shared" ref="E110:E154" si="34">IF(+$J$96&lt;F109,$J$96,D110)</f>
        <v>19216.585365853658</v>
      </c>
      <c r="F110" s="523">
        <f t="shared" ref="F110:F154" si="35">+D110-E110</f>
        <v>620271.50108534028</v>
      </c>
      <c r="G110" s="523">
        <f t="shared" ref="G110:G154" si="36">+(F110+D110)/2</f>
        <v>629879.79376826715</v>
      </c>
      <c r="H110" s="526">
        <f t="shared" ref="H110:H154" si="37">+J$94*G110+E110</f>
        <v>90716.902862686838</v>
      </c>
      <c r="I110" s="577">
        <f t="shared" ref="I110:I154" si="38">+J$95*G110+E110</f>
        <v>90716.902862686838</v>
      </c>
      <c r="J110" s="514">
        <f t="shared" si="29"/>
        <v>0</v>
      </c>
      <c r="K110" s="514"/>
      <c r="L110" s="525"/>
      <c r="M110" s="514">
        <f t="shared" si="22"/>
        <v>0</v>
      </c>
      <c r="N110" s="525"/>
      <c r="O110" s="514">
        <f t="shared" si="23"/>
        <v>0</v>
      </c>
      <c r="P110" s="514">
        <f t="shared" si="24"/>
        <v>0</v>
      </c>
    </row>
    <row r="111" spans="1:16">
      <c r="B111" s="195" t="str">
        <f t="shared" si="25"/>
        <v/>
      </c>
      <c r="C111" s="507">
        <f>IF(D93="","-",+C110+1)</f>
        <v>2024</v>
      </c>
      <c r="D111" s="374">
        <f>IF(F110+SUM(E$99:E110)=D$92,F110,D$92-SUM(E$99:E110))</f>
        <v>620271.50108534028</v>
      </c>
      <c r="E111" s="522">
        <f t="shared" si="34"/>
        <v>19216.585365853658</v>
      </c>
      <c r="F111" s="523">
        <f t="shared" si="35"/>
        <v>601054.91571948666</v>
      </c>
      <c r="G111" s="523">
        <f t="shared" si="36"/>
        <v>610663.20840241341</v>
      </c>
      <c r="H111" s="526">
        <f t="shared" si="37"/>
        <v>88535.547041374317</v>
      </c>
      <c r="I111" s="577">
        <f t="shared" si="38"/>
        <v>88535.547041374317</v>
      </c>
      <c r="J111" s="514">
        <f t="shared" si="29"/>
        <v>0</v>
      </c>
      <c r="K111" s="514"/>
      <c r="L111" s="525"/>
      <c r="M111" s="514">
        <f t="shared" si="22"/>
        <v>0</v>
      </c>
      <c r="N111" s="525"/>
      <c r="O111" s="514">
        <f t="shared" si="23"/>
        <v>0</v>
      </c>
      <c r="P111" s="514">
        <f t="shared" si="24"/>
        <v>0</v>
      </c>
    </row>
    <row r="112" spans="1:16">
      <c r="B112" s="195" t="str">
        <f t="shared" si="25"/>
        <v/>
      </c>
      <c r="C112" s="507">
        <f>IF(D93="","-",+C111+1)</f>
        <v>2025</v>
      </c>
      <c r="D112" s="374">
        <f>IF(F111+SUM(E$99:E111)=D$92,F111,D$92-SUM(E$99:E111))</f>
        <v>601054.91571948666</v>
      </c>
      <c r="E112" s="522">
        <f t="shared" si="34"/>
        <v>19216.585365853658</v>
      </c>
      <c r="F112" s="523">
        <f t="shared" si="35"/>
        <v>581838.33035363303</v>
      </c>
      <c r="G112" s="523">
        <f t="shared" si="36"/>
        <v>591446.6230365599</v>
      </c>
      <c r="H112" s="526">
        <f t="shared" si="37"/>
        <v>86354.191220061824</v>
      </c>
      <c r="I112" s="577">
        <f t="shared" si="38"/>
        <v>86354.191220061824</v>
      </c>
      <c r="J112" s="514">
        <f t="shared" si="29"/>
        <v>0</v>
      </c>
      <c r="K112" s="514"/>
      <c r="L112" s="525"/>
      <c r="M112" s="514">
        <f t="shared" si="22"/>
        <v>0</v>
      </c>
      <c r="N112" s="525"/>
      <c r="O112" s="514">
        <f t="shared" si="23"/>
        <v>0</v>
      </c>
      <c r="P112" s="514">
        <f t="shared" si="24"/>
        <v>0</v>
      </c>
    </row>
    <row r="113" spans="2:16">
      <c r="B113" s="195" t="str">
        <f t="shared" si="25"/>
        <v/>
      </c>
      <c r="C113" s="507">
        <f>IF(D93="","-",+C112+1)</f>
        <v>2026</v>
      </c>
      <c r="D113" s="374">
        <f>IF(F112+SUM(E$99:E112)=D$92,F112,D$92-SUM(E$99:E112))</f>
        <v>581838.33035363303</v>
      </c>
      <c r="E113" s="522">
        <f t="shared" si="34"/>
        <v>19216.585365853658</v>
      </c>
      <c r="F113" s="523">
        <f t="shared" si="35"/>
        <v>562621.74498777941</v>
      </c>
      <c r="G113" s="523">
        <f t="shared" si="36"/>
        <v>572230.03767070617</v>
      </c>
      <c r="H113" s="526">
        <f t="shared" si="37"/>
        <v>84172.835398749303</v>
      </c>
      <c r="I113" s="577">
        <f t="shared" si="38"/>
        <v>84172.835398749303</v>
      </c>
      <c r="J113" s="514">
        <f t="shared" si="29"/>
        <v>0</v>
      </c>
      <c r="K113" s="514"/>
      <c r="L113" s="525"/>
      <c r="M113" s="514">
        <f t="shared" si="22"/>
        <v>0</v>
      </c>
      <c r="N113" s="525"/>
      <c r="O113" s="514">
        <f t="shared" si="23"/>
        <v>0</v>
      </c>
      <c r="P113" s="514">
        <f t="shared" si="24"/>
        <v>0</v>
      </c>
    </row>
    <row r="114" spans="2:16">
      <c r="B114" s="195" t="str">
        <f t="shared" si="25"/>
        <v/>
      </c>
      <c r="C114" s="507">
        <f>IF(D93="","-",+C113+1)</f>
        <v>2027</v>
      </c>
      <c r="D114" s="374">
        <f>IF(F113+SUM(E$99:E113)=D$92,F113,D$92-SUM(E$99:E113))</f>
        <v>562621.74498777941</v>
      </c>
      <c r="E114" s="522">
        <f t="shared" si="34"/>
        <v>19216.585365853658</v>
      </c>
      <c r="F114" s="523">
        <f t="shared" si="35"/>
        <v>543405.15962192579</v>
      </c>
      <c r="G114" s="523">
        <f t="shared" si="36"/>
        <v>553013.45230485266</v>
      </c>
      <c r="H114" s="526">
        <f t="shared" si="37"/>
        <v>81991.47957743681</v>
      </c>
      <c r="I114" s="577">
        <f t="shared" si="38"/>
        <v>81991.47957743681</v>
      </c>
      <c r="J114" s="514">
        <f t="shared" si="29"/>
        <v>0</v>
      </c>
      <c r="K114" s="514"/>
      <c r="L114" s="525"/>
      <c r="M114" s="514">
        <f t="shared" si="22"/>
        <v>0</v>
      </c>
      <c r="N114" s="525"/>
      <c r="O114" s="514">
        <f t="shared" si="23"/>
        <v>0</v>
      </c>
      <c r="P114" s="514">
        <f t="shared" si="24"/>
        <v>0</v>
      </c>
    </row>
    <row r="115" spans="2:16">
      <c r="B115" s="195" t="str">
        <f t="shared" si="25"/>
        <v/>
      </c>
      <c r="C115" s="507">
        <f>IF(D93="","-",+C114+1)</f>
        <v>2028</v>
      </c>
      <c r="D115" s="374">
        <f>IF(F114+SUM(E$99:E114)=D$92,F114,D$92-SUM(E$99:E114))</f>
        <v>543405.15962192579</v>
      </c>
      <c r="E115" s="522">
        <f t="shared" si="34"/>
        <v>19216.585365853658</v>
      </c>
      <c r="F115" s="523">
        <f t="shared" si="35"/>
        <v>524188.57425607211</v>
      </c>
      <c r="G115" s="523">
        <f t="shared" si="36"/>
        <v>533796.86693899892</v>
      </c>
      <c r="H115" s="526">
        <f t="shared" si="37"/>
        <v>79810.123756124289</v>
      </c>
      <c r="I115" s="577">
        <f t="shared" si="38"/>
        <v>79810.123756124289</v>
      </c>
      <c r="J115" s="514">
        <f t="shared" si="29"/>
        <v>0</v>
      </c>
      <c r="K115" s="514"/>
      <c r="L115" s="525"/>
      <c r="M115" s="514">
        <f t="shared" si="22"/>
        <v>0</v>
      </c>
      <c r="N115" s="525"/>
      <c r="O115" s="514">
        <f t="shared" si="23"/>
        <v>0</v>
      </c>
      <c r="P115" s="514">
        <f t="shared" si="24"/>
        <v>0</v>
      </c>
    </row>
    <row r="116" spans="2:16">
      <c r="B116" s="195" t="str">
        <f t="shared" si="25"/>
        <v/>
      </c>
      <c r="C116" s="507">
        <f>IF(D93="","-",+C115+1)</f>
        <v>2029</v>
      </c>
      <c r="D116" s="374">
        <f>IF(F115+SUM(E$99:E115)=D$92,F115,D$92-SUM(E$99:E115))</f>
        <v>524188.57425607211</v>
      </c>
      <c r="E116" s="522">
        <f t="shared" si="34"/>
        <v>19216.585365853658</v>
      </c>
      <c r="F116" s="523">
        <f t="shared" si="35"/>
        <v>504971.98889021843</v>
      </c>
      <c r="G116" s="523">
        <f t="shared" si="36"/>
        <v>514580.2815731453</v>
      </c>
      <c r="H116" s="526">
        <f t="shared" si="37"/>
        <v>77628.767934811767</v>
      </c>
      <c r="I116" s="577">
        <f t="shared" si="38"/>
        <v>77628.767934811767</v>
      </c>
      <c r="J116" s="514">
        <f t="shared" si="29"/>
        <v>0</v>
      </c>
      <c r="K116" s="514"/>
      <c r="L116" s="525"/>
      <c r="M116" s="514">
        <f t="shared" si="22"/>
        <v>0</v>
      </c>
      <c r="N116" s="525"/>
      <c r="O116" s="514">
        <f t="shared" si="23"/>
        <v>0</v>
      </c>
      <c r="P116" s="514">
        <f t="shared" si="24"/>
        <v>0</v>
      </c>
    </row>
    <row r="117" spans="2:16">
      <c r="B117" s="195" t="str">
        <f t="shared" si="25"/>
        <v/>
      </c>
      <c r="C117" s="507">
        <f>IF(D93="","-",+C116+1)</f>
        <v>2030</v>
      </c>
      <c r="D117" s="374">
        <f>IF(F116+SUM(E$99:E116)=D$92,F116,D$92-SUM(E$99:E116))</f>
        <v>504971.98889021843</v>
      </c>
      <c r="E117" s="522">
        <f t="shared" si="34"/>
        <v>19216.585365853658</v>
      </c>
      <c r="F117" s="523">
        <f t="shared" si="35"/>
        <v>485755.40352436475</v>
      </c>
      <c r="G117" s="523">
        <f t="shared" si="36"/>
        <v>495363.69620729156</v>
      </c>
      <c r="H117" s="526">
        <f t="shared" si="37"/>
        <v>75447.412113499246</v>
      </c>
      <c r="I117" s="577">
        <f t="shared" si="38"/>
        <v>75447.412113499246</v>
      </c>
      <c r="J117" s="514">
        <f t="shared" si="29"/>
        <v>0</v>
      </c>
      <c r="K117" s="514"/>
      <c r="L117" s="525"/>
      <c r="M117" s="514">
        <f t="shared" si="22"/>
        <v>0</v>
      </c>
      <c r="N117" s="525"/>
      <c r="O117" s="514">
        <f t="shared" si="23"/>
        <v>0</v>
      </c>
      <c r="P117" s="514">
        <f t="shared" si="24"/>
        <v>0</v>
      </c>
    </row>
    <row r="118" spans="2:16">
      <c r="B118" s="195" t="str">
        <f t="shared" si="25"/>
        <v/>
      </c>
      <c r="C118" s="507">
        <f>IF(D93="","-",+C117+1)</f>
        <v>2031</v>
      </c>
      <c r="D118" s="374">
        <f>IF(F117+SUM(E$99:E117)=D$92,F117,D$92-SUM(E$99:E117))</f>
        <v>485755.40352436475</v>
      </c>
      <c r="E118" s="522">
        <f t="shared" si="34"/>
        <v>19216.585365853658</v>
      </c>
      <c r="F118" s="523">
        <f t="shared" si="35"/>
        <v>466538.81815851107</v>
      </c>
      <c r="G118" s="523">
        <f t="shared" si="36"/>
        <v>476147.11084143794</v>
      </c>
      <c r="H118" s="526">
        <f t="shared" si="37"/>
        <v>73266.056292186753</v>
      </c>
      <c r="I118" s="577">
        <f t="shared" si="38"/>
        <v>73266.056292186753</v>
      </c>
      <c r="J118" s="514">
        <f t="shared" si="29"/>
        <v>0</v>
      </c>
      <c r="K118" s="514"/>
      <c r="L118" s="525"/>
      <c r="M118" s="514">
        <f t="shared" si="22"/>
        <v>0</v>
      </c>
      <c r="N118" s="525"/>
      <c r="O118" s="514">
        <f t="shared" si="23"/>
        <v>0</v>
      </c>
      <c r="P118" s="514">
        <f t="shared" si="24"/>
        <v>0</v>
      </c>
    </row>
    <row r="119" spans="2:16">
      <c r="B119" s="195" t="str">
        <f t="shared" si="25"/>
        <v/>
      </c>
      <c r="C119" s="507">
        <f>IF(D93="","-",+C118+1)</f>
        <v>2032</v>
      </c>
      <c r="D119" s="374">
        <f>IF(F118+SUM(E$99:E118)=D$92,F118,D$92-SUM(E$99:E118))</f>
        <v>466538.81815851107</v>
      </c>
      <c r="E119" s="522">
        <f t="shared" si="34"/>
        <v>19216.585365853658</v>
      </c>
      <c r="F119" s="523">
        <f t="shared" si="35"/>
        <v>447322.23279265739</v>
      </c>
      <c r="G119" s="523">
        <f t="shared" si="36"/>
        <v>456930.5254755842</v>
      </c>
      <c r="H119" s="526">
        <f t="shared" si="37"/>
        <v>71084.700470874217</v>
      </c>
      <c r="I119" s="577">
        <f t="shared" si="38"/>
        <v>71084.700470874217</v>
      </c>
      <c r="J119" s="514">
        <f t="shared" si="29"/>
        <v>0</v>
      </c>
      <c r="K119" s="514"/>
      <c r="L119" s="525"/>
      <c r="M119" s="514">
        <f t="shared" si="22"/>
        <v>0</v>
      </c>
      <c r="N119" s="525"/>
      <c r="O119" s="514">
        <f t="shared" si="23"/>
        <v>0</v>
      </c>
      <c r="P119" s="514">
        <f t="shared" si="24"/>
        <v>0</v>
      </c>
    </row>
    <row r="120" spans="2:16">
      <c r="B120" s="195" t="str">
        <f t="shared" si="25"/>
        <v/>
      </c>
      <c r="C120" s="507">
        <f>IF(D93="","-",+C119+1)</f>
        <v>2033</v>
      </c>
      <c r="D120" s="374">
        <f>IF(F119+SUM(E$99:E119)=D$92,F119,D$92-SUM(E$99:E119))</f>
        <v>447322.23279265739</v>
      </c>
      <c r="E120" s="522">
        <f t="shared" si="34"/>
        <v>19216.585365853658</v>
      </c>
      <c r="F120" s="523">
        <f t="shared" si="35"/>
        <v>428105.64742680371</v>
      </c>
      <c r="G120" s="523">
        <f t="shared" si="36"/>
        <v>437713.94010973058</v>
      </c>
      <c r="H120" s="526">
        <f t="shared" si="37"/>
        <v>68903.34464956171</v>
      </c>
      <c r="I120" s="577">
        <f t="shared" si="38"/>
        <v>68903.34464956171</v>
      </c>
      <c r="J120" s="514">
        <f t="shared" si="29"/>
        <v>0</v>
      </c>
      <c r="K120" s="514"/>
      <c r="L120" s="525"/>
      <c r="M120" s="514">
        <f t="shared" si="22"/>
        <v>0</v>
      </c>
      <c r="N120" s="525"/>
      <c r="O120" s="514">
        <f t="shared" si="23"/>
        <v>0</v>
      </c>
      <c r="P120" s="514">
        <f t="shared" si="24"/>
        <v>0</v>
      </c>
    </row>
    <row r="121" spans="2:16">
      <c r="B121" s="195" t="str">
        <f t="shared" si="25"/>
        <v/>
      </c>
      <c r="C121" s="507">
        <f>IF(D93="","-",+C120+1)</f>
        <v>2034</v>
      </c>
      <c r="D121" s="374">
        <f>IF(F120+SUM(E$99:E120)=D$92,F120,D$92-SUM(E$99:E120))</f>
        <v>428105.64742680371</v>
      </c>
      <c r="E121" s="522">
        <f t="shared" si="34"/>
        <v>19216.585365853658</v>
      </c>
      <c r="F121" s="523">
        <f t="shared" si="35"/>
        <v>408889.06206095003</v>
      </c>
      <c r="G121" s="523">
        <f t="shared" si="36"/>
        <v>418497.35474387684</v>
      </c>
      <c r="H121" s="526">
        <f t="shared" si="37"/>
        <v>66721.988828249188</v>
      </c>
      <c r="I121" s="577">
        <f t="shared" si="38"/>
        <v>66721.988828249188</v>
      </c>
      <c r="J121" s="514">
        <f t="shared" si="29"/>
        <v>0</v>
      </c>
      <c r="K121" s="514"/>
      <c r="L121" s="525"/>
      <c r="M121" s="514">
        <f t="shared" si="22"/>
        <v>0</v>
      </c>
      <c r="N121" s="525"/>
      <c r="O121" s="514">
        <f t="shared" si="23"/>
        <v>0</v>
      </c>
      <c r="P121" s="514">
        <f t="shared" si="24"/>
        <v>0</v>
      </c>
    </row>
    <row r="122" spans="2:16">
      <c r="B122" s="195" t="str">
        <f t="shared" si="25"/>
        <v/>
      </c>
      <c r="C122" s="507">
        <f>IF(D93="","-",+C121+1)</f>
        <v>2035</v>
      </c>
      <c r="D122" s="374">
        <f>IF(F121+SUM(E$99:E121)=D$92,F121,D$92-SUM(E$99:E121))</f>
        <v>408889.06206095003</v>
      </c>
      <c r="E122" s="522">
        <f t="shared" si="34"/>
        <v>19216.585365853658</v>
      </c>
      <c r="F122" s="523">
        <f t="shared" si="35"/>
        <v>389672.47669509635</v>
      </c>
      <c r="G122" s="523">
        <f t="shared" si="36"/>
        <v>399280.76937802322</v>
      </c>
      <c r="H122" s="526">
        <f t="shared" si="37"/>
        <v>64540.633006936681</v>
      </c>
      <c r="I122" s="577">
        <f t="shared" si="38"/>
        <v>64540.633006936681</v>
      </c>
      <c r="J122" s="514">
        <f t="shared" si="29"/>
        <v>0</v>
      </c>
      <c r="K122" s="514"/>
      <c r="L122" s="525"/>
      <c r="M122" s="514">
        <f t="shared" si="22"/>
        <v>0</v>
      </c>
      <c r="N122" s="525"/>
      <c r="O122" s="514">
        <f t="shared" si="23"/>
        <v>0</v>
      </c>
      <c r="P122" s="514">
        <f t="shared" si="24"/>
        <v>0</v>
      </c>
    </row>
    <row r="123" spans="2:16">
      <c r="B123" s="195" t="str">
        <f t="shared" si="25"/>
        <v/>
      </c>
      <c r="C123" s="507">
        <f>IF(D93="","-",+C122+1)</f>
        <v>2036</v>
      </c>
      <c r="D123" s="374">
        <f>IF(F122+SUM(E$99:E122)=D$92,F122,D$92-SUM(E$99:E122))</f>
        <v>389672.47669509635</v>
      </c>
      <c r="E123" s="522">
        <f t="shared" si="34"/>
        <v>19216.585365853658</v>
      </c>
      <c r="F123" s="523">
        <f t="shared" si="35"/>
        <v>370455.89132924267</v>
      </c>
      <c r="G123" s="523">
        <f t="shared" si="36"/>
        <v>380064.18401216948</v>
      </c>
      <c r="H123" s="526">
        <f t="shared" si="37"/>
        <v>62359.27718562416</v>
      </c>
      <c r="I123" s="577">
        <f t="shared" si="38"/>
        <v>62359.27718562416</v>
      </c>
      <c r="J123" s="514">
        <f t="shared" si="29"/>
        <v>0</v>
      </c>
      <c r="K123" s="514"/>
      <c r="L123" s="525"/>
      <c r="M123" s="514">
        <f t="shared" si="22"/>
        <v>0</v>
      </c>
      <c r="N123" s="525"/>
      <c r="O123" s="514">
        <f t="shared" si="23"/>
        <v>0</v>
      </c>
      <c r="P123" s="514">
        <f t="shared" si="24"/>
        <v>0</v>
      </c>
    </row>
    <row r="124" spans="2:16">
      <c r="B124" s="195" t="str">
        <f t="shared" si="25"/>
        <v/>
      </c>
      <c r="C124" s="507">
        <f>IF(D93="","-",+C123+1)</f>
        <v>2037</v>
      </c>
      <c r="D124" s="374">
        <f>IF(F123+SUM(E$99:E123)=D$92,F123,D$92-SUM(E$99:E123))</f>
        <v>370455.89132924267</v>
      </c>
      <c r="E124" s="522">
        <f t="shared" si="34"/>
        <v>19216.585365853658</v>
      </c>
      <c r="F124" s="523">
        <f t="shared" si="35"/>
        <v>351239.30596338899</v>
      </c>
      <c r="G124" s="523">
        <f t="shared" si="36"/>
        <v>360847.59864631586</v>
      </c>
      <c r="H124" s="526">
        <f t="shared" si="37"/>
        <v>60177.921364311645</v>
      </c>
      <c r="I124" s="577">
        <f t="shared" si="38"/>
        <v>60177.921364311645</v>
      </c>
      <c r="J124" s="514">
        <f t="shared" si="29"/>
        <v>0</v>
      </c>
      <c r="K124" s="514"/>
      <c r="L124" s="525"/>
      <c r="M124" s="514">
        <f t="shared" si="22"/>
        <v>0</v>
      </c>
      <c r="N124" s="525"/>
      <c r="O124" s="514">
        <f t="shared" si="23"/>
        <v>0</v>
      </c>
      <c r="P124" s="514">
        <f t="shared" si="24"/>
        <v>0</v>
      </c>
    </row>
    <row r="125" spans="2:16">
      <c r="B125" s="195" t="str">
        <f t="shared" si="25"/>
        <v/>
      </c>
      <c r="C125" s="507">
        <f>IF(D93="","-",+C124+1)</f>
        <v>2038</v>
      </c>
      <c r="D125" s="374">
        <f>IF(F124+SUM(E$99:E124)=D$92,F124,D$92-SUM(E$99:E124))</f>
        <v>351239.30596338899</v>
      </c>
      <c r="E125" s="522">
        <f t="shared" si="34"/>
        <v>19216.585365853658</v>
      </c>
      <c r="F125" s="523">
        <f t="shared" si="35"/>
        <v>332022.72059753531</v>
      </c>
      <c r="G125" s="523">
        <f t="shared" si="36"/>
        <v>341631.01328046212</v>
      </c>
      <c r="H125" s="526">
        <f t="shared" si="37"/>
        <v>57996.565542999124</v>
      </c>
      <c r="I125" s="577">
        <f t="shared" si="38"/>
        <v>57996.565542999124</v>
      </c>
      <c r="J125" s="514">
        <f t="shared" si="29"/>
        <v>0</v>
      </c>
      <c r="K125" s="514"/>
      <c r="L125" s="525"/>
      <c r="M125" s="514">
        <f t="shared" si="22"/>
        <v>0</v>
      </c>
      <c r="N125" s="525"/>
      <c r="O125" s="514">
        <f t="shared" si="23"/>
        <v>0</v>
      </c>
      <c r="P125" s="514">
        <f t="shared" si="24"/>
        <v>0</v>
      </c>
    </row>
    <row r="126" spans="2:16">
      <c r="B126" s="195" t="str">
        <f t="shared" si="25"/>
        <v/>
      </c>
      <c r="C126" s="507">
        <f>IF(D93="","-",+C125+1)</f>
        <v>2039</v>
      </c>
      <c r="D126" s="374">
        <f>IF(F125+SUM(E$99:E125)=D$92,F125,D$92-SUM(E$99:E125))</f>
        <v>332022.72059753531</v>
      </c>
      <c r="E126" s="522">
        <f t="shared" si="34"/>
        <v>19216.585365853658</v>
      </c>
      <c r="F126" s="523">
        <f t="shared" si="35"/>
        <v>312806.13523168163</v>
      </c>
      <c r="G126" s="523">
        <f t="shared" si="36"/>
        <v>322414.4279146085</v>
      </c>
      <c r="H126" s="526">
        <f t="shared" si="37"/>
        <v>55815.209721686617</v>
      </c>
      <c r="I126" s="577">
        <f t="shared" si="38"/>
        <v>55815.209721686617</v>
      </c>
      <c r="J126" s="514">
        <f t="shared" si="29"/>
        <v>0</v>
      </c>
      <c r="K126" s="514"/>
      <c r="L126" s="525"/>
      <c r="M126" s="514">
        <f t="shared" si="22"/>
        <v>0</v>
      </c>
      <c r="N126" s="525"/>
      <c r="O126" s="514">
        <f t="shared" si="23"/>
        <v>0</v>
      </c>
      <c r="P126" s="514">
        <f t="shared" si="24"/>
        <v>0</v>
      </c>
    </row>
    <row r="127" spans="2:16">
      <c r="B127" s="195" t="str">
        <f t="shared" si="25"/>
        <v/>
      </c>
      <c r="C127" s="507">
        <f>IF(D93="","-",+C126+1)</f>
        <v>2040</v>
      </c>
      <c r="D127" s="374">
        <f>IF(F126+SUM(E$99:E126)=D$92,F126,D$92-SUM(E$99:E126))</f>
        <v>312806.13523168163</v>
      </c>
      <c r="E127" s="522">
        <f t="shared" si="34"/>
        <v>19216.585365853658</v>
      </c>
      <c r="F127" s="523">
        <f t="shared" si="35"/>
        <v>293589.54986582795</v>
      </c>
      <c r="G127" s="523">
        <f t="shared" si="36"/>
        <v>303197.84254875476</v>
      </c>
      <c r="H127" s="526">
        <f t="shared" si="37"/>
        <v>53633.853900374095</v>
      </c>
      <c r="I127" s="577">
        <f t="shared" si="38"/>
        <v>53633.853900374095</v>
      </c>
      <c r="J127" s="514">
        <f t="shared" si="29"/>
        <v>0</v>
      </c>
      <c r="K127" s="514"/>
      <c r="L127" s="525"/>
      <c r="M127" s="514">
        <f t="shared" si="22"/>
        <v>0</v>
      </c>
      <c r="N127" s="525"/>
      <c r="O127" s="514">
        <f t="shared" si="23"/>
        <v>0</v>
      </c>
      <c r="P127" s="514">
        <f t="shared" si="24"/>
        <v>0</v>
      </c>
    </row>
    <row r="128" spans="2:16">
      <c r="B128" s="195" t="str">
        <f t="shared" si="25"/>
        <v/>
      </c>
      <c r="C128" s="507">
        <f>IF(D93="","-",+C127+1)</f>
        <v>2041</v>
      </c>
      <c r="D128" s="374">
        <f>IF(F127+SUM(E$99:E127)=D$92,F127,D$92-SUM(E$99:E127))</f>
        <v>293589.54986582795</v>
      </c>
      <c r="E128" s="522">
        <f t="shared" si="34"/>
        <v>19216.585365853658</v>
      </c>
      <c r="F128" s="523">
        <f t="shared" si="35"/>
        <v>274372.96449997427</v>
      </c>
      <c r="G128" s="523">
        <f t="shared" si="36"/>
        <v>283981.25718290114</v>
      </c>
      <c r="H128" s="526">
        <f t="shared" si="37"/>
        <v>51452.498079061581</v>
      </c>
      <c r="I128" s="577">
        <f t="shared" si="38"/>
        <v>51452.498079061581</v>
      </c>
      <c r="J128" s="514">
        <f t="shared" si="29"/>
        <v>0</v>
      </c>
      <c r="K128" s="514"/>
      <c r="L128" s="525"/>
      <c r="M128" s="514">
        <f t="shared" si="22"/>
        <v>0</v>
      </c>
      <c r="N128" s="525"/>
      <c r="O128" s="514">
        <f t="shared" si="23"/>
        <v>0</v>
      </c>
      <c r="P128" s="514">
        <f t="shared" si="24"/>
        <v>0</v>
      </c>
    </row>
    <row r="129" spans="2:16">
      <c r="B129" s="195" t="str">
        <f t="shared" si="25"/>
        <v/>
      </c>
      <c r="C129" s="507">
        <f>IF(D93="","-",+C128+1)</f>
        <v>2042</v>
      </c>
      <c r="D129" s="374">
        <f>IF(F128+SUM(E$99:E128)=D$92,F128,D$92-SUM(E$99:E128))</f>
        <v>274372.96449997427</v>
      </c>
      <c r="E129" s="522">
        <f t="shared" si="34"/>
        <v>19216.585365853658</v>
      </c>
      <c r="F129" s="523">
        <f t="shared" si="35"/>
        <v>255156.37913412062</v>
      </c>
      <c r="G129" s="523">
        <f t="shared" si="36"/>
        <v>264764.67181704746</v>
      </c>
      <c r="H129" s="526">
        <f t="shared" si="37"/>
        <v>49271.142257749074</v>
      </c>
      <c r="I129" s="577">
        <f t="shared" si="38"/>
        <v>49271.142257749074</v>
      </c>
      <c r="J129" s="514">
        <f t="shared" si="29"/>
        <v>0</v>
      </c>
      <c r="K129" s="514"/>
      <c r="L129" s="525"/>
      <c r="M129" s="514">
        <f t="shared" si="22"/>
        <v>0</v>
      </c>
      <c r="N129" s="525"/>
      <c r="O129" s="514">
        <f t="shared" si="23"/>
        <v>0</v>
      </c>
      <c r="P129" s="514">
        <f t="shared" si="24"/>
        <v>0</v>
      </c>
    </row>
    <row r="130" spans="2:16">
      <c r="B130" s="195" t="str">
        <f t="shared" si="25"/>
        <v/>
      </c>
      <c r="C130" s="507">
        <f>IF(D93="","-",+C129+1)</f>
        <v>2043</v>
      </c>
      <c r="D130" s="374">
        <f>IF(F129+SUM(E$99:E129)=D$92,F129,D$92-SUM(E$99:E129))</f>
        <v>255156.37913412062</v>
      </c>
      <c r="E130" s="522">
        <f t="shared" si="34"/>
        <v>19216.585365853658</v>
      </c>
      <c r="F130" s="523">
        <f t="shared" si="35"/>
        <v>235939.79376826697</v>
      </c>
      <c r="G130" s="523">
        <f t="shared" si="36"/>
        <v>245548.08645119378</v>
      </c>
      <c r="H130" s="526">
        <f t="shared" si="37"/>
        <v>47089.786436436552</v>
      </c>
      <c r="I130" s="577">
        <f t="shared" si="38"/>
        <v>47089.786436436552</v>
      </c>
      <c r="J130" s="514">
        <f t="shared" si="29"/>
        <v>0</v>
      </c>
      <c r="K130" s="514"/>
      <c r="L130" s="525"/>
      <c r="M130" s="514">
        <f t="shared" si="22"/>
        <v>0</v>
      </c>
      <c r="N130" s="525"/>
      <c r="O130" s="514">
        <f t="shared" si="23"/>
        <v>0</v>
      </c>
      <c r="P130" s="514">
        <f t="shared" si="24"/>
        <v>0</v>
      </c>
    </row>
    <row r="131" spans="2:16">
      <c r="B131" s="195" t="str">
        <f t="shared" si="25"/>
        <v/>
      </c>
      <c r="C131" s="507">
        <f>IF(D93="","-",+C130+1)</f>
        <v>2044</v>
      </c>
      <c r="D131" s="374">
        <f>IF(F130+SUM(E$99:E130)=D$92,F130,D$92-SUM(E$99:E130))</f>
        <v>235939.79376826697</v>
      </c>
      <c r="E131" s="522">
        <f t="shared" si="34"/>
        <v>19216.585365853658</v>
      </c>
      <c r="F131" s="523">
        <f t="shared" si="35"/>
        <v>216723.20840241332</v>
      </c>
      <c r="G131" s="523">
        <f t="shared" si="36"/>
        <v>226331.50108534016</v>
      </c>
      <c r="H131" s="526">
        <f t="shared" si="37"/>
        <v>44908.430615124045</v>
      </c>
      <c r="I131" s="577">
        <f t="shared" si="38"/>
        <v>44908.430615124045</v>
      </c>
      <c r="J131" s="514">
        <f t="shared" si="29"/>
        <v>0</v>
      </c>
      <c r="K131" s="514"/>
      <c r="L131" s="525"/>
      <c r="M131" s="514">
        <f t="shared" ref="M131:M154" si="39">IF(L541&lt;&gt;0,+H541-L541,0)</f>
        <v>0</v>
      </c>
      <c r="N131" s="525"/>
      <c r="O131" s="514">
        <f t="shared" ref="O131:O154" si="40">IF(N541&lt;&gt;0,+I541-N541,0)</f>
        <v>0</v>
      </c>
      <c r="P131" s="514">
        <f t="shared" ref="P131:P154" si="41">+O541-M541</f>
        <v>0</v>
      </c>
    </row>
    <row r="132" spans="2:16">
      <c r="B132" s="195" t="str">
        <f t="shared" si="25"/>
        <v/>
      </c>
      <c r="C132" s="507">
        <f>IF(D93="","-",+C131+1)</f>
        <v>2045</v>
      </c>
      <c r="D132" s="374">
        <f>IF(F131+SUM(E$99:E131)=D$92,F131,D$92-SUM(E$99:E131))</f>
        <v>216723.20840241332</v>
      </c>
      <c r="E132" s="522">
        <f t="shared" si="34"/>
        <v>19216.585365853658</v>
      </c>
      <c r="F132" s="523">
        <f t="shared" si="35"/>
        <v>197506.62303655967</v>
      </c>
      <c r="G132" s="523">
        <f t="shared" si="36"/>
        <v>207114.91571948648</v>
      </c>
      <c r="H132" s="526">
        <f t="shared" si="37"/>
        <v>42727.074793811531</v>
      </c>
      <c r="I132" s="577">
        <f t="shared" si="38"/>
        <v>42727.074793811531</v>
      </c>
      <c r="J132" s="514">
        <f t="shared" si="29"/>
        <v>0</v>
      </c>
      <c r="K132" s="514"/>
      <c r="L132" s="525"/>
      <c r="M132" s="514">
        <f t="shared" si="39"/>
        <v>0</v>
      </c>
      <c r="N132" s="525"/>
      <c r="O132" s="514">
        <f t="shared" si="40"/>
        <v>0</v>
      </c>
      <c r="P132" s="514">
        <f t="shared" si="41"/>
        <v>0</v>
      </c>
    </row>
    <row r="133" spans="2:16">
      <c r="B133" s="195" t="str">
        <f t="shared" si="25"/>
        <v/>
      </c>
      <c r="C133" s="507">
        <f>IF(D93="","-",+C132+1)</f>
        <v>2046</v>
      </c>
      <c r="D133" s="374">
        <f>IF(F132+SUM(E$99:E132)=D$92,F132,D$92-SUM(E$99:E132))</f>
        <v>197506.62303655967</v>
      </c>
      <c r="E133" s="522">
        <f t="shared" si="34"/>
        <v>19216.585365853658</v>
      </c>
      <c r="F133" s="523">
        <f t="shared" si="35"/>
        <v>178290.03767070602</v>
      </c>
      <c r="G133" s="523">
        <f t="shared" si="36"/>
        <v>187898.33035363286</v>
      </c>
      <c r="H133" s="526">
        <f t="shared" si="37"/>
        <v>40545.718972499017</v>
      </c>
      <c r="I133" s="577">
        <f t="shared" si="38"/>
        <v>40545.718972499017</v>
      </c>
      <c r="J133" s="514">
        <f t="shared" si="29"/>
        <v>0</v>
      </c>
      <c r="K133" s="514"/>
      <c r="L133" s="525"/>
      <c r="M133" s="514">
        <f t="shared" si="39"/>
        <v>0</v>
      </c>
      <c r="N133" s="525"/>
      <c r="O133" s="514">
        <f t="shared" si="40"/>
        <v>0</v>
      </c>
      <c r="P133" s="514">
        <f t="shared" si="41"/>
        <v>0</v>
      </c>
    </row>
    <row r="134" spans="2:16">
      <c r="B134" s="195" t="str">
        <f t="shared" si="25"/>
        <v/>
      </c>
      <c r="C134" s="507">
        <f>IF(D93="","-",+C133+1)</f>
        <v>2047</v>
      </c>
      <c r="D134" s="374">
        <f>IF(F133+SUM(E$99:E133)=D$92,F133,D$92-SUM(E$99:E133))</f>
        <v>178290.03767070602</v>
      </c>
      <c r="E134" s="522">
        <f t="shared" si="34"/>
        <v>19216.585365853658</v>
      </c>
      <c r="F134" s="523">
        <f t="shared" si="35"/>
        <v>159073.45230485237</v>
      </c>
      <c r="G134" s="523">
        <f t="shared" si="36"/>
        <v>168681.74498777918</v>
      </c>
      <c r="H134" s="526">
        <f t="shared" si="37"/>
        <v>38364.36315118651</v>
      </c>
      <c r="I134" s="577">
        <f t="shared" si="38"/>
        <v>38364.36315118651</v>
      </c>
      <c r="J134" s="514">
        <f t="shared" si="29"/>
        <v>0</v>
      </c>
      <c r="K134" s="514"/>
      <c r="L134" s="525"/>
      <c r="M134" s="514">
        <f t="shared" si="39"/>
        <v>0</v>
      </c>
      <c r="N134" s="525"/>
      <c r="O134" s="514">
        <f t="shared" si="40"/>
        <v>0</v>
      </c>
      <c r="P134" s="514">
        <f t="shared" si="41"/>
        <v>0</v>
      </c>
    </row>
    <row r="135" spans="2:16">
      <c r="B135" s="195" t="str">
        <f t="shared" si="25"/>
        <v/>
      </c>
      <c r="C135" s="507">
        <f>IF(D93="","-",+C134+1)</f>
        <v>2048</v>
      </c>
      <c r="D135" s="374">
        <f>IF(F134+SUM(E$99:E134)=D$92,F134,D$92-SUM(E$99:E134))</f>
        <v>159073.45230485237</v>
      </c>
      <c r="E135" s="522">
        <f t="shared" si="34"/>
        <v>19216.585365853658</v>
      </c>
      <c r="F135" s="523">
        <f t="shared" si="35"/>
        <v>139856.86693899872</v>
      </c>
      <c r="G135" s="523">
        <f t="shared" si="36"/>
        <v>149465.15962192556</v>
      </c>
      <c r="H135" s="526">
        <f t="shared" si="37"/>
        <v>36183.007329873995</v>
      </c>
      <c r="I135" s="577">
        <f t="shared" si="38"/>
        <v>36183.007329873995</v>
      </c>
      <c r="J135" s="514">
        <f t="shared" si="29"/>
        <v>0</v>
      </c>
      <c r="K135" s="514"/>
      <c r="L135" s="525"/>
      <c r="M135" s="514">
        <f t="shared" si="39"/>
        <v>0</v>
      </c>
      <c r="N135" s="525"/>
      <c r="O135" s="514">
        <f t="shared" si="40"/>
        <v>0</v>
      </c>
      <c r="P135" s="514">
        <f t="shared" si="41"/>
        <v>0</v>
      </c>
    </row>
    <row r="136" spans="2:16">
      <c r="B136" s="195" t="str">
        <f t="shared" si="25"/>
        <v/>
      </c>
      <c r="C136" s="507">
        <f>IF(D93="","-",+C135+1)</f>
        <v>2049</v>
      </c>
      <c r="D136" s="374">
        <f>IF(F135+SUM(E$99:E135)=D$92,F135,D$92-SUM(E$99:E135))</f>
        <v>139856.86693899872</v>
      </c>
      <c r="E136" s="522">
        <f t="shared" si="34"/>
        <v>19216.585365853658</v>
      </c>
      <c r="F136" s="523">
        <f t="shared" si="35"/>
        <v>120640.28157314507</v>
      </c>
      <c r="G136" s="523">
        <f t="shared" si="36"/>
        <v>130248.57425607189</v>
      </c>
      <c r="H136" s="526">
        <f t="shared" si="37"/>
        <v>34001.651508561481</v>
      </c>
      <c r="I136" s="577">
        <f t="shared" si="38"/>
        <v>34001.651508561481</v>
      </c>
      <c r="J136" s="514">
        <f t="shared" si="29"/>
        <v>0</v>
      </c>
      <c r="K136" s="514"/>
      <c r="L136" s="525"/>
      <c r="M136" s="514">
        <f t="shared" si="39"/>
        <v>0</v>
      </c>
      <c r="N136" s="525"/>
      <c r="O136" s="514">
        <f t="shared" si="40"/>
        <v>0</v>
      </c>
      <c r="P136" s="514">
        <f t="shared" si="41"/>
        <v>0</v>
      </c>
    </row>
    <row r="137" spans="2:16">
      <c r="B137" s="195" t="str">
        <f t="shared" si="25"/>
        <v/>
      </c>
      <c r="C137" s="507">
        <f>IF(D93="","-",+C136+1)</f>
        <v>2050</v>
      </c>
      <c r="D137" s="374">
        <f>IF(F136+SUM(E$99:E136)=D$92,F136,D$92-SUM(E$99:E136))</f>
        <v>120640.28157314507</v>
      </c>
      <c r="E137" s="522">
        <f t="shared" si="34"/>
        <v>19216.585365853658</v>
      </c>
      <c r="F137" s="523">
        <f t="shared" si="35"/>
        <v>101423.69620729142</v>
      </c>
      <c r="G137" s="523">
        <f t="shared" si="36"/>
        <v>111031.98889021824</v>
      </c>
      <c r="H137" s="526">
        <f t="shared" si="37"/>
        <v>31820.29568724897</v>
      </c>
      <c r="I137" s="577">
        <f t="shared" si="38"/>
        <v>31820.29568724897</v>
      </c>
      <c r="J137" s="514">
        <f t="shared" si="29"/>
        <v>0</v>
      </c>
      <c r="K137" s="514"/>
      <c r="L137" s="525"/>
      <c r="M137" s="514">
        <f t="shared" si="39"/>
        <v>0</v>
      </c>
      <c r="N137" s="525"/>
      <c r="O137" s="514">
        <f t="shared" si="40"/>
        <v>0</v>
      </c>
      <c r="P137" s="514">
        <f t="shared" si="41"/>
        <v>0</v>
      </c>
    </row>
    <row r="138" spans="2:16">
      <c r="B138" s="195" t="str">
        <f t="shared" si="25"/>
        <v/>
      </c>
      <c r="C138" s="507">
        <f>IF(D93="","-",+C137+1)</f>
        <v>2051</v>
      </c>
      <c r="D138" s="374">
        <f>IF(F137+SUM(E$99:E137)=D$92,F137,D$92-SUM(E$99:E137))</f>
        <v>101423.69620729142</v>
      </c>
      <c r="E138" s="522">
        <f t="shared" si="34"/>
        <v>19216.585365853658</v>
      </c>
      <c r="F138" s="523">
        <f t="shared" si="35"/>
        <v>82207.110841437767</v>
      </c>
      <c r="G138" s="523">
        <f t="shared" si="36"/>
        <v>91815.403524364592</v>
      </c>
      <c r="H138" s="526">
        <f t="shared" si="37"/>
        <v>29638.93986593646</v>
      </c>
      <c r="I138" s="577">
        <f t="shared" si="38"/>
        <v>29638.93986593646</v>
      </c>
      <c r="J138" s="514">
        <f t="shared" si="29"/>
        <v>0</v>
      </c>
      <c r="K138" s="514"/>
      <c r="L138" s="525"/>
      <c r="M138" s="514">
        <f t="shared" si="39"/>
        <v>0</v>
      </c>
      <c r="N138" s="525"/>
      <c r="O138" s="514">
        <f t="shared" si="40"/>
        <v>0</v>
      </c>
      <c r="P138" s="514">
        <f t="shared" si="41"/>
        <v>0</v>
      </c>
    </row>
    <row r="139" spans="2:16">
      <c r="B139" s="195" t="str">
        <f t="shared" si="25"/>
        <v/>
      </c>
      <c r="C139" s="507">
        <f>IF(D93="","-",+C138+1)</f>
        <v>2052</v>
      </c>
      <c r="D139" s="374">
        <f>IF(F138+SUM(E$99:E138)=D$92,F138,D$92-SUM(E$99:E138))</f>
        <v>82207.110841437767</v>
      </c>
      <c r="E139" s="522">
        <f t="shared" si="34"/>
        <v>19216.585365853658</v>
      </c>
      <c r="F139" s="523">
        <f t="shared" si="35"/>
        <v>62990.525475584109</v>
      </c>
      <c r="G139" s="523">
        <f t="shared" si="36"/>
        <v>72598.818158510941</v>
      </c>
      <c r="H139" s="526">
        <f t="shared" si="37"/>
        <v>27457.584044623945</v>
      </c>
      <c r="I139" s="577">
        <f t="shared" si="38"/>
        <v>27457.584044623945</v>
      </c>
      <c r="J139" s="514">
        <f t="shared" si="29"/>
        <v>0</v>
      </c>
      <c r="K139" s="514"/>
      <c r="L139" s="525"/>
      <c r="M139" s="514">
        <f t="shared" si="39"/>
        <v>0</v>
      </c>
      <c r="N139" s="525"/>
      <c r="O139" s="514">
        <f t="shared" si="40"/>
        <v>0</v>
      </c>
      <c r="P139" s="514">
        <f t="shared" si="41"/>
        <v>0</v>
      </c>
    </row>
    <row r="140" spans="2:16">
      <c r="B140" s="195" t="str">
        <f t="shared" si="25"/>
        <v/>
      </c>
      <c r="C140" s="507">
        <f>IF(D93="","-",+C139+1)</f>
        <v>2053</v>
      </c>
      <c r="D140" s="374">
        <f>IF(F139+SUM(E$99:E139)=D$92,F139,D$92-SUM(E$99:E139))</f>
        <v>62990.525475584109</v>
      </c>
      <c r="E140" s="522">
        <f t="shared" si="34"/>
        <v>19216.585365853658</v>
      </c>
      <c r="F140" s="523">
        <f t="shared" si="35"/>
        <v>43773.940109730451</v>
      </c>
      <c r="G140" s="523">
        <f t="shared" si="36"/>
        <v>53382.232792657276</v>
      </c>
      <c r="H140" s="526">
        <f t="shared" si="37"/>
        <v>25276.228223311431</v>
      </c>
      <c r="I140" s="577">
        <f t="shared" si="38"/>
        <v>25276.228223311431</v>
      </c>
      <c r="J140" s="514">
        <f t="shared" si="29"/>
        <v>0</v>
      </c>
      <c r="K140" s="514"/>
      <c r="L140" s="525"/>
      <c r="M140" s="514">
        <f t="shared" si="39"/>
        <v>0</v>
      </c>
      <c r="N140" s="525"/>
      <c r="O140" s="514">
        <f t="shared" si="40"/>
        <v>0</v>
      </c>
      <c r="P140" s="514">
        <f t="shared" si="41"/>
        <v>0</v>
      </c>
    </row>
    <row r="141" spans="2:16">
      <c r="B141" s="195" t="str">
        <f t="shared" si="25"/>
        <v/>
      </c>
      <c r="C141" s="507">
        <f>IF(D93="","-",+C140+1)</f>
        <v>2054</v>
      </c>
      <c r="D141" s="374">
        <f>IF(F140+SUM(E$99:E140)=D$92,F140,D$92-SUM(E$99:E140))</f>
        <v>43773.940109730451</v>
      </c>
      <c r="E141" s="522">
        <f t="shared" si="34"/>
        <v>19216.585365853658</v>
      </c>
      <c r="F141" s="523">
        <f t="shared" si="35"/>
        <v>24557.354743876793</v>
      </c>
      <c r="G141" s="523">
        <f t="shared" si="36"/>
        <v>34165.647426803625</v>
      </c>
      <c r="H141" s="526">
        <f t="shared" si="37"/>
        <v>23094.872401998917</v>
      </c>
      <c r="I141" s="577">
        <f t="shared" si="38"/>
        <v>23094.872401998917</v>
      </c>
      <c r="J141" s="514">
        <f t="shared" si="29"/>
        <v>0</v>
      </c>
      <c r="K141" s="514"/>
      <c r="L141" s="525"/>
      <c r="M141" s="514">
        <f t="shared" si="39"/>
        <v>0</v>
      </c>
      <c r="N141" s="525"/>
      <c r="O141" s="514">
        <f t="shared" si="40"/>
        <v>0</v>
      </c>
      <c r="P141" s="514">
        <f t="shared" si="41"/>
        <v>0</v>
      </c>
    </row>
    <row r="142" spans="2:16">
      <c r="B142" s="195" t="str">
        <f t="shared" si="25"/>
        <v/>
      </c>
      <c r="C142" s="507">
        <f>IF(D93="","-",+C141+1)</f>
        <v>2055</v>
      </c>
      <c r="D142" s="374">
        <f>IF(F141+SUM(E$99:E141)=D$92,F141,D$92-SUM(E$99:E141))</f>
        <v>24557.354743876793</v>
      </c>
      <c r="E142" s="522">
        <f t="shared" si="34"/>
        <v>19216.585365853658</v>
      </c>
      <c r="F142" s="523">
        <f t="shared" si="35"/>
        <v>5340.7693780231348</v>
      </c>
      <c r="G142" s="523">
        <f t="shared" si="36"/>
        <v>14949.062060949964</v>
      </c>
      <c r="H142" s="526">
        <f t="shared" si="37"/>
        <v>20913.516580686406</v>
      </c>
      <c r="I142" s="577">
        <f t="shared" si="38"/>
        <v>20913.516580686406</v>
      </c>
      <c r="J142" s="514">
        <f t="shared" si="29"/>
        <v>0</v>
      </c>
      <c r="K142" s="514"/>
      <c r="L142" s="525"/>
      <c r="M142" s="514">
        <f t="shared" si="39"/>
        <v>0</v>
      </c>
      <c r="N142" s="525"/>
      <c r="O142" s="514">
        <f t="shared" si="40"/>
        <v>0</v>
      </c>
      <c r="P142" s="514">
        <f t="shared" si="41"/>
        <v>0</v>
      </c>
    </row>
    <row r="143" spans="2:16">
      <c r="B143" s="195" t="str">
        <f t="shared" si="25"/>
        <v/>
      </c>
      <c r="C143" s="507">
        <f>IF(D93="","-",+C142+1)</f>
        <v>2056</v>
      </c>
      <c r="D143" s="374">
        <f>IF(F142+SUM(E$99:E142)=D$92,F142,D$92-SUM(E$99:E142))</f>
        <v>5340.7693780231348</v>
      </c>
      <c r="E143" s="522">
        <f t="shared" si="34"/>
        <v>5340.7693780231348</v>
      </c>
      <c r="F143" s="523">
        <f t="shared" si="35"/>
        <v>0</v>
      </c>
      <c r="G143" s="523">
        <f t="shared" si="36"/>
        <v>2670.3846890115674</v>
      </c>
      <c r="H143" s="526">
        <f t="shared" si="37"/>
        <v>5643.8960301113802</v>
      </c>
      <c r="I143" s="577">
        <f t="shared" si="38"/>
        <v>5643.8960301113802</v>
      </c>
      <c r="J143" s="514">
        <f t="shared" si="29"/>
        <v>0</v>
      </c>
      <c r="K143" s="514"/>
      <c r="L143" s="525"/>
      <c r="M143" s="514">
        <f t="shared" si="39"/>
        <v>0</v>
      </c>
      <c r="N143" s="525"/>
      <c r="O143" s="514">
        <f t="shared" si="40"/>
        <v>0</v>
      </c>
      <c r="P143" s="514">
        <f t="shared" si="41"/>
        <v>0</v>
      </c>
    </row>
    <row r="144" spans="2:16">
      <c r="B144" s="195" t="str">
        <f t="shared" si="25"/>
        <v/>
      </c>
      <c r="C144" s="507">
        <f>IF(D93="","-",+C143+1)</f>
        <v>2057</v>
      </c>
      <c r="D144" s="374">
        <f>IF(F143+SUM(E$99:E143)=D$92,F143,D$92-SUM(E$99:E143))</f>
        <v>0</v>
      </c>
      <c r="E144" s="522">
        <f t="shared" si="34"/>
        <v>0</v>
      </c>
      <c r="F144" s="523">
        <f t="shared" si="35"/>
        <v>0</v>
      </c>
      <c r="G144" s="523">
        <f t="shared" si="36"/>
        <v>0</v>
      </c>
      <c r="H144" s="526">
        <f t="shared" si="37"/>
        <v>0</v>
      </c>
      <c r="I144" s="577">
        <f t="shared" si="38"/>
        <v>0</v>
      </c>
      <c r="J144" s="514">
        <f t="shared" si="29"/>
        <v>0</v>
      </c>
      <c r="K144" s="514"/>
      <c r="L144" s="525"/>
      <c r="M144" s="514">
        <f t="shared" si="39"/>
        <v>0</v>
      </c>
      <c r="N144" s="525"/>
      <c r="O144" s="514">
        <f t="shared" si="40"/>
        <v>0</v>
      </c>
      <c r="P144" s="514">
        <f t="shared" si="41"/>
        <v>0</v>
      </c>
    </row>
    <row r="145" spans="2:16">
      <c r="B145" s="195" t="str">
        <f t="shared" si="25"/>
        <v/>
      </c>
      <c r="C145" s="507">
        <f>IF(D93="","-",+C144+1)</f>
        <v>2058</v>
      </c>
      <c r="D145" s="374">
        <f>IF(F144+SUM(E$99:E144)=D$92,F144,D$92-SUM(E$99:E144))</f>
        <v>0</v>
      </c>
      <c r="E145" s="522">
        <f t="shared" si="34"/>
        <v>0</v>
      </c>
      <c r="F145" s="523">
        <f t="shared" si="35"/>
        <v>0</v>
      </c>
      <c r="G145" s="523">
        <f t="shared" si="36"/>
        <v>0</v>
      </c>
      <c r="H145" s="526">
        <f t="shared" si="37"/>
        <v>0</v>
      </c>
      <c r="I145" s="577">
        <f t="shared" si="38"/>
        <v>0</v>
      </c>
      <c r="J145" s="514">
        <f t="shared" si="29"/>
        <v>0</v>
      </c>
      <c r="K145" s="514"/>
      <c r="L145" s="525"/>
      <c r="M145" s="514">
        <f t="shared" si="39"/>
        <v>0</v>
      </c>
      <c r="N145" s="525"/>
      <c r="O145" s="514">
        <f t="shared" si="40"/>
        <v>0</v>
      </c>
      <c r="P145" s="514">
        <f t="shared" si="41"/>
        <v>0</v>
      </c>
    </row>
    <row r="146" spans="2:16">
      <c r="B146" s="195" t="str">
        <f t="shared" si="25"/>
        <v/>
      </c>
      <c r="C146" s="507">
        <f>IF(D93="","-",+C145+1)</f>
        <v>2059</v>
      </c>
      <c r="D146" s="374">
        <f>IF(F145+SUM(E$99:E145)=D$92,F145,D$92-SUM(E$99:E145))</f>
        <v>0</v>
      </c>
      <c r="E146" s="522">
        <f t="shared" si="34"/>
        <v>0</v>
      </c>
      <c r="F146" s="523">
        <f t="shared" si="35"/>
        <v>0</v>
      </c>
      <c r="G146" s="523">
        <f t="shared" si="36"/>
        <v>0</v>
      </c>
      <c r="H146" s="526">
        <f t="shared" si="37"/>
        <v>0</v>
      </c>
      <c r="I146" s="577">
        <f t="shared" si="38"/>
        <v>0</v>
      </c>
      <c r="J146" s="514">
        <f t="shared" si="29"/>
        <v>0</v>
      </c>
      <c r="K146" s="514"/>
      <c r="L146" s="525"/>
      <c r="M146" s="514">
        <f t="shared" si="39"/>
        <v>0</v>
      </c>
      <c r="N146" s="525"/>
      <c r="O146" s="514">
        <f t="shared" si="40"/>
        <v>0</v>
      </c>
      <c r="P146" s="514">
        <f t="shared" si="41"/>
        <v>0</v>
      </c>
    </row>
    <row r="147" spans="2:16">
      <c r="B147" s="195" t="str">
        <f t="shared" si="25"/>
        <v/>
      </c>
      <c r="C147" s="507">
        <f>IF(D93="","-",+C146+1)</f>
        <v>2060</v>
      </c>
      <c r="D147" s="374">
        <f>IF(F146+SUM(E$99:E146)=D$92,F146,D$92-SUM(E$99:E146))</f>
        <v>0</v>
      </c>
      <c r="E147" s="522">
        <f t="shared" si="34"/>
        <v>0</v>
      </c>
      <c r="F147" s="523">
        <f t="shared" si="35"/>
        <v>0</v>
      </c>
      <c r="G147" s="523">
        <f t="shared" si="36"/>
        <v>0</v>
      </c>
      <c r="H147" s="526">
        <f t="shared" si="37"/>
        <v>0</v>
      </c>
      <c r="I147" s="577">
        <f t="shared" si="38"/>
        <v>0</v>
      </c>
      <c r="J147" s="514">
        <f t="shared" si="29"/>
        <v>0</v>
      </c>
      <c r="K147" s="514"/>
      <c r="L147" s="525"/>
      <c r="M147" s="514">
        <f t="shared" si="39"/>
        <v>0</v>
      </c>
      <c r="N147" s="525"/>
      <c r="O147" s="514">
        <f t="shared" si="40"/>
        <v>0</v>
      </c>
      <c r="P147" s="514">
        <f t="shared" si="41"/>
        <v>0</v>
      </c>
    </row>
    <row r="148" spans="2:16">
      <c r="B148" s="195" t="str">
        <f t="shared" si="25"/>
        <v/>
      </c>
      <c r="C148" s="507">
        <f>IF(D93="","-",+C147+1)</f>
        <v>2061</v>
      </c>
      <c r="D148" s="374">
        <f>IF(F147+SUM(E$99:E147)=D$92,F147,D$92-SUM(E$99:E147))</f>
        <v>0</v>
      </c>
      <c r="E148" s="522">
        <f t="shared" si="34"/>
        <v>0</v>
      </c>
      <c r="F148" s="523">
        <f t="shared" si="35"/>
        <v>0</v>
      </c>
      <c r="G148" s="523">
        <f t="shared" si="36"/>
        <v>0</v>
      </c>
      <c r="H148" s="526">
        <f t="shared" si="37"/>
        <v>0</v>
      </c>
      <c r="I148" s="577">
        <f t="shared" si="38"/>
        <v>0</v>
      </c>
      <c r="J148" s="514">
        <f t="shared" si="29"/>
        <v>0</v>
      </c>
      <c r="K148" s="514"/>
      <c r="L148" s="525"/>
      <c r="M148" s="514">
        <f t="shared" si="39"/>
        <v>0</v>
      </c>
      <c r="N148" s="525"/>
      <c r="O148" s="514">
        <f t="shared" si="40"/>
        <v>0</v>
      </c>
      <c r="P148" s="514">
        <f t="shared" si="41"/>
        <v>0</v>
      </c>
    </row>
    <row r="149" spans="2:16">
      <c r="B149" s="195" t="str">
        <f t="shared" si="25"/>
        <v/>
      </c>
      <c r="C149" s="507">
        <f>IF(D93="","-",+C148+1)</f>
        <v>2062</v>
      </c>
      <c r="D149" s="374">
        <f>IF(F148+SUM(E$99:E148)=D$92,F148,D$92-SUM(E$99:E148))</f>
        <v>0</v>
      </c>
      <c r="E149" s="522">
        <f t="shared" si="34"/>
        <v>0</v>
      </c>
      <c r="F149" s="523">
        <f t="shared" si="35"/>
        <v>0</v>
      </c>
      <c r="G149" s="523">
        <f t="shared" si="36"/>
        <v>0</v>
      </c>
      <c r="H149" s="526">
        <f t="shared" si="37"/>
        <v>0</v>
      </c>
      <c r="I149" s="577">
        <f t="shared" si="38"/>
        <v>0</v>
      </c>
      <c r="J149" s="514">
        <f t="shared" si="29"/>
        <v>0</v>
      </c>
      <c r="K149" s="514"/>
      <c r="L149" s="525"/>
      <c r="M149" s="514">
        <f t="shared" si="39"/>
        <v>0</v>
      </c>
      <c r="N149" s="525"/>
      <c r="O149" s="514">
        <f t="shared" si="40"/>
        <v>0</v>
      </c>
      <c r="P149" s="514">
        <f t="shared" si="41"/>
        <v>0</v>
      </c>
    </row>
    <row r="150" spans="2:16">
      <c r="B150" s="195" t="str">
        <f t="shared" si="25"/>
        <v/>
      </c>
      <c r="C150" s="507">
        <f>IF(D93="","-",+C149+1)</f>
        <v>2063</v>
      </c>
      <c r="D150" s="374">
        <f>IF(F149+SUM(E$99:E149)=D$92,F149,D$92-SUM(E$99:E149))</f>
        <v>0</v>
      </c>
      <c r="E150" s="522">
        <f t="shared" si="34"/>
        <v>0</v>
      </c>
      <c r="F150" s="523">
        <f t="shared" si="35"/>
        <v>0</v>
      </c>
      <c r="G150" s="523">
        <f t="shared" si="36"/>
        <v>0</v>
      </c>
      <c r="H150" s="526">
        <f t="shared" si="37"/>
        <v>0</v>
      </c>
      <c r="I150" s="577">
        <f t="shared" si="38"/>
        <v>0</v>
      </c>
      <c r="J150" s="514">
        <f t="shared" si="29"/>
        <v>0</v>
      </c>
      <c r="K150" s="514"/>
      <c r="L150" s="525"/>
      <c r="M150" s="514">
        <f t="shared" si="39"/>
        <v>0</v>
      </c>
      <c r="N150" s="525"/>
      <c r="O150" s="514">
        <f t="shared" si="40"/>
        <v>0</v>
      </c>
      <c r="P150" s="514">
        <f t="shared" si="41"/>
        <v>0</v>
      </c>
    </row>
    <row r="151" spans="2:16">
      <c r="B151" s="195" t="str">
        <f t="shared" si="25"/>
        <v/>
      </c>
      <c r="C151" s="507">
        <f>IF(D93="","-",+C150+1)</f>
        <v>2064</v>
      </c>
      <c r="D151" s="374">
        <f>IF(F150+SUM(E$99:E150)=D$92,F150,D$92-SUM(E$99:E150))</f>
        <v>0</v>
      </c>
      <c r="E151" s="522">
        <f t="shared" si="34"/>
        <v>0</v>
      </c>
      <c r="F151" s="523">
        <f t="shared" si="35"/>
        <v>0</v>
      </c>
      <c r="G151" s="523">
        <f t="shared" si="36"/>
        <v>0</v>
      </c>
      <c r="H151" s="526">
        <f t="shared" si="37"/>
        <v>0</v>
      </c>
      <c r="I151" s="577">
        <f t="shared" si="38"/>
        <v>0</v>
      </c>
      <c r="J151" s="514">
        <f t="shared" si="29"/>
        <v>0</v>
      </c>
      <c r="K151" s="514"/>
      <c r="L151" s="525"/>
      <c r="M151" s="514">
        <f t="shared" si="39"/>
        <v>0</v>
      </c>
      <c r="N151" s="525"/>
      <c r="O151" s="514">
        <f t="shared" si="40"/>
        <v>0</v>
      </c>
      <c r="P151" s="514">
        <f t="shared" si="41"/>
        <v>0</v>
      </c>
    </row>
    <row r="152" spans="2:16">
      <c r="B152" s="195" t="str">
        <f t="shared" si="25"/>
        <v/>
      </c>
      <c r="C152" s="507">
        <f>IF(D93="","-",+C151+1)</f>
        <v>2065</v>
      </c>
      <c r="D152" s="374">
        <f>IF(F151+SUM(E$99:E151)=D$92,F151,D$92-SUM(E$99:E151))</f>
        <v>0</v>
      </c>
      <c r="E152" s="522">
        <f t="shared" si="34"/>
        <v>0</v>
      </c>
      <c r="F152" s="523">
        <f t="shared" si="35"/>
        <v>0</v>
      </c>
      <c r="G152" s="523">
        <f t="shared" si="36"/>
        <v>0</v>
      </c>
      <c r="H152" s="526">
        <f t="shared" si="37"/>
        <v>0</v>
      </c>
      <c r="I152" s="577">
        <f t="shared" si="38"/>
        <v>0</v>
      </c>
      <c r="J152" s="514">
        <f t="shared" si="29"/>
        <v>0</v>
      </c>
      <c r="K152" s="514"/>
      <c r="L152" s="525"/>
      <c r="M152" s="514">
        <f t="shared" si="39"/>
        <v>0</v>
      </c>
      <c r="N152" s="525"/>
      <c r="O152" s="514">
        <f t="shared" si="40"/>
        <v>0</v>
      </c>
      <c r="P152" s="514">
        <f t="shared" si="41"/>
        <v>0</v>
      </c>
    </row>
    <row r="153" spans="2:16">
      <c r="B153" s="195" t="str">
        <f t="shared" si="25"/>
        <v/>
      </c>
      <c r="C153" s="507">
        <f>IF(D93="","-",+C152+1)</f>
        <v>2066</v>
      </c>
      <c r="D153" s="374">
        <f>IF(F152+SUM(E$99:E152)=D$92,F152,D$92-SUM(E$99:E152))</f>
        <v>0</v>
      </c>
      <c r="E153" s="522">
        <f t="shared" si="34"/>
        <v>0</v>
      </c>
      <c r="F153" s="523">
        <f t="shared" si="35"/>
        <v>0</v>
      </c>
      <c r="G153" s="523">
        <f t="shared" si="36"/>
        <v>0</v>
      </c>
      <c r="H153" s="526">
        <f t="shared" si="37"/>
        <v>0</v>
      </c>
      <c r="I153" s="577">
        <f t="shared" si="38"/>
        <v>0</v>
      </c>
      <c r="J153" s="514">
        <f t="shared" si="29"/>
        <v>0</v>
      </c>
      <c r="K153" s="514"/>
      <c r="L153" s="525"/>
      <c r="M153" s="514">
        <f t="shared" si="39"/>
        <v>0</v>
      </c>
      <c r="N153" s="525"/>
      <c r="O153" s="514">
        <f t="shared" si="40"/>
        <v>0</v>
      </c>
      <c r="P153" s="514">
        <f t="shared" si="41"/>
        <v>0</v>
      </c>
    </row>
    <row r="154" spans="2:16" ht="13.5" thickBot="1">
      <c r="B154" s="195" t="str">
        <f t="shared" si="25"/>
        <v/>
      </c>
      <c r="C154" s="527">
        <f>IF(D93="","-",+C153+1)</f>
        <v>2067</v>
      </c>
      <c r="D154" s="374">
        <f>IF(F153+SUM(E$99:E153)=D$92,F153,D$92-SUM(E$99:E153))</f>
        <v>0</v>
      </c>
      <c r="E154" s="522">
        <f t="shared" si="34"/>
        <v>0</v>
      </c>
      <c r="F154" s="523">
        <f t="shared" si="35"/>
        <v>0</v>
      </c>
      <c r="G154" s="523">
        <f t="shared" si="36"/>
        <v>0</v>
      </c>
      <c r="H154" s="526">
        <f t="shared" si="37"/>
        <v>0</v>
      </c>
      <c r="I154" s="577">
        <f t="shared" si="38"/>
        <v>0</v>
      </c>
      <c r="J154" s="514">
        <f t="shared" si="29"/>
        <v>0</v>
      </c>
      <c r="K154" s="514"/>
      <c r="L154" s="532"/>
      <c r="M154" s="533">
        <f t="shared" si="39"/>
        <v>0</v>
      </c>
      <c r="N154" s="532"/>
      <c r="O154" s="533">
        <f t="shared" si="40"/>
        <v>0</v>
      </c>
      <c r="P154" s="533">
        <f t="shared" si="41"/>
        <v>0</v>
      </c>
    </row>
    <row r="155" spans="2:16">
      <c r="C155" s="374" t="s">
        <v>78</v>
      </c>
      <c r="D155" s="375"/>
      <c r="E155" s="375">
        <f>SUM(E99:E154)</f>
        <v>787880</v>
      </c>
      <c r="F155" s="375"/>
      <c r="G155" s="375"/>
      <c r="H155" s="375">
        <f>SUM(H99:H154)</f>
        <v>2656318.6326616048</v>
      </c>
      <c r="I155" s="375">
        <f>SUM(I99:I154)</f>
        <v>2656318.6326616048</v>
      </c>
      <c r="J155" s="375">
        <f>SUM(J99:J154)</f>
        <v>0</v>
      </c>
      <c r="K155" s="375"/>
      <c r="L155" s="375"/>
      <c r="M155" s="375"/>
      <c r="N155" s="375"/>
      <c r="O155" s="375"/>
      <c r="P155" s="269"/>
    </row>
    <row r="156" spans="2:16">
      <c r="C156" s="183" t="s">
        <v>92</v>
      </c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</row>
    <row r="157" spans="2:16">
      <c r="C157" s="580"/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</row>
    <row r="158" spans="2:16">
      <c r="C158" s="614" t="s">
        <v>132</v>
      </c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</row>
    <row r="159" spans="2:16">
      <c r="C159" s="467" t="s">
        <v>79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</row>
    <row r="160" spans="2:16">
      <c r="C160" s="581" t="s">
        <v>80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</row>
    <row r="161" spans="3:16">
      <c r="C161" s="581"/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</row>
    <row r="162" spans="3:16" ht="18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635" t="s">
        <v>131</v>
      </c>
    </row>
  </sheetData>
  <conditionalFormatting sqref="C17:C72">
    <cfRule type="cellIs" dxfId="68" priority="1" stopIfTrue="1" operator="equal">
      <formula>$I$10</formula>
    </cfRule>
  </conditionalFormatting>
  <conditionalFormatting sqref="C99:C154">
    <cfRule type="cellIs" dxfId="67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heet97">
    <tabColor theme="9" tint="-0.249977111117893"/>
  </sheetPr>
  <dimension ref="A1:P162"/>
  <sheetViews>
    <sheetView topLeftCell="A96" zoomScaleNormal="100" zoomScaleSheetLayoutView="82" workbookViewId="0">
      <selection activeCell="D104" sqref="D104:I111"/>
    </sheetView>
  </sheetViews>
  <sheetFormatPr defaultColWidth="8.7109375" defaultRowHeight="12.75" customHeight="1"/>
  <cols>
    <col min="1" max="1" width="4.7109375" style="183" customWidth="1"/>
    <col min="2" max="2" width="6.7109375" style="183" customWidth="1"/>
    <col min="3" max="3" width="23.28515625" style="183" customWidth="1"/>
    <col min="4" max="8" width="17.7109375" style="183" customWidth="1"/>
    <col min="9" max="9" width="20.42578125" style="183" customWidth="1"/>
    <col min="10" max="10" width="16.42578125" style="183" customWidth="1"/>
    <col min="11" max="11" width="17.7109375" style="183" customWidth="1"/>
    <col min="12" max="12" width="16.140625" style="183" customWidth="1"/>
    <col min="13" max="13" width="17.7109375" style="183" customWidth="1"/>
    <col min="14" max="14" width="16.7109375" style="183" customWidth="1"/>
    <col min="15" max="15" width="16.85546875" style="183" customWidth="1"/>
    <col min="16" max="16" width="24.42578125" style="183" customWidth="1"/>
    <col min="17" max="17" width="9.140625" style="183" customWidth="1"/>
    <col min="18" max="22" width="8.7109375" style="183"/>
    <col min="23" max="23" width="9.140625" style="183" customWidth="1"/>
    <col min="24" max="16384" width="8.7109375" style="183"/>
  </cols>
  <sheetData>
    <row r="1" spans="1:16" ht="20.25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48 of 75</v>
      </c>
    </row>
    <row r="2" spans="1:16" ht="18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538" t="s">
        <v>129</v>
      </c>
    </row>
    <row r="3" spans="1:16" ht="18.75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/>
      <c r="P3" s="623">
        <v>1</v>
      </c>
    </row>
    <row r="4" spans="1:16" ht="15.75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6" ht="1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16289.799945394194</v>
      </c>
      <c r="P5" s="269"/>
    </row>
    <row r="6" spans="1:16" ht="15.7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16289.799945394194</v>
      </c>
      <c r="O6" s="269"/>
      <c r="P6" s="269"/>
    </row>
    <row r="7" spans="1:16" ht="13.5" thickBot="1">
      <c r="C7" s="467" t="s">
        <v>48</v>
      </c>
      <c r="D7" s="624" t="s">
        <v>335</v>
      </c>
      <c r="E7" s="587"/>
      <c r="F7" s="587"/>
      <c r="G7" s="587"/>
      <c r="H7" s="59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6" ht="13.5" thickBot="1">
      <c r="C8" s="472"/>
      <c r="D8" s="645" t="s">
        <v>354</v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6" ht="13.5" thickBot="1">
      <c r="C9" s="476" t="s">
        <v>50</v>
      </c>
      <c r="D9" s="477" t="s">
        <v>334</v>
      </c>
      <c r="E9" s="637" t="s">
        <v>396</v>
      </c>
      <c r="F9" s="478"/>
      <c r="G9" s="478"/>
      <c r="H9" s="478"/>
      <c r="I9" s="479"/>
      <c r="J9" s="480"/>
      <c r="O9" s="481"/>
      <c r="P9" s="272"/>
    </row>
    <row r="10" spans="1:16">
      <c r="C10" s="482" t="s">
        <v>51</v>
      </c>
      <c r="D10" s="483">
        <v>160296.1</v>
      </c>
      <c r="E10" s="353" t="s">
        <v>52</v>
      </c>
      <c r="F10" s="481"/>
      <c r="G10" s="484"/>
      <c r="H10" s="484"/>
      <c r="I10" s="485">
        <f>+'SWE.WS.F.BPU.ATRR.Projected'!L19</f>
        <v>2024</v>
      </c>
      <c r="J10" s="480"/>
      <c r="K10" s="375" t="s">
        <v>53</v>
      </c>
      <c r="O10" s="272"/>
      <c r="P10" s="272"/>
    </row>
    <row r="11" spans="1:16">
      <c r="C11" s="486" t="s">
        <v>54</v>
      </c>
      <c r="D11" s="487">
        <v>2010</v>
      </c>
      <c r="E11" s="486" t="s">
        <v>55</v>
      </c>
      <c r="F11" s="484"/>
      <c r="G11" s="233"/>
      <c r="H11" s="233"/>
      <c r="I11" s="488">
        <f>IF(G5="",0,'SWE.WS.F.BPU.ATRR.Projected'!F$13)</f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6">
      <c r="C12" s="486" t="s">
        <v>56</v>
      </c>
      <c r="D12" s="483">
        <v>3</v>
      </c>
      <c r="E12" s="486" t="s">
        <v>57</v>
      </c>
      <c r="F12" s="484"/>
      <c r="G12" s="233"/>
      <c r="H12" s="233"/>
      <c r="I12" s="490">
        <f>'SWE.WS.F.BPU.ATRR.Projected'!$F$81</f>
        <v>0.11952713165403545</v>
      </c>
      <c r="J12" s="425"/>
      <c r="K12" s="183" t="s">
        <v>58</v>
      </c>
      <c r="O12" s="272"/>
      <c r="P12" s="272"/>
    </row>
    <row r="13" spans="1:16">
      <c r="C13" s="486" t="s">
        <v>59</v>
      </c>
      <c r="D13" s="488">
        <f>+'SWE.WS.F.BPU.ATRR.Projected'!F$93</f>
        <v>44</v>
      </c>
      <c r="E13" s="486" t="s">
        <v>60</v>
      </c>
      <c r="F13" s="484"/>
      <c r="G13" s="233"/>
      <c r="H13" s="233"/>
      <c r="I13" s="490">
        <f>IF(G5="",I12,'SWE.WS.F.BPU.ATRR.Projected'!$F$80)</f>
        <v>0.11952713165403545</v>
      </c>
      <c r="J13" s="425"/>
      <c r="K13" s="375" t="s">
        <v>61</v>
      </c>
      <c r="L13" s="324"/>
      <c r="M13" s="324"/>
      <c r="N13" s="324"/>
      <c r="O13" s="272"/>
      <c r="P13" s="272"/>
    </row>
    <row r="14" spans="1:16" ht="13.5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3643.0931818181821</v>
      </c>
      <c r="J14" s="375"/>
      <c r="K14" s="375"/>
      <c r="L14" s="375"/>
      <c r="M14" s="375"/>
      <c r="N14" s="375"/>
      <c r="O14" s="272"/>
      <c r="P14" s="272"/>
    </row>
    <row r="15" spans="1:16" ht="38.25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388</v>
      </c>
      <c r="H15" s="495" t="s">
        <v>389</v>
      </c>
      <c r="I15" s="492" t="s">
        <v>68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6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>
      <c r="C17" s="507">
        <f>IF(D11= "","-",D11)</f>
        <v>2010</v>
      </c>
      <c r="D17" s="629">
        <v>160296.1</v>
      </c>
      <c r="E17" s="638">
        <v>2862.4303571428577</v>
      </c>
      <c r="F17" s="629">
        <v>157433.66964285716</v>
      </c>
      <c r="G17" s="638">
        <v>24101.886744322466</v>
      </c>
      <c r="H17" s="639">
        <v>24101.886744322466</v>
      </c>
      <c r="I17" s="511">
        <v>0</v>
      </c>
      <c r="J17" s="511"/>
      <c r="K17" s="512">
        <f t="shared" ref="K17:K22" si="0">G17</f>
        <v>24101.886744322466</v>
      </c>
      <c r="L17" s="597">
        <f t="shared" ref="L17:L22" si="1">IF(K17&lt;&gt;0,+G17-K17,0)</f>
        <v>0</v>
      </c>
      <c r="M17" s="512">
        <f t="shared" ref="M17:M22" si="2">H17</f>
        <v>24101.886744322466</v>
      </c>
      <c r="N17" s="513">
        <f t="shared" ref="N17:N22" si="3">IF(M17&lt;&gt;0,+H17-M17,0)</f>
        <v>0</v>
      </c>
      <c r="O17" s="514">
        <f t="shared" ref="O17:O22" si="4">+N17-L17</f>
        <v>0</v>
      </c>
      <c r="P17" s="272"/>
    </row>
    <row r="18" spans="2:16">
      <c r="B18" s="195" t="str">
        <f>IF(D18=F17,"","IU")</f>
        <v/>
      </c>
      <c r="C18" s="507">
        <f>IF(D11="","-",+C17+1)</f>
        <v>2011</v>
      </c>
      <c r="D18" s="631">
        <v>157433.66964285716</v>
      </c>
      <c r="E18" s="630">
        <v>3816.5738095238098</v>
      </c>
      <c r="F18" s="631">
        <v>153617.09583333335</v>
      </c>
      <c r="G18" s="630">
        <v>24541.134284286942</v>
      </c>
      <c r="H18" s="639">
        <v>24541.134284286942</v>
      </c>
      <c r="I18" s="511">
        <v>0</v>
      </c>
      <c r="J18" s="511"/>
      <c r="K18" s="518">
        <f t="shared" si="0"/>
        <v>24541.134284286942</v>
      </c>
      <c r="L18" s="519">
        <f t="shared" si="1"/>
        <v>0</v>
      </c>
      <c r="M18" s="518">
        <f t="shared" si="2"/>
        <v>24541.134284286942</v>
      </c>
      <c r="N18" s="514">
        <f t="shared" si="3"/>
        <v>0</v>
      </c>
      <c r="O18" s="514">
        <f t="shared" si="4"/>
        <v>0</v>
      </c>
      <c r="P18" s="272"/>
    </row>
    <row r="19" spans="2:16">
      <c r="B19" s="195" t="str">
        <f>IF(D19=F18,"","IU")</f>
        <v/>
      </c>
      <c r="C19" s="507">
        <f>IF(D11="","-",+C18+1)</f>
        <v>2012</v>
      </c>
      <c r="D19" s="631">
        <v>153617.09583333335</v>
      </c>
      <c r="E19" s="630">
        <v>3816.5738095238098</v>
      </c>
      <c r="F19" s="631">
        <v>149800.52202380955</v>
      </c>
      <c r="G19" s="630">
        <v>24026.238371870466</v>
      </c>
      <c r="H19" s="639">
        <v>24026.238371870466</v>
      </c>
      <c r="I19" s="511">
        <v>0</v>
      </c>
      <c r="J19" s="511"/>
      <c r="K19" s="518">
        <f t="shared" si="0"/>
        <v>24026.238371870466</v>
      </c>
      <c r="L19" s="519">
        <f t="shared" si="1"/>
        <v>0</v>
      </c>
      <c r="M19" s="518">
        <f t="shared" si="2"/>
        <v>24026.238371870466</v>
      </c>
      <c r="N19" s="514">
        <f t="shared" si="3"/>
        <v>0</v>
      </c>
      <c r="O19" s="514">
        <f t="shared" si="4"/>
        <v>0</v>
      </c>
      <c r="P19" s="272"/>
    </row>
    <row r="20" spans="2:16">
      <c r="B20" s="195" t="str">
        <f t="shared" ref="B20:B72" si="5">IF(D20=F19,"","IU")</f>
        <v/>
      </c>
      <c r="C20" s="507">
        <f>IF(D11="","-",+C19+1)</f>
        <v>2013</v>
      </c>
      <c r="D20" s="631">
        <v>149800.52202380955</v>
      </c>
      <c r="E20" s="630">
        <v>3816.5738095238098</v>
      </c>
      <c r="F20" s="631">
        <v>145983.94821428575</v>
      </c>
      <c r="G20" s="630">
        <v>23511.342459453994</v>
      </c>
      <c r="H20" s="639">
        <v>23511.342459453994</v>
      </c>
      <c r="I20" s="511">
        <v>0</v>
      </c>
      <c r="J20" s="511"/>
      <c r="K20" s="518">
        <f t="shared" si="0"/>
        <v>23511.342459453994</v>
      </c>
      <c r="L20" s="519">
        <f t="shared" si="1"/>
        <v>0</v>
      </c>
      <c r="M20" s="518">
        <f t="shared" si="2"/>
        <v>23511.342459453994</v>
      </c>
      <c r="N20" s="514">
        <f t="shared" si="3"/>
        <v>0</v>
      </c>
      <c r="O20" s="514">
        <f t="shared" si="4"/>
        <v>0</v>
      </c>
      <c r="P20" s="272"/>
    </row>
    <row r="21" spans="2:16">
      <c r="B21" s="195" t="str">
        <f t="shared" si="5"/>
        <v/>
      </c>
      <c r="C21" s="507">
        <f>IF(D11="","-",+C20+1)</f>
        <v>2014</v>
      </c>
      <c r="D21" s="631">
        <v>145983.94821428575</v>
      </c>
      <c r="E21" s="630">
        <v>3816.5738095238098</v>
      </c>
      <c r="F21" s="631">
        <v>142167.37440476194</v>
      </c>
      <c r="G21" s="630">
        <v>22996.446547037518</v>
      </c>
      <c r="H21" s="639">
        <v>22996.446547037518</v>
      </c>
      <c r="I21" s="511">
        <v>0</v>
      </c>
      <c r="J21" s="511"/>
      <c r="K21" s="518">
        <f t="shared" si="0"/>
        <v>22996.446547037518</v>
      </c>
      <c r="L21" s="519">
        <f t="shared" si="1"/>
        <v>0</v>
      </c>
      <c r="M21" s="518">
        <f t="shared" si="2"/>
        <v>22996.446547037518</v>
      </c>
      <c r="N21" s="514">
        <f t="shared" si="3"/>
        <v>0</v>
      </c>
      <c r="O21" s="514">
        <f t="shared" si="4"/>
        <v>0</v>
      </c>
      <c r="P21" s="272"/>
    </row>
    <row r="22" spans="2:16">
      <c r="B22" s="195" t="str">
        <f t="shared" si="5"/>
        <v/>
      </c>
      <c r="C22" s="507">
        <f>IF(D11="","-",+C21+1)</f>
        <v>2015</v>
      </c>
      <c r="D22" s="631">
        <v>142167.37440476194</v>
      </c>
      <c r="E22" s="630">
        <v>3816.5738095238098</v>
      </c>
      <c r="F22" s="631">
        <v>138350.80059523814</v>
      </c>
      <c r="G22" s="630">
        <v>22038.03846666696</v>
      </c>
      <c r="H22" s="639">
        <v>22038.03846666696</v>
      </c>
      <c r="I22" s="511">
        <v>0</v>
      </c>
      <c r="J22" s="511"/>
      <c r="K22" s="518">
        <f t="shared" si="0"/>
        <v>22038.03846666696</v>
      </c>
      <c r="L22" s="519">
        <f t="shared" si="1"/>
        <v>0</v>
      </c>
      <c r="M22" s="518">
        <f t="shared" si="2"/>
        <v>22038.03846666696</v>
      </c>
      <c r="N22" s="514">
        <f t="shared" si="3"/>
        <v>0</v>
      </c>
      <c r="O22" s="514">
        <f t="shared" si="4"/>
        <v>0</v>
      </c>
      <c r="P22" s="272"/>
    </row>
    <row r="23" spans="2:16">
      <c r="B23" s="195" t="str">
        <f t="shared" si="5"/>
        <v/>
      </c>
      <c r="C23" s="507">
        <f>IF(D11="","-",+C22+1)</f>
        <v>2016</v>
      </c>
      <c r="D23" s="631">
        <v>138350.80059523814</v>
      </c>
      <c r="E23" s="630">
        <v>3816.5738095238098</v>
      </c>
      <c r="F23" s="631">
        <v>134534.22678571433</v>
      </c>
      <c r="G23" s="630">
        <v>21316.782668999032</v>
      </c>
      <c r="H23" s="639">
        <v>21316.782668999032</v>
      </c>
      <c r="I23" s="511">
        <f t="shared" ref="I23:I33" si="6">H23-G23</f>
        <v>0</v>
      </c>
      <c r="J23" s="511"/>
      <c r="K23" s="518">
        <f t="shared" ref="K23:K28" si="7">G23</f>
        <v>21316.782668999032</v>
      </c>
      <c r="L23" s="519">
        <f t="shared" ref="L23:L28" si="8">IF(K23&lt;&gt;0,+G23-K23,0)</f>
        <v>0</v>
      </c>
      <c r="M23" s="518">
        <f t="shared" ref="M23:M28" si="9">H23</f>
        <v>21316.782668999032</v>
      </c>
      <c r="N23" s="514">
        <f>IF(M23&lt;&gt;0,+H23-M23,0)</f>
        <v>0</v>
      </c>
      <c r="O23" s="514">
        <f>+N23-L23</f>
        <v>0</v>
      </c>
      <c r="P23" s="272"/>
    </row>
    <row r="24" spans="2:16">
      <c r="B24" s="195" t="str">
        <f t="shared" si="5"/>
        <v/>
      </c>
      <c r="C24" s="507">
        <f>IF(D11="","-",+C23+1)</f>
        <v>2017</v>
      </c>
      <c r="D24" s="631">
        <v>134534.22678571433</v>
      </c>
      <c r="E24" s="630">
        <v>3727.8162790697675</v>
      </c>
      <c r="F24" s="631">
        <v>130806.41050664456</v>
      </c>
      <c r="G24" s="630">
        <v>20164.678191842031</v>
      </c>
      <c r="H24" s="639">
        <v>20164.678191842031</v>
      </c>
      <c r="I24" s="511">
        <f t="shared" si="6"/>
        <v>0</v>
      </c>
      <c r="J24" s="511"/>
      <c r="K24" s="518">
        <f t="shared" si="7"/>
        <v>20164.678191842031</v>
      </c>
      <c r="L24" s="519">
        <f t="shared" si="8"/>
        <v>0</v>
      </c>
      <c r="M24" s="518">
        <f t="shared" si="9"/>
        <v>20164.678191842031</v>
      </c>
      <c r="N24" s="514">
        <f>IF(M24&lt;&gt;0,+H24-M24,0)</f>
        <v>0</v>
      </c>
      <c r="O24" s="514">
        <f>+N24-L24</f>
        <v>0</v>
      </c>
      <c r="P24" s="272"/>
    </row>
    <row r="25" spans="2:16">
      <c r="B25" s="195" t="str">
        <f t="shared" si="5"/>
        <v/>
      </c>
      <c r="C25" s="507">
        <f>IF(D11="","-",+C24+1)</f>
        <v>2018</v>
      </c>
      <c r="D25" s="631">
        <v>130806.41050664456</v>
      </c>
      <c r="E25" s="630">
        <v>3909.6609756097564</v>
      </c>
      <c r="F25" s="631">
        <v>126896.7495310348</v>
      </c>
      <c r="G25" s="630">
        <v>20285.936433586696</v>
      </c>
      <c r="H25" s="639">
        <v>20285.936433586696</v>
      </c>
      <c r="I25" s="511">
        <f t="shared" si="6"/>
        <v>0</v>
      </c>
      <c r="J25" s="511"/>
      <c r="K25" s="518">
        <f t="shared" si="7"/>
        <v>20285.936433586696</v>
      </c>
      <c r="L25" s="519">
        <f t="shared" si="8"/>
        <v>0</v>
      </c>
      <c r="M25" s="518">
        <f t="shared" si="9"/>
        <v>20285.936433586696</v>
      </c>
      <c r="N25" s="514">
        <f>IF(M25&lt;&gt;0,+H25-M25,0)</f>
        <v>0</v>
      </c>
      <c r="O25" s="514">
        <f>+N25-L25</f>
        <v>0</v>
      </c>
      <c r="P25" s="272"/>
    </row>
    <row r="26" spans="2:16">
      <c r="B26" s="195" t="str">
        <f t="shared" si="5"/>
        <v/>
      </c>
      <c r="C26" s="507">
        <f>IF(D11="","-",+C25+1)</f>
        <v>2019</v>
      </c>
      <c r="D26" s="631">
        <v>126896.7495310348</v>
      </c>
      <c r="E26" s="630">
        <v>3909.6609756097564</v>
      </c>
      <c r="F26" s="631">
        <v>122987.08855542504</v>
      </c>
      <c r="G26" s="630">
        <v>19789.041594776594</v>
      </c>
      <c r="H26" s="639">
        <v>19789.041594776594</v>
      </c>
      <c r="I26" s="511">
        <f t="shared" si="6"/>
        <v>0</v>
      </c>
      <c r="J26" s="511"/>
      <c r="K26" s="518">
        <f t="shared" si="7"/>
        <v>19789.041594776594</v>
      </c>
      <c r="L26" s="519">
        <f t="shared" si="8"/>
        <v>0</v>
      </c>
      <c r="M26" s="518">
        <f t="shared" si="9"/>
        <v>19789.041594776594</v>
      </c>
      <c r="N26" s="514">
        <f t="shared" ref="N26:N72" si="10">IF(M26&lt;&gt;0,+H26-M26,0)</f>
        <v>0</v>
      </c>
      <c r="O26" s="514">
        <f t="shared" ref="O26:O72" si="11">+N26-L26</f>
        <v>0</v>
      </c>
      <c r="P26" s="272"/>
    </row>
    <row r="27" spans="2:16">
      <c r="B27" s="195" t="str">
        <f t="shared" si="5"/>
        <v/>
      </c>
      <c r="C27" s="507">
        <f>IF(D11="","-",+C26+1)</f>
        <v>2020</v>
      </c>
      <c r="D27" s="631">
        <v>122987.08855542504</v>
      </c>
      <c r="E27" s="630">
        <v>3909.6609756097564</v>
      </c>
      <c r="F27" s="631">
        <v>119077.42757981528</v>
      </c>
      <c r="G27" s="630">
        <v>16295.552209349336</v>
      </c>
      <c r="H27" s="639">
        <v>16295.552209349336</v>
      </c>
      <c r="I27" s="511">
        <f t="shared" si="6"/>
        <v>0</v>
      </c>
      <c r="J27" s="511"/>
      <c r="K27" s="518">
        <f t="shared" si="7"/>
        <v>16295.552209349336</v>
      </c>
      <c r="L27" s="519">
        <f t="shared" si="8"/>
        <v>0</v>
      </c>
      <c r="M27" s="518">
        <f t="shared" si="9"/>
        <v>16295.552209349336</v>
      </c>
      <c r="N27" s="514">
        <f t="shared" si="10"/>
        <v>0</v>
      </c>
      <c r="O27" s="514">
        <f t="shared" si="11"/>
        <v>0</v>
      </c>
      <c r="P27" s="272"/>
    </row>
    <row r="28" spans="2:16">
      <c r="B28" s="195" t="str">
        <f t="shared" si="5"/>
        <v>IU</v>
      </c>
      <c r="C28" s="507">
        <f>IF(D11="","-",+C27+1)</f>
        <v>2021</v>
      </c>
      <c r="D28" s="631">
        <v>119259.27227635524</v>
      </c>
      <c r="E28" s="630">
        <v>3816.5738095238098</v>
      </c>
      <c r="F28" s="631">
        <v>115442.69846683144</v>
      </c>
      <c r="G28" s="630">
        <v>16256.311624142963</v>
      </c>
      <c r="H28" s="639">
        <v>16256.311624142963</v>
      </c>
      <c r="I28" s="511">
        <f t="shared" si="6"/>
        <v>0</v>
      </c>
      <c r="J28" s="511"/>
      <c r="K28" s="518">
        <f t="shared" si="7"/>
        <v>16256.311624142963</v>
      </c>
      <c r="L28" s="519">
        <f t="shared" si="8"/>
        <v>0</v>
      </c>
      <c r="M28" s="518">
        <f t="shared" si="9"/>
        <v>16256.311624142963</v>
      </c>
      <c r="N28" s="514">
        <f t="shared" si="10"/>
        <v>0</v>
      </c>
      <c r="O28" s="514">
        <f t="shared" si="11"/>
        <v>0</v>
      </c>
      <c r="P28" s="272"/>
    </row>
    <row r="29" spans="2:16">
      <c r="B29" s="195" t="str">
        <f t="shared" si="5"/>
        <v>IU</v>
      </c>
      <c r="C29" s="507">
        <f>IF(D11="","-",+C28+1)</f>
        <v>2022</v>
      </c>
      <c r="D29" s="631">
        <v>115260.85377029145</v>
      </c>
      <c r="E29" s="630">
        <v>3816.5738095238098</v>
      </c>
      <c r="F29" s="631">
        <v>111444.27996076764</v>
      </c>
      <c r="G29" s="630">
        <v>16562.400820096133</v>
      </c>
      <c r="H29" s="639">
        <v>16562.400820096133</v>
      </c>
      <c r="I29" s="511">
        <f t="shared" si="6"/>
        <v>0</v>
      </c>
      <c r="J29" s="511"/>
      <c r="K29" s="518">
        <f t="shared" ref="K29" si="12">G29</f>
        <v>16562.400820096133</v>
      </c>
      <c r="L29" s="519">
        <f t="shared" ref="L29" si="13">IF(K29&lt;&gt;0,+G29-K29,0)</f>
        <v>0</v>
      </c>
      <c r="M29" s="518">
        <f t="shared" ref="M29" si="14">H29</f>
        <v>16562.400820096133</v>
      </c>
      <c r="N29" s="514">
        <f t="shared" si="10"/>
        <v>0</v>
      </c>
      <c r="O29" s="514">
        <f t="shared" si="11"/>
        <v>0</v>
      </c>
      <c r="P29" s="272"/>
    </row>
    <row r="30" spans="2:16">
      <c r="B30" s="195" t="str">
        <f t="shared" si="5"/>
        <v/>
      </c>
      <c r="C30" s="507">
        <f>IF(D11="","-",+C29+1)</f>
        <v>2023</v>
      </c>
      <c r="D30" s="631">
        <v>111444.27996076764</v>
      </c>
      <c r="E30" s="630">
        <v>3816.5738095238098</v>
      </c>
      <c r="F30" s="631">
        <v>107627.70615124384</v>
      </c>
      <c r="G30" s="630">
        <v>17653.903980447743</v>
      </c>
      <c r="H30" s="639">
        <v>17653.903980447743</v>
      </c>
      <c r="I30" s="511">
        <f t="shared" si="6"/>
        <v>0</v>
      </c>
      <c r="J30" s="511"/>
      <c r="K30" s="518">
        <f t="shared" ref="K30" si="15">G30</f>
        <v>17653.903980447743</v>
      </c>
      <c r="L30" s="519">
        <f t="shared" ref="L30" si="16">IF(K30&lt;&gt;0,+G30-K30,0)</f>
        <v>0</v>
      </c>
      <c r="M30" s="518">
        <f t="shared" ref="M30" si="17">H30</f>
        <v>17653.903980447743</v>
      </c>
      <c r="N30" s="514">
        <f t="shared" ref="N30" si="18">IF(M30&lt;&gt;0,+H30-M30,0)</f>
        <v>0</v>
      </c>
      <c r="O30" s="514">
        <f t="shared" ref="O30" si="19">+N30-L30</f>
        <v>0</v>
      </c>
      <c r="P30" s="272"/>
    </row>
    <row r="31" spans="2:16">
      <c r="B31" s="195" t="str">
        <f t="shared" si="5"/>
        <v/>
      </c>
      <c r="C31" s="673">
        <f>IF(D11="","-",+C30+1)</f>
        <v>2024</v>
      </c>
      <c r="D31" s="523">
        <f>IF(F30+SUM(E$17:E30)=D$10,F30,D$10-SUM(E$17:E30))</f>
        <v>107627.70615124384</v>
      </c>
      <c r="E31" s="522">
        <f>IF(+I14&lt;F30,I14,D31)</f>
        <v>3643.0931818181821</v>
      </c>
      <c r="F31" s="523">
        <f t="shared" ref="F31:F33" si="20">+D31-E31</f>
        <v>103984.61296942565</v>
      </c>
      <c r="G31" s="524">
        <f t="shared" ref="G31:G55" si="21">+I$12*((D31+F31)/2)+E31</f>
        <v>16289.799945394194</v>
      </c>
      <c r="H31" s="491">
        <f t="shared" ref="H31:H55" si="22">+I$13*((D31+F31)/2)+E31</f>
        <v>16289.799945394194</v>
      </c>
      <c r="I31" s="511">
        <f t="shared" si="6"/>
        <v>0</v>
      </c>
      <c r="J31" s="511"/>
      <c r="K31" s="525"/>
      <c r="L31" s="514">
        <f t="shared" ref="L31:L72" si="23">IF(K31&lt;&gt;0,+G31-K31,0)</f>
        <v>0</v>
      </c>
      <c r="M31" s="525"/>
      <c r="N31" s="514">
        <f t="shared" si="10"/>
        <v>0</v>
      </c>
      <c r="O31" s="514">
        <f t="shared" si="11"/>
        <v>0</v>
      </c>
      <c r="P31" s="272"/>
    </row>
    <row r="32" spans="2:16">
      <c r="B32" s="195" t="str">
        <f t="shared" si="5"/>
        <v/>
      </c>
      <c r="C32" s="507">
        <f>IF(D11="","-",+C31+1)</f>
        <v>2025</v>
      </c>
      <c r="D32" s="523">
        <f>IF(F31+SUM(E$17:E31)=D$10,F31,D$10-SUM(E$17:E31))</f>
        <v>103984.61296942565</v>
      </c>
      <c r="E32" s="522">
        <f>IF(+I14&lt;F31,I14,D32)</f>
        <v>3643.0931818181821</v>
      </c>
      <c r="F32" s="523">
        <f t="shared" si="20"/>
        <v>100341.51978760747</v>
      </c>
      <c r="G32" s="524">
        <f t="shared" si="21"/>
        <v>15854.351467023092</v>
      </c>
      <c r="H32" s="491">
        <f t="shared" si="22"/>
        <v>15854.351467023092</v>
      </c>
      <c r="I32" s="511">
        <f t="shared" si="6"/>
        <v>0</v>
      </c>
      <c r="J32" s="511"/>
      <c r="K32" s="525"/>
      <c r="L32" s="514">
        <f t="shared" si="23"/>
        <v>0</v>
      </c>
      <c r="M32" s="525"/>
      <c r="N32" s="514">
        <f t="shared" si="10"/>
        <v>0</v>
      </c>
      <c r="O32" s="514">
        <f t="shared" si="11"/>
        <v>0</v>
      </c>
      <c r="P32" s="272"/>
    </row>
    <row r="33" spans="2:16">
      <c r="B33" s="195" t="str">
        <f t="shared" si="5"/>
        <v/>
      </c>
      <c r="C33" s="507">
        <f>IF(D11="","-",+C32+1)</f>
        <v>2026</v>
      </c>
      <c r="D33" s="523">
        <f>IF(F32+SUM(E$17:E32)=D$10,F32,D$10-SUM(E$17:E32))</f>
        <v>100341.51978760747</v>
      </c>
      <c r="E33" s="522">
        <f>IF(+I14&lt;F32,I14,D33)</f>
        <v>3643.0931818181821</v>
      </c>
      <c r="F33" s="523">
        <f t="shared" si="20"/>
        <v>96698.426605789282</v>
      </c>
      <c r="G33" s="524">
        <f t="shared" si="21"/>
        <v>15418.902988651993</v>
      </c>
      <c r="H33" s="491">
        <f t="shared" si="22"/>
        <v>15418.902988651993</v>
      </c>
      <c r="I33" s="511">
        <f t="shared" si="6"/>
        <v>0</v>
      </c>
      <c r="J33" s="511"/>
      <c r="K33" s="525"/>
      <c r="L33" s="514">
        <f t="shared" si="23"/>
        <v>0</v>
      </c>
      <c r="M33" s="525"/>
      <c r="N33" s="514">
        <f t="shared" si="10"/>
        <v>0</v>
      </c>
      <c r="O33" s="514">
        <f t="shared" si="11"/>
        <v>0</v>
      </c>
      <c r="P33" s="272"/>
    </row>
    <row r="34" spans="2:16">
      <c r="B34" s="195" t="str">
        <f t="shared" si="5"/>
        <v/>
      </c>
      <c r="C34" s="507">
        <f>IF(D11="","-",+C33+1)</f>
        <v>2027</v>
      </c>
      <c r="D34" s="523">
        <f>IF(F33+SUM(E$17:E33)=D$10,F33,D$10-SUM(E$17:E33))</f>
        <v>96698.426605789282</v>
      </c>
      <c r="E34" s="522">
        <f>IF(+I14&lt;F33,I14,D34)</f>
        <v>3643.0931818181821</v>
      </c>
      <c r="F34" s="523">
        <f t="shared" ref="F34:F72" si="24">+D34-E34</f>
        <v>93055.333423971097</v>
      </c>
      <c r="G34" s="524">
        <f t="shared" si="21"/>
        <v>14983.45451028089</v>
      </c>
      <c r="H34" s="491">
        <f t="shared" si="22"/>
        <v>14983.45451028089</v>
      </c>
      <c r="I34" s="511">
        <f t="shared" ref="I34:I72" si="25">H34-G34</f>
        <v>0</v>
      </c>
      <c r="J34" s="511"/>
      <c r="K34" s="525"/>
      <c r="L34" s="514">
        <f t="shared" si="23"/>
        <v>0</v>
      </c>
      <c r="M34" s="525"/>
      <c r="N34" s="514">
        <f t="shared" si="10"/>
        <v>0</v>
      </c>
      <c r="O34" s="514">
        <f t="shared" si="11"/>
        <v>0</v>
      </c>
      <c r="P34" s="272"/>
    </row>
    <row r="35" spans="2:16">
      <c r="B35" s="195" t="str">
        <f t="shared" si="5"/>
        <v/>
      </c>
      <c r="C35" s="507">
        <f>IF(D11="","-",+C34+1)</f>
        <v>2028</v>
      </c>
      <c r="D35" s="523">
        <f>IF(F34+SUM(E$17:E34)=D$10,F34,D$10-SUM(E$17:E34))</f>
        <v>93055.333423971097</v>
      </c>
      <c r="E35" s="522">
        <f>IF(+I14&lt;F34,I14,D35)</f>
        <v>3643.0931818181821</v>
      </c>
      <c r="F35" s="523">
        <f t="shared" si="24"/>
        <v>89412.240242152911</v>
      </c>
      <c r="G35" s="524">
        <f t="shared" si="21"/>
        <v>14548.00603190979</v>
      </c>
      <c r="H35" s="491">
        <f t="shared" si="22"/>
        <v>14548.00603190979</v>
      </c>
      <c r="I35" s="511">
        <f t="shared" si="25"/>
        <v>0</v>
      </c>
      <c r="J35" s="511"/>
      <c r="K35" s="525"/>
      <c r="L35" s="514">
        <f t="shared" si="23"/>
        <v>0</v>
      </c>
      <c r="M35" s="525"/>
      <c r="N35" s="514">
        <f t="shared" si="10"/>
        <v>0</v>
      </c>
      <c r="O35" s="514">
        <f t="shared" si="11"/>
        <v>0</v>
      </c>
      <c r="P35" s="272"/>
    </row>
    <row r="36" spans="2:16">
      <c r="B36" s="195" t="str">
        <f t="shared" si="5"/>
        <v/>
      </c>
      <c r="C36" s="507">
        <f>IF(D11="","-",+C35+1)</f>
        <v>2029</v>
      </c>
      <c r="D36" s="523">
        <f>IF(F35+SUM(E$17:E35)=D$10,F35,D$10-SUM(E$17:E35))</f>
        <v>89412.240242152911</v>
      </c>
      <c r="E36" s="522">
        <f>IF(+I14&lt;F35,I14,D36)</f>
        <v>3643.0931818181821</v>
      </c>
      <c r="F36" s="523">
        <f t="shared" si="24"/>
        <v>85769.147060334726</v>
      </c>
      <c r="G36" s="524">
        <f t="shared" si="21"/>
        <v>14112.557553538687</v>
      </c>
      <c r="H36" s="491">
        <f t="shared" si="22"/>
        <v>14112.557553538687</v>
      </c>
      <c r="I36" s="511">
        <f t="shared" si="25"/>
        <v>0</v>
      </c>
      <c r="J36" s="511"/>
      <c r="K36" s="525"/>
      <c r="L36" s="514">
        <f t="shared" si="23"/>
        <v>0</v>
      </c>
      <c r="M36" s="525"/>
      <c r="N36" s="514">
        <f t="shared" si="10"/>
        <v>0</v>
      </c>
      <c r="O36" s="514">
        <f t="shared" si="11"/>
        <v>0</v>
      </c>
      <c r="P36" s="272"/>
    </row>
    <row r="37" spans="2:16">
      <c r="B37" s="195" t="str">
        <f t="shared" si="5"/>
        <v/>
      </c>
      <c r="C37" s="507">
        <f>IF(D11="","-",+C36+1)</f>
        <v>2030</v>
      </c>
      <c r="D37" s="523">
        <f>IF(F36+SUM(E$17:E36)=D$10,F36,D$10-SUM(E$17:E36))</f>
        <v>85769.147060334726</v>
      </c>
      <c r="E37" s="522">
        <f>IF(+I14&lt;F36,I14,D37)</f>
        <v>3643.0931818181821</v>
      </c>
      <c r="F37" s="523">
        <f t="shared" si="24"/>
        <v>82126.053878516541</v>
      </c>
      <c r="G37" s="524">
        <f t="shared" si="21"/>
        <v>13677.109075167587</v>
      </c>
      <c r="H37" s="491">
        <f t="shared" si="22"/>
        <v>13677.109075167587</v>
      </c>
      <c r="I37" s="511">
        <f t="shared" si="25"/>
        <v>0</v>
      </c>
      <c r="J37" s="511"/>
      <c r="K37" s="525"/>
      <c r="L37" s="514">
        <f t="shared" si="23"/>
        <v>0</v>
      </c>
      <c r="M37" s="525"/>
      <c r="N37" s="514">
        <f t="shared" si="10"/>
        <v>0</v>
      </c>
      <c r="O37" s="514">
        <f t="shared" si="11"/>
        <v>0</v>
      </c>
      <c r="P37" s="272"/>
    </row>
    <row r="38" spans="2:16">
      <c r="B38" s="195" t="str">
        <f t="shared" si="5"/>
        <v/>
      </c>
      <c r="C38" s="507">
        <f>IF(D11="","-",+C37+1)</f>
        <v>2031</v>
      </c>
      <c r="D38" s="523">
        <f>IF(F37+SUM(E$17:E37)=D$10,F37,D$10-SUM(E$17:E37))</f>
        <v>82126.053878516541</v>
      </c>
      <c r="E38" s="522">
        <f>IF(+I14&lt;F37,I14,D38)</f>
        <v>3643.0931818181821</v>
      </c>
      <c r="F38" s="523">
        <f t="shared" si="24"/>
        <v>78482.960696698356</v>
      </c>
      <c r="G38" s="524">
        <f t="shared" si="21"/>
        <v>13241.660596796484</v>
      </c>
      <c r="H38" s="491">
        <f t="shared" si="22"/>
        <v>13241.660596796484</v>
      </c>
      <c r="I38" s="511">
        <f t="shared" si="25"/>
        <v>0</v>
      </c>
      <c r="J38" s="511"/>
      <c r="K38" s="525"/>
      <c r="L38" s="514">
        <f t="shared" si="23"/>
        <v>0</v>
      </c>
      <c r="M38" s="525"/>
      <c r="N38" s="514">
        <f t="shared" si="10"/>
        <v>0</v>
      </c>
      <c r="O38" s="514">
        <f t="shared" si="11"/>
        <v>0</v>
      </c>
      <c r="P38" s="272"/>
    </row>
    <row r="39" spans="2:16">
      <c r="B39" s="195" t="str">
        <f t="shared" si="5"/>
        <v/>
      </c>
      <c r="C39" s="507">
        <f>IF(D11="","-",+C38+1)</f>
        <v>2032</v>
      </c>
      <c r="D39" s="523">
        <f>IF(F38+SUM(E$17:E38)=D$10,F38,D$10-SUM(E$17:E38))</f>
        <v>78482.960696698356</v>
      </c>
      <c r="E39" s="522">
        <f>IF(+I14&lt;F38,I14,D39)</f>
        <v>3643.0931818181821</v>
      </c>
      <c r="F39" s="523">
        <f t="shared" si="24"/>
        <v>74839.86751488017</v>
      </c>
      <c r="G39" s="524">
        <f t="shared" si="21"/>
        <v>12806.212118425387</v>
      </c>
      <c r="H39" s="491">
        <f t="shared" si="22"/>
        <v>12806.212118425387</v>
      </c>
      <c r="I39" s="511">
        <f t="shared" si="25"/>
        <v>0</v>
      </c>
      <c r="J39" s="511"/>
      <c r="K39" s="525"/>
      <c r="L39" s="514">
        <f t="shared" si="23"/>
        <v>0</v>
      </c>
      <c r="M39" s="525"/>
      <c r="N39" s="514">
        <f t="shared" si="10"/>
        <v>0</v>
      </c>
      <c r="O39" s="514">
        <f t="shared" si="11"/>
        <v>0</v>
      </c>
      <c r="P39" s="272"/>
    </row>
    <row r="40" spans="2:16">
      <c r="B40" s="195" t="str">
        <f t="shared" si="5"/>
        <v/>
      </c>
      <c r="C40" s="507">
        <f>IF(D11="","-",+C39+1)</f>
        <v>2033</v>
      </c>
      <c r="D40" s="523">
        <f>IF(F39+SUM(E$17:E39)=D$10,F39,D$10-SUM(E$17:E39))</f>
        <v>74839.86751488017</v>
      </c>
      <c r="E40" s="522">
        <f>IF(+I14&lt;F39,I14,D40)</f>
        <v>3643.0931818181821</v>
      </c>
      <c r="F40" s="523">
        <f t="shared" si="24"/>
        <v>71196.774333061985</v>
      </c>
      <c r="G40" s="524">
        <f t="shared" si="21"/>
        <v>12370.763640054283</v>
      </c>
      <c r="H40" s="491">
        <f t="shared" si="22"/>
        <v>12370.763640054283</v>
      </c>
      <c r="I40" s="511">
        <f t="shared" si="25"/>
        <v>0</v>
      </c>
      <c r="J40" s="511"/>
      <c r="K40" s="525"/>
      <c r="L40" s="514">
        <f t="shared" si="23"/>
        <v>0</v>
      </c>
      <c r="M40" s="525"/>
      <c r="N40" s="514">
        <f t="shared" si="10"/>
        <v>0</v>
      </c>
      <c r="O40" s="514">
        <f t="shared" si="11"/>
        <v>0</v>
      </c>
      <c r="P40" s="272"/>
    </row>
    <row r="41" spans="2:16">
      <c r="B41" s="195" t="str">
        <f t="shared" si="5"/>
        <v/>
      </c>
      <c r="C41" s="507">
        <f>IF(D11="","-",+C40+1)</f>
        <v>2034</v>
      </c>
      <c r="D41" s="523">
        <f>IF(F40+SUM(E$17:E40)=D$10,F40,D$10-SUM(E$17:E40))</f>
        <v>71196.774333061985</v>
      </c>
      <c r="E41" s="522">
        <f>IF(+I14&lt;F40,I14,D41)</f>
        <v>3643.0931818181821</v>
      </c>
      <c r="F41" s="523">
        <f t="shared" si="24"/>
        <v>67553.6811512438</v>
      </c>
      <c r="G41" s="524">
        <f t="shared" si="21"/>
        <v>11935.315161683184</v>
      </c>
      <c r="H41" s="491">
        <f t="shared" si="22"/>
        <v>11935.315161683184</v>
      </c>
      <c r="I41" s="511">
        <f t="shared" si="25"/>
        <v>0</v>
      </c>
      <c r="J41" s="511"/>
      <c r="K41" s="525"/>
      <c r="L41" s="514">
        <f t="shared" si="23"/>
        <v>0</v>
      </c>
      <c r="M41" s="525"/>
      <c r="N41" s="514">
        <f t="shared" si="10"/>
        <v>0</v>
      </c>
      <c r="O41" s="514">
        <f t="shared" si="11"/>
        <v>0</v>
      </c>
      <c r="P41" s="272"/>
    </row>
    <row r="42" spans="2:16">
      <c r="B42" s="195" t="str">
        <f t="shared" si="5"/>
        <v/>
      </c>
      <c r="C42" s="507">
        <f>IF(D11="","-",+C41+1)</f>
        <v>2035</v>
      </c>
      <c r="D42" s="523">
        <f>IF(F41+SUM(E$17:E41)=D$10,F41,D$10-SUM(E$17:E41))</f>
        <v>67553.6811512438</v>
      </c>
      <c r="E42" s="522">
        <f>IF(+I14&lt;F41,I14,D42)</f>
        <v>3643.0931818181821</v>
      </c>
      <c r="F42" s="523">
        <f t="shared" si="24"/>
        <v>63910.587969425615</v>
      </c>
      <c r="G42" s="524">
        <f t="shared" si="21"/>
        <v>11499.866683312081</v>
      </c>
      <c r="H42" s="491">
        <f t="shared" si="22"/>
        <v>11499.866683312081</v>
      </c>
      <c r="I42" s="511">
        <f t="shared" si="25"/>
        <v>0</v>
      </c>
      <c r="J42" s="511"/>
      <c r="K42" s="525"/>
      <c r="L42" s="514">
        <f t="shared" si="23"/>
        <v>0</v>
      </c>
      <c r="M42" s="525"/>
      <c r="N42" s="514">
        <f t="shared" si="10"/>
        <v>0</v>
      </c>
      <c r="O42" s="514">
        <f t="shared" si="11"/>
        <v>0</v>
      </c>
      <c r="P42" s="272"/>
    </row>
    <row r="43" spans="2:16">
      <c r="B43" s="195" t="str">
        <f t="shared" si="5"/>
        <v/>
      </c>
      <c r="C43" s="507">
        <f>IF(D11="","-",+C42+1)</f>
        <v>2036</v>
      </c>
      <c r="D43" s="523">
        <f>IF(F42+SUM(E$17:E42)=D$10,F42,D$10-SUM(E$17:E42))</f>
        <v>63910.587969425615</v>
      </c>
      <c r="E43" s="522">
        <f>IF(+I14&lt;F42,I14,D43)</f>
        <v>3643.0931818181821</v>
      </c>
      <c r="F43" s="523">
        <f t="shared" si="24"/>
        <v>60267.494787607429</v>
      </c>
      <c r="G43" s="524">
        <f t="shared" si="21"/>
        <v>11064.418204940981</v>
      </c>
      <c r="H43" s="491">
        <f t="shared" si="22"/>
        <v>11064.418204940981</v>
      </c>
      <c r="I43" s="511">
        <f t="shared" si="25"/>
        <v>0</v>
      </c>
      <c r="J43" s="511"/>
      <c r="K43" s="525"/>
      <c r="L43" s="514">
        <f t="shared" si="23"/>
        <v>0</v>
      </c>
      <c r="M43" s="525"/>
      <c r="N43" s="514">
        <f t="shared" si="10"/>
        <v>0</v>
      </c>
      <c r="O43" s="514">
        <f t="shared" si="11"/>
        <v>0</v>
      </c>
      <c r="P43" s="272"/>
    </row>
    <row r="44" spans="2:16">
      <c r="B44" s="195" t="str">
        <f t="shared" si="5"/>
        <v/>
      </c>
      <c r="C44" s="507">
        <f>IF(D11="","-",+C43+1)</f>
        <v>2037</v>
      </c>
      <c r="D44" s="523">
        <f>IF(F43+SUM(E$17:E43)=D$10,F43,D$10-SUM(E$17:E43))</f>
        <v>60267.494787607429</v>
      </c>
      <c r="E44" s="522">
        <f>IF(+I14&lt;F43,I14,D44)</f>
        <v>3643.0931818181821</v>
      </c>
      <c r="F44" s="523">
        <f t="shared" si="24"/>
        <v>56624.401605789244</v>
      </c>
      <c r="G44" s="524">
        <f t="shared" si="21"/>
        <v>10628.96972656988</v>
      </c>
      <c r="H44" s="491">
        <f t="shared" si="22"/>
        <v>10628.96972656988</v>
      </c>
      <c r="I44" s="511">
        <f t="shared" si="25"/>
        <v>0</v>
      </c>
      <c r="J44" s="511"/>
      <c r="K44" s="525"/>
      <c r="L44" s="514">
        <f t="shared" si="23"/>
        <v>0</v>
      </c>
      <c r="M44" s="525"/>
      <c r="N44" s="514">
        <f t="shared" si="10"/>
        <v>0</v>
      </c>
      <c r="O44" s="514">
        <f t="shared" si="11"/>
        <v>0</v>
      </c>
      <c r="P44" s="272"/>
    </row>
    <row r="45" spans="2:16">
      <c r="B45" s="195" t="str">
        <f t="shared" si="5"/>
        <v/>
      </c>
      <c r="C45" s="507">
        <f>IF(D11="","-",+C44+1)</f>
        <v>2038</v>
      </c>
      <c r="D45" s="523">
        <f>IF(F44+SUM(E$17:E44)=D$10,F44,D$10-SUM(E$17:E44))</f>
        <v>56624.401605789244</v>
      </c>
      <c r="E45" s="522">
        <f>IF(+I14&lt;F44,I14,D45)</f>
        <v>3643.0931818181821</v>
      </c>
      <c r="F45" s="523">
        <f t="shared" si="24"/>
        <v>52981.308423971059</v>
      </c>
      <c r="G45" s="524">
        <f t="shared" si="21"/>
        <v>10193.521248198778</v>
      </c>
      <c r="H45" s="491">
        <f t="shared" si="22"/>
        <v>10193.521248198778</v>
      </c>
      <c r="I45" s="511">
        <f t="shared" si="25"/>
        <v>0</v>
      </c>
      <c r="J45" s="511"/>
      <c r="K45" s="525"/>
      <c r="L45" s="514">
        <f t="shared" si="23"/>
        <v>0</v>
      </c>
      <c r="M45" s="525"/>
      <c r="N45" s="514">
        <f t="shared" si="10"/>
        <v>0</v>
      </c>
      <c r="O45" s="514">
        <f t="shared" si="11"/>
        <v>0</v>
      </c>
      <c r="P45" s="272"/>
    </row>
    <row r="46" spans="2:16">
      <c r="B46" s="195" t="str">
        <f t="shared" si="5"/>
        <v/>
      </c>
      <c r="C46" s="507">
        <f>IF(D11="","-",+C45+1)</f>
        <v>2039</v>
      </c>
      <c r="D46" s="523">
        <f>IF(F45+SUM(E$17:E45)=D$10,F45,D$10-SUM(E$17:E45))</f>
        <v>52981.308423971059</v>
      </c>
      <c r="E46" s="522">
        <f>IF(+I14&lt;F45,I14,D46)</f>
        <v>3643.0931818181821</v>
      </c>
      <c r="F46" s="523">
        <f t="shared" si="24"/>
        <v>49338.215242152874</v>
      </c>
      <c r="G46" s="524">
        <f t="shared" si="21"/>
        <v>9758.0727698276769</v>
      </c>
      <c r="H46" s="491">
        <f t="shared" si="22"/>
        <v>9758.0727698276769</v>
      </c>
      <c r="I46" s="511">
        <f t="shared" si="25"/>
        <v>0</v>
      </c>
      <c r="J46" s="511"/>
      <c r="K46" s="525"/>
      <c r="L46" s="514">
        <f t="shared" si="23"/>
        <v>0</v>
      </c>
      <c r="M46" s="525"/>
      <c r="N46" s="514">
        <f t="shared" si="10"/>
        <v>0</v>
      </c>
      <c r="O46" s="514">
        <f t="shared" si="11"/>
        <v>0</v>
      </c>
      <c r="P46" s="272"/>
    </row>
    <row r="47" spans="2:16">
      <c r="B47" s="195" t="str">
        <f t="shared" si="5"/>
        <v/>
      </c>
      <c r="C47" s="507">
        <f>IF(D11="","-",+C46+1)</f>
        <v>2040</v>
      </c>
      <c r="D47" s="523">
        <f>IF(F46+SUM(E$17:E46)=D$10,F46,D$10-SUM(E$17:E46))</f>
        <v>49338.215242152874</v>
      </c>
      <c r="E47" s="522">
        <f>IF(+I14&lt;F46,I14,D47)</f>
        <v>3643.0931818181821</v>
      </c>
      <c r="F47" s="523">
        <f t="shared" si="24"/>
        <v>45695.122060334688</v>
      </c>
      <c r="G47" s="524">
        <f t="shared" si="21"/>
        <v>9322.6242914565755</v>
      </c>
      <c r="H47" s="491">
        <f t="shared" si="22"/>
        <v>9322.6242914565755</v>
      </c>
      <c r="I47" s="511">
        <f t="shared" si="25"/>
        <v>0</v>
      </c>
      <c r="J47" s="511"/>
      <c r="K47" s="525"/>
      <c r="L47" s="514">
        <f t="shared" si="23"/>
        <v>0</v>
      </c>
      <c r="M47" s="525"/>
      <c r="N47" s="514">
        <f t="shared" si="10"/>
        <v>0</v>
      </c>
      <c r="O47" s="514">
        <f t="shared" si="11"/>
        <v>0</v>
      </c>
      <c r="P47" s="272"/>
    </row>
    <row r="48" spans="2:16">
      <c r="B48" s="195" t="str">
        <f t="shared" si="5"/>
        <v/>
      </c>
      <c r="C48" s="507">
        <f>IF(D11="","-",+C47+1)</f>
        <v>2041</v>
      </c>
      <c r="D48" s="523">
        <f>IF(F47+SUM(E$17:E47)=D$10,F47,D$10-SUM(E$17:E47))</f>
        <v>45695.122060334688</v>
      </c>
      <c r="E48" s="522">
        <f>IF(+I14&lt;F47,I14,D48)</f>
        <v>3643.0931818181821</v>
      </c>
      <c r="F48" s="523">
        <f t="shared" si="24"/>
        <v>42052.028878516503</v>
      </c>
      <c r="G48" s="524">
        <f t="shared" si="21"/>
        <v>8887.175813085476</v>
      </c>
      <c r="H48" s="491">
        <f t="shared" si="22"/>
        <v>8887.175813085476</v>
      </c>
      <c r="I48" s="511">
        <f t="shared" si="25"/>
        <v>0</v>
      </c>
      <c r="J48" s="511"/>
      <c r="K48" s="525"/>
      <c r="L48" s="514">
        <f t="shared" si="23"/>
        <v>0</v>
      </c>
      <c r="M48" s="525"/>
      <c r="N48" s="514">
        <f t="shared" si="10"/>
        <v>0</v>
      </c>
      <c r="O48" s="514">
        <f t="shared" si="11"/>
        <v>0</v>
      </c>
      <c r="P48" s="272"/>
    </row>
    <row r="49" spans="2:16">
      <c r="B49" s="195" t="str">
        <f t="shared" si="5"/>
        <v/>
      </c>
      <c r="C49" s="507">
        <f>IF(D11="","-",+C48+1)</f>
        <v>2042</v>
      </c>
      <c r="D49" s="523">
        <f>IF(F48+SUM(E$17:E48)=D$10,F48,D$10-SUM(E$17:E48))</f>
        <v>42052.028878516503</v>
      </c>
      <c r="E49" s="522">
        <f>IF(+I14&lt;F48,I14,D49)</f>
        <v>3643.0931818181821</v>
      </c>
      <c r="F49" s="523">
        <f t="shared" si="24"/>
        <v>38408.935696698318</v>
      </c>
      <c r="G49" s="524">
        <f t="shared" si="21"/>
        <v>8451.7273347143746</v>
      </c>
      <c r="H49" s="491">
        <f t="shared" si="22"/>
        <v>8451.7273347143746</v>
      </c>
      <c r="I49" s="511">
        <f t="shared" si="25"/>
        <v>0</v>
      </c>
      <c r="J49" s="511"/>
      <c r="K49" s="525"/>
      <c r="L49" s="514">
        <f t="shared" si="23"/>
        <v>0</v>
      </c>
      <c r="M49" s="525"/>
      <c r="N49" s="514">
        <f t="shared" si="10"/>
        <v>0</v>
      </c>
      <c r="O49" s="514">
        <f t="shared" si="11"/>
        <v>0</v>
      </c>
      <c r="P49" s="272"/>
    </row>
    <row r="50" spans="2:16">
      <c r="B50" s="195" t="str">
        <f t="shared" si="5"/>
        <v/>
      </c>
      <c r="C50" s="507">
        <f>IF(D11="","-",+C49+1)</f>
        <v>2043</v>
      </c>
      <c r="D50" s="523">
        <f>IF(F49+SUM(E$17:E49)=D$10,F49,D$10-SUM(E$17:E49))</f>
        <v>38408.935696698318</v>
      </c>
      <c r="E50" s="522">
        <f>IF(+I14&lt;F49,I14,D50)</f>
        <v>3643.0931818181821</v>
      </c>
      <c r="F50" s="523">
        <f t="shared" si="24"/>
        <v>34765.842514880133</v>
      </c>
      <c r="G50" s="524">
        <f t="shared" si="21"/>
        <v>8016.2788563432732</v>
      </c>
      <c r="H50" s="491">
        <f t="shared" si="22"/>
        <v>8016.2788563432732</v>
      </c>
      <c r="I50" s="511">
        <f t="shared" si="25"/>
        <v>0</v>
      </c>
      <c r="J50" s="511"/>
      <c r="K50" s="525"/>
      <c r="L50" s="514">
        <f t="shared" si="23"/>
        <v>0</v>
      </c>
      <c r="M50" s="525"/>
      <c r="N50" s="514">
        <f t="shared" si="10"/>
        <v>0</v>
      </c>
      <c r="O50" s="514">
        <f t="shared" si="11"/>
        <v>0</v>
      </c>
      <c r="P50" s="272"/>
    </row>
    <row r="51" spans="2:16">
      <c r="B51" s="195" t="str">
        <f t="shared" si="5"/>
        <v/>
      </c>
      <c r="C51" s="507">
        <f>IF(D11="","-",+C50+1)</f>
        <v>2044</v>
      </c>
      <c r="D51" s="523">
        <f>IF(F50+SUM(E$17:E50)=D$10,F50,D$10-SUM(E$17:E50))</f>
        <v>34765.842514880133</v>
      </c>
      <c r="E51" s="522">
        <f>IF(+I14&lt;F50,I14,D51)</f>
        <v>3643.0931818181821</v>
      </c>
      <c r="F51" s="523">
        <f t="shared" si="24"/>
        <v>31122.749333061951</v>
      </c>
      <c r="G51" s="524">
        <f t="shared" si="21"/>
        <v>7580.8303779721718</v>
      </c>
      <c r="H51" s="491">
        <f t="shared" si="22"/>
        <v>7580.8303779721718</v>
      </c>
      <c r="I51" s="511">
        <f t="shared" si="25"/>
        <v>0</v>
      </c>
      <c r="J51" s="511"/>
      <c r="K51" s="525"/>
      <c r="L51" s="514">
        <f t="shared" si="23"/>
        <v>0</v>
      </c>
      <c r="M51" s="525"/>
      <c r="N51" s="514">
        <f t="shared" si="10"/>
        <v>0</v>
      </c>
      <c r="O51" s="514">
        <f t="shared" si="11"/>
        <v>0</v>
      </c>
      <c r="P51" s="272"/>
    </row>
    <row r="52" spans="2:16">
      <c r="B52" s="195" t="str">
        <f t="shared" si="5"/>
        <v/>
      </c>
      <c r="C52" s="507">
        <f>IF(D11="","-",+C51+1)</f>
        <v>2045</v>
      </c>
      <c r="D52" s="523">
        <f>IF(F51+SUM(E$17:E51)=D$10,F51,D$10-SUM(E$17:E51))</f>
        <v>31122.749333061951</v>
      </c>
      <c r="E52" s="522">
        <f>IF(+I14&lt;F51,I14,D52)</f>
        <v>3643.0931818181821</v>
      </c>
      <c r="F52" s="523">
        <f t="shared" si="24"/>
        <v>27479.656151243769</v>
      </c>
      <c r="G52" s="524">
        <f t="shared" si="21"/>
        <v>7145.3818996010723</v>
      </c>
      <c r="H52" s="491">
        <f t="shared" si="22"/>
        <v>7145.3818996010723</v>
      </c>
      <c r="I52" s="511">
        <f t="shared" si="25"/>
        <v>0</v>
      </c>
      <c r="J52" s="511"/>
      <c r="K52" s="525"/>
      <c r="L52" s="514">
        <f t="shared" si="23"/>
        <v>0</v>
      </c>
      <c r="M52" s="525"/>
      <c r="N52" s="514">
        <f t="shared" si="10"/>
        <v>0</v>
      </c>
      <c r="O52" s="514">
        <f t="shared" si="11"/>
        <v>0</v>
      </c>
      <c r="P52" s="272"/>
    </row>
    <row r="53" spans="2:16">
      <c r="B53" s="195" t="str">
        <f t="shared" si="5"/>
        <v/>
      </c>
      <c r="C53" s="507">
        <f>IF(D11="","-",+C52+1)</f>
        <v>2046</v>
      </c>
      <c r="D53" s="523">
        <f>IF(F52+SUM(E$17:E52)=D$10,F52,D$10-SUM(E$17:E52))</f>
        <v>27479.656151243769</v>
      </c>
      <c r="E53" s="522">
        <f>IF(+I14&lt;F52,I14,D53)</f>
        <v>3643.0931818181821</v>
      </c>
      <c r="F53" s="523">
        <f t="shared" si="24"/>
        <v>23836.562969425588</v>
      </c>
      <c r="G53" s="524">
        <f t="shared" si="21"/>
        <v>6709.9334212299709</v>
      </c>
      <c r="H53" s="491">
        <f t="shared" si="22"/>
        <v>6709.9334212299709</v>
      </c>
      <c r="I53" s="511">
        <f t="shared" si="25"/>
        <v>0</v>
      </c>
      <c r="J53" s="511"/>
      <c r="K53" s="525"/>
      <c r="L53" s="514">
        <f t="shared" si="23"/>
        <v>0</v>
      </c>
      <c r="M53" s="525"/>
      <c r="N53" s="514">
        <f t="shared" si="10"/>
        <v>0</v>
      </c>
      <c r="O53" s="514">
        <f t="shared" si="11"/>
        <v>0</v>
      </c>
      <c r="P53" s="272"/>
    </row>
    <row r="54" spans="2:16">
      <c r="B54" s="195" t="str">
        <f t="shared" si="5"/>
        <v/>
      </c>
      <c r="C54" s="507">
        <f>IF(D11="","-",+C53+1)</f>
        <v>2047</v>
      </c>
      <c r="D54" s="523">
        <f>IF(F53+SUM(E$17:E53)=D$10,F53,D$10-SUM(E$17:E53))</f>
        <v>23836.562969425588</v>
      </c>
      <c r="E54" s="522">
        <f>IF(+I14&lt;F53,I14,D54)</f>
        <v>3643.0931818181821</v>
      </c>
      <c r="F54" s="523">
        <f t="shared" si="24"/>
        <v>20193.469787607406</v>
      </c>
      <c r="G54" s="524">
        <f t="shared" si="21"/>
        <v>6274.4849428588705</v>
      </c>
      <c r="H54" s="491">
        <f t="shared" si="22"/>
        <v>6274.4849428588705</v>
      </c>
      <c r="I54" s="511">
        <f t="shared" si="25"/>
        <v>0</v>
      </c>
      <c r="J54" s="511"/>
      <c r="K54" s="525"/>
      <c r="L54" s="514">
        <f t="shared" si="23"/>
        <v>0</v>
      </c>
      <c r="M54" s="525"/>
      <c r="N54" s="514">
        <f t="shared" si="10"/>
        <v>0</v>
      </c>
      <c r="O54" s="514">
        <f t="shared" si="11"/>
        <v>0</v>
      </c>
      <c r="P54" s="272"/>
    </row>
    <row r="55" spans="2:16">
      <c r="B55" s="195" t="str">
        <f t="shared" si="5"/>
        <v/>
      </c>
      <c r="C55" s="507">
        <f>IF(D11="","-",+C54+1)</f>
        <v>2048</v>
      </c>
      <c r="D55" s="523">
        <f>IF(F54+SUM(E$17:E54)=D$10,F54,D$10-SUM(E$17:E54))</f>
        <v>20193.469787607406</v>
      </c>
      <c r="E55" s="522">
        <f>IF(+I14&lt;F54,I14,D55)</f>
        <v>3643.0931818181821</v>
      </c>
      <c r="F55" s="523">
        <f t="shared" si="24"/>
        <v>16550.376605789224</v>
      </c>
      <c r="G55" s="524">
        <f t="shared" si="21"/>
        <v>5839.0364644877691</v>
      </c>
      <c r="H55" s="491">
        <f t="shared" si="22"/>
        <v>5839.0364644877691</v>
      </c>
      <c r="I55" s="511">
        <f t="shared" si="25"/>
        <v>0</v>
      </c>
      <c r="J55" s="511"/>
      <c r="K55" s="525"/>
      <c r="L55" s="514">
        <f t="shared" si="23"/>
        <v>0</v>
      </c>
      <c r="M55" s="525"/>
      <c r="N55" s="514">
        <f t="shared" si="10"/>
        <v>0</v>
      </c>
      <c r="O55" s="514">
        <f t="shared" si="11"/>
        <v>0</v>
      </c>
      <c r="P55" s="272"/>
    </row>
    <row r="56" spans="2:16">
      <c r="B56" s="195" t="str">
        <f t="shared" si="5"/>
        <v/>
      </c>
      <c r="C56" s="507">
        <f>IF(D11="","-",+C55+1)</f>
        <v>2049</v>
      </c>
      <c r="D56" s="523">
        <f>IF(F55+SUM(E$17:E55)=D$10,F55,D$10-SUM(E$17:E55))</f>
        <v>16550.376605789224</v>
      </c>
      <c r="E56" s="522">
        <f>IF(+I14&lt;F55,I14,D56)</f>
        <v>3643.0931818181821</v>
      </c>
      <c r="F56" s="523">
        <f t="shared" si="24"/>
        <v>12907.283423971043</v>
      </c>
      <c r="G56" s="524">
        <f t="shared" ref="G56:G72" si="26">+I$12*((D56+F56)/2)+E56</f>
        <v>5403.5879861166686</v>
      </c>
      <c r="H56" s="491">
        <f t="shared" ref="H56:H72" si="27">+I$13*((D56+F56)/2)+E56</f>
        <v>5403.5879861166686</v>
      </c>
      <c r="I56" s="511">
        <f t="shared" si="25"/>
        <v>0</v>
      </c>
      <c r="J56" s="511"/>
      <c r="K56" s="525"/>
      <c r="L56" s="514">
        <f t="shared" si="23"/>
        <v>0</v>
      </c>
      <c r="M56" s="525"/>
      <c r="N56" s="514">
        <f t="shared" si="10"/>
        <v>0</v>
      </c>
      <c r="O56" s="514">
        <f t="shared" si="11"/>
        <v>0</v>
      </c>
      <c r="P56" s="272"/>
    </row>
    <row r="57" spans="2:16">
      <c r="B57" s="195" t="str">
        <f t="shared" si="5"/>
        <v/>
      </c>
      <c r="C57" s="507">
        <f>IF(D11="","-",+C56+1)</f>
        <v>2050</v>
      </c>
      <c r="D57" s="523">
        <f>IF(F56+SUM(E$17:E56)=D$10,F56,D$10-SUM(E$17:E56))</f>
        <v>12907.283423971043</v>
      </c>
      <c r="E57" s="522">
        <f>IF(+I14&lt;F56,I14,D57)</f>
        <v>3643.0931818181821</v>
      </c>
      <c r="F57" s="523">
        <f t="shared" si="24"/>
        <v>9264.1902421528612</v>
      </c>
      <c r="G57" s="524">
        <f t="shared" si="26"/>
        <v>4968.1395077455682</v>
      </c>
      <c r="H57" s="491">
        <f t="shared" si="27"/>
        <v>4968.1395077455682</v>
      </c>
      <c r="I57" s="511">
        <f t="shared" si="25"/>
        <v>0</v>
      </c>
      <c r="J57" s="511"/>
      <c r="K57" s="525"/>
      <c r="L57" s="514">
        <f t="shared" si="23"/>
        <v>0</v>
      </c>
      <c r="M57" s="525"/>
      <c r="N57" s="514">
        <f t="shared" si="10"/>
        <v>0</v>
      </c>
      <c r="O57" s="514">
        <f t="shared" si="11"/>
        <v>0</v>
      </c>
      <c r="P57" s="272"/>
    </row>
    <row r="58" spans="2:16">
      <c r="B58" s="195" t="str">
        <f t="shared" si="5"/>
        <v/>
      </c>
      <c r="C58" s="507">
        <f>IF(D11="","-",+C57+1)</f>
        <v>2051</v>
      </c>
      <c r="D58" s="523">
        <f>IF(F57+SUM(E$17:E57)=D$10,F57,D$10-SUM(E$17:E57))</f>
        <v>9264.1902421528612</v>
      </c>
      <c r="E58" s="522">
        <f>IF(+I14&lt;F57,I14,D58)</f>
        <v>3643.0931818181821</v>
      </c>
      <c r="F58" s="523">
        <f t="shared" si="24"/>
        <v>5621.0970603346796</v>
      </c>
      <c r="G58" s="524">
        <f t="shared" si="26"/>
        <v>4532.6910293744677</v>
      </c>
      <c r="H58" s="491">
        <f t="shared" si="27"/>
        <v>4532.6910293744677</v>
      </c>
      <c r="I58" s="511">
        <f t="shared" si="25"/>
        <v>0</v>
      </c>
      <c r="J58" s="511"/>
      <c r="K58" s="525"/>
      <c r="L58" s="514">
        <f t="shared" si="23"/>
        <v>0</v>
      </c>
      <c r="M58" s="525"/>
      <c r="N58" s="514">
        <f t="shared" si="10"/>
        <v>0</v>
      </c>
      <c r="O58" s="514">
        <f t="shared" si="11"/>
        <v>0</v>
      </c>
      <c r="P58" s="272"/>
    </row>
    <row r="59" spans="2:16">
      <c r="B59" s="195" t="str">
        <f t="shared" si="5"/>
        <v/>
      </c>
      <c r="C59" s="507">
        <f>IF(D11="","-",+C58+1)</f>
        <v>2052</v>
      </c>
      <c r="D59" s="523">
        <f>IF(F58+SUM(E$17:E58)=D$10,F58,D$10-SUM(E$17:E58))</f>
        <v>5621.0970603346796</v>
      </c>
      <c r="E59" s="522">
        <f>IF(+I14&lt;F58,I14,D59)</f>
        <v>3643.0931818181821</v>
      </c>
      <c r="F59" s="523">
        <f t="shared" si="24"/>
        <v>1978.0038785164975</v>
      </c>
      <c r="G59" s="524">
        <f t="shared" si="26"/>
        <v>4097.2425510033663</v>
      </c>
      <c r="H59" s="491">
        <f t="shared" si="27"/>
        <v>4097.2425510033663</v>
      </c>
      <c r="I59" s="511">
        <f t="shared" si="25"/>
        <v>0</v>
      </c>
      <c r="J59" s="511"/>
      <c r="K59" s="525"/>
      <c r="L59" s="514">
        <f t="shared" si="23"/>
        <v>0</v>
      </c>
      <c r="M59" s="525"/>
      <c r="N59" s="514">
        <f t="shared" si="10"/>
        <v>0</v>
      </c>
      <c r="O59" s="514">
        <f t="shared" si="11"/>
        <v>0</v>
      </c>
      <c r="P59" s="272"/>
    </row>
    <row r="60" spans="2:16">
      <c r="B60" s="195" t="str">
        <f t="shared" si="5"/>
        <v/>
      </c>
      <c r="C60" s="507">
        <f>IF(D11="","-",+C59+1)</f>
        <v>2053</v>
      </c>
      <c r="D60" s="523">
        <f>IF(F59+SUM(E$17:E59)=D$10,F59,D$10-SUM(E$17:E59))</f>
        <v>1978.0038785164975</v>
      </c>
      <c r="E60" s="522">
        <f>IF(+I14&lt;F59,I14,D60)</f>
        <v>1978.0038785164975</v>
      </c>
      <c r="F60" s="523">
        <f t="shared" si="24"/>
        <v>0</v>
      </c>
      <c r="G60" s="524">
        <f t="shared" si="26"/>
        <v>2096.2164435163145</v>
      </c>
      <c r="H60" s="491">
        <f t="shared" si="27"/>
        <v>2096.2164435163145</v>
      </c>
      <c r="I60" s="511">
        <f t="shared" si="25"/>
        <v>0</v>
      </c>
      <c r="J60" s="511"/>
      <c r="K60" s="525"/>
      <c r="L60" s="514">
        <f t="shared" si="23"/>
        <v>0</v>
      </c>
      <c r="M60" s="525"/>
      <c r="N60" s="514">
        <f t="shared" si="10"/>
        <v>0</v>
      </c>
      <c r="O60" s="514">
        <f t="shared" si="11"/>
        <v>0</v>
      </c>
      <c r="P60" s="272"/>
    </row>
    <row r="61" spans="2:16">
      <c r="B61" s="195" t="str">
        <f t="shared" si="5"/>
        <v/>
      </c>
      <c r="C61" s="507">
        <f>IF(D11="","-",+C60+1)</f>
        <v>2054</v>
      </c>
      <c r="D61" s="523">
        <f>IF(F60+SUM(E$17:E60)=D$10,F60,D$10-SUM(E$17:E60))</f>
        <v>0</v>
      </c>
      <c r="E61" s="522">
        <f>IF(+I14&lt;F60,I14,D61)</f>
        <v>0</v>
      </c>
      <c r="F61" s="523">
        <f t="shared" si="24"/>
        <v>0</v>
      </c>
      <c r="G61" s="526">
        <f t="shared" si="26"/>
        <v>0</v>
      </c>
      <c r="H61" s="491">
        <f t="shared" si="27"/>
        <v>0</v>
      </c>
      <c r="I61" s="511">
        <f t="shared" si="25"/>
        <v>0</v>
      </c>
      <c r="J61" s="511"/>
      <c r="K61" s="525"/>
      <c r="L61" s="514">
        <f t="shared" si="23"/>
        <v>0</v>
      </c>
      <c r="M61" s="525"/>
      <c r="N61" s="514">
        <f t="shared" si="10"/>
        <v>0</v>
      </c>
      <c r="O61" s="514">
        <f t="shared" si="11"/>
        <v>0</v>
      </c>
      <c r="P61" s="272"/>
    </row>
    <row r="62" spans="2:16">
      <c r="B62" s="195" t="str">
        <f t="shared" si="5"/>
        <v/>
      </c>
      <c r="C62" s="507">
        <f>IF(D11="","-",+C61+1)</f>
        <v>2055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24"/>
        <v>0</v>
      </c>
      <c r="G62" s="526">
        <f t="shared" si="26"/>
        <v>0</v>
      </c>
      <c r="H62" s="491">
        <f t="shared" si="27"/>
        <v>0</v>
      </c>
      <c r="I62" s="511">
        <f t="shared" si="25"/>
        <v>0</v>
      </c>
      <c r="J62" s="511"/>
      <c r="K62" s="525"/>
      <c r="L62" s="514">
        <f t="shared" si="23"/>
        <v>0</v>
      </c>
      <c r="M62" s="525"/>
      <c r="N62" s="514">
        <f t="shared" si="10"/>
        <v>0</v>
      </c>
      <c r="O62" s="514">
        <f t="shared" si="11"/>
        <v>0</v>
      </c>
      <c r="P62" s="272"/>
    </row>
    <row r="63" spans="2:16">
      <c r="B63" s="195" t="str">
        <f t="shared" si="5"/>
        <v/>
      </c>
      <c r="C63" s="507">
        <f>IF(D11="","-",+C62+1)</f>
        <v>2056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24"/>
        <v>0</v>
      </c>
      <c r="G63" s="526">
        <f t="shared" si="26"/>
        <v>0</v>
      </c>
      <c r="H63" s="491">
        <f t="shared" si="27"/>
        <v>0</v>
      </c>
      <c r="I63" s="511">
        <f t="shared" si="25"/>
        <v>0</v>
      </c>
      <c r="J63" s="511"/>
      <c r="K63" s="525"/>
      <c r="L63" s="514">
        <f t="shared" si="23"/>
        <v>0</v>
      </c>
      <c r="M63" s="525"/>
      <c r="N63" s="514">
        <f t="shared" si="10"/>
        <v>0</v>
      </c>
      <c r="O63" s="514">
        <f t="shared" si="11"/>
        <v>0</v>
      </c>
      <c r="P63" s="272"/>
    </row>
    <row r="64" spans="2:16">
      <c r="B64" s="195" t="str">
        <f t="shared" si="5"/>
        <v/>
      </c>
      <c r="C64" s="507">
        <f>IF(D11="","-",+C63+1)</f>
        <v>2057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24"/>
        <v>0</v>
      </c>
      <c r="G64" s="526">
        <f t="shared" si="26"/>
        <v>0</v>
      </c>
      <c r="H64" s="491">
        <f t="shared" si="27"/>
        <v>0</v>
      </c>
      <c r="I64" s="511">
        <f t="shared" si="25"/>
        <v>0</v>
      </c>
      <c r="J64" s="511"/>
      <c r="K64" s="525"/>
      <c r="L64" s="514">
        <f t="shared" si="23"/>
        <v>0</v>
      </c>
      <c r="M64" s="525"/>
      <c r="N64" s="514">
        <f t="shared" si="10"/>
        <v>0</v>
      </c>
      <c r="O64" s="514">
        <f t="shared" si="11"/>
        <v>0</v>
      </c>
      <c r="P64" s="272"/>
    </row>
    <row r="65" spans="2:16">
      <c r="B65" s="195" t="str">
        <f t="shared" si="5"/>
        <v/>
      </c>
      <c r="C65" s="507">
        <f>IF(D11="","-",+C64+1)</f>
        <v>2058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24"/>
        <v>0</v>
      </c>
      <c r="G65" s="526">
        <f t="shared" si="26"/>
        <v>0</v>
      </c>
      <c r="H65" s="491">
        <f t="shared" si="27"/>
        <v>0</v>
      </c>
      <c r="I65" s="511">
        <f t="shared" si="25"/>
        <v>0</v>
      </c>
      <c r="J65" s="511"/>
      <c r="K65" s="525"/>
      <c r="L65" s="514">
        <f t="shared" si="23"/>
        <v>0</v>
      </c>
      <c r="M65" s="525"/>
      <c r="N65" s="514">
        <f t="shared" si="10"/>
        <v>0</v>
      </c>
      <c r="O65" s="514">
        <f t="shared" si="11"/>
        <v>0</v>
      </c>
      <c r="P65" s="272"/>
    </row>
    <row r="66" spans="2:16">
      <c r="B66" s="195" t="str">
        <f t="shared" si="5"/>
        <v/>
      </c>
      <c r="C66" s="507">
        <f>IF(D11="","-",+C65+1)</f>
        <v>2059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24"/>
        <v>0</v>
      </c>
      <c r="G66" s="526">
        <f t="shared" si="26"/>
        <v>0</v>
      </c>
      <c r="H66" s="491">
        <f t="shared" si="27"/>
        <v>0</v>
      </c>
      <c r="I66" s="511">
        <f t="shared" si="25"/>
        <v>0</v>
      </c>
      <c r="J66" s="511"/>
      <c r="K66" s="525"/>
      <c r="L66" s="514">
        <f t="shared" si="23"/>
        <v>0</v>
      </c>
      <c r="M66" s="525"/>
      <c r="N66" s="514">
        <f t="shared" si="10"/>
        <v>0</v>
      </c>
      <c r="O66" s="514">
        <f t="shared" si="11"/>
        <v>0</v>
      </c>
      <c r="P66" s="272"/>
    </row>
    <row r="67" spans="2:16">
      <c r="B67" s="195" t="str">
        <f t="shared" si="5"/>
        <v/>
      </c>
      <c r="C67" s="507">
        <f>IF(D11="","-",+C66+1)</f>
        <v>2060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24"/>
        <v>0</v>
      </c>
      <c r="G67" s="526">
        <f t="shared" si="26"/>
        <v>0</v>
      </c>
      <c r="H67" s="491">
        <f t="shared" si="27"/>
        <v>0</v>
      </c>
      <c r="I67" s="511">
        <f t="shared" si="25"/>
        <v>0</v>
      </c>
      <c r="J67" s="511"/>
      <c r="K67" s="525"/>
      <c r="L67" s="514">
        <f t="shared" si="23"/>
        <v>0</v>
      </c>
      <c r="M67" s="525"/>
      <c r="N67" s="514">
        <f t="shared" si="10"/>
        <v>0</v>
      </c>
      <c r="O67" s="514">
        <f t="shared" si="11"/>
        <v>0</v>
      </c>
      <c r="P67" s="272"/>
    </row>
    <row r="68" spans="2:16">
      <c r="B68" s="195" t="str">
        <f t="shared" si="5"/>
        <v/>
      </c>
      <c r="C68" s="507">
        <f>IF(D11="","-",+C67+1)</f>
        <v>2061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24"/>
        <v>0</v>
      </c>
      <c r="G68" s="526">
        <f t="shared" si="26"/>
        <v>0</v>
      </c>
      <c r="H68" s="491">
        <f t="shared" si="27"/>
        <v>0</v>
      </c>
      <c r="I68" s="511">
        <f t="shared" si="25"/>
        <v>0</v>
      </c>
      <c r="J68" s="511"/>
      <c r="K68" s="525"/>
      <c r="L68" s="514">
        <f t="shared" si="23"/>
        <v>0</v>
      </c>
      <c r="M68" s="525"/>
      <c r="N68" s="514">
        <f t="shared" si="10"/>
        <v>0</v>
      </c>
      <c r="O68" s="514">
        <f t="shared" si="11"/>
        <v>0</v>
      </c>
      <c r="P68" s="272"/>
    </row>
    <row r="69" spans="2:16">
      <c r="B69" s="195" t="str">
        <f t="shared" si="5"/>
        <v/>
      </c>
      <c r="C69" s="507">
        <f>IF(D11="","-",+C68+1)</f>
        <v>2062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24"/>
        <v>0</v>
      </c>
      <c r="G69" s="526">
        <f t="shared" si="26"/>
        <v>0</v>
      </c>
      <c r="H69" s="491">
        <f t="shared" si="27"/>
        <v>0</v>
      </c>
      <c r="I69" s="511">
        <f t="shared" si="25"/>
        <v>0</v>
      </c>
      <c r="J69" s="511"/>
      <c r="K69" s="525"/>
      <c r="L69" s="514">
        <f t="shared" si="23"/>
        <v>0</v>
      </c>
      <c r="M69" s="525"/>
      <c r="N69" s="514">
        <f t="shared" si="10"/>
        <v>0</v>
      </c>
      <c r="O69" s="514">
        <f t="shared" si="11"/>
        <v>0</v>
      </c>
      <c r="P69" s="272"/>
    </row>
    <row r="70" spans="2:16">
      <c r="B70" s="195" t="str">
        <f t="shared" si="5"/>
        <v/>
      </c>
      <c r="C70" s="507">
        <f>IF(D11="","-",+C69+1)</f>
        <v>2063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24"/>
        <v>0</v>
      </c>
      <c r="G70" s="526">
        <f t="shared" si="26"/>
        <v>0</v>
      </c>
      <c r="H70" s="491">
        <f t="shared" si="27"/>
        <v>0</v>
      </c>
      <c r="I70" s="511">
        <f t="shared" si="25"/>
        <v>0</v>
      </c>
      <c r="J70" s="511"/>
      <c r="K70" s="525"/>
      <c r="L70" s="514">
        <f t="shared" si="23"/>
        <v>0</v>
      </c>
      <c r="M70" s="525"/>
      <c r="N70" s="514">
        <f t="shared" si="10"/>
        <v>0</v>
      </c>
      <c r="O70" s="514">
        <f t="shared" si="11"/>
        <v>0</v>
      </c>
      <c r="P70" s="272"/>
    </row>
    <row r="71" spans="2:16">
      <c r="B71" s="195" t="str">
        <f t="shared" si="5"/>
        <v/>
      </c>
      <c r="C71" s="507">
        <f>IF(D11="","-",+C70+1)</f>
        <v>2064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24"/>
        <v>0</v>
      </c>
      <c r="G71" s="526">
        <f t="shared" si="26"/>
        <v>0</v>
      </c>
      <c r="H71" s="491">
        <f t="shared" si="27"/>
        <v>0</v>
      </c>
      <c r="I71" s="511">
        <f t="shared" si="25"/>
        <v>0</v>
      </c>
      <c r="J71" s="511"/>
      <c r="K71" s="525"/>
      <c r="L71" s="514">
        <f t="shared" si="23"/>
        <v>0</v>
      </c>
      <c r="M71" s="525"/>
      <c r="N71" s="514">
        <f t="shared" si="10"/>
        <v>0</v>
      </c>
      <c r="O71" s="514">
        <f t="shared" si="11"/>
        <v>0</v>
      </c>
      <c r="P71" s="272"/>
    </row>
    <row r="72" spans="2:16" ht="13.5" thickBot="1">
      <c r="B72" s="195" t="str">
        <f t="shared" si="5"/>
        <v/>
      </c>
      <c r="C72" s="527">
        <f>IF(D11="","-",+C71+1)</f>
        <v>2065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24"/>
        <v>0</v>
      </c>
      <c r="G72" s="530">
        <f t="shared" si="26"/>
        <v>0</v>
      </c>
      <c r="H72" s="471">
        <f t="shared" si="27"/>
        <v>0</v>
      </c>
      <c r="I72" s="531">
        <f t="shared" si="25"/>
        <v>0</v>
      </c>
      <c r="J72" s="511"/>
      <c r="K72" s="532"/>
      <c r="L72" s="533">
        <f t="shared" si="23"/>
        <v>0</v>
      </c>
      <c r="M72" s="532"/>
      <c r="N72" s="533">
        <f t="shared" si="10"/>
        <v>0</v>
      </c>
      <c r="O72" s="533">
        <f t="shared" si="11"/>
        <v>0</v>
      </c>
      <c r="P72" s="272"/>
    </row>
    <row r="73" spans="2:16">
      <c r="C73" s="374" t="s">
        <v>78</v>
      </c>
      <c r="D73" s="375"/>
      <c r="E73" s="375">
        <f>SUM(E17:E72)</f>
        <v>160296.09999999995</v>
      </c>
      <c r="F73" s="375"/>
      <c r="G73" s="375">
        <f>SUM(G17:G72)</f>
        <v>587248.0270381599</v>
      </c>
      <c r="H73" s="375">
        <f>SUM(H17:H72)</f>
        <v>587248.0270381599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2:16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2:16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2:16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2:16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272"/>
      <c r="P77" s="272"/>
    </row>
    <row r="78" spans="2:16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2:16"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  <c r="O79" s="269"/>
      <c r="P79" s="269"/>
    </row>
    <row r="80" spans="2:16" ht="18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6">
      <c r="B81" s="269"/>
      <c r="C81" s="340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6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</row>
    <row r="83" spans="1:16" ht="20.25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451" t="str">
        <f ca="1">P1</f>
        <v>SWEPCO Project 48 of 75</v>
      </c>
    </row>
    <row r="84" spans="1:16" ht="18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538" t="s">
        <v>128</v>
      </c>
    </row>
    <row r="85" spans="1:16" ht="18.7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</row>
    <row r="86" spans="1:16" ht="15.75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2022</v>
      </c>
      <c r="M86" s="541" t="s">
        <v>9</v>
      </c>
      <c r="N86" s="542" t="s">
        <v>159</v>
      </c>
      <c r="O86" s="543" t="s">
        <v>11</v>
      </c>
      <c r="P86" s="269"/>
    </row>
    <row r="87" spans="1:16" ht="1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391</v>
      </c>
      <c r="M87" s="546">
        <f>IF(J92&lt;D11,0,VLOOKUP(J92,C17:O72,9))</f>
        <v>16562.400820096133</v>
      </c>
      <c r="N87" s="546">
        <f>IF(J92&lt;D11,0,VLOOKUP(J92,C17:O72,11))</f>
        <v>16562.400820096133</v>
      </c>
      <c r="O87" s="547">
        <f>+N87-M87</f>
        <v>0</v>
      </c>
      <c r="P87" s="269"/>
    </row>
    <row r="88" spans="1:16" ht="15.7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392</v>
      </c>
      <c r="M88" s="550">
        <f>IF(J92&lt;D11,0,VLOOKUP(J92,C99:P154,6))</f>
        <v>19343.062482398549</v>
      </c>
      <c r="N88" s="550">
        <f>IF(J92&lt;D11,0,VLOOKUP(J92,C99:P154,7))</f>
        <v>19343.062482398549</v>
      </c>
      <c r="O88" s="551">
        <f>+N88-M88</f>
        <v>0</v>
      </c>
      <c r="P88" s="269"/>
    </row>
    <row r="89" spans="1:16" ht="13.5" thickBot="1">
      <c r="C89" s="467" t="s">
        <v>84</v>
      </c>
      <c r="D89" s="552" t="str">
        <f>+D7</f>
        <v>MINEOLA - NORTH MINEOLA 69KV CKT 1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2780.6616623024165</v>
      </c>
      <c r="N89" s="555">
        <f>+N88-N87</f>
        <v>2780.6616623024165</v>
      </c>
      <c r="O89" s="556">
        <f>+O88-O87</f>
        <v>0</v>
      </c>
      <c r="P89" s="269"/>
    </row>
    <row r="90" spans="1:16" ht="13.5" thickBot="1">
      <c r="C90" s="534"/>
      <c r="D90" s="646" t="str">
        <f>S.047!D90</f>
        <v xml:space="preserve">***Sch. 11 recovery commenced in the 2015 rate year.  Beg Bal = to depreciated balance as of 1/1/15. *** </v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</row>
    <row r="91" spans="1:16" ht="13.5" thickBot="1">
      <c r="A91" s="191"/>
      <c r="C91" s="558" t="s">
        <v>85</v>
      </c>
      <c r="D91" s="559" t="str">
        <f>+D9</f>
        <v>TP2007166</v>
      </c>
      <c r="E91" s="560"/>
      <c r="F91" s="560"/>
      <c r="G91" s="560"/>
      <c r="H91" s="560"/>
      <c r="I91" s="560"/>
      <c r="J91" s="560"/>
      <c r="K91" s="562"/>
      <c r="P91" s="481"/>
    </row>
    <row r="92" spans="1:16">
      <c r="C92" s="486" t="s">
        <v>51</v>
      </c>
      <c r="D92" s="628">
        <v>160296</v>
      </c>
      <c r="E92" s="340" t="s">
        <v>86</v>
      </c>
      <c r="H92" s="484"/>
      <c r="I92" s="484"/>
      <c r="J92" s="485">
        <f>+'SWE.WS.G.BPU.ATRR.True-up'!M16</f>
        <v>2022</v>
      </c>
      <c r="K92" s="480"/>
      <c r="L92" s="375" t="s">
        <v>87</v>
      </c>
      <c r="P92" s="272"/>
    </row>
    <row r="93" spans="1:16">
      <c r="C93" s="486" t="s">
        <v>54</v>
      </c>
      <c r="D93" s="563">
        <f>D11</f>
        <v>2010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</row>
    <row r="94" spans="1:16">
      <c r="C94" s="486" t="s">
        <v>56</v>
      </c>
      <c r="D94" s="563">
        <f>D12</f>
        <v>3</v>
      </c>
      <c r="E94" s="486" t="s">
        <v>57</v>
      </c>
      <c r="F94" s="484"/>
      <c r="G94" s="484"/>
      <c r="J94" s="490">
        <f>'SWE.WS.G.BPU.ATRR.True-up'!$F$81</f>
        <v>0.11351422637179906</v>
      </c>
      <c r="K94" s="425"/>
      <c r="L94" s="183" t="s">
        <v>88</v>
      </c>
      <c r="P94" s="272"/>
    </row>
    <row r="95" spans="1:16">
      <c r="C95" s="486" t="s">
        <v>59</v>
      </c>
      <c r="D95" s="488">
        <f>'SWE.WS.G.BPU.ATRR.True-up'!F$93</f>
        <v>41</v>
      </c>
      <c r="E95" s="486" t="s">
        <v>60</v>
      </c>
      <c r="F95" s="484"/>
      <c r="G95" s="484"/>
      <c r="J95" s="490">
        <f>IF(H87="",J94,'SWE.WS.G.BPU.ATRR.True-up'!$F$80)</f>
        <v>0.11351422637179906</v>
      </c>
      <c r="K95" s="324"/>
      <c r="L95" s="375" t="s">
        <v>61</v>
      </c>
      <c r="M95" s="324"/>
      <c r="N95" s="324"/>
      <c r="O95" s="324"/>
      <c r="P95" s="272"/>
    </row>
    <row r="96" spans="1:16" ht="13.5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3909.6585365853657</v>
      </c>
      <c r="K96" s="375"/>
      <c r="L96" s="375"/>
      <c r="M96" s="375"/>
      <c r="N96" s="375"/>
      <c r="O96" s="375"/>
      <c r="P96" s="272"/>
    </row>
    <row r="97" spans="1:16" ht="38.25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388</v>
      </c>
      <c r="I97" s="495" t="s">
        <v>389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</row>
    <row r="98" spans="1:16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</row>
    <row r="99" spans="1:16">
      <c r="C99" s="507">
        <f>IF(D93= "","-",D93)</f>
        <v>2010</v>
      </c>
      <c r="D99" s="374"/>
      <c r="E99" s="524"/>
      <c r="F99" s="523"/>
      <c r="G99" s="603"/>
      <c r="H99" s="604"/>
      <c r="I99" s="605"/>
      <c r="J99" s="514"/>
      <c r="K99" s="514"/>
      <c r="L99" s="512"/>
      <c r="M99" s="513">
        <f t="shared" ref="M99:M130" si="28">IF(L99&lt;&gt;0,+H99-L99,0)</f>
        <v>0</v>
      </c>
      <c r="N99" s="512"/>
      <c r="O99" s="513">
        <f t="shared" ref="O99:O130" si="29">IF(N99&lt;&gt;0,+I99-N99,0)</f>
        <v>0</v>
      </c>
      <c r="P99" s="513">
        <f t="shared" ref="P99:P130" si="30">+O99-M99</f>
        <v>0</v>
      </c>
    </row>
    <row r="100" spans="1:16">
      <c r="B100" s="195" t="str">
        <f>IF(D100=F99,"","IU")</f>
        <v/>
      </c>
      <c r="C100" s="507">
        <f>IF(D93="","-",+C99+1)</f>
        <v>2011</v>
      </c>
      <c r="D100" s="374"/>
      <c r="E100" s="522"/>
      <c r="F100" s="523"/>
      <c r="G100" s="523"/>
      <c r="H100" s="526"/>
      <c r="I100" s="577"/>
      <c r="J100" s="514"/>
      <c r="K100" s="514"/>
      <c r="L100" s="518"/>
      <c r="M100" s="514">
        <f t="shared" si="28"/>
        <v>0</v>
      </c>
      <c r="N100" s="518"/>
      <c r="O100" s="514">
        <f t="shared" si="29"/>
        <v>0</v>
      </c>
      <c r="P100" s="514">
        <f t="shared" si="30"/>
        <v>0</v>
      </c>
    </row>
    <row r="101" spans="1:16">
      <c r="B101" s="195" t="str">
        <f t="shared" ref="B101:B154" si="31">IF(D101=F100,"","IU")</f>
        <v/>
      </c>
      <c r="C101" s="507">
        <f>IF(D93="","-",+C100+1)</f>
        <v>2012</v>
      </c>
      <c r="D101" s="374"/>
      <c r="E101" s="522"/>
      <c r="F101" s="523"/>
      <c r="G101" s="523"/>
      <c r="H101" s="526"/>
      <c r="I101" s="577"/>
      <c r="J101" s="514"/>
      <c r="K101" s="514"/>
      <c r="L101" s="518"/>
      <c r="M101" s="514">
        <f t="shared" si="28"/>
        <v>0</v>
      </c>
      <c r="N101" s="518"/>
      <c r="O101" s="514">
        <f t="shared" si="29"/>
        <v>0</v>
      </c>
      <c r="P101" s="514">
        <f t="shared" si="30"/>
        <v>0</v>
      </c>
    </row>
    <row r="102" spans="1:16">
      <c r="B102" s="195" t="str">
        <f t="shared" si="31"/>
        <v/>
      </c>
      <c r="C102" s="507">
        <f>IF(D93="","-",+C101+1)</f>
        <v>2013</v>
      </c>
      <c r="D102" s="374"/>
      <c r="E102" s="522"/>
      <c r="F102" s="523"/>
      <c r="G102" s="523"/>
      <c r="H102" s="526"/>
      <c r="I102" s="577"/>
      <c r="J102" s="514"/>
      <c r="K102" s="514"/>
      <c r="L102" s="518"/>
      <c r="M102" s="514">
        <f t="shared" si="28"/>
        <v>0</v>
      </c>
      <c r="N102" s="518"/>
      <c r="O102" s="514">
        <f t="shared" si="29"/>
        <v>0</v>
      </c>
      <c r="P102" s="514">
        <f t="shared" si="30"/>
        <v>0</v>
      </c>
    </row>
    <row r="103" spans="1:16">
      <c r="B103" s="195" t="str">
        <f t="shared" si="31"/>
        <v/>
      </c>
      <c r="C103" s="507">
        <f>IF(D93="","-",+C102+1)</f>
        <v>2014</v>
      </c>
      <c r="D103" s="374"/>
      <c r="E103" s="522"/>
      <c r="F103" s="523"/>
      <c r="G103" s="523"/>
      <c r="H103" s="526"/>
      <c r="I103" s="577"/>
      <c r="J103" s="514"/>
      <c r="K103" s="514"/>
      <c r="L103" s="518"/>
      <c r="M103" s="514">
        <f t="shared" si="28"/>
        <v>0</v>
      </c>
      <c r="N103" s="518"/>
      <c r="O103" s="514">
        <f t="shared" si="29"/>
        <v>0</v>
      </c>
      <c r="P103" s="514">
        <f t="shared" si="30"/>
        <v>0</v>
      </c>
    </row>
    <row r="104" spans="1:16">
      <c r="B104" s="195" t="str">
        <f t="shared" si="31"/>
        <v>IU</v>
      </c>
      <c r="C104" s="507">
        <f>IF(D93="","-",+C103+1)</f>
        <v>2015</v>
      </c>
      <c r="D104" s="629">
        <v>142167.37440476194</v>
      </c>
      <c r="E104" s="630">
        <v>3384.9374858276651</v>
      </c>
      <c r="F104" s="631">
        <v>138782.43691893428</v>
      </c>
      <c r="G104" s="631">
        <v>140474.90566184811</v>
      </c>
      <c r="H104" s="633">
        <v>21895.158174484655</v>
      </c>
      <c r="I104" s="634">
        <v>21895.158174484655</v>
      </c>
      <c r="J104" s="514">
        <f>+I104-H104</f>
        <v>0</v>
      </c>
      <c r="K104" s="514"/>
      <c r="L104" s="518">
        <f t="shared" ref="L104:L109" si="32">+H104</f>
        <v>21895.158174484655</v>
      </c>
      <c r="M104" s="514">
        <f t="shared" si="28"/>
        <v>0</v>
      </c>
      <c r="N104" s="518">
        <f t="shared" ref="N104:N109" si="33">+I104</f>
        <v>21895.158174484655</v>
      </c>
      <c r="O104" s="514">
        <f t="shared" si="29"/>
        <v>0</v>
      </c>
      <c r="P104" s="514">
        <f t="shared" si="30"/>
        <v>0</v>
      </c>
    </row>
    <row r="105" spans="1:16">
      <c r="B105" s="195" t="str">
        <f t="shared" si="31"/>
        <v>IU</v>
      </c>
      <c r="C105" s="507">
        <f>IF(D93="","-",+C104+1)</f>
        <v>2016</v>
      </c>
      <c r="D105" s="629">
        <v>156911.06251417234</v>
      </c>
      <c r="E105" s="630">
        <v>3727.8139534883721</v>
      </c>
      <c r="F105" s="631">
        <v>153183.24856068398</v>
      </c>
      <c r="G105" s="631">
        <v>155047.15553742816</v>
      </c>
      <c r="H105" s="633">
        <v>23411.048533108711</v>
      </c>
      <c r="I105" s="634">
        <v>23411.048533108711</v>
      </c>
      <c r="J105" s="514">
        <f>+I105-H105</f>
        <v>0</v>
      </c>
      <c r="K105" s="514"/>
      <c r="L105" s="518">
        <f t="shared" si="32"/>
        <v>23411.048533108711</v>
      </c>
      <c r="M105" s="514">
        <f t="shared" ref="M105:M110" si="34">IF(L105&lt;&gt;0,+H105-L105,0)</f>
        <v>0</v>
      </c>
      <c r="N105" s="518">
        <f t="shared" si="33"/>
        <v>23411.048533108711</v>
      </c>
      <c r="O105" s="514">
        <f>IF(N105&lt;&gt;0,+I105-N105,0)</f>
        <v>0</v>
      </c>
      <c r="P105" s="514">
        <f>+O105-M105</f>
        <v>0</v>
      </c>
    </row>
    <row r="106" spans="1:16">
      <c r="B106" s="195" t="str">
        <f t="shared" si="31"/>
        <v/>
      </c>
      <c r="C106" s="507">
        <f>IF(D93="","-",+C105+1)</f>
        <v>2017</v>
      </c>
      <c r="D106" s="629">
        <v>153183.24856068398</v>
      </c>
      <c r="E106" s="630">
        <v>3816.5714285714284</v>
      </c>
      <c r="F106" s="631">
        <v>149366.67713211256</v>
      </c>
      <c r="G106" s="631">
        <v>151274.96284639827</v>
      </c>
      <c r="H106" s="633">
        <v>22192.161676613654</v>
      </c>
      <c r="I106" s="634">
        <v>22192.161676613654</v>
      </c>
      <c r="J106" s="514">
        <f t="shared" ref="J106:J154" si="35">+I106-H106</f>
        <v>0</v>
      </c>
      <c r="K106" s="514"/>
      <c r="L106" s="518">
        <f t="shared" si="32"/>
        <v>22192.161676613654</v>
      </c>
      <c r="M106" s="514">
        <f t="shared" si="34"/>
        <v>0</v>
      </c>
      <c r="N106" s="518">
        <f t="shared" si="33"/>
        <v>22192.161676613654</v>
      </c>
      <c r="O106" s="514">
        <f>IF(N106&lt;&gt;0,+I106-N106,0)</f>
        <v>0</v>
      </c>
      <c r="P106" s="514">
        <f>+O106-M106</f>
        <v>0</v>
      </c>
    </row>
    <row r="107" spans="1:16">
      <c r="B107" s="195" t="str">
        <f t="shared" si="31"/>
        <v/>
      </c>
      <c r="C107" s="507">
        <f>IF(D93="","-",+C106+1)</f>
        <v>2018</v>
      </c>
      <c r="D107" s="629">
        <v>149366.67713211256</v>
      </c>
      <c r="E107" s="630">
        <v>3816.5714285714284</v>
      </c>
      <c r="F107" s="631">
        <v>145550.10570354114</v>
      </c>
      <c r="G107" s="631">
        <v>147458.39141782685</v>
      </c>
      <c r="H107" s="633">
        <v>19388.853779903409</v>
      </c>
      <c r="I107" s="634">
        <v>19388.853779903409</v>
      </c>
      <c r="J107" s="514">
        <f t="shared" si="35"/>
        <v>0</v>
      </c>
      <c r="K107" s="514"/>
      <c r="L107" s="518">
        <f t="shared" si="32"/>
        <v>19388.853779903409</v>
      </c>
      <c r="M107" s="514">
        <f t="shared" si="34"/>
        <v>0</v>
      </c>
      <c r="N107" s="518">
        <f t="shared" si="33"/>
        <v>19388.853779903409</v>
      </c>
      <c r="O107" s="514">
        <f>IF(N107&lt;&gt;0,+I107-N107,0)</f>
        <v>0</v>
      </c>
      <c r="P107" s="514">
        <f t="shared" si="30"/>
        <v>0</v>
      </c>
    </row>
    <row r="108" spans="1:16">
      <c r="B108" s="195" t="str">
        <f t="shared" si="31"/>
        <v/>
      </c>
      <c r="C108" s="507">
        <f>IF(D93="","-",+C107+1)</f>
        <v>2019</v>
      </c>
      <c r="D108" s="629">
        <v>145550.10570354114</v>
      </c>
      <c r="E108" s="630">
        <v>3727.8139534883721</v>
      </c>
      <c r="F108" s="631">
        <v>141822.29175005277</v>
      </c>
      <c r="G108" s="631">
        <v>143686.19872679695</v>
      </c>
      <c r="H108" s="633">
        <v>19108.063195756004</v>
      </c>
      <c r="I108" s="634">
        <v>19108.063195756004</v>
      </c>
      <c r="J108" s="514">
        <f t="shared" si="35"/>
        <v>0</v>
      </c>
      <c r="K108" s="514"/>
      <c r="L108" s="518">
        <f t="shared" si="32"/>
        <v>19108.063195756004</v>
      </c>
      <c r="M108" s="514">
        <f t="shared" si="34"/>
        <v>0</v>
      </c>
      <c r="N108" s="518">
        <f t="shared" si="33"/>
        <v>19108.063195756004</v>
      </c>
      <c r="O108" s="514">
        <f t="shared" si="29"/>
        <v>0</v>
      </c>
      <c r="P108" s="514">
        <f t="shared" si="30"/>
        <v>0</v>
      </c>
    </row>
    <row r="109" spans="1:16">
      <c r="B109" s="195" t="str">
        <f t="shared" si="31"/>
        <v/>
      </c>
      <c r="C109" s="507">
        <f>IF(D93="","-",+C108+1)</f>
        <v>2020</v>
      </c>
      <c r="D109" s="629">
        <v>141822.29175005277</v>
      </c>
      <c r="E109" s="630">
        <v>3816.5714285714284</v>
      </c>
      <c r="F109" s="631">
        <v>138005.72032148135</v>
      </c>
      <c r="G109" s="631">
        <v>139914.00603576706</v>
      </c>
      <c r="H109" s="633">
        <v>18867.657278370214</v>
      </c>
      <c r="I109" s="634">
        <v>18867.657278370214</v>
      </c>
      <c r="J109" s="514">
        <f t="shared" si="35"/>
        <v>0</v>
      </c>
      <c r="K109" s="514"/>
      <c r="L109" s="518">
        <f t="shared" si="32"/>
        <v>18867.657278370214</v>
      </c>
      <c r="M109" s="514">
        <f t="shared" si="34"/>
        <v>0</v>
      </c>
      <c r="N109" s="518">
        <f t="shared" si="33"/>
        <v>18867.657278370214</v>
      </c>
      <c r="O109" s="514">
        <f t="shared" si="29"/>
        <v>0</v>
      </c>
      <c r="P109" s="514">
        <f t="shared" si="30"/>
        <v>0</v>
      </c>
    </row>
    <row r="110" spans="1:16">
      <c r="B110" s="195" t="str">
        <f t="shared" si="31"/>
        <v/>
      </c>
      <c r="C110" s="507">
        <f>IF(D93="","-",+C109+1)</f>
        <v>2021</v>
      </c>
      <c r="D110" s="629">
        <v>138005.72032148135</v>
      </c>
      <c r="E110" s="630">
        <v>3909.6585365853657</v>
      </c>
      <c r="F110" s="631">
        <v>134096.06178489598</v>
      </c>
      <c r="G110" s="631">
        <v>136050.89105318865</v>
      </c>
      <c r="H110" s="633">
        <v>19353.370181681992</v>
      </c>
      <c r="I110" s="634">
        <v>19353.370181681992</v>
      </c>
      <c r="J110" s="514">
        <f t="shared" si="35"/>
        <v>0</v>
      </c>
      <c r="K110" s="514"/>
      <c r="L110" s="518">
        <f t="shared" ref="L110" si="36">+H110</f>
        <v>19353.370181681992</v>
      </c>
      <c r="M110" s="514">
        <f t="shared" si="34"/>
        <v>0</v>
      </c>
      <c r="N110" s="518">
        <f t="shared" ref="N110" si="37">+I110</f>
        <v>19353.370181681992</v>
      </c>
      <c r="O110" s="514">
        <f t="shared" ref="O110" si="38">IF(N110&lt;&gt;0,+I110-N110,0)</f>
        <v>0</v>
      </c>
      <c r="P110" s="514">
        <f t="shared" si="30"/>
        <v>0</v>
      </c>
    </row>
    <row r="111" spans="1:16">
      <c r="B111" s="195" t="str">
        <f t="shared" si="31"/>
        <v/>
      </c>
      <c r="C111" s="673">
        <f>IF(D93="","-",+C110+1)</f>
        <v>2022</v>
      </c>
      <c r="D111" s="374">
        <v>134096.06178489598</v>
      </c>
      <c r="E111" s="522">
        <v>3816.5714285714284</v>
      </c>
      <c r="F111" s="523">
        <v>130279.49035632455</v>
      </c>
      <c r="G111" s="523">
        <v>132187.77607061027</v>
      </c>
      <c r="H111" s="526">
        <v>19343.062482398549</v>
      </c>
      <c r="I111" s="577">
        <v>19343.062482398549</v>
      </c>
      <c r="J111" s="514">
        <f t="shared" si="35"/>
        <v>0</v>
      </c>
      <c r="K111" s="514"/>
      <c r="L111" s="525"/>
      <c r="M111" s="514">
        <f t="shared" si="28"/>
        <v>0</v>
      </c>
      <c r="N111" s="525"/>
      <c r="O111" s="514">
        <f t="shared" si="29"/>
        <v>0</v>
      </c>
      <c r="P111" s="514">
        <f t="shared" si="30"/>
        <v>0</v>
      </c>
    </row>
    <row r="112" spans="1:16">
      <c r="B112" s="195" t="str">
        <f t="shared" si="31"/>
        <v/>
      </c>
      <c r="C112" s="507">
        <f>IF(D93="","-",+C111+1)</f>
        <v>2023</v>
      </c>
      <c r="D112" s="374">
        <f>IF(F111+SUM(E$99:E111)=D$92,F111,D$92-SUM(E$99:E111))</f>
        <v>130279.49035632455</v>
      </c>
      <c r="E112" s="522">
        <f t="shared" ref="E112:E154" si="39">IF(+$J$96&lt;F111,$J$96,D112)</f>
        <v>3909.6585365853657</v>
      </c>
      <c r="F112" s="523">
        <f t="shared" ref="F112:F154" si="40">+D112-E112</f>
        <v>126369.83181973918</v>
      </c>
      <c r="G112" s="523">
        <f t="shared" ref="G112:G154" si="41">+(F112+D112)/2</f>
        <v>128324.66108803186</v>
      </c>
      <c r="H112" s="526">
        <f t="shared" ref="H112:H154" si="42">+J$94*G112+E112</f>
        <v>18476.333164416606</v>
      </c>
      <c r="I112" s="577">
        <f t="shared" ref="I112:I154" si="43">+J$95*G112+E112</f>
        <v>18476.333164416606</v>
      </c>
      <c r="J112" s="514">
        <f t="shared" si="35"/>
        <v>0</v>
      </c>
      <c r="K112" s="514"/>
      <c r="L112" s="525"/>
      <c r="M112" s="514">
        <f t="shared" si="28"/>
        <v>0</v>
      </c>
      <c r="N112" s="525"/>
      <c r="O112" s="514">
        <f t="shared" si="29"/>
        <v>0</v>
      </c>
      <c r="P112" s="514">
        <f t="shared" si="30"/>
        <v>0</v>
      </c>
    </row>
    <row r="113" spans="2:16">
      <c r="B113" s="195" t="str">
        <f t="shared" si="31"/>
        <v/>
      </c>
      <c r="C113" s="507">
        <f>IF(D93="","-",+C112+1)</f>
        <v>2024</v>
      </c>
      <c r="D113" s="374">
        <f>IF(F112+SUM(E$99:E112)=D$92,F112,D$92-SUM(E$99:E112))</f>
        <v>126369.83181973918</v>
      </c>
      <c r="E113" s="522">
        <f t="shared" si="39"/>
        <v>3909.6585365853657</v>
      </c>
      <c r="F113" s="523">
        <f t="shared" si="40"/>
        <v>122460.17328315381</v>
      </c>
      <c r="G113" s="523">
        <f t="shared" si="41"/>
        <v>124415.00255144649</v>
      </c>
      <c r="H113" s="526">
        <f t="shared" si="42"/>
        <v>18032.531300258219</v>
      </c>
      <c r="I113" s="577">
        <f t="shared" si="43"/>
        <v>18032.531300258219</v>
      </c>
      <c r="J113" s="514">
        <f t="shared" si="35"/>
        <v>0</v>
      </c>
      <c r="K113" s="514"/>
      <c r="L113" s="525"/>
      <c r="M113" s="514">
        <f t="shared" si="28"/>
        <v>0</v>
      </c>
      <c r="N113" s="525"/>
      <c r="O113" s="514">
        <f t="shared" si="29"/>
        <v>0</v>
      </c>
      <c r="P113" s="514">
        <f t="shared" si="30"/>
        <v>0</v>
      </c>
    </row>
    <row r="114" spans="2:16">
      <c r="B114" s="195" t="str">
        <f t="shared" si="31"/>
        <v/>
      </c>
      <c r="C114" s="507">
        <f>IF(D93="","-",+C113+1)</f>
        <v>2025</v>
      </c>
      <c r="D114" s="374">
        <f>IF(F113+SUM(E$99:E113)=D$92,F113,D$92-SUM(E$99:E113))</f>
        <v>122460.17328315381</v>
      </c>
      <c r="E114" s="522">
        <f t="shared" si="39"/>
        <v>3909.6585365853657</v>
      </c>
      <c r="F114" s="523">
        <f t="shared" si="40"/>
        <v>118550.51474656844</v>
      </c>
      <c r="G114" s="523">
        <f t="shared" si="41"/>
        <v>120505.34401486113</v>
      </c>
      <c r="H114" s="526">
        <f t="shared" si="42"/>
        <v>17588.729436099831</v>
      </c>
      <c r="I114" s="577">
        <f t="shared" si="43"/>
        <v>17588.729436099831</v>
      </c>
      <c r="J114" s="514">
        <f t="shared" si="35"/>
        <v>0</v>
      </c>
      <c r="K114" s="514"/>
      <c r="L114" s="525"/>
      <c r="M114" s="514">
        <f t="shared" si="28"/>
        <v>0</v>
      </c>
      <c r="N114" s="525"/>
      <c r="O114" s="514">
        <f t="shared" si="29"/>
        <v>0</v>
      </c>
      <c r="P114" s="514">
        <f t="shared" si="30"/>
        <v>0</v>
      </c>
    </row>
    <row r="115" spans="2:16">
      <c r="B115" s="195" t="str">
        <f t="shared" si="31"/>
        <v/>
      </c>
      <c r="C115" s="507">
        <f>IF(D93="","-",+C114+1)</f>
        <v>2026</v>
      </c>
      <c r="D115" s="374">
        <f>IF(F114+SUM(E$99:E114)=D$92,F114,D$92-SUM(E$99:E114))</f>
        <v>118550.51474656844</v>
      </c>
      <c r="E115" s="522">
        <f t="shared" si="39"/>
        <v>3909.6585365853657</v>
      </c>
      <c r="F115" s="523">
        <f t="shared" si="40"/>
        <v>114640.85620998307</v>
      </c>
      <c r="G115" s="523">
        <f t="shared" si="41"/>
        <v>116595.68547827576</v>
      </c>
      <c r="H115" s="526">
        <f t="shared" si="42"/>
        <v>17144.927571941444</v>
      </c>
      <c r="I115" s="577">
        <f t="shared" si="43"/>
        <v>17144.927571941444</v>
      </c>
      <c r="J115" s="514">
        <f t="shared" si="35"/>
        <v>0</v>
      </c>
      <c r="K115" s="514"/>
      <c r="L115" s="525"/>
      <c r="M115" s="514">
        <f t="shared" si="28"/>
        <v>0</v>
      </c>
      <c r="N115" s="525"/>
      <c r="O115" s="514">
        <f t="shared" si="29"/>
        <v>0</v>
      </c>
      <c r="P115" s="514">
        <f t="shared" si="30"/>
        <v>0</v>
      </c>
    </row>
    <row r="116" spans="2:16">
      <c r="B116" s="195" t="str">
        <f t="shared" si="31"/>
        <v/>
      </c>
      <c r="C116" s="507">
        <f>IF(D93="","-",+C115+1)</f>
        <v>2027</v>
      </c>
      <c r="D116" s="374">
        <f>IF(F115+SUM(E$99:E115)=D$92,F115,D$92-SUM(E$99:E115))</f>
        <v>114640.85620998307</v>
      </c>
      <c r="E116" s="522">
        <f t="shared" si="39"/>
        <v>3909.6585365853657</v>
      </c>
      <c r="F116" s="523">
        <f t="shared" si="40"/>
        <v>110731.19767339771</v>
      </c>
      <c r="G116" s="523">
        <f t="shared" si="41"/>
        <v>112686.02694169039</v>
      </c>
      <c r="H116" s="526">
        <f t="shared" si="42"/>
        <v>16701.125707783056</v>
      </c>
      <c r="I116" s="577">
        <f t="shared" si="43"/>
        <v>16701.125707783056</v>
      </c>
      <c r="J116" s="514">
        <f t="shared" si="35"/>
        <v>0</v>
      </c>
      <c r="K116" s="514"/>
      <c r="L116" s="525"/>
      <c r="M116" s="514">
        <f t="shared" si="28"/>
        <v>0</v>
      </c>
      <c r="N116" s="525"/>
      <c r="O116" s="514">
        <f t="shared" si="29"/>
        <v>0</v>
      </c>
      <c r="P116" s="514">
        <f t="shared" si="30"/>
        <v>0</v>
      </c>
    </row>
    <row r="117" spans="2:16">
      <c r="B117" s="195" t="str">
        <f t="shared" si="31"/>
        <v/>
      </c>
      <c r="C117" s="507">
        <f>IF(D93="","-",+C116+1)</f>
        <v>2028</v>
      </c>
      <c r="D117" s="374">
        <f>IF(F116+SUM(E$99:E116)=D$92,F116,D$92-SUM(E$99:E116))</f>
        <v>110731.19767339771</v>
      </c>
      <c r="E117" s="522">
        <f t="shared" si="39"/>
        <v>3909.6585365853657</v>
      </c>
      <c r="F117" s="523">
        <f t="shared" si="40"/>
        <v>106821.53913681234</v>
      </c>
      <c r="G117" s="523">
        <f t="shared" si="41"/>
        <v>108776.36840510502</v>
      </c>
      <c r="H117" s="526">
        <f t="shared" si="42"/>
        <v>16257.323843624668</v>
      </c>
      <c r="I117" s="577">
        <f t="shared" si="43"/>
        <v>16257.323843624668</v>
      </c>
      <c r="J117" s="514">
        <f t="shared" si="35"/>
        <v>0</v>
      </c>
      <c r="K117" s="514"/>
      <c r="L117" s="525"/>
      <c r="M117" s="514">
        <f t="shared" si="28"/>
        <v>0</v>
      </c>
      <c r="N117" s="525"/>
      <c r="O117" s="514">
        <f t="shared" si="29"/>
        <v>0</v>
      </c>
      <c r="P117" s="514">
        <f t="shared" si="30"/>
        <v>0</v>
      </c>
    </row>
    <row r="118" spans="2:16">
      <c r="B118" s="195" t="str">
        <f t="shared" si="31"/>
        <v/>
      </c>
      <c r="C118" s="507">
        <f>IF(D93="","-",+C117+1)</f>
        <v>2029</v>
      </c>
      <c r="D118" s="374">
        <f>IF(F117+SUM(E$99:E117)=D$92,F117,D$92-SUM(E$99:E117))</f>
        <v>106821.53913681234</v>
      </c>
      <c r="E118" s="522">
        <f t="shared" si="39"/>
        <v>3909.6585365853657</v>
      </c>
      <c r="F118" s="523">
        <f t="shared" si="40"/>
        <v>102911.88060022697</v>
      </c>
      <c r="G118" s="523">
        <f t="shared" si="41"/>
        <v>104866.70986851965</v>
      </c>
      <c r="H118" s="526">
        <f t="shared" si="42"/>
        <v>15813.521979466281</v>
      </c>
      <c r="I118" s="577">
        <f t="shared" si="43"/>
        <v>15813.521979466281</v>
      </c>
      <c r="J118" s="514">
        <f t="shared" si="35"/>
        <v>0</v>
      </c>
      <c r="K118" s="514"/>
      <c r="L118" s="525"/>
      <c r="M118" s="514">
        <f t="shared" si="28"/>
        <v>0</v>
      </c>
      <c r="N118" s="525"/>
      <c r="O118" s="514">
        <f t="shared" si="29"/>
        <v>0</v>
      </c>
      <c r="P118" s="514">
        <f t="shared" si="30"/>
        <v>0</v>
      </c>
    </row>
    <row r="119" spans="2:16">
      <c r="B119" s="195" t="str">
        <f t="shared" si="31"/>
        <v/>
      </c>
      <c r="C119" s="507">
        <f>IF(D93="","-",+C118+1)</f>
        <v>2030</v>
      </c>
      <c r="D119" s="374">
        <f>IF(F118+SUM(E$99:E118)=D$92,F118,D$92-SUM(E$99:E118))</f>
        <v>102911.88060022697</v>
      </c>
      <c r="E119" s="522">
        <f t="shared" si="39"/>
        <v>3909.6585365853657</v>
      </c>
      <c r="F119" s="523">
        <f t="shared" si="40"/>
        <v>99002.222063641602</v>
      </c>
      <c r="G119" s="523">
        <f t="shared" si="41"/>
        <v>100957.05133193429</v>
      </c>
      <c r="H119" s="526">
        <f t="shared" si="42"/>
        <v>15369.720115307893</v>
      </c>
      <c r="I119" s="577">
        <f t="shared" si="43"/>
        <v>15369.720115307893</v>
      </c>
      <c r="J119" s="514">
        <f t="shared" si="35"/>
        <v>0</v>
      </c>
      <c r="K119" s="514"/>
      <c r="L119" s="525"/>
      <c r="M119" s="514">
        <f t="shared" si="28"/>
        <v>0</v>
      </c>
      <c r="N119" s="525"/>
      <c r="O119" s="514">
        <f t="shared" si="29"/>
        <v>0</v>
      </c>
      <c r="P119" s="514">
        <f t="shared" si="30"/>
        <v>0</v>
      </c>
    </row>
    <row r="120" spans="2:16">
      <c r="B120" s="195" t="str">
        <f t="shared" si="31"/>
        <v/>
      </c>
      <c r="C120" s="507">
        <f>IF(D93="","-",+C119+1)</f>
        <v>2031</v>
      </c>
      <c r="D120" s="374">
        <f>IF(F119+SUM(E$99:E119)=D$92,F119,D$92-SUM(E$99:E119))</f>
        <v>99002.222063641602</v>
      </c>
      <c r="E120" s="522">
        <f t="shared" si="39"/>
        <v>3909.6585365853657</v>
      </c>
      <c r="F120" s="523">
        <f t="shared" si="40"/>
        <v>95092.563527056234</v>
      </c>
      <c r="G120" s="523">
        <f t="shared" si="41"/>
        <v>97047.392795348918</v>
      </c>
      <c r="H120" s="526">
        <f t="shared" si="42"/>
        <v>14925.918251149504</v>
      </c>
      <c r="I120" s="577">
        <f t="shared" si="43"/>
        <v>14925.918251149504</v>
      </c>
      <c r="J120" s="514">
        <f t="shared" si="35"/>
        <v>0</v>
      </c>
      <c r="K120" s="514"/>
      <c r="L120" s="525"/>
      <c r="M120" s="514">
        <f t="shared" si="28"/>
        <v>0</v>
      </c>
      <c r="N120" s="525"/>
      <c r="O120" s="514">
        <f t="shared" si="29"/>
        <v>0</v>
      </c>
      <c r="P120" s="514">
        <f t="shared" si="30"/>
        <v>0</v>
      </c>
    </row>
    <row r="121" spans="2:16">
      <c r="B121" s="195" t="str">
        <f t="shared" si="31"/>
        <v/>
      </c>
      <c r="C121" s="507">
        <f>IF(D93="","-",+C120+1)</f>
        <v>2032</v>
      </c>
      <c r="D121" s="374">
        <f>IF(F120+SUM(E$99:E120)=D$92,F120,D$92-SUM(E$99:E120))</f>
        <v>95092.563527056234</v>
      </c>
      <c r="E121" s="522">
        <f t="shared" si="39"/>
        <v>3909.6585365853657</v>
      </c>
      <c r="F121" s="523">
        <f t="shared" si="40"/>
        <v>91182.904990470866</v>
      </c>
      <c r="G121" s="523">
        <f t="shared" si="41"/>
        <v>93137.73425876355</v>
      </c>
      <c r="H121" s="526">
        <f t="shared" si="42"/>
        <v>14482.116386991116</v>
      </c>
      <c r="I121" s="577">
        <f t="shared" si="43"/>
        <v>14482.116386991116</v>
      </c>
      <c r="J121" s="514">
        <f t="shared" si="35"/>
        <v>0</v>
      </c>
      <c r="K121" s="514"/>
      <c r="L121" s="525"/>
      <c r="M121" s="514">
        <f t="shared" si="28"/>
        <v>0</v>
      </c>
      <c r="N121" s="525"/>
      <c r="O121" s="514">
        <f t="shared" si="29"/>
        <v>0</v>
      </c>
      <c r="P121" s="514">
        <f t="shared" si="30"/>
        <v>0</v>
      </c>
    </row>
    <row r="122" spans="2:16">
      <c r="B122" s="195" t="str">
        <f t="shared" si="31"/>
        <v/>
      </c>
      <c r="C122" s="507">
        <f>IF(D93="","-",+C121+1)</f>
        <v>2033</v>
      </c>
      <c r="D122" s="374">
        <f>IF(F121+SUM(E$99:E121)=D$92,F121,D$92-SUM(E$99:E121))</f>
        <v>91182.904990470866</v>
      </c>
      <c r="E122" s="522">
        <f t="shared" si="39"/>
        <v>3909.6585365853657</v>
      </c>
      <c r="F122" s="523">
        <f t="shared" si="40"/>
        <v>87273.246453885498</v>
      </c>
      <c r="G122" s="523">
        <f t="shared" si="41"/>
        <v>89228.075722178182</v>
      </c>
      <c r="H122" s="526">
        <f t="shared" si="42"/>
        <v>14038.314522832728</v>
      </c>
      <c r="I122" s="577">
        <f t="shared" si="43"/>
        <v>14038.314522832728</v>
      </c>
      <c r="J122" s="514">
        <f t="shared" si="35"/>
        <v>0</v>
      </c>
      <c r="K122" s="514"/>
      <c r="L122" s="525"/>
      <c r="M122" s="514">
        <f t="shared" si="28"/>
        <v>0</v>
      </c>
      <c r="N122" s="525"/>
      <c r="O122" s="514">
        <f t="shared" si="29"/>
        <v>0</v>
      </c>
      <c r="P122" s="514">
        <f t="shared" si="30"/>
        <v>0</v>
      </c>
    </row>
    <row r="123" spans="2:16">
      <c r="B123" s="195" t="str">
        <f t="shared" si="31"/>
        <v/>
      </c>
      <c r="C123" s="507">
        <f>IF(D93="","-",+C122+1)</f>
        <v>2034</v>
      </c>
      <c r="D123" s="374">
        <f>IF(F122+SUM(E$99:E122)=D$92,F122,D$92-SUM(E$99:E122))</f>
        <v>87273.246453885498</v>
      </c>
      <c r="E123" s="522">
        <f t="shared" si="39"/>
        <v>3909.6585365853657</v>
      </c>
      <c r="F123" s="523">
        <f t="shared" si="40"/>
        <v>83363.58791730013</v>
      </c>
      <c r="G123" s="523">
        <f t="shared" si="41"/>
        <v>85318.417185592814</v>
      </c>
      <c r="H123" s="526">
        <f t="shared" si="42"/>
        <v>13594.512658674341</v>
      </c>
      <c r="I123" s="577">
        <f t="shared" si="43"/>
        <v>13594.512658674341</v>
      </c>
      <c r="J123" s="514">
        <f t="shared" si="35"/>
        <v>0</v>
      </c>
      <c r="K123" s="514"/>
      <c r="L123" s="525"/>
      <c r="M123" s="514">
        <f t="shared" si="28"/>
        <v>0</v>
      </c>
      <c r="N123" s="525"/>
      <c r="O123" s="514">
        <f t="shared" si="29"/>
        <v>0</v>
      </c>
      <c r="P123" s="514">
        <f t="shared" si="30"/>
        <v>0</v>
      </c>
    </row>
    <row r="124" spans="2:16">
      <c r="B124" s="195" t="str">
        <f t="shared" si="31"/>
        <v/>
      </c>
      <c r="C124" s="507">
        <f>IF(D93="","-",+C123+1)</f>
        <v>2035</v>
      </c>
      <c r="D124" s="374">
        <f>IF(F123+SUM(E$99:E123)=D$92,F123,D$92-SUM(E$99:E123))</f>
        <v>83363.58791730013</v>
      </c>
      <c r="E124" s="522">
        <f t="shared" si="39"/>
        <v>3909.6585365853657</v>
      </c>
      <c r="F124" s="523">
        <f t="shared" si="40"/>
        <v>79453.929380714762</v>
      </c>
      <c r="G124" s="523">
        <f t="shared" si="41"/>
        <v>81408.758649007446</v>
      </c>
      <c r="H124" s="526">
        <f t="shared" si="42"/>
        <v>13150.710794515951</v>
      </c>
      <c r="I124" s="577">
        <f t="shared" si="43"/>
        <v>13150.710794515951</v>
      </c>
      <c r="J124" s="514">
        <f t="shared" si="35"/>
        <v>0</v>
      </c>
      <c r="K124" s="514"/>
      <c r="L124" s="525"/>
      <c r="M124" s="514">
        <f t="shared" si="28"/>
        <v>0</v>
      </c>
      <c r="N124" s="525"/>
      <c r="O124" s="514">
        <f t="shared" si="29"/>
        <v>0</v>
      </c>
      <c r="P124" s="514">
        <f t="shared" si="30"/>
        <v>0</v>
      </c>
    </row>
    <row r="125" spans="2:16">
      <c r="B125" s="195" t="str">
        <f t="shared" si="31"/>
        <v/>
      </c>
      <c r="C125" s="507">
        <f>IF(D93="","-",+C124+1)</f>
        <v>2036</v>
      </c>
      <c r="D125" s="374">
        <f>IF(F124+SUM(E$99:E124)=D$92,F124,D$92-SUM(E$99:E124))</f>
        <v>79453.929380714762</v>
      </c>
      <c r="E125" s="522">
        <f t="shared" si="39"/>
        <v>3909.6585365853657</v>
      </c>
      <c r="F125" s="523">
        <f t="shared" si="40"/>
        <v>75544.270844129394</v>
      </c>
      <c r="G125" s="523">
        <f t="shared" si="41"/>
        <v>77499.100112422078</v>
      </c>
      <c r="H125" s="526">
        <f t="shared" si="42"/>
        <v>12706.908930357564</v>
      </c>
      <c r="I125" s="577">
        <f t="shared" si="43"/>
        <v>12706.908930357564</v>
      </c>
      <c r="J125" s="514">
        <f t="shared" si="35"/>
        <v>0</v>
      </c>
      <c r="K125" s="514"/>
      <c r="L125" s="525"/>
      <c r="M125" s="514">
        <f t="shared" si="28"/>
        <v>0</v>
      </c>
      <c r="N125" s="525"/>
      <c r="O125" s="514">
        <f t="shared" si="29"/>
        <v>0</v>
      </c>
      <c r="P125" s="514">
        <f t="shared" si="30"/>
        <v>0</v>
      </c>
    </row>
    <row r="126" spans="2:16">
      <c r="B126" s="195" t="str">
        <f t="shared" si="31"/>
        <v/>
      </c>
      <c r="C126" s="507">
        <f>IF(D93="","-",+C125+1)</f>
        <v>2037</v>
      </c>
      <c r="D126" s="374">
        <f>IF(F125+SUM(E$99:E125)=D$92,F125,D$92-SUM(E$99:E125))</f>
        <v>75544.270844129394</v>
      </c>
      <c r="E126" s="522">
        <f t="shared" si="39"/>
        <v>3909.6585365853657</v>
      </c>
      <c r="F126" s="523">
        <f t="shared" si="40"/>
        <v>71634.612307544026</v>
      </c>
      <c r="G126" s="523">
        <f t="shared" si="41"/>
        <v>73589.44157583671</v>
      </c>
      <c r="H126" s="526">
        <f t="shared" si="42"/>
        <v>12263.107066199176</v>
      </c>
      <c r="I126" s="577">
        <f t="shared" si="43"/>
        <v>12263.107066199176</v>
      </c>
      <c r="J126" s="514">
        <f t="shared" si="35"/>
        <v>0</v>
      </c>
      <c r="K126" s="514"/>
      <c r="L126" s="525"/>
      <c r="M126" s="514">
        <f t="shared" si="28"/>
        <v>0</v>
      </c>
      <c r="N126" s="525"/>
      <c r="O126" s="514">
        <f t="shared" si="29"/>
        <v>0</v>
      </c>
      <c r="P126" s="514">
        <f t="shared" si="30"/>
        <v>0</v>
      </c>
    </row>
    <row r="127" spans="2:16">
      <c r="B127" s="195" t="str">
        <f t="shared" si="31"/>
        <v/>
      </c>
      <c r="C127" s="507">
        <f>IF(D93="","-",+C126+1)</f>
        <v>2038</v>
      </c>
      <c r="D127" s="374">
        <f>IF(F126+SUM(E$99:E126)=D$92,F126,D$92-SUM(E$99:E126))</f>
        <v>71634.612307544026</v>
      </c>
      <c r="E127" s="522">
        <f t="shared" si="39"/>
        <v>3909.6585365853657</v>
      </c>
      <c r="F127" s="523">
        <f t="shared" si="40"/>
        <v>67724.953770958658</v>
      </c>
      <c r="G127" s="523">
        <f t="shared" si="41"/>
        <v>69679.783039251342</v>
      </c>
      <c r="H127" s="526">
        <f t="shared" si="42"/>
        <v>11819.305202040787</v>
      </c>
      <c r="I127" s="577">
        <f t="shared" si="43"/>
        <v>11819.305202040787</v>
      </c>
      <c r="J127" s="514">
        <f t="shared" si="35"/>
        <v>0</v>
      </c>
      <c r="K127" s="514"/>
      <c r="L127" s="525"/>
      <c r="M127" s="514">
        <f t="shared" si="28"/>
        <v>0</v>
      </c>
      <c r="N127" s="525"/>
      <c r="O127" s="514">
        <f t="shared" si="29"/>
        <v>0</v>
      </c>
      <c r="P127" s="514">
        <f t="shared" si="30"/>
        <v>0</v>
      </c>
    </row>
    <row r="128" spans="2:16">
      <c r="B128" s="195" t="str">
        <f t="shared" si="31"/>
        <v/>
      </c>
      <c r="C128" s="507">
        <f>IF(D93="","-",+C127+1)</f>
        <v>2039</v>
      </c>
      <c r="D128" s="374">
        <f>IF(F127+SUM(E$99:E127)=D$92,F127,D$92-SUM(E$99:E127))</f>
        <v>67724.953770958658</v>
      </c>
      <c r="E128" s="522">
        <f t="shared" si="39"/>
        <v>3909.6585365853657</v>
      </c>
      <c r="F128" s="523">
        <f t="shared" si="40"/>
        <v>63815.29523437329</v>
      </c>
      <c r="G128" s="523">
        <f t="shared" si="41"/>
        <v>65770.124502665974</v>
      </c>
      <c r="H128" s="526">
        <f t="shared" si="42"/>
        <v>11375.503337882399</v>
      </c>
      <c r="I128" s="577">
        <f t="shared" si="43"/>
        <v>11375.503337882399</v>
      </c>
      <c r="J128" s="514">
        <f t="shared" si="35"/>
        <v>0</v>
      </c>
      <c r="K128" s="514"/>
      <c r="L128" s="525"/>
      <c r="M128" s="514">
        <f t="shared" si="28"/>
        <v>0</v>
      </c>
      <c r="N128" s="525"/>
      <c r="O128" s="514">
        <f t="shared" si="29"/>
        <v>0</v>
      </c>
      <c r="P128" s="514">
        <f t="shared" si="30"/>
        <v>0</v>
      </c>
    </row>
    <row r="129" spans="2:16">
      <c r="B129" s="195" t="str">
        <f t="shared" si="31"/>
        <v/>
      </c>
      <c r="C129" s="507">
        <f>IF(D93="","-",+C128+1)</f>
        <v>2040</v>
      </c>
      <c r="D129" s="374">
        <f>IF(F128+SUM(E$99:E128)=D$92,F128,D$92-SUM(E$99:E128))</f>
        <v>63815.29523437329</v>
      </c>
      <c r="E129" s="522">
        <f t="shared" si="39"/>
        <v>3909.6585365853657</v>
      </c>
      <c r="F129" s="523">
        <f t="shared" si="40"/>
        <v>59905.636697787922</v>
      </c>
      <c r="G129" s="523">
        <f t="shared" si="41"/>
        <v>61860.465966080606</v>
      </c>
      <c r="H129" s="526">
        <f t="shared" si="42"/>
        <v>10931.701473724012</v>
      </c>
      <c r="I129" s="577">
        <f t="shared" si="43"/>
        <v>10931.701473724012</v>
      </c>
      <c r="J129" s="514">
        <f t="shared" si="35"/>
        <v>0</v>
      </c>
      <c r="K129" s="514"/>
      <c r="L129" s="525"/>
      <c r="M129" s="514">
        <f t="shared" si="28"/>
        <v>0</v>
      </c>
      <c r="N129" s="525"/>
      <c r="O129" s="514">
        <f t="shared" si="29"/>
        <v>0</v>
      </c>
      <c r="P129" s="514">
        <f t="shared" si="30"/>
        <v>0</v>
      </c>
    </row>
    <row r="130" spans="2:16">
      <c r="B130" s="195" t="str">
        <f t="shared" si="31"/>
        <v/>
      </c>
      <c r="C130" s="507">
        <f>IF(D93="","-",+C129+1)</f>
        <v>2041</v>
      </c>
      <c r="D130" s="374">
        <f>IF(F129+SUM(E$99:E129)=D$92,F129,D$92-SUM(E$99:E129))</f>
        <v>59905.636697787922</v>
      </c>
      <c r="E130" s="522">
        <f t="shared" si="39"/>
        <v>3909.6585365853657</v>
      </c>
      <c r="F130" s="523">
        <f t="shared" si="40"/>
        <v>55995.978161202554</v>
      </c>
      <c r="G130" s="523">
        <f t="shared" si="41"/>
        <v>57950.807429495238</v>
      </c>
      <c r="H130" s="526">
        <f t="shared" si="42"/>
        <v>10487.899609565622</v>
      </c>
      <c r="I130" s="577">
        <f t="shared" si="43"/>
        <v>10487.899609565622</v>
      </c>
      <c r="J130" s="514">
        <f t="shared" si="35"/>
        <v>0</v>
      </c>
      <c r="K130" s="514"/>
      <c r="L130" s="525"/>
      <c r="M130" s="514">
        <f t="shared" si="28"/>
        <v>0</v>
      </c>
      <c r="N130" s="525"/>
      <c r="O130" s="514">
        <f t="shared" si="29"/>
        <v>0</v>
      </c>
      <c r="P130" s="514">
        <f t="shared" si="30"/>
        <v>0</v>
      </c>
    </row>
    <row r="131" spans="2:16">
      <c r="B131" s="195" t="str">
        <f t="shared" si="31"/>
        <v/>
      </c>
      <c r="C131" s="507">
        <f>IF(D93="","-",+C130+1)</f>
        <v>2042</v>
      </c>
      <c r="D131" s="374">
        <f>IF(F130+SUM(E$99:E130)=D$92,F130,D$92-SUM(E$99:E130))</f>
        <v>55995.978161202554</v>
      </c>
      <c r="E131" s="522">
        <f t="shared" si="39"/>
        <v>3909.6585365853657</v>
      </c>
      <c r="F131" s="523">
        <f t="shared" si="40"/>
        <v>52086.319624617186</v>
      </c>
      <c r="G131" s="523">
        <f t="shared" si="41"/>
        <v>54041.14889290987</v>
      </c>
      <c r="H131" s="526">
        <f t="shared" si="42"/>
        <v>10044.097745407234</v>
      </c>
      <c r="I131" s="577">
        <f t="shared" si="43"/>
        <v>10044.097745407234</v>
      </c>
      <c r="J131" s="514">
        <f t="shared" si="35"/>
        <v>0</v>
      </c>
      <c r="K131" s="514"/>
      <c r="L131" s="525"/>
      <c r="M131" s="514">
        <f t="shared" ref="M131:M154" si="44">IF(L541&lt;&gt;0,+H541-L541,0)</f>
        <v>0</v>
      </c>
      <c r="N131" s="525"/>
      <c r="O131" s="514">
        <f t="shared" ref="O131:O154" si="45">IF(N541&lt;&gt;0,+I541-N541,0)</f>
        <v>0</v>
      </c>
      <c r="P131" s="514">
        <f t="shared" ref="P131:P154" si="46">+O541-M541</f>
        <v>0</v>
      </c>
    </row>
    <row r="132" spans="2:16">
      <c r="B132" s="195" t="str">
        <f t="shared" si="31"/>
        <v/>
      </c>
      <c r="C132" s="507">
        <f>IF(D93="","-",+C131+1)</f>
        <v>2043</v>
      </c>
      <c r="D132" s="374">
        <f>IF(F131+SUM(E$99:E131)=D$92,F131,D$92-SUM(E$99:E131))</f>
        <v>52086.319624617186</v>
      </c>
      <c r="E132" s="522">
        <f t="shared" si="39"/>
        <v>3909.6585365853657</v>
      </c>
      <c r="F132" s="523">
        <f t="shared" si="40"/>
        <v>48176.661088031819</v>
      </c>
      <c r="G132" s="523">
        <f t="shared" si="41"/>
        <v>50131.490356324502</v>
      </c>
      <c r="H132" s="526">
        <f t="shared" si="42"/>
        <v>9600.2958812488469</v>
      </c>
      <c r="I132" s="577">
        <f t="shared" si="43"/>
        <v>9600.2958812488469</v>
      </c>
      <c r="J132" s="514">
        <f t="shared" si="35"/>
        <v>0</v>
      </c>
      <c r="K132" s="514"/>
      <c r="L132" s="525"/>
      <c r="M132" s="514">
        <f t="shared" si="44"/>
        <v>0</v>
      </c>
      <c r="N132" s="525"/>
      <c r="O132" s="514">
        <f t="shared" si="45"/>
        <v>0</v>
      </c>
      <c r="P132" s="514">
        <f t="shared" si="46"/>
        <v>0</v>
      </c>
    </row>
    <row r="133" spans="2:16">
      <c r="B133" s="195" t="str">
        <f t="shared" si="31"/>
        <v/>
      </c>
      <c r="C133" s="507">
        <f>IF(D93="","-",+C132+1)</f>
        <v>2044</v>
      </c>
      <c r="D133" s="374">
        <f>IF(F132+SUM(E$99:E132)=D$92,F132,D$92-SUM(E$99:E132))</f>
        <v>48176.661088031819</v>
      </c>
      <c r="E133" s="522">
        <f t="shared" si="39"/>
        <v>3909.6585365853657</v>
      </c>
      <c r="F133" s="523">
        <f t="shared" si="40"/>
        <v>44267.002551446451</v>
      </c>
      <c r="G133" s="523">
        <f t="shared" si="41"/>
        <v>46221.831819739135</v>
      </c>
      <c r="H133" s="526">
        <f t="shared" si="42"/>
        <v>9156.4940170904592</v>
      </c>
      <c r="I133" s="577">
        <f t="shared" si="43"/>
        <v>9156.4940170904592</v>
      </c>
      <c r="J133" s="514">
        <f t="shared" si="35"/>
        <v>0</v>
      </c>
      <c r="K133" s="514"/>
      <c r="L133" s="525"/>
      <c r="M133" s="514">
        <f t="shared" si="44"/>
        <v>0</v>
      </c>
      <c r="N133" s="525"/>
      <c r="O133" s="514">
        <f t="shared" si="45"/>
        <v>0</v>
      </c>
      <c r="P133" s="514">
        <f t="shared" si="46"/>
        <v>0</v>
      </c>
    </row>
    <row r="134" spans="2:16">
      <c r="B134" s="195" t="str">
        <f t="shared" si="31"/>
        <v/>
      </c>
      <c r="C134" s="507">
        <f>IF(D93="","-",+C133+1)</f>
        <v>2045</v>
      </c>
      <c r="D134" s="374">
        <f>IF(F133+SUM(E$99:E133)=D$92,F133,D$92-SUM(E$99:E133))</f>
        <v>44267.002551446451</v>
      </c>
      <c r="E134" s="522">
        <f t="shared" si="39"/>
        <v>3909.6585365853657</v>
      </c>
      <c r="F134" s="523">
        <f t="shared" si="40"/>
        <v>40357.344014861083</v>
      </c>
      <c r="G134" s="523">
        <f t="shared" si="41"/>
        <v>42312.173283153767</v>
      </c>
      <c r="H134" s="526">
        <f t="shared" si="42"/>
        <v>8712.6921529320698</v>
      </c>
      <c r="I134" s="577">
        <f t="shared" si="43"/>
        <v>8712.6921529320698</v>
      </c>
      <c r="J134" s="514">
        <f t="shared" si="35"/>
        <v>0</v>
      </c>
      <c r="K134" s="514"/>
      <c r="L134" s="525"/>
      <c r="M134" s="514">
        <f t="shared" si="44"/>
        <v>0</v>
      </c>
      <c r="N134" s="525"/>
      <c r="O134" s="514">
        <f t="shared" si="45"/>
        <v>0</v>
      </c>
      <c r="P134" s="514">
        <f t="shared" si="46"/>
        <v>0</v>
      </c>
    </row>
    <row r="135" spans="2:16">
      <c r="B135" s="195" t="str">
        <f t="shared" si="31"/>
        <v/>
      </c>
      <c r="C135" s="507">
        <f>IF(D93="","-",+C134+1)</f>
        <v>2046</v>
      </c>
      <c r="D135" s="374">
        <f>IF(F134+SUM(E$99:E134)=D$92,F134,D$92-SUM(E$99:E134))</f>
        <v>40357.344014861083</v>
      </c>
      <c r="E135" s="522">
        <f t="shared" si="39"/>
        <v>3909.6585365853657</v>
      </c>
      <c r="F135" s="523">
        <f t="shared" si="40"/>
        <v>36447.685478275715</v>
      </c>
      <c r="G135" s="523">
        <f t="shared" si="41"/>
        <v>38402.514746568399</v>
      </c>
      <c r="H135" s="526">
        <f t="shared" si="42"/>
        <v>8268.8902887736822</v>
      </c>
      <c r="I135" s="577">
        <f t="shared" si="43"/>
        <v>8268.8902887736822</v>
      </c>
      <c r="J135" s="514">
        <f t="shared" si="35"/>
        <v>0</v>
      </c>
      <c r="K135" s="514"/>
      <c r="L135" s="525"/>
      <c r="M135" s="514">
        <f t="shared" si="44"/>
        <v>0</v>
      </c>
      <c r="N135" s="525"/>
      <c r="O135" s="514">
        <f t="shared" si="45"/>
        <v>0</v>
      </c>
      <c r="P135" s="514">
        <f t="shared" si="46"/>
        <v>0</v>
      </c>
    </row>
    <row r="136" spans="2:16">
      <c r="B136" s="195" t="str">
        <f t="shared" si="31"/>
        <v/>
      </c>
      <c r="C136" s="507">
        <f>IF(D93="","-",+C135+1)</f>
        <v>2047</v>
      </c>
      <c r="D136" s="374">
        <f>IF(F135+SUM(E$99:E135)=D$92,F135,D$92-SUM(E$99:E135))</f>
        <v>36447.685478275715</v>
      </c>
      <c r="E136" s="522">
        <f t="shared" si="39"/>
        <v>3909.6585365853657</v>
      </c>
      <c r="F136" s="523">
        <f t="shared" si="40"/>
        <v>32538.02694169035</v>
      </c>
      <c r="G136" s="523">
        <f t="shared" si="41"/>
        <v>34492.856209983031</v>
      </c>
      <c r="H136" s="526">
        <f t="shared" si="42"/>
        <v>7825.0884246152946</v>
      </c>
      <c r="I136" s="577">
        <f t="shared" si="43"/>
        <v>7825.0884246152946</v>
      </c>
      <c r="J136" s="514">
        <f t="shared" si="35"/>
        <v>0</v>
      </c>
      <c r="K136" s="514"/>
      <c r="L136" s="525"/>
      <c r="M136" s="514">
        <f t="shared" si="44"/>
        <v>0</v>
      </c>
      <c r="N136" s="525"/>
      <c r="O136" s="514">
        <f t="shared" si="45"/>
        <v>0</v>
      </c>
      <c r="P136" s="514">
        <f t="shared" si="46"/>
        <v>0</v>
      </c>
    </row>
    <row r="137" spans="2:16">
      <c r="B137" s="195" t="str">
        <f t="shared" si="31"/>
        <v/>
      </c>
      <c r="C137" s="507">
        <f>IF(D93="","-",+C136+1)</f>
        <v>2048</v>
      </c>
      <c r="D137" s="374">
        <f>IF(F136+SUM(E$99:E136)=D$92,F136,D$92-SUM(E$99:E136))</f>
        <v>32538.02694169035</v>
      </c>
      <c r="E137" s="522">
        <f t="shared" si="39"/>
        <v>3909.6585365853657</v>
      </c>
      <c r="F137" s="523">
        <f t="shared" si="40"/>
        <v>28628.368405104986</v>
      </c>
      <c r="G137" s="523">
        <f t="shared" si="41"/>
        <v>30583.19767339767</v>
      </c>
      <c r="H137" s="526">
        <f t="shared" si="42"/>
        <v>7381.286560456907</v>
      </c>
      <c r="I137" s="577">
        <f t="shared" si="43"/>
        <v>7381.286560456907</v>
      </c>
      <c r="J137" s="514">
        <f t="shared" si="35"/>
        <v>0</v>
      </c>
      <c r="K137" s="514"/>
      <c r="L137" s="525"/>
      <c r="M137" s="514">
        <f t="shared" si="44"/>
        <v>0</v>
      </c>
      <c r="N137" s="525"/>
      <c r="O137" s="514">
        <f t="shared" si="45"/>
        <v>0</v>
      </c>
      <c r="P137" s="514">
        <f t="shared" si="46"/>
        <v>0</v>
      </c>
    </row>
    <row r="138" spans="2:16">
      <c r="B138" s="195" t="str">
        <f t="shared" si="31"/>
        <v/>
      </c>
      <c r="C138" s="507">
        <f>IF(D93="","-",+C137+1)</f>
        <v>2049</v>
      </c>
      <c r="D138" s="374">
        <f>IF(F137+SUM(E$99:E137)=D$92,F137,D$92-SUM(E$99:E137))</f>
        <v>28628.368405104986</v>
      </c>
      <c r="E138" s="522">
        <f t="shared" si="39"/>
        <v>3909.6585365853657</v>
      </c>
      <c r="F138" s="523">
        <f t="shared" si="40"/>
        <v>24718.709868519622</v>
      </c>
      <c r="G138" s="523">
        <f t="shared" si="41"/>
        <v>26673.539136812302</v>
      </c>
      <c r="H138" s="526">
        <f t="shared" si="42"/>
        <v>6937.4846962985193</v>
      </c>
      <c r="I138" s="577">
        <f t="shared" si="43"/>
        <v>6937.4846962985193</v>
      </c>
      <c r="J138" s="514">
        <f t="shared" si="35"/>
        <v>0</v>
      </c>
      <c r="K138" s="514"/>
      <c r="L138" s="525"/>
      <c r="M138" s="514">
        <f t="shared" si="44"/>
        <v>0</v>
      </c>
      <c r="N138" s="525"/>
      <c r="O138" s="514">
        <f t="shared" si="45"/>
        <v>0</v>
      </c>
      <c r="P138" s="514">
        <f t="shared" si="46"/>
        <v>0</v>
      </c>
    </row>
    <row r="139" spans="2:16">
      <c r="B139" s="195" t="str">
        <f t="shared" si="31"/>
        <v/>
      </c>
      <c r="C139" s="507">
        <f>IF(D93="","-",+C138+1)</f>
        <v>2050</v>
      </c>
      <c r="D139" s="374">
        <f>IF(F138+SUM(E$99:E138)=D$92,F138,D$92-SUM(E$99:E138))</f>
        <v>24718.709868519622</v>
      </c>
      <c r="E139" s="522">
        <f t="shared" si="39"/>
        <v>3909.6585365853657</v>
      </c>
      <c r="F139" s="523">
        <f t="shared" si="40"/>
        <v>20809.051331934257</v>
      </c>
      <c r="G139" s="523">
        <f t="shared" si="41"/>
        <v>22763.880600226941</v>
      </c>
      <c r="H139" s="526">
        <f t="shared" si="42"/>
        <v>6493.6828321401317</v>
      </c>
      <c r="I139" s="577">
        <f t="shared" si="43"/>
        <v>6493.6828321401317</v>
      </c>
      <c r="J139" s="514">
        <f t="shared" si="35"/>
        <v>0</v>
      </c>
      <c r="K139" s="514"/>
      <c r="L139" s="525"/>
      <c r="M139" s="514">
        <f t="shared" si="44"/>
        <v>0</v>
      </c>
      <c r="N139" s="525"/>
      <c r="O139" s="514">
        <f t="shared" si="45"/>
        <v>0</v>
      </c>
      <c r="P139" s="514">
        <f t="shared" si="46"/>
        <v>0</v>
      </c>
    </row>
    <row r="140" spans="2:16">
      <c r="B140" s="195" t="str">
        <f t="shared" si="31"/>
        <v/>
      </c>
      <c r="C140" s="507">
        <f>IF(D93="","-",+C139+1)</f>
        <v>2051</v>
      </c>
      <c r="D140" s="374">
        <f>IF(F139+SUM(E$99:E139)=D$92,F139,D$92-SUM(E$99:E139))</f>
        <v>20809.051331934257</v>
      </c>
      <c r="E140" s="522">
        <f t="shared" si="39"/>
        <v>3909.6585365853657</v>
      </c>
      <c r="F140" s="523">
        <f t="shared" si="40"/>
        <v>16899.392795348893</v>
      </c>
      <c r="G140" s="523">
        <f t="shared" si="41"/>
        <v>18854.222063641573</v>
      </c>
      <c r="H140" s="526">
        <f t="shared" si="42"/>
        <v>6049.8809679817441</v>
      </c>
      <c r="I140" s="577">
        <f t="shared" si="43"/>
        <v>6049.8809679817441</v>
      </c>
      <c r="J140" s="514">
        <f t="shared" si="35"/>
        <v>0</v>
      </c>
      <c r="K140" s="514"/>
      <c r="L140" s="525"/>
      <c r="M140" s="514">
        <f t="shared" si="44"/>
        <v>0</v>
      </c>
      <c r="N140" s="525"/>
      <c r="O140" s="514">
        <f t="shared" si="45"/>
        <v>0</v>
      </c>
      <c r="P140" s="514">
        <f t="shared" si="46"/>
        <v>0</v>
      </c>
    </row>
    <row r="141" spans="2:16">
      <c r="B141" s="195" t="str">
        <f t="shared" si="31"/>
        <v/>
      </c>
      <c r="C141" s="507">
        <f>IF(D93="","-",+C140+1)</f>
        <v>2052</v>
      </c>
      <c r="D141" s="374">
        <f>IF(F140+SUM(E$99:E140)=D$92,F140,D$92-SUM(E$99:E140))</f>
        <v>16899.392795348893</v>
      </c>
      <c r="E141" s="522">
        <f t="shared" si="39"/>
        <v>3909.6585365853657</v>
      </c>
      <c r="F141" s="523">
        <f t="shared" si="40"/>
        <v>12989.734258763527</v>
      </c>
      <c r="G141" s="523">
        <f t="shared" si="41"/>
        <v>14944.563527056209</v>
      </c>
      <c r="H141" s="526">
        <f t="shared" si="42"/>
        <v>5606.0791038233565</v>
      </c>
      <c r="I141" s="577">
        <f t="shared" si="43"/>
        <v>5606.0791038233565</v>
      </c>
      <c r="J141" s="514">
        <f t="shared" si="35"/>
        <v>0</v>
      </c>
      <c r="K141" s="514"/>
      <c r="L141" s="525"/>
      <c r="M141" s="514">
        <f t="shared" si="44"/>
        <v>0</v>
      </c>
      <c r="N141" s="525"/>
      <c r="O141" s="514">
        <f t="shared" si="45"/>
        <v>0</v>
      </c>
      <c r="P141" s="514">
        <f t="shared" si="46"/>
        <v>0</v>
      </c>
    </row>
    <row r="142" spans="2:16">
      <c r="B142" s="195" t="str">
        <f t="shared" si="31"/>
        <v/>
      </c>
      <c r="C142" s="507">
        <f>IF(D93="","-",+C141+1)</f>
        <v>2053</v>
      </c>
      <c r="D142" s="374">
        <f>IF(F141+SUM(E$99:E141)=D$92,F141,D$92-SUM(E$99:E141))</f>
        <v>12989.734258763527</v>
      </c>
      <c r="E142" s="522">
        <f t="shared" si="39"/>
        <v>3909.6585365853657</v>
      </c>
      <c r="F142" s="523">
        <f t="shared" si="40"/>
        <v>9080.0757221781605</v>
      </c>
      <c r="G142" s="523">
        <f t="shared" si="41"/>
        <v>11034.904990470844</v>
      </c>
      <c r="H142" s="526">
        <f t="shared" si="42"/>
        <v>5162.277239664968</v>
      </c>
      <c r="I142" s="577">
        <f t="shared" si="43"/>
        <v>5162.277239664968</v>
      </c>
      <c r="J142" s="514">
        <f t="shared" si="35"/>
        <v>0</v>
      </c>
      <c r="K142" s="514"/>
      <c r="L142" s="525"/>
      <c r="M142" s="514">
        <f t="shared" si="44"/>
        <v>0</v>
      </c>
      <c r="N142" s="525"/>
      <c r="O142" s="514">
        <f t="shared" si="45"/>
        <v>0</v>
      </c>
      <c r="P142" s="514">
        <f t="shared" si="46"/>
        <v>0</v>
      </c>
    </row>
    <row r="143" spans="2:16">
      <c r="B143" s="195" t="str">
        <f t="shared" si="31"/>
        <v/>
      </c>
      <c r="C143" s="507">
        <f>IF(D93="","-",+C142+1)</f>
        <v>2054</v>
      </c>
      <c r="D143" s="374">
        <f>IF(F142+SUM(E$99:E142)=D$92,F142,D$92-SUM(E$99:E142))</f>
        <v>9080.0757221781605</v>
      </c>
      <c r="E143" s="522">
        <f t="shared" si="39"/>
        <v>3909.6585365853657</v>
      </c>
      <c r="F143" s="523">
        <f t="shared" si="40"/>
        <v>5170.4171855927943</v>
      </c>
      <c r="G143" s="523">
        <f t="shared" si="41"/>
        <v>7125.2464538854774</v>
      </c>
      <c r="H143" s="526">
        <f t="shared" si="42"/>
        <v>4718.4753755065803</v>
      </c>
      <c r="I143" s="577">
        <f t="shared" si="43"/>
        <v>4718.4753755065803</v>
      </c>
      <c r="J143" s="514">
        <f t="shared" si="35"/>
        <v>0</v>
      </c>
      <c r="K143" s="514"/>
      <c r="L143" s="525"/>
      <c r="M143" s="514">
        <f t="shared" si="44"/>
        <v>0</v>
      </c>
      <c r="N143" s="525"/>
      <c r="O143" s="514">
        <f t="shared" si="45"/>
        <v>0</v>
      </c>
      <c r="P143" s="514">
        <f t="shared" si="46"/>
        <v>0</v>
      </c>
    </row>
    <row r="144" spans="2:16">
      <c r="B144" s="195" t="str">
        <f t="shared" si="31"/>
        <v/>
      </c>
      <c r="C144" s="507">
        <f>IF(D93="","-",+C143+1)</f>
        <v>2055</v>
      </c>
      <c r="D144" s="374">
        <f>IF(F143+SUM(E$99:E143)=D$92,F143,D$92-SUM(E$99:E143))</f>
        <v>5170.4171855927943</v>
      </c>
      <c r="E144" s="522">
        <f t="shared" si="39"/>
        <v>3909.6585365853657</v>
      </c>
      <c r="F144" s="523">
        <f t="shared" si="40"/>
        <v>1260.7586490074286</v>
      </c>
      <c r="G144" s="523">
        <f t="shared" si="41"/>
        <v>3215.5879173001113</v>
      </c>
      <c r="H144" s="526">
        <f t="shared" si="42"/>
        <v>4274.6735113481927</v>
      </c>
      <c r="I144" s="577">
        <f t="shared" si="43"/>
        <v>4274.6735113481927</v>
      </c>
      <c r="J144" s="514">
        <f t="shared" si="35"/>
        <v>0</v>
      </c>
      <c r="K144" s="514"/>
      <c r="L144" s="525"/>
      <c r="M144" s="514">
        <f t="shared" si="44"/>
        <v>0</v>
      </c>
      <c r="N144" s="525"/>
      <c r="O144" s="514">
        <f t="shared" si="45"/>
        <v>0</v>
      </c>
      <c r="P144" s="514">
        <f t="shared" si="46"/>
        <v>0</v>
      </c>
    </row>
    <row r="145" spans="2:16">
      <c r="B145" s="195" t="str">
        <f t="shared" si="31"/>
        <v/>
      </c>
      <c r="C145" s="507">
        <f>IF(D93="","-",+C144+1)</f>
        <v>2056</v>
      </c>
      <c r="D145" s="374">
        <f>IF(F144+SUM(E$99:E144)=D$92,F144,D$92-SUM(E$99:E144))</f>
        <v>1260.7586490074286</v>
      </c>
      <c r="E145" s="522">
        <f t="shared" si="39"/>
        <v>1260.7586490074286</v>
      </c>
      <c r="F145" s="523">
        <f t="shared" si="40"/>
        <v>0</v>
      </c>
      <c r="G145" s="523">
        <f t="shared" si="41"/>
        <v>630.37932450371432</v>
      </c>
      <c r="H145" s="526">
        <f t="shared" si="42"/>
        <v>1332.315670349245</v>
      </c>
      <c r="I145" s="577">
        <f t="shared" si="43"/>
        <v>1332.315670349245</v>
      </c>
      <c r="J145" s="514">
        <f t="shared" si="35"/>
        <v>0</v>
      </c>
      <c r="K145" s="514"/>
      <c r="L145" s="525"/>
      <c r="M145" s="514">
        <f t="shared" si="44"/>
        <v>0</v>
      </c>
      <c r="N145" s="525"/>
      <c r="O145" s="514">
        <f t="shared" si="45"/>
        <v>0</v>
      </c>
      <c r="P145" s="514">
        <f t="shared" si="46"/>
        <v>0</v>
      </c>
    </row>
    <row r="146" spans="2:16">
      <c r="B146" s="195" t="str">
        <f t="shared" si="31"/>
        <v/>
      </c>
      <c r="C146" s="507">
        <f>IF(D93="","-",+C145+1)</f>
        <v>2057</v>
      </c>
      <c r="D146" s="374">
        <f>IF(F145+SUM(E$99:E145)=D$92,F145,D$92-SUM(E$99:E145))</f>
        <v>0</v>
      </c>
      <c r="E146" s="522">
        <f t="shared" si="39"/>
        <v>0</v>
      </c>
      <c r="F146" s="523">
        <f t="shared" si="40"/>
        <v>0</v>
      </c>
      <c r="G146" s="523">
        <f t="shared" si="41"/>
        <v>0</v>
      </c>
      <c r="H146" s="526">
        <f t="shared" si="42"/>
        <v>0</v>
      </c>
      <c r="I146" s="577">
        <f t="shared" si="43"/>
        <v>0</v>
      </c>
      <c r="J146" s="514">
        <f t="shared" si="35"/>
        <v>0</v>
      </c>
      <c r="K146" s="514"/>
      <c r="L146" s="525"/>
      <c r="M146" s="514">
        <f t="shared" si="44"/>
        <v>0</v>
      </c>
      <c r="N146" s="525"/>
      <c r="O146" s="514">
        <f t="shared" si="45"/>
        <v>0</v>
      </c>
      <c r="P146" s="514">
        <f t="shared" si="46"/>
        <v>0</v>
      </c>
    </row>
    <row r="147" spans="2:16">
      <c r="B147" s="195" t="str">
        <f t="shared" si="31"/>
        <v/>
      </c>
      <c r="C147" s="507">
        <f>IF(D93="","-",+C146+1)</f>
        <v>2058</v>
      </c>
      <c r="D147" s="374">
        <f>IF(F146+SUM(E$99:E146)=D$92,F146,D$92-SUM(E$99:E146))</f>
        <v>0</v>
      </c>
      <c r="E147" s="522">
        <f t="shared" si="39"/>
        <v>0</v>
      </c>
      <c r="F147" s="523">
        <f t="shared" si="40"/>
        <v>0</v>
      </c>
      <c r="G147" s="523">
        <f t="shared" si="41"/>
        <v>0</v>
      </c>
      <c r="H147" s="526">
        <f t="shared" si="42"/>
        <v>0</v>
      </c>
      <c r="I147" s="577">
        <f t="shared" si="43"/>
        <v>0</v>
      </c>
      <c r="J147" s="514">
        <f t="shared" si="35"/>
        <v>0</v>
      </c>
      <c r="K147" s="514"/>
      <c r="L147" s="525"/>
      <c r="M147" s="514">
        <f t="shared" si="44"/>
        <v>0</v>
      </c>
      <c r="N147" s="525"/>
      <c r="O147" s="514">
        <f t="shared" si="45"/>
        <v>0</v>
      </c>
      <c r="P147" s="514">
        <f t="shared" si="46"/>
        <v>0</v>
      </c>
    </row>
    <row r="148" spans="2:16">
      <c r="B148" s="195" t="str">
        <f t="shared" si="31"/>
        <v/>
      </c>
      <c r="C148" s="507">
        <f>IF(D93="","-",+C147+1)</f>
        <v>2059</v>
      </c>
      <c r="D148" s="374">
        <f>IF(F147+SUM(E$99:E147)=D$92,F147,D$92-SUM(E$99:E147))</f>
        <v>0</v>
      </c>
      <c r="E148" s="522">
        <f t="shared" si="39"/>
        <v>0</v>
      </c>
      <c r="F148" s="523">
        <f t="shared" si="40"/>
        <v>0</v>
      </c>
      <c r="G148" s="523">
        <f t="shared" si="41"/>
        <v>0</v>
      </c>
      <c r="H148" s="526">
        <f t="shared" si="42"/>
        <v>0</v>
      </c>
      <c r="I148" s="577">
        <f t="shared" si="43"/>
        <v>0</v>
      </c>
      <c r="J148" s="514">
        <f t="shared" si="35"/>
        <v>0</v>
      </c>
      <c r="K148" s="514"/>
      <c r="L148" s="525"/>
      <c r="M148" s="514">
        <f t="shared" si="44"/>
        <v>0</v>
      </c>
      <c r="N148" s="525"/>
      <c r="O148" s="514">
        <f t="shared" si="45"/>
        <v>0</v>
      </c>
      <c r="P148" s="514">
        <f t="shared" si="46"/>
        <v>0</v>
      </c>
    </row>
    <row r="149" spans="2:16">
      <c r="B149" s="195" t="str">
        <f t="shared" si="31"/>
        <v/>
      </c>
      <c r="C149" s="507">
        <f>IF(D93="","-",+C148+1)</f>
        <v>2060</v>
      </c>
      <c r="D149" s="374">
        <f>IF(F148+SUM(E$99:E148)=D$92,F148,D$92-SUM(E$99:E148))</f>
        <v>0</v>
      </c>
      <c r="E149" s="522">
        <f t="shared" si="39"/>
        <v>0</v>
      </c>
      <c r="F149" s="523">
        <f t="shared" si="40"/>
        <v>0</v>
      </c>
      <c r="G149" s="523">
        <f t="shared" si="41"/>
        <v>0</v>
      </c>
      <c r="H149" s="526">
        <f t="shared" si="42"/>
        <v>0</v>
      </c>
      <c r="I149" s="577">
        <f t="shared" si="43"/>
        <v>0</v>
      </c>
      <c r="J149" s="514">
        <f t="shared" si="35"/>
        <v>0</v>
      </c>
      <c r="K149" s="514"/>
      <c r="L149" s="525"/>
      <c r="M149" s="514">
        <f t="shared" si="44"/>
        <v>0</v>
      </c>
      <c r="N149" s="525"/>
      <c r="O149" s="514">
        <f t="shared" si="45"/>
        <v>0</v>
      </c>
      <c r="P149" s="514">
        <f t="shared" si="46"/>
        <v>0</v>
      </c>
    </row>
    <row r="150" spans="2:16">
      <c r="B150" s="195" t="str">
        <f t="shared" si="31"/>
        <v/>
      </c>
      <c r="C150" s="507">
        <f>IF(D93="","-",+C149+1)</f>
        <v>2061</v>
      </c>
      <c r="D150" s="374">
        <f>IF(F149+SUM(E$99:E149)=D$92,F149,D$92-SUM(E$99:E149))</f>
        <v>0</v>
      </c>
      <c r="E150" s="522">
        <f t="shared" si="39"/>
        <v>0</v>
      </c>
      <c r="F150" s="523">
        <f t="shared" si="40"/>
        <v>0</v>
      </c>
      <c r="G150" s="523">
        <f t="shared" si="41"/>
        <v>0</v>
      </c>
      <c r="H150" s="526">
        <f t="shared" si="42"/>
        <v>0</v>
      </c>
      <c r="I150" s="577">
        <f t="shared" si="43"/>
        <v>0</v>
      </c>
      <c r="J150" s="514">
        <f t="shared" si="35"/>
        <v>0</v>
      </c>
      <c r="K150" s="514"/>
      <c r="L150" s="525"/>
      <c r="M150" s="514">
        <f t="shared" si="44"/>
        <v>0</v>
      </c>
      <c r="N150" s="525"/>
      <c r="O150" s="514">
        <f t="shared" si="45"/>
        <v>0</v>
      </c>
      <c r="P150" s="514">
        <f t="shared" si="46"/>
        <v>0</v>
      </c>
    </row>
    <row r="151" spans="2:16">
      <c r="B151" s="195" t="str">
        <f t="shared" si="31"/>
        <v/>
      </c>
      <c r="C151" s="507">
        <f>IF(D93="","-",+C150+1)</f>
        <v>2062</v>
      </c>
      <c r="D151" s="374">
        <f>IF(F150+SUM(E$99:E150)=D$92,F150,D$92-SUM(E$99:E150))</f>
        <v>0</v>
      </c>
      <c r="E151" s="522">
        <f t="shared" si="39"/>
        <v>0</v>
      </c>
      <c r="F151" s="523">
        <f t="shared" si="40"/>
        <v>0</v>
      </c>
      <c r="G151" s="523">
        <f t="shared" si="41"/>
        <v>0</v>
      </c>
      <c r="H151" s="526">
        <f t="shared" si="42"/>
        <v>0</v>
      </c>
      <c r="I151" s="577">
        <f t="shared" si="43"/>
        <v>0</v>
      </c>
      <c r="J151" s="514">
        <f t="shared" si="35"/>
        <v>0</v>
      </c>
      <c r="K151" s="514"/>
      <c r="L151" s="525"/>
      <c r="M151" s="514">
        <f t="shared" si="44"/>
        <v>0</v>
      </c>
      <c r="N151" s="525"/>
      <c r="O151" s="514">
        <f t="shared" si="45"/>
        <v>0</v>
      </c>
      <c r="P151" s="514">
        <f t="shared" si="46"/>
        <v>0</v>
      </c>
    </row>
    <row r="152" spans="2:16">
      <c r="B152" s="195" t="str">
        <f t="shared" si="31"/>
        <v/>
      </c>
      <c r="C152" s="507">
        <f>IF(D93="","-",+C151+1)</f>
        <v>2063</v>
      </c>
      <c r="D152" s="374">
        <f>IF(F151+SUM(E$99:E151)=D$92,F151,D$92-SUM(E$99:E151))</f>
        <v>0</v>
      </c>
      <c r="E152" s="522">
        <f t="shared" si="39"/>
        <v>0</v>
      </c>
      <c r="F152" s="523">
        <f t="shared" si="40"/>
        <v>0</v>
      </c>
      <c r="G152" s="523">
        <f t="shared" si="41"/>
        <v>0</v>
      </c>
      <c r="H152" s="526">
        <f t="shared" si="42"/>
        <v>0</v>
      </c>
      <c r="I152" s="577">
        <f t="shared" si="43"/>
        <v>0</v>
      </c>
      <c r="J152" s="514">
        <f t="shared" si="35"/>
        <v>0</v>
      </c>
      <c r="K152" s="514"/>
      <c r="L152" s="525"/>
      <c r="M152" s="514">
        <f t="shared" si="44"/>
        <v>0</v>
      </c>
      <c r="N152" s="525"/>
      <c r="O152" s="514">
        <f t="shared" si="45"/>
        <v>0</v>
      </c>
      <c r="P152" s="514">
        <f t="shared" si="46"/>
        <v>0</v>
      </c>
    </row>
    <row r="153" spans="2:16">
      <c r="B153" s="195" t="str">
        <f t="shared" si="31"/>
        <v/>
      </c>
      <c r="C153" s="507">
        <f>IF(D93="","-",+C152+1)</f>
        <v>2064</v>
      </c>
      <c r="D153" s="374">
        <f>IF(F152+SUM(E$99:E152)=D$92,F152,D$92-SUM(E$99:E152))</f>
        <v>0</v>
      </c>
      <c r="E153" s="522">
        <f t="shared" si="39"/>
        <v>0</v>
      </c>
      <c r="F153" s="523">
        <f t="shared" si="40"/>
        <v>0</v>
      </c>
      <c r="G153" s="523">
        <f t="shared" si="41"/>
        <v>0</v>
      </c>
      <c r="H153" s="526">
        <f t="shared" si="42"/>
        <v>0</v>
      </c>
      <c r="I153" s="577">
        <f t="shared" si="43"/>
        <v>0</v>
      </c>
      <c r="J153" s="514">
        <f t="shared" si="35"/>
        <v>0</v>
      </c>
      <c r="K153" s="514"/>
      <c r="L153" s="525"/>
      <c r="M153" s="514">
        <f t="shared" si="44"/>
        <v>0</v>
      </c>
      <c r="N153" s="525"/>
      <c r="O153" s="514">
        <f t="shared" si="45"/>
        <v>0</v>
      </c>
      <c r="P153" s="514">
        <f t="shared" si="46"/>
        <v>0</v>
      </c>
    </row>
    <row r="154" spans="2:16" ht="13.5" thickBot="1">
      <c r="B154" s="195" t="str">
        <f t="shared" si="31"/>
        <v/>
      </c>
      <c r="C154" s="527">
        <f>IF(D93="","-",+C153+1)</f>
        <v>2065</v>
      </c>
      <c r="D154" s="374">
        <f>IF(F153+SUM(E$99:E153)=D$92,F153,D$92-SUM(E$99:E153))</f>
        <v>0</v>
      </c>
      <c r="E154" s="522">
        <f t="shared" si="39"/>
        <v>0</v>
      </c>
      <c r="F154" s="523">
        <f t="shared" si="40"/>
        <v>0</v>
      </c>
      <c r="G154" s="523">
        <f t="shared" si="41"/>
        <v>0</v>
      </c>
      <c r="H154" s="526">
        <f t="shared" si="42"/>
        <v>0</v>
      </c>
      <c r="I154" s="577">
        <f t="shared" si="43"/>
        <v>0</v>
      </c>
      <c r="J154" s="514">
        <f t="shared" si="35"/>
        <v>0</v>
      </c>
      <c r="K154" s="514"/>
      <c r="L154" s="532"/>
      <c r="M154" s="533">
        <f t="shared" si="44"/>
        <v>0</v>
      </c>
      <c r="N154" s="532"/>
      <c r="O154" s="533">
        <f t="shared" si="45"/>
        <v>0</v>
      </c>
      <c r="P154" s="533">
        <f t="shared" si="46"/>
        <v>0</v>
      </c>
    </row>
    <row r="155" spans="2:16">
      <c r="C155" s="374" t="s">
        <v>78</v>
      </c>
      <c r="D155" s="375"/>
      <c r="E155" s="375">
        <f>SUM(E99:E154)</f>
        <v>160296.00000000003</v>
      </c>
      <c r="F155" s="375"/>
      <c r="G155" s="375"/>
      <c r="H155" s="375">
        <f>SUM(H99:H154)</f>
        <v>540283.30112278566</v>
      </c>
      <c r="I155" s="375">
        <f>SUM(I99:I154)</f>
        <v>540283.30112278566</v>
      </c>
      <c r="J155" s="375">
        <f>SUM(J99:J154)</f>
        <v>0</v>
      </c>
      <c r="K155" s="375"/>
      <c r="L155" s="375"/>
      <c r="M155" s="375"/>
      <c r="N155" s="375"/>
      <c r="O155" s="375"/>
      <c r="P155" s="269"/>
    </row>
    <row r="156" spans="2:16">
      <c r="C156" s="183" t="s">
        <v>92</v>
      </c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</row>
    <row r="157" spans="2:16">
      <c r="C157" s="580"/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</row>
    <row r="158" spans="2:16">
      <c r="C158" s="614" t="s">
        <v>132</v>
      </c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</row>
    <row r="159" spans="2:16">
      <c r="C159" s="467" t="s">
        <v>79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</row>
    <row r="160" spans="2:16">
      <c r="C160" s="581" t="s">
        <v>80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</row>
    <row r="161" spans="3:16">
      <c r="C161" s="581"/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</row>
    <row r="162" spans="3:16" ht="18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635" t="s">
        <v>131</v>
      </c>
    </row>
  </sheetData>
  <conditionalFormatting sqref="C17:C72">
    <cfRule type="cellIs" dxfId="66" priority="1" stopIfTrue="1" operator="equal">
      <formula>$I$10</formula>
    </cfRule>
  </conditionalFormatting>
  <conditionalFormatting sqref="C99:C154">
    <cfRule type="cellIs" dxfId="65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heet98">
    <tabColor theme="9" tint="-0.249977111117893"/>
  </sheetPr>
  <dimension ref="A1:P162"/>
  <sheetViews>
    <sheetView topLeftCell="A93" zoomScaleNormal="100" zoomScaleSheetLayoutView="82" workbookViewId="0">
      <selection activeCell="D103" sqref="D103:I111"/>
    </sheetView>
  </sheetViews>
  <sheetFormatPr defaultColWidth="8.7109375" defaultRowHeight="12.75" customHeight="1"/>
  <cols>
    <col min="1" max="1" width="4.7109375" style="183" customWidth="1"/>
    <col min="2" max="2" width="6.7109375" style="183" customWidth="1"/>
    <col min="3" max="3" width="23.28515625" style="183" customWidth="1"/>
    <col min="4" max="8" width="17.7109375" style="183" customWidth="1"/>
    <col min="9" max="9" width="20.42578125" style="183" customWidth="1"/>
    <col min="10" max="10" width="16.42578125" style="183" customWidth="1"/>
    <col min="11" max="11" width="17.7109375" style="183" customWidth="1"/>
    <col min="12" max="12" width="16.140625" style="183" customWidth="1"/>
    <col min="13" max="13" width="17.7109375" style="183" customWidth="1"/>
    <col min="14" max="14" width="16.7109375" style="183" customWidth="1"/>
    <col min="15" max="15" width="16.85546875" style="183" customWidth="1"/>
    <col min="16" max="16" width="24.42578125" style="183" customWidth="1"/>
    <col min="17" max="17" width="9.140625" style="183" customWidth="1"/>
    <col min="18" max="22" width="8.7109375" style="183"/>
    <col min="23" max="23" width="9.140625" style="183" customWidth="1"/>
    <col min="24" max="16384" width="8.7109375" style="183"/>
  </cols>
  <sheetData>
    <row r="1" spans="1:16" ht="20.25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49 of 75</v>
      </c>
    </row>
    <row r="2" spans="1:16" ht="18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538" t="s">
        <v>129</v>
      </c>
    </row>
    <row r="3" spans="1:16" ht="18.75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/>
      <c r="P3" s="623">
        <v>1</v>
      </c>
    </row>
    <row r="4" spans="1:16" ht="15.75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6" ht="1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2452.8598087506471</v>
      </c>
      <c r="P5" s="269"/>
    </row>
    <row r="6" spans="1:16" ht="15.75">
      <c r="C6" s="274"/>
      <c r="D6" s="645" t="s">
        <v>354</v>
      </c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2452.8598087506471</v>
      </c>
      <c r="O6" s="269"/>
      <c r="P6" s="269"/>
    </row>
    <row r="7" spans="1:16" ht="13.5" thickBot="1">
      <c r="C7" s="467" t="s">
        <v>48</v>
      </c>
      <c r="D7" s="624" t="s">
        <v>337</v>
      </c>
      <c r="E7" s="587"/>
      <c r="F7" s="587"/>
      <c r="G7" s="587"/>
      <c r="H7" s="59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6" ht="13.5" thickBot="1">
      <c r="C8" s="472"/>
      <c r="D8" s="625" t="str">
        <f>IF(D10&lt;100000,"DOES NOT MEET SPP $100,000 MINIMUM INVESTMENT FOR REGIONAL BPU SHARING.","")</f>
        <v>DOES NOT MEET SPP $100,000 MINIMUM INVESTMENT FOR REGIONAL BPU SHARING.</v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6" ht="13.5" thickBot="1">
      <c r="C9" s="476" t="s">
        <v>50</v>
      </c>
      <c r="D9" s="477" t="s">
        <v>336</v>
      </c>
      <c r="E9" s="637" t="s">
        <v>504</v>
      </c>
      <c r="F9" s="478"/>
      <c r="G9" s="478"/>
      <c r="H9" s="478"/>
      <c r="I9" s="479"/>
      <c r="J9" s="480"/>
      <c r="O9" s="481"/>
      <c r="P9" s="272"/>
    </row>
    <row r="10" spans="1:16">
      <c r="C10" s="482" t="s">
        <v>51</v>
      </c>
      <c r="D10" s="483">
        <v>23215.78</v>
      </c>
      <c r="E10" s="353" t="s">
        <v>52</v>
      </c>
      <c r="F10" s="481"/>
      <c r="G10" s="484"/>
      <c r="H10" s="484"/>
      <c r="I10" s="485">
        <f>+'SWE.WS.F.BPU.ATRR.Projected'!L19</f>
        <v>2024</v>
      </c>
      <c r="J10" s="480"/>
      <c r="K10" s="375" t="s">
        <v>53</v>
      </c>
      <c r="O10" s="272"/>
      <c r="P10" s="272"/>
    </row>
    <row r="11" spans="1:16">
      <c r="C11" s="486" t="s">
        <v>54</v>
      </c>
      <c r="D11" s="487">
        <v>2010</v>
      </c>
      <c r="E11" s="486" t="s">
        <v>55</v>
      </c>
      <c r="F11" s="484"/>
      <c r="G11" s="233"/>
      <c r="H11" s="233"/>
      <c r="I11" s="488">
        <f>IF(G5="",0,'SWE.WS.F.BPU.ATRR.Projected'!F$13)</f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6">
      <c r="C12" s="486" t="s">
        <v>56</v>
      </c>
      <c r="D12" s="483">
        <v>11</v>
      </c>
      <c r="E12" s="486" t="s">
        <v>57</v>
      </c>
      <c r="F12" s="484"/>
      <c r="G12" s="233"/>
      <c r="H12" s="233"/>
      <c r="I12" s="490">
        <f>'SWE.WS.F.BPU.ATRR.Projected'!$F$81</f>
        <v>0.11952713165403545</v>
      </c>
      <c r="J12" s="425"/>
      <c r="K12" s="183" t="s">
        <v>58</v>
      </c>
      <c r="O12" s="272"/>
      <c r="P12" s="272"/>
    </row>
    <row r="13" spans="1:16">
      <c r="C13" s="486" t="s">
        <v>59</v>
      </c>
      <c r="D13" s="488">
        <f>+'SWE.WS.F.BPU.ATRR.Projected'!F$93</f>
        <v>44</v>
      </c>
      <c r="E13" s="486" t="s">
        <v>60</v>
      </c>
      <c r="F13" s="484"/>
      <c r="G13" s="233"/>
      <c r="H13" s="233"/>
      <c r="I13" s="490">
        <f>IF(G5="",I12,'SWE.WS.F.BPU.ATRR.Projected'!$F$80)</f>
        <v>0.11952713165403545</v>
      </c>
      <c r="J13" s="425"/>
      <c r="K13" s="375" t="s">
        <v>61</v>
      </c>
      <c r="L13" s="324"/>
      <c r="M13" s="324"/>
      <c r="N13" s="324"/>
      <c r="O13" s="272"/>
      <c r="P13" s="272"/>
    </row>
    <row r="14" spans="1:16" ht="13.5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527.63136363636363</v>
      </c>
      <c r="J14" s="375"/>
      <c r="K14" s="375"/>
      <c r="L14" s="375"/>
      <c r="M14" s="375"/>
      <c r="N14" s="375"/>
      <c r="O14" s="272"/>
      <c r="P14" s="272"/>
    </row>
    <row r="15" spans="1:16" ht="38.25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388</v>
      </c>
      <c r="H15" s="495" t="s">
        <v>389</v>
      </c>
      <c r="I15" s="492" t="s">
        <v>68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6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>
      <c r="C17" s="507">
        <f>IF(D11= "","-",D11)</f>
        <v>2010</v>
      </c>
      <c r="D17" s="629">
        <v>23215.78</v>
      </c>
      <c r="E17" s="638">
        <v>92.126111111111115</v>
      </c>
      <c r="F17" s="629">
        <v>23123.653888888886</v>
      </c>
      <c r="G17" s="638">
        <v>3211.7500098580754</v>
      </c>
      <c r="H17" s="639">
        <v>3211.7500098580754</v>
      </c>
      <c r="I17" s="511">
        <v>0</v>
      </c>
      <c r="J17" s="511"/>
      <c r="K17" s="512">
        <f t="shared" ref="K17:K22" si="0">G17</f>
        <v>3211.7500098580754</v>
      </c>
      <c r="L17" s="597">
        <f t="shared" ref="L17:L22" si="1">IF(K17&lt;&gt;0,+G17-K17,0)</f>
        <v>0</v>
      </c>
      <c r="M17" s="512">
        <f t="shared" ref="M17:M22" si="2">H17</f>
        <v>3211.7500098580754</v>
      </c>
      <c r="N17" s="513">
        <f t="shared" ref="N17:N22" si="3">IF(M17&lt;&gt;0,+H17-M17,0)</f>
        <v>0</v>
      </c>
      <c r="O17" s="514">
        <f t="shared" ref="O17:O22" si="4">+N17-L17</f>
        <v>0</v>
      </c>
      <c r="P17" s="272"/>
    </row>
    <row r="18" spans="2:16">
      <c r="B18" s="195" t="str">
        <f>IF(D18=F17,"","IU")</f>
        <v>IU</v>
      </c>
      <c r="C18" s="507">
        <f>IF(D11="","-",+C17+1)</f>
        <v>2011</v>
      </c>
      <c r="D18" s="631">
        <v>23215.78</v>
      </c>
      <c r="E18" s="630">
        <v>92.126111111111115</v>
      </c>
      <c r="F18" s="631">
        <v>23123.653888888886</v>
      </c>
      <c r="G18" s="630">
        <v>3211.7500098580754</v>
      </c>
      <c r="H18" s="639">
        <v>3211.7500098580754</v>
      </c>
      <c r="I18" s="511">
        <v>0</v>
      </c>
      <c r="J18" s="511"/>
      <c r="K18" s="518">
        <f t="shared" si="0"/>
        <v>3211.7500098580754</v>
      </c>
      <c r="L18" s="519">
        <f t="shared" si="1"/>
        <v>0</v>
      </c>
      <c r="M18" s="518">
        <f t="shared" si="2"/>
        <v>3211.7500098580754</v>
      </c>
      <c r="N18" s="514">
        <f t="shared" si="3"/>
        <v>0</v>
      </c>
      <c r="O18" s="514">
        <f t="shared" si="4"/>
        <v>0</v>
      </c>
      <c r="P18" s="272"/>
    </row>
    <row r="19" spans="2:16">
      <c r="B19" s="195" t="str">
        <f>IF(D19=F18,"","IU")</f>
        <v/>
      </c>
      <c r="C19" s="507">
        <f>IF(D11="","-",+C18+1)</f>
        <v>2012</v>
      </c>
      <c r="D19" s="631">
        <v>23123.653888888886</v>
      </c>
      <c r="E19" s="630">
        <v>552.75666666666666</v>
      </c>
      <c r="F19" s="631">
        <v>22570.897222222218</v>
      </c>
      <c r="G19" s="630">
        <v>3597.8078825750581</v>
      </c>
      <c r="H19" s="639">
        <v>3597.8078825750581</v>
      </c>
      <c r="I19" s="511">
        <v>0</v>
      </c>
      <c r="J19" s="511"/>
      <c r="K19" s="518">
        <f t="shared" si="0"/>
        <v>3597.8078825750581</v>
      </c>
      <c r="L19" s="519">
        <f t="shared" si="1"/>
        <v>0</v>
      </c>
      <c r="M19" s="518">
        <f t="shared" si="2"/>
        <v>3597.8078825750581</v>
      </c>
      <c r="N19" s="514">
        <f t="shared" si="3"/>
        <v>0</v>
      </c>
      <c r="O19" s="514">
        <f t="shared" si="4"/>
        <v>0</v>
      </c>
      <c r="P19" s="272"/>
    </row>
    <row r="20" spans="2:16">
      <c r="B20" s="195" t="str">
        <f t="shared" ref="B20:B72" si="5">IF(D20=F19,"","IU")</f>
        <v/>
      </c>
      <c r="C20" s="507">
        <f>IF(D11="","-",+C19+1)</f>
        <v>2013</v>
      </c>
      <c r="D20" s="631">
        <v>22570.897222222218</v>
      </c>
      <c r="E20" s="630">
        <v>552.75666666666666</v>
      </c>
      <c r="F20" s="631">
        <v>22018.14055555555</v>
      </c>
      <c r="G20" s="630">
        <v>3523.2351997364849</v>
      </c>
      <c r="H20" s="639">
        <v>3523.2351997364849</v>
      </c>
      <c r="I20" s="511">
        <v>0</v>
      </c>
      <c r="J20" s="511"/>
      <c r="K20" s="518">
        <f t="shared" si="0"/>
        <v>3523.2351997364849</v>
      </c>
      <c r="L20" s="519">
        <f t="shared" si="1"/>
        <v>0</v>
      </c>
      <c r="M20" s="518">
        <f t="shared" si="2"/>
        <v>3523.2351997364849</v>
      </c>
      <c r="N20" s="514">
        <f t="shared" si="3"/>
        <v>0</v>
      </c>
      <c r="O20" s="514">
        <f t="shared" si="4"/>
        <v>0</v>
      </c>
      <c r="P20" s="272"/>
    </row>
    <row r="21" spans="2:16">
      <c r="B21" s="195" t="str">
        <f t="shared" si="5"/>
        <v/>
      </c>
      <c r="C21" s="507">
        <f>IF(D11="","-",+C20+1)</f>
        <v>2014</v>
      </c>
      <c r="D21" s="631">
        <v>22018.14055555555</v>
      </c>
      <c r="E21" s="630">
        <v>552.75666666666666</v>
      </c>
      <c r="F21" s="631">
        <v>21465.383888888882</v>
      </c>
      <c r="G21" s="630">
        <v>3448.6625168979117</v>
      </c>
      <c r="H21" s="639">
        <v>3448.6625168979117</v>
      </c>
      <c r="I21" s="511">
        <v>0</v>
      </c>
      <c r="J21" s="511"/>
      <c r="K21" s="518">
        <f t="shared" si="0"/>
        <v>3448.6625168979117</v>
      </c>
      <c r="L21" s="519">
        <f t="shared" si="1"/>
        <v>0</v>
      </c>
      <c r="M21" s="518">
        <f t="shared" si="2"/>
        <v>3448.6625168979117</v>
      </c>
      <c r="N21" s="514">
        <f t="shared" si="3"/>
        <v>0</v>
      </c>
      <c r="O21" s="514">
        <f t="shared" si="4"/>
        <v>0</v>
      </c>
      <c r="P21" s="272"/>
    </row>
    <row r="22" spans="2:16">
      <c r="B22" s="195" t="str">
        <f t="shared" si="5"/>
        <v/>
      </c>
      <c r="C22" s="507">
        <f>IF(D11="","-",+C21+1)</f>
        <v>2015</v>
      </c>
      <c r="D22" s="631">
        <v>21465.383888888882</v>
      </c>
      <c r="E22" s="630">
        <v>552.75666666666666</v>
      </c>
      <c r="F22" s="631">
        <v>20912.627222222214</v>
      </c>
      <c r="G22" s="630">
        <v>3307.050072836138</v>
      </c>
      <c r="H22" s="639">
        <v>3307.050072836138</v>
      </c>
      <c r="I22" s="511">
        <f t="shared" ref="I22:I33" si="6">H22-G22</f>
        <v>0</v>
      </c>
      <c r="J22" s="511"/>
      <c r="K22" s="518">
        <f t="shared" si="0"/>
        <v>3307.050072836138</v>
      </c>
      <c r="L22" s="519">
        <f t="shared" si="1"/>
        <v>0</v>
      </c>
      <c r="M22" s="518">
        <f t="shared" si="2"/>
        <v>3307.050072836138</v>
      </c>
      <c r="N22" s="514">
        <f t="shared" si="3"/>
        <v>0</v>
      </c>
      <c r="O22" s="514">
        <f t="shared" si="4"/>
        <v>0</v>
      </c>
      <c r="P22" s="272"/>
    </row>
    <row r="23" spans="2:16">
      <c r="B23" s="195" t="str">
        <f t="shared" si="5"/>
        <v/>
      </c>
      <c r="C23" s="507">
        <f>IF(D11="","-",+C22+1)</f>
        <v>2016</v>
      </c>
      <c r="D23" s="631">
        <v>20912.627222222214</v>
      </c>
      <c r="E23" s="630">
        <v>552.75666666666666</v>
      </c>
      <c r="F23" s="631">
        <v>20359.870555555546</v>
      </c>
      <c r="G23" s="630">
        <v>3201.1681199217446</v>
      </c>
      <c r="H23" s="639">
        <v>3201.1681199217446</v>
      </c>
      <c r="I23" s="511">
        <f t="shared" si="6"/>
        <v>0</v>
      </c>
      <c r="J23" s="511"/>
      <c r="K23" s="518">
        <f t="shared" ref="K23:K28" si="7">G23</f>
        <v>3201.1681199217446</v>
      </c>
      <c r="L23" s="519">
        <f t="shared" ref="L23:L28" si="8">IF(K23&lt;&gt;0,+G23-K23,0)</f>
        <v>0</v>
      </c>
      <c r="M23" s="518">
        <f t="shared" ref="M23:M28" si="9">H23</f>
        <v>3201.1681199217446</v>
      </c>
      <c r="N23" s="514">
        <f>IF(M23&lt;&gt;0,+H23-M23,0)</f>
        <v>0</v>
      </c>
      <c r="O23" s="514">
        <f>+N23-L23</f>
        <v>0</v>
      </c>
      <c r="P23" s="272"/>
    </row>
    <row r="24" spans="2:16">
      <c r="B24" s="195" t="str">
        <f t="shared" si="5"/>
        <v/>
      </c>
      <c r="C24" s="507">
        <f>IF(D11="","-",+C23+1)</f>
        <v>2017</v>
      </c>
      <c r="D24" s="631">
        <v>20359.870555555546</v>
      </c>
      <c r="E24" s="630">
        <v>539.90186046511621</v>
      </c>
      <c r="F24" s="631">
        <v>19819.968695090429</v>
      </c>
      <c r="G24" s="630">
        <v>3028.8929029965175</v>
      </c>
      <c r="H24" s="639">
        <v>3028.8929029965175</v>
      </c>
      <c r="I24" s="511">
        <f t="shared" si="6"/>
        <v>0</v>
      </c>
      <c r="J24" s="511"/>
      <c r="K24" s="518">
        <f t="shared" si="7"/>
        <v>3028.8929029965175</v>
      </c>
      <c r="L24" s="519">
        <f t="shared" si="8"/>
        <v>0</v>
      </c>
      <c r="M24" s="518">
        <f t="shared" si="9"/>
        <v>3028.8929029965175</v>
      </c>
      <c r="N24" s="514">
        <f>IF(M24&lt;&gt;0,+H24-M24,0)</f>
        <v>0</v>
      </c>
      <c r="O24" s="514">
        <f>+N24-L24</f>
        <v>0</v>
      </c>
      <c r="P24" s="272"/>
    </row>
    <row r="25" spans="2:16">
      <c r="B25" s="195" t="str">
        <f t="shared" si="5"/>
        <v/>
      </c>
      <c r="C25" s="507">
        <f>IF(D11="","-",+C24+1)</f>
        <v>2018</v>
      </c>
      <c r="D25" s="631">
        <v>19819.968695090429</v>
      </c>
      <c r="E25" s="630">
        <v>566.23853658536586</v>
      </c>
      <c r="F25" s="631">
        <v>19253.730158505063</v>
      </c>
      <c r="G25" s="630">
        <v>3049.2568103813055</v>
      </c>
      <c r="H25" s="639">
        <v>3049.2568103813055</v>
      </c>
      <c r="I25" s="511">
        <f t="shared" si="6"/>
        <v>0</v>
      </c>
      <c r="J25" s="511"/>
      <c r="K25" s="518">
        <f t="shared" si="7"/>
        <v>3049.2568103813055</v>
      </c>
      <c r="L25" s="519">
        <f t="shared" si="8"/>
        <v>0</v>
      </c>
      <c r="M25" s="518">
        <f t="shared" si="9"/>
        <v>3049.2568103813055</v>
      </c>
      <c r="N25" s="514">
        <f t="shared" ref="N25:N72" si="10">IF(M25&lt;&gt;0,+H25-M25,0)</f>
        <v>0</v>
      </c>
      <c r="O25" s="514">
        <f t="shared" ref="O25:O72" si="11">+N25-L25</f>
        <v>0</v>
      </c>
      <c r="P25" s="272"/>
    </row>
    <row r="26" spans="2:16">
      <c r="B26" s="195" t="str">
        <f t="shared" si="5"/>
        <v/>
      </c>
      <c r="C26" s="507">
        <f>IF(D11="","-",+C25+1)</f>
        <v>2019</v>
      </c>
      <c r="D26" s="631">
        <v>19253.730158505063</v>
      </c>
      <c r="E26" s="630">
        <v>566.23853658536586</v>
      </c>
      <c r="F26" s="631">
        <v>18687.491621919697</v>
      </c>
      <c r="G26" s="630">
        <v>2977.2912337955331</v>
      </c>
      <c r="H26" s="639">
        <v>2977.2912337955331</v>
      </c>
      <c r="I26" s="511">
        <f t="shared" si="6"/>
        <v>0</v>
      </c>
      <c r="J26" s="511"/>
      <c r="K26" s="518">
        <f t="shared" si="7"/>
        <v>2977.2912337955331</v>
      </c>
      <c r="L26" s="519">
        <f t="shared" si="8"/>
        <v>0</v>
      </c>
      <c r="M26" s="518">
        <f t="shared" si="9"/>
        <v>2977.2912337955331</v>
      </c>
      <c r="N26" s="514">
        <f t="shared" si="10"/>
        <v>0</v>
      </c>
      <c r="O26" s="514">
        <f t="shared" si="11"/>
        <v>0</v>
      </c>
      <c r="P26" s="272"/>
    </row>
    <row r="27" spans="2:16">
      <c r="B27" s="195" t="str">
        <f t="shared" si="5"/>
        <v>IU</v>
      </c>
      <c r="C27" s="507">
        <f>IF(D11="","-",+C26+1)</f>
        <v>2020</v>
      </c>
      <c r="D27" s="631">
        <v>18595.365510808595</v>
      </c>
      <c r="E27" s="630">
        <v>566.23853658536586</v>
      </c>
      <c r="F27" s="631">
        <v>18029.126974223229</v>
      </c>
      <c r="G27" s="630">
        <v>2440.2305931372539</v>
      </c>
      <c r="H27" s="639">
        <v>2440.2305931372539</v>
      </c>
      <c r="I27" s="511">
        <f t="shared" si="6"/>
        <v>0</v>
      </c>
      <c r="J27" s="511"/>
      <c r="K27" s="518">
        <f t="shared" si="7"/>
        <v>2440.2305931372539</v>
      </c>
      <c r="L27" s="519">
        <f t="shared" si="8"/>
        <v>0</v>
      </c>
      <c r="M27" s="518">
        <f t="shared" si="9"/>
        <v>2440.2305931372539</v>
      </c>
      <c r="N27" s="514">
        <f t="shared" si="10"/>
        <v>0</v>
      </c>
      <c r="O27" s="514">
        <f t="shared" si="11"/>
        <v>0</v>
      </c>
      <c r="P27" s="272"/>
    </row>
    <row r="28" spans="2:16">
      <c r="B28" s="195" t="str">
        <f t="shared" si="5"/>
        <v>IU</v>
      </c>
      <c r="C28" s="507">
        <f>IF(D11="","-",+C27+1)</f>
        <v>2021</v>
      </c>
      <c r="D28" s="631">
        <v>18055.463650343478</v>
      </c>
      <c r="E28" s="630">
        <v>552.75666666666666</v>
      </c>
      <c r="F28" s="631">
        <v>17502.70698367681</v>
      </c>
      <c r="G28" s="630">
        <v>2437.4205169702896</v>
      </c>
      <c r="H28" s="639">
        <v>2437.4205169702896</v>
      </c>
      <c r="I28" s="511">
        <f t="shared" si="6"/>
        <v>0</v>
      </c>
      <c r="J28" s="511"/>
      <c r="K28" s="518">
        <f t="shared" si="7"/>
        <v>2437.4205169702896</v>
      </c>
      <c r="L28" s="519">
        <f t="shared" si="8"/>
        <v>0</v>
      </c>
      <c r="M28" s="518">
        <f t="shared" si="9"/>
        <v>2437.4205169702896</v>
      </c>
      <c r="N28" s="514">
        <f t="shared" si="10"/>
        <v>0</v>
      </c>
      <c r="O28" s="514">
        <f t="shared" si="11"/>
        <v>0</v>
      </c>
      <c r="P28" s="272"/>
    </row>
    <row r="29" spans="2:16">
      <c r="B29" s="195" t="str">
        <f t="shared" si="5"/>
        <v>IU</v>
      </c>
      <c r="C29" s="507">
        <f>IF(D11="","-",+C28+1)</f>
        <v>2022</v>
      </c>
      <c r="D29" s="631">
        <v>17476.370307556565</v>
      </c>
      <c r="E29" s="630">
        <v>552.75666666666666</v>
      </c>
      <c r="F29" s="631">
        <v>16923.613640889896</v>
      </c>
      <c r="G29" s="630">
        <v>2486.7942306042569</v>
      </c>
      <c r="H29" s="639">
        <v>2486.7942306042569</v>
      </c>
      <c r="I29" s="511">
        <f t="shared" si="6"/>
        <v>0</v>
      </c>
      <c r="J29" s="511"/>
      <c r="K29" s="518">
        <f t="shared" ref="K29" si="12">G29</f>
        <v>2486.7942306042569</v>
      </c>
      <c r="L29" s="519">
        <f t="shared" ref="L29" si="13">IF(K29&lt;&gt;0,+G29-K29,0)</f>
        <v>0</v>
      </c>
      <c r="M29" s="518">
        <f t="shared" ref="M29" si="14">H29</f>
        <v>2486.7942306042569</v>
      </c>
      <c r="N29" s="514">
        <f t="shared" si="10"/>
        <v>0</v>
      </c>
      <c r="O29" s="514">
        <f t="shared" si="11"/>
        <v>0</v>
      </c>
      <c r="P29" s="272"/>
    </row>
    <row r="30" spans="2:16">
      <c r="B30" s="195" t="str">
        <f t="shared" si="5"/>
        <v/>
      </c>
      <c r="C30" s="507">
        <f>IF(D11="","-",+C29+1)</f>
        <v>2023</v>
      </c>
      <c r="D30" s="631">
        <v>16923.613640889896</v>
      </c>
      <c r="E30" s="630">
        <v>552.75666666666666</v>
      </c>
      <c r="F30" s="631">
        <v>16370.85697422323</v>
      </c>
      <c r="G30" s="630">
        <v>2655.7484318113256</v>
      </c>
      <c r="H30" s="639">
        <v>2655.7484318113256</v>
      </c>
      <c r="I30" s="511">
        <f t="shared" si="6"/>
        <v>0</v>
      </c>
      <c r="J30" s="511"/>
      <c r="K30" s="518">
        <f t="shared" ref="K30" si="15">G30</f>
        <v>2655.7484318113256</v>
      </c>
      <c r="L30" s="519">
        <f t="shared" ref="L30" si="16">IF(K30&lt;&gt;0,+G30-K30,0)</f>
        <v>0</v>
      </c>
      <c r="M30" s="518">
        <f t="shared" ref="M30" si="17">H30</f>
        <v>2655.7484318113256</v>
      </c>
      <c r="N30" s="514">
        <f t="shared" ref="N30" si="18">IF(M30&lt;&gt;0,+H30-M30,0)</f>
        <v>0</v>
      </c>
      <c r="O30" s="514">
        <f t="shared" ref="O30" si="19">+N30-L30</f>
        <v>0</v>
      </c>
      <c r="P30" s="272"/>
    </row>
    <row r="31" spans="2:16">
      <c r="B31" s="195" t="str">
        <f t="shared" si="5"/>
        <v/>
      </c>
      <c r="C31" s="673">
        <f>IF(D11="","-",+C30+1)</f>
        <v>2024</v>
      </c>
      <c r="D31" s="523">
        <f>IF(F30+SUM(E$17:E30)=D$10,F30,D$10-SUM(E$17:E30))</f>
        <v>16370.85697422323</v>
      </c>
      <c r="E31" s="522">
        <f>IF(+I14&lt;F30,I14,D31)</f>
        <v>527.63136363636363</v>
      </c>
      <c r="F31" s="523">
        <f t="shared" ref="F31:F33" si="20">+D31-E31</f>
        <v>15843.225610586867</v>
      </c>
      <c r="G31" s="524">
        <f t="shared" ref="G31:G54" si="21">+I$12*((D31+F31)/2)+E31</f>
        <v>2452.8598087506471</v>
      </c>
      <c r="H31" s="491">
        <f t="shared" ref="H31:H54" si="22">+I$13*((D31+F31)/2)+E31</f>
        <v>2452.8598087506471</v>
      </c>
      <c r="I31" s="511">
        <f t="shared" si="6"/>
        <v>0</v>
      </c>
      <c r="J31" s="511"/>
      <c r="K31" s="525"/>
      <c r="L31" s="514">
        <f t="shared" ref="L31:L72" si="23">IF(K31&lt;&gt;0,+G31-K31,0)</f>
        <v>0</v>
      </c>
      <c r="M31" s="525"/>
      <c r="N31" s="514">
        <f t="shared" si="10"/>
        <v>0</v>
      </c>
      <c r="O31" s="514">
        <f t="shared" si="11"/>
        <v>0</v>
      </c>
      <c r="P31" s="272"/>
    </row>
    <row r="32" spans="2:16">
      <c r="B32" s="195" t="str">
        <f t="shared" si="5"/>
        <v/>
      </c>
      <c r="C32" s="507">
        <f>IF(D11="","-",+C31+1)</f>
        <v>2025</v>
      </c>
      <c r="D32" s="523">
        <f>IF(F31+SUM(E$17:E31)=D$10,F31,D$10-SUM(E$17:E31))</f>
        <v>15843.225610586867</v>
      </c>
      <c r="E32" s="522">
        <f>IF(+I14&lt;F31,I14,D32)</f>
        <v>527.63136363636363</v>
      </c>
      <c r="F32" s="523">
        <f t="shared" si="20"/>
        <v>15315.594246950504</v>
      </c>
      <c r="G32" s="524">
        <f t="shared" si="21"/>
        <v>2389.7935452844854</v>
      </c>
      <c r="H32" s="491">
        <f t="shared" si="22"/>
        <v>2389.7935452844854</v>
      </c>
      <c r="I32" s="511">
        <f t="shared" si="6"/>
        <v>0</v>
      </c>
      <c r="J32" s="511"/>
      <c r="K32" s="525"/>
      <c r="L32" s="514">
        <f t="shared" si="23"/>
        <v>0</v>
      </c>
      <c r="M32" s="525"/>
      <c r="N32" s="514">
        <f t="shared" si="10"/>
        <v>0</v>
      </c>
      <c r="O32" s="514">
        <f t="shared" si="11"/>
        <v>0</v>
      </c>
      <c r="P32" s="272"/>
    </row>
    <row r="33" spans="2:16">
      <c r="B33" s="195" t="str">
        <f t="shared" si="5"/>
        <v/>
      </c>
      <c r="C33" s="507">
        <f>IF(D11="","-",+C32+1)</f>
        <v>2026</v>
      </c>
      <c r="D33" s="523">
        <f>IF(F32+SUM(E$17:E32)=D$10,F32,D$10-SUM(E$17:E32))</f>
        <v>15315.594246950504</v>
      </c>
      <c r="E33" s="522">
        <f>IF(+I14&lt;F32,I14,D33)</f>
        <v>527.63136363636363</v>
      </c>
      <c r="F33" s="523">
        <f t="shared" si="20"/>
        <v>14787.962883314141</v>
      </c>
      <c r="G33" s="524">
        <f t="shared" si="21"/>
        <v>2326.7272818183237</v>
      </c>
      <c r="H33" s="491">
        <f t="shared" si="22"/>
        <v>2326.7272818183237</v>
      </c>
      <c r="I33" s="511">
        <f t="shared" si="6"/>
        <v>0</v>
      </c>
      <c r="J33" s="511"/>
      <c r="K33" s="525"/>
      <c r="L33" s="514">
        <f t="shared" si="23"/>
        <v>0</v>
      </c>
      <c r="M33" s="525"/>
      <c r="N33" s="514">
        <f t="shared" si="10"/>
        <v>0</v>
      </c>
      <c r="O33" s="514">
        <f t="shared" si="11"/>
        <v>0</v>
      </c>
      <c r="P33" s="272"/>
    </row>
    <row r="34" spans="2:16">
      <c r="B34" s="195" t="str">
        <f t="shared" si="5"/>
        <v/>
      </c>
      <c r="C34" s="507">
        <f>IF(D11="","-",+C33+1)</f>
        <v>2027</v>
      </c>
      <c r="D34" s="523">
        <f>IF(F33+SUM(E$17:E33)=D$10,F33,D$10-SUM(E$17:E33))</f>
        <v>14787.962883314141</v>
      </c>
      <c r="E34" s="522">
        <f>IF(+I14&lt;F33,I14,D34)</f>
        <v>527.63136363636363</v>
      </c>
      <c r="F34" s="523">
        <f t="shared" ref="F34:F72" si="24">+D34-E34</f>
        <v>14260.331519677778</v>
      </c>
      <c r="G34" s="524">
        <f t="shared" si="21"/>
        <v>2263.6610183521616</v>
      </c>
      <c r="H34" s="491">
        <f t="shared" si="22"/>
        <v>2263.6610183521616</v>
      </c>
      <c r="I34" s="511">
        <f t="shared" ref="I34:I72" si="25">H34-G34</f>
        <v>0</v>
      </c>
      <c r="J34" s="511"/>
      <c r="K34" s="525"/>
      <c r="L34" s="514">
        <f t="shared" si="23"/>
        <v>0</v>
      </c>
      <c r="M34" s="525"/>
      <c r="N34" s="514">
        <f t="shared" si="10"/>
        <v>0</v>
      </c>
      <c r="O34" s="514">
        <f t="shared" si="11"/>
        <v>0</v>
      </c>
      <c r="P34" s="272"/>
    </row>
    <row r="35" spans="2:16">
      <c r="B35" s="195" t="str">
        <f t="shared" si="5"/>
        <v/>
      </c>
      <c r="C35" s="507">
        <f>IF(D11="","-",+C34+1)</f>
        <v>2028</v>
      </c>
      <c r="D35" s="523">
        <f>IF(F34+SUM(E$17:E34)=D$10,F34,D$10-SUM(E$17:E34))</f>
        <v>14260.331519677778</v>
      </c>
      <c r="E35" s="522">
        <f>IF(+I14&lt;F34,I14,D35)</f>
        <v>527.63136363636363</v>
      </c>
      <c r="F35" s="523">
        <f t="shared" si="24"/>
        <v>13732.700156041416</v>
      </c>
      <c r="G35" s="524">
        <f t="shared" si="21"/>
        <v>2200.5947548859999</v>
      </c>
      <c r="H35" s="491">
        <f t="shared" si="22"/>
        <v>2200.5947548859999</v>
      </c>
      <c r="I35" s="511">
        <f t="shared" si="25"/>
        <v>0</v>
      </c>
      <c r="J35" s="511"/>
      <c r="K35" s="525"/>
      <c r="L35" s="514">
        <f t="shared" si="23"/>
        <v>0</v>
      </c>
      <c r="M35" s="525"/>
      <c r="N35" s="514">
        <f t="shared" si="10"/>
        <v>0</v>
      </c>
      <c r="O35" s="514">
        <f t="shared" si="11"/>
        <v>0</v>
      </c>
      <c r="P35" s="272"/>
    </row>
    <row r="36" spans="2:16">
      <c r="B36" s="195" t="str">
        <f t="shared" si="5"/>
        <v/>
      </c>
      <c r="C36" s="507">
        <f>IF(D11="","-",+C35+1)</f>
        <v>2029</v>
      </c>
      <c r="D36" s="523">
        <f>IF(F35+SUM(E$17:E35)=D$10,F35,D$10-SUM(E$17:E35))</f>
        <v>13732.700156041416</v>
      </c>
      <c r="E36" s="522">
        <f>IF(+I14&lt;F35,I14,D36)</f>
        <v>527.63136363636363</v>
      </c>
      <c r="F36" s="523">
        <f t="shared" si="24"/>
        <v>13205.068792405053</v>
      </c>
      <c r="G36" s="524">
        <f t="shared" si="21"/>
        <v>2137.5284914198382</v>
      </c>
      <c r="H36" s="491">
        <f t="shared" si="22"/>
        <v>2137.5284914198382</v>
      </c>
      <c r="I36" s="511">
        <f t="shared" si="25"/>
        <v>0</v>
      </c>
      <c r="J36" s="511"/>
      <c r="K36" s="525"/>
      <c r="L36" s="514">
        <f t="shared" si="23"/>
        <v>0</v>
      </c>
      <c r="M36" s="525"/>
      <c r="N36" s="514">
        <f t="shared" si="10"/>
        <v>0</v>
      </c>
      <c r="O36" s="514">
        <f t="shared" si="11"/>
        <v>0</v>
      </c>
      <c r="P36" s="272"/>
    </row>
    <row r="37" spans="2:16">
      <c r="B37" s="195" t="str">
        <f t="shared" si="5"/>
        <v/>
      </c>
      <c r="C37" s="507">
        <f>IF(D11="","-",+C36+1)</f>
        <v>2030</v>
      </c>
      <c r="D37" s="523">
        <f>IF(F36+SUM(E$17:E36)=D$10,F36,D$10-SUM(E$17:E36))</f>
        <v>13205.068792405053</v>
      </c>
      <c r="E37" s="522">
        <f>IF(+I14&lt;F36,I14,D37)</f>
        <v>527.63136363636363</v>
      </c>
      <c r="F37" s="523">
        <f t="shared" si="24"/>
        <v>12677.43742876869</v>
      </c>
      <c r="G37" s="524">
        <f t="shared" si="21"/>
        <v>2074.4622279536761</v>
      </c>
      <c r="H37" s="491">
        <f t="shared" si="22"/>
        <v>2074.4622279536761</v>
      </c>
      <c r="I37" s="511">
        <f t="shared" si="25"/>
        <v>0</v>
      </c>
      <c r="J37" s="511"/>
      <c r="K37" s="525"/>
      <c r="L37" s="514">
        <f t="shared" si="23"/>
        <v>0</v>
      </c>
      <c r="M37" s="525"/>
      <c r="N37" s="514">
        <f t="shared" si="10"/>
        <v>0</v>
      </c>
      <c r="O37" s="514">
        <f t="shared" si="11"/>
        <v>0</v>
      </c>
      <c r="P37" s="272"/>
    </row>
    <row r="38" spans="2:16">
      <c r="B38" s="195" t="str">
        <f t="shared" si="5"/>
        <v/>
      </c>
      <c r="C38" s="507">
        <f>IF(D11="","-",+C37+1)</f>
        <v>2031</v>
      </c>
      <c r="D38" s="523">
        <f>IF(F37+SUM(E$17:E37)=D$10,F37,D$10-SUM(E$17:E37))</f>
        <v>12677.43742876869</v>
      </c>
      <c r="E38" s="522">
        <f>IF(+I14&lt;F37,I14,D38)</f>
        <v>527.63136363636363</v>
      </c>
      <c r="F38" s="523">
        <f t="shared" si="24"/>
        <v>12149.806065132327</v>
      </c>
      <c r="G38" s="524">
        <f t="shared" si="21"/>
        <v>2011.3959644875144</v>
      </c>
      <c r="H38" s="491">
        <f t="shared" si="22"/>
        <v>2011.3959644875144</v>
      </c>
      <c r="I38" s="511">
        <f t="shared" si="25"/>
        <v>0</v>
      </c>
      <c r="J38" s="511"/>
      <c r="K38" s="525"/>
      <c r="L38" s="514">
        <f t="shared" si="23"/>
        <v>0</v>
      </c>
      <c r="M38" s="525"/>
      <c r="N38" s="514">
        <f t="shared" si="10"/>
        <v>0</v>
      </c>
      <c r="O38" s="514">
        <f t="shared" si="11"/>
        <v>0</v>
      </c>
      <c r="P38" s="272"/>
    </row>
    <row r="39" spans="2:16">
      <c r="B39" s="195" t="str">
        <f t="shared" si="5"/>
        <v/>
      </c>
      <c r="C39" s="507">
        <f>IF(D11="","-",+C38+1)</f>
        <v>2032</v>
      </c>
      <c r="D39" s="523">
        <f>IF(F38+SUM(E$17:E38)=D$10,F38,D$10-SUM(E$17:E38))</f>
        <v>12149.806065132327</v>
      </c>
      <c r="E39" s="522">
        <f>IF(+I14&lt;F38,I14,D39)</f>
        <v>527.63136363636363</v>
      </c>
      <c r="F39" s="523">
        <f t="shared" si="24"/>
        <v>11622.174701495964</v>
      </c>
      <c r="G39" s="524">
        <f t="shared" si="21"/>
        <v>1948.3297010213528</v>
      </c>
      <c r="H39" s="491">
        <f t="shared" si="22"/>
        <v>1948.3297010213528</v>
      </c>
      <c r="I39" s="511">
        <f t="shared" si="25"/>
        <v>0</v>
      </c>
      <c r="J39" s="511"/>
      <c r="K39" s="525"/>
      <c r="L39" s="514">
        <f t="shared" si="23"/>
        <v>0</v>
      </c>
      <c r="M39" s="525"/>
      <c r="N39" s="514">
        <f t="shared" si="10"/>
        <v>0</v>
      </c>
      <c r="O39" s="514">
        <f t="shared" si="11"/>
        <v>0</v>
      </c>
      <c r="P39" s="272"/>
    </row>
    <row r="40" spans="2:16">
      <c r="B40" s="195" t="str">
        <f t="shared" si="5"/>
        <v/>
      </c>
      <c r="C40" s="507">
        <f>IF(D11="","-",+C39+1)</f>
        <v>2033</v>
      </c>
      <c r="D40" s="523">
        <f>IF(F39+SUM(E$17:E39)=D$10,F39,D$10-SUM(E$17:E39))</f>
        <v>11622.174701495964</v>
      </c>
      <c r="E40" s="522">
        <f>IF(+I14&lt;F39,I14,D40)</f>
        <v>527.63136363636363</v>
      </c>
      <c r="F40" s="523">
        <f t="shared" si="24"/>
        <v>11094.543337859601</v>
      </c>
      <c r="G40" s="524">
        <f t="shared" si="21"/>
        <v>1885.2634375551909</v>
      </c>
      <c r="H40" s="491">
        <f t="shared" si="22"/>
        <v>1885.2634375551909</v>
      </c>
      <c r="I40" s="511">
        <f t="shared" si="25"/>
        <v>0</v>
      </c>
      <c r="J40" s="511"/>
      <c r="K40" s="525"/>
      <c r="L40" s="514">
        <f t="shared" si="23"/>
        <v>0</v>
      </c>
      <c r="M40" s="525"/>
      <c r="N40" s="514">
        <f t="shared" si="10"/>
        <v>0</v>
      </c>
      <c r="O40" s="514">
        <f t="shared" si="11"/>
        <v>0</v>
      </c>
      <c r="P40" s="272"/>
    </row>
    <row r="41" spans="2:16">
      <c r="B41" s="195" t="str">
        <f t="shared" si="5"/>
        <v/>
      </c>
      <c r="C41" s="507">
        <f>IF(D11="","-",+C40+1)</f>
        <v>2034</v>
      </c>
      <c r="D41" s="523">
        <f>IF(F40+SUM(E$17:E40)=D$10,F40,D$10-SUM(E$17:E40))</f>
        <v>11094.543337859601</v>
      </c>
      <c r="E41" s="522">
        <f>IF(+I14&lt;F40,I14,D41)</f>
        <v>527.63136363636363</v>
      </c>
      <c r="F41" s="523">
        <f t="shared" si="24"/>
        <v>10566.911974223238</v>
      </c>
      <c r="G41" s="524">
        <f t="shared" si="21"/>
        <v>1822.197174089029</v>
      </c>
      <c r="H41" s="491">
        <f t="shared" si="22"/>
        <v>1822.197174089029</v>
      </c>
      <c r="I41" s="511">
        <f t="shared" si="25"/>
        <v>0</v>
      </c>
      <c r="J41" s="511"/>
      <c r="K41" s="525"/>
      <c r="L41" s="514">
        <f t="shared" si="23"/>
        <v>0</v>
      </c>
      <c r="M41" s="525"/>
      <c r="N41" s="514">
        <f t="shared" si="10"/>
        <v>0</v>
      </c>
      <c r="O41" s="514">
        <f t="shared" si="11"/>
        <v>0</v>
      </c>
      <c r="P41" s="272"/>
    </row>
    <row r="42" spans="2:16">
      <c r="B42" s="195" t="str">
        <f t="shared" si="5"/>
        <v/>
      </c>
      <c r="C42" s="507">
        <f>IF(D11="","-",+C41+1)</f>
        <v>2035</v>
      </c>
      <c r="D42" s="523">
        <f>IF(F41+SUM(E$17:E41)=D$10,F41,D$10-SUM(E$17:E41))</f>
        <v>10566.911974223238</v>
      </c>
      <c r="E42" s="522">
        <f>IF(+I14&lt;F41,I14,D42)</f>
        <v>527.63136363636363</v>
      </c>
      <c r="F42" s="523">
        <f t="shared" si="24"/>
        <v>10039.280610586875</v>
      </c>
      <c r="G42" s="524">
        <f t="shared" si="21"/>
        <v>1759.1309106228673</v>
      </c>
      <c r="H42" s="491">
        <f t="shared" si="22"/>
        <v>1759.1309106228673</v>
      </c>
      <c r="I42" s="511">
        <f t="shared" si="25"/>
        <v>0</v>
      </c>
      <c r="J42" s="511"/>
      <c r="K42" s="525"/>
      <c r="L42" s="514">
        <f t="shared" si="23"/>
        <v>0</v>
      </c>
      <c r="M42" s="525"/>
      <c r="N42" s="514">
        <f t="shared" si="10"/>
        <v>0</v>
      </c>
      <c r="O42" s="514">
        <f t="shared" si="11"/>
        <v>0</v>
      </c>
      <c r="P42" s="272"/>
    </row>
    <row r="43" spans="2:16">
      <c r="B43" s="195" t="str">
        <f t="shared" si="5"/>
        <v/>
      </c>
      <c r="C43" s="507">
        <f>IF(D11="","-",+C42+1)</f>
        <v>2036</v>
      </c>
      <c r="D43" s="523">
        <f>IF(F42+SUM(E$17:E42)=D$10,F42,D$10-SUM(E$17:E42))</f>
        <v>10039.280610586875</v>
      </c>
      <c r="E43" s="522">
        <f>IF(+I14&lt;F42,I14,D43)</f>
        <v>527.63136363636363</v>
      </c>
      <c r="F43" s="523">
        <f t="shared" si="24"/>
        <v>9511.649246950512</v>
      </c>
      <c r="G43" s="524">
        <f t="shared" si="21"/>
        <v>1696.0646471567054</v>
      </c>
      <c r="H43" s="491">
        <f t="shared" si="22"/>
        <v>1696.0646471567054</v>
      </c>
      <c r="I43" s="511">
        <f t="shared" si="25"/>
        <v>0</v>
      </c>
      <c r="J43" s="511"/>
      <c r="K43" s="525"/>
      <c r="L43" s="514">
        <f t="shared" si="23"/>
        <v>0</v>
      </c>
      <c r="M43" s="525"/>
      <c r="N43" s="514">
        <f t="shared" si="10"/>
        <v>0</v>
      </c>
      <c r="O43" s="514">
        <f t="shared" si="11"/>
        <v>0</v>
      </c>
      <c r="P43" s="272"/>
    </row>
    <row r="44" spans="2:16">
      <c r="B44" s="195" t="str">
        <f t="shared" si="5"/>
        <v/>
      </c>
      <c r="C44" s="507">
        <f>IF(D11="","-",+C43+1)</f>
        <v>2037</v>
      </c>
      <c r="D44" s="523">
        <f>IF(F43+SUM(E$17:E43)=D$10,F43,D$10-SUM(E$17:E43))</f>
        <v>9511.649246950512</v>
      </c>
      <c r="E44" s="522">
        <f>IF(+I14&lt;F43,I14,D44)</f>
        <v>527.63136363636363</v>
      </c>
      <c r="F44" s="523">
        <f t="shared" si="24"/>
        <v>8984.017883314149</v>
      </c>
      <c r="G44" s="524">
        <f t="shared" si="21"/>
        <v>1632.9983836905437</v>
      </c>
      <c r="H44" s="491">
        <f t="shared" si="22"/>
        <v>1632.9983836905437</v>
      </c>
      <c r="I44" s="511">
        <f t="shared" si="25"/>
        <v>0</v>
      </c>
      <c r="J44" s="511"/>
      <c r="K44" s="525"/>
      <c r="L44" s="514">
        <f t="shared" si="23"/>
        <v>0</v>
      </c>
      <c r="M44" s="525"/>
      <c r="N44" s="514">
        <f t="shared" si="10"/>
        <v>0</v>
      </c>
      <c r="O44" s="514">
        <f t="shared" si="11"/>
        <v>0</v>
      </c>
      <c r="P44" s="272"/>
    </row>
    <row r="45" spans="2:16">
      <c r="B45" s="195" t="str">
        <f t="shared" si="5"/>
        <v/>
      </c>
      <c r="C45" s="507">
        <f>IF(D11="","-",+C44+1)</f>
        <v>2038</v>
      </c>
      <c r="D45" s="523">
        <f>IF(F44+SUM(E$17:E44)=D$10,F44,D$10-SUM(E$17:E44))</f>
        <v>8984.017883314149</v>
      </c>
      <c r="E45" s="522">
        <f>IF(+I14&lt;F44,I14,D45)</f>
        <v>527.63136363636363</v>
      </c>
      <c r="F45" s="523">
        <f t="shared" si="24"/>
        <v>8456.3865196777861</v>
      </c>
      <c r="G45" s="524">
        <f t="shared" si="21"/>
        <v>1569.9321202243818</v>
      </c>
      <c r="H45" s="491">
        <f t="shared" si="22"/>
        <v>1569.9321202243818</v>
      </c>
      <c r="I45" s="511">
        <f t="shared" si="25"/>
        <v>0</v>
      </c>
      <c r="J45" s="511"/>
      <c r="K45" s="525"/>
      <c r="L45" s="514">
        <f t="shared" si="23"/>
        <v>0</v>
      </c>
      <c r="M45" s="525"/>
      <c r="N45" s="514">
        <f t="shared" si="10"/>
        <v>0</v>
      </c>
      <c r="O45" s="514">
        <f t="shared" si="11"/>
        <v>0</v>
      </c>
      <c r="P45" s="272"/>
    </row>
    <row r="46" spans="2:16">
      <c r="B46" s="195" t="str">
        <f t="shared" si="5"/>
        <v/>
      </c>
      <c r="C46" s="507">
        <f>IF(D11="","-",+C45+1)</f>
        <v>2039</v>
      </c>
      <c r="D46" s="523">
        <f>IF(F45+SUM(E$17:E45)=D$10,F45,D$10-SUM(E$17:E45))</f>
        <v>8456.3865196777861</v>
      </c>
      <c r="E46" s="522">
        <f>IF(+I14&lt;F45,I14,D46)</f>
        <v>527.63136363636363</v>
      </c>
      <c r="F46" s="523">
        <f t="shared" si="24"/>
        <v>7928.7551560414222</v>
      </c>
      <c r="G46" s="524">
        <f t="shared" si="21"/>
        <v>1506.8658567582202</v>
      </c>
      <c r="H46" s="491">
        <f t="shared" si="22"/>
        <v>1506.8658567582202</v>
      </c>
      <c r="I46" s="511">
        <f t="shared" si="25"/>
        <v>0</v>
      </c>
      <c r="J46" s="511"/>
      <c r="K46" s="525"/>
      <c r="L46" s="514">
        <f t="shared" si="23"/>
        <v>0</v>
      </c>
      <c r="M46" s="525"/>
      <c r="N46" s="514">
        <f t="shared" si="10"/>
        <v>0</v>
      </c>
      <c r="O46" s="514">
        <f t="shared" si="11"/>
        <v>0</v>
      </c>
      <c r="P46" s="272"/>
    </row>
    <row r="47" spans="2:16">
      <c r="B47" s="195" t="str">
        <f t="shared" si="5"/>
        <v/>
      </c>
      <c r="C47" s="507">
        <f>IF(D11="","-",+C46+1)</f>
        <v>2040</v>
      </c>
      <c r="D47" s="523">
        <f>IF(F46+SUM(E$17:E46)=D$10,F46,D$10-SUM(E$17:E46))</f>
        <v>7928.7551560414222</v>
      </c>
      <c r="E47" s="522">
        <f>IF(+I14&lt;F46,I14,D47)</f>
        <v>527.63136363636363</v>
      </c>
      <c r="F47" s="523">
        <f t="shared" si="24"/>
        <v>7401.1237924050583</v>
      </c>
      <c r="G47" s="524">
        <f t="shared" si="21"/>
        <v>1443.799593292058</v>
      </c>
      <c r="H47" s="491">
        <f t="shared" si="22"/>
        <v>1443.799593292058</v>
      </c>
      <c r="I47" s="511">
        <f t="shared" si="25"/>
        <v>0</v>
      </c>
      <c r="J47" s="511"/>
      <c r="K47" s="525"/>
      <c r="L47" s="514">
        <f t="shared" si="23"/>
        <v>0</v>
      </c>
      <c r="M47" s="525"/>
      <c r="N47" s="514">
        <f t="shared" si="10"/>
        <v>0</v>
      </c>
      <c r="O47" s="514">
        <f t="shared" si="11"/>
        <v>0</v>
      </c>
      <c r="P47" s="272"/>
    </row>
    <row r="48" spans="2:16">
      <c r="B48" s="195" t="str">
        <f t="shared" si="5"/>
        <v/>
      </c>
      <c r="C48" s="507">
        <f>IF(D11="","-",+C47+1)</f>
        <v>2041</v>
      </c>
      <c r="D48" s="523">
        <f>IF(F47+SUM(E$17:E47)=D$10,F47,D$10-SUM(E$17:E47))</f>
        <v>7401.1237924050583</v>
      </c>
      <c r="E48" s="522">
        <f>IF(+I14&lt;F47,I14,D48)</f>
        <v>527.63136363636363</v>
      </c>
      <c r="F48" s="523">
        <f t="shared" si="24"/>
        <v>6873.4924287686945</v>
      </c>
      <c r="G48" s="524">
        <f t="shared" si="21"/>
        <v>1380.7333298258964</v>
      </c>
      <c r="H48" s="491">
        <f t="shared" si="22"/>
        <v>1380.7333298258964</v>
      </c>
      <c r="I48" s="511">
        <f t="shared" si="25"/>
        <v>0</v>
      </c>
      <c r="J48" s="511"/>
      <c r="K48" s="525"/>
      <c r="L48" s="514">
        <f t="shared" si="23"/>
        <v>0</v>
      </c>
      <c r="M48" s="525"/>
      <c r="N48" s="514">
        <f t="shared" si="10"/>
        <v>0</v>
      </c>
      <c r="O48" s="514">
        <f t="shared" si="11"/>
        <v>0</v>
      </c>
      <c r="P48" s="272"/>
    </row>
    <row r="49" spans="2:16">
      <c r="B49" s="195" t="str">
        <f t="shared" si="5"/>
        <v/>
      </c>
      <c r="C49" s="507">
        <f>IF(D11="","-",+C48+1)</f>
        <v>2042</v>
      </c>
      <c r="D49" s="523">
        <f>IF(F48+SUM(E$17:E48)=D$10,F48,D$10-SUM(E$17:E48))</f>
        <v>6873.4924287686945</v>
      </c>
      <c r="E49" s="522">
        <f>IF(+I14&lt;F48,I14,D49)</f>
        <v>527.63136363636363</v>
      </c>
      <c r="F49" s="523">
        <f t="shared" si="24"/>
        <v>6345.8610651323306</v>
      </c>
      <c r="G49" s="524">
        <f t="shared" si="21"/>
        <v>1317.6670663597342</v>
      </c>
      <c r="H49" s="491">
        <f t="shared" si="22"/>
        <v>1317.6670663597342</v>
      </c>
      <c r="I49" s="511">
        <f t="shared" si="25"/>
        <v>0</v>
      </c>
      <c r="J49" s="511"/>
      <c r="K49" s="525"/>
      <c r="L49" s="514">
        <f t="shared" si="23"/>
        <v>0</v>
      </c>
      <c r="M49" s="525"/>
      <c r="N49" s="514">
        <f t="shared" si="10"/>
        <v>0</v>
      </c>
      <c r="O49" s="514">
        <f t="shared" si="11"/>
        <v>0</v>
      </c>
      <c r="P49" s="272"/>
    </row>
    <row r="50" spans="2:16">
      <c r="B50" s="195" t="str">
        <f t="shared" si="5"/>
        <v/>
      </c>
      <c r="C50" s="507">
        <f>IF(D11="","-",+C49+1)</f>
        <v>2043</v>
      </c>
      <c r="D50" s="523">
        <f>IF(F49+SUM(E$17:E49)=D$10,F49,D$10-SUM(E$17:E49))</f>
        <v>6345.8610651323306</v>
      </c>
      <c r="E50" s="522">
        <f>IF(+I14&lt;F49,I14,D50)</f>
        <v>527.63136363636363</v>
      </c>
      <c r="F50" s="523">
        <f t="shared" si="24"/>
        <v>5818.2297014959668</v>
      </c>
      <c r="G50" s="524">
        <f t="shared" si="21"/>
        <v>1254.6008028935726</v>
      </c>
      <c r="H50" s="491">
        <f t="shared" si="22"/>
        <v>1254.6008028935726</v>
      </c>
      <c r="I50" s="511">
        <f t="shared" si="25"/>
        <v>0</v>
      </c>
      <c r="J50" s="511"/>
      <c r="K50" s="525"/>
      <c r="L50" s="514">
        <f t="shared" si="23"/>
        <v>0</v>
      </c>
      <c r="M50" s="525"/>
      <c r="N50" s="514">
        <f t="shared" si="10"/>
        <v>0</v>
      </c>
      <c r="O50" s="514">
        <f t="shared" si="11"/>
        <v>0</v>
      </c>
      <c r="P50" s="272"/>
    </row>
    <row r="51" spans="2:16">
      <c r="B51" s="195" t="str">
        <f t="shared" si="5"/>
        <v/>
      </c>
      <c r="C51" s="507">
        <f>IF(D11="","-",+C50+1)</f>
        <v>2044</v>
      </c>
      <c r="D51" s="523">
        <f>IF(F50+SUM(E$17:E50)=D$10,F50,D$10-SUM(E$17:E50))</f>
        <v>5818.2297014959668</v>
      </c>
      <c r="E51" s="522">
        <f>IF(+I14&lt;F50,I14,D51)</f>
        <v>527.63136363636363</v>
      </c>
      <c r="F51" s="523">
        <f t="shared" si="24"/>
        <v>5290.5983378596029</v>
      </c>
      <c r="G51" s="524">
        <f t="shared" si="21"/>
        <v>1191.5345394274104</v>
      </c>
      <c r="H51" s="491">
        <f t="shared" si="22"/>
        <v>1191.5345394274104</v>
      </c>
      <c r="I51" s="511">
        <f t="shared" si="25"/>
        <v>0</v>
      </c>
      <c r="J51" s="511"/>
      <c r="K51" s="525"/>
      <c r="L51" s="514">
        <f t="shared" si="23"/>
        <v>0</v>
      </c>
      <c r="M51" s="525"/>
      <c r="N51" s="514">
        <f t="shared" si="10"/>
        <v>0</v>
      </c>
      <c r="O51" s="514">
        <f t="shared" si="11"/>
        <v>0</v>
      </c>
      <c r="P51" s="272"/>
    </row>
    <row r="52" spans="2:16">
      <c r="B52" s="195" t="str">
        <f t="shared" si="5"/>
        <v/>
      </c>
      <c r="C52" s="507">
        <f>IF(D11="","-",+C51+1)</f>
        <v>2045</v>
      </c>
      <c r="D52" s="523">
        <f>IF(F51+SUM(E$17:E51)=D$10,F51,D$10-SUM(E$17:E51))</f>
        <v>5290.5983378596029</v>
      </c>
      <c r="E52" s="522">
        <f>IF(+I14&lt;F51,I14,D52)</f>
        <v>527.63136363636363</v>
      </c>
      <c r="F52" s="523">
        <f t="shared" si="24"/>
        <v>4762.966974223239</v>
      </c>
      <c r="G52" s="524">
        <f t="shared" si="21"/>
        <v>1128.4682759612485</v>
      </c>
      <c r="H52" s="491">
        <f t="shared" si="22"/>
        <v>1128.4682759612485</v>
      </c>
      <c r="I52" s="511">
        <f t="shared" si="25"/>
        <v>0</v>
      </c>
      <c r="J52" s="511"/>
      <c r="K52" s="525"/>
      <c r="L52" s="514">
        <f t="shared" si="23"/>
        <v>0</v>
      </c>
      <c r="M52" s="525"/>
      <c r="N52" s="514">
        <f t="shared" si="10"/>
        <v>0</v>
      </c>
      <c r="O52" s="514">
        <f t="shared" si="11"/>
        <v>0</v>
      </c>
      <c r="P52" s="272"/>
    </row>
    <row r="53" spans="2:16">
      <c r="B53" s="195" t="str">
        <f t="shared" si="5"/>
        <v/>
      </c>
      <c r="C53" s="507">
        <f>IF(D11="","-",+C52+1)</f>
        <v>2046</v>
      </c>
      <c r="D53" s="523">
        <f>IF(F52+SUM(E$17:E52)=D$10,F52,D$10-SUM(E$17:E52))</f>
        <v>4762.966974223239</v>
      </c>
      <c r="E53" s="522">
        <f>IF(+I14&lt;F52,I14,D53)</f>
        <v>527.63136363636363</v>
      </c>
      <c r="F53" s="523">
        <f t="shared" si="24"/>
        <v>4235.3356105868752</v>
      </c>
      <c r="G53" s="524">
        <f t="shared" si="21"/>
        <v>1065.4020124950866</v>
      </c>
      <c r="H53" s="491">
        <f t="shared" si="22"/>
        <v>1065.4020124950866</v>
      </c>
      <c r="I53" s="511">
        <f t="shared" si="25"/>
        <v>0</v>
      </c>
      <c r="J53" s="511"/>
      <c r="K53" s="525"/>
      <c r="L53" s="514">
        <f t="shared" si="23"/>
        <v>0</v>
      </c>
      <c r="M53" s="525"/>
      <c r="N53" s="514">
        <f t="shared" si="10"/>
        <v>0</v>
      </c>
      <c r="O53" s="514">
        <f t="shared" si="11"/>
        <v>0</v>
      </c>
      <c r="P53" s="272"/>
    </row>
    <row r="54" spans="2:16">
      <c r="B54" s="195" t="str">
        <f t="shared" si="5"/>
        <v/>
      </c>
      <c r="C54" s="507">
        <f>IF(D11="","-",+C53+1)</f>
        <v>2047</v>
      </c>
      <c r="D54" s="523">
        <f>IF(F53+SUM(E$17:E53)=D$10,F53,D$10-SUM(E$17:E53))</f>
        <v>4235.3356105868752</v>
      </c>
      <c r="E54" s="522">
        <f>IF(+I14&lt;F53,I14,D54)</f>
        <v>527.63136363636363</v>
      </c>
      <c r="F54" s="523">
        <f t="shared" si="24"/>
        <v>3707.7042469505113</v>
      </c>
      <c r="G54" s="524">
        <f t="shared" si="21"/>
        <v>1002.3357490289247</v>
      </c>
      <c r="H54" s="491">
        <f t="shared" si="22"/>
        <v>1002.3357490289247</v>
      </c>
      <c r="I54" s="511">
        <f t="shared" si="25"/>
        <v>0</v>
      </c>
      <c r="J54" s="511"/>
      <c r="K54" s="525"/>
      <c r="L54" s="514">
        <f t="shared" si="23"/>
        <v>0</v>
      </c>
      <c r="M54" s="525"/>
      <c r="N54" s="514">
        <f t="shared" si="10"/>
        <v>0</v>
      </c>
      <c r="O54" s="514">
        <f t="shared" si="11"/>
        <v>0</v>
      </c>
      <c r="P54" s="272"/>
    </row>
    <row r="55" spans="2:16">
      <c r="B55" s="195" t="str">
        <f t="shared" si="5"/>
        <v/>
      </c>
      <c r="C55" s="507">
        <f>IF(D11="","-",+C54+1)</f>
        <v>2048</v>
      </c>
      <c r="D55" s="523">
        <f>IF(F54+SUM(E$17:E54)=D$10,F54,D$10-SUM(E$17:E54))</f>
        <v>3707.7042469505113</v>
      </c>
      <c r="E55" s="522">
        <f>IF(+I14&lt;F54,I14,D55)</f>
        <v>527.63136363636363</v>
      </c>
      <c r="F55" s="523">
        <f t="shared" si="24"/>
        <v>3180.0728833141475</v>
      </c>
      <c r="G55" s="524">
        <f t="shared" ref="G55:G72" si="26">+I$12*((D55+F55)/2)+E55</f>
        <v>939.26948556276284</v>
      </c>
      <c r="H55" s="491">
        <f t="shared" ref="H55:H72" si="27">+I$13*((D55+F55)/2)+E55</f>
        <v>939.26948556276284</v>
      </c>
      <c r="I55" s="511">
        <f t="shared" si="25"/>
        <v>0</v>
      </c>
      <c r="J55" s="511"/>
      <c r="K55" s="525"/>
      <c r="L55" s="514">
        <f t="shared" si="23"/>
        <v>0</v>
      </c>
      <c r="M55" s="525"/>
      <c r="N55" s="514">
        <f t="shared" si="10"/>
        <v>0</v>
      </c>
      <c r="O55" s="514">
        <f t="shared" si="11"/>
        <v>0</v>
      </c>
      <c r="P55" s="272"/>
    </row>
    <row r="56" spans="2:16">
      <c r="B56" s="195" t="str">
        <f t="shared" si="5"/>
        <v/>
      </c>
      <c r="C56" s="507">
        <f>IF(D11="","-",+C55+1)</f>
        <v>2049</v>
      </c>
      <c r="D56" s="523">
        <f>IF(F55+SUM(E$17:E55)=D$10,F55,D$10-SUM(E$17:E55))</f>
        <v>3180.0728833141475</v>
      </c>
      <c r="E56" s="522">
        <f>IF(+I14&lt;F55,I14,D56)</f>
        <v>527.63136363636363</v>
      </c>
      <c r="F56" s="523">
        <f t="shared" si="24"/>
        <v>2652.4415196777836</v>
      </c>
      <c r="G56" s="524">
        <f t="shared" si="26"/>
        <v>876.20322209660094</v>
      </c>
      <c r="H56" s="491">
        <f t="shared" si="27"/>
        <v>876.20322209660094</v>
      </c>
      <c r="I56" s="511">
        <f t="shared" si="25"/>
        <v>0</v>
      </c>
      <c r="J56" s="511"/>
      <c r="K56" s="525"/>
      <c r="L56" s="514">
        <f t="shared" si="23"/>
        <v>0</v>
      </c>
      <c r="M56" s="525"/>
      <c r="N56" s="514">
        <f t="shared" si="10"/>
        <v>0</v>
      </c>
      <c r="O56" s="514">
        <f t="shared" si="11"/>
        <v>0</v>
      </c>
      <c r="P56" s="272"/>
    </row>
    <row r="57" spans="2:16">
      <c r="B57" s="195" t="str">
        <f t="shared" si="5"/>
        <v/>
      </c>
      <c r="C57" s="507">
        <f>IF(D11="","-",+C56+1)</f>
        <v>2050</v>
      </c>
      <c r="D57" s="523">
        <f>IF(F56+SUM(E$17:E56)=D$10,F56,D$10-SUM(E$17:E56))</f>
        <v>2652.4415196777836</v>
      </c>
      <c r="E57" s="522">
        <f>IF(+I14&lt;F56,I14,D57)</f>
        <v>527.63136363636363</v>
      </c>
      <c r="F57" s="523">
        <f t="shared" si="24"/>
        <v>2124.8101560414198</v>
      </c>
      <c r="G57" s="524">
        <f t="shared" si="26"/>
        <v>813.13695863043904</v>
      </c>
      <c r="H57" s="491">
        <f t="shared" si="27"/>
        <v>813.13695863043904</v>
      </c>
      <c r="I57" s="511">
        <f t="shared" si="25"/>
        <v>0</v>
      </c>
      <c r="J57" s="511"/>
      <c r="K57" s="525"/>
      <c r="L57" s="514">
        <f t="shared" si="23"/>
        <v>0</v>
      </c>
      <c r="M57" s="525"/>
      <c r="N57" s="514">
        <f t="shared" si="10"/>
        <v>0</v>
      </c>
      <c r="O57" s="514">
        <f t="shared" si="11"/>
        <v>0</v>
      </c>
      <c r="P57" s="272"/>
    </row>
    <row r="58" spans="2:16">
      <c r="B58" s="195" t="str">
        <f t="shared" si="5"/>
        <v/>
      </c>
      <c r="C58" s="507">
        <f>IF(D11="","-",+C57+1)</f>
        <v>2051</v>
      </c>
      <c r="D58" s="523">
        <f>IF(F57+SUM(E$17:E57)=D$10,F57,D$10-SUM(E$17:E57))</f>
        <v>2124.8101560414198</v>
      </c>
      <c r="E58" s="522">
        <f>IF(+I14&lt;F57,I14,D58)</f>
        <v>527.63136363636363</v>
      </c>
      <c r="F58" s="523">
        <f t="shared" si="24"/>
        <v>1597.1787924050561</v>
      </c>
      <c r="G58" s="524">
        <f t="shared" si="26"/>
        <v>750.07069516427703</v>
      </c>
      <c r="H58" s="491">
        <f t="shared" si="27"/>
        <v>750.07069516427703</v>
      </c>
      <c r="I58" s="511">
        <f t="shared" si="25"/>
        <v>0</v>
      </c>
      <c r="J58" s="511"/>
      <c r="K58" s="525"/>
      <c r="L58" s="514">
        <f t="shared" si="23"/>
        <v>0</v>
      </c>
      <c r="M58" s="525"/>
      <c r="N58" s="514">
        <f t="shared" si="10"/>
        <v>0</v>
      </c>
      <c r="O58" s="514">
        <f t="shared" si="11"/>
        <v>0</v>
      </c>
      <c r="P58" s="272"/>
    </row>
    <row r="59" spans="2:16">
      <c r="B59" s="195" t="str">
        <f t="shared" si="5"/>
        <v/>
      </c>
      <c r="C59" s="507">
        <f>IF(D11="","-",+C58+1)</f>
        <v>2052</v>
      </c>
      <c r="D59" s="523">
        <f>IF(F58+SUM(E$17:E58)=D$10,F58,D$10-SUM(E$17:E58))</f>
        <v>1597.1787924050561</v>
      </c>
      <c r="E59" s="522">
        <f>IF(+I14&lt;F58,I14,D59)</f>
        <v>527.63136363636363</v>
      </c>
      <c r="F59" s="523">
        <f t="shared" si="24"/>
        <v>1069.5474287686925</v>
      </c>
      <c r="G59" s="524">
        <f t="shared" si="26"/>
        <v>687.00443169811524</v>
      </c>
      <c r="H59" s="491">
        <f t="shared" si="27"/>
        <v>687.00443169811524</v>
      </c>
      <c r="I59" s="511">
        <f t="shared" si="25"/>
        <v>0</v>
      </c>
      <c r="J59" s="511"/>
      <c r="K59" s="525"/>
      <c r="L59" s="514">
        <f t="shared" si="23"/>
        <v>0</v>
      </c>
      <c r="M59" s="525"/>
      <c r="N59" s="514">
        <f t="shared" si="10"/>
        <v>0</v>
      </c>
      <c r="O59" s="514">
        <f t="shared" si="11"/>
        <v>0</v>
      </c>
      <c r="P59" s="272"/>
    </row>
    <row r="60" spans="2:16">
      <c r="B60" s="195" t="str">
        <f t="shared" si="5"/>
        <v/>
      </c>
      <c r="C60" s="507">
        <f>IF(D11="","-",+C59+1)</f>
        <v>2053</v>
      </c>
      <c r="D60" s="523">
        <f>IF(F59+SUM(E$17:E59)=D$10,F59,D$10-SUM(E$17:E59))</f>
        <v>1069.5474287686925</v>
      </c>
      <c r="E60" s="522">
        <f>IF(+I14&lt;F59,I14,D60)</f>
        <v>527.63136363636363</v>
      </c>
      <c r="F60" s="523">
        <f t="shared" si="24"/>
        <v>541.91606513232887</v>
      </c>
      <c r="G60" s="524">
        <f t="shared" si="26"/>
        <v>623.93816823195334</v>
      </c>
      <c r="H60" s="491">
        <f t="shared" si="27"/>
        <v>623.93816823195334</v>
      </c>
      <c r="I60" s="511">
        <f t="shared" si="25"/>
        <v>0</v>
      </c>
      <c r="J60" s="511"/>
      <c r="K60" s="525"/>
      <c r="L60" s="514">
        <f t="shared" si="23"/>
        <v>0</v>
      </c>
      <c r="M60" s="525"/>
      <c r="N60" s="514">
        <f t="shared" si="10"/>
        <v>0</v>
      </c>
      <c r="O60" s="514">
        <f t="shared" si="11"/>
        <v>0</v>
      </c>
      <c r="P60" s="272"/>
    </row>
    <row r="61" spans="2:16">
      <c r="B61" s="195" t="str">
        <f t="shared" si="5"/>
        <v/>
      </c>
      <c r="C61" s="507">
        <f>IF(D11="","-",+C60+1)</f>
        <v>2054</v>
      </c>
      <c r="D61" s="523">
        <f>IF(F60+SUM(E$17:E60)=D$10,F60,D$10-SUM(E$17:E60))</f>
        <v>541.91606513232887</v>
      </c>
      <c r="E61" s="522">
        <f>IF(+I14&lt;F60,I14,D61)</f>
        <v>527.63136363636363</v>
      </c>
      <c r="F61" s="523">
        <f t="shared" si="24"/>
        <v>14.284701495965237</v>
      </c>
      <c r="G61" s="526">
        <f t="shared" si="26"/>
        <v>560.87190476579144</v>
      </c>
      <c r="H61" s="491">
        <f t="shared" si="27"/>
        <v>560.87190476579144</v>
      </c>
      <c r="I61" s="511">
        <f t="shared" si="25"/>
        <v>0</v>
      </c>
      <c r="J61" s="511"/>
      <c r="K61" s="525"/>
      <c r="L61" s="514">
        <f t="shared" si="23"/>
        <v>0</v>
      </c>
      <c r="M61" s="525"/>
      <c r="N61" s="514">
        <f t="shared" si="10"/>
        <v>0</v>
      </c>
      <c r="O61" s="514">
        <f t="shared" si="11"/>
        <v>0</v>
      </c>
      <c r="P61" s="272"/>
    </row>
    <row r="62" spans="2:16">
      <c r="B62" s="195" t="str">
        <f t="shared" si="5"/>
        <v/>
      </c>
      <c r="C62" s="507">
        <f>IF(D11="","-",+C61+1)</f>
        <v>2055</v>
      </c>
      <c r="D62" s="523">
        <f>IF(F61+SUM(E$17:E61)=D$10,F61,D$10-SUM(E$17:E61))</f>
        <v>14.284701495965237</v>
      </c>
      <c r="E62" s="522">
        <f>IF(+I14&lt;F61,I14,D62)</f>
        <v>14.284701495965237</v>
      </c>
      <c r="F62" s="523">
        <f t="shared" si="24"/>
        <v>0</v>
      </c>
      <c r="G62" s="526">
        <f t="shared" si="26"/>
        <v>15.138406194138653</v>
      </c>
      <c r="H62" s="491">
        <f t="shared" si="27"/>
        <v>15.138406194138653</v>
      </c>
      <c r="I62" s="511">
        <f t="shared" si="25"/>
        <v>0</v>
      </c>
      <c r="J62" s="511"/>
      <c r="K62" s="525"/>
      <c r="L62" s="514">
        <f t="shared" si="23"/>
        <v>0</v>
      </c>
      <c r="M62" s="525"/>
      <c r="N62" s="514">
        <f t="shared" si="10"/>
        <v>0</v>
      </c>
      <c r="O62" s="514">
        <f t="shared" si="11"/>
        <v>0</v>
      </c>
      <c r="P62" s="272"/>
    </row>
    <row r="63" spans="2:16">
      <c r="B63" s="195" t="str">
        <f t="shared" si="5"/>
        <v/>
      </c>
      <c r="C63" s="507">
        <f>IF(D11="","-",+C62+1)</f>
        <v>2056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24"/>
        <v>0</v>
      </c>
      <c r="G63" s="526">
        <f t="shared" si="26"/>
        <v>0</v>
      </c>
      <c r="H63" s="491">
        <f t="shared" si="27"/>
        <v>0</v>
      </c>
      <c r="I63" s="511">
        <f t="shared" si="25"/>
        <v>0</v>
      </c>
      <c r="J63" s="511"/>
      <c r="K63" s="525"/>
      <c r="L63" s="514">
        <f t="shared" si="23"/>
        <v>0</v>
      </c>
      <c r="M63" s="525"/>
      <c r="N63" s="514">
        <f t="shared" si="10"/>
        <v>0</v>
      </c>
      <c r="O63" s="514">
        <f t="shared" si="11"/>
        <v>0</v>
      </c>
      <c r="P63" s="272"/>
    </row>
    <row r="64" spans="2:16">
      <c r="B64" s="195" t="str">
        <f t="shared" si="5"/>
        <v/>
      </c>
      <c r="C64" s="507">
        <f>IF(D11="","-",+C63+1)</f>
        <v>2057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24"/>
        <v>0</v>
      </c>
      <c r="G64" s="526">
        <f t="shared" si="26"/>
        <v>0</v>
      </c>
      <c r="H64" s="491">
        <f t="shared" si="27"/>
        <v>0</v>
      </c>
      <c r="I64" s="511">
        <f t="shared" si="25"/>
        <v>0</v>
      </c>
      <c r="J64" s="511"/>
      <c r="K64" s="525"/>
      <c r="L64" s="514">
        <f t="shared" si="23"/>
        <v>0</v>
      </c>
      <c r="M64" s="525"/>
      <c r="N64" s="514">
        <f t="shared" si="10"/>
        <v>0</v>
      </c>
      <c r="O64" s="514">
        <f t="shared" si="11"/>
        <v>0</v>
      </c>
      <c r="P64" s="272"/>
    </row>
    <row r="65" spans="2:16">
      <c r="B65" s="195" t="str">
        <f t="shared" si="5"/>
        <v/>
      </c>
      <c r="C65" s="507">
        <f>IF(D11="","-",+C64+1)</f>
        <v>2058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24"/>
        <v>0</v>
      </c>
      <c r="G65" s="526">
        <f t="shared" si="26"/>
        <v>0</v>
      </c>
      <c r="H65" s="491">
        <f t="shared" si="27"/>
        <v>0</v>
      </c>
      <c r="I65" s="511">
        <f t="shared" si="25"/>
        <v>0</v>
      </c>
      <c r="J65" s="511"/>
      <c r="K65" s="525"/>
      <c r="L65" s="514">
        <f t="shared" si="23"/>
        <v>0</v>
      </c>
      <c r="M65" s="525"/>
      <c r="N65" s="514">
        <f t="shared" si="10"/>
        <v>0</v>
      </c>
      <c r="O65" s="514">
        <f t="shared" si="11"/>
        <v>0</v>
      </c>
      <c r="P65" s="272"/>
    </row>
    <row r="66" spans="2:16">
      <c r="B66" s="195" t="str">
        <f t="shared" si="5"/>
        <v/>
      </c>
      <c r="C66" s="507">
        <f>IF(D11="","-",+C65+1)</f>
        <v>2059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24"/>
        <v>0</v>
      </c>
      <c r="G66" s="526">
        <f t="shared" si="26"/>
        <v>0</v>
      </c>
      <c r="H66" s="491">
        <f t="shared" si="27"/>
        <v>0</v>
      </c>
      <c r="I66" s="511">
        <f t="shared" si="25"/>
        <v>0</v>
      </c>
      <c r="J66" s="511"/>
      <c r="K66" s="525"/>
      <c r="L66" s="514">
        <f t="shared" si="23"/>
        <v>0</v>
      </c>
      <c r="M66" s="525"/>
      <c r="N66" s="514">
        <f t="shared" si="10"/>
        <v>0</v>
      </c>
      <c r="O66" s="514">
        <f t="shared" si="11"/>
        <v>0</v>
      </c>
      <c r="P66" s="272"/>
    </row>
    <row r="67" spans="2:16">
      <c r="B67" s="195" t="str">
        <f t="shared" si="5"/>
        <v/>
      </c>
      <c r="C67" s="507">
        <f>IF(D11="","-",+C66+1)</f>
        <v>2060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24"/>
        <v>0</v>
      </c>
      <c r="G67" s="526">
        <f t="shared" si="26"/>
        <v>0</v>
      </c>
      <c r="H67" s="491">
        <f t="shared" si="27"/>
        <v>0</v>
      </c>
      <c r="I67" s="511">
        <f t="shared" si="25"/>
        <v>0</v>
      </c>
      <c r="J67" s="511"/>
      <c r="K67" s="525"/>
      <c r="L67" s="514">
        <f t="shared" si="23"/>
        <v>0</v>
      </c>
      <c r="M67" s="525"/>
      <c r="N67" s="514">
        <f t="shared" si="10"/>
        <v>0</v>
      </c>
      <c r="O67" s="514">
        <f t="shared" si="11"/>
        <v>0</v>
      </c>
      <c r="P67" s="272"/>
    </row>
    <row r="68" spans="2:16">
      <c r="B68" s="195" t="str">
        <f t="shared" si="5"/>
        <v/>
      </c>
      <c r="C68" s="507">
        <f>IF(D11="","-",+C67+1)</f>
        <v>2061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24"/>
        <v>0</v>
      </c>
      <c r="G68" s="526">
        <f t="shared" si="26"/>
        <v>0</v>
      </c>
      <c r="H68" s="491">
        <f t="shared" si="27"/>
        <v>0</v>
      </c>
      <c r="I68" s="511">
        <f t="shared" si="25"/>
        <v>0</v>
      </c>
      <c r="J68" s="511"/>
      <c r="K68" s="525"/>
      <c r="L68" s="514">
        <f t="shared" si="23"/>
        <v>0</v>
      </c>
      <c r="M68" s="525"/>
      <c r="N68" s="514">
        <f t="shared" si="10"/>
        <v>0</v>
      </c>
      <c r="O68" s="514">
        <f t="shared" si="11"/>
        <v>0</v>
      </c>
      <c r="P68" s="272"/>
    </row>
    <row r="69" spans="2:16">
      <c r="B69" s="195" t="str">
        <f t="shared" si="5"/>
        <v/>
      </c>
      <c r="C69" s="507">
        <f>IF(D11="","-",+C68+1)</f>
        <v>2062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24"/>
        <v>0</v>
      </c>
      <c r="G69" s="526">
        <f t="shared" si="26"/>
        <v>0</v>
      </c>
      <c r="H69" s="491">
        <f t="shared" si="27"/>
        <v>0</v>
      </c>
      <c r="I69" s="511">
        <f t="shared" si="25"/>
        <v>0</v>
      </c>
      <c r="J69" s="511"/>
      <c r="K69" s="525"/>
      <c r="L69" s="514">
        <f t="shared" si="23"/>
        <v>0</v>
      </c>
      <c r="M69" s="525"/>
      <c r="N69" s="514">
        <f t="shared" si="10"/>
        <v>0</v>
      </c>
      <c r="O69" s="514">
        <f t="shared" si="11"/>
        <v>0</v>
      </c>
      <c r="P69" s="272"/>
    </row>
    <row r="70" spans="2:16">
      <c r="B70" s="195" t="str">
        <f t="shared" si="5"/>
        <v/>
      </c>
      <c r="C70" s="507">
        <f>IF(D11="","-",+C69+1)</f>
        <v>2063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24"/>
        <v>0</v>
      </c>
      <c r="G70" s="526">
        <f t="shared" si="26"/>
        <v>0</v>
      </c>
      <c r="H70" s="491">
        <f t="shared" si="27"/>
        <v>0</v>
      </c>
      <c r="I70" s="511">
        <f t="shared" si="25"/>
        <v>0</v>
      </c>
      <c r="J70" s="511"/>
      <c r="K70" s="525"/>
      <c r="L70" s="514">
        <f t="shared" si="23"/>
        <v>0</v>
      </c>
      <c r="M70" s="525"/>
      <c r="N70" s="514">
        <f t="shared" si="10"/>
        <v>0</v>
      </c>
      <c r="O70" s="514">
        <f t="shared" si="11"/>
        <v>0</v>
      </c>
      <c r="P70" s="272"/>
    </row>
    <row r="71" spans="2:16">
      <c r="B71" s="195" t="str">
        <f t="shared" si="5"/>
        <v/>
      </c>
      <c r="C71" s="507">
        <f>IF(D11="","-",+C70+1)</f>
        <v>2064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24"/>
        <v>0</v>
      </c>
      <c r="G71" s="526">
        <f t="shared" si="26"/>
        <v>0</v>
      </c>
      <c r="H71" s="491">
        <f t="shared" si="27"/>
        <v>0</v>
      </c>
      <c r="I71" s="511">
        <f t="shared" si="25"/>
        <v>0</v>
      </c>
      <c r="J71" s="511"/>
      <c r="K71" s="525"/>
      <c r="L71" s="514">
        <f t="shared" si="23"/>
        <v>0</v>
      </c>
      <c r="M71" s="525"/>
      <c r="N71" s="514">
        <f t="shared" si="10"/>
        <v>0</v>
      </c>
      <c r="O71" s="514">
        <f t="shared" si="11"/>
        <v>0</v>
      </c>
      <c r="P71" s="272"/>
    </row>
    <row r="72" spans="2:16" ht="13.5" thickBot="1">
      <c r="B72" s="195" t="str">
        <f t="shared" si="5"/>
        <v/>
      </c>
      <c r="C72" s="527">
        <f>IF(D11="","-",+C71+1)</f>
        <v>2065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24"/>
        <v>0</v>
      </c>
      <c r="G72" s="530">
        <f t="shared" si="26"/>
        <v>0</v>
      </c>
      <c r="H72" s="471">
        <f t="shared" si="27"/>
        <v>0</v>
      </c>
      <c r="I72" s="531">
        <f t="shared" si="25"/>
        <v>0</v>
      </c>
      <c r="J72" s="511"/>
      <c r="K72" s="532"/>
      <c r="L72" s="533">
        <f t="shared" si="23"/>
        <v>0</v>
      </c>
      <c r="M72" s="532"/>
      <c r="N72" s="533">
        <f t="shared" si="10"/>
        <v>0</v>
      </c>
      <c r="O72" s="533">
        <f t="shared" si="11"/>
        <v>0</v>
      </c>
      <c r="P72" s="272"/>
    </row>
    <row r="73" spans="2:16">
      <c r="C73" s="374" t="s">
        <v>78</v>
      </c>
      <c r="D73" s="375"/>
      <c r="E73" s="375">
        <f>SUM(E17:E72)</f>
        <v>23215.779999999988</v>
      </c>
      <c r="F73" s="375"/>
      <c r="G73" s="375">
        <f>SUM(G17:G72)</f>
        <v>89305.038497078946</v>
      </c>
      <c r="H73" s="375">
        <f>SUM(H17:H72)</f>
        <v>89305.038497078946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2:16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2:16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2:16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2:16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272"/>
      <c r="P77" s="272"/>
    </row>
    <row r="78" spans="2:16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2:16"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  <c r="O79" s="269"/>
      <c r="P79" s="269"/>
    </row>
    <row r="80" spans="2:16" ht="18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6">
      <c r="B81" s="269"/>
      <c r="C81" s="340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6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</row>
    <row r="83" spans="1:16" ht="20.25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451" t="str">
        <f ca="1">P1</f>
        <v>SWEPCO Project 49 of 75</v>
      </c>
    </row>
    <row r="84" spans="1:16" ht="18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538" t="s">
        <v>128</v>
      </c>
    </row>
    <row r="85" spans="1:16" ht="18.7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</row>
    <row r="86" spans="1:16" ht="15.75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2022</v>
      </c>
      <c r="M86" s="541" t="s">
        <v>9</v>
      </c>
      <c r="N86" s="542" t="s">
        <v>159</v>
      </c>
      <c r="O86" s="543" t="s">
        <v>11</v>
      </c>
      <c r="P86" s="269"/>
    </row>
    <row r="87" spans="1:16" ht="1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391</v>
      </c>
      <c r="M87" s="546">
        <f>IF(J92&lt;D11,0,VLOOKUP(J92,C17:O72,9))</f>
        <v>2486.7942306042569</v>
      </c>
      <c r="N87" s="546">
        <f>IF(J92&lt;D11,0,VLOOKUP(J92,C17:O72,11))</f>
        <v>2486.7942306042569</v>
      </c>
      <c r="O87" s="547">
        <f>+N87-M87</f>
        <v>0</v>
      </c>
      <c r="P87" s="269"/>
    </row>
    <row r="88" spans="1:16" ht="15.75">
      <c r="C88" s="274"/>
      <c r="D88" s="537" t="str">
        <f>S.048!D90</f>
        <v xml:space="preserve">***Sch. 11 recovery commenced in the 2015 rate year.  Beg Bal = to depreciated balance as of 1/1/15. *** </v>
      </c>
      <c r="E88" s="269"/>
      <c r="F88" s="269"/>
      <c r="G88" s="269"/>
      <c r="H88" s="269"/>
      <c r="I88" s="462"/>
      <c r="J88" s="462"/>
      <c r="K88" s="548"/>
      <c r="L88" s="549" t="s">
        <v>392</v>
      </c>
      <c r="M88" s="550">
        <f>IF(J92&lt;D11,0,VLOOKUP(J92,C99:P154,6))</f>
        <v>2735.6322797194844</v>
      </c>
      <c r="N88" s="550">
        <f>IF(J92&lt;D11,0,VLOOKUP(J92,C99:P154,7))</f>
        <v>2735.6322797194844</v>
      </c>
      <c r="O88" s="551">
        <f>+N88-M88</f>
        <v>0</v>
      </c>
      <c r="P88" s="269"/>
    </row>
    <row r="89" spans="1:16" ht="13.5" thickBot="1">
      <c r="C89" s="467" t="s">
        <v>84</v>
      </c>
      <c r="D89" s="552" t="str">
        <f>+D7</f>
        <v xml:space="preserve">SUGAR HILL 138/69KV TRANSFORMER CKT 1 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248.83804911522748</v>
      </c>
      <c r="N89" s="555">
        <f>+N88-N87</f>
        <v>248.83804911522748</v>
      </c>
      <c r="O89" s="556">
        <f>+O88-O87</f>
        <v>0</v>
      </c>
      <c r="P89" s="269"/>
    </row>
    <row r="90" spans="1:16" ht="13.5" thickBot="1">
      <c r="C90" s="534"/>
      <c r="D90" s="557" t="str">
        <f>D8</f>
        <v>DOES NOT MEET SPP $100,000 MINIMUM INVESTMENT FOR REGIONAL BPU SHARING.</v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</row>
    <row r="91" spans="1:16" ht="13.5" thickBot="1">
      <c r="A91" s="191"/>
      <c r="C91" s="558" t="s">
        <v>85</v>
      </c>
      <c r="D91" s="559" t="str">
        <f>+D9</f>
        <v>TP2004032</v>
      </c>
      <c r="E91" s="560"/>
      <c r="F91" s="560"/>
      <c r="G91" s="560"/>
      <c r="H91" s="560"/>
      <c r="I91" s="560"/>
      <c r="J91" s="560"/>
      <c r="K91" s="562"/>
      <c r="P91" s="481"/>
    </row>
    <row r="92" spans="1:16">
      <c r="C92" s="486" t="s">
        <v>51</v>
      </c>
      <c r="D92" s="628">
        <v>23216</v>
      </c>
      <c r="E92" s="340" t="s">
        <v>86</v>
      </c>
      <c r="H92" s="484"/>
      <c r="I92" s="484"/>
      <c r="J92" s="485">
        <f>+'SWE.WS.G.BPU.ATRR.True-up'!M16</f>
        <v>2022</v>
      </c>
      <c r="K92" s="480"/>
      <c r="L92" s="375" t="s">
        <v>87</v>
      </c>
      <c r="P92" s="272"/>
    </row>
    <row r="93" spans="1:16">
      <c r="C93" s="486" t="s">
        <v>54</v>
      </c>
      <c r="D93" s="563">
        <f>D11</f>
        <v>2010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</row>
    <row r="94" spans="1:16">
      <c r="C94" s="486" t="s">
        <v>56</v>
      </c>
      <c r="D94" s="563">
        <f>D12</f>
        <v>11</v>
      </c>
      <c r="E94" s="486" t="s">
        <v>57</v>
      </c>
      <c r="F94" s="484"/>
      <c r="G94" s="484"/>
      <c r="J94" s="490">
        <f>'SWE.WS.G.BPU.ATRR.True-up'!$F$81</f>
        <v>0.11351422637179906</v>
      </c>
      <c r="K94" s="425"/>
      <c r="L94" s="183" t="s">
        <v>88</v>
      </c>
      <c r="P94" s="272"/>
    </row>
    <row r="95" spans="1:16">
      <c r="C95" s="486" t="s">
        <v>59</v>
      </c>
      <c r="D95" s="488">
        <f>'SWE.WS.G.BPU.ATRR.True-up'!F$93</f>
        <v>41</v>
      </c>
      <c r="E95" s="486" t="s">
        <v>60</v>
      </c>
      <c r="F95" s="484"/>
      <c r="G95" s="484"/>
      <c r="J95" s="490">
        <f>IF(H87="",J94,'SWE.WS.G.BPU.ATRR.True-up'!$F$80)</f>
        <v>0.11351422637179906</v>
      </c>
      <c r="K95" s="324"/>
      <c r="L95" s="375" t="s">
        <v>61</v>
      </c>
      <c r="M95" s="324"/>
      <c r="N95" s="324"/>
      <c r="O95" s="324"/>
      <c r="P95" s="272"/>
    </row>
    <row r="96" spans="1:16" ht="13.5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566.2439024390244</v>
      </c>
      <c r="K96" s="375"/>
      <c r="L96" s="375"/>
      <c r="M96" s="375"/>
      <c r="N96" s="375"/>
      <c r="O96" s="375"/>
      <c r="P96" s="272"/>
    </row>
    <row r="97" spans="1:16" ht="38.25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388</v>
      </c>
      <c r="I97" s="495" t="s">
        <v>389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</row>
    <row r="98" spans="1:16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</row>
    <row r="99" spans="1:16">
      <c r="C99" s="507">
        <f>IF(D93= "","-",D93)</f>
        <v>2010</v>
      </c>
      <c r="D99" s="374"/>
      <c r="E99" s="524"/>
      <c r="F99" s="523"/>
      <c r="G99" s="603"/>
      <c r="H99" s="604"/>
      <c r="I99" s="605"/>
      <c r="J99" s="514"/>
      <c r="K99" s="514"/>
      <c r="L99" s="512"/>
      <c r="M99" s="513">
        <f t="shared" ref="M99:M130" si="28">IF(L99&lt;&gt;0,+H99-L99,0)</f>
        <v>0</v>
      </c>
      <c r="N99" s="512"/>
      <c r="O99" s="513">
        <f t="shared" ref="O99:O130" si="29">IF(N99&lt;&gt;0,+I99-N99,0)</f>
        <v>0</v>
      </c>
      <c r="P99" s="513">
        <f t="shared" ref="P99:P130" si="30">+O99-M99</f>
        <v>0</v>
      </c>
    </row>
    <row r="100" spans="1:16">
      <c r="B100" s="195" t="str">
        <f>IF(D100=F99,"","IU")</f>
        <v/>
      </c>
      <c r="C100" s="507">
        <f>IF(D93="","-",+C99+1)</f>
        <v>2011</v>
      </c>
      <c r="D100" s="374"/>
      <c r="E100" s="522"/>
      <c r="F100" s="523"/>
      <c r="G100" s="523"/>
      <c r="H100" s="526"/>
      <c r="I100" s="577"/>
      <c r="J100" s="514"/>
      <c r="K100" s="514"/>
      <c r="L100" s="518"/>
      <c r="M100" s="514">
        <f t="shared" si="28"/>
        <v>0</v>
      </c>
      <c r="N100" s="518"/>
      <c r="O100" s="514">
        <f t="shared" si="29"/>
        <v>0</v>
      </c>
      <c r="P100" s="514">
        <f t="shared" si="30"/>
        <v>0</v>
      </c>
    </row>
    <row r="101" spans="1:16">
      <c r="B101" s="195" t="str">
        <f t="shared" ref="B101:B154" si="31">IF(D101=F100,"","IU")</f>
        <v/>
      </c>
      <c r="C101" s="507">
        <f>IF(D93="","-",+C100+1)</f>
        <v>2012</v>
      </c>
      <c r="D101" s="374"/>
      <c r="E101" s="522"/>
      <c r="F101" s="523"/>
      <c r="G101" s="523"/>
      <c r="H101" s="526"/>
      <c r="I101" s="577"/>
      <c r="J101" s="514"/>
      <c r="K101" s="514"/>
      <c r="L101" s="518"/>
      <c r="M101" s="514">
        <f t="shared" si="28"/>
        <v>0</v>
      </c>
      <c r="N101" s="518"/>
      <c r="O101" s="514">
        <f t="shared" si="29"/>
        <v>0</v>
      </c>
      <c r="P101" s="514">
        <f t="shared" si="30"/>
        <v>0</v>
      </c>
    </row>
    <row r="102" spans="1:16">
      <c r="B102" s="195" t="str">
        <f t="shared" si="31"/>
        <v/>
      </c>
      <c r="C102" s="507">
        <f>IF(D93="","-",+C101+1)</f>
        <v>2013</v>
      </c>
      <c r="D102" s="374"/>
      <c r="E102" s="522"/>
      <c r="F102" s="523"/>
      <c r="G102" s="523"/>
      <c r="H102" s="526"/>
      <c r="I102" s="577"/>
      <c r="J102" s="514"/>
      <c r="K102" s="514"/>
      <c r="L102" s="518"/>
      <c r="M102" s="514">
        <f t="shared" si="28"/>
        <v>0</v>
      </c>
      <c r="N102" s="518"/>
      <c r="O102" s="514">
        <f t="shared" si="29"/>
        <v>0</v>
      </c>
      <c r="P102" s="514">
        <f t="shared" si="30"/>
        <v>0</v>
      </c>
    </row>
    <row r="103" spans="1:16">
      <c r="B103" s="195" t="str">
        <f t="shared" si="31"/>
        <v>IU</v>
      </c>
      <c r="C103" s="507">
        <f>IF(D93="","-",+C102+1)</f>
        <v>2014</v>
      </c>
      <c r="D103" s="629">
        <v>21465.383888888882</v>
      </c>
      <c r="E103" s="630">
        <v>511.0805687830686</v>
      </c>
      <c r="F103" s="631">
        <v>20954.303320105813</v>
      </c>
      <c r="G103" s="631">
        <v>21209.84360449735</v>
      </c>
      <c r="H103" s="633">
        <v>3305.8778604517456</v>
      </c>
      <c r="I103" s="634">
        <v>3305.8778604517456</v>
      </c>
      <c r="J103" s="514">
        <f>+I103-H103</f>
        <v>0</v>
      </c>
      <c r="K103" s="514"/>
      <c r="L103" s="518">
        <f t="shared" ref="L103:L109" si="32">+H103</f>
        <v>3305.8778604517456</v>
      </c>
      <c r="M103" s="514">
        <f t="shared" si="28"/>
        <v>0</v>
      </c>
      <c r="N103" s="518">
        <f t="shared" ref="N103:N109" si="33">+I103</f>
        <v>3305.8778604517456</v>
      </c>
      <c r="O103" s="514">
        <f t="shared" si="29"/>
        <v>0</v>
      </c>
      <c r="P103" s="514">
        <f t="shared" si="30"/>
        <v>0</v>
      </c>
    </row>
    <row r="104" spans="1:16">
      <c r="B104" s="195" t="str">
        <f t="shared" si="31"/>
        <v>IU</v>
      </c>
      <c r="C104" s="507">
        <f>IF(D93="","-",+C103+1)</f>
        <v>2015</v>
      </c>
      <c r="D104" s="629">
        <v>22704.919431216931</v>
      </c>
      <c r="E104" s="630">
        <v>539.90697674418607</v>
      </c>
      <c r="F104" s="631">
        <v>22165.012454472744</v>
      </c>
      <c r="G104" s="631">
        <v>22434.965942844836</v>
      </c>
      <c r="H104" s="633">
        <v>3388.0256404381366</v>
      </c>
      <c r="I104" s="634">
        <v>3388.0256404381366</v>
      </c>
      <c r="J104" s="514">
        <f>+I104-H104</f>
        <v>0</v>
      </c>
      <c r="K104" s="514"/>
      <c r="L104" s="518">
        <f t="shared" si="32"/>
        <v>3388.0256404381366</v>
      </c>
      <c r="M104" s="514">
        <f t="shared" ref="M104:M109" si="34">IF(L104&lt;&gt;0,+H104-L104,0)</f>
        <v>0</v>
      </c>
      <c r="N104" s="518">
        <f t="shared" si="33"/>
        <v>3388.0256404381366</v>
      </c>
      <c r="O104" s="514">
        <f>IF(N104&lt;&gt;0,+I104-N104,0)</f>
        <v>0</v>
      </c>
      <c r="P104" s="514">
        <f>+O104-M104</f>
        <v>0</v>
      </c>
    </row>
    <row r="105" spans="1:16">
      <c r="B105" s="195" t="str">
        <f t="shared" si="31"/>
        <v/>
      </c>
      <c r="C105" s="507">
        <f>IF(D93="","-",+C104+1)</f>
        <v>2016</v>
      </c>
      <c r="D105" s="629">
        <v>22165.012454472744</v>
      </c>
      <c r="E105" s="630">
        <v>552.76190476190482</v>
      </c>
      <c r="F105" s="631">
        <v>21612.25054971084</v>
      </c>
      <c r="G105" s="631">
        <v>21888.63150209179</v>
      </c>
      <c r="H105" s="633">
        <v>3211.6058800285246</v>
      </c>
      <c r="I105" s="634">
        <v>3211.6058800285246</v>
      </c>
      <c r="J105" s="514">
        <f t="shared" ref="J105:J154" si="35">+I105-H105</f>
        <v>0</v>
      </c>
      <c r="K105" s="514"/>
      <c r="L105" s="518">
        <f t="shared" si="32"/>
        <v>3211.6058800285246</v>
      </c>
      <c r="M105" s="514">
        <f t="shared" si="34"/>
        <v>0</v>
      </c>
      <c r="N105" s="518">
        <f t="shared" si="33"/>
        <v>3211.6058800285246</v>
      </c>
      <c r="O105" s="514">
        <f>IF(N105&lt;&gt;0,+I105-N105,0)</f>
        <v>0</v>
      </c>
      <c r="P105" s="514">
        <f>+O105-M105</f>
        <v>0</v>
      </c>
    </row>
    <row r="106" spans="1:16">
      <c r="B106" s="195" t="str">
        <f t="shared" si="31"/>
        <v/>
      </c>
      <c r="C106" s="507">
        <f>IF(D93="","-",+C105+1)</f>
        <v>2017</v>
      </c>
      <c r="D106" s="629">
        <v>21612.25054971084</v>
      </c>
      <c r="E106" s="630">
        <v>552.76190476190482</v>
      </c>
      <c r="F106" s="631">
        <v>21059.488644948935</v>
      </c>
      <c r="G106" s="631">
        <v>21335.869597329889</v>
      </c>
      <c r="H106" s="633">
        <v>2805.9275766929632</v>
      </c>
      <c r="I106" s="634">
        <v>2805.9275766929632</v>
      </c>
      <c r="J106" s="514">
        <f t="shared" si="35"/>
        <v>0</v>
      </c>
      <c r="K106" s="514"/>
      <c r="L106" s="518">
        <f t="shared" si="32"/>
        <v>2805.9275766929632</v>
      </c>
      <c r="M106" s="514">
        <f t="shared" si="34"/>
        <v>0</v>
      </c>
      <c r="N106" s="518">
        <f t="shared" si="33"/>
        <v>2805.9275766929632</v>
      </c>
      <c r="O106" s="514">
        <f>IF(N106&lt;&gt;0,+I106-N106,0)</f>
        <v>0</v>
      </c>
      <c r="P106" s="514">
        <f t="shared" si="30"/>
        <v>0</v>
      </c>
    </row>
    <row r="107" spans="1:16">
      <c r="B107" s="195" t="str">
        <f t="shared" si="31"/>
        <v/>
      </c>
      <c r="C107" s="507">
        <f>IF(D93="","-",+C106+1)</f>
        <v>2018</v>
      </c>
      <c r="D107" s="629">
        <v>21059.488644948935</v>
      </c>
      <c r="E107" s="630">
        <v>539.90697674418607</v>
      </c>
      <c r="F107" s="631">
        <v>20519.581668204748</v>
      </c>
      <c r="G107" s="631">
        <v>20789.535156576843</v>
      </c>
      <c r="H107" s="633">
        <v>2765.2301822595773</v>
      </c>
      <c r="I107" s="634">
        <v>2765.2301822595773</v>
      </c>
      <c r="J107" s="514">
        <f t="shared" si="35"/>
        <v>0</v>
      </c>
      <c r="K107" s="514"/>
      <c r="L107" s="518">
        <f t="shared" si="32"/>
        <v>2765.2301822595773</v>
      </c>
      <c r="M107" s="514">
        <f t="shared" si="34"/>
        <v>0</v>
      </c>
      <c r="N107" s="518">
        <f t="shared" si="33"/>
        <v>2765.2301822595773</v>
      </c>
      <c r="O107" s="514">
        <f t="shared" si="29"/>
        <v>0</v>
      </c>
      <c r="P107" s="514">
        <f t="shared" si="30"/>
        <v>0</v>
      </c>
    </row>
    <row r="108" spans="1:16">
      <c r="B108" s="195" t="str">
        <f t="shared" si="31"/>
        <v/>
      </c>
      <c r="C108" s="507">
        <f>IF(D93="","-",+C107+1)</f>
        <v>2019</v>
      </c>
      <c r="D108" s="629">
        <v>20519.581668204748</v>
      </c>
      <c r="E108" s="630">
        <v>539.90697674418607</v>
      </c>
      <c r="F108" s="631">
        <v>19979.674691460561</v>
      </c>
      <c r="G108" s="631">
        <v>20249.628179832653</v>
      </c>
      <c r="H108" s="633">
        <v>2707.4382443870068</v>
      </c>
      <c r="I108" s="634">
        <v>2707.4382443870068</v>
      </c>
      <c r="J108" s="514">
        <f t="shared" si="35"/>
        <v>0</v>
      </c>
      <c r="K108" s="514"/>
      <c r="L108" s="518">
        <f t="shared" si="32"/>
        <v>2707.4382443870068</v>
      </c>
      <c r="M108" s="514">
        <f t="shared" si="34"/>
        <v>0</v>
      </c>
      <c r="N108" s="518">
        <f t="shared" si="33"/>
        <v>2707.4382443870068</v>
      </c>
      <c r="O108" s="514">
        <f t="shared" si="29"/>
        <v>0</v>
      </c>
      <c r="P108" s="514">
        <f t="shared" si="30"/>
        <v>0</v>
      </c>
    </row>
    <row r="109" spans="1:16">
      <c r="B109" s="195" t="str">
        <f t="shared" si="31"/>
        <v/>
      </c>
      <c r="C109" s="507">
        <f>IF(D93="","-",+C108+1)</f>
        <v>2020</v>
      </c>
      <c r="D109" s="629">
        <v>19979.674691460561</v>
      </c>
      <c r="E109" s="630">
        <v>552.76190476190482</v>
      </c>
      <c r="F109" s="631">
        <v>19426.912786698656</v>
      </c>
      <c r="G109" s="631">
        <v>19703.293739079607</v>
      </c>
      <c r="H109" s="633">
        <v>2672.3207251624854</v>
      </c>
      <c r="I109" s="634">
        <v>2672.3207251624854</v>
      </c>
      <c r="J109" s="514">
        <f t="shared" si="35"/>
        <v>0</v>
      </c>
      <c r="K109" s="514"/>
      <c r="L109" s="518">
        <f t="shared" si="32"/>
        <v>2672.3207251624854</v>
      </c>
      <c r="M109" s="514">
        <f t="shared" si="34"/>
        <v>0</v>
      </c>
      <c r="N109" s="518">
        <f t="shared" si="33"/>
        <v>2672.3207251624854</v>
      </c>
      <c r="O109" s="514">
        <f t="shared" si="29"/>
        <v>0</v>
      </c>
      <c r="P109" s="514">
        <f t="shared" si="30"/>
        <v>0</v>
      </c>
    </row>
    <row r="110" spans="1:16">
      <c r="B110" s="195" t="str">
        <f t="shared" si="31"/>
        <v/>
      </c>
      <c r="C110" s="507">
        <f>IF(D93="","-",+C109+1)</f>
        <v>2021</v>
      </c>
      <c r="D110" s="629">
        <v>19426.912786698656</v>
      </c>
      <c r="E110" s="630">
        <v>566.2439024390244</v>
      </c>
      <c r="F110" s="631">
        <v>18860.66888425963</v>
      </c>
      <c r="G110" s="631">
        <v>19143.790835479143</v>
      </c>
      <c r="H110" s="633">
        <v>2739.3365089519757</v>
      </c>
      <c r="I110" s="634">
        <v>2739.3365089519757</v>
      </c>
      <c r="J110" s="514">
        <f t="shared" si="35"/>
        <v>0</v>
      </c>
      <c r="K110" s="514"/>
      <c r="L110" s="518">
        <f t="shared" ref="L110" si="36">+H110</f>
        <v>2739.3365089519757</v>
      </c>
      <c r="M110" s="514">
        <f t="shared" ref="M110" si="37">IF(L110&lt;&gt;0,+H110-L110,0)</f>
        <v>0</v>
      </c>
      <c r="N110" s="518">
        <f t="shared" ref="N110" si="38">+I110</f>
        <v>2739.3365089519757</v>
      </c>
      <c r="O110" s="514">
        <f t="shared" ref="O110" si="39">IF(N110&lt;&gt;0,+I110-N110,0)</f>
        <v>0</v>
      </c>
      <c r="P110" s="514">
        <f t="shared" ref="P110" si="40">+O110-M110</f>
        <v>0</v>
      </c>
    </row>
    <row r="111" spans="1:16">
      <c r="B111" s="195" t="str">
        <f t="shared" si="31"/>
        <v/>
      </c>
      <c r="C111" s="673">
        <f>IF(D93="","-",+C110+1)</f>
        <v>2022</v>
      </c>
      <c r="D111" s="374">
        <v>18860.66888425963</v>
      </c>
      <c r="E111" s="522">
        <v>552.76190476190482</v>
      </c>
      <c r="F111" s="523">
        <v>18307.906979497726</v>
      </c>
      <c r="G111" s="523">
        <v>18584.28793187868</v>
      </c>
      <c r="H111" s="526">
        <v>2735.6322797194844</v>
      </c>
      <c r="I111" s="577">
        <v>2735.6322797194844</v>
      </c>
      <c r="J111" s="514">
        <f t="shared" si="35"/>
        <v>0</v>
      </c>
      <c r="K111" s="514"/>
      <c r="L111" s="525"/>
      <c r="M111" s="514">
        <f t="shared" si="28"/>
        <v>0</v>
      </c>
      <c r="N111" s="525"/>
      <c r="O111" s="514">
        <f t="shared" si="29"/>
        <v>0</v>
      </c>
      <c r="P111" s="514">
        <f t="shared" si="30"/>
        <v>0</v>
      </c>
    </row>
    <row r="112" spans="1:16">
      <c r="B112" s="195" t="str">
        <f t="shared" si="31"/>
        <v/>
      </c>
      <c r="C112" s="507">
        <f>IF(D93="","-",+C111+1)</f>
        <v>2023</v>
      </c>
      <c r="D112" s="374">
        <f>IF(F111+SUM(E$99:E111)=D$92,F111,D$92-SUM(E$99:E111))</f>
        <v>18307.906979497726</v>
      </c>
      <c r="E112" s="522">
        <f t="shared" ref="E112:E154" si="41">IF(+$J$96&lt;F111,$J$96,D112)</f>
        <v>566.2439024390244</v>
      </c>
      <c r="F112" s="523">
        <f t="shared" ref="F112:F154" si="42">+D112-E112</f>
        <v>17741.6630770587</v>
      </c>
      <c r="G112" s="523">
        <f t="shared" ref="G112:G154" si="43">+(F112+D112)/2</f>
        <v>18024.785028278213</v>
      </c>
      <c r="H112" s="526">
        <f t="shared" ref="H112:H154" si="44">+J$94*G112+E112</f>
        <v>2612.3134304420118</v>
      </c>
      <c r="I112" s="577">
        <f t="shared" ref="I112:I154" si="45">+J$95*G112+E112</f>
        <v>2612.3134304420118</v>
      </c>
      <c r="J112" s="514">
        <f t="shared" si="35"/>
        <v>0</v>
      </c>
      <c r="K112" s="514"/>
      <c r="L112" s="525"/>
      <c r="M112" s="514">
        <f t="shared" si="28"/>
        <v>0</v>
      </c>
      <c r="N112" s="525"/>
      <c r="O112" s="514">
        <f t="shared" si="29"/>
        <v>0</v>
      </c>
      <c r="P112" s="514">
        <f t="shared" si="30"/>
        <v>0</v>
      </c>
    </row>
    <row r="113" spans="2:16">
      <c r="B113" s="195" t="str">
        <f t="shared" si="31"/>
        <v/>
      </c>
      <c r="C113" s="507">
        <f>IF(D93="","-",+C112+1)</f>
        <v>2024</v>
      </c>
      <c r="D113" s="374">
        <f>IF(F112+SUM(E$99:E112)=D$92,F112,D$92-SUM(E$99:E112))</f>
        <v>17741.6630770587</v>
      </c>
      <c r="E113" s="522">
        <f t="shared" si="41"/>
        <v>566.2439024390244</v>
      </c>
      <c r="F113" s="523">
        <f t="shared" si="42"/>
        <v>17175.419174619674</v>
      </c>
      <c r="G113" s="523">
        <f t="shared" si="43"/>
        <v>17458.541125839187</v>
      </c>
      <c r="H113" s="526">
        <f t="shared" si="44"/>
        <v>2548.0366919188973</v>
      </c>
      <c r="I113" s="577">
        <f t="shared" si="45"/>
        <v>2548.0366919188973</v>
      </c>
      <c r="J113" s="514">
        <f t="shared" si="35"/>
        <v>0</v>
      </c>
      <c r="K113" s="514"/>
      <c r="L113" s="525"/>
      <c r="M113" s="514">
        <f t="shared" si="28"/>
        <v>0</v>
      </c>
      <c r="N113" s="525"/>
      <c r="O113" s="514">
        <f t="shared" si="29"/>
        <v>0</v>
      </c>
      <c r="P113" s="514">
        <f t="shared" si="30"/>
        <v>0</v>
      </c>
    </row>
    <row r="114" spans="2:16">
      <c r="B114" s="195" t="str">
        <f t="shared" si="31"/>
        <v/>
      </c>
      <c r="C114" s="507">
        <f>IF(D93="","-",+C113+1)</f>
        <v>2025</v>
      </c>
      <c r="D114" s="374">
        <f>IF(F113+SUM(E$99:E113)=D$92,F113,D$92-SUM(E$99:E113))</f>
        <v>17175.419174619674</v>
      </c>
      <c r="E114" s="522">
        <f t="shared" si="41"/>
        <v>566.2439024390244</v>
      </c>
      <c r="F114" s="523">
        <f t="shared" si="42"/>
        <v>16609.175272180648</v>
      </c>
      <c r="G114" s="523">
        <f t="shared" si="43"/>
        <v>16892.297223400161</v>
      </c>
      <c r="H114" s="526">
        <f t="shared" si="44"/>
        <v>2483.7599533957828</v>
      </c>
      <c r="I114" s="577">
        <f t="shared" si="45"/>
        <v>2483.7599533957828</v>
      </c>
      <c r="J114" s="514">
        <f t="shared" si="35"/>
        <v>0</v>
      </c>
      <c r="K114" s="514"/>
      <c r="L114" s="525"/>
      <c r="M114" s="514">
        <f t="shared" si="28"/>
        <v>0</v>
      </c>
      <c r="N114" s="525"/>
      <c r="O114" s="514">
        <f t="shared" si="29"/>
        <v>0</v>
      </c>
      <c r="P114" s="514">
        <f t="shared" si="30"/>
        <v>0</v>
      </c>
    </row>
    <row r="115" spans="2:16">
      <c r="B115" s="195" t="str">
        <f t="shared" si="31"/>
        <v/>
      </c>
      <c r="C115" s="507">
        <f>IF(D93="","-",+C114+1)</f>
        <v>2026</v>
      </c>
      <c r="D115" s="374">
        <f>IF(F114+SUM(E$99:E114)=D$92,F114,D$92-SUM(E$99:E114))</f>
        <v>16609.175272180648</v>
      </c>
      <c r="E115" s="522">
        <f t="shared" si="41"/>
        <v>566.2439024390244</v>
      </c>
      <c r="F115" s="523">
        <f t="shared" si="42"/>
        <v>16042.931369741624</v>
      </c>
      <c r="G115" s="523">
        <f t="shared" si="43"/>
        <v>16326.053320961135</v>
      </c>
      <c r="H115" s="526">
        <f t="shared" si="44"/>
        <v>2419.4832148726682</v>
      </c>
      <c r="I115" s="577">
        <f t="shared" si="45"/>
        <v>2419.4832148726682</v>
      </c>
      <c r="J115" s="514">
        <f t="shared" si="35"/>
        <v>0</v>
      </c>
      <c r="K115" s="514"/>
      <c r="L115" s="525"/>
      <c r="M115" s="514">
        <f t="shared" si="28"/>
        <v>0</v>
      </c>
      <c r="N115" s="525"/>
      <c r="O115" s="514">
        <f t="shared" si="29"/>
        <v>0</v>
      </c>
      <c r="P115" s="514">
        <f t="shared" si="30"/>
        <v>0</v>
      </c>
    </row>
    <row r="116" spans="2:16">
      <c r="B116" s="195" t="str">
        <f t="shared" si="31"/>
        <v/>
      </c>
      <c r="C116" s="507">
        <f>IF(D93="","-",+C115+1)</f>
        <v>2027</v>
      </c>
      <c r="D116" s="374">
        <f>IF(F115+SUM(E$99:E115)=D$92,F115,D$92-SUM(E$99:E115))</f>
        <v>16042.931369741624</v>
      </c>
      <c r="E116" s="522">
        <f t="shared" si="41"/>
        <v>566.2439024390244</v>
      </c>
      <c r="F116" s="523">
        <f t="shared" si="42"/>
        <v>15476.6874673026</v>
      </c>
      <c r="G116" s="523">
        <f t="shared" si="43"/>
        <v>15759.809418522113</v>
      </c>
      <c r="H116" s="526">
        <f t="shared" si="44"/>
        <v>2355.2064763495546</v>
      </c>
      <c r="I116" s="577">
        <f t="shared" si="45"/>
        <v>2355.2064763495546</v>
      </c>
      <c r="J116" s="514">
        <f t="shared" si="35"/>
        <v>0</v>
      </c>
      <c r="K116" s="514"/>
      <c r="L116" s="525"/>
      <c r="M116" s="514">
        <f t="shared" si="28"/>
        <v>0</v>
      </c>
      <c r="N116" s="525"/>
      <c r="O116" s="514">
        <f t="shared" si="29"/>
        <v>0</v>
      </c>
      <c r="P116" s="514">
        <f t="shared" si="30"/>
        <v>0</v>
      </c>
    </row>
    <row r="117" spans="2:16">
      <c r="B117" s="195" t="str">
        <f t="shared" si="31"/>
        <v/>
      </c>
      <c r="C117" s="507">
        <f>IF(D93="","-",+C116+1)</f>
        <v>2028</v>
      </c>
      <c r="D117" s="374">
        <f>IF(F116+SUM(E$99:E116)=D$92,F116,D$92-SUM(E$99:E116))</f>
        <v>15476.6874673026</v>
      </c>
      <c r="E117" s="522">
        <f t="shared" si="41"/>
        <v>566.2439024390244</v>
      </c>
      <c r="F117" s="523">
        <f t="shared" si="42"/>
        <v>14910.443564863575</v>
      </c>
      <c r="G117" s="523">
        <f t="shared" si="43"/>
        <v>15193.565516083087</v>
      </c>
      <c r="H117" s="526">
        <f t="shared" si="44"/>
        <v>2290.92973782644</v>
      </c>
      <c r="I117" s="577">
        <f t="shared" si="45"/>
        <v>2290.92973782644</v>
      </c>
      <c r="J117" s="514">
        <f t="shared" si="35"/>
        <v>0</v>
      </c>
      <c r="K117" s="514"/>
      <c r="L117" s="525"/>
      <c r="M117" s="514">
        <f t="shared" si="28"/>
        <v>0</v>
      </c>
      <c r="N117" s="525"/>
      <c r="O117" s="514">
        <f t="shared" si="29"/>
        <v>0</v>
      </c>
      <c r="P117" s="514">
        <f t="shared" si="30"/>
        <v>0</v>
      </c>
    </row>
    <row r="118" spans="2:16">
      <c r="B118" s="195" t="str">
        <f t="shared" si="31"/>
        <v/>
      </c>
      <c r="C118" s="507">
        <f>IF(D93="","-",+C117+1)</f>
        <v>2029</v>
      </c>
      <c r="D118" s="374">
        <f>IF(F117+SUM(E$99:E117)=D$92,F117,D$92-SUM(E$99:E117))</f>
        <v>14910.443564863575</v>
      </c>
      <c r="E118" s="522">
        <f t="shared" si="41"/>
        <v>566.2439024390244</v>
      </c>
      <c r="F118" s="523">
        <f t="shared" si="42"/>
        <v>14344.199662424551</v>
      </c>
      <c r="G118" s="523">
        <f t="shared" si="43"/>
        <v>14627.321613644064</v>
      </c>
      <c r="H118" s="526">
        <f t="shared" si="44"/>
        <v>2226.6529993033255</v>
      </c>
      <c r="I118" s="577">
        <f t="shared" si="45"/>
        <v>2226.6529993033255</v>
      </c>
      <c r="J118" s="514">
        <f t="shared" si="35"/>
        <v>0</v>
      </c>
      <c r="K118" s="514"/>
      <c r="L118" s="525"/>
      <c r="M118" s="514">
        <f t="shared" si="28"/>
        <v>0</v>
      </c>
      <c r="N118" s="525"/>
      <c r="O118" s="514">
        <f t="shared" si="29"/>
        <v>0</v>
      </c>
      <c r="P118" s="514">
        <f t="shared" si="30"/>
        <v>0</v>
      </c>
    </row>
    <row r="119" spans="2:16">
      <c r="B119" s="195" t="str">
        <f t="shared" si="31"/>
        <v/>
      </c>
      <c r="C119" s="507">
        <f>IF(D93="","-",+C118+1)</f>
        <v>2030</v>
      </c>
      <c r="D119" s="374">
        <f>IF(F118+SUM(E$99:E118)=D$92,F118,D$92-SUM(E$99:E118))</f>
        <v>14344.199662424551</v>
      </c>
      <c r="E119" s="522">
        <f t="shared" si="41"/>
        <v>566.2439024390244</v>
      </c>
      <c r="F119" s="523">
        <f t="shared" si="42"/>
        <v>13777.955759985527</v>
      </c>
      <c r="G119" s="523">
        <f t="shared" si="43"/>
        <v>14061.077711205038</v>
      </c>
      <c r="H119" s="526">
        <f t="shared" si="44"/>
        <v>2162.3762607802114</v>
      </c>
      <c r="I119" s="577">
        <f t="shared" si="45"/>
        <v>2162.3762607802114</v>
      </c>
      <c r="J119" s="514">
        <f t="shared" si="35"/>
        <v>0</v>
      </c>
      <c r="K119" s="514"/>
      <c r="L119" s="525"/>
      <c r="M119" s="514">
        <f t="shared" si="28"/>
        <v>0</v>
      </c>
      <c r="N119" s="525"/>
      <c r="O119" s="514">
        <f t="shared" si="29"/>
        <v>0</v>
      </c>
      <c r="P119" s="514">
        <f t="shared" si="30"/>
        <v>0</v>
      </c>
    </row>
    <row r="120" spans="2:16">
      <c r="B120" s="195" t="str">
        <f t="shared" si="31"/>
        <v/>
      </c>
      <c r="C120" s="507">
        <f>IF(D93="","-",+C119+1)</f>
        <v>2031</v>
      </c>
      <c r="D120" s="374">
        <f>IF(F119+SUM(E$99:E119)=D$92,F119,D$92-SUM(E$99:E119))</f>
        <v>13777.955759985527</v>
      </c>
      <c r="E120" s="522">
        <f t="shared" si="41"/>
        <v>566.2439024390244</v>
      </c>
      <c r="F120" s="523">
        <f t="shared" si="42"/>
        <v>13211.711857546503</v>
      </c>
      <c r="G120" s="523">
        <f t="shared" si="43"/>
        <v>13494.833808766016</v>
      </c>
      <c r="H120" s="526">
        <f t="shared" si="44"/>
        <v>2098.0995222570973</v>
      </c>
      <c r="I120" s="577">
        <f t="shared" si="45"/>
        <v>2098.0995222570973</v>
      </c>
      <c r="J120" s="514">
        <f t="shared" si="35"/>
        <v>0</v>
      </c>
      <c r="K120" s="514"/>
      <c r="L120" s="525"/>
      <c r="M120" s="514">
        <f t="shared" si="28"/>
        <v>0</v>
      </c>
      <c r="N120" s="525"/>
      <c r="O120" s="514">
        <f t="shared" si="29"/>
        <v>0</v>
      </c>
      <c r="P120" s="514">
        <f t="shared" si="30"/>
        <v>0</v>
      </c>
    </row>
    <row r="121" spans="2:16">
      <c r="B121" s="195" t="str">
        <f t="shared" si="31"/>
        <v/>
      </c>
      <c r="C121" s="507">
        <f>IF(D93="","-",+C120+1)</f>
        <v>2032</v>
      </c>
      <c r="D121" s="374">
        <f>IF(F120+SUM(E$99:E120)=D$92,F120,D$92-SUM(E$99:E120))</f>
        <v>13211.711857546503</v>
      </c>
      <c r="E121" s="522">
        <f t="shared" si="41"/>
        <v>566.2439024390244</v>
      </c>
      <c r="F121" s="523">
        <f t="shared" si="42"/>
        <v>12645.467955107479</v>
      </c>
      <c r="G121" s="523">
        <f t="shared" si="43"/>
        <v>12928.58990632699</v>
      </c>
      <c r="H121" s="526">
        <f t="shared" si="44"/>
        <v>2033.8227837339828</v>
      </c>
      <c r="I121" s="577">
        <f t="shared" si="45"/>
        <v>2033.8227837339828</v>
      </c>
      <c r="J121" s="514">
        <f t="shared" si="35"/>
        <v>0</v>
      </c>
      <c r="K121" s="514"/>
      <c r="L121" s="525"/>
      <c r="M121" s="514">
        <f t="shared" si="28"/>
        <v>0</v>
      </c>
      <c r="N121" s="525"/>
      <c r="O121" s="514">
        <f t="shared" si="29"/>
        <v>0</v>
      </c>
      <c r="P121" s="514">
        <f t="shared" si="30"/>
        <v>0</v>
      </c>
    </row>
    <row r="122" spans="2:16">
      <c r="B122" s="195" t="str">
        <f t="shared" si="31"/>
        <v/>
      </c>
      <c r="C122" s="507">
        <f>IF(D93="","-",+C121+1)</f>
        <v>2033</v>
      </c>
      <c r="D122" s="374">
        <f>IF(F121+SUM(E$99:E121)=D$92,F121,D$92-SUM(E$99:E121))</f>
        <v>12645.467955107479</v>
      </c>
      <c r="E122" s="522">
        <f t="shared" si="41"/>
        <v>566.2439024390244</v>
      </c>
      <c r="F122" s="523">
        <f t="shared" si="42"/>
        <v>12079.224052668455</v>
      </c>
      <c r="G122" s="523">
        <f t="shared" si="43"/>
        <v>12362.346003887968</v>
      </c>
      <c r="H122" s="526">
        <f t="shared" si="44"/>
        <v>1969.5460452108687</v>
      </c>
      <c r="I122" s="577">
        <f t="shared" si="45"/>
        <v>1969.5460452108687</v>
      </c>
      <c r="J122" s="514">
        <f t="shared" si="35"/>
        <v>0</v>
      </c>
      <c r="K122" s="514"/>
      <c r="L122" s="525"/>
      <c r="M122" s="514">
        <f t="shared" si="28"/>
        <v>0</v>
      </c>
      <c r="N122" s="525"/>
      <c r="O122" s="514">
        <f t="shared" si="29"/>
        <v>0</v>
      </c>
      <c r="P122" s="514">
        <f t="shared" si="30"/>
        <v>0</v>
      </c>
    </row>
    <row r="123" spans="2:16">
      <c r="B123" s="195" t="str">
        <f t="shared" si="31"/>
        <v/>
      </c>
      <c r="C123" s="507">
        <f>IF(D93="","-",+C122+1)</f>
        <v>2034</v>
      </c>
      <c r="D123" s="374">
        <f>IF(F122+SUM(E$99:E122)=D$92,F122,D$92-SUM(E$99:E122))</f>
        <v>12079.224052668455</v>
      </c>
      <c r="E123" s="522">
        <f t="shared" si="41"/>
        <v>566.2439024390244</v>
      </c>
      <c r="F123" s="523">
        <f t="shared" si="42"/>
        <v>11512.98015022943</v>
      </c>
      <c r="G123" s="523">
        <f t="shared" si="43"/>
        <v>11796.102101448942</v>
      </c>
      <c r="H123" s="526">
        <f t="shared" si="44"/>
        <v>1905.2693066877541</v>
      </c>
      <c r="I123" s="577">
        <f t="shared" si="45"/>
        <v>1905.2693066877541</v>
      </c>
      <c r="J123" s="514">
        <f t="shared" si="35"/>
        <v>0</v>
      </c>
      <c r="K123" s="514"/>
      <c r="L123" s="525"/>
      <c r="M123" s="514">
        <f t="shared" si="28"/>
        <v>0</v>
      </c>
      <c r="N123" s="525"/>
      <c r="O123" s="514">
        <f t="shared" si="29"/>
        <v>0</v>
      </c>
      <c r="P123" s="514">
        <f t="shared" si="30"/>
        <v>0</v>
      </c>
    </row>
    <row r="124" spans="2:16">
      <c r="B124" s="195" t="str">
        <f t="shared" si="31"/>
        <v/>
      </c>
      <c r="C124" s="507">
        <f>IF(D93="","-",+C123+1)</f>
        <v>2035</v>
      </c>
      <c r="D124" s="374">
        <f>IF(F123+SUM(E$99:E123)=D$92,F123,D$92-SUM(E$99:E123))</f>
        <v>11512.98015022943</v>
      </c>
      <c r="E124" s="522">
        <f t="shared" si="41"/>
        <v>566.2439024390244</v>
      </c>
      <c r="F124" s="523">
        <f t="shared" si="42"/>
        <v>10946.736247790406</v>
      </c>
      <c r="G124" s="523">
        <f t="shared" si="43"/>
        <v>11229.858199009919</v>
      </c>
      <c r="H124" s="526">
        <f t="shared" si="44"/>
        <v>1840.99256816464</v>
      </c>
      <c r="I124" s="577">
        <f t="shared" si="45"/>
        <v>1840.99256816464</v>
      </c>
      <c r="J124" s="514">
        <f t="shared" si="35"/>
        <v>0</v>
      </c>
      <c r="K124" s="514"/>
      <c r="L124" s="525"/>
      <c r="M124" s="514">
        <f t="shared" si="28"/>
        <v>0</v>
      </c>
      <c r="N124" s="525"/>
      <c r="O124" s="514">
        <f t="shared" si="29"/>
        <v>0</v>
      </c>
      <c r="P124" s="514">
        <f t="shared" si="30"/>
        <v>0</v>
      </c>
    </row>
    <row r="125" spans="2:16">
      <c r="B125" s="195" t="str">
        <f t="shared" si="31"/>
        <v/>
      </c>
      <c r="C125" s="507">
        <f>IF(D93="","-",+C124+1)</f>
        <v>2036</v>
      </c>
      <c r="D125" s="374">
        <f>IF(F124+SUM(E$99:E124)=D$92,F124,D$92-SUM(E$99:E124))</f>
        <v>10946.736247790406</v>
      </c>
      <c r="E125" s="522">
        <f t="shared" si="41"/>
        <v>566.2439024390244</v>
      </c>
      <c r="F125" s="523">
        <f t="shared" si="42"/>
        <v>10380.492345351382</v>
      </c>
      <c r="G125" s="523">
        <f t="shared" si="43"/>
        <v>10663.614296570893</v>
      </c>
      <c r="H125" s="526">
        <f t="shared" si="44"/>
        <v>1776.7158296415255</v>
      </c>
      <c r="I125" s="577">
        <f t="shared" si="45"/>
        <v>1776.7158296415255</v>
      </c>
      <c r="J125" s="514">
        <f t="shared" si="35"/>
        <v>0</v>
      </c>
      <c r="K125" s="514"/>
      <c r="L125" s="525"/>
      <c r="M125" s="514">
        <f t="shared" si="28"/>
        <v>0</v>
      </c>
      <c r="N125" s="525"/>
      <c r="O125" s="514">
        <f t="shared" si="29"/>
        <v>0</v>
      </c>
      <c r="P125" s="514">
        <f t="shared" si="30"/>
        <v>0</v>
      </c>
    </row>
    <row r="126" spans="2:16">
      <c r="B126" s="195" t="str">
        <f t="shared" si="31"/>
        <v/>
      </c>
      <c r="C126" s="507">
        <f>IF(D93="","-",+C125+1)</f>
        <v>2037</v>
      </c>
      <c r="D126" s="374">
        <f>IF(F125+SUM(E$99:E125)=D$92,F125,D$92-SUM(E$99:E125))</f>
        <v>10380.492345351382</v>
      </c>
      <c r="E126" s="522">
        <f t="shared" si="41"/>
        <v>566.2439024390244</v>
      </c>
      <c r="F126" s="523">
        <f t="shared" si="42"/>
        <v>9814.2484429123579</v>
      </c>
      <c r="G126" s="523">
        <f t="shared" si="43"/>
        <v>10097.370394131871</v>
      </c>
      <c r="H126" s="526">
        <f t="shared" si="44"/>
        <v>1712.4390911184114</v>
      </c>
      <c r="I126" s="577">
        <f t="shared" si="45"/>
        <v>1712.4390911184114</v>
      </c>
      <c r="J126" s="514">
        <f t="shared" si="35"/>
        <v>0</v>
      </c>
      <c r="K126" s="514"/>
      <c r="L126" s="525"/>
      <c r="M126" s="514">
        <f t="shared" si="28"/>
        <v>0</v>
      </c>
      <c r="N126" s="525"/>
      <c r="O126" s="514">
        <f t="shared" si="29"/>
        <v>0</v>
      </c>
      <c r="P126" s="514">
        <f t="shared" si="30"/>
        <v>0</v>
      </c>
    </row>
    <row r="127" spans="2:16">
      <c r="B127" s="195" t="str">
        <f t="shared" si="31"/>
        <v/>
      </c>
      <c r="C127" s="507">
        <f>IF(D93="","-",+C126+1)</f>
        <v>2038</v>
      </c>
      <c r="D127" s="374">
        <f>IF(F126+SUM(E$99:E126)=D$92,F126,D$92-SUM(E$99:E126))</f>
        <v>9814.2484429123579</v>
      </c>
      <c r="E127" s="522">
        <f t="shared" si="41"/>
        <v>566.2439024390244</v>
      </c>
      <c r="F127" s="523">
        <f t="shared" si="42"/>
        <v>9248.0045404733337</v>
      </c>
      <c r="G127" s="523">
        <f t="shared" si="43"/>
        <v>9531.1264916928449</v>
      </c>
      <c r="H127" s="526">
        <f t="shared" si="44"/>
        <v>1648.1623525952971</v>
      </c>
      <c r="I127" s="577">
        <f t="shared" si="45"/>
        <v>1648.1623525952971</v>
      </c>
      <c r="J127" s="514">
        <f t="shared" si="35"/>
        <v>0</v>
      </c>
      <c r="K127" s="514"/>
      <c r="L127" s="525"/>
      <c r="M127" s="514">
        <f t="shared" si="28"/>
        <v>0</v>
      </c>
      <c r="N127" s="525"/>
      <c r="O127" s="514">
        <f t="shared" si="29"/>
        <v>0</v>
      </c>
      <c r="P127" s="514">
        <f t="shared" si="30"/>
        <v>0</v>
      </c>
    </row>
    <row r="128" spans="2:16">
      <c r="B128" s="195" t="str">
        <f t="shared" si="31"/>
        <v/>
      </c>
      <c r="C128" s="507">
        <f>IF(D93="","-",+C127+1)</f>
        <v>2039</v>
      </c>
      <c r="D128" s="374">
        <f>IF(F127+SUM(E$99:E127)=D$92,F127,D$92-SUM(E$99:E127))</f>
        <v>9248.0045404733337</v>
      </c>
      <c r="E128" s="522">
        <f t="shared" si="41"/>
        <v>566.2439024390244</v>
      </c>
      <c r="F128" s="523">
        <f t="shared" si="42"/>
        <v>8681.7606380343095</v>
      </c>
      <c r="G128" s="523">
        <f t="shared" si="43"/>
        <v>8964.8825892538225</v>
      </c>
      <c r="H128" s="526">
        <f t="shared" si="44"/>
        <v>1583.8856140721828</v>
      </c>
      <c r="I128" s="577">
        <f t="shared" si="45"/>
        <v>1583.8856140721828</v>
      </c>
      <c r="J128" s="514">
        <f t="shared" si="35"/>
        <v>0</v>
      </c>
      <c r="K128" s="514"/>
      <c r="L128" s="525"/>
      <c r="M128" s="514">
        <f t="shared" si="28"/>
        <v>0</v>
      </c>
      <c r="N128" s="525"/>
      <c r="O128" s="514">
        <f t="shared" si="29"/>
        <v>0</v>
      </c>
      <c r="P128" s="514">
        <f t="shared" si="30"/>
        <v>0</v>
      </c>
    </row>
    <row r="129" spans="2:16">
      <c r="B129" s="195" t="str">
        <f t="shared" si="31"/>
        <v/>
      </c>
      <c r="C129" s="507">
        <f>IF(D93="","-",+C128+1)</f>
        <v>2040</v>
      </c>
      <c r="D129" s="374">
        <f>IF(F128+SUM(E$99:E128)=D$92,F128,D$92-SUM(E$99:E128))</f>
        <v>8681.7606380343095</v>
      </c>
      <c r="E129" s="522">
        <f t="shared" si="41"/>
        <v>566.2439024390244</v>
      </c>
      <c r="F129" s="523">
        <f t="shared" si="42"/>
        <v>8115.5167355952854</v>
      </c>
      <c r="G129" s="523">
        <f t="shared" si="43"/>
        <v>8398.6386868147965</v>
      </c>
      <c r="H129" s="526">
        <f t="shared" si="44"/>
        <v>1519.6088755490684</v>
      </c>
      <c r="I129" s="577">
        <f t="shared" si="45"/>
        <v>1519.6088755490684</v>
      </c>
      <c r="J129" s="514">
        <f t="shared" si="35"/>
        <v>0</v>
      </c>
      <c r="K129" s="514"/>
      <c r="L129" s="525"/>
      <c r="M129" s="514">
        <f t="shared" si="28"/>
        <v>0</v>
      </c>
      <c r="N129" s="525"/>
      <c r="O129" s="514">
        <f t="shared" si="29"/>
        <v>0</v>
      </c>
      <c r="P129" s="514">
        <f t="shared" si="30"/>
        <v>0</v>
      </c>
    </row>
    <row r="130" spans="2:16">
      <c r="B130" s="195" t="str">
        <f t="shared" si="31"/>
        <v/>
      </c>
      <c r="C130" s="507">
        <f>IF(D93="","-",+C129+1)</f>
        <v>2041</v>
      </c>
      <c r="D130" s="374">
        <f>IF(F129+SUM(E$99:E129)=D$92,F129,D$92-SUM(E$99:E129))</f>
        <v>8115.5167355952854</v>
      </c>
      <c r="E130" s="522">
        <f t="shared" si="41"/>
        <v>566.2439024390244</v>
      </c>
      <c r="F130" s="523">
        <f t="shared" si="42"/>
        <v>7549.2728331562612</v>
      </c>
      <c r="G130" s="523">
        <f t="shared" si="43"/>
        <v>7832.3947843757733</v>
      </c>
      <c r="H130" s="526">
        <f t="shared" si="44"/>
        <v>1455.3321370259541</v>
      </c>
      <c r="I130" s="577">
        <f t="shared" si="45"/>
        <v>1455.3321370259541</v>
      </c>
      <c r="J130" s="514">
        <f t="shared" si="35"/>
        <v>0</v>
      </c>
      <c r="K130" s="514"/>
      <c r="L130" s="525"/>
      <c r="M130" s="514">
        <f t="shared" si="28"/>
        <v>0</v>
      </c>
      <c r="N130" s="525"/>
      <c r="O130" s="514">
        <f t="shared" si="29"/>
        <v>0</v>
      </c>
      <c r="P130" s="514">
        <f t="shared" si="30"/>
        <v>0</v>
      </c>
    </row>
    <row r="131" spans="2:16">
      <c r="B131" s="195" t="str">
        <f t="shared" si="31"/>
        <v/>
      </c>
      <c r="C131" s="507">
        <f>IF(D93="","-",+C130+1)</f>
        <v>2042</v>
      </c>
      <c r="D131" s="374">
        <f>IF(F130+SUM(E$99:E130)=D$92,F130,D$92-SUM(E$99:E130))</f>
        <v>7549.2728331562612</v>
      </c>
      <c r="E131" s="522">
        <f t="shared" si="41"/>
        <v>566.2439024390244</v>
      </c>
      <c r="F131" s="523">
        <f t="shared" si="42"/>
        <v>6983.028930717237</v>
      </c>
      <c r="G131" s="523">
        <f t="shared" si="43"/>
        <v>7266.1508819367491</v>
      </c>
      <c r="H131" s="526">
        <f t="shared" si="44"/>
        <v>1391.05539850284</v>
      </c>
      <c r="I131" s="577">
        <f t="shared" si="45"/>
        <v>1391.05539850284</v>
      </c>
      <c r="J131" s="514">
        <f t="shared" si="35"/>
        <v>0</v>
      </c>
      <c r="K131" s="514"/>
      <c r="L131" s="525"/>
      <c r="M131" s="514">
        <f t="shared" ref="M131:M154" si="46">IF(L541&lt;&gt;0,+H541-L541,0)</f>
        <v>0</v>
      </c>
      <c r="N131" s="525"/>
      <c r="O131" s="514">
        <f t="shared" ref="O131:O154" si="47">IF(N541&lt;&gt;0,+I541-N541,0)</f>
        <v>0</v>
      </c>
      <c r="P131" s="514">
        <f t="shared" ref="P131:P154" si="48">+O541-M541</f>
        <v>0</v>
      </c>
    </row>
    <row r="132" spans="2:16">
      <c r="B132" s="195" t="str">
        <f t="shared" si="31"/>
        <v/>
      </c>
      <c r="C132" s="507">
        <f>IF(D93="","-",+C131+1)</f>
        <v>2043</v>
      </c>
      <c r="D132" s="374">
        <f>IF(F131+SUM(E$99:E131)=D$92,F131,D$92-SUM(E$99:E131))</f>
        <v>6983.028930717237</v>
      </c>
      <c r="E132" s="522">
        <f t="shared" si="41"/>
        <v>566.2439024390244</v>
      </c>
      <c r="F132" s="523">
        <f t="shared" si="42"/>
        <v>6416.7850282782128</v>
      </c>
      <c r="G132" s="523">
        <f t="shared" si="43"/>
        <v>6699.9069794977249</v>
      </c>
      <c r="H132" s="526">
        <f t="shared" si="44"/>
        <v>1326.7786599797255</v>
      </c>
      <c r="I132" s="577">
        <f t="shared" si="45"/>
        <v>1326.7786599797255</v>
      </c>
      <c r="J132" s="514">
        <f t="shared" si="35"/>
        <v>0</v>
      </c>
      <c r="K132" s="514"/>
      <c r="L132" s="525"/>
      <c r="M132" s="514">
        <f t="shared" si="46"/>
        <v>0</v>
      </c>
      <c r="N132" s="525"/>
      <c r="O132" s="514">
        <f t="shared" si="47"/>
        <v>0</v>
      </c>
      <c r="P132" s="514">
        <f t="shared" si="48"/>
        <v>0</v>
      </c>
    </row>
    <row r="133" spans="2:16">
      <c r="B133" s="195" t="str">
        <f t="shared" si="31"/>
        <v/>
      </c>
      <c r="C133" s="507">
        <f>IF(D93="","-",+C132+1)</f>
        <v>2044</v>
      </c>
      <c r="D133" s="374">
        <f>IF(F132+SUM(E$99:E132)=D$92,F132,D$92-SUM(E$99:E132))</f>
        <v>6416.7850282782128</v>
      </c>
      <c r="E133" s="522">
        <f t="shared" si="41"/>
        <v>566.2439024390244</v>
      </c>
      <c r="F133" s="523">
        <f t="shared" si="42"/>
        <v>5850.5411258391887</v>
      </c>
      <c r="G133" s="523">
        <f t="shared" si="43"/>
        <v>6133.6630770587008</v>
      </c>
      <c r="H133" s="526">
        <f t="shared" si="44"/>
        <v>1262.5019214566114</v>
      </c>
      <c r="I133" s="577">
        <f t="shared" si="45"/>
        <v>1262.5019214566114</v>
      </c>
      <c r="J133" s="514">
        <f t="shared" si="35"/>
        <v>0</v>
      </c>
      <c r="K133" s="514"/>
      <c r="L133" s="525"/>
      <c r="M133" s="514">
        <f t="shared" si="46"/>
        <v>0</v>
      </c>
      <c r="N133" s="525"/>
      <c r="O133" s="514">
        <f t="shared" si="47"/>
        <v>0</v>
      </c>
      <c r="P133" s="514">
        <f t="shared" si="48"/>
        <v>0</v>
      </c>
    </row>
    <row r="134" spans="2:16">
      <c r="B134" s="195" t="str">
        <f t="shared" si="31"/>
        <v/>
      </c>
      <c r="C134" s="507">
        <f>IF(D93="","-",+C133+1)</f>
        <v>2045</v>
      </c>
      <c r="D134" s="374">
        <f>IF(F133+SUM(E$99:E133)=D$92,F133,D$92-SUM(E$99:E133))</f>
        <v>5850.5411258391887</v>
      </c>
      <c r="E134" s="522">
        <f t="shared" si="41"/>
        <v>566.2439024390244</v>
      </c>
      <c r="F134" s="523">
        <f t="shared" si="42"/>
        <v>5284.2972234001645</v>
      </c>
      <c r="G134" s="523">
        <f t="shared" si="43"/>
        <v>5567.4191746196766</v>
      </c>
      <c r="H134" s="526">
        <f t="shared" si="44"/>
        <v>1198.2251829334971</v>
      </c>
      <c r="I134" s="577">
        <f t="shared" si="45"/>
        <v>1198.2251829334971</v>
      </c>
      <c r="J134" s="514">
        <f t="shared" si="35"/>
        <v>0</v>
      </c>
      <c r="K134" s="514"/>
      <c r="L134" s="525"/>
      <c r="M134" s="514">
        <f t="shared" si="46"/>
        <v>0</v>
      </c>
      <c r="N134" s="525"/>
      <c r="O134" s="514">
        <f t="shared" si="47"/>
        <v>0</v>
      </c>
      <c r="P134" s="514">
        <f t="shared" si="48"/>
        <v>0</v>
      </c>
    </row>
    <row r="135" spans="2:16">
      <c r="B135" s="195" t="str">
        <f t="shared" si="31"/>
        <v/>
      </c>
      <c r="C135" s="507">
        <f>IF(D93="","-",+C134+1)</f>
        <v>2046</v>
      </c>
      <c r="D135" s="374">
        <f>IF(F134+SUM(E$99:E134)=D$92,F134,D$92-SUM(E$99:E134))</f>
        <v>5284.2972234001645</v>
      </c>
      <c r="E135" s="522">
        <f t="shared" si="41"/>
        <v>566.2439024390244</v>
      </c>
      <c r="F135" s="523">
        <f t="shared" si="42"/>
        <v>4718.0533209611403</v>
      </c>
      <c r="G135" s="523">
        <f t="shared" si="43"/>
        <v>5001.1752721806524</v>
      </c>
      <c r="H135" s="526">
        <f t="shared" si="44"/>
        <v>1133.9484444103828</v>
      </c>
      <c r="I135" s="577">
        <f t="shared" si="45"/>
        <v>1133.9484444103828</v>
      </c>
      <c r="J135" s="514">
        <f t="shared" si="35"/>
        <v>0</v>
      </c>
      <c r="K135" s="514"/>
      <c r="L135" s="525"/>
      <c r="M135" s="514">
        <f t="shared" si="46"/>
        <v>0</v>
      </c>
      <c r="N135" s="525"/>
      <c r="O135" s="514">
        <f t="shared" si="47"/>
        <v>0</v>
      </c>
      <c r="P135" s="514">
        <f t="shared" si="48"/>
        <v>0</v>
      </c>
    </row>
    <row r="136" spans="2:16">
      <c r="B136" s="195" t="str">
        <f t="shared" si="31"/>
        <v/>
      </c>
      <c r="C136" s="507">
        <f>IF(D93="","-",+C135+1)</f>
        <v>2047</v>
      </c>
      <c r="D136" s="374">
        <f>IF(F135+SUM(E$99:E135)=D$92,F135,D$92-SUM(E$99:E135))</f>
        <v>4718.0533209611403</v>
      </c>
      <c r="E136" s="522">
        <f t="shared" si="41"/>
        <v>566.2439024390244</v>
      </c>
      <c r="F136" s="523">
        <f t="shared" si="42"/>
        <v>4151.8094185221162</v>
      </c>
      <c r="G136" s="523">
        <f t="shared" si="43"/>
        <v>4434.9313697416283</v>
      </c>
      <c r="H136" s="526">
        <f t="shared" si="44"/>
        <v>1069.6717058872684</v>
      </c>
      <c r="I136" s="577">
        <f t="shared" si="45"/>
        <v>1069.6717058872684</v>
      </c>
      <c r="J136" s="514">
        <f t="shared" si="35"/>
        <v>0</v>
      </c>
      <c r="K136" s="514"/>
      <c r="L136" s="525"/>
      <c r="M136" s="514">
        <f t="shared" si="46"/>
        <v>0</v>
      </c>
      <c r="N136" s="525"/>
      <c r="O136" s="514">
        <f t="shared" si="47"/>
        <v>0</v>
      </c>
      <c r="P136" s="514">
        <f t="shared" si="48"/>
        <v>0</v>
      </c>
    </row>
    <row r="137" spans="2:16">
      <c r="B137" s="195" t="str">
        <f t="shared" si="31"/>
        <v/>
      </c>
      <c r="C137" s="507">
        <f>IF(D93="","-",+C136+1)</f>
        <v>2048</v>
      </c>
      <c r="D137" s="374">
        <f>IF(F136+SUM(E$99:E136)=D$92,F136,D$92-SUM(E$99:E136))</f>
        <v>4151.8094185221162</v>
      </c>
      <c r="E137" s="522">
        <f t="shared" si="41"/>
        <v>566.2439024390244</v>
      </c>
      <c r="F137" s="523">
        <f t="shared" si="42"/>
        <v>3585.565516083092</v>
      </c>
      <c r="G137" s="523">
        <f t="shared" si="43"/>
        <v>3868.6874673026041</v>
      </c>
      <c r="H137" s="526">
        <f t="shared" si="44"/>
        <v>1005.3949673641541</v>
      </c>
      <c r="I137" s="577">
        <f t="shared" si="45"/>
        <v>1005.3949673641541</v>
      </c>
      <c r="J137" s="514">
        <f t="shared" si="35"/>
        <v>0</v>
      </c>
      <c r="K137" s="514"/>
      <c r="L137" s="525"/>
      <c r="M137" s="514">
        <f t="shared" si="46"/>
        <v>0</v>
      </c>
      <c r="N137" s="525"/>
      <c r="O137" s="514">
        <f t="shared" si="47"/>
        <v>0</v>
      </c>
      <c r="P137" s="514">
        <f t="shared" si="48"/>
        <v>0</v>
      </c>
    </row>
    <row r="138" spans="2:16">
      <c r="B138" s="195" t="str">
        <f t="shared" si="31"/>
        <v/>
      </c>
      <c r="C138" s="507">
        <f>IF(D93="","-",+C137+1)</f>
        <v>2049</v>
      </c>
      <c r="D138" s="374">
        <f>IF(F137+SUM(E$99:E137)=D$92,F137,D$92-SUM(E$99:E137))</f>
        <v>3585.565516083092</v>
      </c>
      <c r="E138" s="522">
        <f t="shared" si="41"/>
        <v>566.2439024390244</v>
      </c>
      <c r="F138" s="523">
        <f t="shared" si="42"/>
        <v>3019.3216136440678</v>
      </c>
      <c r="G138" s="523">
        <f t="shared" si="43"/>
        <v>3302.4435648635799</v>
      </c>
      <c r="H138" s="526">
        <f t="shared" si="44"/>
        <v>941.11822884103981</v>
      </c>
      <c r="I138" s="577">
        <f t="shared" si="45"/>
        <v>941.11822884103981</v>
      </c>
      <c r="J138" s="514">
        <f t="shared" si="35"/>
        <v>0</v>
      </c>
      <c r="K138" s="514"/>
      <c r="L138" s="525"/>
      <c r="M138" s="514">
        <f t="shared" si="46"/>
        <v>0</v>
      </c>
      <c r="N138" s="525"/>
      <c r="O138" s="514">
        <f t="shared" si="47"/>
        <v>0</v>
      </c>
      <c r="P138" s="514">
        <f t="shared" si="48"/>
        <v>0</v>
      </c>
    </row>
    <row r="139" spans="2:16">
      <c r="B139" s="195" t="str">
        <f t="shared" si="31"/>
        <v/>
      </c>
      <c r="C139" s="507">
        <f>IF(D93="","-",+C138+1)</f>
        <v>2050</v>
      </c>
      <c r="D139" s="374">
        <f>IF(F138+SUM(E$99:E138)=D$92,F138,D$92-SUM(E$99:E138))</f>
        <v>3019.3216136440678</v>
      </c>
      <c r="E139" s="522">
        <f t="shared" si="41"/>
        <v>566.2439024390244</v>
      </c>
      <c r="F139" s="523">
        <f t="shared" si="42"/>
        <v>2453.0777112050437</v>
      </c>
      <c r="G139" s="523">
        <f t="shared" si="43"/>
        <v>2736.1996624245558</v>
      </c>
      <c r="H139" s="526">
        <f t="shared" si="44"/>
        <v>876.8414903179256</v>
      </c>
      <c r="I139" s="577">
        <f t="shared" si="45"/>
        <v>876.8414903179256</v>
      </c>
      <c r="J139" s="514">
        <f t="shared" si="35"/>
        <v>0</v>
      </c>
      <c r="K139" s="514"/>
      <c r="L139" s="525"/>
      <c r="M139" s="514">
        <f t="shared" si="46"/>
        <v>0</v>
      </c>
      <c r="N139" s="525"/>
      <c r="O139" s="514">
        <f t="shared" si="47"/>
        <v>0</v>
      </c>
      <c r="P139" s="514">
        <f t="shared" si="48"/>
        <v>0</v>
      </c>
    </row>
    <row r="140" spans="2:16">
      <c r="B140" s="195" t="str">
        <f t="shared" si="31"/>
        <v/>
      </c>
      <c r="C140" s="507">
        <f>IF(D93="","-",+C139+1)</f>
        <v>2051</v>
      </c>
      <c r="D140" s="374">
        <f>IF(F139+SUM(E$99:E139)=D$92,F139,D$92-SUM(E$99:E139))</f>
        <v>2453.0777112050437</v>
      </c>
      <c r="E140" s="522">
        <f t="shared" si="41"/>
        <v>566.2439024390244</v>
      </c>
      <c r="F140" s="523">
        <f t="shared" si="42"/>
        <v>1886.8338087660193</v>
      </c>
      <c r="G140" s="523">
        <f t="shared" si="43"/>
        <v>2169.9557599855316</v>
      </c>
      <c r="H140" s="526">
        <f t="shared" si="44"/>
        <v>812.56475179481129</v>
      </c>
      <c r="I140" s="577">
        <f t="shared" si="45"/>
        <v>812.56475179481129</v>
      </c>
      <c r="J140" s="514">
        <f t="shared" si="35"/>
        <v>0</v>
      </c>
      <c r="K140" s="514"/>
      <c r="L140" s="525"/>
      <c r="M140" s="514">
        <f t="shared" si="46"/>
        <v>0</v>
      </c>
      <c r="N140" s="525"/>
      <c r="O140" s="514">
        <f t="shared" si="47"/>
        <v>0</v>
      </c>
      <c r="P140" s="514">
        <f t="shared" si="48"/>
        <v>0</v>
      </c>
    </row>
    <row r="141" spans="2:16">
      <c r="B141" s="195" t="str">
        <f t="shared" si="31"/>
        <v/>
      </c>
      <c r="C141" s="507">
        <f>IF(D93="","-",+C140+1)</f>
        <v>2052</v>
      </c>
      <c r="D141" s="374">
        <f>IF(F140+SUM(E$99:E140)=D$92,F140,D$92-SUM(E$99:E140))</f>
        <v>1886.8338087660193</v>
      </c>
      <c r="E141" s="522">
        <f t="shared" si="41"/>
        <v>566.2439024390244</v>
      </c>
      <c r="F141" s="523">
        <f t="shared" si="42"/>
        <v>1320.5899063269949</v>
      </c>
      <c r="G141" s="523">
        <f t="shared" si="43"/>
        <v>1603.711857546507</v>
      </c>
      <c r="H141" s="526">
        <f t="shared" si="44"/>
        <v>748.28801327169697</v>
      </c>
      <c r="I141" s="577">
        <f t="shared" si="45"/>
        <v>748.28801327169697</v>
      </c>
      <c r="J141" s="514">
        <f t="shared" si="35"/>
        <v>0</v>
      </c>
      <c r="K141" s="514"/>
      <c r="L141" s="525"/>
      <c r="M141" s="514">
        <f t="shared" si="46"/>
        <v>0</v>
      </c>
      <c r="N141" s="525"/>
      <c r="O141" s="514">
        <f t="shared" si="47"/>
        <v>0</v>
      </c>
      <c r="P141" s="514">
        <f t="shared" si="48"/>
        <v>0</v>
      </c>
    </row>
    <row r="142" spans="2:16">
      <c r="B142" s="195" t="str">
        <f t="shared" si="31"/>
        <v/>
      </c>
      <c r="C142" s="507">
        <f>IF(D93="","-",+C141+1)</f>
        <v>2053</v>
      </c>
      <c r="D142" s="374">
        <f>IF(F141+SUM(E$99:E141)=D$92,F141,D$92-SUM(E$99:E141))</f>
        <v>1320.5899063269949</v>
      </c>
      <c r="E142" s="522">
        <f t="shared" si="41"/>
        <v>566.2439024390244</v>
      </c>
      <c r="F142" s="523">
        <f t="shared" si="42"/>
        <v>754.34600388797048</v>
      </c>
      <c r="G142" s="523">
        <f t="shared" si="43"/>
        <v>1037.4679551074828</v>
      </c>
      <c r="H142" s="526">
        <f t="shared" si="44"/>
        <v>684.01127474858265</v>
      </c>
      <c r="I142" s="577">
        <f t="shared" si="45"/>
        <v>684.01127474858265</v>
      </c>
      <c r="J142" s="514">
        <f t="shared" si="35"/>
        <v>0</v>
      </c>
      <c r="K142" s="514"/>
      <c r="L142" s="525"/>
      <c r="M142" s="514">
        <f t="shared" si="46"/>
        <v>0</v>
      </c>
      <c r="N142" s="525"/>
      <c r="O142" s="514">
        <f t="shared" si="47"/>
        <v>0</v>
      </c>
      <c r="P142" s="514">
        <f t="shared" si="48"/>
        <v>0</v>
      </c>
    </row>
    <row r="143" spans="2:16">
      <c r="B143" s="195" t="str">
        <f t="shared" si="31"/>
        <v/>
      </c>
      <c r="C143" s="507">
        <f>IF(D93="","-",+C142+1)</f>
        <v>2054</v>
      </c>
      <c r="D143" s="374">
        <f>IF(F142+SUM(E$99:E142)=D$92,F142,D$92-SUM(E$99:E142))</f>
        <v>754.34600388797048</v>
      </c>
      <c r="E143" s="522">
        <f t="shared" si="41"/>
        <v>566.2439024390244</v>
      </c>
      <c r="F143" s="523">
        <f t="shared" si="42"/>
        <v>188.10210144894609</v>
      </c>
      <c r="G143" s="523">
        <f t="shared" si="43"/>
        <v>471.22405266845828</v>
      </c>
      <c r="H143" s="526">
        <f t="shared" si="44"/>
        <v>619.73453622546833</v>
      </c>
      <c r="I143" s="577">
        <f t="shared" si="45"/>
        <v>619.73453622546833</v>
      </c>
      <c r="J143" s="514">
        <f t="shared" si="35"/>
        <v>0</v>
      </c>
      <c r="K143" s="514"/>
      <c r="L143" s="525"/>
      <c r="M143" s="514">
        <f t="shared" si="46"/>
        <v>0</v>
      </c>
      <c r="N143" s="525"/>
      <c r="O143" s="514">
        <f t="shared" si="47"/>
        <v>0</v>
      </c>
      <c r="P143" s="514">
        <f t="shared" si="48"/>
        <v>0</v>
      </c>
    </row>
    <row r="144" spans="2:16">
      <c r="B144" s="195" t="str">
        <f t="shared" si="31"/>
        <v/>
      </c>
      <c r="C144" s="507">
        <f>IF(D93="","-",+C143+1)</f>
        <v>2055</v>
      </c>
      <c r="D144" s="374">
        <f>IF(F143+SUM(E$99:E143)=D$92,F143,D$92-SUM(E$99:E143))</f>
        <v>188.10210144894609</v>
      </c>
      <c r="E144" s="522">
        <f t="shared" si="41"/>
        <v>188.10210144894609</v>
      </c>
      <c r="F144" s="523">
        <f t="shared" si="42"/>
        <v>0</v>
      </c>
      <c r="G144" s="523">
        <f t="shared" si="43"/>
        <v>94.051050724473043</v>
      </c>
      <c r="H144" s="526">
        <f t="shared" si="44"/>
        <v>198.77823371138948</v>
      </c>
      <c r="I144" s="577">
        <f t="shared" si="45"/>
        <v>198.77823371138948</v>
      </c>
      <c r="J144" s="514">
        <f t="shared" si="35"/>
        <v>0</v>
      </c>
      <c r="K144" s="514"/>
      <c r="L144" s="525"/>
      <c r="M144" s="514">
        <f t="shared" si="46"/>
        <v>0</v>
      </c>
      <c r="N144" s="525"/>
      <c r="O144" s="514">
        <f t="shared" si="47"/>
        <v>0</v>
      </c>
      <c r="P144" s="514">
        <f t="shared" si="48"/>
        <v>0</v>
      </c>
    </row>
    <row r="145" spans="2:16">
      <c r="B145" s="195" t="str">
        <f t="shared" si="31"/>
        <v/>
      </c>
      <c r="C145" s="507">
        <f>IF(D93="","-",+C144+1)</f>
        <v>2056</v>
      </c>
      <c r="D145" s="374">
        <f>IF(F144+SUM(E$99:E144)=D$92,F144,D$92-SUM(E$99:E144))</f>
        <v>0</v>
      </c>
      <c r="E145" s="522">
        <f t="shared" si="41"/>
        <v>0</v>
      </c>
      <c r="F145" s="523">
        <f t="shared" si="42"/>
        <v>0</v>
      </c>
      <c r="G145" s="523">
        <f t="shared" si="43"/>
        <v>0</v>
      </c>
      <c r="H145" s="526">
        <f t="shared" si="44"/>
        <v>0</v>
      </c>
      <c r="I145" s="577">
        <f t="shared" si="45"/>
        <v>0</v>
      </c>
      <c r="J145" s="514">
        <f t="shared" si="35"/>
        <v>0</v>
      </c>
      <c r="K145" s="514"/>
      <c r="L145" s="525"/>
      <c r="M145" s="514">
        <f t="shared" si="46"/>
        <v>0</v>
      </c>
      <c r="N145" s="525"/>
      <c r="O145" s="514">
        <f t="shared" si="47"/>
        <v>0</v>
      </c>
      <c r="P145" s="514">
        <f t="shared" si="48"/>
        <v>0</v>
      </c>
    </row>
    <row r="146" spans="2:16">
      <c r="B146" s="195" t="str">
        <f t="shared" si="31"/>
        <v/>
      </c>
      <c r="C146" s="507">
        <f>IF(D93="","-",+C145+1)</f>
        <v>2057</v>
      </c>
      <c r="D146" s="374">
        <f>IF(F145+SUM(E$99:E145)=D$92,F145,D$92-SUM(E$99:E145))</f>
        <v>0</v>
      </c>
      <c r="E146" s="522">
        <f t="shared" si="41"/>
        <v>0</v>
      </c>
      <c r="F146" s="523">
        <f t="shared" si="42"/>
        <v>0</v>
      </c>
      <c r="G146" s="523">
        <f t="shared" si="43"/>
        <v>0</v>
      </c>
      <c r="H146" s="526">
        <f t="shared" si="44"/>
        <v>0</v>
      </c>
      <c r="I146" s="577">
        <f t="shared" si="45"/>
        <v>0</v>
      </c>
      <c r="J146" s="514">
        <f t="shared" si="35"/>
        <v>0</v>
      </c>
      <c r="K146" s="514"/>
      <c r="L146" s="525"/>
      <c r="M146" s="514">
        <f t="shared" si="46"/>
        <v>0</v>
      </c>
      <c r="N146" s="525"/>
      <c r="O146" s="514">
        <f t="shared" si="47"/>
        <v>0</v>
      </c>
      <c r="P146" s="514">
        <f t="shared" si="48"/>
        <v>0</v>
      </c>
    </row>
    <row r="147" spans="2:16">
      <c r="B147" s="195" t="str">
        <f t="shared" si="31"/>
        <v/>
      </c>
      <c r="C147" s="507">
        <f>IF(D93="","-",+C146+1)</f>
        <v>2058</v>
      </c>
      <c r="D147" s="374">
        <f>IF(F146+SUM(E$99:E146)=D$92,F146,D$92-SUM(E$99:E146))</f>
        <v>0</v>
      </c>
      <c r="E147" s="522">
        <f t="shared" si="41"/>
        <v>0</v>
      </c>
      <c r="F147" s="523">
        <f t="shared" si="42"/>
        <v>0</v>
      </c>
      <c r="G147" s="523">
        <f t="shared" si="43"/>
        <v>0</v>
      </c>
      <c r="H147" s="526">
        <f t="shared" si="44"/>
        <v>0</v>
      </c>
      <c r="I147" s="577">
        <f t="shared" si="45"/>
        <v>0</v>
      </c>
      <c r="J147" s="514">
        <f t="shared" si="35"/>
        <v>0</v>
      </c>
      <c r="K147" s="514"/>
      <c r="L147" s="525"/>
      <c r="M147" s="514">
        <f t="shared" si="46"/>
        <v>0</v>
      </c>
      <c r="N147" s="525"/>
      <c r="O147" s="514">
        <f t="shared" si="47"/>
        <v>0</v>
      </c>
      <c r="P147" s="514">
        <f t="shared" si="48"/>
        <v>0</v>
      </c>
    </row>
    <row r="148" spans="2:16">
      <c r="B148" s="195" t="str">
        <f t="shared" si="31"/>
        <v/>
      </c>
      <c r="C148" s="507">
        <f>IF(D93="","-",+C147+1)</f>
        <v>2059</v>
      </c>
      <c r="D148" s="374">
        <f>IF(F147+SUM(E$99:E147)=D$92,F147,D$92-SUM(E$99:E147))</f>
        <v>0</v>
      </c>
      <c r="E148" s="522">
        <f t="shared" si="41"/>
        <v>0</v>
      </c>
      <c r="F148" s="523">
        <f t="shared" si="42"/>
        <v>0</v>
      </c>
      <c r="G148" s="523">
        <f t="shared" si="43"/>
        <v>0</v>
      </c>
      <c r="H148" s="526">
        <f t="shared" si="44"/>
        <v>0</v>
      </c>
      <c r="I148" s="577">
        <f t="shared" si="45"/>
        <v>0</v>
      </c>
      <c r="J148" s="514">
        <f t="shared" si="35"/>
        <v>0</v>
      </c>
      <c r="K148" s="514"/>
      <c r="L148" s="525"/>
      <c r="M148" s="514">
        <f t="shared" si="46"/>
        <v>0</v>
      </c>
      <c r="N148" s="525"/>
      <c r="O148" s="514">
        <f t="shared" si="47"/>
        <v>0</v>
      </c>
      <c r="P148" s="514">
        <f t="shared" si="48"/>
        <v>0</v>
      </c>
    </row>
    <row r="149" spans="2:16">
      <c r="B149" s="195" t="str">
        <f t="shared" si="31"/>
        <v/>
      </c>
      <c r="C149" s="507">
        <f>IF(D93="","-",+C148+1)</f>
        <v>2060</v>
      </c>
      <c r="D149" s="374">
        <f>IF(F148+SUM(E$99:E148)=D$92,F148,D$92-SUM(E$99:E148))</f>
        <v>0</v>
      </c>
      <c r="E149" s="522">
        <f t="shared" si="41"/>
        <v>0</v>
      </c>
      <c r="F149" s="523">
        <f t="shared" si="42"/>
        <v>0</v>
      </c>
      <c r="G149" s="523">
        <f t="shared" si="43"/>
        <v>0</v>
      </c>
      <c r="H149" s="526">
        <f t="shared" si="44"/>
        <v>0</v>
      </c>
      <c r="I149" s="577">
        <f t="shared" si="45"/>
        <v>0</v>
      </c>
      <c r="J149" s="514">
        <f t="shared" si="35"/>
        <v>0</v>
      </c>
      <c r="K149" s="514"/>
      <c r="L149" s="525"/>
      <c r="M149" s="514">
        <f t="shared" si="46"/>
        <v>0</v>
      </c>
      <c r="N149" s="525"/>
      <c r="O149" s="514">
        <f t="shared" si="47"/>
        <v>0</v>
      </c>
      <c r="P149" s="514">
        <f t="shared" si="48"/>
        <v>0</v>
      </c>
    </row>
    <row r="150" spans="2:16">
      <c r="B150" s="195" t="str">
        <f t="shared" si="31"/>
        <v/>
      </c>
      <c r="C150" s="507">
        <f>IF(D93="","-",+C149+1)</f>
        <v>2061</v>
      </c>
      <c r="D150" s="374">
        <f>IF(F149+SUM(E$99:E149)=D$92,F149,D$92-SUM(E$99:E149))</f>
        <v>0</v>
      </c>
      <c r="E150" s="522">
        <f t="shared" si="41"/>
        <v>0</v>
      </c>
      <c r="F150" s="523">
        <f t="shared" si="42"/>
        <v>0</v>
      </c>
      <c r="G150" s="523">
        <f t="shared" si="43"/>
        <v>0</v>
      </c>
      <c r="H150" s="526">
        <f t="shared" si="44"/>
        <v>0</v>
      </c>
      <c r="I150" s="577">
        <f t="shared" si="45"/>
        <v>0</v>
      </c>
      <c r="J150" s="514">
        <f t="shared" si="35"/>
        <v>0</v>
      </c>
      <c r="K150" s="514"/>
      <c r="L150" s="525"/>
      <c r="M150" s="514">
        <f t="shared" si="46"/>
        <v>0</v>
      </c>
      <c r="N150" s="525"/>
      <c r="O150" s="514">
        <f t="shared" si="47"/>
        <v>0</v>
      </c>
      <c r="P150" s="514">
        <f t="shared" si="48"/>
        <v>0</v>
      </c>
    </row>
    <row r="151" spans="2:16">
      <c r="B151" s="195" t="str">
        <f t="shared" si="31"/>
        <v/>
      </c>
      <c r="C151" s="507">
        <f>IF(D93="","-",+C150+1)</f>
        <v>2062</v>
      </c>
      <c r="D151" s="374">
        <f>IF(F150+SUM(E$99:E150)=D$92,F150,D$92-SUM(E$99:E150))</f>
        <v>0</v>
      </c>
      <c r="E151" s="522">
        <f t="shared" si="41"/>
        <v>0</v>
      </c>
      <c r="F151" s="523">
        <f t="shared" si="42"/>
        <v>0</v>
      </c>
      <c r="G151" s="523">
        <f t="shared" si="43"/>
        <v>0</v>
      </c>
      <c r="H151" s="526">
        <f t="shared" si="44"/>
        <v>0</v>
      </c>
      <c r="I151" s="577">
        <f t="shared" si="45"/>
        <v>0</v>
      </c>
      <c r="J151" s="514">
        <f t="shared" si="35"/>
        <v>0</v>
      </c>
      <c r="K151" s="514"/>
      <c r="L151" s="525"/>
      <c r="M151" s="514">
        <f t="shared" si="46"/>
        <v>0</v>
      </c>
      <c r="N151" s="525"/>
      <c r="O151" s="514">
        <f t="shared" si="47"/>
        <v>0</v>
      </c>
      <c r="P151" s="514">
        <f t="shared" si="48"/>
        <v>0</v>
      </c>
    </row>
    <row r="152" spans="2:16">
      <c r="B152" s="195" t="str">
        <f t="shared" si="31"/>
        <v/>
      </c>
      <c r="C152" s="507">
        <f>IF(D93="","-",+C151+1)</f>
        <v>2063</v>
      </c>
      <c r="D152" s="374">
        <f>IF(F151+SUM(E$99:E151)=D$92,F151,D$92-SUM(E$99:E151))</f>
        <v>0</v>
      </c>
      <c r="E152" s="522">
        <f t="shared" si="41"/>
        <v>0</v>
      </c>
      <c r="F152" s="523">
        <f t="shared" si="42"/>
        <v>0</v>
      </c>
      <c r="G152" s="523">
        <f t="shared" si="43"/>
        <v>0</v>
      </c>
      <c r="H152" s="526">
        <f t="shared" si="44"/>
        <v>0</v>
      </c>
      <c r="I152" s="577">
        <f t="shared" si="45"/>
        <v>0</v>
      </c>
      <c r="J152" s="514">
        <f t="shared" si="35"/>
        <v>0</v>
      </c>
      <c r="K152" s="514"/>
      <c r="L152" s="525"/>
      <c r="M152" s="514">
        <f t="shared" si="46"/>
        <v>0</v>
      </c>
      <c r="N152" s="525"/>
      <c r="O152" s="514">
        <f t="shared" si="47"/>
        <v>0</v>
      </c>
      <c r="P152" s="514">
        <f t="shared" si="48"/>
        <v>0</v>
      </c>
    </row>
    <row r="153" spans="2:16">
      <c r="B153" s="195" t="str">
        <f t="shared" si="31"/>
        <v/>
      </c>
      <c r="C153" s="507">
        <f>IF(D93="","-",+C152+1)</f>
        <v>2064</v>
      </c>
      <c r="D153" s="374">
        <f>IF(F152+SUM(E$99:E152)=D$92,F152,D$92-SUM(E$99:E152))</f>
        <v>0</v>
      </c>
      <c r="E153" s="522">
        <f t="shared" si="41"/>
        <v>0</v>
      </c>
      <c r="F153" s="523">
        <f t="shared" si="42"/>
        <v>0</v>
      </c>
      <c r="G153" s="523">
        <f t="shared" si="43"/>
        <v>0</v>
      </c>
      <c r="H153" s="526">
        <f t="shared" si="44"/>
        <v>0</v>
      </c>
      <c r="I153" s="577">
        <f t="shared" si="45"/>
        <v>0</v>
      </c>
      <c r="J153" s="514">
        <f t="shared" si="35"/>
        <v>0</v>
      </c>
      <c r="K153" s="514"/>
      <c r="L153" s="525"/>
      <c r="M153" s="514">
        <f t="shared" si="46"/>
        <v>0</v>
      </c>
      <c r="N153" s="525"/>
      <c r="O153" s="514">
        <f t="shared" si="47"/>
        <v>0</v>
      </c>
      <c r="P153" s="514">
        <f t="shared" si="48"/>
        <v>0</v>
      </c>
    </row>
    <row r="154" spans="2:16" ht="13.5" thickBot="1">
      <c r="B154" s="195" t="str">
        <f t="shared" si="31"/>
        <v/>
      </c>
      <c r="C154" s="527">
        <f>IF(D93="","-",+C153+1)</f>
        <v>2065</v>
      </c>
      <c r="D154" s="374">
        <f>IF(F153+SUM(E$99:E153)=D$92,F153,D$92-SUM(E$99:E153))</f>
        <v>0</v>
      </c>
      <c r="E154" s="522">
        <f t="shared" si="41"/>
        <v>0</v>
      </c>
      <c r="F154" s="523">
        <f t="shared" si="42"/>
        <v>0</v>
      </c>
      <c r="G154" s="523">
        <f t="shared" si="43"/>
        <v>0</v>
      </c>
      <c r="H154" s="526">
        <f t="shared" si="44"/>
        <v>0</v>
      </c>
      <c r="I154" s="577">
        <f t="shared" si="45"/>
        <v>0</v>
      </c>
      <c r="J154" s="514">
        <f t="shared" si="35"/>
        <v>0</v>
      </c>
      <c r="K154" s="514"/>
      <c r="L154" s="532"/>
      <c r="M154" s="533">
        <f t="shared" si="46"/>
        <v>0</v>
      </c>
      <c r="N154" s="532"/>
      <c r="O154" s="533">
        <f t="shared" si="47"/>
        <v>0</v>
      </c>
      <c r="P154" s="533">
        <f t="shared" si="48"/>
        <v>0</v>
      </c>
    </row>
    <row r="155" spans="2:16">
      <c r="C155" s="374" t="s">
        <v>78</v>
      </c>
      <c r="D155" s="375"/>
      <c r="E155" s="375">
        <f>SUM(E99:E154)</f>
        <v>23216.000000000011</v>
      </c>
      <c r="F155" s="375"/>
      <c r="G155" s="375"/>
      <c r="H155" s="375">
        <f>SUM(H99:H154)</f>
        <v>78242.940598482965</v>
      </c>
      <c r="I155" s="375">
        <f>SUM(I99:I154)</f>
        <v>78242.940598482965</v>
      </c>
      <c r="J155" s="375">
        <f>SUM(J99:J154)</f>
        <v>0</v>
      </c>
      <c r="K155" s="375"/>
      <c r="L155" s="375"/>
      <c r="M155" s="375"/>
      <c r="N155" s="375"/>
      <c r="O155" s="375"/>
      <c r="P155" s="269"/>
    </row>
    <row r="156" spans="2:16">
      <c r="C156" s="183" t="s">
        <v>92</v>
      </c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</row>
    <row r="157" spans="2:16">
      <c r="C157" s="580"/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</row>
    <row r="158" spans="2:16">
      <c r="C158" s="614" t="s">
        <v>132</v>
      </c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</row>
    <row r="159" spans="2:16">
      <c r="C159" s="467" t="s">
        <v>79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</row>
    <row r="160" spans="2:16">
      <c r="C160" s="581" t="s">
        <v>80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</row>
    <row r="161" spans="3:16">
      <c r="C161" s="581"/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</row>
    <row r="162" spans="3:16" ht="18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635" t="s">
        <v>131</v>
      </c>
    </row>
  </sheetData>
  <conditionalFormatting sqref="C17:C72">
    <cfRule type="cellIs" dxfId="64" priority="1" stopIfTrue="1" operator="equal">
      <formula>$I$10</formula>
    </cfRule>
  </conditionalFormatting>
  <conditionalFormatting sqref="C99:C154">
    <cfRule type="cellIs" dxfId="63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Sheet99"/>
  <dimension ref="A1:P162"/>
  <sheetViews>
    <sheetView topLeftCell="C87" zoomScaleNormal="100" zoomScaleSheetLayoutView="82" workbookViewId="0">
      <selection activeCell="D99" sqref="D99:I106"/>
    </sheetView>
  </sheetViews>
  <sheetFormatPr defaultColWidth="8.7109375" defaultRowHeight="12.75" customHeight="1"/>
  <cols>
    <col min="1" max="1" width="4.7109375" style="183" customWidth="1"/>
    <col min="2" max="2" width="6.7109375" style="183" customWidth="1"/>
    <col min="3" max="3" width="23.28515625" style="183" customWidth="1"/>
    <col min="4" max="8" width="17.7109375" style="183" customWidth="1"/>
    <col min="9" max="9" width="20.42578125" style="183" customWidth="1"/>
    <col min="10" max="10" width="16.42578125" style="183" customWidth="1"/>
    <col min="11" max="11" width="17.7109375" style="183" customWidth="1"/>
    <col min="12" max="12" width="16.140625" style="183" customWidth="1"/>
    <col min="13" max="13" width="17.7109375" style="183" customWidth="1"/>
    <col min="14" max="14" width="16.7109375" style="183" customWidth="1"/>
    <col min="15" max="15" width="16.85546875" style="183" customWidth="1"/>
    <col min="16" max="16" width="24.42578125" style="183" customWidth="1"/>
    <col min="17" max="17" width="9.140625" style="183" customWidth="1"/>
    <col min="18" max="22" width="8.7109375" style="183"/>
    <col min="23" max="23" width="9.140625" style="183" customWidth="1"/>
    <col min="24" max="16384" width="8.7109375" style="183"/>
  </cols>
  <sheetData>
    <row r="1" spans="1:16" ht="20.25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50 of 75</v>
      </c>
    </row>
    <row r="2" spans="1:16" ht="18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538" t="s">
        <v>129</v>
      </c>
    </row>
    <row r="3" spans="1:16" ht="18.75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/>
      <c r="P3" s="623">
        <v>1</v>
      </c>
    </row>
    <row r="4" spans="1:16" ht="15.75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6" ht="1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1856585.3167079764</v>
      </c>
      <c r="P5" s="269"/>
    </row>
    <row r="6" spans="1:16" ht="15.7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1856585.3167079764</v>
      </c>
      <c r="O6" s="269"/>
      <c r="P6" s="269"/>
    </row>
    <row r="7" spans="1:16" ht="13.5" thickBot="1">
      <c r="C7" s="467" t="s">
        <v>48</v>
      </c>
      <c r="D7" s="624" t="s">
        <v>338</v>
      </c>
      <c r="E7" s="587"/>
      <c r="F7" s="587"/>
      <c r="G7" s="587"/>
      <c r="H7" s="59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6" ht="13.5" thickBot="1">
      <c r="C8" s="472"/>
      <c r="D8" s="625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6" ht="13.5" thickBot="1">
      <c r="C9" s="476" t="s">
        <v>50</v>
      </c>
      <c r="D9" s="477" t="s">
        <v>465</v>
      </c>
      <c r="E9" s="637" t="s">
        <v>397</v>
      </c>
      <c r="F9" s="478"/>
      <c r="G9" s="478"/>
      <c r="H9" s="478"/>
      <c r="I9" s="479"/>
      <c r="J9" s="480"/>
      <c r="O9" s="481"/>
      <c r="P9" s="272"/>
    </row>
    <row r="10" spans="1:16">
      <c r="C10" s="482" t="s">
        <v>51</v>
      </c>
      <c r="D10" s="483">
        <v>15930624.490000006</v>
      </c>
      <c r="E10" s="353" t="s">
        <v>52</v>
      </c>
      <c r="F10" s="481"/>
      <c r="G10" s="484"/>
      <c r="H10" s="484"/>
      <c r="I10" s="485">
        <f>+'SWE.WS.F.BPU.ATRR.Projected'!L19</f>
        <v>2024</v>
      </c>
      <c r="J10" s="480"/>
      <c r="K10" s="375" t="s">
        <v>53</v>
      </c>
      <c r="O10" s="272"/>
      <c r="P10" s="272"/>
    </row>
    <row r="11" spans="1:16">
      <c r="C11" s="486" t="s">
        <v>54</v>
      </c>
      <c r="D11" s="487">
        <v>2015</v>
      </c>
      <c r="E11" s="486" t="s">
        <v>55</v>
      </c>
      <c r="F11" s="484"/>
      <c r="G11" s="233"/>
      <c r="H11" s="233"/>
      <c r="I11" s="488">
        <f>IF(G5="",0,'SWE.WS.F.BPU.ATRR.Projected'!F$13)</f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6">
      <c r="C12" s="486" t="s">
        <v>56</v>
      </c>
      <c r="D12" s="483">
        <v>6</v>
      </c>
      <c r="E12" s="486" t="s">
        <v>57</v>
      </c>
      <c r="F12" s="484"/>
      <c r="G12" s="233"/>
      <c r="H12" s="233"/>
      <c r="I12" s="490">
        <f>'SWE.WS.F.BPU.ATRR.Projected'!$F$81</f>
        <v>0.11952713165403545</v>
      </c>
      <c r="J12" s="425"/>
      <c r="K12" s="183" t="s">
        <v>58</v>
      </c>
      <c r="O12" s="272"/>
      <c r="P12" s="272"/>
    </row>
    <row r="13" spans="1:16">
      <c r="C13" s="486" t="s">
        <v>59</v>
      </c>
      <c r="D13" s="488">
        <f>+'SWE.WS.F.BPU.ATRR.Projected'!F$93</f>
        <v>44</v>
      </c>
      <c r="E13" s="486" t="s">
        <v>60</v>
      </c>
      <c r="F13" s="484"/>
      <c r="G13" s="233"/>
      <c r="H13" s="233"/>
      <c r="I13" s="490">
        <f>IF(G5="",I12,'SWE.WS.F.BPU.ATRR.Projected'!$F$80)</f>
        <v>0.11952713165403545</v>
      </c>
      <c r="J13" s="425"/>
      <c r="K13" s="375" t="s">
        <v>61</v>
      </c>
      <c r="L13" s="324"/>
      <c r="M13" s="324"/>
      <c r="N13" s="324"/>
      <c r="O13" s="272"/>
      <c r="P13" s="272"/>
    </row>
    <row r="14" spans="1:16" ht="13.5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362059.64750000014</v>
      </c>
      <c r="J14" s="375"/>
      <c r="K14" s="375"/>
      <c r="L14" s="375"/>
      <c r="M14" s="375"/>
      <c r="N14" s="375"/>
      <c r="O14" s="272"/>
      <c r="P14" s="272"/>
    </row>
    <row r="15" spans="1:16" ht="38.25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388</v>
      </c>
      <c r="H15" s="495" t="s">
        <v>389</v>
      </c>
      <c r="I15" s="492" t="s">
        <v>68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6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>
      <c r="C17" s="507">
        <f>IF(D11= "","-",D11)</f>
        <v>2015</v>
      </c>
      <c r="D17" s="629">
        <v>15500000</v>
      </c>
      <c r="E17" s="638">
        <v>184523.80952380953</v>
      </c>
      <c r="F17" s="629">
        <v>15315476.19047619</v>
      </c>
      <c r="G17" s="638">
        <v>2201645.5530295321</v>
      </c>
      <c r="H17" s="639">
        <v>2201645.5530295321</v>
      </c>
      <c r="I17" s="511">
        <v>0</v>
      </c>
      <c r="J17" s="511"/>
      <c r="K17" s="518">
        <f t="shared" ref="K17:K22" si="0">G17</f>
        <v>2201645.5530295321</v>
      </c>
      <c r="L17" s="519">
        <f t="shared" ref="L17:L22" si="1">IF(K17&lt;&gt;0,+G17-K17,0)</f>
        <v>0</v>
      </c>
      <c r="M17" s="518">
        <f t="shared" ref="M17:M22" si="2">H17</f>
        <v>2201645.5530295321</v>
      </c>
      <c r="N17" s="514">
        <f>IF(M17&lt;&gt;0,+H17-M17,0)</f>
        <v>0</v>
      </c>
      <c r="O17" s="514">
        <f>+N17-L17</f>
        <v>0</v>
      </c>
      <c r="P17" s="272"/>
    </row>
    <row r="18" spans="2:16">
      <c r="B18" s="195" t="str">
        <f>IF(D18=F17,"","IU")</f>
        <v>IU</v>
      </c>
      <c r="C18" s="507">
        <f>IF(D11="","-",+C17+1)</f>
        <v>2016</v>
      </c>
      <c r="D18" s="631">
        <v>15593387.19047619</v>
      </c>
      <c r="E18" s="630">
        <v>375664.54761904763</v>
      </c>
      <c r="F18" s="631">
        <v>15217722.642857142</v>
      </c>
      <c r="G18" s="630">
        <v>2355185.5288467337</v>
      </c>
      <c r="H18" s="639">
        <v>2355185.5288467337</v>
      </c>
      <c r="I18" s="511">
        <f>H18-G18</f>
        <v>0</v>
      </c>
      <c r="J18" s="511"/>
      <c r="K18" s="518">
        <f t="shared" si="0"/>
        <v>2355185.5288467337</v>
      </c>
      <c r="L18" s="519">
        <f t="shared" si="1"/>
        <v>0</v>
      </c>
      <c r="M18" s="518">
        <f t="shared" si="2"/>
        <v>2355185.5288467337</v>
      </c>
      <c r="N18" s="514">
        <f>IF(M18&lt;&gt;0,+H18-M18,0)</f>
        <v>0</v>
      </c>
      <c r="O18" s="514">
        <f>+N18-L18</f>
        <v>0</v>
      </c>
      <c r="P18" s="272"/>
    </row>
    <row r="19" spans="2:16">
      <c r="B19" s="195" t="str">
        <f>IF(D19=F18,"","IU")</f>
        <v>IU</v>
      </c>
      <c r="C19" s="507">
        <f>IF(D11="","-",+C18+1)</f>
        <v>2017</v>
      </c>
      <c r="D19" s="631">
        <v>15438728.642857144</v>
      </c>
      <c r="E19" s="630">
        <v>372067.83720930235</v>
      </c>
      <c r="F19" s="631">
        <v>15066660.805647841</v>
      </c>
      <c r="G19" s="630">
        <v>2261762.8310746681</v>
      </c>
      <c r="H19" s="639">
        <v>2261762.8310746681</v>
      </c>
      <c r="I19" s="511">
        <f t="shared" ref="I19:I72" si="3">H19-G19</f>
        <v>0</v>
      </c>
      <c r="J19" s="511"/>
      <c r="K19" s="518">
        <f t="shared" si="0"/>
        <v>2261762.8310746681</v>
      </c>
      <c r="L19" s="519">
        <f t="shared" si="1"/>
        <v>0</v>
      </c>
      <c r="M19" s="518">
        <f t="shared" si="2"/>
        <v>2261762.8310746681</v>
      </c>
      <c r="N19" s="514">
        <f>IF(M19&lt;&gt;0,+H19-M19,0)</f>
        <v>0</v>
      </c>
      <c r="O19" s="514">
        <f>+N19-L19</f>
        <v>0</v>
      </c>
      <c r="P19" s="272"/>
    </row>
    <row r="20" spans="2:16">
      <c r="B20" s="195" t="str">
        <f t="shared" ref="B20:B72" si="4">IF(D20=F19,"","IU")</f>
        <v/>
      </c>
      <c r="C20" s="507">
        <f>IF(D11="","-",+C19+1)</f>
        <v>2018</v>
      </c>
      <c r="D20" s="631">
        <v>15066660.805647841</v>
      </c>
      <c r="E20" s="630">
        <v>390217.48780487804</v>
      </c>
      <c r="F20" s="631">
        <v>14676443.317842962</v>
      </c>
      <c r="G20" s="630">
        <v>2280303.9967571078</v>
      </c>
      <c r="H20" s="639">
        <v>2280303.9967571078</v>
      </c>
      <c r="I20" s="511">
        <f t="shared" si="3"/>
        <v>0</v>
      </c>
      <c r="J20" s="511"/>
      <c r="K20" s="518">
        <f t="shared" si="0"/>
        <v>2280303.9967571078</v>
      </c>
      <c r="L20" s="519">
        <f t="shared" si="1"/>
        <v>0</v>
      </c>
      <c r="M20" s="518">
        <f t="shared" si="2"/>
        <v>2280303.9967571078</v>
      </c>
      <c r="N20" s="514">
        <f>IF(M20&lt;&gt;0,+H20-M20,0)</f>
        <v>0</v>
      </c>
      <c r="O20" s="514">
        <f>+N20-L20</f>
        <v>0</v>
      </c>
      <c r="P20" s="272"/>
    </row>
    <row r="21" spans="2:16">
      <c r="B21" s="195" t="str">
        <f t="shared" si="4"/>
        <v/>
      </c>
      <c r="C21" s="507">
        <f>IF(D11="","-",+C20+1)</f>
        <v>2019</v>
      </c>
      <c r="D21" s="631">
        <v>14676443.317842962</v>
      </c>
      <c r="E21" s="630">
        <v>390217.48780487804</v>
      </c>
      <c r="F21" s="631">
        <v>14286225.830038084</v>
      </c>
      <c r="G21" s="630">
        <v>2230709.6567584975</v>
      </c>
      <c r="H21" s="639">
        <v>2230709.6567584975</v>
      </c>
      <c r="I21" s="511">
        <f t="shared" si="3"/>
        <v>0</v>
      </c>
      <c r="J21" s="511"/>
      <c r="K21" s="518">
        <f t="shared" si="0"/>
        <v>2230709.6567584975</v>
      </c>
      <c r="L21" s="519">
        <f t="shared" si="1"/>
        <v>0</v>
      </c>
      <c r="M21" s="518">
        <f t="shared" si="2"/>
        <v>2230709.6567584975</v>
      </c>
      <c r="N21" s="514">
        <f t="shared" ref="N21:N72" si="5">IF(M21&lt;&gt;0,+H21-M21,0)</f>
        <v>0</v>
      </c>
      <c r="O21" s="514">
        <f t="shared" ref="O21:O72" si="6">+N21-L21</f>
        <v>0</v>
      </c>
      <c r="P21" s="272"/>
    </row>
    <row r="22" spans="2:16">
      <c r="B22" s="195" t="str">
        <f t="shared" si="4"/>
        <v>IU</v>
      </c>
      <c r="C22" s="507">
        <f>IF(D11="","-",+C21+1)</f>
        <v>2020</v>
      </c>
      <c r="D22" s="631">
        <v>14496645.830038084</v>
      </c>
      <c r="E22" s="630">
        <v>395349.68292682926</v>
      </c>
      <c r="F22" s="631">
        <v>14101296.147111254</v>
      </c>
      <c r="G22" s="630">
        <v>1858641.3891753859</v>
      </c>
      <c r="H22" s="639">
        <v>1858641.3891753859</v>
      </c>
      <c r="I22" s="511">
        <f t="shared" si="3"/>
        <v>0</v>
      </c>
      <c r="J22" s="511"/>
      <c r="K22" s="518">
        <f t="shared" si="0"/>
        <v>1858641.3891753859</v>
      </c>
      <c r="L22" s="519">
        <f t="shared" si="1"/>
        <v>0</v>
      </c>
      <c r="M22" s="518">
        <f t="shared" si="2"/>
        <v>1858641.3891753859</v>
      </c>
      <c r="N22" s="514">
        <f t="shared" si="5"/>
        <v>0</v>
      </c>
      <c r="O22" s="514">
        <f t="shared" si="6"/>
        <v>0</v>
      </c>
      <c r="P22" s="272"/>
    </row>
    <row r="23" spans="2:16">
      <c r="B23" s="195" t="str">
        <f t="shared" si="4"/>
        <v>IU</v>
      </c>
      <c r="C23" s="507">
        <f>IF(D11="","-",+C22+1)</f>
        <v>2021</v>
      </c>
      <c r="D23" s="631">
        <v>13840732.797706831</v>
      </c>
      <c r="E23" s="630">
        <v>379300.57142857142</v>
      </c>
      <c r="F23" s="631">
        <v>13461432.22627826</v>
      </c>
      <c r="G23" s="630">
        <v>1826377.362451636</v>
      </c>
      <c r="H23" s="639">
        <v>1826377.362451636</v>
      </c>
      <c r="I23" s="511">
        <f t="shared" si="3"/>
        <v>0</v>
      </c>
      <c r="J23" s="511"/>
      <c r="K23" s="518">
        <f t="shared" ref="K23" si="7">G23</f>
        <v>1826377.362451636</v>
      </c>
      <c r="L23" s="519">
        <f t="shared" ref="L23" si="8">IF(K23&lt;&gt;0,+G23-K23,0)</f>
        <v>0</v>
      </c>
      <c r="M23" s="518">
        <f t="shared" ref="M23" si="9">H23</f>
        <v>1826377.362451636</v>
      </c>
      <c r="N23" s="514">
        <f t="shared" si="5"/>
        <v>0</v>
      </c>
      <c r="O23" s="514">
        <f t="shared" si="6"/>
        <v>0</v>
      </c>
      <c r="P23" s="272"/>
    </row>
    <row r="24" spans="2:16">
      <c r="B24" s="195" t="str">
        <f t="shared" si="4"/>
        <v>IU</v>
      </c>
      <c r="C24" s="507">
        <f>IF(D11="","-",+C23+1)</f>
        <v>2022</v>
      </c>
      <c r="D24" s="631">
        <v>13443282.575682685</v>
      </c>
      <c r="E24" s="630">
        <v>379300.57142857142</v>
      </c>
      <c r="F24" s="631">
        <v>13063982.004254114</v>
      </c>
      <c r="G24" s="630">
        <v>1869593.2846943685</v>
      </c>
      <c r="H24" s="639">
        <v>1869593.2846943685</v>
      </c>
      <c r="I24" s="511">
        <f t="shared" si="3"/>
        <v>0</v>
      </c>
      <c r="J24" s="511"/>
      <c r="K24" s="518">
        <f t="shared" ref="K24" si="10">G24</f>
        <v>1869593.2846943685</v>
      </c>
      <c r="L24" s="519">
        <f t="shared" ref="L24" si="11">IF(K24&lt;&gt;0,+G24-K24,0)</f>
        <v>0</v>
      </c>
      <c r="M24" s="518">
        <f t="shared" ref="M24" si="12">H24</f>
        <v>1869593.2846943685</v>
      </c>
      <c r="N24" s="514">
        <f t="shared" si="5"/>
        <v>0</v>
      </c>
      <c r="O24" s="514">
        <f t="shared" si="6"/>
        <v>0</v>
      </c>
      <c r="P24" s="272"/>
    </row>
    <row r="25" spans="2:16">
      <c r="B25" s="195" t="str">
        <f t="shared" si="4"/>
        <v>IU</v>
      </c>
      <c r="C25" s="507">
        <f>IF(D11="","-",+C24+1)</f>
        <v>2023</v>
      </c>
      <c r="D25" s="631">
        <v>13063982.494254118</v>
      </c>
      <c r="E25" s="630">
        <v>379300.58309523825</v>
      </c>
      <c r="F25" s="631">
        <v>12684681.91115888</v>
      </c>
      <c r="G25" s="630">
        <v>2005673.6176458267</v>
      </c>
      <c r="H25" s="639">
        <v>2005673.6176458267</v>
      </c>
      <c r="I25" s="511">
        <f t="shared" si="3"/>
        <v>0</v>
      </c>
      <c r="J25" s="511"/>
      <c r="K25" s="518">
        <f t="shared" ref="K25" si="13">G25</f>
        <v>2005673.6176458267</v>
      </c>
      <c r="L25" s="519">
        <f t="shared" ref="L25" si="14">IF(K25&lt;&gt;0,+G25-K25,0)</f>
        <v>0</v>
      </c>
      <c r="M25" s="518">
        <f t="shared" ref="M25" si="15">H25</f>
        <v>2005673.6176458267</v>
      </c>
      <c r="N25" s="514">
        <f t="shared" ref="N25" si="16">IF(M25&lt;&gt;0,+H25-M25,0)</f>
        <v>0</v>
      </c>
      <c r="O25" s="514">
        <f t="shared" ref="O25" si="17">+N25-L25</f>
        <v>0</v>
      </c>
      <c r="P25" s="272"/>
    </row>
    <row r="26" spans="2:16">
      <c r="B26" s="195" t="str">
        <f t="shared" si="4"/>
        <v/>
      </c>
      <c r="C26" s="673">
        <f>IF(D11="","-",+C25+1)</f>
        <v>2024</v>
      </c>
      <c r="D26" s="523">
        <f>IF(F25+SUM(E$17:E25)=D$10,F25,D$10-SUM(E$17:E25))</f>
        <v>12684681.91115888</v>
      </c>
      <c r="E26" s="522">
        <f t="shared" ref="E26:E72" si="18">IF(+$I$14&lt;F25,$I$14,D26)</f>
        <v>362059.64750000014</v>
      </c>
      <c r="F26" s="523">
        <f t="shared" ref="F26:F72" si="19">+D26-E26</f>
        <v>12322622.263658879</v>
      </c>
      <c r="G26" s="524">
        <f t="shared" ref="G26:G50" si="20">+I$12*((D26+F26)/2)+E26</f>
        <v>1856585.3167079764</v>
      </c>
      <c r="H26" s="491">
        <f t="shared" ref="H26:H50" si="21">+I$13*((D26+F26)/2)+E26</f>
        <v>1856585.3167079764</v>
      </c>
      <c r="I26" s="511">
        <f t="shared" si="3"/>
        <v>0</v>
      </c>
      <c r="J26" s="511"/>
      <c r="K26" s="525"/>
      <c r="L26" s="514">
        <f t="shared" ref="L26:L72" si="22">IF(K26&lt;&gt;0,+G26-K26,0)</f>
        <v>0</v>
      </c>
      <c r="M26" s="525"/>
      <c r="N26" s="514">
        <f t="shared" si="5"/>
        <v>0</v>
      </c>
      <c r="O26" s="514">
        <f t="shared" si="6"/>
        <v>0</v>
      </c>
      <c r="P26" s="272"/>
    </row>
    <row r="27" spans="2:16">
      <c r="B27" s="195" t="str">
        <f t="shared" si="4"/>
        <v/>
      </c>
      <c r="C27" s="507">
        <f>IF(D11="","-",+C26+1)</f>
        <v>2025</v>
      </c>
      <c r="D27" s="523">
        <f>IF(F26+SUM(E$17:E26)=D$10,F26,D$10-SUM(E$17:E26))</f>
        <v>12322622.263658879</v>
      </c>
      <c r="E27" s="522">
        <f t="shared" si="18"/>
        <v>362059.64750000014</v>
      </c>
      <c r="F27" s="523">
        <f t="shared" si="19"/>
        <v>11960562.616158878</v>
      </c>
      <c r="G27" s="524">
        <f t="shared" si="20"/>
        <v>1813309.3655546303</v>
      </c>
      <c r="H27" s="491">
        <f t="shared" si="21"/>
        <v>1813309.3655546303</v>
      </c>
      <c r="I27" s="511">
        <f t="shared" si="3"/>
        <v>0</v>
      </c>
      <c r="J27" s="511"/>
      <c r="K27" s="525"/>
      <c r="L27" s="514">
        <f t="shared" si="22"/>
        <v>0</v>
      </c>
      <c r="M27" s="525"/>
      <c r="N27" s="514">
        <f t="shared" si="5"/>
        <v>0</v>
      </c>
      <c r="O27" s="514">
        <f t="shared" si="6"/>
        <v>0</v>
      </c>
      <c r="P27" s="272"/>
    </row>
    <row r="28" spans="2:16">
      <c r="B28" s="195" t="str">
        <f t="shared" si="4"/>
        <v/>
      </c>
      <c r="C28" s="507">
        <f>IF(D11="","-",+C27+1)</f>
        <v>2026</v>
      </c>
      <c r="D28" s="523">
        <f>IF(F27+SUM(E$17:E27)=D$10,F27,D$10-SUM(E$17:E27))</f>
        <v>11960562.616158878</v>
      </c>
      <c r="E28" s="522">
        <f t="shared" si="18"/>
        <v>362059.64750000014</v>
      </c>
      <c r="F28" s="523">
        <f t="shared" si="19"/>
        <v>11598502.968658878</v>
      </c>
      <c r="G28" s="524">
        <f t="shared" si="20"/>
        <v>1770033.414401284</v>
      </c>
      <c r="H28" s="491">
        <f t="shared" si="21"/>
        <v>1770033.414401284</v>
      </c>
      <c r="I28" s="511">
        <f t="shared" si="3"/>
        <v>0</v>
      </c>
      <c r="J28" s="511"/>
      <c r="K28" s="525"/>
      <c r="L28" s="514">
        <f t="shared" si="22"/>
        <v>0</v>
      </c>
      <c r="M28" s="525"/>
      <c r="N28" s="514">
        <f t="shared" si="5"/>
        <v>0</v>
      </c>
      <c r="O28" s="514">
        <f t="shared" si="6"/>
        <v>0</v>
      </c>
      <c r="P28" s="272"/>
    </row>
    <row r="29" spans="2:16">
      <c r="B29" s="195" t="str">
        <f t="shared" si="4"/>
        <v/>
      </c>
      <c r="C29" s="507">
        <f>IF(D11="","-",+C28+1)</f>
        <v>2027</v>
      </c>
      <c r="D29" s="523">
        <f>IF(F28+SUM(E$17:E28)=D$10,F28,D$10-SUM(E$17:E28))</f>
        <v>11598502.968658878</v>
      </c>
      <c r="E29" s="522">
        <f t="shared" si="18"/>
        <v>362059.64750000014</v>
      </c>
      <c r="F29" s="523">
        <f t="shared" si="19"/>
        <v>11236443.321158877</v>
      </c>
      <c r="G29" s="524">
        <f t="shared" si="20"/>
        <v>1726757.4632479376</v>
      </c>
      <c r="H29" s="491">
        <f t="shared" si="21"/>
        <v>1726757.4632479376</v>
      </c>
      <c r="I29" s="511">
        <f t="shared" si="3"/>
        <v>0</v>
      </c>
      <c r="J29" s="511"/>
      <c r="K29" s="525"/>
      <c r="L29" s="514">
        <f t="shared" si="22"/>
        <v>0</v>
      </c>
      <c r="M29" s="525"/>
      <c r="N29" s="514">
        <f t="shared" si="5"/>
        <v>0</v>
      </c>
      <c r="O29" s="514">
        <f t="shared" si="6"/>
        <v>0</v>
      </c>
      <c r="P29" s="272"/>
    </row>
    <row r="30" spans="2:16">
      <c r="B30" s="195" t="str">
        <f t="shared" si="4"/>
        <v/>
      </c>
      <c r="C30" s="507">
        <f>IF(D11="","-",+C29+1)</f>
        <v>2028</v>
      </c>
      <c r="D30" s="523">
        <f>IF(F29+SUM(E$17:E29)=D$10,F29,D$10-SUM(E$17:E29))</f>
        <v>11236443.321158877</v>
      </c>
      <c r="E30" s="522">
        <f t="shared" si="18"/>
        <v>362059.64750000014</v>
      </c>
      <c r="F30" s="523">
        <f t="shared" si="19"/>
        <v>10874383.673658876</v>
      </c>
      <c r="G30" s="524">
        <f t="shared" si="20"/>
        <v>1683481.5120945913</v>
      </c>
      <c r="H30" s="491">
        <f t="shared" si="21"/>
        <v>1683481.5120945913</v>
      </c>
      <c r="I30" s="511">
        <f t="shared" si="3"/>
        <v>0</v>
      </c>
      <c r="J30" s="511"/>
      <c r="K30" s="525"/>
      <c r="L30" s="514">
        <f t="shared" si="22"/>
        <v>0</v>
      </c>
      <c r="M30" s="525"/>
      <c r="N30" s="514">
        <f t="shared" si="5"/>
        <v>0</v>
      </c>
      <c r="O30" s="514">
        <f t="shared" si="6"/>
        <v>0</v>
      </c>
      <c r="P30" s="272"/>
    </row>
    <row r="31" spans="2:16">
      <c r="B31" s="195" t="str">
        <f t="shared" si="4"/>
        <v/>
      </c>
      <c r="C31" s="507">
        <f>IF(D11="","-",+C30+1)</f>
        <v>2029</v>
      </c>
      <c r="D31" s="523">
        <f>IF(F30+SUM(E$17:E30)=D$10,F30,D$10-SUM(E$17:E30))</f>
        <v>10874383.673658876</v>
      </c>
      <c r="E31" s="522">
        <f t="shared" si="18"/>
        <v>362059.64750000014</v>
      </c>
      <c r="F31" s="523">
        <f t="shared" si="19"/>
        <v>10512324.026158875</v>
      </c>
      <c r="G31" s="524">
        <f t="shared" si="20"/>
        <v>1640205.5609412452</v>
      </c>
      <c r="H31" s="491">
        <f t="shared" si="21"/>
        <v>1640205.5609412452</v>
      </c>
      <c r="I31" s="511">
        <f t="shared" si="3"/>
        <v>0</v>
      </c>
      <c r="J31" s="511"/>
      <c r="K31" s="525"/>
      <c r="L31" s="514">
        <f t="shared" si="22"/>
        <v>0</v>
      </c>
      <c r="M31" s="525"/>
      <c r="N31" s="514">
        <f t="shared" si="5"/>
        <v>0</v>
      </c>
      <c r="O31" s="514">
        <f t="shared" si="6"/>
        <v>0</v>
      </c>
      <c r="P31" s="272"/>
    </row>
    <row r="32" spans="2:16">
      <c r="B32" s="195" t="str">
        <f t="shared" si="4"/>
        <v/>
      </c>
      <c r="C32" s="507">
        <f>IF(D11="","-",+C31+1)</f>
        <v>2030</v>
      </c>
      <c r="D32" s="523">
        <f>IF(F31+SUM(E$17:E31)=D$10,F31,D$10-SUM(E$17:E31))</f>
        <v>10512324.026158875</v>
      </c>
      <c r="E32" s="522">
        <f t="shared" si="18"/>
        <v>362059.64750000014</v>
      </c>
      <c r="F32" s="523">
        <f t="shared" si="19"/>
        <v>10150264.378658874</v>
      </c>
      <c r="G32" s="524">
        <f t="shared" si="20"/>
        <v>1596929.6097878988</v>
      </c>
      <c r="H32" s="491">
        <f t="shared" si="21"/>
        <v>1596929.6097878988</v>
      </c>
      <c r="I32" s="511">
        <f t="shared" si="3"/>
        <v>0</v>
      </c>
      <c r="J32" s="511"/>
      <c r="K32" s="525"/>
      <c r="L32" s="514">
        <f t="shared" si="22"/>
        <v>0</v>
      </c>
      <c r="M32" s="525"/>
      <c r="N32" s="514">
        <f t="shared" si="5"/>
        <v>0</v>
      </c>
      <c r="O32" s="514">
        <f t="shared" si="6"/>
        <v>0</v>
      </c>
      <c r="P32" s="272"/>
    </row>
    <row r="33" spans="2:16">
      <c r="B33" s="195" t="str">
        <f t="shared" si="4"/>
        <v/>
      </c>
      <c r="C33" s="507">
        <f>IF(D11="","-",+C32+1)</f>
        <v>2031</v>
      </c>
      <c r="D33" s="523">
        <f>IF(F32+SUM(E$17:E32)=D$10,F32,D$10-SUM(E$17:E32))</f>
        <v>10150264.378658874</v>
      </c>
      <c r="E33" s="522">
        <f t="shared" si="18"/>
        <v>362059.64750000014</v>
      </c>
      <c r="F33" s="523">
        <f t="shared" si="19"/>
        <v>9788204.7311588731</v>
      </c>
      <c r="G33" s="524">
        <f t="shared" si="20"/>
        <v>1553653.6586345525</v>
      </c>
      <c r="H33" s="491">
        <f t="shared" si="21"/>
        <v>1553653.6586345525</v>
      </c>
      <c r="I33" s="511">
        <f t="shared" si="3"/>
        <v>0</v>
      </c>
      <c r="J33" s="511"/>
      <c r="K33" s="525"/>
      <c r="L33" s="514">
        <f t="shared" si="22"/>
        <v>0</v>
      </c>
      <c r="M33" s="525"/>
      <c r="N33" s="514">
        <f t="shared" si="5"/>
        <v>0</v>
      </c>
      <c r="O33" s="514">
        <f t="shared" si="6"/>
        <v>0</v>
      </c>
      <c r="P33" s="272"/>
    </row>
    <row r="34" spans="2:16">
      <c r="B34" s="195" t="str">
        <f t="shared" si="4"/>
        <v/>
      </c>
      <c r="C34" s="507">
        <f>IF(D11="","-",+C33+1)</f>
        <v>2032</v>
      </c>
      <c r="D34" s="523">
        <f>IF(F33+SUM(E$17:E33)=D$10,F33,D$10-SUM(E$17:E33))</f>
        <v>9788204.7311588731</v>
      </c>
      <c r="E34" s="522">
        <f t="shared" si="18"/>
        <v>362059.64750000014</v>
      </c>
      <c r="F34" s="523">
        <f t="shared" si="19"/>
        <v>9426145.0836588722</v>
      </c>
      <c r="G34" s="524">
        <f t="shared" si="20"/>
        <v>1510377.7074812064</v>
      </c>
      <c r="H34" s="491">
        <f t="shared" si="21"/>
        <v>1510377.7074812064</v>
      </c>
      <c r="I34" s="511">
        <f t="shared" si="3"/>
        <v>0</v>
      </c>
      <c r="J34" s="511"/>
      <c r="K34" s="525"/>
      <c r="L34" s="514">
        <f t="shared" si="22"/>
        <v>0</v>
      </c>
      <c r="M34" s="525"/>
      <c r="N34" s="514">
        <f t="shared" si="5"/>
        <v>0</v>
      </c>
      <c r="O34" s="514">
        <f t="shared" si="6"/>
        <v>0</v>
      </c>
      <c r="P34" s="272"/>
    </row>
    <row r="35" spans="2:16">
      <c r="B35" s="195" t="str">
        <f t="shared" si="4"/>
        <v/>
      </c>
      <c r="C35" s="507">
        <f>IF(D11="","-",+C34+1)</f>
        <v>2033</v>
      </c>
      <c r="D35" s="523">
        <f>IF(F34+SUM(E$17:E34)=D$10,F34,D$10-SUM(E$17:E34))</f>
        <v>9426145.0836588722</v>
      </c>
      <c r="E35" s="522">
        <f t="shared" si="18"/>
        <v>362059.64750000014</v>
      </c>
      <c r="F35" s="523">
        <f t="shared" si="19"/>
        <v>9064085.4361588713</v>
      </c>
      <c r="G35" s="524">
        <f t="shared" si="20"/>
        <v>1467101.7563278601</v>
      </c>
      <c r="H35" s="491">
        <f t="shared" si="21"/>
        <v>1467101.7563278601</v>
      </c>
      <c r="I35" s="511">
        <f t="shared" si="3"/>
        <v>0</v>
      </c>
      <c r="J35" s="511"/>
      <c r="K35" s="525"/>
      <c r="L35" s="514">
        <f t="shared" si="22"/>
        <v>0</v>
      </c>
      <c r="M35" s="525"/>
      <c r="N35" s="514">
        <f t="shared" si="5"/>
        <v>0</v>
      </c>
      <c r="O35" s="514">
        <f t="shared" si="6"/>
        <v>0</v>
      </c>
      <c r="P35" s="272"/>
    </row>
    <row r="36" spans="2:16">
      <c r="B36" s="195" t="str">
        <f t="shared" si="4"/>
        <v/>
      </c>
      <c r="C36" s="507">
        <f>IF(D11="","-",+C35+1)</f>
        <v>2034</v>
      </c>
      <c r="D36" s="523">
        <f>IF(F35+SUM(E$17:E35)=D$10,F35,D$10-SUM(E$17:E35))</f>
        <v>9064085.4361588713</v>
      </c>
      <c r="E36" s="522">
        <f t="shared" si="18"/>
        <v>362059.64750000014</v>
      </c>
      <c r="F36" s="523">
        <f t="shared" si="19"/>
        <v>8702025.7886588704</v>
      </c>
      <c r="G36" s="524">
        <f t="shared" si="20"/>
        <v>1423825.8051745137</v>
      </c>
      <c r="H36" s="491">
        <f t="shared" si="21"/>
        <v>1423825.8051745137</v>
      </c>
      <c r="I36" s="511">
        <f t="shared" si="3"/>
        <v>0</v>
      </c>
      <c r="J36" s="511"/>
      <c r="K36" s="525"/>
      <c r="L36" s="514">
        <f t="shared" si="22"/>
        <v>0</v>
      </c>
      <c r="M36" s="525"/>
      <c r="N36" s="514">
        <f t="shared" si="5"/>
        <v>0</v>
      </c>
      <c r="O36" s="514">
        <f t="shared" si="6"/>
        <v>0</v>
      </c>
      <c r="P36" s="272"/>
    </row>
    <row r="37" spans="2:16">
      <c r="B37" s="195" t="str">
        <f t="shared" si="4"/>
        <v/>
      </c>
      <c r="C37" s="507">
        <f>IF(D11="","-",+C36+1)</f>
        <v>2035</v>
      </c>
      <c r="D37" s="523">
        <f>IF(F36+SUM(E$17:E36)=D$10,F36,D$10-SUM(E$17:E36))</f>
        <v>8702025.7886588704</v>
      </c>
      <c r="E37" s="522">
        <f t="shared" si="18"/>
        <v>362059.64750000014</v>
      </c>
      <c r="F37" s="523">
        <f t="shared" si="19"/>
        <v>8339966.1411588704</v>
      </c>
      <c r="G37" s="524">
        <f t="shared" si="20"/>
        <v>1380549.8540211674</v>
      </c>
      <c r="H37" s="491">
        <f t="shared" si="21"/>
        <v>1380549.8540211674</v>
      </c>
      <c r="I37" s="511">
        <f t="shared" si="3"/>
        <v>0</v>
      </c>
      <c r="J37" s="511"/>
      <c r="K37" s="525"/>
      <c r="L37" s="514">
        <f t="shared" si="22"/>
        <v>0</v>
      </c>
      <c r="M37" s="525"/>
      <c r="N37" s="514">
        <f t="shared" si="5"/>
        <v>0</v>
      </c>
      <c r="O37" s="514">
        <f t="shared" si="6"/>
        <v>0</v>
      </c>
      <c r="P37" s="272"/>
    </row>
    <row r="38" spans="2:16">
      <c r="B38" s="195" t="str">
        <f t="shared" si="4"/>
        <v/>
      </c>
      <c r="C38" s="507">
        <f>IF(D11="","-",+C37+1)</f>
        <v>2036</v>
      </c>
      <c r="D38" s="523">
        <f>IF(F37+SUM(E$17:E37)=D$10,F37,D$10-SUM(E$17:E37))</f>
        <v>8339966.1411588704</v>
      </c>
      <c r="E38" s="522">
        <f t="shared" si="18"/>
        <v>362059.64750000014</v>
      </c>
      <c r="F38" s="523">
        <f t="shared" si="19"/>
        <v>7977906.4936588705</v>
      </c>
      <c r="G38" s="524">
        <f t="shared" si="20"/>
        <v>1337273.9028678213</v>
      </c>
      <c r="H38" s="491">
        <f t="shared" si="21"/>
        <v>1337273.9028678213</v>
      </c>
      <c r="I38" s="511">
        <f t="shared" si="3"/>
        <v>0</v>
      </c>
      <c r="J38" s="511"/>
      <c r="K38" s="525"/>
      <c r="L38" s="514">
        <f t="shared" si="22"/>
        <v>0</v>
      </c>
      <c r="M38" s="525"/>
      <c r="N38" s="514">
        <f t="shared" si="5"/>
        <v>0</v>
      </c>
      <c r="O38" s="514">
        <f t="shared" si="6"/>
        <v>0</v>
      </c>
      <c r="P38" s="272"/>
    </row>
    <row r="39" spans="2:16">
      <c r="B39" s="195" t="str">
        <f t="shared" si="4"/>
        <v/>
      </c>
      <c r="C39" s="507">
        <f>IF(D11="","-",+C38+1)</f>
        <v>2037</v>
      </c>
      <c r="D39" s="523">
        <f>IF(F38+SUM(E$17:E38)=D$10,F38,D$10-SUM(E$17:E38))</f>
        <v>7977906.4936588705</v>
      </c>
      <c r="E39" s="522">
        <f t="shared" si="18"/>
        <v>362059.64750000014</v>
      </c>
      <c r="F39" s="523">
        <f t="shared" si="19"/>
        <v>7615846.8461588705</v>
      </c>
      <c r="G39" s="524">
        <f t="shared" si="20"/>
        <v>1293997.9517144752</v>
      </c>
      <c r="H39" s="491">
        <f t="shared" si="21"/>
        <v>1293997.9517144752</v>
      </c>
      <c r="I39" s="511">
        <f t="shared" si="3"/>
        <v>0</v>
      </c>
      <c r="J39" s="511"/>
      <c r="K39" s="525"/>
      <c r="L39" s="514">
        <f t="shared" si="22"/>
        <v>0</v>
      </c>
      <c r="M39" s="525"/>
      <c r="N39" s="514">
        <f t="shared" si="5"/>
        <v>0</v>
      </c>
      <c r="O39" s="514">
        <f t="shared" si="6"/>
        <v>0</v>
      </c>
      <c r="P39" s="272"/>
    </row>
    <row r="40" spans="2:16">
      <c r="B40" s="195" t="str">
        <f t="shared" si="4"/>
        <v/>
      </c>
      <c r="C40" s="507">
        <f>IF(D11="","-",+C39+1)</f>
        <v>2038</v>
      </c>
      <c r="D40" s="523">
        <f>IF(F39+SUM(E$17:E39)=D$10,F39,D$10-SUM(E$17:E39))</f>
        <v>7615846.8461588705</v>
      </c>
      <c r="E40" s="522">
        <f t="shared" si="18"/>
        <v>362059.64750000014</v>
      </c>
      <c r="F40" s="523">
        <f t="shared" si="19"/>
        <v>7253787.1986588705</v>
      </c>
      <c r="G40" s="524">
        <f t="shared" si="20"/>
        <v>1250722.0005611291</v>
      </c>
      <c r="H40" s="491">
        <f t="shared" si="21"/>
        <v>1250722.0005611291</v>
      </c>
      <c r="I40" s="511">
        <f t="shared" si="3"/>
        <v>0</v>
      </c>
      <c r="J40" s="511"/>
      <c r="K40" s="525"/>
      <c r="L40" s="514">
        <f t="shared" si="22"/>
        <v>0</v>
      </c>
      <c r="M40" s="525"/>
      <c r="N40" s="514">
        <f t="shared" si="5"/>
        <v>0</v>
      </c>
      <c r="O40" s="514">
        <f t="shared" si="6"/>
        <v>0</v>
      </c>
      <c r="P40" s="272"/>
    </row>
    <row r="41" spans="2:16">
      <c r="B41" s="195" t="str">
        <f t="shared" si="4"/>
        <v/>
      </c>
      <c r="C41" s="507">
        <f>IF(D11="","-",+C40+1)</f>
        <v>2039</v>
      </c>
      <c r="D41" s="523">
        <f>IF(F40+SUM(E$17:E40)=D$10,F40,D$10-SUM(E$17:E40))</f>
        <v>7253787.1986588705</v>
      </c>
      <c r="E41" s="522">
        <f t="shared" si="18"/>
        <v>362059.64750000014</v>
      </c>
      <c r="F41" s="523">
        <f t="shared" si="19"/>
        <v>6891727.5511588706</v>
      </c>
      <c r="G41" s="524">
        <f t="shared" si="20"/>
        <v>1207446.0494077827</v>
      </c>
      <c r="H41" s="491">
        <f t="shared" si="21"/>
        <v>1207446.0494077827</v>
      </c>
      <c r="I41" s="511">
        <f t="shared" si="3"/>
        <v>0</v>
      </c>
      <c r="J41" s="511"/>
      <c r="K41" s="525"/>
      <c r="L41" s="514">
        <f t="shared" si="22"/>
        <v>0</v>
      </c>
      <c r="M41" s="525"/>
      <c r="N41" s="514">
        <f t="shared" si="5"/>
        <v>0</v>
      </c>
      <c r="O41" s="514">
        <f t="shared" si="6"/>
        <v>0</v>
      </c>
      <c r="P41" s="272"/>
    </row>
    <row r="42" spans="2:16">
      <c r="B42" s="195" t="str">
        <f t="shared" si="4"/>
        <v/>
      </c>
      <c r="C42" s="507">
        <f>IF(D11="","-",+C41+1)</f>
        <v>2040</v>
      </c>
      <c r="D42" s="523">
        <f>IF(F41+SUM(E$17:E41)=D$10,F41,D$10-SUM(E$17:E41))</f>
        <v>6891727.5511588706</v>
      </c>
      <c r="E42" s="522">
        <f t="shared" si="18"/>
        <v>362059.64750000014</v>
      </c>
      <c r="F42" s="523">
        <f t="shared" si="19"/>
        <v>6529667.9036588706</v>
      </c>
      <c r="G42" s="524">
        <f t="shared" si="20"/>
        <v>1164170.0982544366</v>
      </c>
      <c r="H42" s="491">
        <f t="shared" si="21"/>
        <v>1164170.0982544366</v>
      </c>
      <c r="I42" s="511">
        <f t="shared" si="3"/>
        <v>0</v>
      </c>
      <c r="J42" s="511"/>
      <c r="K42" s="525"/>
      <c r="L42" s="514">
        <f t="shared" si="22"/>
        <v>0</v>
      </c>
      <c r="M42" s="525"/>
      <c r="N42" s="514">
        <f t="shared" si="5"/>
        <v>0</v>
      </c>
      <c r="O42" s="514">
        <f t="shared" si="6"/>
        <v>0</v>
      </c>
      <c r="P42" s="272"/>
    </row>
    <row r="43" spans="2:16">
      <c r="B43" s="195" t="str">
        <f t="shared" si="4"/>
        <v/>
      </c>
      <c r="C43" s="507">
        <f>IF(D11="","-",+C42+1)</f>
        <v>2041</v>
      </c>
      <c r="D43" s="523">
        <f>IF(F42+SUM(E$17:E42)=D$10,F42,D$10-SUM(E$17:E42))</f>
        <v>6529667.9036588706</v>
      </c>
      <c r="E43" s="522">
        <f t="shared" si="18"/>
        <v>362059.64750000014</v>
      </c>
      <c r="F43" s="523">
        <f t="shared" si="19"/>
        <v>6167608.2561588706</v>
      </c>
      <c r="G43" s="524">
        <f t="shared" si="20"/>
        <v>1120894.1471010905</v>
      </c>
      <c r="H43" s="491">
        <f t="shared" si="21"/>
        <v>1120894.1471010905</v>
      </c>
      <c r="I43" s="511">
        <f t="shared" si="3"/>
        <v>0</v>
      </c>
      <c r="J43" s="511"/>
      <c r="K43" s="525"/>
      <c r="L43" s="514">
        <f t="shared" si="22"/>
        <v>0</v>
      </c>
      <c r="M43" s="525"/>
      <c r="N43" s="514">
        <f t="shared" si="5"/>
        <v>0</v>
      </c>
      <c r="O43" s="514">
        <f t="shared" si="6"/>
        <v>0</v>
      </c>
      <c r="P43" s="272"/>
    </row>
    <row r="44" spans="2:16">
      <c r="B44" s="195" t="str">
        <f t="shared" si="4"/>
        <v/>
      </c>
      <c r="C44" s="507">
        <f>IF(D11="","-",+C43+1)</f>
        <v>2042</v>
      </c>
      <c r="D44" s="523">
        <f>IF(F43+SUM(E$17:E43)=D$10,F43,D$10-SUM(E$17:E43))</f>
        <v>6167608.2561588706</v>
      </c>
      <c r="E44" s="522">
        <f t="shared" si="18"/>
        <v>362059.64750000014</v>
      </c>
      <c r="F44" s="523">
        <f t="shared" si="19"/>
        <v>5805548.6086588707</v>
      </c>
      <c r="G44" s="524">
        <f t="shared" si="20"/>
        <v>1077618.1959477444</v>
      </c>
      <c r="H44" s="491">
        <f t="shared" si="21"/>
        <v>1077618.1959477444</v>
      </c>
      <c r="I44" s="511">
        <f t="shared" si="3"/>
        <v>0</v>
      </c>
      <c r="J44" s="511"/>
      <c r="K44" s="525"/>
      <c r="L44" s="514">
        <f t="shared" si="22"/>
        <v>0</v>
      </c>
      <c r="M44" s="525"/>
      <c r="N44" s="514">
        <f t="shared" si="5"/>
        <v>0</v>
      </c>
      <c r="O44" s="514">
        <f t="shared" si="6"/>
        <v>0</v>
      </c>
      <c r="P44" s="272"/>
    </row>
    <row r="45" spans="2:16">
      <c r="B45" s="195" t="str">
        <f t="shared" si="4"/>
        <v/>
      </c>
      <c r="C45" s="507">
        <f>IF(D11="","-",+C44+1)</f>
        <v>2043</v>
      </c>
      <c r="D45" s="523">
        <f>IF(F44+SUM(E$17:E44)=D$10,F44,D$10-SUM(E$17:E44))</f>
        <v>5805548.6086588707</v>
      </c>
      <c r="E45" s="522">
        <f t="shared" si="18"/>
        <v>362059.64750000014</v>
      </c>
      <c r="F45" s="523">
        <f t="shared" si="19"/>
        <v>5443488.9611588707</v>
      </c>
      <c r="G45" s="524">
        <f t="shared" si="20"/>
        <v>1034342.2447943981</v>
      </c>
      <c r="H45" s="491">
        <f t="shared" si="21"/>
        <v>1034342.2447943981</v>
      </c>
      <c r="I45" s="511">
        <f t="shared" si="3"/>
        <v>0</v>
      </c>
      <c r="J45" s="511"/>
      <c r="K45" s="525"/>
      <c r="L45" s="514">
        <f t="shared" si="22"/>
        <v>0</v>
      </c>
      <c r="M45" s="525"/>
      <c r="N45" s="514">
        <f t="shared" si="5"/>
        <v>0</v>
      </c>
      <c r="O45" s="514">
        <f t="shared" si="6"/>
        <v>0</v>
      </c>
      <c r="P45" s="272"/>
    </row>
    <row r="46" spans="2:16">
      <c r="B46" s="195" t="str">
        <f t="shared" si="4"/>
        <v/>
      </c>
      <c r="C46" s="507">
        <f>IF(D11="","-",+C45+1)</f>
        <v>2044</v>
      </c>
      <c r="D46" s="523">
        <f>IF(F45+SUM(E$17:E45)=D$10,F45,D$10-SUM(E$17:E45))</f>
        <v>5443488.9611588707</v>
      </c>
      <c r="E46" s="522">
        <f t="shared" si="18"/>
        <v>362059.64750000014</v>
      </c>
      <c r="F46" s="523">
        <f t="shared" si="19"/>
        <v>5081429.3136588708</v>
      </c>
      <c r="G46" s="524">
        <f t="shared" si="20"/>
        <v>991066.29364105221</v>
      </c>
      <c r="H46" s="491">
        <f t="shared" si="21"/>
        <v>991066.29364105221</v>
      </c>
      <c r="I46" s="511">
        <f t="shared" si="3"/>
        <v>0</v>
      </c>
      <c r="J46" s="511"/>
      <c r="K46" s="525"/>
      <c r="L46" s="514">
        <f t="shared" si="22"/>
        <v>0</v>
      </c>
      <c r="M46" s="525"/>
      <c r="N46" s="514">
        <f t="shared" si="5"/>
        <v>0</v>
      </c>
      <c r="O46" s="514">
        <f t="shared" si="6"/>
        <v>0</v>
      </c>
      <c r="P46" s="272"/>
    </row>
    <row r="47" spans="2:16">
      <c r="B47" s="195" t="str">
        <f t="shared" si="4"/>
        <v/>
      </c>
      <c r="C47" s="507">
        <f>IF(D11="","-",+C46+1)</f>
        <v>2045</v>
      </c>
      <c r="D47" s="523">
        <f>IF(F46+SUM(E$17:E46)=D$10,F46,D$10-SUM(E$17:E46))</f>
        <v>5081429.3136588708</v>
      </c>
      <c r="E47" s="522">
        <f t="shared" si="18"/>
        <v>362059.64750000014</v>
      </c>
      <c r="F47" s="523">
        <f t="shared" si="19"/>
        <v>4719369.6661588708</v>
      </c>
      <c r="G47" s="524">
        <f t="shared" si="20"/>
        <v>947790.34248770587</v>
      </c>
      <c r="H47" s="491">
        <f t="shared" si="21"/>
        <v>947790.34248770587</v>
      </c>
      <c r="I47" s="511">
        <f t="shared" si="3"/>
        <v>0</v>
      </c>
      <c r="J47" s="511"/>
      <c r="K47" s="525"/>
      <c r="L47" s="514">
        <f t="shared" si="22"/>
        <v>0</v>
      </c>
      <c r="M47" s="525"/>
      <c r="N47" s="514">
        <f t="shared" si="5"/>
        <v>0</v>
      </c>
      <c r="O47" s="514">
        <f t="shared" si="6"/>
        <v>0</v>
      </c>
      <c r="P47" s="272"/>
    </row>
    <row r="48" spans="2:16">
      <c r="B48" s="195" t="str">
        <f t="shared" si="4"/>
        <v/>
      </c>
      <c r="C48" s="507">
        <f>IF(D11="","-",+C47+1)</f>
        <v>2046</v>
      </c>
      <c r="D48" s="523">
        <f>IF(F47+SUM(E$17:E47)=D$10,F47,D$10-SUM(E$17:E47))</f>
        <v>4719369.6661588708</v>
      </c>
      <c r="E48" s="522">
        <f t="shared" si="18"/>
        <v>362059.64750000014</v>
      </c>
      <c r="F48" s="523">
        <f t="shared" si="19"/>
        <v>4357310.0186588708</v>
      </c>
      <c r="G48" s="524">
        <f t="shared" si="20"/>
        <v>904514.39133435977</v>
      </c>
      <c r="H48" s="491">
        <f t="shared" si="21"/>
        <v>904514.39133435977</v>
      </c>
      <c r="I48" s="511">
        <f t="shared" si="3"/>
        <v>0</v>
      </c>
      <c r="J48" s="511"/>
      <c r="K48" s="525"/>
      <c r="L48" s="514">
        <f t="shared" si="22"/>
        <v>0</v>
      </c>
      <c r="M48" s="525"/>
      <c r="N48" s="514">
        <f t="shared" si="5"/>
        <v>0</v>
      </c>
      <c r="O48" s="514">
        <f t="shared" si="6"/>
        <v>0</v>
      </c>
      <c r="P48" s="272"/>
    </row>
    <row r="49" spans="2:16">
      <c r="B49" s="195" t="str">
        <f t="shared" si="4"/>
        <v/>
      </c>
      <c r="C49" s="507">
        <f>IF(D11="","-",+C48+1)</f>
        <v>2047</v>
      </c>
      <c r="D49" s="523">
        <f>IF(F48+SUM(E$17:E48)=D$10,F48,D$10-SUM(E$17:E48))</f>
        <v>4357310.0186588708</v>
      </c>
      <c r="E49" s="522">
        <f t="shared" si="18"/>
        <v>362059.64750000014</v>
      </c>
      <c r="F49" s="523">
        <f t="shared" si="19"/>
        <v>3995250.3711588709</v>
      </c>
      <c r="G49" s="524">
        <f t="shared" si="20"/>
        <v>861238.44018101355</v>
      </c>
      <c r="H49" s="491">
        <f t="shared" si="21"/>
        <v>861238.44018101355</v>
      </c>
      <c r="I49" s="511">
        <f t="shared" si="3"/>
        <v>0</v>
      </c>
      <c r="J49" s="511"/>
      <c r="K49" s="525"/>
      <c r="L49" s="514">
        <f t="shared" si="22"/>
        <v>0</v>
      </c>
      <c r="M49" s="525"/>
      <c r="N49" s="514">
        <f t="shared" si="5"/>
        <v>0</v>
      </c>
      <c r="O49" s="514">
        <f t="shared" si="6"/>
        <v>0</v>
      </c>
      <c r="P49" s="272"/>
    </row>
    <row r="50" spans="2:16">
      <c r="B50" s="195" t="str">
        <f t="shared" si="4"/>
        <v/>
      </c>
      <c r="C50" s="507">
        <f>IF(D11="","-",+C49+1)</f>
        <v>2048</v>
      </c>
      <c r="D50" s="523">
        <f>IF(F49+SUM(E$17:E49)=D$10,F49,D$10-SUM(E$17:E49))</f>
        <v>3995250.3711588709</v>
      </c>
      <c r="E50" s="522">
        <f t="shared" si="18"/>
        <v>362059.64750000014</v>
      </c>
      <c r="F50" s="523">
        <f t="shared" si="19"/>
        <v>3633190.7236588709</v>
      </c>
      <c r="G50" s="524">
        <f t="shared" si="20"/>
        <v>817962.48902766732</v>
      </c>
      <c r="H50" s="491">
        <f t="shared" si="21"/>
        <v>817962.48902766732</v>
      </c>
      <c r="I50" s="511">
        <f t="shared" si="3"/>
        <v>0</v>
      </c>
      <c r="J50" s="511"/>
      <c r="K50" s="525"/>
      <c r="L50" s="514">
        <f t="shared" si="22"/>
        <v>0</v>
      </c>
      <c r="M50" s="525"/>
      <c r="N50" s="514">
        <f t="shared" si="5"/>
        <v>0</v>
      </c>
      <c r="O50" s="514">
        <f t="shared" si="6"/>
        <v>0</v>
      </c>
      <c r="P50" s="272"/>
    </row>
    <row r="51" spans="2:16">
      <c r="B51" s="195" t="str">
        <f t="shared" si="4"/>
        <v/>
      </c>
      <c r="C51" s="507">
        <f>IF(D11="","-",+C50+1)</f>
        <v>2049</v>
      </c>
      <c r="D51" s="523">
        <f>IF(F50+SUM(E$17:E50)=D$10,F50,D$10-SUM(E$17:E50))</f>
        <v>3633190.7236588709</v>
      </c>
      <c r="E51" s="522">
        <f t="shared" si="18"/>
        <v>362059.64750000014</v>
      </c>
      <c r="F51" s="523">
        <f t="shared" si="19"/>
        <v>3271131.0761588709</v>
      </c>
      <c r="G51" s="524">
        <f t="shared" ref="G51:G72" si="23">+I$12*((D51+F51)/2)+E51</f>
        <v>774686.53787432122</v>
      </c>
      <c r="H51" s="491">
        <f t="shared" ref="H51:H72" si="24">+I$13*((D51+F51)/2)+E51</f>
        <v>774686.53787432122</v>
      </c>
      <c r="I51" s="511">
        <f t="shared" si="3"/>
        <v>0</v>
      </c>
      <c r="J51" s="511"/>
      <c r="K51" s="525"/>
      <c r="L51" s="514">
        <f t="shared" si="22"/>
        <v>0</v>
      </c>
      <c r="M51" s="525"/>
      <c r="N51" s="514">
        <f t="shared" si="5"/>
        <v>0</v>
      </c>
      <c r="O51" s="514">
        <f t="shared" si="6"/>
        <v>0</v>
      </c>
      <c r="P51" s="272"/>
    </row>
    <row r="52" spans="2:16">
      <c r="B52" s="195" t="str">
        <f t="shared" si="4"/>
        <v/>
      </c>
      <c r="C52" s="507">
        <f>IF(D11="","-",+C51+1)</f>
        <v>2050</v>
      </c>
      <c r="D52" s="523">
        <f>IF(F51+SUM(E$17:E51)=D$10,F51,D$10-SUM(E$17:E51))</f>
        <v>3271131.0761588709</v>
      </c>
      <c r="E52" s="522">
        <f t="shared" si="18"/>
        <v>362059.64750000014</v>
      </c>
      <c r="F52" s="523">
        <f t="shared" si="19"/>
        <v>2909071.428658871</v>
      </c>
      <c r="G52" s="524">
        <f t="shared" si="23"/>
        <v>731410.58672097512</v>
      </c>
      <c r="H52" s="491">
        <f t="shared" si="24"/>
        <v>731410.58672097512</v>
      </c>
      <c r="I52" s="511">
        <f t="shared" si="3"/>
        <v>0</v>
      </c>
      <c r="J52" s="511"/>
      <c r="K52" s="525"/>
      <c r="L52" s="514">
        <f t="shared" si="22"/>
        <v>0</v>
      </c>
      <c r="M52" s="525"/>
      <c r="N52" s="514">
        <f t="shared" si="5"/>
        <v>0</v>
      </c>
      <c r="O52" s="514">
        <f t="shared" si="6"/>
        <v>0</v>
      </c>
      <c r="P52" s="272"/>
    </row>
    <row r="53" spans="2:16">
      <c r="B53" s="195" t="str">
        <f t="shared" si="4"/>
        <v/>
      </c>
      <c r="C53" s="507">
        <f>IF(D11="","-",+C52+1)</f>
        <v>2051</v>
      </c>
      <c r="D53" s="523">
        <f>IF(F52+SUM(E$17:E52)=D$10,F52,D$10-SUM(E$17:E52))</f>
        <v>2909071.428658871</v>
      </c>
      <c r="E53" s="522">
        <f t="shared" si="18"/>
        <v>362059.64750000014</v>
      </c>
      <c r="F53" s="523">
        <f t="shared" si="19"/>
        <v>2547011.781158871</v>
      </c>
      <c r="G53" s="524">
        <f t="shared" si="23"/>
        <v>688134.63556762889</v>
      </c>
      <c r="H53" s="491">
        <f t="shared" si="24"/>
        <v>688134.63556762889</v>
      </c>
      <c r="I53" s="511">
        <f t="shared" si="3"/>
        <v>0</v>
      </c>
      <c r="J53" s="511"/>
      <c r="K53" s="525"/>
      <c r="L53" s="514">
        <f t="shared" si="22"/>
        <v>0</v>
      </c>
      <c r="M53" s="525"/>
      <c r="N53" s="514">
        <f t="shared" si="5"/>
        <v>0</v>
      </c>
      <c r="O53" s="514">
        <f t="shared" si="6"/>
        <v>0</v>
      </c>
      <c r="P53" s="272"/>
    </row>
    <row r="54" spans="2:16">
      <c r="B54" s="195" t="str">
        <f t="shared" si="4"/>
        <v/>
      </c>
      <c r="C54" s="507">
        <f>IF(D11="","-",+C53+1)</f>
        <v>2052</v>
      </c>
      <c r="D54" s="523">
        <f>IF(F53+SUM(E$17:E53)=D$10,F53,D$10-SUM(E$17:E53))</f>
        <v>2547011.781158871</v>
      </c>
      <c r="E54" s="522">
        <f t="shared" si="18"/>
        <v>362059.64750000014</v>
      </c>
      <c r="F54" s="523">
        <f t="shared" si="19"/>
        <v>2184952.1336588711</v>
      </c>
      <c r="G54" s="524">
        <f t="shared" si="23"/>
        <v>644858.68441428267</v>
      </c>
      <c r="H54" s="491">
        <f t="shared" si="24"/>
        <v>644858.68441428267</v>
      </c>
      <c r="I54" s="511">
        <f t="shared" si="3"/>
        <v>0</v>
      </c>
      <c r="J54" s="511"/>
      <c r="K54" s="525"/>
      <c r="L54" s="514">
        <f t="shared" si="22"/>
        <v>0</v>
      </c>
      <c r="M54" s="525"/>
      <c r="N54" s="514">
        <f t="shared" si="5"/>
        <v>0</v>
      </c>
      <c r="O54" s="514">
        <f t="shared" si="6"/>
        <v>0</v>
      </c>
      <c r="P54" s="272"/>
    </row>
    <row r="55" spans="2:16">
      <c r="B55" s="195" t="str">
        <f t="shared" si="4"/>
        <v/>
      </c>
      <c r="C55" s="507">
        <f>IF(D11="","-",+C54+1)</f>
        <v>2053</v>
      </c>
      <c r="D55" s="523">
        <f>IF(F54+SUM(E$17:E54)=D$10,F54,D$10-SUM(E$17:E54))</f>
        <v>2184952.1336588711</v>
      </c>
      <c r="E55" s="522">
        <f t="shared" si="18"/>
        <v>362059.64750000014</v>
      </c>
      <c r="F55" s="523">
        <f t="shared" si="19"/>
        <v>1822892.4861588709</v>
      </c>
      <c r="G55" s="524">
        <f t="shared" si="23"/>
        <v>601582.73326093657</v>
      </c>
      <c r="H55" s="491">
        <f t="shared" si="24"/>
        <v>601582.73326093657</v>
      </c>
      <c r="I55" s="511">
        <f t="shared" si="3"/>
        <v>0</v>
      </c>
      <c r="J55" s="511"/>
      <c r="K55" s="525"/>
      <c r="L55" s="514">
        <f t="shared" si="22"/>
        <v>0</v>
      </c>
      <c r="M55" s="525"/>
      <c r="N55" s="514">
        <f t="shared" si="5"/>
        <v>0</v>
      </c>
      <c r="O55" s="514">
        <f t="shared" si="6"/>
        <v>0</v>
      </c>
      <c r="P55" s="272"/>
    </row>
    <row r="56" spans="2:16">
      <c r="B56" s="195" t="str">
        <f t="shared" si="4"/>
        <v/>
      </c>
      <c r="C56" s="507">
        <f>IF(D11="","-",+C55+1)</f>
        <v>2054</v>
      </c>
      <c r="D56" s="523">
        <f>IF(F55+SUM(E$17:E55)=D$10,F55,D$10-SUM(E$17:E55))</f>
        <v>1822892.4861588709</v>
      </c>
      <c r="E56" s="522">
        <f t="shared" si="18"/>
        <v>362059.64750000014</v>
      </c>
      <c r="F56" s="523">
        <f t="shared" si="19"/>
        <v>1460832.8386588707</v>
      </c>
      <c r="G56" s="524">
        <f t="shared" si="23"/>
        <v>558306.78210759035</v>
      </c>
      <c r="H56" s="491">
        <f t="shared" si="24"/>
        <v>558306.78210759035</v>
      </c>
      <c r="I56" s="511">
        <f t="shared" si="3"/>
        <v>0</v>
      </c>
      <c r="J56" s="511"/>
      <c r="K56" s="525"/>
      <c r="L56" s="514">
        <f t="shared" si="22"/>
        <v>0</v>
      </c>
      <c r="M56" s="525"/>
      <c r="N56" s="514">
        <f t="shared" si="5"/>
        <v>0</v>
      </c>
      <c r="O56" s="514">
        <f t="shared" si="6"/>
        <v>0</v>
      </c>
      <c r="P56" s="272"/>
    </row>
    <row r="57" spans="2:16">
      <c r="B57" s="195" t="str">
        <f t="shared" si="4"/>
        <v/>
      </c>
      <c r="C57" s="507">
        <f>IF(D11="","-",+C56+1)</f>
        <v>2055</v>
      </c>
      <c r="D57" s="523">
        <f>IF(F56+SUM(E$17:E56)=D$10,F56,D$10-SUM(E$17:E56))</f>
        <v>1460832.8386588707</v>
      </c>
      <c r="E57" s="522">
        <f t="shared" si="18"/>
        <v>362059.64750000014</v>
      </c>
      <c r="F57" s="523">
        <f t="shared" si="19"/>
        <v>1098773.1911588705</v>
      </c>
      <c r="G57" s="524">
        <f t="shared" si="23"/>
        <v>515030.83095424424</v>
      </c>
      <c r="H57" s="491">
        <f t="shared" si="24"/>
        <v>515030.83095424424</v>
      </c>
      <c r="I57" s="511">
        <f t="shared" si="3"/>
        <v>0</v>
      </c>
      <c r="J57" s="511"/>
      <c r="K57" s="525"/>
      <c r="L57" s="514">
        <f t="shared" si="22"/>
        <v>0</v>
      </c>
      <c r="M57" s="525"/>
      <c r="N57" s="514">
        <f t="shared" si="5"/>
        <v>0</v>
      </c>
      <c r="O57" s="514">
        <f t="shared" si="6"/>
        <v>0</v>
      </c>
      <c r="P57" s="272"/>
    </row>
    <row r="58" spans="2:16">
      <c r="B58" s="195" t="str">
        <f t="shared" si="4"/>
        <v/>
      </c>
      <c r="C58" s="507">
        <f>IF(D11="","-",+C57+1)</f>
        <v>2056</v>
      </c>
      <c r="D58" s="523">
        <f>IF(F57+SUM(E$17:E57)=D$10,F57,D$10-SUM(E$17:E57))</f>
        <v>1098773.1911588705</v>
      </c>
      <c r="E58" s="522">
        <f t="shared" si="18"/>
        <v>362059.64750000014</v>
      </c>
      <c r="F58" s="523">
        <f t="shared" si="19"/>
        <v>736713.54365887027</v>
      </c>
      <c r="G58" s="524">
        <f t="shared" si="23"/>
        <v>471754.87980089802</v>
      </c>
      <c r="H58" s="491">
        <f t="shared" si="24"/>
        <v>471754.87980089802</v>
      </c>
      <c r="I58" s="511">
        <f t="shared" si="3"/>
        <v>0</v>
      </c>
      <c r="J58" s="511"/>
      <c r="K58" s="525"/>
      <c r="L58" s="514">
        <f t="shared" si="22"/>
        <v>0</v>
      </c>
      <c r="M58" s="525"/>
      <c r="N58" s="514">
        <f t="shared" si="5"/>
        <v>0</v>
      </c>
      <c r="O58" s="514">
        <f t="shared" si="6"/>
        <v>0</v>
      </c>
      <c r="P58" s="272"/>
    </row>
    <row r="59" spans="2:16">
      <c r="B59" s="195" t="str">
        <f t="shared" si="4"/>
        <v/>
      </c>
      <c r="C59" s="507">
        <f>IF(D11="","-",+C58+1)</f>
        <v>2057</v>
      </c>
      <c r="D59" s="523">
        <f>IF(F58+SUM(E$17:E58)=D$10,F58,D$10-SUM(E$17:E58))</f>
        <v>736713.54365887027</v>
      </c>
      <c r="E59" s="522">
        <f t="shared" si="18"/>
        <v>362059.64750000014</v>
      </c>
      <c r="F59" s="523">
        <f t="shared" si="19"/>
        <v>374653.89615887013</v>
      </c>
      <c r="G59" s="524">
        <f t="shared" si="23"/>
        <v>428478.9286475518</v>
      </c>
      <c r="H59" s="491">
        <f t="shared" si="24"/>
        <v>428478.9286475518</v>
      </c>
      <c r="I59" s="511">
        <f t="shared" si="3"/>
        <v>0</v>
      </c>
      <c r="J59" s="511"/>
      <c r="K59" s="525"/>
      <c r="L59" s="514">
        <f t="shared" si="22"/>
        <v>0</v>
      </c>
      <c r="M59" s="525"/>
      <c r="N59" s="514">
        <f t="shared" si="5"/>
        <v>0</v>
      </c>
      <c r="O59" s="514">
        <f t="shared" si="6"/>
        <v>0</v>
      </c>
      <c r="P59" s="272"/>
    </row>
    <row r="60" spans="2:16">
      <c r="B60" s="195" t="str">
        <f t="shared" si="4"/>
        <v/>
      </c>
      <c r="C60" s="507">
        <f>IF(D11="","-",+C59+1)</f>
        <v>2058</v>
      </c>
      <c r="D60" s="523">
        <f>IF(F59+SUM(E$17:E59)=D$10,F59,D$10-SUM(E$17:E59))</f>
        <v>374653.89615887013</v>
      </c>
      <c r="E60" s="522">
        <f t="shared" si="18"/>
        <v>362059.64750000014</v>
      </c>
      <c r="F60" s="523">
        <f t="shared" si="19"/>
        <v>12594.248658869998</v>
      </c>
      <c r="G60" s="524">
        <f t="shared" si="23"/>
        <v>385202.97749420564</v>
      </c>
      <c r="H60" s="491">
        <f t="shared" si="24"/>
        <v>385202.97749420564</v>
      </c>
      <c r="I60" s="511">
        <f t="shared" si="3"/>
        <v>0</v>
      </c>
      <c r="J60" s="511"/>
      <c r="K60" s="525"/>
      <c r="L60" s="514">
        <f t="shared" si="22"/>
        <v>0</v>
      </c>
      <c r="M60" s="525"/>
      <c r="N60" s="514">
        <f t="shared" si="5"/>
        <v>0</v>
      </c>
      <c r="O60" s="514">
        <f t="shared" si="6"/>
        <v>0</v>
      </c>
      <c r="P60" s="272"/>
    </row>
    <row r="61" spans="2:16">
      <c r="B61" s="195" t="str">
        <f t="shared" si="4"/>
        <v/>
      </c>
      <c r="C61" s="507">
        <f>IF(D11="","-",+C60+1)</f>
        <v>2059</v>
      </c>
      <c r="D61" s="523">
        <f>IF(F60+SUM(E$17:E60)=D$10,F60,D$10-SUM(E$17:E60))</f>
        <v>12594.248658869998</v>
      </c>
      <c r="E61" s="522">
        <f t="shared" si="18"/>
        <v>12594.248658869998</v>
      </c>
      <c r="F61" s="523">
        <f t="shared" si="19"/>
        <v>0</v>
      </c>
      <c r="G61" s="524">
        <f t="shared" si="23"/>
        <v>13346.925867636204</v>
      </c>
      <c r="H61" s="491">
        <f t="shared" si="24"/>
        <v>13346.925867636204</v>
      </c>
      <c r="I61" s="511">
        <f t="shared" si="3"/>
        <v>0</v>
      </c>
      <c r="J61" s="511"/>
      <c r="K61" s="525"/>
      <c r="L61" s="514">
        <f t="shared" si="22"/>
        <v>0</v>
      </c>
      <c r="M61" s="525"/>
      <c r="N61" s="514">
        <f t="shared" si="5"/>
        <v>0</v>
      </c>
      <c r="O61" s="514">
        <f t="shared" si="6"/>
        <v>0</v>
      </c>
      <c r="P61" s="272"/>
    </row>
    <row r="62" spans="2:16">
      <c r="B62" s="195" t="str">
        <f t="shared" si="4"/>
        <v/>
      </c>
      <c r="C62" s="507">
        <f>IF(D11="","-",+C61+1)</f>
        <v>2060</v>
      </c>
      <c r="D62" s="523">
        <f>IF(F61+SUM(E$17:E61)=D$10,F61,D$10-SUM(E$17:E61))</f>
        <v>0</v>
      </c>
      <c r="E62" s="522">
        <f t="shared" si="18"/>
        <v>0</v>
      </c>
      <c r="F62" s="523">
        <f t="shared" si="19"/>
        <v>0</v>
      </c>
      <c r="G62" s="524">
        <f t="shared" si="23"/>
        <v>0</v>
      </c>
      <c r="H62" s="491">
        <f t="shared" si="24"/>
        <v>0</v>
      </c>
      <c r="I62" s="511">
        <f t="shared" si="3"/>
        <v>0</v>
      </c>
      <c r="J62" s="511"/>
      <c r="K62" s="525"/>
      <c r="L62" s="514">
        <f t="shared" si="22"/>
        <v>0</v>
      </c>
      <c r="M62" s="525"/>
      <c r="N62" s="514">
        <f t="shared" si="5"/>
        <v>0</v>
      </c>
      <c r="O62" s="514">
        <f t="shared" si="6"/>
        <v>0</v>
      </c>
      <c r="P62" s="272"/>
    </row>
    <row r="63" spans="2:16">
      <c r="B63" s="195" t="str">
        <f t="shared" si="4"/>
        <v/>
      </c>
      <c r="C63" s="507">
        <f>IF(D11="","-",+C62+1)</f>
        <v>2061</v>
      </c>
      <c r="D63" s="523">
        <f>IF(F62+SUM(E$17:E62)=D$10,F62,D$10-SUM(E$17:E62))</f>
        <v>0</v>
      </c>
      <c r="E63" s="522">
        <f t="shared" si="18"/>
        <v>0</v>
      </c>
      <c r="F63" s="523">
        <f t="shared" si="19"/>
        <v>0</v>
      </c>
      <c r="G63" s="524">
        <f t="shared" si="23"/>
        <v>0</v>
      </c>
      <c r="H63" s="491">
        <f t="shared" si="24"/>
        <v>0</v>
      </c>
      <c r="I63" s="511">
        <f t="shared" si="3"/>
        <v>0</v>
      </c>
      <c r="J63" s="511"/>
      <c r="K63" s="525"/>
      <c r="L63" s="514">
        <f t="shared" si="22"/>
        <v>0</v>
      </c>
      <c r="M63" s="525"/>
      <c r="N63" s="514">
        <f t="shared" si="5"/>
        <v>0</v>
      </c>
      <c r="O63" s="514">
        <f t="shared" si="6"/>
        <v>0</v>
      </c>
      <c r="P63" s="272"/>
    </row>
    <row r="64" spans="2:16">
      <c r="B64" s="195" t="str">
        <f t="shared" si="4"/>
        <v/>
      </c>
      <c r="C64" s="507">
        <f>IF(D11="","-",+C63+1)</f>
        <v>2062</v>
      </c>
      <c r="D64" s="523">
        <f>IF(F63+SUM(E$17:E63)=D$10,F63,D$10-SUM(E$17:E63))</f>
        <v>0</v>
      </c>
      <c r="E64" s="522">
        <f t="shared" si="18"/>
        <v>0</v>
      </c>
      <c r="F64" s="523">
        <f t="shared" si="19"/>
        <v>0</v>
      </c>
      <c r="G64" s="524">
        <f t="shared" si="23"/>
        <v>0</v>
      </c>
      <c r="H64" s="491">
        <f t="shared" si="24"/>
        <v>0</v>
      </c>
      <c r="I64" s="511">
        <f t="shared" si="3"/>
        <v>0</v>
      </c>
      <c r="J64" s="511"/>
      <c r="K64" s="525"/>
      <c r="L64" s="514">
        <f t="shared" si="22"/>
        <v>0</v>
      </c>
      <c r="M64" s="525"/>
      <c r="N64" s="514">
        <f t="shared" si="5"/>
        <v>0</v>
      </c>
      <c r="O64" s="514">
        <f t="shared" si="6"/>
        <v>0</v>
      </c>
      <c r="P64" s="272"/>
    </row>
    <row r="65" spans="2:16">
      <c r="B65" s="195" t="str">
        <f t="shared" si="4"/>
        <v/>
      </c>
      <c r="C65" s="507">
        <f>IF(D11="","-",+C64+1)</f>
        <v>2063</v>
      </c>
      <c r="D65" s="523">
        <f>IF(F64+SUM(E$17:E64)=D$10,F64,D$10-SUM(E$17:E64))</f>
        <v>0</v>
      </c>
      <c r="E65" s="522">
        <f t="shared" si="18"/>
        <v>0</v>
      </c>
      <c r="F65" s="523">
        <f t="shared" si="19"/>
        <v>0</v>
      </c>
      <c r="G65" s="524">
        <f t="shared" si="23"/>
        <v>0</v>
      </c>
      <c r="H65" s="491">
        <f t="shared" si="24"/>
        <v>0</v>
      </c>
      <c r="I65" s="511">
        <f t="shared" si="3"/>
        <v>0</v>
      </c>
      <c r="J65" s="511"/>
      <c r="K65" s="525"/>
      <c r="L65" s="514">
        <f t="shared" si="22"/>
        <v>0</v>
      </c>
      <c r="M65" s="525"/>
      <c r="N65" s="514">
        <f t="shared" si="5"/>
        <v>0</v>
      </c>
      <c r="O65" s="514">
        <f t="shared" si="6"/>
        <v>0</v>
      </c>
      <c r="P65" s="272"/>
    </row>
    <row r="66" spans="2:16">
      <c r="B66" s="195" t="str">
        <f t="shared" si="4"/>
        <v/>
      </c>
      <c r="C66" s="507">
        <f>IF(D11="","-",+C65+1)</f>
        <v>2064</v>
      </c>
      <c r="D66" s="523">
        <f>IF(F65+SUM(E$17:E65)=D$10,F65,D$10-SUM(E$17:E65))</f>
        <v>0</v>
      </c>
      <c r="E66" s="522">
        <f t="shared" si="18"/>
        <v>0</v>
      </c>
      <c r="F66" s="523">
        <f t="shared" si="19"/>
        <v>0</v>
      </c>
      <c r="G66" s="524">
        <f t="shared" si="23"/>
        <v>0</v>
      </c>
      <c r="H66" s="491">
        <f t="shared" si="24"/>
        <v>0</v>
      </c>
      <c r="I66" s="511">
        <f t="shared" si="3"/>
        <v>0</v>
      </c>
      <c r="J66" s="511"/>
      <c r="K66" s="525"/>
      <c r="L66" s="514">
        <f t="shared" si="22"/>
        <v>0</v>
      </c>
      <c r="M66" s="525"/>
      <c r="N66" s="514">
        <f t="shared" si="5"/>
        <v>0</v>
      </c>
      <c r="O66" s="514">
        <f t="shared" si="6"/>
        <v>0</v>
      </c>
      <c r="P66" s="272"/>
    </row>
    <row r="67" spans="2:16">
      <c r="B67" s="195" t="str">
        <f t="shared" si="4"/>
        <v/>
      </c>
      <c r="C67" s="507">
        <f>IF(D11="","-",+C66+1)</f>
        <v>2065</v>
      </c>
      <c r="D67" s="523">
        <f>IF(F66+SUM(E$17:E66)=D$10,F66,D$10-SUM(E$17:E66))</f>
        <v>0</v>
      </c>
      <c r="E67" s="522">
        <f t="shared" si="18"/>
        <v>0</v>
      </c>
      <c r="F67" s="523">
        <f t="shared" si="19"/>
        <v>0</v>
      </c>
      <c r="G67" s="524">
        <f t="shared" si="23"/>
        <v>0</v>
      </c>
      <c r="H67" s="491">
        <f t="shared" si="24"/>
        <v>0</v>
      </c>
      <c r="I67" s="511">
        <f t="shared" si="3"/>
        <v>0</v>
      </c>
      <c r="J67" s="511"/>
      <c r="K67" s="525"/>
      <c r="L67" s="514">
        <f t="shared" si="22"/>
        <v>0</v>
      </c>
      <c r="M67" s="525"/>
      <c r="N67" s="514">
        <f t="shared" si="5"/>
        <v>0</v>
      </c>
      <c r="O67" s="514">
        <f t="shared" si="6"/>
        <v>0</v>
      </c>
      <c r="P67" s="272"/>
    </row>
    <row r="68" spans="2:16">
      <c r="B68" s="195" t="str">
        <f t="shared" si="4"/>
        <v/>
      </c>
      <c r="C68" s="507">
        <f>IF(D11="","-",+C67+1)</f>
        <v>2066</v>
      </c>
      <c r="D68" s="523">
        <f>IF(F67+SUM(E$17:E67)=D$10,F67,D$10-SUM(E$17:E67))</f>
        <v>0</v>
      </c>
      <c r="E68" s="522">
        <f t="shared" si="18"/>
        <v>0</v>
      </c>
      <c r="F68" s="523">
        <f t="shared" si="19"/>
        <v>0</v>
      </c>
      <c r="G68" s="524">
        <f t="shared" si="23"/>
        <v>0</v>
      </c>
      <c r="H68" s="491">
        <f t="shared" si="24"/>
        <v>0</v>
      </c>
      <c r="I68" s="511">
        <f t="shared" si="3"/>
        <v>0</v>
      </c>
      <c r="J68" s="511"/>
      <c r="K68" s="525"/>
      <c r="L68" s="514">
        <f t="shared" si="22"/>
        <v>0</v>
      </c>
      <c r="M68" s="525"/>
      <c r="N68" s="514">
        <f t="shared" si="5"/>
        <v>0</v>
      </c>
      <c r="O68" s="514">
        <f t="shared" si="6"/>
        <v>0</v>
      </c>
      <c r="P68" s="272"/>
    </row>
    <row r="69" spans="2:16">
      <c r="B69" s="195" t="str">
        <f t="shared" si="4"/>
        <v/>
      </c>
      <c r="C69" s="507">
        <f>IF(D11="","-",+C68+1)</f>
        <v>2067</v>
      </c>
      <c r="D69" s="523">
        <f>IF(F68+SUM(E$17:E68)=D$10,F68,D$10-SUM(E$17:E68))</f>
        <v>0</v>
      </c>
      <c r="E69" s="522">
        <f t="shared" si="18"/>
        <v>0</v>
      </c>
      <c r="F69" s="523">
        <f t="shared" si="19"/>
        <v>0</v>
      </c>
      <c r="G69" s="524">
        <f t="shared" si="23"/>
        <v>0</v>
      </c>
      <c r="H69" s="491">
        <f t="shared" si="24"/>
        <v>0</v>
      </c>
      <c r="I69" s="511">
        <f t="shared" si="3"/>
        <v>0</v>
      </c>
      <c r="J69" s="511"/>
      <c r="K69" s="525"/>
      <c r="L69" s="514">
        <f t="shared" si="22"/>
        <v>0</v>
      </c>
      <c r="M69" s="525"/>
      <c r="N69" s="514">
        <f t="shared" si="5"/>
        <v>0</v>
      </c>
      <c r="O69" s="514">
        <f t="shared" si="6"/>
        <v>0</v>
      </c>
      <c r="P69" s="272"/>
    </row>
    <row r="70" spans="2:16">
      <c r="B70" s="195" t="str">
        <f t="shared" si="4"/>
        <v/>
      </c>
      <c r="C70" s="507">
        <f>IF(D11="","-",+C69+1)</f>
        <v>2068</v>
      </c>
      <c r="D70" s="523">
        <f>IF(F69+SUM(E$17:E69)=D$10,F69,D$10-SUM(E$17:E69))</f>
        <v>0</v>
      </c>
      <c r="E70" s="522">
        <f t="shared" si="18"/>
        <v>0</v>
      </c>
      <c r="F70" s="523">
        <f t="shared" si="19"/>
        <v>0</v>
      </c>
      <c r="G70" s="524">
        <f t="shared" si="23"/>
        <v>0</v>
      </c>
      <c r="H70" s="491">
        <f t="shared" si="24"/>
        <v>0</v>
      </c>
      <c r="I70" s="511">
        <f t="shared" si="3"/>
        <v>0</v>
      </c>
      <c r="J70" s="511"/>
      <c r="K70" s="525"/>
      <c r="L70" s="514">
        <f t="shared" si="22"/>
        <v>0</v>
      </c>
      <c r="M70" s="525"/>
      <c r="N70" s="514">
        <f t="shared" si="5"/>
        <v>0</v>
      </c>
      <c r="O70" s="514">
        <f t="shared" si="6"/>
        <v>0</v>
      </c>
      <c r="P70" s="272"/>
    </row>
    <row r="71" spans="2:16">
      <c r="B71" s="195" t="str">
        <f t="shared" si="4"/>
        <v/>
      </c>
      <c r="C71" s="507">
        <f>IF(D11="","-",+C70+1)</f>
        <v>2069</v>
      </c>
      <c r="D71" s="523">
        <f>IF(F70+SUM(E$17:E70)=D$10,F70,D$10-SUM(E$17:E70))</f>
        <v>0</v>
      </c>
      <c r="E71" s="522">
        <f t="shared" si="18"/>
        <v>0</v>
      </c>
      <c r="F71" s="523">
        <f t="shared" si="19"/>
        <v>0</v>
      </c>
      <c r="G71" s="524">
        <f t="shared" si="23"/>
        <v>0</v>
      </c>
      <c r="H71" s="491">
        <f t="shared" si="24"/>
        <v>0</v>
      </c>
      <c r="I71" s="511">
        <f t="shared" si="3"/>
        <v>0</v>
      </c>
      <c r="J71" s="511"/>
      <c r="K71" s="525"/>
      <c r="L71" s="514">
        <f t="shared" si="22"/>
        <v>0</v>
      </c>
      <c r="M71" s="525"/>
      <c r="N71" s="514">
        <f t="shared" si="5"/>
        <v>0</v>
      </c>
      <c r="O71" s="514">
        <f t="shared" si="6"/>
        <v>0</v>
      </c>
      <c r="P71" s="272"/>
    </row>
    <row r="72" spans="2:16" ht="13.5" thickBot="1">
      <c r="B72" s="195" t="str">
        <f t="shared" si="4"/>
        <v/>
      </c>
      <c r="C72" s="527">
        <f>IF(D11="","-",+C71+1)</f>
        <v>2070</v>
      </c>
      <c r="D72" s="523">
        <f>IF(F71+SUM(E$17:E71)=D$10,F71,D$10-SUM(E$17:E71))</f>
        <v>0</v>
      </c>
      <c r="E72" s="522">
        <f t="shared" si="18"/>
        <v>0</v>
      </c>
      <c r="F72" s="523">
        <f t="shared" si="19"/>
        <v>0</v>
      </c>
      <c r="G72" s="524">
        <f t="shared" si="23"/>
        <v>0</v>
      </c>
      <c r="H72" s="491">
        <f t="shared" si="24"/>
        <v>0</v>
      </c>
      <c r="I72" s="511">
        <f t="shared" si="3"/>
        <v>0</v>
      </c>
      <c r="J72" s="511"/>
      <c r="K72" s="532"/>
      <c r="L72" s="533">
        <f t="shared" si="22"/>
        <v>0</v>
      </c>
      <c r="M72" s="532"/>
      <c r="N72" s="533">
        <f t="shared" si="5"/>
        <v>0</v>
      </c>
      <c r="O72" s="533">
        <f t="shared" si="6"/>
        <v>0</v>
      </c>
      <c r="P72" s="272"/>
    </row>
    <row r="73" spans="2:16">
      <c r="C73" s="374" t="s">
        <v>78</v>
      </c>
      <c r="D73" s="375"/>
      <c r="E73" s="375">
        <f>SUM(E17:E72)</f>
        <v>15930624.490000013</v>
      </c>
      <c r="F73" s="375"/>
      <c r="G73" s="375">
        <f>SUM(G17:G72)</f>
        <v>58134535.294839576</v>
      </c>
      <c r="H73" s="375">
        <f>SUM(H17:H72)</f>
        <v>58134535.294839576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2:16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2:16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2:16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2:16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272"/>
      <c r="P77" s="272"/>
    </row>
    <row r="78" spans="2:16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2:16"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  <c r="O79" s="269"/>
      <c r="P79" s="269"/>
    </row>
    <row r="80" spans="2:16" ht="18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6">
      <c r="B81" s="269"/>
      <c r="C81" s="340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6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</row>
    <row r="83" spans="1:16" ht="20.25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451" t="str">
        <f ca="1">P1</f>
        <v>SWEPCO Project 50 of 75</v>
      </c>
    </row>
    <row r="84" spans="1:16" ht="18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538" t="s">
        <v>128</v>
      </c>
    </row>
    <row r="85" spans="1:16" ht="18.7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</row>
    <row r="86" spans="1:16" ht="15.75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2022</v>
      </c>
      <c r="M86" s="541" t="s">
        <v>9</v>
      </c>
      <c r="N86" s="542" t="s">
        <v>159</v>
      </c>
      <c r="O86" s="543" t="s">
        <v>11</v>
      </c>
      <c r="P86" s="269"/>
    </row>
    <row r="87" spans="1:16" ht="1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391</v>
      </c>
      <c r="M87" s="546">
        <f>IF(J92&lt;D11,0,VLOOKUP(J92,C17:O72,9))</f>
        <v>1869593.2846943685</v>
      </c>
      <c r="N87" s="546">
        <f>IF(J92&lt;D11,0,VLOOKUP(J92,C17:O72,11))</f>
        <v>1869593.2846943685</v>
      </c>
      <c r="O87" s="547">
        <f>+N87-M87</f>
        <v>0</v>
      </c>
      <c r="P87" s="269"/>
    </row>
    <row r="88" spans="1:16" ht="15.7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392</v>
      </c>
      <c r="M88" s="550">
        <f>IF(J92&lt;D11,0,VLOOKUP(J92,C99:P154,6))</f>
        <v>1938275.0190161855</v>
      </c>
      <c r="N88" s="550">
        <f>IF(J92&lt;D11,0,VLOOKUP(J92,C99:P154,7))</f>
        <v>1938275.0190161855</v>
      </c>
      <c r="O88" s="551">
        <f>+N88-M88</f>
        <v>0</v>
      </c>
      <c r="P88" s="269"/>
    </row>
    <row r="89" spans="1:16" ht="13.5" thickBot="1">
      <c r="C89" s="467" t="s">
        <v>84</v>
      </c>
      <c r="D89" s="552" t="str">
        <f>+D7</f>
        <v>Dekalb-New Boston 69 kV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68681.734321817057</v>
      </c>
      <c r="N89" s="555">
        <f>+N88-N87</f>
        <v>68681.734321817057</v>
      </c>
      <c r="O89" s="556">
        <f>+O88-O87</f>
        <v>0</v>
      </c>
      <c r="P89" s="269"/>
    </row>
    <row r="90" spans="1:16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</row>
    <row r="91" spans="1:16" ht="13.5" thickBot="1">
      <c r="A91" s="191"/>
      <c r="C91" s="558" t="s">
        <v>85</v>
      </c>
      <c r="D91" s="559" t="str">
        <f>+D9</f>
        <v>TP2012144</v>
      </c>
      <c r="E91" s="560"/>
      <c r="F91" s="560"/>
      <c r="G91" s="560"/>
      <c r="H91" s="560"/>
      <c r="I91" s="560"/>
      <c r="J91" s="560"/>
      <c r="K91" s="562"/>
      <c r="P91" s="481"/>
    </row>
    <row r="92" spans="1:16">
      <c r="C92" s="486" t="s">
        <v>51</v>
      </c>
      <c r="D92" s="628">
        <v>15930624</v>
      </c>
      <c r="E92" s="340" t="s">
        <v>86</v>
      </c>
      <c r="H92" s="484"/>
      <c r="I92" s="484"/>
      <c r="J92" s="485">
        <f>+'SWE.WS.G.BPU.ATRR.True-up'!M16</f>
        <v>2022</v>
      </c>
      <c r="K92" s="480"/>
      <c r="L92" s="375" t="s">
        <v>87</v>
      </c>
      <c r="P92" s="272"/>
    </row>
    <row r="93" spans="1:16">
      <c r="C93" s="486" t="s">
        <v>54</v>
      </c>
      <c r="D93" s="563">
        <f>IF(D11=I10,"",D11)</f>
        <v>2015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</row>
    <row r="94" spans="1:16">
      <c r="C94" s="486" t="s">
        <v>56</v>
      </c>
      <c r="D94" s="564">
        <f>IF(D11=I10,"",D12)</f>
        <v>6</v>
      </c>
      <c r="E94" s="486" t="s">
        <v>57</v>
      </c>
      <c r="F94" s="484"/>
      <c r="G94" s="484"/>
      <c r="J94" s="490">
        <f>'SWE.WS.G.BPU.ATRR.True-up'!$F$81</f>
        <v>0.11351422637179906</v>
      </c>
      <c r="K94" s="425"/>
      <c r="L94" s="183" t="s">
        <v>88</v>
      </c>
      <c r="P94" s="272"/>
    </row>
    <row r="95" spans="1:16">
      <c r="C95" s="486" t="s">
        <v>59</v>
      </c>
      <c r="D95" s="488">
        <f>'SWE.WS.G.BPU.ATRR.True-up'!F$93</f>
        <v>41</v>
      </c>
      <c r="E95" s="486" t="s">
        <v>60</v>
      </c>
      <c r="F95" s="484"/>
      <c r="G95" s="484"/>
      <c r="J95" s="490">
        <f>IF(H87="",J94,'SWE.WS.G.BPU.ATRR.True-up'!$F$80)</f>
        <v>0.11351422637179906</v>
      </c>
      <c r="K95" s="324"/>
      <c r="L95" s="375" t="s">
        <v>61</v>
      </c>
      <c r="M95" s="324"/>
      <c r="N95" s="324"/>
      <c r="O95" s="324"/>
      <c r="P95" s="272"/>
    </row>
    <row r="96" spans="1:16" ht="13.5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388551.80487804877</v>
      </c>
      <c r="K96" s="375"/>
      <c r="L96" s="375"/>
      <c r="M96" s="375"/>
      <c r="N96" s="375"/>
      <c r="O96" s="375"/>
      <c r="P96" s="272"/>
    </row>
    <row r="97" spans="1:16" ht="38.25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388</v>
      </c>
      <c r="I97" s="495" t="s">
        <v>389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</row>
    <row r="98" spans="1:16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</row>
    <row r="99" spans="1:16">
      <c r="C99" s="507">
        <f>IF(D93= "","-",D93)</f>
        <v>2015</v>
      </c>
      <c r="D99" s="629">
        <v>0</v>
      </c>
      <c r="E99" s="630">
        <v>187832.27380952382</v>
      </c>
      <c r="F99" s="631">
        <v>15590078.726190476</v>
      </c>
      <c r="G99" s="632">
        <v>7795039.3630952379</v>
      </c>
      <c r="H99" s="633">
        <v>1214975.8636759706</v>
      </c>
      <c r="I99" s="634">
        <v>1214975.8636759706</v>
      </c>
      <c r="J99" s="514">
        <f>+I99-H99</f>
        <v>0</v>
      </c>
      <c r="K99" s="514"/>
      <c r="L99" s="512">
        <f t="shared" ref="L99:L104" si="25">+H99</f>
        <v>1214975.8636759706</v>
      </c>
      <c r="M99" s="513">
        <f t="shared" ref="M99:M130" si="26">IF(L99&lt;&gt;0,+H99-L99,0)</f>
        <v>0</v>
      </c>
      <c r="N99" s="512">
        <f t="shared" ref="N99:N104" si="27">+I99</f>
        <v>1214975.8636759706</v>
      </c>
      <c r="O99" s="513">
        <f t="shared" ref="O99:O130" si="28">IF(N99&lt;&gt;0,+I99-N99,0)</f>
        <v>0</v>
      </c>
      <c r="P99" s="513">
        <f t="shared" ref="P99:P130" si="29">+O99-M99</f>
        <v>0</v>
      </c>
    </row>
    <row r="100" spans="1:16">
      <c r="B100" s="195" t="str">
        <f>IF(D100=F99,"","IU")</f>
        <v>IU</v>
      </c>
      <c r="C100" s="507">
        <f>IF(D93="","-",+C99+1)</f>
        <v>2016</v>
      </c>
      <c r="D100" s="629">
        <v>15804084.726190476</v>
      </c>
      <c r="E100" s="630">
        <v>371905.04651162791</v>
      </c>
      <c r="F100" s="631">
        <v>15432179.679678848</v>
      </c>
      <c r="G100" s="631">
        <v>15618132.202934662</v>
      </c>
      <c r="H100" s="633">
        <v>2354626.7467602715</v>
      </c>
      <c r="I100" s="634">
        <v>2354626.7467602715</v>
      </c>
      <c r="J100" s="514">
        <f>+I100-H100</f>
        <v>0</v>
      </c>
      <c r="K100" s="514"/>
      <c r="L100" s="518">
        <f t="shared" si="25"/>
        <v>2354626.7467602715</v>
      </c>
      <c r="M100" s="514">
        <f t="shared" ref="M100:M105" si="30">IF(L100&lt;&gt;0,+H100-L100,0)</f>
        <v>0</v>
      </c>
      <c r="N100" s="518">
        <f t="shared" si="27"/>
        <v>2354626.7467602715</v>
      </c>
      <c r="O100" s="514">
        <f>IF(N100&lt;&gt;0,+I100-N100,0)</f>
        <v>0</v>
      </c>
      <c r="P100" s="514">
        <f>+O100-M100</f>
        <v>0</v>
      </c>
    </row>
    <row r="101" spans="1:16">
      <c r="B101" s="195" t="str">
        <f t="shared" ref="B101:B154" si="31">IF(D101=F100,"","IU")</f>
        <v>IU</v>
      </c>
      <c r="C101" s="507">
        <f>IF(D93="","-",+C100+1)</f>
        <v>2017</v>
      </c>
      <c r="D101" s="629">
        <v>15582465.679678848</v>
      </c>
      <c r="E101" s="630">
        <v>384338.16666666669</v>
      </c>
      <c r="F101" s="631">
        <v>15198127.513012182</v>
      </c>
      <c r="G101" s="631">
        <v>15390296.596345514</v>
      </c>
      <c r="H101" s="633">
        <v>2253819.9284135839</v>
      </c>
      <c r="I101" s="634">
        <v>2253819.9284135839</v>
      </c>
      <c r="J101" s="514">
        <f t="shared" ref="J101:J154" si="32">+I101-H101</f>
        <v>0</v>
      </c>
      <c r="K101" s="514"/>
      <c r="L101" s="518">
        <f t="shared" si="25"/>
        <v>2253819.9284135839</v>
      </c>
      <c r="M101" s="514">
        <f t="shared" si="30"/>
        <v>0</v>
      </c>
      <c r="N101" s="518">
        <f t="shared" si="27"/>
        <v>2253819.9284135839</v>
      </c>
      <c r="O101" s="514">
        <f>IF(N101&lt;&gt;0,+I101-N101,0)</f>
        <v>0</v>
      </c>
      <c r="P101" s="514">
        <f>+O101-M101</f>
        <v>0</v>
      </c>
    </row>
    <row r="102" spans="1:16">
      <c r="B102" s="195" t="str">
        <f t="shared" si="31"/>
        <v>IU</v>
      </c>
      <c r="C102" s="507">
        <f>IF(D93="","-",+C101+1)</f>
        <v>2018</v>
      </c>
      <c r="D102" s="629">
        <v>15265261.513012182</v>
      </c>
      <c r="E102" s="630">
        <v>385936.59523809527</v>
      </c>
      <c r="F102" s="631">
        <v>14879324.917774087</v>
      </c>
      <c r="G102" s="631">
        <v>15072293.215393133</v>
      </c>
      <c r="H102" s="633">
        <v>1977639.8776041078</v>
      </c>
      <c r="I102" s="634">
        <v>1977639.8776041078</v>
      </c>
      <c r="J102" s="514">
        <f t="shared" si="32"/>
        <v>0</v>
      </c>
      <c r="K102" s="514"/>
      <c r="L102" s="518">
        <f t="shared" si="25"/>
        <v>1977639.8776041078</v>
      </c>
      <c r="M102" s="514">
        <f t="shared" si="30"/>
        <v>0</v>
      </c>
      <c r="N102" s="518">
        <f t="shared" si="27"/>
        <v>1977639.8776041078</v>
      </c>
      <c r="O102" s="514">
        <f>IF(N102&lt;&gt;0,+I102-N102,0)</f>
        <v>0</v>
      </c>
      <c r="P102" s="514">
        <f>+O102-M102</f>
        <v>0</v>
      </c>
    </row>
    <row r="103" spans="1:16">
      <c r="B103" s="195" t="str">
        <f t="shared" si="31"/>
        <v>IU</v>
      </c>
      <c r="C103" s="507">
        <f>IF(D93="","-",+C102+1)</f>
        <v>2019</v>
      </c>
      <c r="D103" s="629">
        <v>14600611.917774087</v>
      </c>
      <c r="E103" s="630">
        <v>370479.62790697673</v>
      </c>
      <c r="F103" s="631">
        <v>14230132.289867111</v>
      </c>
      <c r="G103" s="631">
        <v>14415372.1038206</v>
      </c>
      <c r="H103" s="633">
        <v>1913508.9365071231</v>
      </c>
      <c r="I103" s="634">
        <v>1913508.9365071231</v>
      </c>
      <c r="J103" s="514">
        <f t="shared" si="32"/>
        <v>0</v>
      </c>
      <c r="K103" s="514"/>
      <c r="L103" s="518">
        <f t="shared" si="25"/>
        <v>1913508.9365071231</v>
      </c>
      <c r="M103" s="514">
        <f t="shared" si="30"/>
        <v>0</v>
      </c>
      <c r="N103" s="518">
        <f t="shared" si="27"/>
        <v>1913508.9365071231</v>
      </c>
      <c r="O103" s="514">
        <f t="shared" si="28"/>
        <v>0</v>
      </c>
      <c r="P103" s="514">
        <f t="shared" si="29"/>
        <v>0</v>
      </c>
    </row>
    <row r="104" spans="1:16">
      <c r="B104" s="195" t="str">
        <f t="shared" si="31"/>
        <v/>
      </c>
      <c r="C104" s="507">
        <f>IF(D93="","-",+C103+1)</f>
        <v>2020</v>
      </c>
      <c r="D104" s="629">
        <v>14230132.289867111</v>
      </c>
      <c r="E104" s="630">
        <v>379300.57142857142</v>
      </c>
      <c r="F104" s="631">
        <v>13850831.71843854</v>
      </c>
      <c r="G104" s="631">
        <v>14040482.004152825</v>
      </c>
      <c r="H104" s="633">
        <v>1889689.0307729272</v>
      </c>
      <c r="I104" s="634">
        <v>1889689.0307729272</v>
      </c>
      <c r="J104" s="514">
        <f t="shared" si="32"/>
        <v>0</v>
      </c>
      <c r="K104" s="514"/>
      <c r="L104" s="518">
        <f t="shared" si="25"/>
        <v>1889689.0307729272</v>
      </c>
      <c r="M104" s="514">
        <f t="shared" si="30"/>
        <v>0</v>
      </c>
      <c r="N104" s="518">
        <f t="shared" si="27"/>
        <v>1889689.0307729272</v>
      </c>
      <c r="O104" s="514">
        <f t="shared" si="28"/>
        <v>0</v>
      </c>
      <c r="P104" s="514">
        <f t="shared" si="29"/>
        <v>0</v>
      </c>
    </row>
    <row r="105" spans="1:16">
      <c r="B105" s="195" t="str">
        <f t="shared" si="31"/>
        <v/>
      </c>
      <c r="C105" s="507">
        <f>IF(D93="","-",+C104+1)</f>
        <v>2021</v>
      </c>
      <c r="D105" s="629">
        <v>13850831.71843854</v>
      </c>
      <c r="E105" s="630">
        <v>388551.80487804877</v>
      </c>
      <c r="F105" s="631">
        <v>13462279.913560491</v>
      </c>
      <c r="G105" s="631">
        <v>13656555.815999515</v>
      </c>
      <c r="H105" s="633">
        <v>1938765.1732345268</v>
      </c>
      <c r="I105" s="634">
        <v>1938765.1732345268</v>
      </c>
      <c r="J105" s="514">
        <f t="shared" si="32"/>
        <v>0</v>
      </c>
      <c r="K105" s="514"/>
      <c r="L105" s="518">
        <f t="shared" ref="L105" si="33">+H105</f>
        <v>1938765.1732345268</v>
      </c>
      <c r="M105" s="514">
        <f t="shared" si="30"/>
        <v>0</v>
      </c>
      <c r="N105" s="518">
        <f t="shared" ref="N105" si="34">+I105</f>
        <v>1938765.1732345268</v>
      </c>
      <c r="O105" s="514">
        <f t="shared" ref="O105" si="35">IF(N105&lt;&gt;0,+I105-N105,0)</f>
        <v>0</v>
      </c>
      <c r="P105" s="514">
        <f t="shared" ref="P105" si="36">+O105-M105</f>
        <v>0</v>
      </c>
    </row>
    <row r="106" spans="1:16">
      <c r="B106" s="195" t="str">
        <f t="shared" si="31"/>
        <v/>
      </c>
      <c r="C106" s="673">
        <f>IF(D93="","-",+C105+1)</f>
        <v>2022</v>
      </c>
      <c r="D106" s="374">
        <v>13462279.913560491</v>
      </c>
      <c r="E106" s="522">
        <v>379300.57142857142</v>
      </c>
      <c r="F106" s="523">
        <v>13082979.34213192</v>
      </c>
      <c r="G106" s="523">
        <v>13272629.627846206</v>
      </c>
      <c r="H106" s="526">
        <v>1938275.0190161855</v>
      </c>
      <c r="I106" s="577">
        <v>1938275.0190161855</v>
      </c>
      <c r="J106" s="514">
        <f t="shared" si="32"/>
        <v>0</v>
      </c>
      <c r="K106" s="514"/>
      <c r="L106" s="525"/>
      <c r="M106" s="514">
        <f t="shared" si="26"/>
        <v>0</v>
      </c>
      <c r="N106" s="525"/>
      <c r="O106" s="514">
        <f t="shared" si="28"/>
        <v>0</v>
      </c>
      <c r="P106" s="514">
        <f t="shared" si="29"/>
        <v>0</v>
      </c>
    </row>
    <row r="107" spans="1:16">
      <c r="B107" s="195" t="str">
        <f t="shared" si="31"/>
        <v/>
      </c>
      <c r="C107" s="507">
        <f>IF(D93="","-",+C106+1)</f>
        <v>2023</v>
      </c>
      <c r="D107" s="374">
        <f>IF(F106+SUM(E$99:E106)=D$92,F106,D$92-SUM(E$99:E106))</f>
        <v>13082979.34213192</v>
      </c>
      <c r="E107" s="522">
        <f t="shared" ref="E107:E154" si="37">IF(+$J$96&lt;F106,$J$96,D107)</f>
        <v>388551.80487804877</v>
      </c>
      <c r="F107" s="523">
        <f t="shared" ref="F107:F154" si="38">+D107-E107</f>
        <v>12694427.537253872</v>
      </c>
      <c r="G107" s="523">
        <f t="shared" ref="G107:G154" si="39">+(F107+D107)/2</f>
        <v>12888703.439692896</v>
      </c>
      <c r="H107" s="526">
        <f t="shared" ref="H107:H154" si="40">+J$94*G107+E107</f>
        <v>1851603.0047703334</v>
      </c>
      <c r="I107" s="577">
        <f t="shared" ref="I107:I154" si="41">+J$95*G107+E107</f>
        <v>1851603.0047703334</v>
      </c>
      <c r="J107" s="514">
        <f t="shared" si="32"/>
        <v>0</v>
      </c>
      <c r="K107" s="514"/>
      <c r="L107" s="525"/>
      <c r="M107" s="514">
        <f t="shared" si="26"/>
        <v>0</v>
      </c>
      <c r="N107" s="525"/>
      <c r="O107" s="514">
        <f t="shared" si="28"/>
        <v>0</v>
      </c>
      <c r="P107" s="514">
        <f t="shared" si="29"/>
        <v>0</v>
      </c>
    </row>
    <row r="108" spans="1:16">
      <c r="B108" s="195" t="str">
        <f t="shared" si="31"/>
        <v/>
      </c>
      <c r="C108" s="507">
        <f>IF(D93="","-",+C107+1)</f>
        <v>2024</v>
      </c>
      <c r="D108" s="374">
        <f>IF(F107+SUM(E$99:E107)=D$92,F107,D$92-SUM(E$99:E107))</f>
        <v>12694427.537253872</v>
      </c>
      <c r="E108" s="522">
        <f t="shared" si="37"/>
        <v>388551.80487804877</v>
      </c>
      <c r="F108" s="523">
        <f t="shared" si="38"/>
        <v>12305875.732375823</v>
      </c>
      <c r="G108" s="523">
        <f t="shared" si="39"/>
        <v>12500151.634814847</v>
      </c>
      <c r="H108" s="526">
        <f t="shared" si="40"/>
        <v>1807496.8472342356</v>
      </c>
      <c r="I108" s="577">
        <f t="shared" si="41"/>
        <v>1807496.8472342356</v>
      </c>
      <c r="J108" s="514">
        <f t="shared" si="32"/>
        <v>0</v>
      </c>
      <c r="K108" s="514"/>
      <c r="L108" s="525"/>
      <c r="M108" s="514">
        <f t="shared" si="26"/>
        <v>0</v>
      </c>
      <c r="N108" s="525"/>
      <c r="O108" s="514">
        <f t="shared" si="28"/>
        <v>0</v>
      </c>
      <c r="P108" s="514">
        <f t="shared" si="29"/>
        <v>0</v>
      </c>
    </row>
    <row r="109" spans="1:16">
      <c r="B109" s="195" t="str">
        <f t="shared" si="31"/>
        <v/>
      </c>
      <c r="C109" s="507">
        <f>IF(D93="","-",+C108+1)</f>
        <v>2025</v>
      </c>
      <c r="D109" s="374">
        <f>IF(F108+SUM(E$99:E108)=D$92,F108,D$92-SUM(E$99:E108))</f>
        <v>12305875.732375823</v>
      </c>
      <c r="E109" s="522">
        <f t="shared" si="37"/>
        <v>388551.80487804877</v>
      </c>
      <c r="F109" s="523">
        <f t="shared" si="38"/>
        <v>11917323.927497774</v>
      </c>
      <c r="G109" s="523">
        <f t="shared" si="39"/>
        <v>12111599.829936799</v>
      </c>
      <c r="H109" s="526">
        <f t="shared" si="40"/>
        <v>1763390.6896981376</v>
      </c>
      <c r="I109" s="577">
        <f t="shared" si="41"/>
        <v>1763390.6896981376</v>
      </c>
      <c r="J109" s="514">
        <f t="shared" si="32"/>
        <v>0</v>
      </c>
      <c r="K109" s="514"/>
      <c r="L109" s="525"/>
      <c r="M109" s="514">
        <f t="shared" si="26"/>
        <v>0</v>
      </c>
      <c r="N109" s="525"/>
      <c r="O109" s="514">
        <f t="shared" si="28"/>
        <v>0</v>
      </c>
      <c r="P109" s="514">
        <f t="shared" si="29"/>
        <v>0</v>
      </c>
    </row>
    <row r="110" spans="1:16">
      <c r="B110" s="195" t="str">
        <f t="shared" si="31"/>
        <v/>
      </c>
      <c r="C110" s="507">
        <f>IF(D93="","-",+C109+1)</f>
        <v>2026</v>
      </c>
      <c r="D110" s="374">
        <f>IF(F109+SUM(E$99:E109)=D$92,F109,D$92-SUM(E$99:E109))</f>
        <v>11917323.927497774</v>
      </c>
      <c r="E110" s="522">
        <f t="shared" si="37"/>
        <v>388551.80487804877</v>
      </c>
      <c r="F110" s="523">
        <f t="shared" si="38"/>
        <v>11528772.122619726</v>
      </c>
      <c r="G110" s="523">
        <f t="shared" si="39"/>
        <v>11723048.02505875</v>
      </c>
      <c r="H110" s="526">
        <f t="shared" si="40"/>
        <v>1719284.5321620398</v>
      </c>
      <c r="I110" s="577">
        <f t="shared" si="41"/>
        <v>1719284.5321620398</v>
      </c>
      <c r="J110" s="514">
        <f t="shared" si="32"/>
        <v>0</v>
      </c>
      <c r="K110" s="514"/>
      <c r="L110" s="525"/>
      <c r="M110" s="514">
        <f t="shared" si="26"/>
        <v>0</v>
      </c>
      <c r="N110" s="525"/>
      <c r="O110" s="514">
        <f t="shared" si="28"/>
        <v>0</v>
      </c>
      <c r="P110" s="514">
        <f t="shared" si="29"/>
        <v>0</v>
      </c>
    </row>
    <row r="111" spans="1:16">
      <c r="B111" s="195" t="str">
        <f t="shared" si="31"/>
        <v/>
      </c>
      <c r="C111" s="507">
        <f>IF(D93="","-",+C110+1)</f>
        <v>2027</v>
      </c>
      <c r="D111" s="374">
        <f>IF(F110+SUM(E$99:E110)=D$92,F110,D$92-SUM(E$99:E110))</f>
        <v>11528772.122619726</v>
      </c>
      <c r="E111" s="522">
        <f t="shared" si="37"/>
        <v>388551.80487804877</v>
      </c>
      <c r="F111" s="523">
        <f t="shared" si="38"/>
        <v>11140220.317741677</v>
      </c>
      <c r="G111" s="523">
        <f t="shared" si="39"/>
        <v>11334496.220180701</v>
      </c>
      <c r="H111" s="526">
        <f t="shared" si="40"/>
        <v>1675178.3746259417</v>
      </c>
      <c r="I111" s="577">
        <f t="shared" si="41"/>
        <v>1675178.3746259417</v>
      </c>
      <c r="J111" s="514">
        <f t="shared" si="32"/>
        <v>0</v>
      </c>
      <c r="K111" s="514"/>
      <c r="L111" s="525"/>
      <c r="M111" s="514">
        <f t="shared" si="26"/>
        <v>0</v>
      </c>
      <c r="N111" s="525"/>
      <c r="O111" s="514">
        <f t="shared" si="28"/>
        <v>0</v>
      </c>
      <c r="P111" s="514">
        <f t="shared" si="29"/>
        <v>0</v>
      </c>
    </row>
    <row r="112" spans="1:16">
      <c r="B112" s="195" t="str">
        <f t="shared" si="31"/>
        <v/>
      </c>
      <c r="C112" s="507">
        <f>IF(D93="","-",+C111+1)</f>
        <v>2028</v>
      </c>
      <c r="D112" s="374">
        <f>IF(F111+SUM(E$99:E111)=D$92,F111,D$92-SUM(E$99:E111))</f>
        <v>11140220.317741677</v>
      </c>
      <c r="E112" s="522">
        <f t="shared" si="37"/>
        <v>388551.80487804877</v>
      </c>
      <c r="F112" s="523">
        <f t="shared" si="38"/>
        <v>10751668.512863629</v>
      </c>
      <c r="G112" s="523">
        <f t="shared" si="39"/>
        <v>10945944.415302653</v>
      </c>
      <c r="H112" s="526">
        <f t="shared" si="40"/>
        <v>1631072.2170898439</v>
      </c>
      <c r="I112" s="577">
        <f t="shared" si="41"/>
        <v>1631072.2170898439</v>
      </c>
      <c r="J112" s="514">
        <f t="shared" si="32"/>
        <v>0</v>
      </c>
      <c r="K112" s="514"/>
      <c r="L112" s="525"/>
      <c r="M112" s="514">
        <f t="shared" si="26"/>
        <v>0</v>
      </c>
      <c r="N112" s="525"/>
      <c r="O112" s="514">
        <f t="shared" si="28"/>
        <v>0</v>
      </c>
      <c r="P112" s="514">
        <f t="shared" si="29"/>
        <v>0</v>
      </c>
    </row>
    <row r="113" spans="2:16">
      <c r="B113" s="195" t="str">
        <f t="shared" si="31"/>
        <v/>
      </c>
      <c r="C113" s="507">
        <f>IF(D93="","-",+C112+1)</f>
        <v>2029</v>
      </c>
      <c r="D113" s="374">
        <f>IF(F112+SUM(E$99:E112)=D$92,F112,D$92-SUM(E$99:E112))</f>
        <v>10751668.512863629</v>
      </c>
      <c r="E113" s="522">
        <f t="shared" si="37"/>
        <v>388551.80487804877</v>
      </c>
      <c r="F113" s="523">
        <f t="shared" si="38"/>
        <v>10363116.70798558</v>
      </c>
      <c r="G113" s="523">
        <f t="shared" si="39"/>
        <v>10557392.610424604</v>
      </c>
      <c r="H113" s="526">
        <f t="shared" si="40"/>
        <v>1586966.0595537459</v>
      </c>
      <c r="I113" s="577">
        <f t="shared" si="41"/>
        <v>1586966.0595537459</v>
      </c>
      <c r="J113" s="514">
        <f t="shared" si="32"/>
        <v>0</v>
      </c>
      <c r="K113" s="514"/>
      <c r="L113" s="525"/>
      <c r="M113" s="514">
        <f t="shared" si="26"/>
        <v>0</v>
      </c>
      <c r="N113" s="525"/>
      <c r="O113" s="514">
        <f t="shared" si="28"/>
        <v>0</v>
      </c>
      <c r="P113" s="514">
        <f t="shared" si="29"/>
        <v>0</v>
      </c>
    </row>
    <row r="114" spans="2:16">
      <c r="B114" s="195" t="str">
        <f t="shared" si="31"/>
        <v/>
      </c>
      <c r="C114" s="507">
        <f>IF(D93="","-",+C113+1)</f>
        <v>2030</v>
      </c>
      <c r="D114" s="374">
        <f>IF(F113+SUM(E$99:E113)=D$92,F113,D$92-SUM(E$99:E113))</f>
        <v>10363116.70798558</v>
      </c>
      <c r="E114" s="522">
        <f t="shared" si="37"/>
        <v>388551.80487804877</v>
      </c>
      <c r="F114" s="523">
        <f t="shared" si="38"/>
        <v>9974564.9031075314</v>
      </c>
      <c r="G114" s="523">
        <f t="shared" si="39"/>
        <v>10168840.805546556</v>
      </c>
      <c r="H114" s="526">
        <f t="shared" si="40"/>
        <v>1542859.9020176481</v>
      </c>
      <c r="I114" s="577">
        <f t="shared" si="41"/>
        <v>1542859.9020176481</v>
      </c>
      <c r="J114" s="514">
        <f t="shared" si="32"/>
        <v>0</v>
      </c>
      <c r="K114" s="514"/>
      <c r="L114" s="525"/>
      <c r="M114" s="514">
        <f t="shared" si="26"/>
        <v>0</v>
      </c>
      <c r="N114" s="525"/>
      <c r="O114" s="514">
        <f t="shared" si="28"/>
        <v>0</v>
      </c>
      <c r="P114" s="514">
        <f t="shared" si="29"/>
        <v>0</v>
      </c>
    </row>
    <row r="115" spans="2:16">
      <c r="B115" s="195" t="str">
        <f t="shared" si="31"/>
        <v/>
      </c>
      <c r="C115" s="507">
        <f>IF(D93="","-",+C114+1)</f>
        <v>2031</v>
      </c>
      <c r="D115" s="374">
        <f>IF(F114+SUM(E$99:E114)=D$92,F114,D$92-SUM(E$99:E114))</f>
        <v>9974564.9031075314</v>
      </c>
      <c r="E115" s="522">
        <f t="shared" si="37"/>
        <v>388551.80487804877</v>
      </c>
      <c r="F115" s="523">
        <f t="shared" si="38"/>
        <v>9586013.0982294828</v>
      </c>
      <c r="G115" s="523">
        <f t="shared" si="39"/>
        <v>9780289.0006685071</v>
      </c>
      <c r="H115" s="526">
        <f t="shared" si="40"/>
        <v>1498753.7444815501</v>
      </c>
      <c r="I115" s="577">
        <f t="shared" si="41"/>
        <v>1498753.7444815501</v>
      </c>
      <c r="J115" s="514">
        <f t="shared" si="32"/>
        <v>0</v>
      </c>
      <c r="K115" s="514"/>
      <c r="L115" s="525"/>
      <c r="M115" s="514">
        <f t="shared" si="26"/>
        <v>0</v>
      </c>
      <c r="N115" s="525"/>
      <c r="O115" s="514">
        <f t="shared" si="28"/>
        <v>0</v>
      </c>
      <c r="P115" s="514">
        <f t="shared" si="29"/>
        <v>0</v>
      </c>
    </row>
    <row r="116" spans="2:16">
      <c r="B116" s="195" t="str">
        <f t="shared" si="31"/>
        <v/>
      </c>
      <c r="C116" s="507">
        <f>IF(D93="","-",+C115+1)</f>
        <v>2032</v>
      </c>
      <c r="D116" s="374">
        <f>IF(F115+SUM(E$99:E115)=D$92,F115,D$92-SUM(E$99:E115))</f>
        <v>9586013.0982294828</v>
      </c>
      <c r="E116" s="522">
        <f t="shared" si="37"/>
        <v>388551.80487804877</v>
      </c>
      <c r="F116" s="523">
        <f t="shared" si="38"/>
        <v>9197461.2933514342</v>
      </c>
      <c r="G116" s="523">
        <f t="shared" si="39"/>
        <v>9391737.1957904585</v>
      </c>
      <c r="H116" s="526">
        <f t="shared" si="40"/>
        <v>1454647.5869454523</v>
      </c>
      <c r="I116" s="577">
        <f t="shared" si="41"/>
        <v>1454647.5869454523</v>
      </c>
      <c r="J116" s="514">
        <f t="shared" si="32"/>
        <v>0</v>
      </c>
      <c r="K116" s="514"/>
      <c r="L116" s="525"/>
      <c r="M116" s="514">
        <f t="shared" si="26"/>
        <v>0</v>
      </c>
      <c r="N116" s="525"/>
      <c r="O116" s="514">
        <f t="shared" si="28"/>
        <v>0</v>
      </c>
      <c r="P116" s="514">
        <f t="shared" si="29"/>
        <v>0</v>
      </c>
    </row>
    <row r="117" spans="2:16">
      <c r="B117" s="195" t="str">
        <f t="shared" si="31"/>
        <v/>
      </c>
      <c r="C117" s="507">
        <f>IF(D93="","-",+C116+1)</f>
        <v>2033</v>
      </c>
      <c r="D117" s="374">
        <f>IF(F116+SUM(E$99:E116)=D$92,F116,D$92-SUM(E$99:E116))</f>
        <v>9197461.2933514342</v>
      </c>
      <c r="E117" s="522">
        <f t="shared" si="37"/>
        <v>388551.80487804877</v>
      </c>
      <c r="F117" s="523">
        <f t="shared" si="38"/>
        <v>8808909.4884733856</v>
      </c>
      <c r="G117" s="523">
        <f t="shared" si="39"/>
        <v>9003185.3909124099</v>
      </c>
      <c r="H117" s="526">
        <f t="shared" si="40"/>
        <v>1410541.4294093542</v>
      </c>
      <c r="I117" s="577">
        <f t="shared" si="41"/>
        <v>1410541.4294093542</v>
      </c>
      <c r="J117" s="514">
        <f t="shared" si="32"/>
        <v>0</v>
      </c>
      <c r="K117" s="514"/>
      <c r="L117" s="525"/>
      <c r="M117" s="514">
        <f t="shared" si="26"/>
        <v>0</v>
      </c>
      <c r="N117" s="525"/>
      <c r="O117" s="514">
        <f t="shared" si="28"/>
        <v>0</v>
      </c>
      <c r="P117" s="514">
        <f t="shared" si="29"/>
        <v>0</v>
      </c>
    </row>
    <row r="118" spans="2:16">
      <c r="B118" s="195" t="str">
        <f t="shared" si="31"/>
        <v/>
      </c>
      <c r="C118" s="507">
        <f>IF(D93="","-",+C117+1)</f>
        <v>2034</v>
      </c>
      <c r="D118" s="374">
        <f>IF(F117+SUM(E$99:E117)=D$92,F117,D$92-SUM(E$99:E117))</f>
        <v>8808909.4884733856</v>
      </c>
      <c r="E118" s="522">
        <f t="shared" si="37"/>
        <v>388551.80487804877</v>
      </c>
      <c r="F118" s="523">
        <f t="shared" si="38"/>
        <v>8420357.683595337</v>
      </c>
      <c r="G118" s="523">
        <f t="shared" si="39"/>
        <v>8614633.5860343613</v>
      </c>
      <c r="H118" s="526">
        <f t="shared" si="40"/>
        <v>1366435.2718732564</v>
      </c>
      <c r="I118" s="577">
        <f t="shared" si="41"/>
        <v>1366435.2718732564</v>
      </c>
      <c r="J118" s="514">
        <f t="shared" si="32"/>
        <v>0</v>
      </c>
      <c r="K118" s="514"/>
      <c r="L118" s="525"/>
      <c r="M118" s="514">
        <f t="shared" si="26"/>
        <v>0</v>
      </c>
      <c r="N118" s="525"/>
      <c r="O118" s="514">
        <f t="shared" si="28"/>
        <v>0</v>
      </c>
      <c r="P118" s="514">
        <f t="shared" si="29"/>
        <v>0</v>
      </c>
    </row>
    <row r="119" spans="2:16">
      <c r="B119" s="195" t="str">
        <f t="shared" si="31"/>
        <v/>
      </c>
      <c r="C119" s="507">
        <f>IF(D93="","-",+C118+1)</f>
        <v>2035</v>
      </c>
      <c r="D119" s="374">
        <f>IF(F118+SUM(E$99:E118)=D$92,F118,D$92-SUM(E$99:E118))</f>
        <v>8420357.683595337</v>
      </c>
      <c r="E119" s="522">
        <f t="shared" si="37"/>
        <v>388551.80487804877</v>
      </c>
      <c r="F119" s="523">
        <f t="shared" si="38"/>
        <v>8031805.8787172884</v>
      </c>
      <c r="G119" s="523">
        <f t="shared" si="39"/>
        <v>8226081.7811563127</v>
      </c>
      <c r="H119" s="526">
        <f t="shared" si="40"/>
        <v>1322329.1143371584</v>
      </c>
      <c r="I119" s="577">
        <f t="shared" si="41"/>
        <v>1322329.1143371584</v>
      </c>
      <c r="J119" s="514">
        <f t="shared" si="32"/>
        <v>0</v>
      </c>
      <c r="K119" s="514"/>
      <c r="L119" s="525"/>
      <c r="M119" s="514">
        <f t="shared" si="26"/>
        <v>0</v>
      </c>
      <c r="N119" s="525"/>
      <c r="O119" s="514">
        <f t="shared" si="28"/>
        <v>0</v>
      </c>
      <c r="P119" s="514">
        <f t="shared" si="29"/>
        <v>0</v>
      </c>
    </row>
    <row r="120" spans="2:16">
      <c r="B120" s="195" t="str">
        <f t="shared" si="31"/>
        <v/>
      </c>
      <c r="C120" s="507">
        <f>IF(D93="","-",+C119+1)</f>
        <v>2036</v>
      </c>
      <c r="D120" s="374">
        <f>IF(F119+SUM(E$99:E119)=D$92,F119,D$92-SUM(E$99:E119))</f>
        <v>8031805.8787172884</v>
      </c>
      <c r="E120" s="522">
        <f t="shared" si="37"/>
        <v>388551.80487804877</v>
      </c>
      <c r="F120" s="523">
        <f t="shared" si="38"/>
        <v>7643254.0738392398</v>
      </c>
      <c r="G120" s="523">
        <f t="shared" si="39"/>
        <v>7837529.9762782641</v>
      </c>
      <c r="H120" s="526">
        <f t="shared" si="40"/>
        <v>1278222.9568010606</v>
      </c>
      <c r="I120" s="577">
        <f t="shared" si="41"/>
        <v>1278222.9568010606</v>
      </c>
      <c r="J120" s="514">
        <f t="shared" si="32"/>
        <v>0</v>
      </c>
      <c r="K120" s="514"/>
      <c r="L120" s="525"/>
      <c r="M120" s="514">
        <f t="shared" si="26"/>
        <v>0</v>
      </c>
      <c r="N120" s="525"/>
      <c r="O120" s="514">
        <f t="shared" si="28"/>
        <v>0</v>
      </c>
      <c r="P120" s="514">
        <f t="shared" si="29"/>
        <v>0</v>
      </c>
    </row>
    <row r="121" spans="2:16">
      <c r="B121" s="195" t="str">
        <f t="shared" si="31"/>
        <v/>
      </c>
      <c r="C121" s="507">
        <f>IF(D93="","-",+C120+1)</f>
        <v>2037</v>
      </c>
      <c r="D121" s="374">
        <f>IF(F120+SUM(E$99:E120)=D$92,F120,D$92-SUM(E$99:E120))</f>
        <v>7643254.0738392398</v>
      </c>
      <c r="E121" s="522">
        <f t="shared" si="37"/>
        <v>388551.80487804877</v>
      </c>
      <c r="F121" s="523">
        <f t="shared" si="38"/>
        <v>7254702.2689611912</v>
      </c>
      <c r="G121" s="523">
        <f t="shared" si="39"/>
        <v>7448978.1714002155</v>
      </c>
      <c r="H121" s="526">
        <f t="shared" si="40"/>
        <v>1234116.7992649626</v>
      </c>
      <c r="I121" s="577">
        <f t="shared" si="41"/>
        <v>1234116.7992649626</v>
      </c>
      <c r="J121" s="514">
        <f t="shared" si="32"/>
        <v>0</v>
      </c>
      <c r="K121" s="514"/>
      <c r="L121" s="525"/>
      <c r="M121" s="514">
        <f t="shared" si="26"/>
        <v>0</v>
      </c>
      <c r="N121" s="525"/>
      <c r="O121" s="514">
        <f t="shared" si="28"/>
        <v>0</v>
      </c>
      <c r="P121" s="514">
        <f t="shared" si="29"/>
        <v>0</v>
      </c>
    </row>
    <row r="122" spans="2:16">
      <c r="B122" s="195" t="str">
        <f t="shared" si="31"/>
        <v/>
      </c>
      <c r="C122" s="507">
        <f>IF(D93="","-",+C121+1)</f>
        <v>2038</v>
      </c>
      <c r="D122" s="374">
        <f>IF(F121+SUM(E$99:E121)=D$92,F121,D$92-SUM(E$99:E121))</f>
        <v>7254702.2689611912</v>
      </c>
      <c r="E122" s="522">
        <f t="shared" si="37"/>
        <v>388551.80487804877</v>
      </c>
      <c r="F122" s="523">
        <f t="shared" si="38"/>
        <v>6866150.4640831426</v>
      </c>
      <c r="G122" s="523">
        <f t="shared" si="39"/>
        <v>7060426.3665221669</v>
      </c>
      <c r="H122" s="526">
        <f t="shared" si="40"/>
        <v>1190010.6417288647</v>
      </c>
      <c r="I122" s="577">
        <f t="shared" si="41"/>
        <v>1190010.6417288647</v>
      </c>
      <c r="J122" s="514">
        <f t="shared" si="32"/>
        <v>0</v>
      </c>
      <c r="K122" s="514"/>
      <c r="L122" s="525"/>
      <c r="M122" s="514">
        <f t="shared" si="26"/>
        <v>0</v>
      </c>
      <c r="N122" s="525"/>
      <c r="O122" s="514">
        <f t="shared" si="28"/>
        <v>0</v>
      </c>
      <c r="P122" s="514">
        <f t="shared" si="29"/>
        <v>0</v>
      </c>
    </row>
    <row r="123" spans="2:16">
      <c r="B123" s="195" t="str">
        <f t="shared" si="31"/>
        <v/>
      </c>
      <c r="C123" s="507">
        <f>IF(D93="","-",+C122+1)</f>
        <v>2039</v>
      </c>
      <c r="D123" s="374">
        <f>IF(F122+SUM(E$99:E122)=D$92,F122,D$92-SUM(E$99:E122))</f>
        <v>6866150.4640831426</v>
      </c>
      <c r="E123" s="522">
        <f t="shared" si="37"/>
        <v>388551.80487804877</v>
      </c>
      <c r="F123" s="523">
        <f t="shared" si="38"/>
        <v>6477598.659205094</v>
      </c>
      <c r="G123" s="523">
        <f t="shared" si="39"/>
        <v>6671874.5616441183</v>
      </c>
      <c r="H123" s="526">
        <f t="shared" si="40"/>
        <v>1145904.4841927669</v>
      </c>
      <c r="I123" s="577">
        <f t="shared" si="41"/>
        <v>1145904.4841927669</v>
      </c>
      <c r="J123" s="514">
        <f t="shared" si="32"/>
        <v>0</v>
      </c>
      <c r="K123" s="514"/>
      <c r="L123" s="525"/>
      <c r="M123" s="514">
        <f t="shared" si="26"/>
        <v>0</v>
      </c>
      <c r="N123" s="525"/>
      <c r="O123" s="514">
        <f t="shared" si="28"/>
        <v>0</v>
      </c>
      <c r="P123" s="514">
        <f t="shared" si="29"/>
        <v>0</v>
      </c>
    </row>
    <row r="124" spans="2:16">
      <c r="B124" s="195" t="str">
        <f t="shared" si="31"/>
        <v/>
      </c>
      <c r="C124" s="507">
        <f>IF(D93="","-",+C123+1)</f>
        <v>2040</v>
      </c>
      <c r="D124" s="374">
        <f>IF(F123+SUM(E$99:E123)=D$92,F123,D$92-SUM(E$99:E123))</f>
        <v>6477598.659205094</v>
      </c>
      <c r="E124" s="522">
        <f t="shared" si="37"/>
        <v>388551.80487804877</v>
      </c>
      <c r="F124" s="523">
        <f t="shared" si="38"/>
        <v>6089046.8543270454</v>
      </c>
      <c r="G124" s="523">
        <f t="shared" si="39"/>
        <v>6283322.7567660697</v>
      </c>
      <c r="H124" s="526">
        <f t="shared" si="40"/>
        <v>1101798.3266566689</v>
      </c>
      <c r="I124" s="577">
        <f t="shared" si="41"/>
        <v>1101798.3266566689</v>
      </c>
      <c r="J124" s="514">
        <f t="shared" si="32"/>
        <v>0</v>
      </c>
      <c r="K124" s="514"/>
      <c r="L124" s="525"/>
      <c r="M124" s="514">
        <f t="shared" si="26"/>
        <v>0</v>
      </c>
      <c r="N124" s="525"/>
      <c r="O124" s="514">
        <f t="shared" si="28"/>
        <v>0</v>
      </c>
      <c r="P124" s="514">
        <f t="shared" si="29"/>
        <v>0</v>
      </c>
    </row>
    <row r="125" spans="2:16">
      <c r="B125" s="195" t="str">
        <f t="shared" si="31"/>
        <v/>
      </c>
      <c r="C125" s="507">
        <f>IF(D93="","-",+C124+1)</f>
        <v>2041</v>
      </c>
      <c r="D125" s="374">
        <f>IF(F124+SUM(E$99:E124)=D$92,F124,D$92-SUM(E$99:E124))</f>
        <v>6089046.8543270454</v>
      </c>
      <c r="E125" s="522">
        <f t="shared" si="37"/>
        <v>388551.80487804877</v>
      </c>
      <c r="F125" s="523">
        <f t="shared" si="38"/>
        <v>5700495.0494489968</v>
      </c>
      <c r="G125" s="523">
        <f t="shared" si="39"/>
        <v>5894770.9518880211</v>
      </c>
      <c r="H125" s="526">
        <f t="shared" si="40"/>
        <v>1057692.1691205711</v>
      </c>
      <c r="I125" s="577">
        <f t="shared" si="41"/>
        <v>1057692.1691205711</v>
      </c>
      <c r="J125" s="514">
        <f t="shared" si="32"/>
        <v>0</v>
      </c>
      <c r="K125" s="514"/>
      <c r="L125" s="525"/>
      <c r="M125" s="514">
        <f t="shared" si="26"/>
        <v>0</v>
      </c>
      <c r="N125" s="525"/>
      <c r="O125" s="514">
        <f t="shared" si="28"/>
        <v>0</v>
      </c>
      <c r="P125" s="514">
        <f t="shared" si="29"/>
        <v>0</v>
      </c>
    </row>
    <row r="126" spans="2:16">
      <c r="B126" s="195" t="str">
        <f t="shared" si="31"/>
        <v/>
      </c>
      <c r="C126" s="507">
        <f>IF(D93="","-",+C125+1)</f>
        <v>2042</v>
      </c>
      <c r="D126" s="374">
        <f>IF(F125+SUM(E$99:E125)=D$92,F125,D$92-SUM(E$99:E125))</f>
        <v>5700495.0494489968</v>
      </c>
      <c r="E126" s="522">
        <f t="shared" si="37"/>
        <v>388551.80487804877</v>
      </c>
      <c r="F126" s="523">
        <f t="shared" si="38"/>
        <v>5311943.2445709482</v>
      </c>
      <c r="G126" s="523">
        <f t="shared" si="39"/>
        <v>5506219.1470099725</v>
      </c>
      <c r="H126" s="526">
        <f t="shared" si="40"/>
        <v>1013586.0115844731</v>
      </c>
      <c r="I126" s="577">
        <f t="shared" si="41"/>
        <v>1013586.0115844731</v>
      </c>
      <c r="J126" s="514">
        <f t="shared" si="32"/>
        <v>0</v>
      </c>
      <c r="K126" s="514"/>
      <c r="L126" s="525"/>
      <c r="M126" s="514">
        <f t="shared" si="26"/>
        <v>0</v>
      </c>
      <c r="N126" s="525"/>
      <c r="O126" s="514">
        <f t="shared" si="28"/>
        <v>0</v>
      </c>
      <c r="P126" s="514">
        <f t="shared" si="29"/>
        <v>0</v>
      </c>
    </row>
    <row r="127" spans="2:16">
      <c r="B127" s="195" t="str">
        <f t="shared" si="31"/>
        <v/>
      </c>
      <c r="C127" s="507">
        <f>IF(D93="","-",+C126+1)</f>
        <v>2043</v>
      </c>
      <c r="D127" s="374">
        <f>IF(F126+SUM(E$99:E126)=D$92,F126,D$92-SUM(E$99:E126))</f>
        <v>5311943.2445709482</v>
      </c>
      <c r="E127" s="522">
        <f t="shared" si="37"/>
        <v>388551.80487804877</v>
      </c>
      <c r="F127" s="523">
        <f t="shared" si="38"/>
        <v>4923391.4396928996</v>
      </c>
      <c r="G127" s="523">
        <f t="shared" si="39"/>
        <v>5117667.3421319239</v>
      </c>
      <c r="H127" s="526">
        <f t="shared" si="40"/>
        <v>969479.85404837527</v>
      </c>
      <c r="I127" s="577">
        <f t="shared" si="41"/>
        <v>969479.85404837527</v>
      </c>
      <c r="J127" s="514">
        <f t="shared" si="32"/>
        <v>0</v>
      </c>
      <c r="K127" s="514"/>
      <c r="L127" s="525"/>
      <c r="M127" s="514">
        <f t="shared" si="26"/>
        <v>0</v>
      </c>
      <c r="N127" s="525"/>
      <c r="O127" s="514">
        <f t="shared" si="28"/>
        <v>0</v>
      </c>
      <c r="P127" s="514">
        <f t="shared" si="29"/>
        <v>0</v>
      </c>
    </row>
    <row r="128" spans="2:16">
      <c r="B128" s="195" t="str">
        <f t="shared" si="31"/>
        <v/>
      </c>
      <c r="C128" s="507">
        <f>IF(D93="","-",+C127+1)</f>
        <v>2044</v>
      </c>
      <c r="D128" s="374">
        <f>IF(F127+SUM(E$99:E127)=D$92,F127,D$92-SUM(E$99:E127))</f>
        <v>4923391.4396928996</v>
      </c>
      <c r="E128" s="522">
        <f t="shared" si="37"/>
        <v>388551.80487804877</v>
      </c>
      <c r="F128" s="523">
        <f t="shared" si="38"/>
        <v>4534839.634814851</v>
      </c>
      <c r="G128" s="523">
        <f t="shared" si="39"/>
        <v>4729115.5372538753</v>
      </c>
      <c r="H128" s="526">
        <f t="shared" si="40"/>
        <v>925373.69651227724</v>
      </c>
      <c r="I128" s="577">
        <f t="shared" si="41"/>
        <v>925373.69651227724</v>
      </c>
      <c r="J128" s="514">
        <f t="shared" si="32"/>
        <v>0</v>
      </c>
      <c r="K128" s="514"/>
      <c r="L128" s="525"/>
      <c r="M128" s="514">
        <f t="shared" si="26"/>
        <v>0</v>
      </c>
      <c r="N128" s="525"/>
      <c r="O128" s="514">
        <f t="shared" si="28"/>
        <v>0</v>
      </c>
      <c r="P128" s="514">
        <f t="shared" si="29"/>
        <v>0</v>
      </c>
    </row>
    <row r="129" spans="2:16">
      <c r="B129" s="195" t="str">
        <f t="shared" si="31"/>
        <v/>
      </c>
      <c r="C129" s="507">
        <f>IF(D93="","-",+C128+1)</f>
        <v>2045</v>
      </c>
      <c r="D129" s="374">
        <f>IF(F128+SUM(E$99:E128)=D$92,F128,D$92-SUM(E$99:E128))</f>
        <v>4534839.634814851</v>
      </c>
      <c r="E129" s="522">
        <f t="shared" si="37"/>
        <v>388551.80487804877</v>
      </c>
      <c r="F129" s="523">
        <f t="shared" si="38"/>
        <v>4146287.8299368024</v>
      </c>
      <c r="G129" s="523">
        <f t="shared" si="39"/>
        <v>4340563.7323758267</v>
      </c>
      <c r="H129" s="526">
        <f t="shared" si="40"/>
        <v>881267.53897617944</v>
      </c>
      <c r="I129" s="577">
        <f t="shared" si="41"/>
        <v>881267.53897617944</v>
      </c>
      <c r="J129" s="514">
        <f t="shared" si="32"/>
        <v>0</v>
      </c>
      <c r="K129" s="514"/>
      <c r="L129" s="525"/>
      <c r="M129" s="514">
        <f t="shared" si="26"/>
        <v>0</v>
      </c>
      <c r="N129" s="525"/>
      <c r="O129" s="514">
        <f t="shared" si="28"/>
        <v>0</v>
      </c>
      <c r="P129" s="514">
        <f t="shared" si="29"/>
        <v>0</v>
      </c>
    </row>
    <row r="130" spans="2:16">
      <c r="B130" s="195" t="str">
        <f t="shared" si="31"/>
        <v/>
      </c>
      <c r="C130" s="507">
        <f>IF(D93="","-",+C129+1)</f>
        <v>2046</v>
      </c>
      <c r="D130" s="374">
        <f>IF(F129+SUM(E$99:E129)=D$92,F129,D$92-SUM(E$99:E129))</f>
        <v>4146287.8299368024</v>
      </c>
      <c r="E130" s="522">
        <f t="shared" si="37"/>
        <v>388551.80487804877</v>
      </c>
      <c r="F130" s="523">
        <f t="shared" si="38"/>
        <v>3757736.0250587538</v>
      </c>
      <c r="G130" s="523">
        <f t="shared" si="39"/>
        <v>3952011.9274977781</v>
      </c>
      <c r="H130" s="526">
        <f t="shared" si="40"/>
        <v>837161.3814400814</v>
      </c>
      <c r="I130" s="577">
        <f t="shared" si="41"/>
        <v>837161.3814400814</v>
      </c>
      <c r="J130" s="514">
        <f t="shared" si="32"/>
        <v>0</v>
      </c>
      <c r="K130" s="514"/>
      <c r="L130" s="525"/>
      <c r="M130" s="514">
        <f t="shared" si="26"/>
        <v>0</v>
      </c>
      <c r="N130" s="525"/>
      <c r="O130" s="514">
        <f t="shared" si="28"/>
        <v>0</v>
      </c>
      <c r="P130" s="514">
        <f t="shared" si="29"/>
        <v>0</v>
      </c>
    </row>
    <row r="131" spans="2:16">
      <c r="B131" s="195" t="str">
        <f t="shared" si="31"/>
        <v/>
      </c>
      <c r="C131" s="507">
        <f>IF(D93="","-",+C130+1)</f>
        <v>2047</v>
      </c>
      <c r="D131" s="374">
        <f>IF(F130+SUM(E$99:E130)=D$92,F130,D$92-SUM(E$99:E130))</f>
        <v>3757736.0250587538</v>
      </c>
      <c r="E131" s="522">
        <f t="shared" si="37"/>
        <v>388551.80487804877</v>
      </c>
      <c r="F131" s="523">
        <f t="shared" si="38"/>
        <v>3369184.2201807052</v>
      </c>
      <c r="G131" s="523">
        <f t="shared" si="39"/>
        <v>3563460.1226197295</v>
      </c>
      <c r="H131" s="526">
        <f t="shared" si="40"/>
        <v>793055.2239039836</v>
      </c>
      <c r="I131" s="577">
        <f t="shared" si="41"/>
        <v>793055.2239039836</v>
      </c>
      <c r="J131" s="514">
        <f t="shared" si="32"/>
        <v>0</v>
      </c>
      <c r="K131" s="514"/>
      <c r="L131" s="525"/>
      <c r="M131" s="514">
        <f t="shared" ref="M131:M154" si="42">IF(L541&lt;&gt;0,+H541-L541,0)</f>
        <v>0</v>
      </c>
      <c r="N131" s="525"/>
      <c r="O131" s="514">
        <f t="shared" ref="O131:O154" si="43">IF(N541&lt;&gt;0,+I541-N541,0)</f>
        <v>0</v>
      </c>
      <c r="P131" s="514">
        <f t="shared" ref="P131:P154" si="44">+O541-M541</f>
        <v>0</v>
      </c>
    </row>
    <row r="132" spans="2:16">
      <c r="B132" s="195" t="str">
        <f t="shared" si="31"/>
        <v/>
      </c>
      <c r="C132" s="507">
        <f>IF(D93="","-",+C131+1)</f>
        <v>2048</v>
      </c>
      <c r="D132" s="374">
        <f>IF(F131+SUM(E$99:E131)=D$92,F131,D$92-SUM(E$99:E131))</f>
        <v>3369184.2201807052</v>
      </c>
      <c r="E132" s="522">
        <f t="shared" si="37"/>
        <v>388551.80487804877</v>
      </c>
      <c r="F132" s="523">
        <f t="shared" si="38"/>
        <v>2980632.4153026566</v>
      </c>
      <c r="G132" s="523">
        <f t="shared" si="39"/>
        <v>3174908.3177416809</v>
      </c>
      <c r="H132" s="526">
        <f t="shared" si="40"/>
        <v>748949.06636788568</v>
      </c>
      <c r="I132" s="577">
        <f t="shared" si="41"/>
        <v>748949.06636788568</v>
      </c>
      <c r="J132" s="514">
        <f t="shared" si="32"/>
        <v>0</v>
      </c>
      <c r="K132" s="514"/>
      <c r="L132" s="525"/>
      <c r="M132" s="514">
        <f t="shared" si="42"/>
        <v>0</v>
      </c>
      <c r="N132" s="525"/>
      <c r="O132" s="514">
        <f t="shared" si="43"/>
        <v>0</v>
      </c>
      <c r="P132" s="514">
        <f t="shared" si="44"/>
        <v>0</v>
      </c>
    </row>
    <row r="133" spans="2:16">
      <c r="B133" s="195" t="str">
        <f t="shared" si="31"/>
        <v/>
      </c>
      <c r="C133" s="507">
        <f>IF(D93="","-",+C132+1)</f>
        <v>2049</v>
      </c>
      <c r="D133" s="374">
        <f>IF(F132+SUM(E$99:E132)=D$92,F132,D$92-SUM(E$99:E132))</f>
        <v>2980632.4153026566</v>
      </c>
      <c r="E133" s="522">
        <f t="shared" si="37"/>
        <v>388551.80487804877</v>
      </c>
      <c r="F133" s="523">
        <f t="shared" si="38"/>
        <v>2592080.610424608</v>
      </c>
      <c r="G133" s="523">
        <f t="shared" si="39"/>
        <v>2786356.5128636323</v>
      </c>
      <c r="H133" s="526">
        <f t="shared" si="40"/>
        <v>704842.90883178776</v>
      </c>
      <c r="I133" s="577">
        <f t="shared" si="41"/>
        <v>704842.90883178776</v>
      </c>
      <c r="J133" s="514">
        <f t="shared" si="32"/>
        <v>0</v>
      </c>
      <c r="K133" s="514"/>
      <c r="L133" s="525"/>
      <c r="M133" s="514">
        <f t="shared" si="42"/>
        <v>0</v>
      </c>
      <c r="N133" s="525"/>
      <c r="O133" s="514">
        <f t="shared" si="43"/>
        <v>0</v>
      </c>
      <c r="P133" s="514">
        <f t="shared" si="44"/>
        <v>0</v>
      </c>
    </row>
    <row r="134" spans="2:16">
      <c r="B134" s="195" t="str">
        <f t="shared" si="31"/>
        <v/>
      </c>
      <c r="C134" s="507">
        <f>IF(D93="","-",+C133+1)</f>
        <v>2050</v>
      </c>
      <c r="D134" s="374">
        <f>IF(F133+SUM(E$99:E133)=D$92,F133,D$92-SUM(E$99:E133))</f>
        <v>2592080.610424608</v>
      </c>
      <c r="E134" s="522">
        <f t="shared" si="37"/>
        <v>388551.80487804877</v>
      </c>
      <c r="F134" s="523">
        <f t="shared" si="38"/>
        <v>2203528.8055465594</v>
      </c>
      <c r="G134" s="523">
        <f t="shared" si="39"/>
        <v>2397804.7079855837</v>
      </c>
      <c r="H134" s="526">
        <f t="shared" si="40"/>
        <v>660736.75129568984</v>
      </c>
      <c r="I134" s="577">
        <f t="shared" si="41"/>
        <v>660736.75129568984</v>
      </c>
      <c r="J134" s="514">
        <f t="shared" si="32"/>
        <v>0</v>
      </c>
      <c r="K134" s="514"/>
      <c r="L134" s="525"/>
      <c r="M134" s="514">
        <f t="shared" si="42"/>
        <v>0</v>
      </c>
      <c r="N134" s="525"/>
      <c r="O134" s="514">
        <f t="shared" si="43"/>
        <v>0</v>
      </c>
      <c r="P134" s="514">
        <f t="shared" si="44"/>
        <v>0</v>
      </c>
    </row>
    <row r="135" spans="2:16">
      <c r="B135" s="195" t="str">
        <f t="shared" si="31"/>
        <v/>
      </c>
      <c r="C135" s="507">
        <f>IF(D93="","-",+C134+1)</f>
        <v>2051</v>
      </c>
      <c r="D135" s="374">
        <f>IF(F134+SUM(E$99:E134)=D$92,F134,D$92-SUM(E$99:E134))</f>
        <v>2203528.8055465594</v>
      </c>
      <c r="E135" s="522">
        <f t="shared" si="37"/>
        <v>388551.80487804877</v>
      </c>
      <c r="F135" s="523">
        <f t="shared" si="38"/>
        <v>1814977.0006685106</v>
      </c>
      <c r="G135" s="523">
        <f t="shared" si="39"/>
        <v>2009252.9031075351</v>
      </c>
      <c r="H135" s="526">
        <f t="shared" si="40"/>
        <v>616630.59375959192</v>
      </c>
      <c r="I135" s="577">
        <f t="shared" si="41"/>
        <v>616630.59375959192</v>
      </c>
      <c r="J135" s="514">
        <f t="shared" si="32"/>
        <v>0</v>
      </c>
      <c r="K135" s="514"/>
      <c r="L135" s="525"/>
      <c r="M135" s="514">
        <f t="shared" si="42"/>
        <v>0</v>
      </c>
      <c r="N135" s="525"/>
      <c r="O135" s="514">
        <f t="shared" si="43"/>
        <v>0</v>
      </c>
      <c r="P135" s="514">
        <f t="shared" si="44"/>
        <v>0</v>
      </c>
    </row>
    <row r="136" spans="2:16">
      <c r="B136" s="195" t="str">
        <f t="shared" si="31"/>
        <v/>
      </c>
      <c r="C136" s="507">
        <f>IF(D93="","-",+C135+1)</f>
        <v>2052</v>
      </c>
      <c r="D136" s="374">
        <f>IF(F135+SUM(E$99:E135)=D$92,F135,D$92-SUM(E$99:E135))</f>
        <v>1814977.0006685106</v>
      </c>
      <c r="E136" s="522">
        <f t="shared" si="37"/>
        <v>388551.80487804877</v>
      </c>
      <c r="F136" s="523">
        <f t="shared" si="38"/>
        <v>1426425.1957904617</v>
      </c>
      <c r="G136" s="523">
        <f t="shared" si="39"/>
        <v>1620701.098229486</v>
      </c>
      <c r="H136" s="526">
        <f t="shared" si="40"/>
        <v>572524.43622349401</v>
      </c>
      <c r="I136" s="577">
        <f t="shared" si="41"/>
        <v>572524.43622349401</v>
      </c>
      <c r="J136" s="514">
        <f t="shared" si="32"/>
        <v>0</v>
      </c>
      <c r="K136" s="514"/>
      <c r="L136" s="525"/>
      <c r="M136" s="514">
        <f t="shared" si="42"/>
        <v>0</v>
      </c>
      <c r="N136" s="525"/>
      <c r="O136" s="514">
        <f t="shared" si="43"/>
        <v>0</v>
      </c>
      <c r="P136" s="514">
        <f t="shared" si="44"/>
        <v>0</v>
      </c>
    </row>
    <row r="137" spans="2:16">
      <c r="B137" s="195" t="str">
        <f t="shared" si="31"/>
        <v/>
      </c>
      <c r="C137" s="507">
        <f>IF(D93="","-",+C136+1)</f>
        <v>2053</v>
      </c>
      <c r="D137" s="374">
        <f>IF(F136+SUM(E$99:E136)=D$92,F136,D$92-SUM(E$99:E136))</f>
        <v>1426425.1957904617</v>
      </c>
      <c r="E137" s="522">
        <f t="shared" si="37"/>
        <v>388551.80487804877</v>
      </c>
      <c r="F137" s="523">
        <f t="shared" si="38"/>
        <v>1037873.3909124129</v>
      </c>
      <c r="G137" s="523">
        <f t="shared" si="39"/>
        <v>1232149.2933514374</v>
      </c>
      <c r="H137" s="526">
        <f t="shared" si="40"/>
        <v>528418.27868739609</v>
      </c>
      <c r="I137" s="577">
        <f t="shared" si="41"/>
        <v>528418.27868739609</v>
      </c>
      <c r="J137" s="514">
        <f t="shared" si="32"/>
        <v>0</v>
      </c>
      <c r="K137" s="514"/>
      <c r="L137" s="525"/>
      <c r="M137" s="514">
        <f t="shared" si="42"/>
        <v>0</v>
      </c>
      <c r="N137" s="525"/>
      <c r="O137" s="514">
        <f t="shared" si="43"/>
        <v>0</v>
      </c>
      <c r="P137" s="514">
        <f t="shared" si="44"/>
        <v>0</v>
      </c>
    </row>
    <row r="138" spans="2:16">
      <c r="B138" s="195" t="str">
        <f t="shared" si="31"/>
        <v/>
      </c>
      <c r="C138" s="507">
        <f>IF(D93="","-",+C137+1)</f>
        <v>2054</v>
      </c>
      <c r="D138" s="374">
        <f>IF(F137+SUM(E$99:E137)=D$92,F137,D$92-SUM(E$99:E137))</f>
        <v>1037873.3909124129</v>
      </c>
      <c r="E138" s="522">
        <f t="shared" si="37"/>
        <v>388551.80487804877</v>
      </c>
      <c r="F138" s="523">
        <f t="shared" si="38"/>
        <v>649321.58603436407</v>
      </c>
      <c r="G138" s="523">
        <f t="shared" si="39"/>
        <v>843597.48847338848</v>
      </c>
      <c r="H138" s="526">
        <f t="shared" si="40"/>
        <v>484312.12115129817</v>
      </c>
      <c r="I138" s="577">
        <f t="shared" si="41"/>
        <v>484312.12115129817</v>
      </c>
      <c r="J138" s="514">
        <f t="shared" si="32"/>
        <v>0</v>
      </c>
      <c r="K138" s="514"/>
      <c r="L138" s="525"/>
      <c r="M138" s="514">
        <f t="shared" si="42"/>
        <v>0</v>
      </c>
      <c r="N138" s="525"/>
      <c r="O138" s="514">
        <f t="shared" si="43"/>
        <v>0</v>
      </c>
      <c r="P138" s="514">
        <f t="shared" si="44"/>
        <v>0</v>
      </c>
    </row>
    <row r="139" spans="2:16">
      <c r="B139" s="195" t="str">
        <f t="shared" si="31"/>
        <v/>
      </c>
      <c r="C139" s="507">
        <f>IF(D93="","-",+C138+1)</f>
        <v>2055</v>
      </c>
      <c r="D139" s="374">
        <f>IF(F138+SUM(E$99:E138)=D$92,F138,D$92-SUM(E$99:E138))</f>
        <v>649321.58603436407</v>
      </c>
      <c r="E139" s="522">
        <f t="shared" si="37"/>
        <v>388551.80487804877</v>
      </c>
      <c r="F139" s="523">
        <f t="shared" si="38"/>
        <v>260769.78115631529</v>
      </c>
      <c r="G139" s="523">
        <f t="shared" si="39"/>
        <v>455045.68359533965</v>
      </c>
      <c r="H139" s="526">
        <f t="shared" si="40"/>
        <v>440205.96361520019</v>
      </c>
      <c r="I139" s="577">
        <f t="shared" si="41"/>
        <v>440205.96361520019</v>
      </c>
      <c r="J139" s="514">
        <f t="shared" si="32"/>
        <v>0</v>
      </c>
      <c r="K139" s="514"/>
      <c r="L139" s="525"/>
      <c r="M139" s="514">
        <f t="shared" si="42"/>
        <v>0</v>
      </c>
      <c r="N139" s="525"/>
      <c r="O139" s="514">
        <f t="shared" si="43"/>
        <v>0</v>
      </c>
      <c r="P139" s="514">
        <f t="shared" si="44"/>
        <v>0</v>
      </c>
    </row>
    <row r="140" spans="2:16">
      <c r="B140" s="195" t="str">
        <f t="shared" si="31"/>
        <v/>
      </c>
      <c r="C140" s="507">
        <f>IF(D93="","-",+C139+1)</f>
        <v>2056</v>
      </c>
      <c r="D140" s="374">
        <f>IF(F139+SUM(E$99:E139)=D$92,F139,D$92-SUM(E$99:E139))</f>
        <v>260769.78115631529</v>
      </c>
      <c r="E140" s="522">
        <f t="shared" si="37"/>
        <v>260769.78115631529</v>
      </c>
      <c r="F140" s="523">
        <f t="shared" si="38"/>
        <v>0</v>
      </c>
      <c r="G140" s="523">
        <f t="shared" si="39"/>
        <v>130384.89057815765</v>
      </c>
      <c r="H140" s="526">
        <f t="shared" si="40"/>
        <v>275570.32114086655</v>
      </c>
      <c r="I140" s="577">
        <f t="shared" si="41"/>
        <v>275570.32114086655</v>
      </c>
      <c r="J140" s="514">
        <f t="shared" si="32"/>
        <v>0</v>
      </c>
      <c r="K140" s="514"/>
      <c r="L140" s="525"/>
      <c r="M140" s="514">
        <f t="shared" si="42"/>
        <v>0</v>
      </c>
      <c r="N140" s="525"/>
      <c r="O140" s="514">
        <f t="shared" si="43"/>
        <v>0</v>
      </c>
      <c r="P140" s="514">
        <f t="shared" si="44"/>
        <v>0</v>
      </c>
    </row>
    <row r="141" spans="2:16">
      <c r="B141" s="195" t="str">
        <f t="shared" si="31"/>
        <v/>
      </c>
      <c r="C141" s="507">
        <f>IF(D93="","-",+C140+1)</f>
        <v>2057</v>
      </c>
      <c r="D141" s="374">
        <f>IF(F140+SUM(E$99:E140)=D$92,F140,D$92-SUM(E$99:E140))</f>
        <v>0</v>
      </c>
      <c r="E141" s="522">
        <f t="shared" si="37"/>
        <v>0</v>
      </c>
      <c r="F141" s="523">
        <f t="shared" si="38"/>
        <v>0</v>
      </c>
      <c r="G141" s="523">
        <f t="shared" si="39"/>
        <v>0</v>
      </c>
      <c r="H141" s="526">
        <f t="shared" si="40"/>
        <v>0</v>
      </c>
      <c r="I141" s="577">
        <f t="shared" si="41"/>
        <v>0</v>
      </c>
      <c r="J141" s="514">
        <f t="shared" si="32"/>
        <v>0</v>
      </c>
      <c r="K141" s="514"/>
      <c r="L141" s="525"/>
      <c r="M141" s="514">
        <f t="shared" si="42"/>
        <v>0</v>
      </c>
      <c r="N141" s="525"/>
      <c r="O141" s="514">
        <f t="shared" si="43"/>
        <v>0</v>
      </c>
      <c r="P141" s="514">
        <f t="shared" si="44"/>
        <v>0</v>
      </c>
    </row>
    <row r="142" spans="2:16">
      <c r="B142" s="195" t="str">
        <f t="shared" si="31"/>
        <v/>
      </c>
      <c r="C142" s="507">
        <f>IF(D93="","-",+C141+1)</f>
        <v>2058</v>
      </c>
      <c r="D142" s="374">
        <f>IF(F141+SUM(E$99:E141)=D$92,F141,D$92-SUM(E$99:E141))</f>
        <v>0</v>
      </c>
      <c r="E142" s="522">
        <f t="shared" si="37"/>
        <v>0</v>
      </c>
      <c r="F142" s="523">
        <f t="shared" si="38"/>
        <v>0</v>
      </c>
      <c r="G142" s="523">
        <f t="shared" si="39"/>
        <v>0</v>
      </c>
      <c r="H142" s="526">
        <f t="shared" si="40"/>
        <v>0</v>
      </c>
      <c r="I142" s="577">
        <f t="shared" si="41"/>
        <v>0</v>
      </c>
      <c r="J142" s="514">
        <f t="shared" si="32"/>
        <v>0</v>
      </c>
      <c r="K142" s="514"/>
      <c r="L142" s="525"/>
      <c r="M142" s="514">
        <f t="shared" si="42"/>
        <v>0</v>
      </c>
      <c r="N142" s="525"/>
      <c r="O142" s="514">
        <f t="shared" si="43"/>
        <v>0</v>
      </c>
      <c r="P142" s="514">
        <f t="shared" si="44"/>
        <v>0</v>
      </c>
    </row>
    <row r="143" spans="2:16">
      <c r="B143" s="195" t="str">
        <f t="shared" si="31"/>
        <v/>
      </c>
      <c r="C143" s="507">
        <f>IF(D93="","-",+C142+1)</f>
        <v>2059</v>
      </c>
      <c r="D143" s="374">
        <f>IF(F142+SUM(E$99:E142)=D$92,F142,D$92-SUM(E$99:E142))</f>
        <v>0</v>
      </c>
      <c r="E143" s="522">
        <f t="shared" si="37"/>
        <v>0</v>
      </c>
      <c r="F143" s="523">
        <f t="shared" si="38"/>
        <v>0</v>
      </c>
      <c r="G143" s="523">
        <f t="shared" si="39"/>
        <v>0</v>
      </c>
      <c r="H143" s="526">
        <f t="shared" si="40"/>
        <v>0</v>
      </c>
      <c r="I143" s="577">
        <f t="shared" si="41"/>
        <v>0</v>
      </c>
      <c r="J143" s="514">
        <f t="shared" si="32"/>
        <v>0</v>
      </c>
      <c r="K143" s="514"/>
      <c r="L143" s="525"/>
      <c r="M143" s="514">
        <f t="shared" si="42"/>
        <v>0</v>
      </c>
      <c r="N143" s="525"/>
      <c r="O143" s="514">
        <f t="shared" si="43"/>
        <v>0</v>
      </c>
      <c r="P143" s="514">
        <f t="shared" si="44"/>
        <v>0</v>
      </c>
    </row>
    <row r="144" spans="2:16">
      <c r="B144" s="195" t="str">
        <f t="shared" si="31"/>
        <v/>
      </c>
      <c r="C144" s="507">
        <f>IF(D93="","-",+C143+1)</f>
        <v>2060</v>
      </c>
      <c r="D144" s="374">
        <f>IF(F143+SUM(E$99:E143)=D$92,F143,D$92-SUM(E$99:E143))</f>
        <v>0</v>
      </c>
      <c r="E144" s="522">
        <f t="shared" si="37"/>
        <v>0</v>
      </c>
      <c r="F144" s="523">
        <f t="shared" si="38"/>
        <v>0</v>
      </c>
      <c r="G144" s="523">
        <f t="shared" si="39"/>
        <v>0</v>
      </c>
      <c r="H144" s="526">
        <f t="shared" si="40"/>
        <v>0</v>
      </c>
      <c r="I144" s="577">
        <f t="shared" si="41"/>
        <v>0</v>
      </c>
      <c r="J144" s="514">
        <f t="shared" si="32"/>
        <v>0</v>
      </c>
      <c r="K144" s="514"/>
      <c r="L144" s="525"/>
      <c r="M144" s="514">
        <f t="shared" si="42"/>
        <v>0</v>
      </c>
      <c r="N144" s="525"/>
      <c r="O144" s="514">
        <f t="shared" si="43"/>
        <v>0</v>
      </c>
      <c r="P144" s="514">
        <f t="shared" si="44"/>
        <v>0</v>
      </c>
    </row>
    <row r="145" spans="2:16">
      <c r="B145" s="195" t="str">
        <f t="shared" si="31"/>
        <v/>
      </c>
      <c r="C145" s="507">
        <f>IF(D93="","-",+C144+1)</f>
        <v>2061</v>
      </c>
      <c r="D145" s="374">
        <f>IF(F144+SUM(E$99:E144)=D$92,F144,D$92-SUM(E$99:E144))</f>
        <v>0</v>
      </c>
      <c r="E145" s="522">
        <f t="shared" si="37"/>
        <v>0</v>
      </c>
      <c r="F145" s="523">
        <f t="shared" si="38"/>
        <v>0</v>
      </c>
      <c r="G145" s="523">
        <f t="shared" si="39"/>
        <v>0</v>
      </c>
      <c r="H145" s="526">
        <f t="shared" si="40"/>
        <v>0</v>
      </c>
      <c r="I145" s="577">
        <f t="shared" si="41"/>
        <v>0</v>
      </c>
      <c r="J145" s="514">
        <f t="shared" si="32"/>
        <v>0</v>
      </c>
      <c r="K145" s="514"/>
      <c r="L145" s="525"/>
      <c r="M145" s="514">
        <f t="shared" si="42"/>
        <v>0</v>
      </c>
      <c r="N145" s="525"/>
      <c r="O145" s="514">
        <f t="shared" si="43"/>
        <v>0</v>
      </c>
      <c r="P145" s="514">
        <f t="shared" si="44"/>
        <v>0</v>
      </c>
    </row>
    <row r="146" spans="2:16">
      <c r="B146" s="195" t="str">
        <f t="shared" si="31"/>
        <v/>
      </c>
      <c r="C146" s="507">
        <f>IF(D93="","-",+C145+1)</f>
        <v>2062</v>
      </c>
      <c r="D146" s="374">
        <f>IF(F145+SUM(E$99:E145)=D$92,F145,D$92-SUM(E$99:E145))</f>
        <v>0</v>
      </c>
      <c r="E146" s="522">
        <f t="shared" si="37"/>
        <v>0</v>
      </c>
      <c r="F146" s="523">
        <f t="shared" si="38"/>
        <v>0</v>
      </c>
      <c r="G146" s="523">
        <f t="shared" si="39"/>
        <v>0</v>
      </c>
      <c r="H146" s="526">
        <f t="shared" si="40"/>
        <v>0</v>
      </c>
      <c r="I146" s="577">
        <f t="shared" si="41"/>
        <v>0</v>
      </c>
      <c r="J146" s="514">
        <f t="shared" si="32"/>
        <v>0</v>
      </c>
      <c r="K146" s="514"/>
      <c r="L146" s="525"/>
      <c r="M146" s="514">
        <f t="shared" si="42"/>
        <v>0</v>
      </c>
      <c r="N146" s="525"/>
      <c r="O146" s="514">
        <f t="shared" si="43"/>
        <v>0</v>
      </c>
      <c r="P146" s="514">
        <f t="shared" si="44"/>
        <v>0</v>
      </c>
    </row>
    <row r="147" spans="2:16">
      <c r="B147" s="195" t="str">
        <f t="shared" si="31"/>
        <v/>
      </c>
      <c r="C147" s="507">
        <f>IF(D93="","-",+C146+1)</f>
        <v>2063</v>
      </c>
      <c r="D147" s="374">
        <f>IF(F146+SUM(E$99:E146)=D$92,F146,D$92-SUM(E$99:E146))</f>
        <v>0</v>
      </c>
      <c r="E147" s="522">
        <f t="shared" si="37"/>
        <v>0</v>
      </c>
      <c r="F147" s="523">
        <f t="shared" si="38"/>
        <v>0</v>
      </c>
      <c r="G147" s="523">
        <f t="shared" si="39"/>
        <v>0</v>
      </c>
      <c r="H147" s="526">
        <f t="shared" si="40"/>
        <v>0</v>
      </c>
      <c r="I147" s="577">
        <f t="shared" si="41"/>
        <v>0</v>
      </c>
      <c r="J147" s="514">
        <f t="shared" si="32"/>
        <v>0</v>
      </c>
      <c r="K147" s="514"/>
      <c r="L147" s="525"/>
      <c r="M147" s="514">
        <f t="shared" si="42"/>
        <v>0</v>
      </c>
      <c r="N147" s="525"/>
      <c r="O147" s="514">
        <f t="shared" si="43"/>
        <v>0</v>
      </c>
      <c r="P147" s="514">
        <f t="shared" si="44"/>
        <v>0</v>
      </c>
    </row>
    <row r="148" spans="2:16">
      <c r="B148" s="195" t="str">
        <f t="shared" si="31"/>
        <v/>
      </c>
      <c r="C148" s="507">
        <f>IF(D93="","-",+C147+1)</f>
        <v>2064</v>
      </c>
      <c r="D148" s="374">
        <f>IF(F147+SUM(E$99:E147)=D$92,F147,D$92-SUM(E$99:E147))</f>
        <v>0</v>
      </c>
      <c r="E148" s="522">
        <f t="shared" si="37"/>
        <v>0</v>
      </c>
      <c r="F148" s="523">
        <f t="shared" si="38"/>
        <v>0</v>
      </c>
      <c r="G148" s="523">
        <f t="shared" si="39"/>
        <v>0</v>
      </c>
      <c r="H148" s="526">
        <f t="shared" si="40"/>
        <v>0</v>
      </c>
      <c r="I148" s="577">
        <f t="shared" si="41"/>
        <v>0</v>
      </c>
      <c r="J148" s="514">
        <f t="shared" si="32"/>
        <v>0</v>
      </c>
      <c r="K148" s="514"/>
      <c r="L148" s="525"/>
      <c r="M148" s="514">
        <f t="shared" si="42"/>
        <v>0</v>
      </c>
      <c r="N148" s="525"/>
      <c r="O148" s="514">
        <f t="shared" si="43"/>
        <v>0</v>
      </c>
      <c r="P148" s="514">
        <f t="shared" si="44"/>
        <v>0</v>
      </c>
    </row>
    <row r="149" spans="2:16">
      <c r="B149" s="195" t="str">
        <f t="shared" si="31"/>
        <v/>
      </c>
      <c r="C149" s="507">
        <f>IF(D93="","-",+C148+1)</f>
        <v>2065</v>
      </c>
      <c r="D149" s="374">
        <f>IF(F148+SUM(E$99:E148)=D$92,F148,D$92-SUM(E$99:E148))</f>
        <v>0</v>
      </c>
      <c r="E149" s="522">
        <f t="shared" si="37"/>
        <v>0</v>
      </c>
      <c r="F149" s="523">
        <f t="shared" si="38"/>
        <v>0</v>
      </c>
      <c r="G149" s="523">
        <f t="shared" si="39"/>
        <v>0</v>
      </c>
      <c r="H149" s="526">
        <f t="shared" si="40"/>
        <v>0</v>
      </c>
      <c r="I149" s="577">
        <f t="shared" si="41"/>
        <v>0</v>
      </c>
      <c r="J149" s="514">
        <f t="shared" si="32"/>
        <v>0</v>
      </c>
      <c r="K149" s="514"/>
      <c r="L149" s="525"/>
      <c r="M149" s="514">
        <f t="shared" si="42"/>
        <v>0</v>
      </c>
      <c r="N149" s="525"/>
      <c r="O149" s="514">
        <f t="shared" si="43"/>
        <v>0</v>
      </c>
      <c r="P149" s="514">
        <f t="shared" si="44"/>
        <v>0</v>
      </c>
    </row>
    <row r="150" spans="2:16">
      <c r="B150" s="195" t="str">
        <f t="shared" si="31"/>
        <v/>
      </c>
      <c r="C150" s="507">
        <f>IF(D93="","-",+C149+1)</f>
        <v>2066</v>
      </c>
      <c r="D150" s="374">
        <f>IF(F149+SUM(E$99:E149)=D$92,F149,D$92-SUM(E$99:E149))</f>
        <v>0</v>
      </c>
      <c r="E150" s="522">
        <f t="shared" si="37"/>
        <v>0</v>
      </c>
      <c r="F150" s="523">
        <f t="shared" si="38"/>
        <v>0</v>
      </c>
      <c r="G150" s="523">
        <f t="shared" si="39"/>
        <v>0</v>
      </c>
      <c r="H150" s="526">
        <f t="shared" si="40"/>
        <v>0</v>
      </c>
      <c r="I150" s="577">
        <f t="shared" si="41"/>
        <v>0</v>
      </c>
      <c r="J150" s="514">
        <f t="shared" si="32"/>
        <v>0</v>
      </c>
      <c r="K150" s="514"/>
      <c r="L150" s="525"/>
      <c r="M150" s="514">
        <f t="shared" si="42"/>
        <v>0</v>
      </c>
      <c r="N150" s="525"/>
      <c r="O150" s="514">
        <f t="shared" si="43"/>
        <v>0</v>
      </c>
      <c r="P150" s="514">
        <f t="shared" si="44"/>
        <v>0</v>
      </c>
    </row>
    <row r="151" spans="2:16">
      <c r="B151" s="195" t="str">
        <f t="shared" si="31"/>
        <v/>
      </c>
      <c r="C151" s="507">
        <f>IF(D93="","-",+C150+1)</f>
        <v>2067</v>
      </c>
      <c r="D151" s="374">
        <f>IF(F150+SUM(E$99:E150)=D$92,F150,D$92-SUM(E$99:E150))</f>
        <v>0</v>
      </c>
      <c r="E151" s="522">
        <f t="shared" si="37"/>
        <v>0</v>
      </c>
      <c r="F151" s="523">
        <f t="shared" si="38"/>
        <v>0</v>
      </c>
      <c r="G151" s="523">
        <f t="shared" si="39"/>
        <v>0</v>
      </c>
      <c r="H151" s="526">
        <f t="shared" si="40"/>
        <v>0</v>
      </c>
      <c r="I151" s="577">
        <f t="shared" si="41"/>
        <v>0</v>
      </c>
      <c r="J151" s="514">
        <f t="shared" si="32"/>
        <v>0</v>
      </c>
      <c r="K151" s="514"/>
      <c r="L151" s="525"/>
      <c r="M151" s="514">
        <f t="shared" si="42"/>
        <v>0</v>
      </c>
      <c r="N151" s="525"/>
      <c r="O151" s="514">
        <f t="shared" si="43"/>
        <v>0</v>
      </c>
      <c r="P151" s="514">
        <f t="shared" si="44"/>
        <v>0</v>
      </c>
    </row>
    <row r="152" spans="2:16">
      <c r="B152" s="195" t="str">
        <f t="shared" si="31"/>
        <v/>
      </c>
      <c r="C152" s="507">
        <f>IF(D93="","-",+C151+1)</f>
        <v>2068</v>
      </c>
      <c r="D152" s="374">
        <f>IF(F151+SUM(E$99:E151)=D$92,F151,D$92-SUM(E$99:E151))</f>
        <v>0</v>
      </c>
      <c r="E152" s="522">
        <f t="shared" si="37"/>
        <v>0</v>
      </c>
      <c r="F152" s="523">
        <f t="shared" si="38"/>
        <v>0</v>
      </c>
      <c r="G152" s="523">
        <f t="shared" si="39"/>
        <v>0</v>
      </c>
      <c r="H152" s="526">
        <f t="shared" si="40"/>
        <v>0</v>
      </c>
      <c r="I152" s="577">
        <f t="shared" si="41"/>
        <v>0</v>
      </c>
      <c r="J152" s="514">
        <f t="shared" si="32"/>
        <v>0</v>
      </c>
      <c r="K152" s="514"/>
      <c r="L152" s="525"/>
      <c r="M152" s="514">
        <f t="shared" si="42"/>
        <v>0</v>
      </c>
      <c r="N152" s="525"/>
      <c r="O152" s="514">
        <f t="shared" si="43"/>
        <v>0</v>
      </c>
      <c r="P152" s="514">
        <f t="shared" si="44"/>
        <v>0</v>
      </c>
    </row>
    <row r="153" spans="2:16">
      <c r="B153" s="195" t="str">
        <f t="shared" si="31"/>
        <v/>
      </c>
      <c r="C153" s="507">
        <f>IF(D93="","-",+C152+1)</f>
        <v>2069</v>
      </c>
      <c r="D153" s="374">
        <f>IF(F152+SUM(E$99:E152)=D$92,F152,D$92-SUM(E$99:E152))</f>
        <v>0</v>
      </c>
      <c r="E153" s="522">
        <f t="shared" si="37"/>
        <v>0</v>
      </c>
      <c r="F153" s="523">
        <f t="shared" si="38"/>
        <v>0</v>
      </c>
      <c r="G153" s="523">
        <f t="shared" si="39"/>
        <v>0</v>
      </c>
      <c r="H153" s="526">
        <f t="shared" si="40"/>
        <v>0</v>
      </c>
      <c r="I153" s="577">
        <f t="shared" si="41"/>
        <v>0</v>
      </c>
      <c r="J153" s="514">
        <f t="shared" si="32"/>
        <v>0</v>
      </c>
      <c r="K153" s="514"/>
      <c r="L153" s="525"/>
      <c r="M153" s="514">
        <f t="shared" si="42"/>
        <v>0</v>
      </c>
      <c r="N153" s="525"/>
      <c r="O153" s="514">
        <f t="shared" si="43"/>
        <v>0</v>
      </c>
      <c r="P153" s="514">
        <f t="shared" si="44"/>
        <v>0</v>
      </c>
    </row>
    <row r="154" spans="2:16" ht="13.5" thickBot="1">
      <c r="B154" s="195" t="str">
        <f t="shared" si="31"/>
        <v/>
      </c>
      <c r="C154" s="527">
        <f>IF(D93="","-",+C153+1)</f>
        <v>2070</v>
      </c>
      <c r="D154" s="374">
        <f>IF(F153+SUM(E$99:E153)=D$92,F153,D$92-SUM(E$99:E153))</f>
        <v>0</v>
      </c>
      <c r="E154" s="522">
        <f t="shared" si="37"/>
        <v>0</v>
      </c>
      <c r="F154" s="523">
        <f t="shared" si="38"/>
        <v>0</v>
      </c>
      <c r="G154" s="523">
        <f t="shared" si="39"/>
        <v>0</v>
      </c>
      <c r="H154" s="526">
        <f t="shared" si="40"/>
        <v>0</v>
      </c>
      <c r="I154" s="577">
        <f t="shared" si="41"/>
        <v>0</v>
      </c>
      <c r="J154" s="514">
        <f t="shared" si="32"/>
        <v>0</v>
      </c>
      <c r="K154" s="514"/>
      <c r="L154" s="532"/>
      <c r="M154" s="533">
        <f t="shared" si="42"/>
        <v>0</v>
      </c>
      <c r="N154" s="532"/>
      <c r="O154" s="533">
        <f t="shared" si="43"/>
        <v>0</v>
      </c>
      <c r="P154" s="533">
        <f t="shared" si="44"/>
        <v>0</v>
      </c>
    </row>
    <row r="155" spans="2:16">
      <c r="C155" s="374" t="s">
        <v>78</v>
      </c>
      <c r="D155" s="375"/>
      <c r="E155" s="375">
        <f>SUM(E99:E154)</f>
        <v>15930624</v>
      </c>
      <c r="F155" s="375"/>
      <c r="G155" s="375"/>
      <c r="H155" s="375">
        <f>SUM(H99:H154)</f>
        <v>53571718.875486866</v>
      </c>
      <c r="I155" s="375">
        <f>SUM(I99:I154)</f>
        <v>53571718.875486866</v>
      </c>
      <c r="J155" s="375">
        <f>SUM(J99:J154)</f>
        <v>0</v>
      </c>
      <c r="K155" s="375"/>
      <c r="L155" s="375"/>
      <c r="M155" s="375"/>
      <c r="N155" s="375"/>
      <c r="O155" s="375"/>
      <c r="P155" s="269"/>
    </row>
    <row r="156" spans="2:16">
      <c r="C156" s="183" t="s">
        <v>92</v>
      </c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</row>
    <row r="157" spans="2:16">
      <c r="C157" s="580"/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</row>
    <row r="158" spans="2:16">
      <c r="C158" s="614" t="s">
        <v>132</v>
      </c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</row>
    <row r="159" spans="2:16">
      <c r="C159" s="467" t="s">
        <v>79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</row>
    <row r="160" spans="2:16">
      <c r="C160" s="581" t="s">
        <v>80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</row>
    <row r="161" spans="3:16">
      <c r="C161" s="581"/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</row>
    <row r="162" spans="3:16" ht="18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635" t="s">
        <v>131</v>
      </c>
    </row>
  </sheetData>
  <conditionalFormatting sqref="C17:C72">
    <cfRule type="cellIs" dxfId="62" priority="1" stopIfTrue="1" operator="equal">
      <formula>$I$10</formula>
    </cfRule>
  </conditionalFormatting>
  <conditionalFormatting sqref="C99:C154">
    <cfRule type="cellIs" dxfId="61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Sheet100"/>
  <dimension ref="A1:P162"/>
  <sheetViews>
    <sheetView topLeftCell="A96" zoomScaleNormal="100" zoomScaleSheetLayoutView="82" workbookViewId="0">
      <selection activeCell="D99" sqref="D99:I106"/>
    </sheetView>
  </sheetViews>
  <sheetFormatPr defaultColWidth="8.7109375" defaultRowHeight="12.75" customHeight="1"/>
  <cols>
    <col min="1" max="1" width="4.7109375" style="183" customWidth="1"/>
    <col min="2" max="2" width="6.7109375" style="183" customWidth="1"/>
    <col min="3" max="3" width="23.28515625" style="183" customWidth="1"/>
    <col min="4" max="8" width="17.7109375" style="183" customWidth="1"/>
    <col min="9" max="9" width="20.42578125" style="183" customWidth="1"/>
    <col min="10" max="10" width="16.42578125" style="183" customWidth="1"/>
    <col min="11" max="11" width="17.7109375" style="183" customWidth="1"/>
    <col min="12" max="12" width="16.140625" style="183" customWidth="1"/>
    <col min="13" max="13" width="17.7109375" style="183" customWidth="1"/>
    <col min="14" max="14" width="16.7109375" style="183" customWidth="1"/>
    <col min="15" max="15" width="16.85546875" style="183" customWidth="1"/>
    <col min="16" max="16" width="24.42578125" style="183" customWidth="1"/>
    <col min="17" max="17" width="9.140625" style="183" customWidth="1"/>
    <col min="18" max="22" width="8.7109375" style="183"/>
    <col min="23" max="23" width="9.140625" style="183" customWidth="1"/>
    <col min="24" max="16384" width="8.7109375" style="183"/>
  </cols>
  <sheetData>
    <row r="1" spans="1:16" ht="20.25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51 of 75</v>
      </c>
    </row>
    <row r="2" spans="1:16" ht="18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538" t="s">
        <v>129</v>
      </c>
    </row>
    <row r="3" spans="1:16" ht="18.75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/>
      <c r="P3" s="623">
        <v>1</v>
      </c>
    </row>
    <row r="4" spans="1:16" ht="15.75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6" ht="1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652814.62084982684</v>
      </c>
      <c r="P5" s="269"/>
    </row>
    <row r="6" spans="1:16" ht="15.7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652814.62084982684</v>
      </c>
      <c r="O6" s="269"/>
      <c r="P6" s="269"/>
    </row>
    <row r="7" spans="1:16" ht="13.5" thickBot="1">
      <c r="C7" s="467" t="s">
        <v>48</v>
      </c>
      <c r="D7" s="624" t="s">
        <v>339</v>
      </c>
      <c r="E7" s="587"/>
      <c r="F7" s="587"/>
      <c r="G7" s="587"/>
      <c r="H7" s="59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6" ht="13.5" thickBot="1">
      <c r="C8" s="472"/>
      <c r="D8" s="625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6" ht="13.5" thickBot="1">
      <c r="C9" s="476" t="s">
        <v>50</v>
      </c>
      <c r="D9" s="477" t="s">
        <v>466</v>
      </c>
      <c r="E9" s="637" t="s">
        <v>398</v>
      </c>
      <c r="F9" s="478"/>
      <c r="G9" s="478"/>
      <c r="H9" s="478"/>
      <c r="I9" s="479"/>
      <c r="J9" s="480"/>
      <c r="O9" s="481"/>
      <c r="P9" s="272"/>
    </row>
    <row r="10" spans="1:16">
      <c r="C10" s="482" t="s">
        <v>51</v>
      </c>
      <c r="D10" s="483">
        <v>5522411.1500000004</v>
      </c>
      <c r="E10" s="353" t="s">
        <v>52</v>
      </c>
      <c r="F10" s="481"/>
      <c r="G10" s="484"/>
      <c r="H10" s="484"/>
      <c r="I10" s="485">
        <f>+'SWE.WS.F.BPU.ATRR.Projected'!L19</f>
        <v>2024</v>
      </c>
      <c r="J10" s="480"/>
      <c r="K10" s="375" t="s">
        <v>53</v>
      </c>
      <c r="O10" s="272"/>
      <c r="P10" s="272"/>
    </row>
    <row r="11" spans="1:16">
      <c r="C11" s="486" t="s">
        <v>54</v>
      </c>
      <c r="D11" s="487">
        <v>2015</v>
      </c>
      <c r="E11" s="486" t="s">
        <v>55</v>
      </c>
      <c r="F11" s="484"/>
      <c r="G11" s="233"/>
      <c r="H11" s="233"/>
      <c r="I11" s="488">
        <f>IF(G5="",0,'SWE.WS.F.BPU.ATRR.Projected'!F$13)</f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6">
      <c r="C12" s="486" t="s">
        <v>56</v>
      </c>
      <c r="D12" s="483">
        <v>6</v>
      </c>
      <c r="E12" s="486" t="s">
        <v>57</v>
      </c>
      <c r="F12" s="484"/>
      <c r="G12" s="233"/>
      <c r="H12" s="233"/>
      <c r="I12" s="490">
        <f>'SWE.WS.F.BPU.ATRR.Projected'!$F$81</f>
        <v>0.11952713165403545</v>
      </c>
      <c r="J12" s="425"/>
      <c r="K12" s="183" t="s">
        <v>58</v>
      </c>
      <c r="O12" s="272"/>
      <c r="P12" s="272"/>
    </row>
    <row r="13" spans="1:16">
      <c r="C13" s="486" t="s">
        <v>59</v>
      </c>
      <c r="D13" s="488">
        <f>+'SWE.WS.F.BPU.ATRR.Projected'!F$93</f>
        <v>44</v>
      </c>
      <c r="E13" s="486" t="s">
        <v>60</v>
      </c>
      <c r="F13" s="484"/>
      <c r="G13" s="233"/>
      <c r="H13" s="233"/>
      <c r="I13" s="490">
        <f>IF(G5="",I12,'SWE.WS.F.BPU.ATRR.Projected'!$F$80)</f>
        <v>0.11952713165403545</v>
      </c>
      <c r="J13" s="425"/>
      <c r="K13" s="375" t="s">
        <v>61</v>
      </c>
      <c r="L13" s="324"/>
      <c r="M13" s="324"/>
      <c r="N13" s="324"/>
      <c r="O13" s="272"/>
      <c r="P13" s="272"/>
    </row>
    <row r="14" spans="1:16" ht="13.5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125509.34431818183</v>
      </c>
      <c r="J14" s="375"/>
      <c r="K14" s="375"/>
      <c r="L14" s="375"/>
      <c r="M14" s="375"/>
      <c r="N14" s="375"/>
      <c r="O14" s="272"/>
      <c r="P14" s="272"/>
    </row>
    <row r="15" spans="1:16" ht="38.25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388</v>
      </c>
      <c r="H15" s="495" t="s">
        <v>389</v>
      </c>
      <c r="I15" s="492" t="s">
        <v>68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6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>
      <c r="C17" s="507">
        <f>IF(D11= "","-",D11)</f>
        <v>2015</v>
      </c>
      <c r="D17" s="629">
        <v>5200000</v>
      </c>
      <c r="E17" s="638">
        <v>0</v>
      </c>
      <c r="F17" s="629">
        <v>5200000</v>
      </c>
      <c r="G17" s="638">
        <v>684864.96507057885</v>
      </c>
      <c r="H17" s="639">
        <v>684864.96507057885</v>
      </c>
      <c r="I17" s="511">
        <v>0</v>
      </c>
      <c r="J17" s="511"/>
      <c r="K17" s="518">
        <f t="shared" ref="K17:K22" si="0">G17</f>
        <v>684864.96507057885</v>
      </c>
      <c r="L17" s="519">
        <f t="shared" ref="L17:L22" si="1">IF(K17&lt;&gt;0,+G17-K17,0)</f>
        <v>0</v>
      </c>
      <c r="M17" s="518">
        <f t="shared" ref="M17:M22" si="2">H17</f>
        <v>684864.96507057885</v>
      </c>
      <c r="N17" s="514">
        <f>IF(M17&lt;&gt;0,+H17-M17,0)</f>
        <v>0</v>
      </c>
      <c r="O17" s="514">
        <f>+N17-L17</f>
        <v>0</v>
      </c>
      <c r="P17" s="272"/>
    </row>
    <row r="18" spans="2:16">
      <c r="B18" s="195" t="str">
        <f>IF(D18=F17,"","IU")</f>
        <v>IU</v>
      </c>
      <c r="C18" s="507">
        <f>IF(D11="","-",+C17+1)</f>
        <v>2016</v>
      </c>
      <c r="D18" s="631">
        <v>5366606</v>
      </c>
      <c r="E18" s="630">
        <v>127776.33333333333</v>
      </c>
      <c r="F18" s="631">
        <v>5238829.666666667</v>
      </c>
      <c r="G18" s="630">
        <v>809243.16550170211</v>
      </c>
      <c r="H18" s="639">
        <v>809243.16550170211</v>
      </c>
      <c r="I18" s="511">
        <f>H18-G18</f>
        <v>0</v>
      </c>
      <c r="J18" s="511"/>
      <c r="K18" s="518">
        <f t="shared" si="0"/>
        <v>809243.16550170211</v>
      </c>
      <c r="L18" s="519">
        <f t="shared" si="1"/>
        <v>0</v>
      </c>
      <c r="M18" s="518">
        <f t="shared" si="2"/>
        <v>809243.16550170211</v>
      </c>
      <c r="N18" s="514">
        <f>IF(M18&lt;&gt;0,+H18-M18,0)</f>
        <v>0</v>
      </c>
      <c r="O18" s="514">
        <f>+N18-L18</f>
        <v>0</v>
      </c>
      <c r="P18" s="272"/>
    </row>
    <row r="19" spans="2:16">
      <c r="B19" s="195" t="str">
        <f>IF(D19=F18,"","IU")</f>
        <v>IU</v>
      </c>
      <c r="C19" s="507">
        <f>IF(D11="","-",+C18+1)</f>
        <v>2017</v>
      </c>
      <c r="D19" s="631">
        <v>5301908.666666667</v>
      </c>
      <c r="E19" s="630">
        <v>126271.74418604652</v>
      </c>
      <c r="F19" s="631">
        <v>5175636.9224806204</v>
      </c>
      <c r="G19" s="630">
        <v>775316.5787465215</v>
      </c>
      <c r="H19" s="639">
        <v>775316.5787465215</v>
      </c>
      <c r="I19" s="511">
        <f t="shared" ref="I19:I72" si="3">H19-G19</f>
        <v>0</v>
      </c>
      <c r="J19" s="511"/>
      <c r="K19" s="518">
        <f t="shared" si="0"/>
        <v>775316.5787465215</v>
      </c>
      <c r="L19" s="519">
        <f t="shared" si="1"/>
        <v>0</v>
      </c>
      <c r="M19" s="518">
        <f t="shared" si="2"/>
        <v>775316.5787465215</v>
      </c>
      <c r="N19" s="514">
        <f>IF(M19&lt;&gt;0,+H19-M19,0)</f>
        <v>0</v>
      </c>
      <c r="O19" s="514">
        <f>+N19-L19</f>
        <v>0</v>
      </c>
      <c r="P19" s="272"/>
    </row>
    <row r="20" spans="2:16">
      <c r="B20" s="195" t="str">
        <f t="shared" ref="B20:B72" si="4">IF(D20=F19,"","IU")</f>
        <v/>
      </c>
      <c r="C20" s="507">
        <f>IF(D11="","-",+C19+1)</f>
        <v>2018</v>
      </c>
      <c r="D20" s="631">
        <v>5175636.9224806204</v>
      </c>
      <c r="E20" s="630">
        <v>132431.34146341463</v>
      </c>
      <c r="F20" s="631">
        <v>5043205.5810172055</v>
      </c>
      <c r="G20" s="630">
        <v>781808.63149934181</v>
      </c>
      <c r="H20" s="639">
        <v>781808.63149934181</v>
      </c>
      <c r="I20" s="511">
        <f t="shared" si="3"/>
        <v>0</v>
      </c>
      <c r="J20" s="511"/>
      <c r="K20" s="518">
        <f t="shared" si="0"/>
        <v>781808.63149934181</v>
      </c>
      <c r="L20" s="519">
        <f t="shared" si="1"/>
        <v>0</v>
      </c>
      <c r="M20" s="518">
        <f t="shared" si="2"/>
        <v>781808.63149934181</v>
      </c>
      <c r="N20" s="514">
        <f>IF(M20&lt;&gt;0,+H20-M20,0)</f>
        <v>0</v>
      </c>
      <c r="O20" s="514">
        <f>+N20-L20</f>
        <v>0</v>
      </c>
      <c r="P20" s="272"/>
    </row>
    <row r="21" spans="2:16">
      <c r="B21" s="195" t="str">
        <f t="shared" si="4"/>
        <v/>
      </c>
      <c r="C21" s="507">
        <f>IF(D11="","-",+C20+1)</f>
        <v>2019</v>
      </c>
      <c r="D21" s="631">
        <v>5043205.5810172055</v>
      </c>
      <c r="E21" s="630">
        <v>132431.34146341463</v>
      </c>
      <c r="F21" s="631">
        <v>4910774.2395537905</v>
      </c>
      <c r="G21" s="630">
        <v>764977.38948618842</v>
      </c>
      <c r="H21" s="639">
        <v>764977.38948618842</v>
      </c>
      <c r="I21" s="511">
        <f t="shared" si="3"/>
        <v>0</v>
      </c>
      <c r="J21" s="511"/>
      <c r="K21" s="518">
        <f t="shared" si="0"/>
        <v>764977.38948618842</v>
      </c>
      <c r="L21" s="519">
        <f t="shared" si="1"/>
        <v>0</v>
      </c>
      <c r="M21" s="518">
        <f t="shared" si="2"/>
        <v>764977.38948618842</v>
      </c>
      <c r="N21" s="514">
        <f t="shared" ref="N21:N72" si="5">IF(M21&lt;&gt;0,+H21-M21,0)</f>
        <v>0</v>
      </c>
      <c r="O21" s="514">
        <f t="shared" ref="O21:O72" si="6">+N21-L21</f>
        <v>0</v>
      </c>
      <c r="P21" s="272"/>
    </row>
    <row r="22" spans="2:16">
      <c r="B22" s="195" t="str">
        <f t="shared" si="4"/>
        <v>IU</v>
      </c>
      <c r="C22" s="507">
        <f>IF(D11="","-",+C21+1)</f>
        <v>2020</v>
      </c>
      <c r="D22" s="631">
        <v>5003500.2395537905</v>
      </c>
      <c r="E22" s="630">
        <v>134692.95121951221</v>
      </c>
      <c r="F22" s="631">
        <v>4868807.2883342784</v>
      </c>
      <c r="G22" s="630">
        <v>639836.49401838449</v>
      </c>
      <c r="H22" s="639">
        <v>639836.49401838449</v>
      </c>
      <c r="I22" s="511">
        <f t="shared" si="3"/>
        <v>0</v>
      </c>
      <c r="J22" s="511"/>
      <c r="K22" s="518">
        <f t="shared" si="0"/>
        <v>639836.49401838449</v>
      </c>
      <c r="L22" s="519">
        <f t="shared" si="1"/>
        <v>0</v>
      </c>
      <c r="M22" s="518">
        <f t="shared" si="2"/>
        <v>639836.49401838449</v>
      </c>
      <c r="N22" s="514">
        <f t="shared" si="5"/>
        <v>0</v>
      </c>
      <c r="O22" s="514">
        <f t="shared" si="6"/>
        <v>0</v>
      </c>
      <c r="P22" s="272"/>
    </row>
    <row r="23" spans="2:16">
      <c r="B23" s="195" t="str">
        <f t="shared" si="4"/>
        <v>IU</v>
      </c>
      <c r="C23" s="507">
        <f>IF(D11="","-",+C22+1)</f>
        <v>2021</v>
      </c>
      <c r="D23" s="631">
        <v>4874966.8856116468</v>
      </c>
      <c r="E23" s="630">
        <v>131485.97619047618</v>
      </c>
      <c r="F23" s="631">
        <v>4743480.9094211711</v>
      </c>
      <c r="G23" s="630">
        <v>641285.56745480897</v>
      </c>
      <c r="H23" s="639">
        <v>641285.56745480897</v>
      </c>
      <c r="I23" s="511">
        <f t="shared" si="3"/>
        <v>0</v>
      </c>
      <c r="J23" s="511"/>
      <c r="K23" s="518">
        <f t="shared" ref="K23" si="7">G23</f>
        <v>641285.56745480897</v>
      </c>
      <c r="L23" s="519">
        <f t="shared" ref="L23" si="8">IF(K23&lt;&gt;0,+G23-K23,0)</f>
        <v>0</v>
      </c>
      <c r="M23" s="518">
        <f t="shared" ref="M23" si="9">H23</f>
        <v>641285.56745480897</v>
      </c>
      <c r="N23" s="514">
        <f t="shared" si="5"/>
        <v>0</v>
      </c>
      <c r="O23" s="514">
        <f t="shared" si="6"/>
        <v>0</v>
      </c>
      <c r="P23" s="272"/>
    </row>
    <row r="24" spans="2:16">
      <c r="B24" s="195" t="str">
        <f t="shared" si="4"/>
        <v>IU</v>
      </c>
      <c r="C24" s="507">
        <f>IF(D11="","-",+C23+1)</f>
        <v>2022</v>
      </c>
      <c r="D24" s="631">
        <v>4737321.3121438026</v>
      </c>
      <c r="E24" s="630">
        <v>131485.97619047618</v>
      </c>
      <c r="F24" s="631">
        <v>4605835.3359533269</v>
      </c>
      <c r="G24" s="630">
        <v>656777.38185664476</v>
      </c>
      <c r="H24" s="639">
        <v>656777.38185664476</v>
      </c>
      <c r="I24" s="511">
        <f t="shared" si="3"/>
        <v>0</v>
      </c>
      <c r="J24" s="511"/>
      <c r="K24" s="518">
        <f t="shared" ref="K24" si="10">G24</f>
        <v>656777.38185664476</v>
      </c>
      <c r="L24" s="519">
        <f t="shared" ref="L24" si="11">IF(K24&lt;&gt;0,+G24-K24,0)</f>
        <v>0</v>
      </c>
      <c r="M24" s="518">
        <f t="shared" ref="M24" si="12">H24</f>
        <v>656777.38185664476</v>
      </c>
      <c r="N24" s="514">
        <f t="shared" si="5"/>
        <v>0</v>
      </c>
      <c r="O24" s="514">
        <f t="shared" si="6"/>
        <v>0</v>
      </c>
      <c r="P24" s="272"/>
    </row>
    <row r="25" spans="2:16">
      <c r="B25" s="195" t="str">
        <f t="shared" si="4"/>
        <v>IU</v>
      </c>
      <c r="C25" s="507">
        <f>IF(D11="","-",+C24+1)</f>
        <v>2023</v>
      </c>
      <c r="D25" s="631">
        <v>4605835.4859533263</v>
      </c>
      <c r="E25" s="630">
        <v>131485.97976190477</v>
      </c>
      <c r="F25" s="631">
        <v>4474349.5061914213</v>
      </c>
      <c r="G25" s="630">
        <v>705021.28192113526</v>
      </c>
      <c r="H25" s="639">
        <v>705021.28192113526</v>
      </c>
      <c r="I25" s="511">
        <f t="shared" si="3"/>
        <v>0</v>
      </c>
      <c r="J25" s="511"/>
      <c r="K25" s="518">
        <f t="shared" ref="K25" si="13">G25</f>
        <v>705021.28192113526</v>
      </c>
      <c r="L25" s="519">
        <f t="shared" ref="L25" si="14">IF(K25&lt;&gt;0,+G25-K25,0)</f>
        <v>0</v>
      </c>
      <c r="M25" s="518">
        <f t="shared" ref="M25" si="15">H25</f>
        <v>705021.28192113526</v>
      </c>
      <c r="N25" s="514">
        <f t="shared" ref="N25" si="16">IF(M25&lt;&gt;0,+H25-M25,0)</f>
        <v>0</v>
      </c>
      <c r="O25" s="514">
        <f t="shared" ref="O25" si="17">+N25-L25</f>
        <v>0</v>
      </c>
      <c r="P25" s="272"/>
    </row>
    <row r="26" spans="2:16">
      <c r="B26" s="195" t="str">
        <f t="shared" si="4"/>
        <v/>
      </c>
      <c r="C26" s="673">
        <f>IF(D11="","-",+C25+1)</f>
        <v>2024</v>
      </c>
      <c r="D26" s="523">
        <f>IF(F25+SUM(E$17:E25)=D$10,F25,D$10-SUM(E$17:E25))</f>
        <v>4474349.5061914213</v>
      </c>
      <c r="E26" s="522">
        <f t="shared" ref="E26:E72" si="18">IF(+$I$14&lt;F25,$I$14,D26)</f>
        <v>125509.34431818183</v>
      </c>
      <c r="F26" s="523">
        <f t="shared" ref="F26:F72" si="19">+D26-E26</f>
        <v>4348840.1618732391</v>
      </c>
      <c r="G26" s="524">
        <f t="shared" ref="G26:G50" si="20">+I$12*((D26+F26)/2)+E26</f>
        <v>652814.62084982684</v>
      </c>
      <c r="H26" s="491">
        <f t="shared" ref="H26:H50" si="21">+I$13*((D26+F26)/2)+E26</f>
        <v>652814.62084982684</v>
      </c>
      <c r="I26" s="511">
        <f t="shared" si="3"/>
        <v>0</v>
      </c>
      <c r="J26" s="511"/>
      <c r="K26" s="525"/>
      <c r="L26" s="514">
        <f t="shared" ref="L26:L72" si="22">IF(K26&lt;&gt;0,+G26-K26,0)</f>
        <v>0</v>
      </c>
      <c r="M26" s="525"/>
      <c r="N26" s="514">
        <f t="shared" si="5"/>
        <v>0</v>
      </c>
      <c r="O26" s="514">
        <f t="shared" si="6"/>
        <v>0</v>
      </c>
      <c r="P26" s="272"/>
    </row>
    <row r="27" spans="2:16">
      <c r="B27" s="195" t="str">
        <f t="shared" si="4"/>
        <v/>
      </c>
      <c r="C27" s="507">
        <f>IF(D11="","-",+C26+1)</f>
        <v>2025</v>
      </c>
      <c r="D27" s="523">
        <f>IF(F26+SUM(E$17:E26)=D$10,F26,D$10-SUM(E$17:E26))</f>
        <v>4348840.1618732391</v>
      </c>
      <c r="E27" s="522">
        <f t="shared" si="18"/>
        <v>125509.34431818183</v>
      </c>
      <c r="F27" s="523">
        <f t="shared" si="19"/>
        <v>4223330.8175550569</v>
      </c>
      <c r="G27" s="524">
        <f t="shared" si="20"/>
        <v>637812.84892769577</v>
      </c>
      <c r="H27" s="491">
        <f t="shared" si="21"/>
        <v>637812.84892769577</v>
      </c>
      <c r="I27" s="511">
        <f t="shared" si="3"/>
        <v>0</v>
      </c>
      <c r="J27" s="511"/>
      <c r="K27" s="525"/>
      <c r="L27" s="514">
        <f t="shared" si="22"/>
        <v>0</v>
      </c>
      <c r="M27" s="525"/>
      <c r="N27" s="514">
        <f t="shared" si="5"/>
        <v>0</v>
      </c>
      <c r="O27" s="514">
        <f t="shared" si="6"/>
        <v>0</v>
      </c>
      <c r="P27" s="272"/>
    </row>
    <row r="28" spans="2:16">
      <c r="B28" s="195" t="str">
        <f t="shared" si="4"/>
        <v/>
      </c>
      <c r="C28" s="507">
        <f>IF(D11="","-",+C27+1)</f>
        <v>2026</v>
      </c>
      <c r="D28" s="523">
        <f>IF(F27+SUM(E$17:E27)=D$10,F27,D$10-SUM(E$17:E27))</f>
        <v>4223330.8175550569</v>
      </c>
      <c r="E28" s="522">
        <f t="shared" si="18"/>
        <v>125509.34431818183</v>
      </c>
      <c r="F28" s="523">
        <f t="shared" si="19"/>
        <v>4097821.4732368751</v>
      </c>
      <c r="G28" s="524">
        <f t="shared" si="20"/>
        <v>622811.07700556482</v>
      </c>
      <c r="H28" s="491">
        <f t="shared" si="21"/>
        <v>622811.07700556482</v>
      </c>
      <c r="I28" s="511">
        <f t="shared" si="3"/>
        <v>0</v>
      </c>
      <c r="J28" s="511"/>
      <c r="K28" s="525"/>
      <c r="L28" s="514">
        <f t="shared" si="22"/>
        <v>0</v>
      </c>
      <c r="M28" s="525"/>
      <c r="N28" s="514">
        <f t="shared" si="5"/>
        <v>0</v>
      </c>
      <c r="O28" s="514">
        <f t="shared" si="6"/>
        <v>0</v>
      </c>
      <c r="P28" s="272"/>
    </row>
    <row r="29" spans="2:16">
      <c r="B29" s="195" t="str">
        <f t="shared" si="4"/>
        <v/>
      </c>
      <c r="C29" s="507">
        <f>IF(D11="","-",+C28+1)</f>
        <v>2027</v>
      </c>
      <c r="D29" s="523">
        <f>IF(F28+SUM(E$17:E28)=D$10,F28,D$10-SUM(E$17:E28))</f>
        <v>4097821.4732368751</v>
      </c>
      <c r="E29" s="522">
        <f t="shared" si="18"/>
        <v>125509.34431818183</v>
      </c>
      <c r="F29" s="523">
        <f t="shared" si="19"/>
        <v>3972312.1289186934</v>
      </c>
      <c r="G29" s="524">
        <f t="shared" si="20"/>
        <v>607809.30508343375</v>
      </c>
      <c r="H29" s="491">
        <f t="shared" si="21"/>
        <v>607809.30508343375</v>
      </c>
      <c r="I29" s="511">
        <f t="shared" si="3"/>
        <v>0</v>
      </c>
      <c r="J29" s="511"/>
      <c r="K29" s="525"/>
      <c r="L29" s="514">
        <f t="shared" si="22"/>
        <v>0</v>
      </c>
      <c r="M29" s="525"/>
      <c r="N29" s="514">
        <f t="shared" si="5"/>
        <v>0</v>
      </c>
      <c r="O29" s="514">
        <f t="shared" si="6"/>
        <v>0</v>
      </c>
      <c r="P29" s="272"/>
    </row>
    <row r="30" spans="2:16">
      <c r="B30" s="195" t="str">
        <f t="shared" si="4"/>
        <v/>
      </c>
      <c r="C30" s="507">
        <f>IF(D11="","-",+C29+1)</f>
        <v>2028</v>
      </c>
      <c r="D30" s="523">
        <f>IF(F29+SUM(E$17:E29)=D$10,F29,D$10-SUM(E$17:E29))</f>
        <v>3972312.1289186934</v>
      </c>
      <c r="E30" s="522">
        <f t="shared" si="18"/>
        <v>125509.34431818183</v>
      </c>
      <c r="F30" s="523">
        <f t="shared" si="19"/>
        <v>3846802.7846005117</v>
      </c>
      <c r="G30" s="524">
        <f t="shared" si="20"/>
        <v>592807.53316130291</v>
      </c>
      <c r="H30" s="491">
        <f t="shared" si="21"/>
        <v>592807.53316130291</v>
      </c>
      <c r="I30" s="511">
        <f t="shared" si="3"/>
        <v>0</v>
      </c>
      <c r="J30" s="511"/>
      <c r="K30" s="525"/>
      <c r="L30" s="514">
        <f t="shared" si="22"/>
        <v>0</v>
      </c>
      <c r="M30" s="525"/>
      <c r="N30" s="514">
        <f t="shared" si="5"/>
        <v>0</v>
      </c>
      <c r="O30" s="514">
        <f t="shared" si="6"/>
        <v>0</v>
      </c>
      <c r="P30" s="272"/>
    </row>
    <row r="31" spans="2:16">
      <c r="B31" s="195" t="str">
        <f t="shared" si="4"/>
        <v/>
      </c>
      <c r="C31" s="507">
        <f>IF(D11="","-",+C30+1)</f>
        <v>2029</v>
      </c>
      <c r="D31" s="523">
        <f>IF(F30+SUM(E$17:E30)=D$10,F30,D$10-SUM(E$17:E30))</f>
        <v>3846802.7846005117</v>
      </c>
      <c r="E31" s="522">
        <f t="shared" si="18"/>
        <v>125509.34431818183</v>
      </c>
      <c r="F31" s="523">
        <f t="shared" si="19"/>
        <v>3721293.4402823299</v>
      </c>
      <c r="G31" s="524">
        <f t="shared" si="20"/>
        <v>577805.76123917184</v>
      </c>
      <c r="H31" s="491">
        <f t="shared" si="21"/>
        <v>577805.76123917184</v>
      </c>
      <c r="I31" s="511">
        <f t="shared" si="3"/>
        <v>0</v>
      </c>
      <c r="J31" s="511"/>
      <c r="K31" s="525"/>
      <c r="L31" s="514">
        <f t="shared" si="22"/>
        <v>0</v>
      </c>
      <c r="M31" s="525"/>
      <c r="N31" s="514">
        <f t="shared" si="5"/>
        <v>0</v>
      </c>
      <c r="O31" s="514">
        <f t="shared" si="6"/>
        <v>0</v>
      </c>
      <c r="P31" s="272"/>
    </row>
    <row r="32" spans="2:16">
      <c r="B32" s="195" t="str">
        <f t="shared" si="4"/>
        <v/>
      </c>
      <c r="C32" s="507">
        <f>IF(D11="","-",+C31+1)</f>
        <v>2030</v>
      </c>
      <c r="D32" s="523">
        <f>IF(F31+SUM(E$17:E31)=D$10,F31,D$10-SUM(E$17:E31))</f>
        <v>3721293.4402823299</v>
      </c>
      <c r="E32" s="522">
        <f t="shared" si="18"/>
        <v>125509.34431818183</v>
      </c>
      <c r="F32" s="523">
        <f t="shared" si="19"/>
        <v>3595784.0959641482</v>
      </c>
      <c r="G32" s="524">
        <f t="shared" si="20"/>
        <v>562803.98931704089</v>
      </c>
      <c r="H32" s="491">
        <f t="shared" si="21"/>
        <v>562803.98931704089</v>
      </c>
      <c r="I32" s="511">
        <f t="shared" si="3"/>
        <v>0</v>
      </c>
      <c r="J32" s="511"/>
      <c r="K32" s="525"/>
      <c r="L32" s="514">
        <f t="shared" si="22"/>
        <v>0</v>
      </c>
      <c r="M32" s="525"/>
      <c r="N32" s="514">
        <f t="shared" si="5"/>
        <v>0</v>
      </c>
      <c r="O32" s="514">
        <f t="shared" si="6"/>
        <v>0</v>
      </c>
      <c r="P32" s="272"/>
    </row>
    <row r="33" spans="2:16">
      <c r="B33" s="195" t="str">
        <f t="shared" si="4"/>
        <v/>
      </c>
      <c r="C33" s="507">
        <f>IF(D11="","-",+C32+1)</f>
        <v>2031</v>
      </c>
      <c r="D33" s="523">
        <f>IF(F32+SUM(E$17:E32)=D$10,F32,D$10-SUM(E$17:E32))</f>
        <v>3595784.0959641482</v>
      </c>
      <c r="E33" s="522">
        <f t="shared" si="18"/>
        <v>125509.34431818183</v>
      </c>
      <c r="F33" s="523">
        <f t="shared" si="19"/>
        <v>3470274.7516459664</v>
      </c>
      <c r="G33" s="524">
        <f t="shared" si="20"/>
        <v>547802.21739490982</v>
      </c>
      <c r="H33" s="491">
        <f t="shared" si="21"/>
        <v>547802.21739490982</v>
      </c>
      <c r="I33" s="511">
        <f t="shared" si="3"/>
        <v>0</v>
      </c>
      <c r="J33" s="511"/>
      <c r="K33" s="525"/>
      <c r="L33" s="514">
        <f t="shared" si="22"/>
        <v>0</v>
      </c>
      <c r="M33" s="525"/>
      <c r="N33" s="514">
        <f t="shared" si="5"/>
        <v>0</v>
      </c>
      <c r="O33" s="514">
        <f t="shared" si="6"/>
        <v>0</v>
      </c>
      <c r="P33" s="272"/>
    </row>
    <row r="34" spans="2:16">
      <c r="B34" s="195" t="str">
        <f t="shared" si="4"/>
        <v/>
      </c>
      <c r="C34" s="507">
        <f>IF(D11="","-",+C33+1)</f>
        <v>2032</v>
      </c>
      <c r="D34" s="523">
        <f>IF(F33+SUM(E$17:E33)=D$10,F33,D$10-SUM(E$17:E33))</f>
        <v>3470274.7516459664</v>
      </c>
      <c r="E34" s="522">
        <f t="shared" si="18"/>
        <v>125509.34431818183</v>
      </c>
      <c r="F34" s="523">
        <f t="shared" si="19"/>
        <v>3344765.4073277847</v>
      </c>
      <c r="G34" s="524">
        <f t="shared" si="20"/>
        <v>532800.44547277899</v>
      </c>
      <c r="H34" s="491">
        <f t="shared" si="21"/>
        <v>532800.44547277899</v>
      </c>
      <c r="I34" s="511">
        <f t="shared" si="3"/>
        <v>0</v>
      </c>
      <c r="J34" s="511"/>
      <c r="K34" s="525"/>
      <c r="L34" s="514">
        <f t="shared" si="22"/>
        <v>0</v>
      </c>
      <c r="M34" s="525"/>
      <c r="N34" s="514">
        <f t="shared" si="5"/>
        <v>0</v>
      </c>
      <c r="O34" s="514">
        <f t="shared" si="6"/>
        <v>0</v>
      </c>
      <c r="P34" s="272"/>
    </row>
    <row r="35" spans="2:16">
      <c r="B35" s="195" t="str">
        <f t="shared" si="4"/>
        <v/>
      </c>
      <c r="C35" s="507">
        <f>IF(D11="","-",+C34+1)</f>
        <v>2033</v>
      </c>
      <c r="D35" s="523">
        <f>IF(F34+SUM(E$17:E34)=D$10,F34,D$10-SUM(E$17:E34))</f>
        <v>3344765.4073277847</v>
      </c>
      <c r="E35" s="522">
        <f t="shared" si="18"/>
        <v>125509.34431818183</v>
      </c>
      <c r="F35" s="523">
        <f t="shared" si="19"/>
        <v>3219256.0630096029</v>
      </c>
      <c r="G35" s="524">
        <f t="shared" si="20"/>
        <v>517798.67355064792</v>
      </c>
      <c r="H35" s="491">
        <f t="shared" si="21"/>
        <v>517798.67355064792</v>
      </c>
      <c r="I35" s="511">
        <f t="shared" si="3"/>
        <v>0</v>
      </c>
      <c r="J35" s="511"/>
      <c r="K35" s="525"/>
      <c r="L35" s="514">
        <f t="shared" si="22"/>
        <v>0</v>
      </c>
      <c r="M35" s="525"/>
      <c r="N35" s="514">
        <f t="shared" si="5"/>
        <v>0</v>
      </c>
      <c r="O35" s="514">
        <f t="shared" si="6"/>
        <v>0</v>
      </c>
      <c r="P35" s="272"/>
    </row>
    <row r="36" spans="2:16">
      <c r="B36" s="195" t="str">
        <f t="shared" si="4"/>
        <v/>
      </c>
      <c r="C36" s="507">
        <f>IF(D11="","-",+C35+1)</f>
        <v>2034</v>
      </c>
      <c r="D36" s="523">
        <f>IF(F35+SUM(E$17:E35)=D$10,F35,D$10-SUM(E$17:E35))</f>
        <v>3219256.0630096029</v>
      </c>
      <c r="E36" s="522">
        <f t="shared" si="18"/>
        <v>125509.34431818183</v>
      </c>
      <c r="F36" s="523">
        <f t="shared" si="19"/>
        <v>3093746.7186914212</v>
      </c>
      <c r="G36" s="524">
        <f t="shared" si="20"/>
        <v>502796.90162851696</v>
      </c>
      <c r="H36" s="491">
        <f t="shared" si="21"/>
        <v>502796.90162851696</v>
      </c>
      <c r="I36" s="511">
        <f t="shared" si="3"/>
        <v>0</v>
      </c>
      <c r="J36" s="511"/>
      <c r="K36" s="525"/>
      <c r="L36" s="514">
        <f t="shared" si="22"/>
        <v>0</v>
      </c>
      <c r="M36" s="525"/>
      <c r="N36" s="514">
        <f t="shared" si="5"/>
        <v>0</v>
      </c>
      <c r="O36" s="514">
        <f t="shared" si="6"/>
        <v>0</v>
      </c>
      <c r="P36" s="272"/>
    </row>
    <row r="37" spans="2:16">
      <c r="B37" s="195" t="str">
        <f t="shared" si="4"/>
        <v/>
      </c>
      <c r="C37" s="507">
        <f>IF(D11="","-",+C36+1)</f>
        <v>2035</v>
      </c>
      <c r="D37" s="523">
        <f>IF(F36+SUM(E$17:E36)=D$10,F36,D$10-SUM(E$17:E36))</f>
        <v>3093746.7186914212</v>
      </c>
      <c r="E37" s="522">
        <f t="shared" si="18"/>
        <v>125509.34431818183</v>
      </c>
      <c r="F37" s="523">
        <f t="shared" si="19"/>
        <v>2968237.3743732395</v>
      </c>
      <c r="G37" s="524">
        <f t="shared" si="20"/>
        <v>487795.12970638601</v>
      </c>
      <c r="H37" s="491">
        <f t="shared" si="21"/>
        <v>487795.12970638601</v>
      </c>
      <c r="I37" s="511">
        <f t="shared" si="3"/>
        <v>0</v>
      </c>
      <c r="J37" s="511"/>
      <c r="K37" s="525"/>
      <c r="L37" s="514">
        <f t="shared" si="22"/>
        <v>0</v>
      </c>
      <c r="M37" s="525"/>
      <c r="N37" s="514">
        <f t="shared" si="5"/>
        <v>0</v>
      </c>
      <c r="O37" s="514">
        <f t="shared" si="6"/>
        <v>0</v>
      </c>
      <c r="P37" s="272"/>
    </row>
    <row r="38" spans="2:16">
      <c r="B38" s="195" t="str">
        <f t="shared" si="4"/>
        <v/>
      </c>
      <c r="C38" s="507">
        <f>IF(D11="","-",+C37+1)</f>
        <v>2036</v>
      </c>
      <c r="D38" s="523">
        <f>IF(F37+SUM(E$17:E37)=D$10,F37,D$10-SUM(E$17:E37))</f>
        <v>2968237.3743732395</v>
      </c>
      <c r="E38" s="522">
        <f t="shared" si="18"/>
        <v>125509.34431818183</v>
      </c>
      <c r="F38" s="523">
        <f t="shared" si="19"/>
        <v>2842728.0300550577</v>
      </c>
      <c r="G38" s="524">
        <f t="shared" si="20"/>
        <v>472793.35778425506</v>
      </c>
      <c r="H38" s="491">
        <f t="shared" si="21"/>
        <v>472793.35778425506</v>
      </c>
      <c r="I38" s="511">
        <f t="shared" si="3"/>
        <v>0</v>
      </c>
      <c r="J38" s="511"/>
      <c r="K38" s="525"/>
      <c r="L38" s="514">
        <f t="shared" si="22"/>
        <v>0</v>
      </c>
      <c r="M38" s="525"/>
      <c r="N38" s="514">
        <f t="shared" si="5"/>
        <v>0</v>
      </c>
      <c r="O38" s="514">
        <f t="shared" si="6"/>
        <v>0</v>
      </c>
      <c r="P38" s="272"/>
    </row>
    <row r="39" spans="2:16">
      <c r="B39" s="195" t="str">
        <f t="shared" si="4"/>
        <v/>
      </c>
      <c r="C39" s="507">
        <f>IF(D11="","-",+C38+1)</f>
        <v>2037</v>
      </c>
      <c r="D39" s="523">
        <f>IF(F38+SUM(E$17:E38)=D$10,F38,D$10-SUM(E$17:E38))</f>
        <v>2842728.0300550577</v>
      </c>
      <c r="E39" s="522">
        <f t="shared" si="18"/>
        <v>125509.34431818183</v>
      </c>
      <c r="F39" s="523">
        <f t="shared" si="19"/>
        <v>2717218.685736876</v>
      </c>
      <c r="G39" s="524">
        <f t="shared" si="20"/>
        <v>457791.58586212399</v>
      </c>
      <c r="H39" s="491">
        <f t="shared" si="21"/>
        <v>457791.58586212399</v>
      </c>
      <c r="I39" s="511">
        <f t="shared" si="3"/>
        <v>0</v>
      </c>
      <c r="J39" s="511"/>
      <c r="K39" s="525"/>
      <c r="L39" s="514">
        <f t="shared" si="22"/>
        <v>0</v>
      </c>
      <c r="M39" s="525"/>
      <c r="N39" s="514">
        <f t="shared" si="5"/>
        <v>0</v>
      </c>
      <c r="O39" s="514">
        <f t="shared" si="6"/>
        <v>0</v>
      </c>
      <c r="P39" s="272"/>
    </row>
    <row r="40" spans="2:16">
      <c r="B40" s="195" t="str">
        <f t="shared" si="4"/>
        <v/>
      </c>
      <c r="C40" s="507">
        <f>IF(D11="","-",+C39+1)</f>
        <v>2038</v>
      </c>
      <c r="D40" s="523">
        <f>IF(F39+SUM(E$17:E39)=D$10,F39,D$10-SUM(E$17:E39))</f>
        <v>2717218.685736876</v>
      </c>
      <c r="E40" s="522">
        <f t="shared" si="18"/>
        <v>125509.34431818183</v>
      </c>
      <c r="F40" s="523">
        <f t="shared" si="19"/>
        <v>2591709.3414186942</v>
      </c>
      <c r="G40" s="524">
        <f t="shared" si="20"/>
        <v>442789.81393999315</v>
      </c>
      <c r="H40" s="491">
        <f t="shared" si="21"/>
        <v>442789.81393999315</v>
      </c>
      <c r="I40" s="511">
        <f t="shared" si="3"/>
        <v>0</v>
      </c>
      <c r="J40" s="511"/>
      <c r="K40" s="525"/>
      <c r="L40" s="514">
        <f t="shared" si="22"/>
        <v>0</v>
      </c>
      <c r="M40" s="525"/>
      <c r="N40" s="514">
        <f t="shared" si="5"/>
        <v>0</v>
      </c>
      <c r="O40" s="514">
        <f t="shared" si="6"/>
        <v>0</v>
      </c>
      <c r="P40" s="272"/>
    </row>
    <row r="41" spans="2:16">
      <c r="B41" s="195" t="str">
        <f t="shared" si="4"/>
        <v/>
      </c>
      <c r="C41" s="507">
        <f>IF(D11="","-",+C40+1)</f>
        <v>2039</v>
      </c>
      <c r="D41" s="523">
        <f>IF(F40+SUM(E$17:E40)=D$10,F40,D$10-SUM(E$17:E40))</f>
        <v>2591709.3414186942</v>
      </c>
      <c r="E41" s="522">
        <f t="shared" si="18"/>
        <v>125509.34431818183</v>
      </c>
      <c r="F41" s="523">
        <f t="shared" si="19"/>
        <v>2466199.9971005125</v>
      </c>
      <c r="G41" s="524">
        <f t="shared" si="20"/>
        <v>427788.04201786208</v>
      </c>
      <c r="H41" s="491">
        <f t="shared" si="21"/>
        <v>427788.04201786208</v>
      </c>
      <c r="I41" s="511">
        <f t="shared" si="3"/>
        <v>0</v>
      </c>
      <c r="J41" s="511"/>
      <c r="K41" s="525"/>
      <c r="L41" s="514">
        <f t="shared" si="22"/>
        <v>0</v>
      </c>
      <c r="M41" s="525"/>
      <c r="N41" s="514">
        <f t="shared" si="5"/>
        <v>0</v>
      </c>
      <c r="O41" s="514">
        <f t="shared" si="6"/>
        <v>0</v>
      </c>
      <c r="P41" s="272"/>
    </row>
    <row r="42" spans="2:16">
      <c r="B42" s="195" t="str">
        <f t="shared" si="4"/>
        <v/>
      </c>
      <c r="C42" s="507">
        <f>IF(D11="","-",+C41+1)</f>
        <v>2040</v>
      </c>
      <c r="D42" s="523">
        <f>IF(F41+SUM(E$17:E41)=D$10,F41,D$10-SUM(E$17:E41))</f>
        <v>2466199.9971005125</v>
      </c>
      <c r="E42" s="522">
        <f t="shared" si="18"/>
        <v>125509.34431818183</v>
      </c>
      <c r="F42" s="523">
        <f t="shared" si="19"/>
        <v>2340690.6527823308</v>
      </c>
      <c r="G42" s="524">
        <f t="shared" si="20"/>
        <v>412786.27009573113</v>
      </c>
      <c r="H42" s="491">
        <f t="shared" si="21"/>
        <v>412786.27009573113</v>
      </c>
      <c r="I42" s="511">
        <f t="shared" si="3"/>
        <v>0</v>
      </c>
      <c r="J42" s="511"/>
      <c r="K42" s="525"/>
      <c r="L42" s="514">
        <f t="shared" si="22"/>
        <v>0</v>
      </c>
      <c r="M42" s="525"/>
      <c r="N42" s="514">
        <f t="shared" si="5"/>
        <v>0</v>
      </c>
      <c r="O42" s="514">
        <f t="shared" si="6"/>
        <v>0</v>
      </c>
      <c r="P42" s="272"/>
    </row>
    <row r="43" spans="2:16">
      <c r="B43" s="195" t="str">
        <f t="shared" si="4"/>
        <v/>
      </c>
      <c r="C43" s="507">
        <f>IF(D11="","-",+C42+1)</f>
        <v>2041</v>
      </c>
      <c r="D43" s="523">
        <f>IF(F42+SUM(E$17:E42)=D$10,F42,D$10-SUM(E$17:E42))</f>
        <v>2340690.6527823308</v>
      </c>
      <c r="E43" s="522">
        <f t="shared" si="18"/>
        <v>125509.34431818183</v>
      </c>
      <c r="F43" s="523">
        <f t="shared" si="19"/>
        <v>2215181.308464149</v>
      </c>
      <c r="G43" s="524">
        <f t="shared" si="20"/>
        <v>397784.49817360018</v>
      </c>
      <c r="H43" s="491">
        <f t="shared" si="21"/>
        <v>397784.49817360018</v>
      </c>
      <c r="I43" s="511">
        <f t="shared" si="3"/>
        <v>0</v>
      </c>
      <c r="J43" s="511"/>
      <c r="K43" s="525"/>
      <c r="L43" s="514">
        <f t="shared" si="22"/>
        <v>0</v>
      </c>
      <c r="M43" s="525"/>
      <c r="N43" s="514">
        <f t="shared" si="5"/>
        <v>0</v>
      </c>
      <c r="O43" s="514">
        <f t="shared" si="6"/>
        <v>0</v>
      </c>
      <c r="P43" s="272"/>
    </row>
    <row r="44" spans="2:16">
      <c r="B44" s="195" t="str">
        <f t="shared" si="4"/>
        <v/>
      </c>
      <c r="C44" s="507">
        <f>IF(D11="","-",+C43+1)</f>
        <v>2042</v>
      </c>
      <c r="D44" s="523">
        <f>IF(F43+SUM(E$17:E43)=D$10,F43,D$10-SUM(E$17:E43))</f>
        <v>2215181.308464149</v>
      </c>
      <c r="E44" s="522">
        <f t="shared" si="18"/>
        <v>125509.34431818183</v>
      </c>
      <c r="F44" s="523">
        <f t="shared" si="19"/>
        <v>2089671.9641459673</v>
      </c>
      <c r="G44" s="524">
        <f t="shared" si="20"/>
        <v>382782.72625146923</v>
      </c>
      <c r="H44" s="491">
        <f t="shared" si="21"/>
        <v>382782.72625146923</v>
      </c>
      <c r="I44" s="511">
        <f t="shared" si="3"/>
        <v>0</v>
      </c>
      <c r="J44" s="511"/>
      <c r="K44" s="525"/>
      <c r="L44" s="514">
        <f t="shared" si="22"/>
        <v>0</v>
      </c>
      <c r="M44" s="525"/>
      <c r="N44" s="514">
        <f t="shared" si="5"/>
        <v>0</v>
      </c>
      <c r="O44" s="514">
        <f t="shared" si="6"/>
        <v>0</v>
      </c>
      <c r="P44" s="272"/>
    </row>
    <row r="45" spans="2:16">
      <c r="B45" s="195" t="str">
        <f t="shared" si="4"/>
        <v/>
      </c>
      <c r="C45" s="507">
        <f>IF(D11="","-",+C44+1)</f>
        <v>2043</v>
      </c>
      <c r="D45" s="523">
        <f>IF(F44+SUM(E$17:E44)=D$10,F44,D$10-SUM(E$17:E44))</f>
        <v>2089671.9641459673</v>
      </c>
      <c r="E45" s="522">
        <f t="shared" si="18"/>
        <v>125509.34431818183</v>
      </c>
      <c r="F45" s="523">
        <f t="shared" si="19"/>
        <v>1964162.6198277855</v>
      </c>
      <c r="G45" s="524">
        <f t="shared" si="20"/>
        <v>367780.95432933822</v>
      </c>
      <c r="H45" s="491">
        <f t="shared" si="21"/>
        <v>367780.95432933822</v>
      </c>
      <c r="I45" s="511">
        <f t="shared" si="3"/>
        <v>0</v>
      </c>
      <c r="J45" s="511"/>
      <c r="K45" s="525"/>
      <c r="L45" s="514">
        <f t="shared" si="22"/>
        <v>0</v>
      </c>
      <c r="M45" s="525"/>
      <c r="N45" s="514">
        <f t="shared" si="5"/>
        <v>0</v>
      </c>
      <c r="O45" s="514">
        <f t="shared" si="6"/>
        <v>0</v>
      </c>
      <c r="P45" s="272"/>
    </row>
    <row r="46" spans="2:16">
      <c r="B46" s="195" t="str">
        <f t="shared" si="4"/>
        <v/>
      </c>
      <c r="C46" s="507">
        <f>IF(D11="","-",+C45+1)</f>
        <v>2044</v>
      </c>
      <c r="D46" s="523">
        <f>IF(F45+SUM(E$17:E45)=D$10,F45,D$10-SUM(E$17:E45))</f>
        <v>1964162.6198277855</v>
      </c>
      <c r="E46" s="522">
        <f t="shared" si="18"/>
        <v>125509.34431818183</v>
      </c>
      <c r="F46" s="523">
        <f t="shared" si="19"/>
        <v>1838653.2755096038</v>
      </c>
      <c r="G46" s="524">
        <f t="shared" si="20"/>
        <v>352779.1824072072</v>
      </c>
      <c r="H46" s="491">
        <f t="shared" si="21"/>
        <v>352779.1824072072</v>
      </c>
      <c r="I46" s="511">
        <f t="shared" si="3"/>
        <v>0</v>
      </c>
      <c r="J46" s="511"/>
      <c r="K46" s="525"/>
      <c r="L46" s="514">
        <f t="shared" si="22"/>
        <v>0</v>
      </c>
      <c r="M46" s="525"/>
      <c r="N46" s="514">
        <f t="shared" si="5"/>
        <v>0</v>
      </c>
      <c r="O46" s="514">
        <f t="shared" si="6"/>
        <v>0</v>
      </c>
      <c r="P46" s="272"/>
    </row>
    <row r="47" spans="2:16">
      <c r="B47" s="195" t="str">
        <f t="shared" si="4"/>
        <v/>
      </c>
      <c r="C47" s="507">
        <f>IF(D11="","-",+C46+1)</f>
        <v>2045</v>
      </c>
      <c r="D47" s="523">
        <f>IF(F46+SUM(E$17:E46)=D$10,F46,D$10-SUM(E$17:E46))</f>
        <v>1838653.2755096038</v>
      </c>
      <c r="E47" s="522">
        <f t="shared" si="18"/>
        <v>125509.34431818183</v>
      </c>
      <c r="F47" s="523">
        <f t="shared" si="19"/>
        <v>1713143.931191422</v>
      </c>
      <c r="G47" s="524">
        <f t="shared" si="20"/>
        <v>337777.41048507625</v>
      </c>
      <c r="H47" s="491">
        <f t="shared" si="21"/>
        <v>337777.41048507625</v>
      </c>
      <c r="I47" s="511">
        <f t="shared" si="3"/>
        <v>0</v>
      </c>
      <c r="J47" s="511"/>
      <c r="K47" s="525"/>
      <c r="L47" s="514">
        <f t="shared" si="22"/>
        <v>0</v>
      </c>
      <c r="M47" s="525"/>
      <c r="N47" s="514">
        <f t="shared" si="5"/>
        <v>0</v>
      </c>
      <c r="O47" s="514">
        <f t="shared" si="6"/>
        <v>0</v>
      </c>
      <c r="P47" s="272"/>
    </row>
    <row r="48" spans="2:16">
      <c r="B48" s="195" t="str">
        <f t="shared" si="4"/>
        <v/>
      </c>
      <c r="C48" s="507">
        <f>IF(D11="","-",+C47+1)</f>
        <v>2046</v>
      </c>
      <c r="D48" s="523">
        <f>IF(F47+SUM(E$17:E47)=D$10,F47,D$10-SUM(E$17:E47))</f>
        <v>1713143.931191422</v>
      </c>
      <c r="E48" s="522">
        <f t="shared" si="18"/>
        <v>125509.34431818183</v>
      </c>
      <c r="F48" s="523">
        <f t="shared" si="19"/>
        <v>1587634.5868732403</v>
      </c>
      <c r="G48" s="524">
        <f t="shared" si="20"/>
        <v>322775.6385629453</v>
      </c>
      <c r="H48" s="491">
        <f t="shared" si="21"/>
        <v>322775.6385629453</v>
      </c>
      <c r="I48" s="511">
        <f t="shared" si="3"/>
        <v>0</v>
      </c>
      <c r="J48" s="511"/>
      <c r="K48" s="525"/>
      <c r="L48" s="514">
        <f t="shared" si="22"/>
        <v>0</v>
      </c>
      <c r="M48" s="525"/>
      <c r="N48" s="514">
        <f t="shared" si="5"/>
        <v>0</v>
      </c>
      <c r="O48" s="514">
        <f t="shared" si="6"/>
        <v>0</v>
      </c>
      <c r="P48" s="272"/>
    </row>
    <row r="49" spans="2:16">
      <c r="B49" s="195" t="str">
        <f t="shared" si="4"/>
        <v/>
      </c>
      <c r="C49" s="507">
        <f>IF(D11="","-",+C48+1)</f>
        <v>2047</v>
      </c>
      <c r="D49" s="523">
        <f>IF(F48+SUM(E$17:E48)=D$10,F48,D$10-SUM(E$17:E48))</f>
        <v>1587634.5868732403</v>
      </c>
      <c r="E49" s="522">
        <f t="shared" si="18"/>
        <v>125509.34431818183</v>
      </c>
      <c r="F49" s="523">
        <f t="shared" si="19"/>
        <v>1462125.2425550586</v>
      </c>
      <c r="G49" s="524">
        <f t="shared" si="20"/>
        <v>307773.86664081435</v>
      </c>
      <c r="H49" s="491">
        <f t="shared" si="21"/>
        <v>307773.86664081435</v>
      </c>
      <c r="I49" s="511">
        <f t="shared" si="3"/>
        <v>0</v>
      </c>
      <c r="J49" s="511"/>
      <c r="K49" s="525"/>
      <c r="L49" s="514">
        <f t="shared" si="22"/>
        <v>0</v>
      </c>
      <c r="M49" s="525"/>
      <c r="N49" s="514">
        <f t="shared" si="5"/>
        <v>0</v>
      </c>
      <c r="O49" s="514">
        <f t="shared" si="6"/>
        <v>0</v>
      </c>
      <c r="P49" s="272"/>
    </row>
    <row r="50" spans="2:16">
      <c r="B50" s="195" t="str">
        <f t="shared" si="4"/>
        <v/>
      </c>
      <c r="C50" s="507">
        <f>IF(D11="","-",+C49+1)</f>
        <v>2048</v>
      </c>
      <c r="D50" s="523">
        <f>IF(F49+SUM(E$17:E49)=D$10,F49,D$10-SUM(E$17:E49))</f>
        <v>1462125.2425550586</v>
      </c>
      <c r="E50" s="522">
        <f t="shared" si="18"/>
        <v>125509.34431818183</v>
      </c>
      <c r="F50" s="523">
        <f t="shared" si="19"/>
        <v>1336615.8982368768</v>
      </c>
      <c r="G50" s="524">
        <f t="shared" si="20"/>
        <v>292772.09471868334</v>
      </c>
      <c r="H50" s="491">
        <f t="shared" si="21"/>
        <v>292772.09471868334</v>
      </c>
      <c r="I50" s="511">
        <f t="shared" si="3"/>
        <v>0</v>
      </c>
      <c r="J50" s="511"/>
      <c r="K50" s="525"/>
      <c r="L50" s="514">
        <f t="shared" si="22"/>
        <v>0</v>
      </c>
      <c r="M50" s="525"/>
      <c r="N50" s="514">
        <f t="shared" si="5"/>
        <v>0</v>
      </c>
      <c r="O50" s="514">
        <f t="shared" si="6"/>
        <v>0</v>
      </c>
      <c r="P50" s="272"/>
    </row>
    <row r="51" spans="2:16">
      <c r="B51" s="195" t="str">
        <f t="shared" si="4"/>
        <v/>
      </c>
      <c r="C51" s="507">
        <f>IF(D11="","-",+C50+1)</f>
        <v>2049</v>
      </c>
      <c r="D51" s="523">
        <f>IF(F50+SUM(E$17:E50)=D$10,F50,D$10-SUM(E$17:E50))</f>
        <v>1336615.8982368768</v>
      </c>
      <c r="E51" s="522">
        <f t="shared" si="18"/>
        <v>125509.34431818183</v>
      </c>
      <c r="F51" s="523">
        <f t="shared" si="19"/>
        <v>1211106.5539186951</v>
      </c>
      <c r="G51" s="524">
        <f t="shared" ref="G51:G72" si="23">+I$12*((D51+F51)/2)+E51</f>
        <v>277770.32279655233</v>
      </c>
      <c r="H51" s="491">
        <f t="shared" ref="H51:H72" si="24">+I$13*((D51+F51)/2)+E51</f>
        <v>277770.32279655233</v>
      </c>
      <c r="I51" s="511">
        <f t="shared" si="3"/>
        <v>0</v>
      </c>
      <c r="J51" s="511"/>
      <c r="K51" s="525"/>
      <c r="L51" s="514">
        <f t="shared" si="22"/>
        <v>0</v>
      </c>
      <c r="M51" s="525"/>
      <c r="N51" s="514">
        <f t="shared" si="5"/>
        <v>0</v>
      </c>
      <c r="O51" s="514">
        <f t="shared" si="6"/>
        <v>0</v>
      </c>
      <c r="P51" s="272"/>
    </row>
    <row r="52" spans="2:16">
      <c r="B52" s="195" t="str">
        <f t="shared" si="4"/>
        <v/>
      </c>
      <c r="C52" s="507">
        <f>IF(D11="","-",+C51+1)</f>
        <v>2050</v>
      </c>
      <c r="D52" s="523">
        <f>IF(F51+SUM(E$17:E51)=D$10,F51,D$10-SUM(E$17:E51))</f>
        <v>1211106.5539186951</v>
      </c>
      <c r="E52" s="522">
        <f t="shared" si="18"/>
        <v>125509.34431818183</v>
      </c>
      <c r="F52" s="523">
        <f t="shared" si="19"/>
        <v>1085597.2096005133</v>
      </c>
      <c r="G52" s="524">
        <f t="shared" si="23"/>
        <v>262768.55087442137</v>
      </c>
      <c r="H52" s="491">
        <f t="shared" si="24"/>
        <v>262768.55087442137</v>
      </c>
      <c r="I52" s="511">
        <f t="shared" si="3"/>
        <v>0</v>
      </c>
      <c r="J52" s="511"/>
      <c r="K52" s="525"/>
      <c r="L52" s="514">
        <f t="shared" si="22"/>
        <v>0</v>
      </c>
      <c r="M52" s="525"/>
      <c r="N52" s="514">
        <f t="shared" si="5"/>
        <v>0</v>
      </c>
      <c r="O52" s="514">
        <f t="shared" si="6"/>
        <v>0</v>
      </c>
      <c r="P52" s="272"/>
    </row>
    <row r="53" spans="2:16">
      <c r="B53" s="195" t="str">
        <f t="shared" si="4"/>
        <v/>
      </c>
      <c r="C53" s="507">
        <f>IF(D11="","-",+C52+1)</f>
        <v>2051</v>
      </c>
      <c r="D53" s="523">
        <f>IF(F52+SUM(E$17:E52)=D$10,F52,D$10-SUM(E$17:E52))</f>
        <v>1085597.2096005133</v>
      </c>
      <c r="E53" s="522">
        <f t="shared" si="18"/>
        <v>125509.34431818183</v>
      </c>
      <c r="F53" s="523">
        <f t="shared" si="19"/>
        <v>960087.86528233148</v>
      </c>
      <c r="G53" s="524">
        <f t="shared" si="23"/>
        <v>247766.77895229042</v>
      </c>
      <c r="H53" s="491">
        <f t="shared" si="24"/>
        <v>247766.77895229042</v>
      </c>
      <c r="I53" s="511">
        <f t="shared" si="3"/>
        <v>0</v>
      </c>
      <c r="J53" s="511"/>
      <c r="K53" s="525"/>
      <c r="L53" s="514">
        <f t="shared" si="22"/>
        <v>0</v>
      </c>
      <c r="M53" s="525"/>
      <c r="N53" s="514">
        <f t="shared" si="5"/>
        <v>0</v>
      </c>
      <c r="O53" s="514">
        <f t="shared" si="6"/>
        <v>0</v>
      </c>
      <c r="P53" s="272"/>
    </row>
    <row r="54" spans="2:16">
      <c r="B54" s="195" t="str">
        <f t="shared" si="4"/>
        <v/>
      </c>
      <c r="C54" s="507">
        <f>IF(D11="","-",+C53+1)</f>
        <v>2052</v>
      </c>
      <c r="D54" s="523">
        <f>IF(F53+SUM(E$17:E53)=D$10,F53,D$10-SUM(E$17:E53))</f>
        <v>960087.86528233148</v>
      </c>
      <c r="E54" s="522">
        <f t="shared" si="18"/>
        <v>125509.34431818183</v>
      </c>
      <c r="F54" s="523">
        <f t="shared" si="19"/>
        <v>834578.52096414962</v>
      </c>
      <c r="G54" s="524">
        <f t="shared" si="23"/>
        <v>232765.00703015941</v>
      </c>
      <c r="H54" s="491">
        <f t="shared" si="24"/>
        <v>232765.00703015941</v>
      </c>
      <c r="I54" s="511">
        <f t="shared" si="3"/>
        <v>0</v>
      </c>
      <c r="J54" s="511"/>
      <c r="K54" s="525"/>
      <c r="L54" s="514">
        <f t="shared" si="22"/>
        <v>0</v>
      </c>
      <c r="M54" s="525"/>
      <c r="N54" s="514">
        <f t="shared" si="5"/>
        <v>0</v>
      </c>
      <c r="O54" s="514">
        <f t="shared" si="6"/>
        <v>0</v>
      </c>
      <c r="P54" s="272"/>
    </row>
    <row r="55" spans="2:16">
      <c r="B55" s="195" t="str">
        <f t="shared" si="4"/>
        <v/>
      </c>
      <c r="C55" s="507">
        <f>IF(D11="","-",+C54+1)</f>
        <v>2053</v>
      </c>
      <c r="D55" s="523">
        <f>IF(F54+SUM(E$17:E54)=D$10,F54,D$10-SUM(E$17:E54))</f>
        <v>834578.52096414962</v>
      </c>
      <c r="E55" s="522">
        <f t="shared" si="18"/>
        <v>125509.34431818183</v>
      </c>
      <c r="F55" s="523">
        <f t="shared" si="19"/>
        <v>709069.17664596776</v>
      </c>
      <c r="G55" s="524">
        <f t="shared" si="23"/>
        <v>217763.23510802843</v>
      </c>
      <c r="H55" s="491">
        <f t="shared" si="24"/>
        <v>217763.23510802843</v>
      </c>
      <c r="I55" s="511">
        <f t="shared" si="3"/>
        <v>0</v>
      </c>
      <c r="J55" s="511"/>
      <c r="K55" s="525"/>
      <c r="L55" s="514">
        <f t="shared" si="22"/>
        <v>0</v>
      </c>
      <c r="M55" s="525"/>
      <c r="N55" s="514">
        <f t="shared" si="5"/>
        <v>0</v>
      </c>
      <c r="O55" s="514">
        <f t="shared" si="6"/>
        <v>0</v>
      </c>
      <c r="P55" s="272"/>
    </row>
    <row r="56" spans="2:16">
      <c r="B56" s="195" t="str">
        <f t="shared" si="4"/>
        <v/>
      </c>
      <c r="C56" s="507">
        <f>IF(D11="","-",+C55+1)</f>
        <v>2054</v>
      </c>
      <c r="D56" s="523">
        <f>IF(F55+SUM(E$17:E55)=D$10,F55,D$10-SUM(E$17:E55))</f>
        <v>709069.17664596776</v>
      </c>
      <c r="E56" s="522">
        <f t="shared" si="18"/>
        <v>125509.34431818183</v>
      </c>
      <c r="F56" s="523">
        <f t="shared" si="19"/>
        <v>583559.8323277859</v>
      </c>
      <c r="G56" s="524">
        <f t="shared" si="23"/>
        <v>202761.46318589745</v>
      </c>
      <c r="H56" s="491">
        <f t="shared" si="24"/>
        <v>202761.46318589745</v>
      </c>
      <c r="I56" s="511">
        <f t="shared" si="3"/>
        <v>0</v>
      </c>
      <c r="J56" s="511"/>
      <c r="K56" s="525"/>
      <c r="L56" s="514">
        <f t="shared" si="22"/>
        <v>0</v>
      </c>
      <c r="M56" s="525"/>
      <c r="N56" s="514">
        <f t="shared" si="5"/>
        <v>0</v>
      </c>
      <c r="O56" s="514">
        <f t="shared" si="6"/>
        <v>0</v>
      </c>
      <c r="P56" s="272"/>
    </row>
    <row r="57" spans="2:16">
      <c r="B57" s="195" t="str">
        <f t="shared" si="4"/>
        <v/>
      </c>
      <c r="C57" s="507">
        <f>IF(D11="","-",+C56+1)</f>
        <v>2055</v>
      </c>
      <c r="D57" s="523">
        <f>IF(F56+SUM(E$17:E56)=D$10,F56,D$10-SUM(E$17:E56))</f>
        <v>583559.8323277859</v>
      </c>
      <c r="E57" s="522">
        <f t="shared" si="18"/>
        <v>125509.34431818183</v>
      </c>
      <c r="F57" s="523">
        <f t="shared" si="19"/>
        <v>458050.48800960404</v>
      </c>
      <c r="G57" s="524">
        <f t="shared" si="23"/>
        <v>187759.69126376644</v>
      </c>
      <c r="H57" s="491">
        <f t="shared" si="24"/>
        <v>187759.69126376644</v>
      </c>
      <c r="I57" s="511">
        <f t="shared" si="3"/>
        <v>0</v>
      </c>
      <c r="J57" s="511"/>
      <c r="K57" s="525"/>
      <c r="L57" s="514">
        <f t="shared" si="22"/>
        <v>0</v>
      </c>
      <c r="M57" s="525"/>
      <c r="N57" s="514">
        <f t="shared" si="5"/>
        <v>0</v>
      </c>
      <c r="O57" s="514">
        <f t="shared" si="6"/>
        <v>0</v>
      </c>
      <c r="P57" s="272"/>
    </row>
    <row r="58" spans="2:16">
      <c r="B58" s="195" t="str">
        <f t="shared" si="4"/>
        <v/>
      </c>
      <c r="C58" s="507">
        <f>IF(D11="","-",+C57+1)</f>
        <v>2056</v>
      </c>
      <c r="D58" s="523">
        <f>IF(F57+SUM(E$17:E57)=D$10,F57,D$10-SUM(E$17:E57))</f>
        <v>458050.48800960404</v>
      </c>
      <c r="E58" s="522">
        <f t="shared" si="18"/>
        <v>125509.34431818183</v>
      </c>
      <c r="F58" s="523">
        <f t="shared" si="19"/>
        <v>332541.14369142218</v>
      </c>
      <c r="G58" s="524">
        <f t="shared" si="23"/>
        <v>172757.91934163545</v>
      </c>
      <c r="H58" s="491">
        <f t="shared" si="24"/>
        <v>172757.91934163545</v>
      </c>
      <c r="I58" s="511">
        <f t="shared" si="3"/>
        <v>0</v>
      </c>
      <c r="J58" s="511"/>
      <c r="K58" s="525"/>
      <c r="L58" s="514">
        <f t="shared" si="22"/>
        <v>0</v>
      </c>
      <c r="M58" s="525"/>
      <c r="N58" s="514">
        <f t="shared" si="5"/>
        <v>0</v>
      </c>
      <c r="O58" s="514">
        <f t="shared" si="6"/>
        <v>0</v>
      </c>
      <c r="P58" s="272"/>
    </row>
    <row r="59" spans="2:16">
      <c r="B59" s="195" t="str">
        <f t="shared" si="4"/>
        <v/>
      </c>
      <c r="C59" s="507">
        <f>IF(D11="","-",+C58+1)</f>
        <v>2057</v>
      </c>
      <c r="D59" s="523">
        <f>IF(F58+SUM(E$17:E58)=D$10,F58,D$10-SUM(E$17:E58))</f>
        <v>332541.14369142218</v>
      </c>
      <c r="E59" s="522">
        <f t="shared" si="18"/>
        <v>125509.34431818183</v>
      </c>
      <c r="F59" s="523">
        <f t="shared" si="19"/>
        <v>207031.79937324036</v>
      </c>
      <c r="G59" s="524">
        <f t="shared" si="23"/>
        <v>157756.14741950447</v>
      </c>
      <c r="H59" s="491">
        <f t="shared" si="24"/>
        <v>157756.14741950447</v>
      </c>
      <c r="I59" s="511">
        <f t="shared" si="3"/>
        <v>0</v>
      </c>
      <c r="J59" s="511"/>
      <c r="K59" s="525"/>
      <c r="L59" s="514">
        <f t="shared" si="22"/>
        <v>0</v>
      </c>
      <c r="M59" s="525"/>
      <c r="N59" s="514">
        <f t="shared" si="5"/>
        <v>0</v>
      </c>
      <c r="O59" s="514">
        <f t="shared" si="6"/>
        <v>0</v>
      </c>
      <c r="P59" s="272"/>
    </row>
    <row r="60" spans="2:16">
      <c r="B60" s="195" t="str">
        <f t="shared" si="4"/>
        <v/>
      </c>
      <c r="C60" s="507">
        <f>IF(D11="","-",+C59+1)</f>
        <v>2058</v>
      </c>
      <c r="D60" s="523">
        <f>IF(F59+SUM(E$17:E59)=D$10,F59,D$10-SUM(E$17:E59))</f>
        <v>207031.79937324036</v>
      </c>
      <c r="E60" s="522">
        <f t="shared" si="18"/>
        <v>125509.34431818183</v>
      </c>
      <c r="F60" s="523">
        <f t="shared" si="19"/>
        <v>81522.455055058526</v>
      </c>
      <c r="G60" s="524">
        <f t="shared" si="23"/>
        <v>142754.37549737349</v>
      </c>
      <c r="H60" s="491">
        <f t="shared" si="24"/>
        <v>142754.37549737349</v>
      </c>
      <c r="I60" s="511">
        <f t="shared" si="3"/>
        <v>0</v>
      </c>
      <c r="J60" s="511"/>
      <c r="K60" s="525"/>
      <c r="L60" s="514">
        <f t="shared" si="22"/>
        <v>0</v>
      </c>
      <c r="M60" s="525"/>
      <c r="N60" s="514">
        <f t="shared" si="5"/>
        <v>0</v>
      </c>
      <c r="O60" s="514">
        <f t="shared" si="6"/>
        <v>0</v>
      </c>
      <c r="P60" s="272"/>
    </row>
    <row r="61" spans="2:16">
      <c r="B61" s="195" t="str">
        <f t="shared" si="4"/>
        <v/>
      </c>
      <c r="C61" s="507">
        <f>IF(D11="","-",+C60+1)</f>
        <v>2059</v>
      </c>
      <c r="D61" s="523">
        <f>IF(F60+SUM(E$17:E60)=D$10,F60,D$10-SUM(E$17:E60))</f>
        <v>81522.455055058526</v>
      </c>
      <c r="E61" s="522">
        <f t="shared" si="18"/>
        <v>81522.455055058526</v>
      </c>
      <c r="F61" s="523">
        <f t="shared" si="19"/>
        <v>0</v>
      </c>
      <c r="G61" s="524">
        <f t="shared" si="23"/>
        <v>86394.527664121604</v>
      </c>
      <c r="H61" s="491">
        <f t="shared" si="24"/>
        <v>86394.527664121604</v>
      </c>
      <c r="I61" s="511">
        <f t="shared" si="3"/>
        <v>0</v>
      </c>
      <c r="J61" s="511"/>
      <c r="K61" s="525"/>
      <c r="L61" s="514">
        <f t="shared" si="22"/>
        <v>0</v>
      </c>
      <c r="M61" s="525"/>
      <c r="N61" s="514">
        <f t="shared" si="5"/>
        <v>0</v>
      </c>
      <c r="O61" s="514">
        <f t="shared" si="6"/>
        <v>0</v>
      </c>
      <c r="P61" s="272"/>
    </row>
    <row r="62" spans="2:16">
      <c r="B62" s="195" t="str">
        <f t="shared" si="4"/>
        <v/>
      </c>
      <c r="C62" s="507">
        <f>IF(D11="","-",+C61+1)</f>
        <v>2060</v>
      </c>
      <c r="D62" s="523">
        <f>IF(F61+SUM(E$17:E61)=D$10,F61,D$10-SUM(E$17:E61))</f>
        <v>0</v>
      </c>
      <c r="E62" s="522">
        <f t="shared" si="18"/>
        <v>0</v>
      </c>
      <c r="F62" s="523">
        <f t="shared" si="19"/>
        <v>0</v>
      </c>
      <c r="G62" s="524">
        <f t="shared" si="23"/>
        <v>0</v>
      </c>
      <c r="H62" s="491">
        <f t="shared" si="24"/>
        <v>0</v>
      </c>
      <c r="I62" s="511">
        <f t="shared" si="3"/>
        <v>0</v>
      </c>
      <c r="J62" s="511"/>
      <c r="K62" s="525"/>
      <c r="L62" s="514">
        <f t="shared" si="22"/>
        <v>0</v>
      </c>
      <c r="M62" s="525"/>
      <c r="N62" s="514">
        <f t="shared" si="5"/>
        <v>0</v>
      </c>
      <c r="O62" s="514">
        <f t="shared" si="6"/>
        <v>0</v>
      </c>
      <c r="P62" s="272"/>
    </row>
    <row r="63" spans="2:16">
      <c r="B63" s="195" t="str">
        <f t="shared" si="4"/>
        <v/>
      </c>
      <c r="C63" s="507">
        <f>IF(D11="","-",+C62+1)</f>
        <v>2061</v>
      </c>
      <c r="D63" s="523">
        <f>IF(F62+SUM(E$17:E62)=D$10,F62,D$10-SUM(E$17:E62))</f>
        <v>0</v>
      </c>
      <c r="E63" s="522">
        <f t="shared" si="18"/>
        <v>0</v>
      </c>
      <c r="F63" s="523">
        <f t="shared" si="19"/>
        <v>0</v>
      </c>
      <c r="G63" s="524">
        <f t="shared" si="23"/>
        <v>0</v>
      </c>
      <c r="H63" s="491">
        <f t="shared" si="24"/>
        <v>0</v>
      </c>
      <c r="I63" s="511">
        <f t="shared" si="3"/>
        <v>0</v>
      </c>
      <c r="J63" s="511"/>
      <c r="K63" s="525"/>
      <c r="L63" s="514">
        <f t="shared" si="22"/>
        <v>0</v>
      </c>
      <c r="M63" s="525"/>
      <c r="N63" s="514">
        <f t="shared" si="5"/>
        <v>0</v>
      </c>
      <c r="O63" s="514">
        <f t="shared" si="6"/>
        <v>0</v>
      </c>
      <c r="P63" s="272"/>
    </row>
    <row r="64" spans="2:16">
      <c r="B64" s="195" t="str">
        <f t="shared" si="4"/>
        <v/>
      </c>
      <c r="C64" s="507">
        <f>IF(D11="","-",+C63+1)</f>
        <v>2062</v>
      </c>
      <c r="D64" s="523">
        <f>IF(F63+SUM(E$17:E63)=D$10,F63,D$10-SUM(E$17:E63))</f>
        <v>0</v>
      </c>
      <c r="E64" s="522">
        <f t="shared" si="18"/>
        <v>0</v>
      </c>
      <c r="F64" s="523">
        <f t="shared" si="19"/>
        <v>0</v>
      </c>
      <c r="G64" s="524">
        <f t="shared" si="23"/>
        <v>0</v>
      </c>
      <c r="H64" s="491">
        <f t="shared" si="24"/>
        <v>0</v>
      </c>
      <c r="I64" s="511">
        <f t="shared" si="3"/>
        <v>0</v>
      </c>
      <c r="J64" s="511"/>
      <c r="K64" s="525"/>
      <c r="L64" s="514">
        <f t="shared" si="22"/>
        <v>0</v>
      </c>
      <c r="M64" s="525"/>
      <c r="N64" s="514">
        <f t="shared" si="5"/>
        <v>0</v>
      </c>
      <c r="O64" s="514">
        <f t="shared" si="6"/>
        <v>0</v>
      </c>
      <c r="P64" s="272"/>
    </row>
    <row r="65" spans="2:16">
      <c r="B65" s="195" t="str">
        <f t="shared" si="4"/>
        <v/>
      </c>
      <c r="C65" s="507">
        <f>IF(D11="","-",+C64+1)</f>
        <v>2063</v>
      </c>
      <c r="D65" s="523">
        <f>IF(F64+SUM(E$17:E64)=D$10,F64,D$10-SUM(E$17:E64))</f>
        <v>0</v>
      </c>
      <c r="E65" s="522">
        <f t="shared" si="18"/>
        <v>0</v>
      </c>
      <c r="F65" s="523">
        <f t="shared" si="19"/>
        <v>0</v>
      </c>
      <c r="G65" s="524">
        <f t="shared" si="23"/>
        <v>0</v>
      </c>
      <c r="H65" s="491">
        <f t="shared" si="24"/>
        <v>0</v>
      </c>
      <c r="I65" s="511">
        <f t="shared" si="3"/>
        <v>0</v>
      </c>
      <c r="J65" s="511"/>
      <c r="K65" s="525"/>
      <c r="L65" s="514">
        <f t="shared" si="22"/>
        <v>0</v>
      </c>
      <c r="M65" s="525"/>
      <c r="N65" s="514">
        <f t="shared" si="5"/>
        <v>0</v>
      </c>
      <c r="O65" s="514">
        <f t="shared" si="6"/>
        <v>0</v>
      </c>
      <c r="P65" s="272"/>
    </row>
    <row r="66" spans="2:16">
      <c r="B66" s="195" t="str">
        <f t="shared" si="4"/>
        <v/>
      </c>
      <c r="C66" s="507">
        <f>IF(D11="","-",+C65+1)</f>
        <v>2064</v>
      </c>
      <c r="D66" s="523">
        <f>IF(F65+SUM(E$17:E65)=D$10,F65,D$10-SUM(E$17:E65))</f>
        <v>0</v>
      </c>
      <c r="E66" s="522">
        <f t="shared" si="18"/>
        <v>0</v>
      </c>
      <c r="F66" s="523">
        <f t="shared" si="19"/>
        <v>0</v>
      </c>
      <c r="G66" s="524">
        <f t="shared" si="23"/>
        <v>0</v>
      </c>
      <c r="H66" s="491">
        <f t="shared" si="24"/>
        <v>0</v>
      </c>
      <c r="I66" s="511">
        <f t="shared" si="3"/>
        <v>0</v>
      </c>
      <c r="J66" s="511"/>
      <c r="K66" s="525"/>
      <c r="L66" s="514">
        <f t="shared" si="22"/>
        <v>0</v>
      </c>
      <c r="M66" s="525"/>
      <c r="N66" s="514">
        <f t="shared" si="5"/>
        <v>0</v>
      </c>
      <c r="O66" s="514">
        <f t="shared" si="6"/>
        <v>0</v>
      </c>
      <c r="P66" s="272"/>
    </row>
    <row r="67" spans="2:16">
      <c r="B67" s="195" t="str">
        <f t="shared" si="4"/>
        <v/>
      </c>
      <c r="C67" s="507">
        <f>IF(D11="","-",+C66+1)</f>
        <v>2065</v>
      </c>
      <c r="D67" s="523">
        <f>IF(F66+SUM(E$17:E66)=D$10,F66,D$10-SUM(E$17:E66))</f>
        <v>0</v>
      </c>
      <c r="E67" s="522">
        <f t="shared" si="18"/>
        <v>0</v>
      </c>
      <c r="F67" s="523">
        <f t="shared" si="19"/>
        <v>0</v>
      </c>
      <c r="G67" s="524">
        <f t="shared" si="23"/>
        <v>0</v>
      </c>
      <c r="H67" s="491">
        <f t="shared" si="24"/>
        <v>0</v>
      </c>
      <c r="I67" s="511">
        <f t="shared" si="3"/>
        <v>0</v>
      </c>
      <c r="J67" s="511"/>
      <c r="K67" s="525"/>
      <c r="L67" s="514">
        <f t="shared" si="22"/>
        <v>0</v>
      </c>
      <c r="M67" s="525"/>
      <c r="N67" s="514">
        <f t="shared" si="5"/>
        <v>0</v>
      </c>
      <c r="O67" s="514">
        <f t="shared" si="6"/>
        <v>0</v>
      </c>
      <c r="P67" s="272"/>
    </row>
    <row r="68" spans="2:16">
      <c r="B68" s="195" t="str">
        <f t="shared" si="4"/>
        <v/>
      </c>
      <c r="C68" s="507">
        <f>IF(D11="","-",+C67+1)</f>
        <v>2066</v>
      </c>
      <c r="D68" s="523">
        <f>IF(F67+SUM(E$17:E67)=D$10,F67,D$10-SUM(E$17:E67))</f>
        <v>0</v>
      </c>
      <c r="E68" s="522">
        <f t="shared" si="18"/>
        <v>0</v>
      </c>
      <c r="F68" s="523">
        <f t="shared" si="19"/>
        <v>0</v>
      </c>
      <c r="G68" s="524">
        <f t="shared" si="23"/>
        <v>0</v>
      </c>
      <c r="H68" s="491">
        <f t="shared" si="24"/>
        <v>0</v>
      </c>
      <c r="I68" s="511">
        <f t="shared" si="3"/>
        <v>0</v>
      </c>
      <c r="J68" s="511"/>
      <c r="K68" s="525"/>
      <c r="L68" s="514">
        <f t="shared" si="22"/>
        <v>0</v>
      </c>
      <c r="M68" s="525"/>
      <c r="N68" s="514">
        <f t="shared" si="5"/>
        <v>0</v>
      </c>
      <c r="O68" s="514">
        <f t="shared" si="6"/>
        <v>0</v>
      </c>
      <c r="P68" s="272"/>
    </row>
    <row r="69" spans="2:16">
      <c r="B69" s="195" t="str">
        <f t="shared" si="4"/>
        <v/>
      </c>
      <c r="C69" s="507">
        <f>IF(D11="","-",+C68+1)</f>
        <v>2067</v>
      </c>
      <c r="D69" s="523">
        <f>IF(F68+SUM(E$17:E68)=D$10,F68,D$10-SUM(E$17:E68))</f>
        <v>0</v>
      </c>
      <c r="E69" s="522">
        <f t="shared" si="18"/>
        <v>0</v>
      </c>
      <c r="F69" s="523">
        <f t="shared" si="19"/>
        <v>0</v>
      </c>
      <c r="G69" s="524">
        <f t="shared" si="23"/>
        <v>0</v>
      </c>
      <c r="H69" s="491">
        <f t="shared" si="24"/>
        <v>0</v>
      </c>
      <c r="I69" s="511">
        <f t="shared" si="3"/>
        <v>0</v>
      </c>
      <c r="J69" s="511"/>
      <c r="K69" s="525"/>
      <c r="L69" s="514">
        <f t="shared" si="22"/>
        <v>0</v>
      </c>
      <c r="M69" s="525"/>
      <c r="N69" s="514">
        <f t="shared" si="5"/>
        <v>0</v>
      </c>
      <c r="O69" s="514">
        <f t="shared" si="6"/>
        <v>0</v>
      </c>
      <c r="P69" s="272"/>
    </row>
    <row r="70" spans="2:16">
      <c r="B70" s="195" t="str">
        <f t="shared" si="4"/>
        <v/>
      </c>
      <c r="C70" s="507">
        <f>IF(D11="","-",+C69+1)</f>
        <v>2068</v>
      </c>
      <c r="D70" s="523">
        <f>IF(F69+SUM(E$17:E69)=D$10,F69,D$10-SUM(E$17:E69))</f>
        <v>0</v>
      </c>
      <c r="E70" s="522">
        <f t="shared" si="18"/>
        <v>0</v>
      </c>
      <c r="F70" s="523">
        <f t="shared" si="19"/>
        <v>0</v>
      </c>
      <c r="G70" s="524">
        <f t="shared" si="23"/>
        <v>0</v>
      </c>
      <c r="H70" s="491">
        <f t="shared" si="24"/>
        <v>0</v>
      </c>
      <c r="I70" s="511">
        <f t="shared" si="3"/>
        <v>0</v>
      </c>
      <c r="J70" s="511"/>
      <c r="K70" s="525"/>
      <c r="L70" s="514">
        <f t="shared" si="22"/>
        <v>0</v>
      </c>
      <c r="M70" s="525"/>
      <c r="N70" s="514">
        <f t="shared" si="5"/>
        <v>0</v>
      </c>
      <c r="O70" s="514">
        <f t="shared" si="6"/>
        <v>0</v>
      </c>
      <c r="P70" s="272"/>
    </row>
    <row r="71" spans="2:16">
      <c r="B71" s="195" t="str">
        <f t="shared" si="4"/>
        <v/>
      </c>
      <c r="C71" s="507">
        <f>IF(D11="","-",+C70+1)</f>
        <v>2069</v>
      </c>
      <c r="D71" s="523">
        <f>IF(F70+SUM(E$17:E70)=D$10,F70,D$10-SUM(E$17:E70))</f>
        <v>0</v>
      </c>
      <c r="E71" s="522">
        <f t="shared" si="18"/>
        <v>0</v>
      </c>
      <c r="F71" s="523">
        <f t="shared" si="19"/>
        <v>0</v>
      </c>
      <c r="G71" s="524">
        <f t="shared" si="23"/>
        <v>0</v>
      </c>
      <c r="H71" s="491">
        <f t="shared" si="24"/>
        <v>0</v>
      </c>
      <c r="I71" s="511">
        <f t="shared" si="3"/>
        <v>0</v>
      </c>
      <c r="J71" s="511"/>
      <c r="K71" s="525"/>
      <c r="L71" s="514">
        <f t="shared" si="22"/>
        <v>0</v>
      </c>
      <c r="M71" s="525"/>
      <c r="N71" s="514">
        <f t="shared" si="5"/>
        <v>0</v>
      </c>
      <c r="O71" s="514">
        <f t="shared" si="6"/>
        <v>0</v>
      </c>
      <c r="P71" s="272"/>
    </row>
    <row r="72" spans="2:16" ht="13.5" thickBot="1">
      <c r="B72" s="195" t="str">
        <f t="shared" si="4"/>
        <v/>
      </c>
      <c r="C72" s="527">
        <f>IF(D11="","-",+C71+1)</f>
        <v>2070</v>
      </c>
      <c r="D72" s="523">
        <f>IF(F71+SUM(E$17:E71)=D$10,F71,D$10-SUM(E$17:E71))</f>
        <v>0</v>
      </c>
      <c r="E72" s="522">
        <f t="shared" si="18"/>
        <v>0</v>
      </c>
      <c r="F72" s="523">
        <f t="shared" si="19"/>
        <v>0</v>
      </c>
      <c r="G72" s="524">
        <f t="shared" si="23"/>
        <v>0</v>
      </c>
      <c r="H72" s="491">
        <f t="shared" si="24"/>
        <v>0</v>
      </c>
      <c r="I72" s="511">
        <f t="shared" si="3"/>
        <v>0</v>
      </c>
      <c r="J72" s="511"/>
      <c r="K72" s="532"/>
      <c r="L72" s="533">
        <f t="shared" si="22"/>
        <v>0</v>
      </c>
      <c r="M72" s="532"/>
      <c r="N72" s="533">
        <f t="shared" si="5"/>
        <v>0</v>
      </c>
      <c r="O72" s="533">
        <f t="shared" si="6"/>
        <v>0</v>
      </c>
      <c r="P72" s="272"/>
    </row>
    <row r="73" spans="2:16">
      <c r="C73" s="374" t="s">
        <v>78</v>
      </c>
      <c r="D73" s="375"/>
      <c r="E73" s="375">
        <f>SUM(E17:E72)</f>
        <v>5522411.1500000032</v>
      </c>
      <c r="F73" s="375"/>
      <c r="G73" s="375">
        <f>SUM(G17:G72)</f>
        <v>20467983.419295434</v>
      </c>
      <c r="H73" s="375">
        <f>SUM(H17:H72)</f>
        <v>20467983.419295434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2:16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2:16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2:16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2:16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272"/>
      <c r="P77" s="272"/>
    </row>
    <row r="78" spans="2:16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2:16"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  <c r="O79" s="269"/>
      <c r="P79" s="269"/>
    </row>
    <row r="80" spans="2:16" ht="18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6">
      <c r="B81" s="269"/>
      <c r="C81" s="340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6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</row>
    <row r="83" spans="1:16" ht="20.25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451" t="str">
        <f ca="1">P1</f>
        <v>SWEPCO Project 51 of 75</v>
      </c>
    </row>
    <row r="84" spans="1:16" ht="18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538" t="s">
        <v>128</v>
      </c>
    </row>
    <row r="85" spans="1:16" ht="18.7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</row>
    <row r="86" spans="1:16" ht="15.75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2022</v>
      </c>
      <c r="M86" s="541" t="s">
        <v>9</v>
      </c>
      <c r="N86" s="542" t="s">
        <v>159</v>
      </c>
      <c r="O86" s="543" t="s">
        <v>11</v>
      </c>
      <c r="P86" s="269"/>
    </row>
    <row r="87" spans="1:16" ht="1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391</v>
      </c>
      <c r="M87" s="546">
        <f>IF(J92&lt;D11,0,VLOOKUP(J92,C17:O72,9))</f>
        <v>656777.38185664476</v>
      </c>
      <c r="N87" s="546">
        <f>IF(J92&lt;D11,0,VLOOKUP(J92,C17:O72,11))</f>
        <v>656777.38185664476</v>
      </c>
      <c r="O87" s="547">
        <f>+N87-M87</f>
        <v>0</v>
      </c>
      <c r="P87" s="269"/>
    </row>
    <row r="88" spans="1:16" ht="15.7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392</v>
      </c>
      <c r="M88" s="550">
        <f>IF(J92&lt;D11,0,VLOOKUP(J92,C99:P154,6))</f>
        <v>680420.93258992897</v>
      </c>
      <c r="N88" s="550">
        <f>IF(J92&lt;D11,0,VLOOKUP(J92,C99:P154,7))</f>
        <v>680420.93258992897</v>
      </c>
      <c r="O88" s="551">
        <f>+N88-M88</f>
        <v>0</v>
      </c>
      <c r="P88" s="269"/>
    </row>
    <row r="89" spans="1:16" ht="13.5" thickBot="1">
      <c r="C89" s="467" t="s">
        <v>84</v>
      </c>
      <c r="D89" s="552" t="str">
        <f>+D7</f>
        <v>Hardy Street-Waterworks 69 kV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23643.55073328421</v>
      </c>
      <c r="N89" s="555">
        <f>+N88-N87</f>
        <v>23643.55073328421</v>
      </c>
      <c r="O89" s="556">
        <f>+O88-O87</f>
        <v>0</v>
      </c>
      <c r="P89" s="269"/>
    </row>
    <row r="90" spans="1:16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</row>
    <row r="91" spans="1:16" ht="13.5" thickBot="1">
      <c r="A91" s="191"/>
      <c r="C91" s="558" t="s">
        <v>85</v>
      </c>
      <c r="D91" s="559" t="str">
        <f>+D9</f>
        <v>TP2012146</v>
      </c>
      <c r="E91" s="560"/>
      <c r="F91" s="560"/>
      <c r="G91" s="560"/>
      <c r="H91" s="560"/>
      <c r="I91" s="560"/>
      <c r="J91" s="560"/>
      <c r="K91" s="562"/>
      <c r="P91" s="481"/>
    </row>
    <row r="92" spans="1:16">
      <c r="C92" s="486" t="s">
        <v>51</v>
      </c>
      <c r="D92" s="628">
        <v>5522411</v>
      </c>
      <c r="E92" s="340" t="s">
        <v>86</v>
      </c>
      <c r="H92" s="484"/>
      <c r="I92" s="484"/>
      <c r="J92" s="485">
        <f>+'SWE.WS.G.BPU.ATRR.True-up'!M16</f>
        <v>2022</v>
      </c>
      <c r="K92" s="480"/>
      <c r="L92" s="375" t="s">
        <v>87</v>
      </c>
      <c r="P92" s="272"/>
    </row>
    <row r="93" spans="1:16">
      <c r="C93" s="486" t="s">
        <v>54</v>
      </c>
      <c r="D93" s="563">
        <f>IF(D11=I10,"",D11)</f>
        <v>2015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</row>
    <row r="94" spans="1:16">
      <c r="C94" s="486" t="s">
        <v>56</v>
      </c>
      <c r="D94" s="564">
        <f>IF(D11=I10,"",D12)</f>
        <v>6</v>
      </c>
      <c r="E94" s="486" t="s">
        <v>57</v>
      </c>
      <c r="F94" s="484"/>
      <c r="G94" s="484"/>
      <c r="J94" s="490">
        <f>'SWE.WS.G.BPU.ATRR.True-up'!$F$81</f>
        <v>0.11351422637179906</v>
      </c>
      <c r="K94" s="425"/>
      <c r="L94" s="183" t="s">
        <v>88</v>
      </c>
      <c r="P94" s="272"/>
    </row>
    <row r="95" spans="1:16">
      <c r="C95" s="486" t="s">
        <v>59</v>
      </c>
      <c r="D95" s="488">
        <f>'SWE.WS.G.BPU.ATRR.True-up'!F$93</f>
        <v>41</v>
      </c>
      <c r="E95" s="486" t="s">
        <v>60</v>
      </c>
      <c r="F95" s="484"/>
      <c r="G95" s="484"/>
      <c r="J95" s="490">
        <f>IF(H87="",J94,'SWE.WS.G.BPU.ATRR.True-up'!$F$80)</f>
        <v>0.11351422637179906</v>
      </c>
      <c r="K95" s="324"/>
      <c r="L95" s="375" t="s">
        <v>61</v>
      </c>
      <c r="M95" s="324"/>
      <c r="N95" s="324"/>
      <c r="O95" s="324"/>
      <c r="P95" s="272"/>
    </row>
    <row r="96" spans="1:16" ht="13.5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134692.95121951221</v>
      </c>
      <c r="K96" s="375"/>
      <c r="L96" s="375"/>
      <c r="M96" s="375"/>
      <c r="N96" s="375"/>
      <c r="O96" s="375"/>
      <c r="P96" s="272"/>
    </row>
    <row r="97" spans="1:16" ht="38.25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388</v>
      </c>
      <c r="I97" s="495" t="s">
        <v>389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</row>
    <row r="98" spans="1:16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</row>
    <row r="99" spans="1:16">
      <c r="C99" s="507">
        <f>IF(D93= "","-",D93)</f>
        <v>2015</v>
      </c>
      <c r="D99" s="629">
        <v>0</v>
      </c>
      <c r="E99" s="630">
        <v>0</v>
      </c>
      <c r="F99" s="631">
        <v>5366606</v>
      </c>
      <c r="G99" s="632">
        <v>2683303</v>
      </c>
      <c r="H99" s="633">
        <v>353575.82530859788</v>
      </c>
      <c r="I99" s="634">
        <v>353575.82530859788</v>
      </c>
      <c r="J99" s="514">
        <f>+I99-H99</f>
        <v>0</v>
      </c>
      <c r="K99" s="514"/>
      <c r="L99" s="512">
        <f t="shared" ref="L99:L104" si="25">+H99</f>
        <v>353575.82530859788</v>
      </c>
      <c r="M99" s="513">
        <f t="shared" ref="M99:M130" si="26">IF(L99&lt;&gt;0,+H99-L99,0)</f>
        <v>0</v>
      </c>
      <c r="N99" s="512">
        <f t="shared" ref="N99:N104" si="27">+I99</f>
        <v>353575.82530859788</v>
      </c>
      <c r="O99" s="513">
        <f t="shared" ref="O99:O130" si="28">IF(N99&lt;&gt;0,+I99-N99,0)</f>
        <v>0</v>
      </c>
      <c r="P99" s="513">
        <f t="shared" ref="P99:P130" si="29">+O99-M99</f>
        <v>0</v>
      </c>
    </row>
    <row r="100" spans="1:16">
      <c r="B100" s="195" t="str">
        <f>IF(D100=F99,"","IU")</f>
        <v>IU</v>
      </c>
      <c r="C100" s="507">
        <f>IF(D93="","-",+C99+1)</f>
        <v>2016</v>
      </c>
      <c r="D100" s="629">
        <v>5401890</v>
      </c>
      <c r="E100" s="630">
        <v>125625.3488372093</v>
      </c>
      <c r="F100" s="631">
        <v>5276264.6511627911</v>
      </c>
      <c r="G100" s="631">
        <v>5339077.325581396</v>
      </c>
      <c r="H100" s="633">
        <v>803421.15279042628</v>
      </c>
      <c r="I100" s="634">
        <v>803421.15279042628</v>
      </c>
      <c r="J100" s="514">
        <f>+I100-H100</f>
        <v>0</v>
      </c>
      <c r="K100" s="514"/>
      <c r="L100" s="518">
        <f t="shared" si="25"/>
        <v>803421.15279042628</v>
      </c>
      <c r="M100" s="514">
        <f t="shared" ref="M100:M105" si="30">IF(L100&lt;&gt;0,+H100-L100,0)</f>
        <v>0</v>
      </c>
      <c r="N100" s="518">
        <f t="shared" si="27"/>
        <v>803421.15279042628</v>
      </c>
      <c r="O100" s="514">
        <f>IF(N100&lt;&gt;0,+I100-N100,0)</f>
        <v>0</v>
      </c>
      <c r="P100" s="514">
        <f>+O100-M100</f>
        <v>0</v>
      </c>
    </row>
    <row r="101" spans="1:16">
      <c r="B101" s="195" t="str">
        <f t="shared" ref="B101:B154" si="31">IF(D101=F100,"","IU")</f>
        <v>IU</v>
      </c>
      <c r="C101" s="507">
        <f>IF(D93="","-",+C100+1)</f>
        <v>2017</v>
      </c>
      <c r="D101" s="629">
        <v>5396785.6511627911</v>
      </c>
      <c r="E101" s="630">
        <v>131485.97619047618</v>
      </c>
      <c r="F101" s="631">
        <v>5265299.6749723153</v>
      </c>
      <c r="G101" s="631">
        <v>5331042.6630675532</v>
      </c>
      <c r="H101" s="633">
        <v>779055.49944878952</v>
      </c>
      <c r="I101" s="634">
        <v>779055.49944878952</v>
      </c>
      <c r="J101" s="514">
        <f t="shared" ref="J101:J154" si="32">+I101-H101</f>
        <v>0</v>
      </c>
      <c r="K101" s="514"/>
      <c r="L101" s="518">
        <f t="shared" si="25"/>
        <v>779055.49944878952</v>
      </c>
      <c r="M101" s="514">
        <f t="shared" si="30"/>
        <v>0</v>
      </c>
      <c r="N101" s="518">
        <f t="shared" si="27"/>
        <v>779055.49944878952</v>
      </c>
      <c r="O101" s="514">
        <f>IF(N101&lt;&gt;0,+I101-N101,0)</f>
        <v>0</v>
      </c>
      <c r="P101" s="514">
        <f>+O101-M101</f>
        <v>0</v>
      </c>
    </row>
    <row r="102" spans="1:16">
      <c r="B102" s="195" t="str">
        <f t="shared" si="31"/>
        <v/>
      </c>
      <c r="C102" s="507">
        <f>IF(D93="","-",+C101+1)</f>
        <v>2018</v>
      </c>
      <c r="D102" s="629">
        <v>5265299.6749723153</v>
      </c>
      <c r="E102" s="630">
        <v>131485.97619047618</v>
      </c>
      <c r="F102" s="631">
        <v>5133813.6987818396</v>
      </c>
      <c r="G102" s="631">
        <v>5199556.6868770774</v>
      </c>
      <c r="H102" s="633">
        <v>680583.00655464595</v>
      </c>
      <c r="I102" s="634">
        <v>680583.00655464595</v>
      </c>
      <c r="J102" s="514">
        <f t="shared" si="32"/>
        <v>0</v>
      </c>
      <c r="K102" s="514"/>
      <c r="L102" s="518">
        <f t="shared" si="25"/>
        <v>680583.00655464595</v>
      </c>
      <c r="M102" s="514">
        <f t="shared" si="30"/>
        <v>0</v>
      </c>
      <c r="N102" s="518">
        <f t="shared" si="27"/>
        <v>680583.00655464595</v>
      </c>
      <c r="O102" s="514">
        <f>IF(N102&lt;&gt;0,+I102-N102,0)</f>
        <v>0</v>
      </c>
      <c r="P102" s="514">
        <f t="shared" si="29"/>
        <v>0</v>
      </c>
    </row>
    <row r="103" spans="1:16">
      <c r="B103" s="195" t="str">
        <f t="shared" si="31"/>
        <v/>
      </c>
      <c r="C103" s="507">
        <f>IF(D93="","-",+C102+1)</f>
        <v>2019</v>
      </c>
      <c r="D103" s="629">
        <v>5133813.6987818396</v>
      </c>
      <c r="E103" s="630">
        <v>128428.16279069768</v>
      </c>
      <c r="F103" s="631">
        <v>5005385.5359911416</v>
      </c>
      <c r="G103" s="631">
        <v>5069599.6173864901</v>
      </c>
      <c r="H103" s="633">
        <v>671080.87658517435</v>
      </c>
      <c r="I103" s="634">
        <v>671080.87658517435</v>
      </c>
      <c r="J103" s="514">
        <f t="shared" si="32"/>
        <v>0</v>
      </c>
      <c r="K103" s="514"/>
      <c r="L103" s="518">
        <f t="shared" si="25"/>
        <v>671080.87658517435</v>
      </c>
      <c r="M103" s="514">
        <f t="shared" si="30"/>
        <v>0</v>
      </c>
      <c r="N103" s="518">
        <f t="shared" si="27"/>
        <v>671080.87658517435</v>
      </c>
      <c r="O103" s="514">
        <f t="shared" si="28"/>
        <v>0</v>
      </c>
      <c r="P103" s="514">
        <f t="shared" si="29"/>
        <v>0</v>
      </c>
    </row>
    <row r="104" spans="1:16">
      <c r="B104" s="195" t="str">
        <f t="shared" si="31"/>
        <v/>
      </c>
      <c r="C104" s="507">
        <f>IF(D93="","-",+C103+1)</f>
        <v>2020</v>
      </c>
      <c r="D104" s="629">
        <v>5005385.5359911416</v>
      </c>
      <c r="E104" s="630">
        <v>131485.97619047618</v>
      </c>
      <c r="F104" s="631">
        <v>4873899.5598006658</v>
      </c>
      <c r="G104" s="631">
        <v>4939642.5478959037</v>
      </c>
      <c r="H104" s="633">
        <v>662862.25625134655</v>
      </c>
      <c r="I104" s="634">
        <v>662862.25625134655</v>
      </c>
      <c r="J104" s="514">
        <f t="shared" si="32"/>
        <v>0</v>
      </c>
      <c r="K104" s="514"/>
      <c r="L104" s="518">
        <f t="shared" si="25"/>
        <v>662862.25625134655</v>
      </c>
      <c r="M104" s="514">
        <f t="shared" si="30"/>
        <v>0</v>
      </c>
      <c r="N104" s="518">
        <f t="shared" si="27"/>
        <v>662862.25625134655</v>
      </c>
      <c r="O104" s="514">
        <f t="shared" si="28"/>
        <v>0</v>
      </c>
      <c r="P104" s="514">
        <f t="shared" si="29"/>
        <v>0</v>
      </c>
    </row>
    <row r="105" spans="1:16">
      <c r="B105" s="195" t="str">
        <f t="shared" si="31"/>
        <v/>
      </c>
      <c r="C105" s="507">
        <f>IF(D93="","-",+C104+1)</f>
        <v>2021</v>
      </c>
      <c r="D105" s="629">
        <v>4873899.5598006658</v>
      </c>
      <c r="E105" s="630">
        <v>134692.95121951221</v>
      </c>
      <c r="F105" s="631">
        <v>4739206.6085811537</v>
      </c>
      <c r="G105" s="631">
        <v>4806553.0841909098</v>
      </c>
      <c r="H105" s="633">
        <v>680305.10608642804</v>
      </c>
      <c r="I105" s="634">
        <v>680305.10608642804</v>
      </c>
      <c r="J105" s="514">
        <f t="shared" si="32"/>
        <v>0</v>
      </c>
      <c r="K105" s="514"/>
      <c r="L105" s="518">
        <f t="shared" ref="L105" si="33">+H105</f>
        <v>680305.10608642804</v>
      </c>
      <c r="M105" s="514">
        <f t="shared" si="30"/>
        <v>0</v>
      </c>
      <c r="N105" s="518">
        <f t="shared" ref="N105" si="34">+I105</f>
        <v>680305.10608642804</v>
      </c>
      <c r="O105" s="514">
        <f t="shared" ref="O105" si="35">IF(N105&lt;&gt;0,+I105-N105,0)</f>
        <v>0</v>
      </c>
      <c r="P105" s="514">
        <f t="shared" ref="P105" si="36">+O105-M105</f>
        <v>0</v>
      </c>
    </row>
    <row r="106" spans="1:16">
      <c r="B106" s="195" t="str">
        <f t="shared" si="31"/>
        <v/>
      </c>
      <c r="C106" s="673">
        <f>IF(D93="","-",+C105+1)</f>
        <v>2022</v>
      </c>
      <c r="D106" s="374">
        <v>4739206.6085811537</v>
      </c>
      <c r="E106" s="522">
        <v>131485.97619047618</v>
      </c>
      <c r="F106" s="523">
        <v>4607720.6323906779</v>
      </c>
      <c r="G106" s="523">
        <v>4673463.6204859158</v>
      </c>
      <c r="H106" s="526">
        <v>680420.93258992897</v>
      </c>
      <c r="I106" s="577">
        <v>680420.93258992897</v>
      </c>
      <c r="J106" s="514">
        <f t="shared" si="32"/>
        <v>0</v>
      </c>
      <c r="K106" s="514"/>
      <c r="L106" s="525"/>
      <c r="M106" s="514">
        <f t="shared" si="26"/>
        <v>0</v>
      </c>
      <c r="N106" s="525"/>
      <c r="O106" s="514">
        <f t="shared" si="28"/>
        <v>0</v>
      </c>
      <c r="P106" s="514">
        <f t="shared" si="29"/>
        <v>0</v>
      </c>
    </row>
    <row r="107" spans="1:16">
      <c r="B107" s="195" t="str">
        <f t="shared" si="31"/>
        <v/>
      </c>
      <c r="C107" s="507">
        <f>IF(D93="","-",+C106+1)</f>
        <v>2023</v>
      </c>
      <c r="D107" s="374">
        <f>IF(F106+SUM(E$99:E106)=D$92,F106,D$92-SUM(E$99:E106))</f>
        <v>4607720.6323906779</v>
      </c>
      <c r="E107" s="522">
        <f t="shared" ref="E107:E154" si="37">IF(+$J$96&lt;F106,$J$96,D107)</f>
        <v>134692.95121951221</v>
      </c>
      <c r="F107" s="523">
        <f t="shared" ref="F107:F154" si="38">+D107-E107</f>
        <v>4473027.6811711658</v>
      </c>
      <c r="G107" s="523">
        <f t="shared" ref="G107:G154" si="39">+(F107+D107)/2</f>
        <v>4540374.1567809219</v>
      </c>
      <c r="H107" s="526">
        <f t="shared" ref="H107:H154" si="40">+J$94*G107+E107</f>
        <v>650090.01106500812</v>
      </c>
      <c r="I107" s="577">
        <f t="shared" ref="I107:I154" si="41">+J$95*G107+E107</f>
        <v>650090.01106500812</v>
      </c>
      <c r="J107" s="514">
        <f t="shared" si="32"/>
        <v>0</v>
      </c>
      <c r="K107" s="514"/>
      <c r="L107" s="525"/>
      <c r="M107" s="514">
        <f t="shared" si="26"/>
        <v>0</v>
      </c>
      <c r="N107" s="525"/>
      <c r="O107" s="514">
        <f t="shared" si="28"/>
        <v>0</v>
      </c>
      <c r="P107" s="514">
        <f t="shared" si="29"/>
        <v>0</v>
      </c>
    </row>
    <row r="108" spans="1:16">
      <c r="B108" s="195" t="str">
        <f t="shared" si="31"/>
        <v/>
      </c>
      <c r="C108" s="507">
        <f>IF(D93="","-",+C107+1)</f>
        <v>2024</v>
      </c>
      <c r="D108" s="374">
        <f>IF(F107+SUM(E$99:E107)=D$92,F107,D$92-SUM(E$99:E107))</f>
        <v>4473027.6811711658</v>
      </c>
      <c r="E108" s="522">
        <f t="shared" si="37"/>
        <v>134692.95121951221</v>
      </c>
      <c r="F108" s="523">
        <f t="shared" si="38"/>
        <v>4338334.7299516536</v>
      </c>
      <c r="G108" s="523">
        <f t="shared" si="39"/>
        <v>4405681.2055614097</v>
      </c>
      <c r="H108" s="526">
        <f t="shared" si="40"/>
        <v>634800.44490959065</v>
      </c>
      <c r="I108" s="577">
        <f t="shared" si="41"/>
        <v>634800.44490959065</v>
      </c>
      <c r="J108" s="514">
        <f t="shared" si="32"/>
        <v>0</v>
      </c>
      <c r="K108" s="514"/>
      <c r="L108" s="525"/>
      <c r="M108" s="514">
        <f t="shared" si="26"/>
        <v>0</v>
      </c>
      <c r="N108" s="525"/>
      <c r="O108" s="514">
        <f t="shared" si="28"/>
        <v>0</v>
      </c>
      <c r="P108" s="514">
        <f t="shared" si="29"/>
        <v>0</v>
      </c>
    </row>
    <row r="109" spans="1:16">
      <c r="B109" s="195" t="str">
        <f t="shared" si="31"/>
        <v/>
      </c>
      <c r="C109" s="507">
        <f>IF(D93="","-",+C108+1)</f>
        <v>2025</v>
      </c>
      <c r="D109" s="374">
        <f>IF(F108+SUM(E$99:E108)=D$92,F108,D$92-SUM(E$99:E108))</f>
        <v>4338334.7299516536</v>
      </c>
      <c r="E109" s="522">
        <f t="shared" si="37"/>
        <v>134692.95121951221</v>
      </c>
      <c r="F109" s="523">
        <f t="shared" si="38"/>
        <v>4203641.7787321415</v>
      </c>
      <c r="G109" s="523">
        <f t="shared" si="39"/>
        <v>4270988.2543418976</v>
      </c>
      <c r="H109" s="526">
        <f t="shared" si="40"/>
        <v>619510.87875417329</v>
      </c>
      <c r="I109" s="577">
        <f t="shared" si="41"/>
        <v>619510.87875417329</v>
      </c>
      <c r="J109" s="514">
        <f t="shared" si="32"/>
        <v>0</v>
      </c>
      <c r="K109" s="514"/>
      <c r="L109" s="525"/>
      <c r="M109" s="514">
        <f t="shared" si="26"/>
        <v>0</v>
      </c>
      <c r="N109" s="525"/>
      <c r="O109" s="514">
        <f t="shared" si="28"/>
        <v>0</v>
      </c>
      <c r="P109" s="514">
        <f t="shared" si="29"/>
        <v>0</v>
      </c>
    </row>
    <row r="110" spans="1:16">
      <c r="B110" s="195" t="str">
        <f t="shared" si="31"/>
        <v/>
      </c>
      <c r="C110" s="507">
        <f>IF(D93="","-",+C109+1)</f>
        <v>2026</v>
      </c>
      <c r="D110" s="374">
        <f>IF(F109+SUM(E$99:E109)=D$92,F109,D$92-SUM(E$99:E109))</f>
        <v>4203641.7787321415</v>
      </c>
      <c r="E110" s="522">
        <f t="shared" si="37"/>
        <v>134692.95121951221</v>
      </c>
      <c r="F110" s="523">
        <f t="shared" si="38"/>
        <v>4068948.8275126293</v>
      </c>
      <c r="G110" s="523">
        <f t="shared" si="39"/>
        <v>4136295.3031223854</v>
      </c>
      <c r="H110" s="526">
        <f t="shared" si="40"/>
        <v>604221.31259875582</v>
      </c>
      <c r="I110" s="577">
        <f t="shared" si="41"/>
        <v>604221.31259875582</v>
      </c>
      <c r="J110" s="514">
        <f t="shared" si="32"/>
        <v>0</v>
      </c>
      <c r="K110" s="514"/>
      <c r="L110" s="525"/>
      <c r="M110" s="514">
        <f t="shared" si="26"/>
        <v>0</v>
      </c>
      <c r="N110" s="525"/>
      <c r="O110" s="514">
        <f t="shared" si="28"/>
        <v>0</v>
      </c>
      <c r="P110" s="514">
        <f t="shared" si="29"/>
        <v>0</v>
      </c>
    </row>
    <row r="111" spans="1:16">
      <c r="B111" s="195" t="str">
        <f t="shared" si="31"/>
        <v/>
      </c>
      <c r="C111" s="507">
        <f>IF(D93="","-",+C110+1)</f>
        <v>2027</v>
      </c>
      <c r="D111" s="374">
        <f>IF(F110+SUM(E$99:E110)=D$92,F110,D$92-SUM(E$99:E110))</f>
        <v>4068948.8275126293</v>
      </c>
      <c r="E111" s="522">
        <f t="shared" si="37"/>
        <v>134692.95121951221</v>
      </c>
      <c r="F111" s="523">
        <f t="shared" si="38"/>
        <v>3934255.8762931172</v>
      </c>
      <c r="G111" s="523">
        <f t="shared" si="39"/>
        <v>4001602.3519028733</v>
      </c>
      <c r="H111" s="526">
        <f t="shared" si="40"/>
        <v>588931.74644333846</v>
      </c>
      <c r="I111" s="577">
        <f t="shared" si="41"/>
        <v>588931.74644333846</v>
      </c>
      <c r="J111" s="514">
        <f t="shared" si="32"/>
        <v>0</v>
      </c>
      <c r="K111" s="514"/>
      <c r="L111" s="525"/>
      <c r="M111" s="514">
        <f t="shared" si="26"/>
        <v>0</v>
      </c>
      <c r="N111" s="525"/>
      <c r="O111" s="514">
        <f t="shared" si="28"/>
        <v>0</v>
      </c>
      <c r="P111" s="514">
        <f t="shared" si="29"/>
        <v>0</v>
      </c>
    </row>
    <row r="112" spans="1:16">
      <c r="B112" s="195" t="str">
        <f t="shared" si="31"/>
        <v/>
      </c>
      <c r="C112" s="507">
        <f>IF(D93="","-",+C111+1)</f>
        <v>2028</v>
      </c>
      <c r="D112" s="374">
        <f>IF(F111+SUM(E$99:E111)=D$92,F111,D$92-SUM(E$99:E111))</f>
        <v>3934255.8762931172</v>
      </c>
      <c r="E112" s="522">
        <f t="shared" si="37"/>
        <v>134692.95121951221</v>
      </c>
      <c r="F112" s="523">
        <f t="shared" si="38"/>
        <v>3799562.925073605</v>
      </c>
      <c r="G112" s="523">
        <f t="shared" si="39"/>
        <v>3866909.4006833611</v>
      </c>
      <c r="H112" s="526">
        <f t="shared" si="40"/>
        <v>573642.1802879211</v>
      </c>
      <c r="I112" s="577">
        <f t="shared" si="41"/>
        <v>573642.1802879211</v>
      </c>
      <c r="J112" s="514">
        <f t="shared" si="32"/>
        <v>0</v>
      </c>
      <c r="K112" s="514"/>
      <c r="L112" s="525"/>
      <c r="M112" s="514">
        <f t="shared" si="26"/>
        <v>0</v>
      </c>
      <c r="N112" s="525"/>
      <c r="O112" s="514">
        <f t="shared" si="28"/>
        <v>0</v>
      </c>
      <c r="P112" s="514">
        <f t="shared" si="29"/>
        <v>0</v>
      </c>
    </row>
    <row r="113" spans="2:16">
      <c r="B113" s="195" t="str">
        <f t="shared" si="31"/>
        <v/>
      </c>
      <c r="C113" s="507">
        <f>IF(D93="","-",+C112+1)</f>
        <v>2029</v>
      </c>
      <c r="D113" s="374">
        <f>IF(F112+SUM(E$99:E112)=D$92,F112,D$92-SUM(E$99:E112))</f>
        <v>3799562.925073605</v>
      </c>
      <c r="E113" s="522">
        <f t="shared" si="37"/>
        <v>134692.95121951221</v>
      </c>
      <c r="F113" s="523">
        <f t="shared" si="38"/>
        <v>3664869.9738540929</v>
      </c>
      <c r="G113" s="523">
        <f t="shared" si="39"/>
        <v>3732216.449463849</v>
      </c>
      <c r="H113" s="526">
        <f t="shared" si="40"/>
        <v>558352.61413250375</v>
      </c>
      <c r="I113" s="577">
        <f t="shared" si="41"/>
        <v>558352.61413250375</v>
      </c>
      <c r="J113" s="514">
        <f t="shared" si="32"/>
        <v>0</v>
      </c>
      <c r="K113" s="514"/>
      <c r="L113" s="525"/>
      <c r="M113" s="514">
        <f t="shared" si="26"/>
        <v>0</v>
      </c>
      <c r="N113" s="525"/>
      <c r="O113" s="514">
        <f t="shared" si="28"/>
        <v>0</v>
      </c>
      <c r="P113" s="514">
        <f t="shared" si="29"/>
        <v>0</v>
      </c>
    </row>
    <row r="114" spans="2:16">
      <c r="B114" s="195" t="str">
        <f t="shared" si="31"/>
        <v/>
      </c>
      <c r="C114" s="507">
        <f>IF(D93="","-",+C113+1)</f>
        <v>2030</v>
      </c>
      <c r="D114" s="374">
        <f>IF(F113+SUM(E$99:E113)=D$92,F113,D$92-SUM(E$99:E113))</f>
        <v>3664869.9738540929</v>
      </c>
      <c r="E114" s="522">
        <f t="shared" si="37"/>
        <v>134692.95121951221</v>
      </c>
      <c r="F114" s="523">
        <f t="shared" si="38"/>
        <v>3530177.0226345807</v>
      </c>
      <c r="G114" s="523">
        <f t="shared" si="39"/>
        <v>3597523.4982443368</v>
      </c>
      <c r="H114" s="526">
        <f t="shared" si="40"/>
        <v>543063.04797708639</v>
      </c>
      <c r="I114" s="577">
        <f t="shared" si="41"/>
        <v>543063.04797708639</v>
      </c>
      <c r="J114" s="514">
        <f t="shared" si="32"/>
        <v>0</v>
      </c>
      <c r="K114" s="514"/>
      <c r="L114" s="525"/>
      <c r="M114" s="514">
        <f t="shared" si="26"/>
        <v>0</v>
      </c>
      <c r="N114" s="525"/>
      <c r="O114" s="514">
        <f t="shared" si="28"/>
        <v>0</v>
      </c>
      <c r="P114" s="514">
        <f t="shared" si="29"/>
        <v>0</v>
      </c>
    </row>
    <row r="115" spans="2:16">
      <c r="B115" s="195" t="str">
        <f t="shared" si="31"/>
        <v/>
      </c>
      <c r="C115" s="507">
        <f>IF(D93="","-",+C114+1)</f>
        <v>2031</v>
      </c>
      <c r="D115" s="374">
        <f>IF(F114+SUM(E$99:E114)=D$92,F114,D$92-SUM(E$99:E114))</f>
        <v>3530177.0226345807</v>
      </c>
      <c r="E115" s="522">
        <f t="shared" si="37"/>
        <v>134692.95121951221</v>
      </c>
      <c r="F115" s="523">
        <f t="shared" si="38"/>
        <v>3395484.0714150686</v>
      </c>
      <c r="G115" s="523">
        <f t="shared" si="39"/>
        <v>3462830.5470248247</v>
      </c>
      <c r="H115" s="526">
        <f t="shared" si="40"/>
        <v>527773.48182166892</v>
      </c>
      <c r="I115" s="577">
        <f t="shared" si="41"/>
        <v>527773.48182166892</v>
      </c>
      <c r="J115" s="514">
        <f t="shared" si="32"/>
        <v>0</v>
      </c>
      <c r="K115" s="514"/>
      <c r="L115" s="525"/>
      <c r="M115" s="514">
        <f t="shared" si="26"/>
        <v>0</v>
      </c>
      <c r="N115" s="525"/>
      <c r="O115" s="514">
        <f t="shared" si="28"/>
        <v>0</v>
      </c>
      <c r="P115" s="514">
        <f t="shared" si="29"/>
        <v>0</v>
      </c>
    </row>
    <row r="116" spans="2:16">
      <c r="B116" s="195" t="str">
        <f t="shared" si="31"/>
        <v/>
      </c>
      <c r="C116" s="507">
        <f>IF(D93="","-",+C115+1)</f>
        <v>2032</v>
      </c>
      <c r="D116" s="374">
        <f>IF(F115+SUM(E$99:E115)=D$92,F115,D$92-SUM(E$99:E115))</f>
        <v>3395484.0714150686</v>
      </c>
      <c r="E116" s="522">
        <f t="shared" si="37"/>
        <v>134692.95121951221</v>
      </c>
      <c r="F116" s="523">
        <f t="shared" si="38"/>
        <v>3260791.1201955564</v>
      </c>
      <c r="G116" s="523">
        <f t="shared" si="39"/>
        <v>3328137.5958053125</v>
      </c>
      <c r="H116" s="526">
        <f t="shared" si="40"/>
        <v>512483.91566625156</v>
      </c>
      <c r="I116" s="577">
        <f t="shared" si="41"/>
        <v>512483.91566625156</v>
      </c>
      <c r="J116" s="514">
        <f t="shared" si="32"/>
        <v>0</v>
      </c>
      <c r="K116" s="514"/>
      <c r="L116" s="525"/>
      <c r="M116" s="514">
        <f t="shared" si="26"/>
        <v>0</v>
      </c>
      <c r="N116" s="525"/>
      <c r="O116" s="514">
        <f t="shared" si="28"/>
        <v>0</v>
      </c>
      <c r="P116" s="514">
        <f t="shared" si="29"/>
        <v>0</v>
      </c>
    </row>
    <row r="117" spans="2:16">
      <c r="B117" s="195" t="str">
        <f t="shared" si="31"/>
        <v/>
      </c>
      <c r="C117" s="507">
        <f>IF(D93="","-",+C116+1)</f>
        <v>2033</v>
      </c>
      <c r="D117" s="374">
        <f>IF(F116+SUM(E$99:E116)=D$92,F116,D$92-SUM(E$99:E116))</f>
        <v>3260791.1201955564</v>
      </c>
      <c r="E117" s="522">
        <f t="shared" si="37"/>
        <v>134692.95121951221</v>
      </c>
      <c r="F117" s="523">
        <f t="shared" si="38"/>
        <v>3126098.1689760443</v>
      </c>
      <c r="G117" s="523">
        <f t="shared" si="39"/>
        <v>3193444.6445858004</v>
      </c>
      <c r="H117" s="526">
        <f t="shared" si="40"/>
        <v>497194.34951083414</v>
      </c>
      <c r="I117" s="577">
        <f t="shared" si="41"/>
        <v>497194.34951083414</v>
      </c>
      <c r="J117" s="514">
        <f t="shared" si="32"/>
        <v>0</v>
      </c>
      <c r="K117" s="514"/>
      <c r="L117" s="525"/>
      <c r="M117" s="514">
        <f t="shared" si="26"/>
        <v>0</v>
      </c>
      <c r="N117" s="525"/>
      <c r="O117" s="514">
        <f t="shared" si="28"/>
        <v>0</v>
      </c>
      <c r="P117" s="514">
        <f t="shared" si="29"/>
        <v>0</v>
      </c>
    </row>
    <row r="118" spans="2:16">
      <c r="B118" s="195" t="str">
        <f t="shared" si="31"/>
        <v/>
      </c>
      <c r="C118" s="507">
        <f>IF(D93="","-",+C117+1)</f>
        <v>2034</v>
      </c>
      <c r="D118" s="374">
        <f>IF(F117+SUM(E$99:E117)=D$92,F117,D$92-SUM(E$99:E117))</f>
        <v>3126098.1689760443</v>
      </c>
      <c r="E118" s="522">
        <f t="shared" si="37"/>
        <v>134692.95121951221</v>
      </c>
      <c r="F118" s="523">
        <f t="shared" si="38"/>
        <v>2991405.2177565321</v>
      </c>
      <c r="G118" s="523">
        <f t="shared" si="39"/>
        <v>3058751.6933662882</v>
      </c>
      <c r="H118" s="526">
        <f t="shared" si="40"/>
        <v>481904.78335541673</v>
      </c>
      <c r="I118" s="577">
        <f t="shared" si="41"/>
        <v>481904.78335541673</v>
      </c>
      <c r="J118" s="514">
        <f t="shared" si="32"/>
        <v>0</v>
      </c>
      <c r="K118" s="514"/>
      <c r="L118" s="525"/>
      <c r="M118" s="514">
        <f t="shared" si="26"/>
        <v>0</v>
      </c>
      <c r="N118" s="525"/>
      <c r="O118" s="514">
        <f t="shared" si="28"/>
        <v>0</v>
      </c>
      <c r="P118" s="514">
        <f t="shared" si="29"/>
        <v>0</v>
      </c>
    </row>
    <row r="119" spans="2:16">
      <c r="B119" s="195" t="str">
        <f t="shared" si="31"/>
        <v/>
      </c>
      <c r="C119" s="507">
        <f>IF(D93="","-",+C118+1)</f>
        <v>2035</v>
      </c>
      <c r="D119" s="374">
        <f>IF(F118+SUM(E$99:E118)=D$92,F118,D$92-SUM(E$99:E118))</f>
        <v>2991405.2177565321</v>
      </c>
      <c r="E119" s="522">
        <f t="shared" si="37"/>
        <v>134692.95121951221</v>
      </c>
      <c r="F119" s="523">
        <f t="shared" si="38"/>
        <v>2856712.26653702</v>
      </c>
      <c r="G119" s="523">
        <f t="shared" si="39"/>
        <v>2924058.7421467761</v>
      </c>
      <c r="H119" s="526">
        <f t="shared" si="40"/>
        <v>466615.21719999937</v>
      </c>
      <c r="I119" s="577">
        <f t="shared" si="41"/>
        <v>466615.21719999937</v>
      </c>
      <c r="J119" s="514">
        <f t="shared" si="32"/>
        <v>0</v>
      </c>
      <c r="K119" s="514"/>
      <c r="L119" s="525"/>
      <c r="M119" s="514">
        <f t="shared" si="26"/>
        <v>0</v>
      </c>
      <c r="N119" s="525"/>
      <c r="O119" s="514">
        <f t="shared" si="28"/>
        <v>0</v>
      </c>
      <c r="P119" s="514">
        <f t="shared" si="29"/>
        <v>0</v>
      </c>
    </row>
    <row r="120" spans="2:16">
      <c r="B120" s="195" t="str">
        <f t="shared" si="31"/>
        <v/>
      </c>
      <c r="C120" s="507">
        <f>IF(D93="","-",+C119+1)</f>
        <v>2036</v>
      </c>
      <c r="D120" s="374">
        <f>IF(F119+SUM(E$99:E119)=D$92,F119,D$92-SUM(E$99:E119))</f>
        <v>2856712.26653702</v>
      </c>
      <c r="E120" s="522">
        <f t="shared" si="37"/>
        <v>134692.95121951221</v>
      </c>
      <c r="F120" s="523">
        <f t="shared" si="38"/>
        <v>2722019.3153175078</v>
      </c>
      <c r="G120" s="523">
        <f t="shared" si="39"/>
        <v>2789365.7909272639</v>
      </c>
      <c r="H120" s="526">
        <f t="shared" si="40"/>
        <v>451325.65104458196</v>
      </c>
      <c r="I120" s="577">
        <f t="shared" si="41"/>
        <v>451325.65104458196</v>
      </c>
      <c r="J120" s="514">
        <f t="shared" si="32"/>
        <v>0</v>
      </c>
      <c r="K120" s="514"/>
      <c r="L120" s="525"/>
      <c r="M120" s="514">
        <f t="shared" si="26"/>
        <v>0</v>
      </c>
      <c r="N120" s="525"/>
      <c r="O120" s="514">
        <f t="shared" si="28"/>
        <v>0</v>
      </c>
      <c r="P120" s="514">
        <f t="shared" si="29"/>
        <v>0</v>
      </c>
    </row>
    <row r="121" spans="2:16">
      <c r="B121" s="195" t="str">
        <f t="shared" si="31"/>
        <v/>
      </c>
      <c r="C121" s="507">
        <f>IF(D93="","-",+C120+1)</f>
        <v>2037</v>
      </c>
      <c r="D121" s="374">
        <f>IF(F120+SUM(E$99:E120)=D$92,F120,D$92-SUM(E$99:E120))</f>
        <v>2722019.3153175078</v>
      </c>
      <c r="E121" s="522">
        <f t="shared" si="37"/>
        <v>134692.95121951221</v>
      </c>
      <c r="F121" s="523">
        <f t="shared" si="38"/>
        <v>2587326.3640979957</v>
      </c>
      <c r="G121" s="523">
        <f t="shared" si="39"/>
        <v>2654672.8397077518</v>
      </c>
      <c r="H121" s="526">
        <f t="shared" si="40"/>
        <v>436036.0848891646</v>
      </c>
      <c r="I121" s="577">
        <f t="shared" si="41"/>
        <v>436036.0848891646</v>
      </c>
      <c r="J121" s="514">
        <f t="shared" si="32"/>
        <v>0</v>
      </c>
      <c r="K121" s="514"/>
      <c r="L121" s="525"/>
      <c r="M121" s="514">
        <f t="shared" si="26"/>
        <v>0</v>
      </c>
      <c r="N121" s="525"/>
      <c r="O121" s="514">
        <f t="shared" si="28"/>
        <v>0</v>
      </c>
      <c r="P121" s="514">
        <f t="shared" si="29"/>
        <v>0</v>
      </c>
    </row>
    <row r="122" spans="2:16">
      <c r="B122" s="195" t="str">
        <f t="shared" si="31"/>
        <v/>
      </c>
      <c r="C122" s="507">
        <f>IF(D93="","-",+C121+1)</f>
        <v>2038</v>
      </c>
      <c r="D122" s="374">
        <f>IF(F121+SUM(E$99:E121)=D$92,F121,D$92-SUM(E$99:E121))</f>
        <v>2587326.3640979957</v>
      </c>
      <c r="E122" s="522">
        <f t="shared" si="37"/>
        <v>134692.95121951221</v>
      </c>
      <c r="F122" s="523">
        <f t="shared" si="38"/>
        <v>2452633.4128784835</v>
      </c>
      <c r="G122" s="523">
        <f t="shared" si="39"/>
        <v>2519979.8884882396</v>
      </c>
      <c r="H122" s="526">
        <f t="shared" si="40"/>
        <v>420746.51873374719</v>
      </c>
      <c r="I122" s="577">
        <f t="shared" si="41"/>
        <v>420746.51873374719</v>
      </c>
      <c r="J122" s="514">
        <f t="shared" si="32"/>
        <v>0</v>
      </c>
      <c r="K122" s="514"/>
      <c r="L122" s="525"/>
      <c r="M122" s="514">
        <f t="shared" si="26"/>
        <v>0</v>
      </c>
      <c r="N122" s="525"/>
      <c r="O122" s="514">
        <f t="shared" si="28"/>
        <v>0</v>
      </c>
      <c r="P122" s="514">
        <f t="shared" si="29"/>
        <v>0</v>
      </c>
    </row>
    <row r="123" spans="2:16">
      <c r="B123" s="195" t="str">
        <f t="shared" si="31"/>
        <v/>
      </c>
      <c r="C123" s="507">
        <f>IF(D93="","-",+C122+1)</f>
        <v>2039</v>
      </c>
      <c r="D123" s="374">
        <f>IF(F122+SUM(E$99:E122)=D$92,F122,D$92-SUM(E$99:E122))</f>
        <v>2452633.4128784835</v>
      </c>
      <c r="E123" s="522">
        <f t="shared" si="37"/>
        <v>134692.95121951221</v>
      </c>
      <c r="F123" s="523">
        <f t="shared" si="38"/>
        <v>2317940.4616589714</v>
      </c>
      <c r="G123" s="523">
        <f t="shared" si="39"/>
        <v>2385286.9372687275</v>
      </c>
      <c r="H123" s="526">
        <f t="shared" si="40"/>
        <v>405456.95257832977</v>
      </c>
      <c r="I123" s="577">
        <f t="shared" si="41"/>
        <v>405456.95257832977</v>
      </c>
      <c r="J123" s="514">
        <f t="shared" si="32"/>
        <v>0</v>
      </c>
      <c r="K123" s="514"/>
      <c r="L123" s="525"/>
      <c r="M123" s="514">
        <f t="shared" si="26"/>
        <v>0</v>
      </c>
      <c r="N123" s="525"/>
      <c r="O123" s="514">
        <f t="shared" si="28"/>
        <v>0</v>
      </c>
      <c r="P123" s="514">
        <f t="shared" si="29"/>
        <v>0</v>
      </c>
    </row>
    <row r="124" spans="2:16">
      <c r="B124" s="195" t="str">
        <f t="shared" si="31"/>
        <v/>
      </c>
      <c r="C124" s="507">
        <f>IF(D93="","-",+C123+1)</f>
        <v>2040</v>
      </c>
      <c r="D124" s="374">
        <f>IF(F123+SUM(E$99:E123)=D$92,F123,D$92-SUM(E$99:E123))</f>
        <v>2317940.4616589714</v>
      </c>
      <c r="E124" s="522">
        <f t="shared" si="37"/>
        <v>134692.95121951221</v>
      </c>
      <c r="F124" s="523">
        <f t="shared" si="38"/>
        <v>2183247.5104394592</v>
      </c>
      <c r="G124" s="523">
        <f t="shared" si="39"/>
        <v>2250593.9860492153</v>
      </c>
      <c r="H124" s="526">
        <f t="shared" si="40"/>
        <v>390167.38642291242</v>
      </c>
      <c r="I124" s="577">
        <f t="shared" si="41"/>
        <v>390167.38642291242</v>
      </c>
      <c r="J124" s="514">
        <f t="shared" si="32"/>
        <v>0</v>
      </c>
      <c r="K124" s="514"/>
      <c r="L124" s="525"/>
      <c r="M124" s="514">
        <f t="shared" si="26"/>
        <v>0</v>
      </c>
      <c r="N124" s="525"/>
      <c r="O124" s="514">
        <f t="shared" si="28"/>
        <v>0</v>
      </c>
      <c r="P124" s="514">
        <f t="shared" si="29"/>
        <v>0</v>
      </c>
    </row>
    <row r="125" spans="2:16">
      <c r="B125" s="195" t="str">
        <f t="shared" si="31"/>
        <v/>
      </c>
      <c r="C125" s="507">
        <f>IF(D93="","-",+C124+1)</f>
        <v>2041</v>
      </c>
      <c r="D125" s="374">
        <f>IF(F124+SUM(E$99:E124)=D$92,F124,D$92-SUM(E$99:E124))</f>
        <v>2183247.5104394592</v>
      </c>
      <c r="E125" s="522">
        <f t="shared" si="37"/>
        <v>134692.95121951221</v>
      </c>
      <c r="F125" s="523">
        <f t="shared" si="38"/>
        <v>2048554.5592199471</v>
      </c>
      <c r="G125" s="523">
        <f t="shared" si="39"/>
        <v>2115901.0348297032</v>
      </c>
      <c r="H125" s="526">
        <f t="shared" si="40"/>
        <v>374877.820267495</v>
      </c>
      <c r="I125" s="577">
        <f t="shared" si="41"/>
        <v>374877.820267495</v>
      </c>
      <c r="J125" s="514">
        <f t="shared" si="32"/>
        <v>0</v>
      </c>
      <c r="K125" s="514"/>
      <c r="L125" s="525"/>
      <c r="M125" s="514">
        <f t="shared" si="26"/>
        <v>0</v>
      </c>
      <c r="N125" s="525"/>
      <c r="O125" s="514">
        <f t="shared" si="28"/>
        <v>0</v>
      </c>
      <c r="P125" s="514">
        <f t="shared" si="29"/>
        <v>0</v>
      </c>
    </row>
    <row r="126" spans="2:16">
      <c r="B126" s="195" t="str">
        <f t="shared" si="31"/>
        <v/>
      </c>
      <c r="C126" s="507">
        <f>IF(D93="","-",+C125+1)</f>
        <v>2042</v>
      </c>
      <c r="D126" s="374">
        <f>IF(F125+SUM(E$99:E125)=D$92,F125,D$92-SUM(E$99:E125))</f>
        <v>2048554.5592199471</v>
      </c>
      <c r="E126" s="522">
        <f t="shared" si="37"/>
        <v>134692.95121951221</v>
      </c>
      <c r="F126" s="523">
        <f t="shared" si="38"/>
        <v>1913861.6080004349</v>
      </c>
      <c r="G126" s="523">
        <f t="shared" si="39"/>
        <v>1981208.083610191</v>
      </c>
      <c r="H126" s="526">
        <f t="shared" si="40"/>
        <v>359588.25411207764</v>
      </c>
      <c r="I126" s="577">
        <f t="shared" si="41"/>
        <v>359588.25411207764</v>
      </c>
      <c r="J126" s="514">
        <f t="shared" si="32"/>
        <v>0</v>
      </c>
      <c r="K126" s="514"/>
      <c r="L126" s="525"/>
      <c r="M126" s="514">
        <f t="shared" si="26"/>
        <v>0</v>
      </c>
      <c r="N126" s="525"/>
      <c r="O126" s="514">
        <f t="shared" si="28"/>
        <v>0</v>
      </c>
      <c r="P126" s="514">
        <f t="shared" si="29"/>
        <v>0</v>
      </c>
    </row>
    <row r="127" spans="2:16">
      <c r="B127" s="195" t="str">
        <f t="shared" si="31"/>
        <v/>
      </c>
      <c r="C127" s="507">
        <f>IF(D93="","-",+C126+1)</f>
        <v>2043</v>
      </c>
      <c r="D127" s="374">
        <f>IF(F126+SUM(E$99:E126)=D$92,F126,D$92-SUM(E$99:E126))</f>
        <v>1913861.6080004349</v>
      </c>
      <c r="E127" s="522">
        <f t="shared" si="37"/>
        <v>134692.95121951221</v>
      </c>
      <c r="F127" s="523">
        <f t="shared" si="38"/>
        <v>1779168.6567809228</v>
      </c>
      <c r="G127" s="523">
        <f t="shared" si="39"/>
        <v>1846515.1323906789</v>
      </c>
      <c r="H127" s="526">
        <f t="shared" si="40"/>
        <v>344298.68795666023</v>
      </c>
      <c r="I127" s="577">
        <f t="shared" si="41"/>
        <v>344298.68795666023</v>
      </c>
      <c r="J127" s="514">
        <f t="shared" si="32"/>
        <v>0</v>
      </c>
      <c r="K127" s="514"/>
      <c r="L127" s="525"/>
      <c r="M127" s="514">
        <f t="shared" si="26"/>
        <v>0</v>
      </c>
      <c r="N127" s="525"/>
      <c r="O127" s="514">
        <f t="shared" si="28"/>
        <v>0</v>
      </c>
      <c r="P127" s="514">
        <f t="shared" si="29"/>
        <v>0</v>
      </c>
    </row>
    <row r="128" spans="2:16">
      <c r="B128" s="195" t="str">
        <f t="shared" si="31"/>
        <v/>
      </c>
      <c r="C128" s="507">
        <f>IF(D93="","-",+C127+1)</f>
        <v>2044</v>
      </c>
      <c r="D128" s="374">
        <f>IF(F127+SUM(E$99:E127)=D$92,F127,D$92-SUM(E$99:E127))</f>
        <v>1779168.6567809228</v>
      </c>
      <c r="E128" s="522">
        <f t="shared" si="37"/>
        <v>134692.95121951221</v>
      </c>
      <c r="F128" s="523">
        <f t="shared" si="38"/>
        <v>1644475.7055614106</v>
      </c>
      <c r="G128" s="523">
        <f t="shared" si="39"/>
        <v>1711822.1811711667</v>
      </c>
      <c r="H128" s="526">
        <f t="shared" si="40"/>
        <v>329009.12180124281</v>
      </c>
      <c r="I128" s="577">
        <f t="shared" si="41"/>
        <v>329009.12180124281</v>
      </c>
      <c r="J128" s="514">
        <f t="shared" si="32"/>
        <v>0</v>
      </c>
      <c r="K128" s="514"/>
      <c r="L128" s="525"/>
      <c r="M128" s="514">
        <f t="shared" si="26"/>
        <v>0</v>
      </c>
      <c r="N128" s="525"/>
      <c r="O128" s="514">
        <f t="shared" si="28"/>
        <v>0</v>
      </c>
      <c r="P128" s="514">
        <f t="shared" si="29"/>
        <v>0</v>
      </c>
    </row>
    <row r="129" spans="2:16">
      <c r="B129" s="195" t="str">
        <f t="shared" si="31"/>
        <v/>
      </c>
      <c r="C129" s="507">
        <f>IF(D93="","-",+C128+1)</f>
        <v>2045</v>
      </c>
      <c r="D129" s="374">
        <f>IF(F128+SUM(E$99:E128)=D$92,F128,D$92-SUM(E$99:E128))</f>
        <v>1644475.7055614106</v>
      </c>
      <c r="E129" s="522">
        <f t="shared" si="37"/>
        <v>134692.95121951221</v>
      </c>
      <c r="F129" s="523">
        <f t="shared" si="38"/>
        <v>1509782.7543418985</v>
      </c>
      <c r="G129" s="523">
        <f t="shared" si="39"/>
        <v>1577129.2299516546</v>
      </c>
      <c r="H129" s="526">
        <f t="shared" si="40"/>
        <v>313719.55564582546</v>
      </c>
      <c r="I129" s="577">
        <f t="shared" si="41"/>
        <v>313719.55564582546</v>
      </c>
      <c r="J129" s="514">
        <f t="shared" si="32"/>
        <v>0</v>
      </c>
      <c r="K129" s="514"/>
      <c r="L129" s="525"/>
      <c r="M129" s="514">
        <f t="shared" si="26"/>
        <v>0</v>
      </c>
      <c r="N129" s="525"/>
      <c r="O129" s="514">
        <f t="shared" si="28"/>
        <v>0</v>
      </c>
      <c r="P129" s="514">
        <f t="shared" si="29"/>
        <v>0</v>
      </c>
    </row>
    <row r="130" spans="2:16">
      <c r="B130" s="195" t="str">
        <f t="shared" si="31"/>
        <v/>
      </c>
      <c r="C130" s="507">
        <f>IF(D93="","-",+C129+1)</f>
        <v>2046</v>
      </c>
      <c r="D130" s="374">
        <f>IF(F129+SUM(E$99:E129)=D$92,F129,D$92-SUM(E$99:E129))</f>
        <v>1509782.7543418985</v>
      </c>
      <c r="E130" s="522">
        <f t="shared" si="37"/>
        <v>134692.95121951221</v>
      </c>
      <c r="F130" s="523">
        <f t="shared" si="38"/>
        <v>1375089.8031223863</v>
      </c>
      <c r="G130" s="523">
        <f t="shared" si="39"/>
        <v>1442436.2787321424</v>
      </c>
      <c r="H130" s="526">
        <f t="shared" si="40"/>
        <v>298429.9894904081</v>
      </c>
      <c r="I130" s="577">
        <f t="shared" si="41"/>
        <v>298429.9894904081</v>
      </c>
      <c r="J130" s="514">
        <f t="shared" si="32"/>
        <v>0</v>
      </c>
      <c r="K130" s="514"/>
      <c r="L130" s="525"/>
      <c r="M130" s="514">
        <f t="shared" si="26"/>
        <v>0</v>
      </c>
      <c r="N130" s="525"/>
      <c r="O130" s="514">
        <f t="shared" si="28"/>
        <v>0</v>
      </c>
      <c r="P130" s="514">
        <f t="shared" si="29"/>
        <v>0</v>
      </c>
    </row>
    <row r="131" spans="2:16">
      <c r="B131" s="195" t="str">
        <f t="shared" si="31"/>
        <v/>
      </c>
      <c r="C131" s="507">
        <f>IF(D93="","-",+C130+1)</f>
        <v>2047</v>
      </c>
      <c r="D131" s="374">
        <f>IF(F130+SUM(E$99:E130)=D$92,F130,D$92-SUM(E$99:E130))</f>
        <v>1375089.8031223863</v>
      </c>
      <c r="E131" s="522">
        <f t="shared" si="37"/>
        <v>134692.95121951221</v>
      </c>
      <c r="F131" s="523">
        <f t="shared" si="38"/>
        <v>1240396.8519028742</v>
      </c>
      <c r="G131" s="523">
        <f t="shared" si="39"/>
        <v>1307743.3275126303</v>
      </c>
      <c r="H131" s="526">
        <f t="shared" si="40"/>
        <v>283140.42333499069</v>
      </c>
      <c r="I131" s="577">
        <f t="shared" si="41"/>
        <v>283140.42333499069</v>
      </c>
      <c r="J131" s="514">
        <f t="shared" si="32"/>
        <v>0</v>
      </c>
      <c r="K131" s="514"/>
      <c r="L131" s="525"/>
      <c r="M131" s="514">
        <f t="shared" ref="M131:M154" si="42">IF(L541&lt;&gt;0,+H541-L541,0)</f>
        <v>0</v>
      </c>
      <c r="N131" s="525"/>
      <c r="O131" s="514">
        <f t="shared" ref="O131:O154" si="43">IF(N541&lt;&gt;0,+I541-N541,0)</f>
        <v>0</v>
      </c>
      <c r="P131" s="514">
        <f t="shared" ref="P131:P154" si="44">+O541-M541</f>
        <v>0</v>
      </c>
    </row>
    <row r="132" spans="2:16">
      <c r="B132" s="195" t="str">
        <f t="shared" si="31"/>
        <v/>
      </c>
      <c r="C132" s="507">
        <f>IF(D93="","-",+C131+1)</f>
        <v>2048</v>
      </c>
      <c r="D132" s="374">
        <f>IF(F131+SUM(E$99:E131)=D$92,F131,D$92-SUM(E$99:E131))</f>
        <v>1240396.8519028742</v>
      </c>
      <c r="E132" s="522">
        <f t="shared" si="37"/>
        <v>134692.95121951221</v>
      </c>
      <c r="F132" s="523">
        <f t="shared" si="38"/>
        <v>1105703.900683362</v>
      </c>
      <c r="G132" s="523">
        <f t="shared" si="39"/>
        <v>1173050.3762931181</v>
      </c>
      <c r="H132" s="526">
        <f t="shared" si="40"/>
        <v>267850.85717957327</v>
      </c>
      <c r="I132" s="577">
        <f t="shared" si="41"/>
        <v>267850.85717957327</v>
      </c>
      <c r="J132" s="514">
        <f t="shared" si="32"/>
        <v>0</v>
      </c>
      <c r="K132" s="514"/>
      <c r="L132" s="525"/>
      <c r="M132" s="514">
        <f t="shared" si="42"/>
        <v>0</v>
      </c>
      <c r="N132" s="525"/>
      <c r="O132" s="514">
        <f t="shared" si="43"/>
        <v>0</v>
      </c>
      <c r="P132" s="514">
        <f t="shared" si="44"/>
        <v>0</v>
      </c>
    </row>
    <row r="133" spans="2:16">
      <c r="B133" s="195" t="str">
        <f t="shared" si="31"/>
        <v/>
      </c>
      <c r="C133" s="507">
        <f>IF(D93="","-",+C132+1)</f>
        <v>2049</v>
      </c>
      <c r="D133" s="374">
        <f>IF(F132+SUM(E$99:E132)=D$92,F132,D$92-SUM(E$99:E132))</f>
        <v>1105703.900683362</v>
      </c>
      <c r="E133" s="522">
        <f t="shared" si="37"/>
        <v>134692.95121951221</v>
      </c>
      <c r="F133" s="523">
        <f t="shared" si="38"/>
        <v>971010.94946384989</v>
      </c>
      <c r="G133" s="523">
        <f t="shared" si="39"/>
        <v>1038357.425073606</v>
      </c>
      <c r="H133" s="526">
        <f t="shared" si="40"/>
        <v>252561.29102415591</v>
      </c>
      <c r="I133" s="577">
        <f t="shared" si="41"/>
        <v>252561.29102415591</v>
      </c>
      <c r="J133" s="514">
        <f t="shared" si="32"/>
        <v>0</v>
      </c>
      <c r="K133" s="514"/>
      <c r="L133" s="525"/>
      <c r="M133" s="514">
        <f t="shared" si="42"/>
        <v>0</v>
      </c>
      <c r="N133" s="525"/>
      <c r="O133" s="514">
        <f t="shared" si="43"/>
        <v>0</v>
      </c>
      <c r="P133" s="514">
        <f t="shared" si="44"/>
        <v>0</v>
      </c>
    </row>
    <row r="134" spans="2:16">
      <c r="B134" s="195" t="str">
        <f t="shared" si="31"/>
        <v/>
      </c>
      <c r="C134" s="507">
        <f>IF(D93="","-",+C133+1)</f>
        <v>2050</v>
      </c>
      <c r="D134" s="374">
        <f>IF(F133+SUM(E$99:E133)=D$92,F133,D$92-SUM(E$99:E133))</f>
        <v>971010.94946384989</v>
      </c>
      <c r="E134" s="522">
        <f t="shared" si="37"/>
        <v>134692.95121951221</v>
      </c>
      <c r="F134" s="523">
        <f t="shared" si="38"/>
        <v>836317.99824433774</v>
      </c>
      <c r="G134" s="523">
        <f t="shared" si="39"/>
        <v>903664.47385409381</v>
      </c>
      <c r="H134" s="526">
        <f t="shared" si="40"/>
        <v>237271.7248687385</v>
      </c>
      <c r="I134" s="577">
        <f t="shared" si="41"/>
        <v>237271.7248687385</v>
      </c>
      <c r="J134" s="514">
        <f t="shared" si="32"/>
        <v>0</v>
      </c>
      <c r="K134" s="514"/>
      <c r="L134" s="525"/>
      <c r="M134" s="514">
        <f t="shared" si="42"/>
        <v>0</v>
      </c>
      <c r="N134" s="525"/>
      <c r="O134" s="514">
        <f t="shared" si="43"/>
        <v>0</v>
      </c>
      <c r="P134" s="514">
        <f t="shared" si="44"/>
        <v>0</v>
      </c>
    </row>
    <row r="135" spans="2:16">
      <c r="B135" s="195" t="str">
        <f t="shared" si="31"/>
        <v/>
      </c>
      <c r="C135" s="507">
        <f>IF(D93="","-",+C134+1)</f>
        <v>2051</v>
      </c>
      <c r="D135" s="374">
        <f>IF(F134+SUM(E$99:E134)=D$92,F134,D$92-SUM(E$99:E134))</f>
        <v>836317.99824433774</v>
      </c>
      <c r="E135" s="522">
        <f t="shared" si="37"/>
        <v>134692.95121951221</v>
      </c>
      <c r="F135" s="523">
        <f t="shared" si="38"/>
        <v>701625.04702482559</v>
      </c>
      <c r="G135" s="523">
        <f t="shared" si="39"/>
        <v>768971.52263458166</v>
      </c>
      <c r="H135" s="526">
        <f t="shared" si="40"/>
        <v>221982.15871332111</v>
      </c>
      <c r="I135" s="577">
        <f t="shared" si="41"/>
        <v>221982.15871332111</v>
      </c>
      <c r="J135" s="514">
        <f t="shared" si="32"/>
        <v>0</v>
      </c>
      <c r="K135" s="514"/>
      <c r="L135" s="525"/>
      <c r="M135" s="514">
        <f t="shared" si="42"/>
        <v>0</v>
      </c>
      <c r="N135" s="525"/>
      <c r="O135" s="514">
        <f t="shared" si="43"/>
        <v>0</v>
      </c>
      <c r="P135" s="514">
        <f t="shared" si="44"/>
        <v>0</v>
      </c>
    </row>
    <row r="136" spans="2:16">
      <c r="B136" s="195" t="str">
        <f t="shared" si="31"/>
        <v/>
      </c>
      <c r="C136" s="507">
        <f>IF(D93="","-",+C135+1)</f>
        <v>2052</v>
      </c>
      <c r="D136" s="374">
        <f>IF(F135+SUM(E$99:E135)=D$92,F135,D$92-SUM(E$99:E135))</f>
        <v>701625.04702482559</v>
      </c>
      <c r="E136" s="522">
        <f t="shared" si="37"/>
        <v>134692.95121951221</v>
      </c>
      <c r="F136" s="523">
        <f t="shared" si="38"/>
        <v>566932.09580531344</v>
      </c>
      <c r="G136" s="523">
        <f t="shared" si="39"/>
        <v>634278.57141506951</v>
      </c>
      <c r="H136" s="526">
        <f t="shared" si="40"/>
        <v>206692.59255790373</v>
      </c>
      <c r="I136" s="577">
        <f t="shared" si="41"/>
        <v>206692.59255790373</v>
      </c>
      <c r="J136" s="514">
        <f t="shared" si="32"/>
        <v>0</v>
      </c>
      <c r="K136" s="514"/>
      <c r="L136" s="525"/>
      <c r="M136" s="514">
        <f t="shared" si="42"/>
        <v>0</v>
      </c>
      <c r="N136" s="525"/>
      <c r="O136" s="514">
        <f t="shared" si="43"/>
        <v>0</v>
      </c>
      <c r="P136" s="514">
        <f t="shared" si="44"/>
        <v>0</v>
      </c>
    </row>
    <row r="137" spans="2:16">
      <c r="B137" s="195" t="str">
        <f t="shared" si="31"/>
        <v/>
      </c>
      <c r="C137" s="507">
        <f>IF(D93="","-",+C136+1)</f>
        <v>2053</v>
      </c>
      <c r="D137" s="374">
        <f>IF(F136+SUM(E$99:E136)=D$92,F136,D$92-SUM(E$99:E136))</f>
        <v>566932.09580531344</v>
      </c>
      <c r="E137" s="522">
        <f t="shared" si="37"/>
        <v>134692.95121951221</v>
      </c>
      <c r="F137" s="523">
        <f t="shared" si="38"/>
        <v>432239.14458580123</v>
      </c>
      <c r="G137" s="523">
        <f t="shared" si="39"/>
        <v>499585.62019555736</v>
      </c>
      <c r="H137" s="526">
        <f t="shared" si="40"/>
        <v>191403.02640248634</v>
      </c>
      <c r="I137" s="577">
        <f t="shared" si="41"/>
        <v>191403.02640248634</v>
      </c>
      <c r="J137" s="514">
        <f t="shared" si="32"/>
        <v>0</v>
      </c>
      <c r="K137" s="514"/>
      <c r="L137" s="525"/>
      <c r="M137" s="514">
        <f t="shared" si="42"/>
        <v>0</v>
      </c>
      <c r="N137" s="525"/>
      <c r="O137" s="514">
        <f t="shared" si="43"/>
        <v>0</v>
      </c>
      <c r="P137" s="514">
        <f t="shared" si="44"/>
        <v>0</v>
      </c>
    </row>
    <row r="138" spans="2:16">
      <c r="B138" s="195" t="str">
        <f t="shared" si="31"/>
        <v/>
      </c>
      <c r="C138" s="507">
        <f>IF(D93="","-",+C137+1)</f>
        <v>2054</v>
      </c>
      <c r="D138" s="374">
        <f>IF(F137+SUM(E$99:E137)=D$92,F137,D$92-SUM(E$99:E137))</f>
        <v>432239.14458580123</v>
      </c>
      <c r="E138" s="522">
        <f t="shared" si="37"/>
        <v>134692.95121951221</v>
      </c>
      <c r="F138" s="523">
        <f t="shared" si="38"/>
        <v>297546.19336628902</v>
      </c>
      <c r="G138" s="523">
        <f t="shared" si="39"/>
        <v>364892.6689760451</v>
      </c>
      <c r="H138" s="526">
        <f t="shared" si="40"/>
        <v>176113.46024706893</v>
      </c>
      <c r="I138" s="577">
        <f t="shared" si="41"/>
        <v>176113.46024706893</v>
      </c>
      <c r="J138" s="514">
        <f t="shared" si="32"/>
        <v>0</v>
      </c>
      <c r="K138" s="514"/>
      <c r="L138" s="525"/>
      <c r="M138" s="514">
        <f t="shared" si="42"/>
        <v>0</v>
      </c>
      <c r="N138" s="525"/>
      <c r="O138" s="514">
        <f t="shared" si="43"/>
        <v>0</v>
      </c>
      <c r="P138" s="514">
        <f t="shared" si="44"/>
        <v>0</v>
      </c>
    </row>
    <row r="139" spans="2:16">
      <c r="B139" s="195" t="str">
        <f t="shared" si="31"/>
        <v/>
      </c>
      <c r="C139" s="507">
        <f>IF(D93="","-",+C138+1)</f>
        <v>2055</v>
      </c>
      <c r="D139" s="374">
        <f>IF(F138+SUM(E$99:E138)=D$92,F138,D$92-SUM(E$99:E138))</f>
        <v>297546.19336628902</v>
      </c>
      <c r="E139" s="522">
        <f t="shared" si="37"/>
        <v>134692.95121951221</v>
      </c>
      <c r="F139" s="523">
        <f t="shared" si="38"/>
        <v>162853.24214677681</v>
      </c>
      <c r="G139" s="523">
        <f t="shared" si="39"/>
        <v>230199.71775653292</v>
      </c>
      <c r="H139" s="526">
        <f t="shared" si="40"/>
        <v>160823.89409165154</v>
      </c>
      <c r="I139" s="577">
        <f t="shared" si="41"/>
        <v>160823.89409165154</v>
      </c>
      <c r="J139" s="514">
        <f t="shared" si="32"/>
        <v>0</v>
      </c>
      <c r="K139" s="514"/>
      <c r="L139" s="525"/>
      <c r="M139" s="514">
        <f t="shared" si="42"/>
        <v>0</v>
      </c>
      <c r="N139" s="525"/>
      <c r="O139" s="514">
        <f t="shared" si="43"/>
        <v>0</v>
      </c>
      <c r="P139" s="514">
        <f t="shared" si="44"/>
        <v>0</v>
      </c>
    </row>
    <row r="140" spans="2:16">
      <c r="B140" s="195" t="str">
        <f t="shared" si="31"/>
        <v/>
      </c>
      <c r="C140" s="507">
        <f>IF(D93="","-",+C139+1)</f>
        <v>2056</v>
      </c>
      <c r="D140" s="374">
        <f>IF(F139+SUM(E$99:E139)=D$92,F139,D$92-SUM(E$99:E139))</f>
        <v>162853.24214677681</v>
      </c>
      <c r="E140" s="522">
        <f t="shared" si="37"/>
        <v>134692.95121951221</v>
      </c>
      <c r="F140" s="523">
        <f t="shared" si="38"/>
        <v>28160.290927264607</v>
      </c>
      <c r="G140" s="523">
        <f t="shared" si="39"/>
        <v>95506.766537020711</v>
      </c>
      <c r="H140" s="526">
        <f t="shared" si="40"/>
        <v>145534.32793623413</v>
      </c>
      <c r="I140" s="577">
        <f t="shared" si="41"/>
        <v>145534.32793623413</v>
      </c>
      <c r="J140" s="514">
        <f t="shared" si="32"/>
        <v>0</v>
      </c>
      <c r="K140" s="514"/>
      <c r="L140" s="525"/>
      <c r="M140" s="514">
        <f t="shared" si="42"/>
        <v>0</v>
      </c>
      <c r="N140" s="525"/>
      <c r="O140" s="514">
        <f t="shared" si="43"/>
        <v>0</v>
      </c>
      <c r="P140" s="514">
        <f t="shared" si="44"/>
        <v>0</v>
      </c>
    </row>
    <row r="141" spans="2:16">
      <c r="B141" s="195" t="str">
        <f t="shared" si="31"/>
        <v/>
      </c>
      <c r="C141" s="507">
        <f>IF(D93="","-",+C140+1)</f>
        <v>2057</v>
      </c>
      <c r="D141" s="374">
        <f>IF(F140+SUM(E$99:E140)=D$92,F140,D$92-SUM(E$99:E140))</f>
        <v>28160.290927264607</v>
      </c>
      <c r="E141" s="522">
        <f t="shared" si="37"/>
        <v>28160.290927264607</v>
      </c>
      <c r="F141" s="523">
        <f t="shared" si="38"/>
        <v>0</v>
      </c>
      <c r="G141" s="523">
        <f t="shared" si="39"/>
        <v>14080.145463632303</v>
      </c>
      <c r="H141" s="526">
        <f t="shared" si="40"/>
        <v>29758.587746771223</v>
      </c>
      <c r="I141" s="577">
        <f t="shared" si="41"/>
        <v>29758.587746771223</v>
      </c>
      <c r="J141" s="514">
        <f t="shared" si="32"/>
        <v>0</v>
      </c>
      <c r="K141" s="514"/>
      <c r="L141" s="525"/>
      <c r="M141" s="514">
        <f t="shared" si="42"/>
        <v>0</v>
      </c>
      <c r="N141" s="525"/>
      <c r="O141" s="514">
        <f t="shared" si="43"/>
        <v>0</v>
      </c>
      <c r="P141" s="514">
        <f t="shared" si="44"/>
        <v>0</v>
      </c>
    </row>
    <row r="142" spans="2:16">
      <c r="B142" s="195" t="str">
        <f t="shared" si="31"/>
        <v/>
      </c>
      <c r="C142" s="507">
        <f>IF(D93="","-",+C141+1)</f>
        <v>2058</v>
      </c>
      <c r="D142" s="374">
        <f>IF(F141+SUM(E$99:E141)=D$92,F141,D$92-SUM(E$99:E141))</f>
        <v>0</v>
      </c>
      <c r="E142" s="522">
        <f t="shared" si="37"/>
        <v>0</v>
      </c>
      <c r="F142" s="523">
        <f t="shared" si="38"/>
        <v>0</v>
      </c>
      <c r="G142" s="523">
        <f t="shared" si="39"/>
        <v>0</v>
      </c>
      <c r="H142" s="526">
        <f t="shared" si="40"/>
        <v>0</v>
      </c>
      <c r="I142" s="577">
        <f t="shared" si="41"/>
        <v>0</v>
      </c>
      <c r="J142" s="514">
        <f t="shared" si="32"/>
        <v>0</v>
      </c>
      <c r="K142" s="514"/>
      <c r="L142" s="525"/>
      <c r="M142" s="514">
        <f t="shared" si="42"/>
        <v>0</v>
      </c>
      <c r="N142" s="525"/>
      <c r="O142" s="514">
        <f t="shared" si="43"/>
        <v>0</v>
      </c>
      <c r="P142" s="514">
        <f t="shared" si="44"/>
        <v>0</v>
      </c>
    </row>
    <row r="143" spans="2:16">
      <c r="B143" s="195" t="str">
        <f t="shared" si="31"/>
        <v/>
      </c>
      <c r="C143" s="507">
        <f>IF(D93="","-",+C142+1)</f>
        <v>2059</v>
      </c>
      <c r="D143" s="374">
        <f>IF(F142+SUM(E$99:E142)=D$92,F142,D$92-SUM(E$99:E142))</f>
        <v>0</v>
      </c>
      <c r="E143" s="522">
        <f t="shared" si="37"/>
        <v>0</v>
      </c>
      <c r="F143" s="523">
        <f t="shared" si="38"/>
        <v>0</v>
      </c>
      <c r="G143" s="523">
        <f t="shared" si="39"/>
        <v>0</v>
      </c>
      <c r="H143" s="526">
        <f t="shared" si="40"/>
        <v>0</v>
      </c>
      <c r="I143" s="577">
        <f t="shared" si="41"/>
        <v>0</v>
      </c>
      <c r="J143" s="514">
        <f t="shared" si="32"/>
        <v>0</v>
      </c>
      <c r="K143" s="514"/>
      <c r="L143" s="525"/>
      <c r="M143" s="514">
        <f t="shared" si="42"/>
        <v>0</v>
      </c>
      <c r="N143" s="525"/>
      <c r="O143" s="514">
        <f t="shared" si="43"/>
        <v>0</v>
      </c>
      <c r="P143" s="514">
        <f t="shared" si="44"/>
        <v>0</v>
      </c>
    </row>
    <row r="144" spans="2:16">
      <c r="B144" s="195" t="str">
        <f t="shared" si="31"/>
        <v/>
      </c>
      <c r="C144" s="507">
        <f>IF(D93="","-",+C143+1)</f>
        <v>2060</v>
      </c>
      <c r="D144" s="374">
        <f>IF(F143+SUM(E$99:E143)=D$92,F143,D$92-SUM(E$99:E143))</f>
        <v>0</v>
      </c>
      <c r="E144" s="522">
        <f t="shared" si="37"/>
        <v>0</v>
      </c>
      <c r="F144" s="523">
        <f t="shared" si="38"/>
        <v>0</v>
      </c>
      <c r="G144" s="523">
        <f t="shared" si="39"/>
        <v>0</v>
      </c>
      <c r="H144" s="526">
        <f t="shared" si="40"/>
        <v>0</v>
      </c>
      <c r="I144" s="577">
        <f t="shared" si="41"/>
        <v>0</v>
      </c>
      <c r="J144" s="514">
        <f t="shared" si="32"/>
        <v>0</v>
      </c>
      <c r="K144" s="514"/>
      <c r="L144" s="525"/>
      <c r="M144" s="514">
        <f t="shared" si="42"/>
        <v>0</v>
      </c>
      <c r="N144" s="525"/>
      <c r="O144" s="514">
        <f t="shared" si="43"/>
        <v>0</v>
      </c>
      <c r="P144" s="514">
        <f t="shared" si="44"/>
        <v>0</v>
      </c>
    </row>
    <row r="145" spans="2:16">
      <c r="B145" s="195" t="str">
        <f t="shared" si="31"/>
        <v/>
      </c>
      <c r="C145" s="507">
        <f>IF(D93="","-",+C144+1)</f>
        <v>2061</v>
      </c>
      <c r="D145" s="374">
        <f>IF(F144+SUM(E$99:E144)=D$92,F144,D$92-SUM(E$99:E144))</f>
        <v>0</v>
      </c>
      <c r="E145" s="522">
        <f t="shared" si="37"/>
        <v>0</v>
      </c>
      <c r="F145" s="523">
        <f t="shared" si="38"/>
        <v>0</v>
      </c>
      <c r="G145" s="523">
        <f t="shared" si="39"/>
        <v>0</v>
      </c>
      <c r="H145" s="526">
        <f t="shared" si="40"/>
        <v>0</v>
      </c>
      <c r="I145" s="577">
        <f t="shared" si="41"/>
        <v>0</v>
      </c>
      <c r="J145" s="514">
        <f t="shared" si="32"/>
        <v>0</v>
      </c>
      <c r="K145" s="514"/>
      <c r="L145" s="525"/>
      <c r="M145" s="514">
        <f t="shared" si="42"/>
        <v>0</v>
      </c>
      <c r="N145" s="525"/>
      <c r="O145" s="514">
        <f t="shared" si="43"/>
        <v>0</v>
      </c>
      <c r="P145" s="514">
        <f t="shared" si="44"/>
        <v>0</v>
      </c>
    </row>
    <row r="146" spans="2:16">
      <c r="B146" s="195" t="str">
        <f t="shared" si="31"/>
        <v/>
      </c>
      <c r="C146" s="507">
        <f>IF(D93="","-",+C145+1)</f>
        <v>2062</v>
      </c>
      <c r="D146" s="374">
        <f>IF(F145+SUM(E$99:E145)=D$92,F145,D$92-SUM(E$99:E145))</f>
        <v>0</v>
      </c>
      <c r="E146" s="522">
        <f t="shared" si="37"/>
        <v>0</v>
      </c>
      <c r="F146" s="523">
        <f t="shared" si="38"/>
        <v>0</v>
      </c>
      <c r="G146" s="523">
        <f t="shared" si="39"/>
        <v>0</v>
      </c>
      <c r="H146" s="526">
        <f t="shared" si="40"/>
        <v>0</v>
      </c>
      <c r="I146" s="577">
        <f t="shared" si="41"/>
        <v>0</v>
      </c>
      <c r="J146" s="514">
        <f t="shared" si="32"/>
        <v>0</v>
      </c>
      <c r="K146" s="514"/>
      <c r="L146" s="525"/>
      <c r="M146" s="514">
        <f t="shared" si="42"/>
        <v>0</v>
      </c>
      <c r="N146" s="525"/>
      <c r="O146" s="514">
        <f t="shared" si="43"/>
        <v>0</v>
      </c>
      <c r="P146" s="514">
        <f t="shared" si="44"/>
        <v>0</v>
      </c>
    </row>
    <row r="147" spans="2:16">
      <c r="B147" s="195" t="str">
        <f t="shared" si="31"/>
        <v/>
      </c>
      <c r="C147" s="507">
        <f>IF(D93="","-",+C146+1)</f>
        <v>2063</v>
      </c>
      <c r="D147" s="374">
        <f>IF(F146+SUM(E$99:E146)=D$92,F146,D$92-SUM(E$99:E146))</f>
        <v>0</v>
      </c>
      <c r="E147" s="522">
        <f t="shared" si="37"/>
        <v>0</v>
      </c>
      <c r="F147" s="523">
        <f t="shared" si="38"/>
        <v>0</v>
      </c>
      <c r="G147" s="523">
        <f t="shared" si="39"/>
        <v>0</v>
      </c>
      <c r="H147" s="526">
        <f t="shared" si="40"/>
        <v>0</v>
      </c>
      <c r="I147" s="577">
        <f t="shared" si="41"/>
        <v>0</v>
      </c>
      <c r="J147" s="514">
        <f t="shared" si="32"/>
        <v>0</v>
      </c>
      <c r="K147" s="514"/>
      <c r="L147" s="525"/>
      <c r="M147" s="514">
        <f t="shared" si="42"/>
        <v>0</v>
      </c>
      <c r="N147" s="525"/>
      <c r="O147" s="514">
        <f t="shared" si="43"/>
        <v>0</v>
      </c>
      <c r="P147" s="514">
        <f t="shared" si="44"/>
        <v>0</v>
      </c>
    </row>
    <row r="148" spans="2:16">
      <c r="B148" s="195" t="str">
        <f t="shared" si="31"/>
        <v/>
      </c>
      <c r="C148" s="507">
        <f>IF(D93="","-",+C147+1)</f>
        <v>2064</v>
      </c>
      <c r="D148" s="374">
        <f>IF(F147+SUM(E$99:E147)=D$92,F147,D$92-SUM(E$99:E147))</f>
        <v>0</v>
      </c>
      <c r="E148" s="522">
        <f t="shared" si="37"/>
        <v>0</v>
      </c>
      <c r="F148" s="523">
        <f t="shared" si="38"/>
        <v>0</v>
      </c>
      <c r="G148" s="523">
        <f t="shared" si="39"/>
        <v>0</v>
      </c>
      <c r="H148" s="526">
        <f t="shared" si="40"/>
        <v>0</v>
      </c>
      <c r="I148" s="577">
        <f t="shared" si="41"/>
        <v>0</v>
      </c>
      <c r="J148" s="514">
        <f t="shared" si="32"/>
        <v>0</v>
      </c>
      <c r="K148" s="514"/>
      <c r="L148" s="525"/>
      <c r="M148" s="514">
        <f t="shared" si="42"/>
        <v>0</v>
      </c>
      <c r="N148" s="525"/>
      <c r="O148" s="514">
        <f t="shared" si="43"/>
        <v>0</v>
      </c>
      <c r="P148" s="514">
        <f t="shared" si="44"/>
        <v>0</v>
      </c>
    </row>
    <row r="149" spans="2:16">
      <c r="B149" s="195" t="str">
        <f t="shared" si="31"/>
        <v/>
      </c>
      <c r="C149" s="507">
        <f>IF(D93="","-",+C148+1)</f>
        <v>2065</v>
      </c>
      <c r="D149" s="374">
        <f>IF(F148+SUM(E$99:E148)=D$92,F148,D$92-SUM(E$99:E148))</f>
        <v>0</v>
      </c>
      <c r="E149" s="522">
        <f t="shared" si="37"/>
        <v>0</v>
      </c>
      <c r="F149" s="523">
        <f t="shared" si="38"/>
        <v>0</v>
      </c>
      <c r="G149" s="523">
        <f t="shared" si="39"/>
        <v>0</v>
      </c>
      <c r="H149" s="526">
        <f t="shared" si="40"/>
        <v>0</v>
      </c>
      <c r="I149" s="577">
        <f t="shared" si="41"/>
        <v>0</v>
      </c>
      <c r="J149" s="514">
        <f t="shared" si="32"/>
        <v>0</v>
      </c>
      <c r="K149" s="514"/>
      <c r="L149" s="525"/>
      <c r="M149" s="514">
        <f t="shared" si="42"/>
        <v>0</v>
      </c>
      <c r="N149" s="525"/>
      <c r="O149" s="514">
        <f t="shared" si="43"/>
        <v>0</v>
      </c>
      <c r="P149" s="514">
        <f t="shared" si="44"/>
        <v>0</v>
      </c>
    </row>
    <row r="150" spans="2:16">
      <c r="B150" s="195" t="str">
        <f t="shared" si="31"/>
        <v/>
      </c>
      <c r="C150" s="507">
        <f>IF(D93="","-",+C149+1)</f>
        <v>2066</v>
      </c>
      <c r="D150" s="374">
        <f>IF(F149+SUM(E$99:E149)=D$92,F149,D$92-SUM(E$99:E149))</f>
        <v>0</v>
      </c>
      <c r="E150" s="522">
        <f t="shared" si="37"/>
        <v>0</v>
      </c>
      <c r="F150" s="523">
        <f t="shared" si="38"/>
        <v>0</v>
      </c>
      <c r="G150" s="523">
        <f t="shared" si="39"/>
        <v>0</v>
      </c>
      <c r="H150" s="526">
        <f t="shared" si="40"/>
        <v>0</v>
      </c>
      <c r="I150" s="577">
        <f t="shared" si="41"/>
        <v>0</v>
      </c>
      <c r="J150" s="514">
        <f t="shared" si="32"/>
        <v>0</v>
      </c>
      <c r="K150" s="514"/>
      <c r="L150" s="525"/>
      <c r="M150" s="514">
        <f t="shared" si="42"/>
        <v>0</v>
      </c>
      <c r="N150" s="525"/>
      <c r="O150" s="514">
        <f t="shared" si="43"/>
        <v>0</v>
      </c>
      <c r="P150" s="514">
        <f t="shared" si="44"/>
        <v>0</v>
      </c>
    </row>
    <row r="151" spans="2:16">
      <c r="B151" s="195" t="str">
        <f t="shared" si="31"/>
        <v/>
      </c>
      <c r="C151" s="507">
        <f>IF(D93="","-",+C150+1)</f>
        <v>2067</v>
      </c>
      <c r="D151" s="374">
        <f>IF(F150+SUM(E$99:E150)=D$92,F150,D$92-SUM(E$99:E150))</f>
        <v>0</v>
      </c>
      <c r="E151" s="522">
        <f t="shared" si="37"/>
        <v>0</v>
      </c>
      <c r="F151" s="523">
        <f t="shared" si="38"/>
        <v>0</v>
      </c>
      <c r="G151" s="523">
        <f t="shared" si="39"/>
        <v>0</v>
      </c>
      <c r="H151" s="526">
        <f t="shared" si="40"/>
        <v>0</v>
      </c>
      <c r="I151" s="577">
        <f t="shared" si="41"/>
        <v>0</v>
      </c>
      <c r="J151" s="514">
        <f t="shared" si="32"/>
        <v>0</v>
      </c>
      <c r="K151" s="514"/>
      <c r="L151" s="525"/>
      <c r="M151" s="514">
        <f t="shared" si="42"/>
        <v>0</v>
      </c>
      <c r="N151" s="525"/>
      <c r="O151" s="514">
        <f t="shared" si="43"/>
        <v>0</v>
      </c>
      <c r="P151" s="514">
        <f t="shared" si="44"/>
        <v>0</v>
      </c>
    </row>
    <row r="152" spans="2:16">
      <c r="B152" s="195" t="str">
        <f t="shared" si="31"/>
        <v/>
      </c>
      <c r="C152" s="507">
        <f>IF(D93="","-",+C151+1)</f>
        <v>2068</v>
      </c>
      <c r="D152" s="374">
        <f>IF(F151+SUM(E$99:E151)=D$92,F151,D$92-SUM(E$99:E151))</f>
        <v>0</v>
      </c>
      <c r="E152" s="522">
        <f t="shared" si="37"/>
        <v>0</v>
      </c>
      <c r="F152" s="523">
        <f t="shared" si="38"/>
        <v>0</v>
      </c>
      <c r="G152" s="523">
        <f t="shared" si="39"/>
        <v>0</v>
      </c>
      <c r="H152" s="526">
        <f t="shared" si="40"/>
        <v>0</v>
      </c>
      <c r="I152" s="577">
        <f t="shared" si="41"/>
        <v>0</v>
      </c>
      <c r="J152" s="514">
        <f t="shared" si="32"/>
        <v>0</v>
      </c>
      <c r="K152" s="514"/>
      <c r="L152" s="525"/>
      <c r="M152" s="514">
        <f t="shared" si="42"/>
        <v>0</v>
      </c>
      <c r="N152" s="525"/>
      <c r="O152" s="514">
        <f t="shared" si="43"/>
        <v>0</v>
      </c>
      <c r="P152" s="514">
        <f t="shared" si="44"/>
        <v>0</v>
      </c>
    </row>
    <row r="153" spans="2:16">
      <c r="B153" s="195" t="str">
        <f t="shared" si="31"/>
        <v/>
      </c>
      <c r="C153" s="507">
        <f>IF(D93="","-",+C152+1)</f>
        <v>2069</v>
      </c>
      <c r="D153" s="374">
        <f>IF(F152+SUM(E$99:E152)=D$92,F152,D$92-SUM(E$99:E152))</f>
        <v>0</v>
      </c>
      <c r="E153" s="522">
        <f t="shared" si="37"/>
        <v>0</v>
      </c>
      <c r="F153" s="523">
        <f t="shared" si="38"/>
        <v>0</v>
      </c>
      <c r="G153" s="523">
        <f t="shared" si="39"/>
        <v>0</v>
      </c>
      <c r="H153" s="526">
        <f t="shared" si="40"/>
        <v>0</v>
      </c>
      <c r="I153" s="577">
        <f t="shared" si="41"/>
        <v>0</v>
      </c>
      <c r="J153" s="514">
        <f t="shared" si="32"/>
        <v>0</v>
      </c>
      <c r="K153" s="514"/>
      <c r="L153" s="525"/>
      <c r="M153" s="514">
        <f t="shared" si="42"/>
        <v>0</v>
      </c>
      <c r="N153" s="525"/>
      <c r="O153" s="514">
        <f t="shared" si="43"/>
        <v>0</v>
      </c>
      <c r="P153" s="514">
        <f t="shared" si="44"/>
        <v>0</v>
      </c>
    </row>
    <row r="154" spans="2:16" ht="13.5" thickBot="1">
      <c r="B154" s="195" t="str">
        <f t="shared" si="31"/>
        <v/>
      </c>
      <c r="C154" s="527">
        <f>IF(D93="","-",+C153+1)</f>
        <v>2070</v>
      </c>
      <c r="D154" s="374">
        <f>IF(F153+SUM(E$99:E153)=D$92,F153,D$92-SUM(E$99:E153))</f>
        <v>0</v>
      </c>
      <c r="E154" s="522">
        <f t="shared" si="37"/>
        <v>0</v>
      </c>
      <c r="F154" s="523">
        <f t="shared" si="38"/>
        <v>0</v>
      </c>
      <c r="G154" s="523">
        <f t="shared" si="39"/>
        <v>0</v>
      </c>
      <c r="H154" s="526">
        <f t="shared" si="40"/>
        <v>0</v>
      </c>
      <c r="I154" s="577">
        <f t="shared" si="41"/>
        <v>0</v>
      </c>
      <c r="J154" s="514">
        <f t="shared" si="32"/>
        <v>0</v>
      </c>
      <c r="K154" s="514"/>
      <c r="L154" s="532"/>
      <c r="M154" s="533">
        <f t="shared" si="42"/>
        <v>0</v>
      </c>
      <c r="N154" s="532"/>
      <c r="O154" s="533">
        <f t="shared" si="43"/>
        <v>0</v>
      </c>
      <c r="P154" s="533">
        <f t="shared" si="44"/>
        <v>0</v>
      </c>
    </row>
    <row r="155" spans="2:16">
      <c r="C155" s="374" t="s">
        <v>78</v>
      </c>
      <c r="D155" s="375"/>
      <c r="E155" s="375">
        <f>SUM(E99:E154)</f>
        <v>5522411.0000000019</v>
      </c>
      <c r="F155" s="375"/>
      <c r="G155" s="375"/>
      <c r="H155" s="375">
        <f>SUM(H99:H154)</f>
        <v>18866677.006383229</v>
      </c>
      <c r="I155" s="375">
        <f>SUM(I99:I154)</f>
        <v>18866677.006383229</v>
      </c>
      <c r="J155" s="375">
        <f>SUM(J99:J154)</f>
        <v>0</v>
      </c>
      <c r="K155" s="375"/>
      <c r="L155" s="375"/>
      <c r="M155" s="375"/>
      <c r="N155" s="375"/>
      <c r="O155" s="375"/>
      <c r="P155" s="269"/>
    </row>
    <row r="156" spans="2:16">
      <c r="C156" s="183" t="s">
        <v>92</v>
      </c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</row>
    <row r="157" spans="2:16">
      <c r="C157" s="580"/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</row>
    <row r="158" spans="2:16">
      <c r="C158" s="614" t="s">
        <v>132</v>
      </c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</row>
    <row r="159" spans="2:16">
      <c r="C159" s="467" t="s">
        <v>79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</row>
    <row r="160" spans="2:16">
      <c r="C160" s="581" t="s">
        <v>80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</row>
    <row r="161" spans="3:16">
      <c r="C161" s="581"/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</row>
    <row r="162" spans="3:16" ht="18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635" t="s">
        <v>131</v>
      </c>
    </row>
  </sheetData>
  <conditionalFormatting sqref="C17:C72">
    <cfRule type="cellIs" dxfId="60" priority="1" stopIfTrue="1" operator="equal">
      <formula>$I$10</formula>
    </cfRule>
  </conditionalFormatting>
  <conditionalFormatting sqref="C99:C154">
    <cfRule type="cellIs" dxfId="59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Sheet101"/>
  <dimension ref="A1:P162"/>
  <sheetViews>
    <sheetView topLeftCell="A90" zoomScaleNormal="100" zoomScaleSheetLayoutView="82" workbookViewId="0">
      <selection activeCell="D102" sqref="D101:D102"/>
    </sheetView>
  </sheetViews>
  <sheetFormatPr defaultColWidth="8.7109375" defaultRowHeight="12.75" customHeight="1"/>
  <cols>
    <col min="1" max="1" width="4.7109375" style="183" customWidth="1"/>
    <col min="2" max="2" width="6.7109375" style="183" customWidth="1"/>
    <col min="3" max="3" width="23.28515625" style="183" customWidth="1"/>
    <col min="4" max="8" width="17.7109375" style="183" customWidth="1"/>
    <col min="9" max="9" width="20.42578125" style="183" customWidth="1"/>
    <col min="10" max="10" width="16.42578125" style="183" customWidth="1"/>
    <col min="11" max="11" width="17.7109375" style="183" customWidth="1"/>
    <col min="12" max="12" width="16.140625" style="183" customWidth="1"/>
    <col min="13" max="13" width="17.7109375" style="183" customWidth="1"/>
    <col min="14" max="14" width="16.7109375" style="183" customWidth="1"/>
    <col min="15" max="15" width="16.85546875" style="183" customWidth="1"/>
    <col min="16" max="16" width="24.42578125" style="183" customWidth="1"/>
    <col min="17" max="17" width="9.140625" style="183" customWidth="1"/>
    <col min="18" max="22" width="8.7109375" style="183"/>
    <col min="23" max="23" width="9.140625" style="183" customWidth="1"/>
    <col min="24" max="16384" width="8.7109375" style="183"/>
  </cols>
  <sheetData>
    <row r="1" spans="1:16" ht="20.25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52 of 75</v>
      </c>
    </row>
    <row r="2" spans="1:16" ht="18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538" t="s">
        <v>129</v>
      </c>
    </row>
    <row r="3" spans="1:16" ht="18.75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/>
      <c r="P3" s="623">
        <v>1</v>
      </c>
    </row>
    <row r="4" spans="1:16" ht="15.75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6" ht="1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1400491.7031747443</v>
      </c>
      <c r="P5" s="269"/>
    </row>
    <row r="6" spans="1:16" ht="15.7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1400491.7031747443</v>
      </c>
      <c r="O6" s="269"/>
      <c r="P6" s="269"/>
    </row>
    <row r="7" spans="1:16" ht="13.5" thickBot="1">
      <c r="C7" s="467" t="s">
        <v>48</v>
      </c>
      <c r="D7" s="624" t="s">
        <v>340</v>
      </c>
      <c r="E7" s="587"/>
      <c r="F7" s="587"/>
      <c r="G7" s="587"/>
      <c r="H7" s="59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6" ht="13.5" thickBot="1">
      <c r="C8" s="472"/>
      <c r="D8" s="625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6" ht="13.5" thickBot="1">
      <c r="C9" s="476" t="s">
        <v>50</v>
      </c>
      <c r="D9" s="477" t="s">
        <v>467</v>
      </c>
      <c r="E9" s="637" t="s">
        <v>505</v>
      </c>
      <c r="F9" s="478"/>
      <c r="G9" s="478"/>
      <c r="H9" s="478"/>
      <c r="I9" s="479"/>
      <c r="J9" s="480"/>
      <c r="O9" s="481"/>
      <c r="P9" s="272"/>
    </row>
    <row r="10" spans="1:16">
      <c r="C10" s="482" t="s">
        <v>51</v>
      </c>
      <c r="D10" s="483">
        <v>12017566.600000001</v>
      </c>
      <c r="E10" s="353" t="s">
        <v>52</v>
      </c>
      <c r="F10" s="481"/>
      <c r="G10" s="484"/>
      <c r="H10" s="484"/>
      <c r="I10" s="485">
        <f>+'SWE.WS.F.BPU.ATRR.Projected'!L19</f>
        <v>2024</v>
      </c>
      <c r="J10" s="480"/>
      <c r="K10" s="375" t="s">
        <v>53</v>
      </c>
      <c r="O10" s="272"/>
      <c r="P10" s="272"/>
    </row>
    <row r="11" spans="1:16">
      <c r="C11" s="486" t="s">
        <v>54</v>
      </c>
      <c r="D11" s="487">
        <v>2015</v>
      </c>
      <c r="E11" s="486" t="s">
        <v>55</v>
      </c>
      <c r="F11" s="484"/>
      <c r="G11" s="233"/>
      <c r="H11" s="233"/>
      <c r="I11" s="488">
        <f>IF(G5="",0,'SWE.WS.F.BPU.ATRR.Projected'!F$13)</f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6">
      <c r="C12" s="486" t="s">
        <v>56</v>
      </c>
      <c r="D12" s="483">
        <v>5</v>
      </c>
      <c r="E12" s="486" t="s">
        <v>57</v>
      </c>
      <c r="F12" s="484"/>
      <c r="G12" s="233"/>
      <c r="H12" s="233"/>
      <c r="I12" s="490">
        <f>'SWE.WS.F.BPU.ATRR.Projected'!$F$81</f>
        <v>0.11952713165403545</v>
      </c>
      <c r="J12" s="425"/>
      <c r="K12" s="183" t="s">
        <v>58</v>
      </c>
      <c r="O12" s="272"/>
      <c r="P12" s="272"/>
    </row>
    <row r="13" spans="1:16">
      <c r="C13" s="486" t="s">
        <v>59</v>
      </c>
      <c r="D13" s="488">
        <f>+'SWE.WS.F.BPU.ATRR.Projected'!F$93</f>
        <v>44</v>
      </c>
      <c r="E13" s="486" t="s">
        <v>60</v>
      </c>
      <c r="F13" s="484"/>
      <c r="G13" s="233"/>
      <c r="H13" s="233"/>
      <c r="I13" s="490">
        <f>IF(G5="",I12,'SWE.WS.F.BPU.ATRR.Projected'!$F$80)</f>
        <v>0.11952713165403545</v>
      </c>
      <c r="J13" s="425"/>
      <c r="K13" s="375" t="s">
        <v>61</v>
      </c>
      <c r="L13" s="324"/>
      <c r="M13" s="324"/>
      <c r="N13" s="324"/>
      <c r="O13" s="272"/>
      <c r="P13" s="272"/>
    </row>
    <row r="14" spans="1:16" ht="13.5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273126.51363636367</v>
      </c>
      <c r="J14" s="375"/>
      <c r="K14" s="375"/>
      <c r="L14" s="375"/>
      <c r="M14" s="375"/>
      <c r="N14" s="375"/>
      <c r="O14" s="272"/>
      <c r="P14" s="272"/>
    </row>
    <row r="15" spans="1:16" ht="38.25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388</v>
      </c>
      <c r="H15" s="495" t="s">
        <v>389</v>
      </c>
      <c r="I15" s="492" t="s">
        <v>68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6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>
      <c r="C17" s="507">
        <f>IF(D11= "","-",D11)</f>
        <v>2015</v>
      </c>
      <c r="D17" s="629">
        <v>12300000</v>
      </c>
      <c r="E17" s="638">
        <v>146428.57142857142</v>
      </c>
      <c r="F17" s="629">
        <v>12153571.428571429</v>
      </c>
      <c r="G17" s="638">
        <v>1747112.2775653705</v>
      </c>
      <c r="H17" s="639">
        <v>1747112.2775653705</v>
      </c>
      <c r="I17" s="511">
        <v>0</v>
      </c>
      <c r="J17" s="511"/>
      <c r="K17" s="518">
        <f t="shared" ref="K17:K22" si="0">G17</f>
        <v>1747112.2775653705</v>
      </c>
      <c r="L17" s="519">
        <f t="shared" ref="L17:L22" si="1">IF(K17&lt;&gt;0,+G17-K17,0)</f>
        <v>0</v>
      </c>
      <c r="M17" s="518">
        <f t="shared" ref="M17:M22" si="2">H17</f>
        <v>1747112.2775653705</v>
      </c>
      <c r="N17" s="514">
        <f>IF(M17&lt;&gt;0,+H17-M17,0)</f>
        <v>0</v>
      </c>
      <c r="O17" s="514">
        <f>+N17-L17</f>
        <v>0</v>
      </c>
      <c r="P17" s="272"/>
    </row>
    <row r="18" spans="2:16">
      <c r="B18" s="195" t="str">
        <f>IF(D18=F17,"","IU")</f>
        <v>IU</v>
      </c>
      <c r="C18" s="507">
        <f>IF(D11="","-",+C17+1)</f>
        <v>2016</v>
      </c>
      <c r="D18" s="631">
        <v>11844058.428571429</v>
      </c>
      <c r="E18" s="630">
        <v>285487.78571428574</v>
      </c>
      <c r="F18" s="631">
        <v>11558570.642857144</v>
      </c>
      <c r="G18" s="630">
        <v>1789026.3661915467</v>
      </c>
      <c r="H18" s="639">
        <v>1789026.3661915467</v>
      </c>
      <c r="I18" s="511">
        <f>H18-G18</f>
        <v>0</v>
      </c>
      <c r="J18" s="511"/>
      <c r="K18" s="518">
        <f t="shared" si="0"/>
        <v>1789026.3661915467</v>
      </c>
      <c r="L18" s="519">
        <f t="shared" si="1"/>
        <v>0</v>
      </c>
      <c r="M18" s="518">
        <f t="shared" si="2"/>
        <v>1789026.3661915467</v>
      </c>
      <c r="N18" s="514">
        <f>IF(M18&lt;&gt;0,+H18-M18,0)</f>
        <v>0</v>
      </c>
      <c r="O18" s="514">
        <f>+N18-L18</f>
        <v>0</v>
      </c>
      <c r="P18" s="272"/>
    </row>
    <row r="19" spans="2:16">
      <c r="B19" s="195" t="str">
        <f>IF(D19=F18,"","IU")</f>
        <v>IU</v>
      </c>
      <c r="C19" s="507">
        <f>IF(D11="","-",+C18+1)</f>
        <v>2017</v>
      </c>
      <c r="D19" s="631">
        <v>11585650.642857144</v>
      </c>
      <c r="E19" s="630">
        <v>279478.30232558138</v>
      </c>
      <c r="F19" s="631">
        <v>11306172.340531562</v>
      </c>
      <c r="G19" s="630">
        <v>1697541.2765808336</v>
      </c>
      <c r="H19" s="639">
        <v>1697541.2765808336</v>
      </c>
      <c r="I19" s="511">
        <f t="shared" ref="I19:I72" si="3">H19-G19</f>
        <v>0</v>
      </c>
      <c r="J19" s="511"/>
      <c r="K19" s="518">
        <f t="shared" si="0"/>
        <v>1697541.2765808336</v>
      </c>
      <c r="L19" s="519">
        <f t="shared" si="1"/>
        <v>0</v>
      </c>
      <c r="M19" s="518">
        <f t="shared" si="2"/>
        <v>1697541.2765808336</v>
      </c>
      <c r="N19" s="514">
        <f>IF(M19&lt;&gt;0,+H19-M19,0)</f>
        <v>0</v>
      </c>
      <c r="O19" s="514">
        <f>+N19-L19</f>
        <v>0</v>
      </c>
      <c r="P19" s="272"/>
    </row>
    <row r="20" spans="2:16">
      <c r="B20" s="195" t="str">
        <f t="shared" ref="B20:B72" si="4">IF(D20=F19,"","IU")</f>
        <v/>
      </c>
      <c r="C20" s="507">
        <f>IF(D11="","-",+C19+1)</f>
        <v>2018</v>
      </c>
      <c r="D20" s="631">
        <v>11306172.340531562</v>
      </c>
      <c r="E20" s="630">
        <v>293111.39024390245</v>
      </c>
      <c r="F20" s="631">
        <v>11013060.950287659</v>
      </c>
      <c r="G20" s="630">
        <v>1711432.8121770415</v>
      </c>
      <c r="H20" s="639">
        <v>1711432.8121770415</v>
      </c>
      <c r="I20" s="511">
        <f t="shared" si="3"/>
        <v>0</v>
      </c>
      <c r="J20" s="511"/>
      <c r="K20" s="518">
        <f t="shared" si="0"/>
        <v>1711432.8121770415</v>
      </c>
      <c r="L20" s="519">
        <f t="shared" si="1"/>
        <v>0</v>
      </c>
      <c r="M20" s="518">
        <f t="shared" si="2"/>
        <v>1711432.8121770415</v>
      </c>
      <c r="N20" s="514">
        <f>IF(M20&lt;&gt;0,+H20-M20,0)</f>
        <v>0</v>
      </c>
      <c r="O20" s="514">
        <f>+N20-L20</f>
        <v>0</v>
      </c>
      <c r="P20" s="272"/>
    </row>
    <row r="21" spans="2:16">
      <c r="B21" s="195" t="str">
        <f t="shared" si="4"/>
        <v/>
      </c>
      <c r="C21" s="507">
        <f>IF(D11="","-",+C20+1)</f>
        <v>2019</v>
      </c>
      <c r="D21" s="631">
        <v>11013060.950287659</v>
      </c>
      <c r="E21" s="630">
        <v>293111.39024390245</v>
      </c>
      <c r="F21" s="631">
        <v>10719949.560043756</v>
      </c>
      <c r="G21" s="630">
        <v>1674180.0841483832</v>
      </c>
      <c r="H21" s="639">
        <v>1674180.0841483832</v>
      </c>
      <c r="I21" s="511">
        <f t="shared" si="3"/>
        <v>0</v>
      </c>
      <c r="J21" s="511"/>
      <c r="K21" s="518">
        <f t="shared" si="0"/>
        <v>1674180.0841483832</v>
      </c>
      <c r="L21" s="519">
        <f t="shared" si="1"/>
        <v>0</v>
      </c>
      <c r="M21" s="518">
        <f t="shared" si="2"/>
        <v>1674180.0841483832</v>
      </c>
      <c r="N21" s="514">
        <f t="shared" ref="N21:N72" si="5">IF(M21&lt;&gt;0,+H21-M21,0)</f>
        <v>0</v>
      </c>
      <c r="O21" s="514">
        <f t="shared" ref="O21:O72" si="6">+N21-L21</f>
        <v>0</v>
      </c>
      <c r="P21" s="272"/>
    </row>
    <row r="22" spans="2:16">
      <c r="B22" s="195" t="str">
        <f t="shared" si="4"/>
        <v/>
      </c>
      <c r="C22" s="507">
        <f>IF(D11="","-",+C21+1)</f>
        <v>2020</v>
      </c>
      <c r="D22" s="631">
        <v>10719949.560043756</v>
      </c>
      <c r="E22" s="630">
        <v>293111.39024390245</v>
      </c>
      <c r="F22" s="631">
        <v>10426838.169799853</v>
      </c>
      <c r="G22" s="630">
        <v>1375144.4653373505</v>
      </c>
      <c r="H22" s="639">
        <v>1375144.4653373505</v>
      </c>
      <c r="I22" s="511">
        <f t="shared" si="3"/>
        <v>0</v>
      </c>
      <c r="J22" s="511"/>
      <c r="K22" s="518">
        <f t="shared" si="0"/>
        <v>1375144.4653373505</v>
      </c>
      <c r="L22" s="519">
        <f t="shared" si="1"/>
        <v>0</v>
      </c>
      <c r="M22" s="518">
        <f t="shared" si="2"/>
        <v>1375144.4653373505</v>
      </c>
      <c r="N22" s="514">
        <f t="shared" si="5"/>
        <v>0</v>
      </c>
      <c r="O22" s="514">
        <f t="shared" si="6"/>
        <v>0</v>
      </c>
      <c r="P22" s="272"/>
    </row>
    <row r="23" spans="2:16">
      <c r="B23" s="195" t="str">
        <f t="shared" si="4"/>
        <v>IU</v>
      </c>
      <c r="C23" s="507">
        <f>IF(D11="","-",+C22+1)</f>
        <v>2021</v>
      </c>
      <c r="D23" s="631">
        <v>10440471.257718176</v>
      </c>
      <c r="E23" s="630">
        <v>286132.54761904763</v>
      </c>
      <c r="F23" s="631">
        <v>10154338.710099127</v>
      </c>
      <c r="G23" s="630">
        <v>1377704.2780579135</v>
      </c>
      <c r="H23" s="639">
        <v>1377704.2780579135</v>
      </c>
      <c r="I23" s="511">
        <f t="shared" si="3"/>
        <v>0</v>
      </c>
      <c r="J23" s="511"/>
      <c r="K23" s="518">
        <f t="shared" ref="K23" si="7">G23</f>
        <v>1377704.2780579135</v>
      </c>
      <c r="L23" s="519">
        <f t="shared" ref="L23" si="8">IF(K23&lt;&gt;0,+G23-K23,0)</f>
        <v>0</v>
      </c>
      <c r="M23" s="518">
        <f t="shared" ref="M23" si="9">H23</f>
        <v>1377704.2780579135</v>
      </c>
      <c r="N23" s="514">
        <f t="shared" si="5"/>
        <v>0</v>
      </c>
      <c r="O23" s="514">
        <f t="shared" si="6"/>
        <v>0</v>
      </c>
      <c r="P23" s="272"/>
    </row>
    <row r="24" spans="2:16">
      <c r="B24" s="195" t="str">
        <f t="shared" si="4"/>
        <v>IU</v>
      </c>
      <c r="C24" s="507">
        <f>IF(D11="","-",+C23+1)</f>
        <v>2022</v>
      </c>
      <c r="D24" s="631">
        <v>10140705.622180806</v>
      </c>
      <c r="E24" s="630">
        <v>286132.54761904763</v>
      </c>
      <c r="F24" s="631">
        <v>9854573.074561758</v>
      </c>
      <c r="G24" s="630">
        <v>1410308.0751093051</v>
      </c>
      <c r="H24" s="639">
        <v>1410308.0751093051</v>
      </c>
      <c r="I24" s="511">
        <f t="shared" si="3"/>
        <v>0</v>
      </c>
      <c r="J24" s="511"/>
      <c r="K24" s="518">
        <f t="shared" ref="K24" si="10">G24</f>
        <v>1410308.0751093051</v>
      </c>
      <c r="L24" s="519">
        <f t="shared" ref="L24" si="11">IF(K24&lt;&gt;0,+G24-K24,0)</f>
        <v>0</v>
      </c>
      <c r="M24" s="518">
        <f t="shared" ref="M24" si="12">H24</f>
        <v>1410308.0751093051</v>
      </c>
      <c r="N24" s="514">
        <f t="shared" si="5"/>
        <v>0</v>
      </c>
      <c r="O24" s="514">
        <f t="shared" si="6"/>
        <v>0</v>
      </c>
      <c r="P24" s="272"/>
    </row>
    <row r="25" spans="2:16">
      <c r="B25" s="195" t="str">
        <f t="shared" si="4"/>
        <v>IU</v>
      </c>
      <c r="C25" s="507">
        <f>IF(D11="","-",+C24+1)</f>
        <v>2023</v>
      </c>
      <c r="D25" s="631">
        <v>9854572.6745617613</v>
      </c>
      <c r="E25" s="630">
        <v>286132.53809523815</v>
      </c>
      <c r="F25" s="631">
        <v>9568440.1364665236</v>
      </c>
      <c r="G25" s="630">
        <v>1512955.948747413</v>
      </c>
      <c r="H25" s="639">
        <v>1512955.948747413</v>
      </c>
      <c r="I25" s="511">
        <f t="shared" si="3"/>
        <v>0</v>
      </c>
      <c r="J25" s="511"/>
      <c r="K25" s="518">
        <f t="shared" ref="K25" si="13">G25</f>
        <v>1512955.948747413</v>
      </c>
      <c r="L25" s="519">
        <f t="shared" ref="L25" si="14">IF(K25&lt;&gt;0,+G25-K25,0)</f>
        <v>0</v>
      </c>
      <c r="M25" s="518">
        <f t="shared" ref="M25" si="15">H25</f>
        <v>1512955.948747413</v>
      </c>
      <c r="N25" s="514">
        <f t="shared" ref="N25" si="16">IF(M25&lt;&gt;0,+H25-M25,0)</f>
        <v>0</v>
      </c>
      <c r="O25" s="514">
        <f t="shared" ref="O25" si="17">+N25-L25</f>
        <v>0</v>
      </c>
      <c r="P25" s="272"/>
    </row>
    <row r="26" spans="2:16">
      <c r="B26" s="195" t="str">
        <f t="shared" si="4"/>
        <v/>
      </c>
      <c r="C26" s="673">
        <f>IF(D11="","-",+C25+1)</f>
        <v>2024</v>
      </c>
      <c r="D26" s="523">
        <f>IF(F25+SUM(E$17:E25)=D$10,F25,D$10-SUM(E$17:E25))</f>
        <v>9568440.1364665236</v>
      </c>
      <c r="E26" s="522">
        <f t="shared" ref="E26:E72" si="18">IF(+$I$14&lt;F25,$I$14,D26)</f>
        <v>273126.51363636367</v>
      </c>
      <c r="F26" s="523">
        <f t="shared" ref="F26:F72" si="19">+D26-E26</f>
        <v>9295313.62283016</v>
      </c>
      <c r="G26" s="524">
        <f t="shared" ref="G26:G50" si="20">+I$12*((D26+F26)/2)+E26</f>
        <v>1400491.7031747443</v>
      </c>
      <c r="H26" s="491">
        <f t="shared" ref="H26:H50" si="21">+I$13*((D26+F26)/2)+E26</f>
        <v>1400491.7031747443</v>
      </c>
      <c r="I26" s="511">
        <f t="shared" si="3"/>
        <v>0</v>
      </c>
      <c r="J26" s="511"/>
      <c r="K26" s="525"/>
      <c r="L26" s="514">
        <f t="shared" ref="L26:L72" si="22">IF(K26&lt;&gt;0,+G26-K26,0)</f>
        <v>0</v>
      </c>
      <c r="M26" s="525"/>
      <c r="N26" s="514">
        <f t="shared" si="5"/>
        <v>0</v>
      </c>
      <c r="O26" s="514">
        <f t="shared" si="6"/>
        <v>0</v>
      </c>
      <c r="P26" s="272"/>
    </row>
    <row r="27" spans="2:16">
      <c r="B27" s="195" t="str">
        <f t="shared" si="4"/>
        <v/>
      </c>
      <c r="C27" s="507">
        <f>IF(D11="","-",+C26+1)</f>
        <v>2025</v>
      </c>
      <c r="D27" s="523">
        <f>IF(F26+SUM(E$17:E26)=D$10,F26,D$10-SUM(E$17:E26))</f>
        <v>9295313.62283016</v>
      </c>
      <c r="E27" s="522">
        <f t="shared" si="18"/>
        <v>273126.51363636367</v>
      </c>
      <c r="F27" s="523">
        <f t="shared" si="19"/>
        <v>9022187.1091937963</v>
      </c>
      <c r="G27" s="524">
        <f t="shared" si="20"/>
        <v>1367845.6744211225</v>
      </c>
      <c r="H27" s="491">
        <f t="shared" si="21"/>
        <v>1367845.6744211225</v>
      </c>
      <c r="I27" s="511">
        <f t="shared" si="3"/>
        <v>0</v>
      </c>
      <c r="J27" s="511"/>
      <c r="K27" s="525"/>
      <c r="L27" s="514">
        <f t="shared" si="22"/>
        <v>0</v>
      </c>
      <c r="M27" s="525"/>
      <c r="N27" s="514">
        <f t="shared" si="5"/>
        <v>0</v>
      </c>
      <c r="O27" s="514">
        <f t="shared" si="6"/>
        <v>0</v>
      </c>
      <c r="P27" s="272"/>
    </row>
    <row r="28" spans="2:16">
      <c r="B28" s="195" t="str">
        <f t="shared" si="4"/>
        <v/>
      </c>
      <c r="C28" s="507">
        <f>IF(D11="","-",+C27+1)</f>
        <v>2026</v>
      </c>
      <c r="D28" s="523">
        <f>IF(F27+SUM(E$17:E27)=D$10,F27,D$10-SUM(E$17:E27))</f>
        <v>9022187.1091937963</v>
      </c>
      <c r="E28" s="522">
        <f t="shared" si="18"/>
        <v>273126.51363636367</v>
      </c>
      <c r="F28" s="523">
        <f t="shared" si="19"/>
        <v>8749060.5955574326</v>
      </c>
      <c r="G28" s="524">
        <f t="shared" si="20"/>
        <v>1335199.6456675015</v>
      </c>
      <c r="H28" s="491">
        <f t="shared" si="21"/>
        <v>1335199.6456675015</v>
      </c>
      <c r="I28" s="511">
        <f t="shared" si="3"/>
        <v>0</v>
      </c>
      <c r="J28" s="511"/>
      <c r="K28" s="525"/>
      <c r="L28" s="514">
        <f t="shared" si="22"/>
        <v>0</v>
      </c>
      <c r="M28" s="525"/>
      <c r="N28" s="514">
        <f t="shared" si="5"/>
        <v>0</v>
      </c>
      <c r="O28" s="514">
        <f t="shared" si="6"/>
        <v>0</v>
      </c>
      <c r="P28" s="272"/>
    </row>
    <row r="29" spans="2:16">
      <c r="B29" s="195" t="str">
        <f t="shared" si="4"/>
        <v/>
      </c>
      <c r="C29" s="507">
        <f>IF(D11="","-",+C28+1)</f>
        <v>2027</v>
      </c>
      <c r="D29" s="523">
        <f>IF(F28+SUM(E$17:E28)=D$10,F28,D$10-SUM(E$17:E28))</f>
        <v>8749060.5955574326</v>
      </c>
      <c r="E29" s="522">
        <f t="shared" si="18"/>
        <v>273126.51363636367</v>
      </c>
      <c r="F29" s="523">
        <f t="shared" si="19"/>
        <v>8475934.081921069</v>
      </c>
      <c r="G29" s="524">
        <f t="shared" si="20"/>
        <v>1302553.6169138798</v>
      </c>
      <c r="H29" s="491">
        <f t="shared" si="21"/>
        <v>1302553.6169138798</v>
      </c>
      <c r="I29" s="511">
        <f t="shared" si="3"/>
        <v>0</v>
      </c>
      <c r="J29" s="511"/>
      <c r="K29" s="525"/>
      <c r="L29" s="514">
        <f t="shared" si="22"/>
        <v>0</v>
      </c>
      <c r="M29" s="525"/>
      <c r="N29" s="514">
        <f t="shared" si="5"/>
        <v>0</v>
      </c>
      <c r="O29" s="514">
        <f t="shared" si="6"/>
        <v>0</v>
      </c>
      <c r="P29" s="272"/>
    </row>
    <row r="30" spans="2:16">
      <c r="B30" s="195" t="str">
        <f t="shared" si="4"/>
        <v/>
      </c>
      <c r="C30" s="507">
        <f>IF(D11="","-",+C29+1)</f>
        <v>2028</v>
      </c>
      <c r="D30" s="523">
        <f>IF(F29+SUM(E$17:E29)=D$10,F29,D$10-SUM(E$17:E29))</f>
        <v>8475934.081921069</v>
      </c>
      <c r="E30" s="522">
        <f t="shared" si="18"/>
        <v>273126.51363636367</v>
      </c>
      <c r="F30" s="523">
        <f t="shared" si="19"/>
        <v>8202807.5682847053</v>
      </c>
      <c r="G30" s="524">
        <f t="shared" si="20"/>
        <v>1269907.5881602587</v>
      </c>
      <c r="H30" s="491">
        <f t="shared" si="21"/>
        <v>1269907.5881602587</v>
      </c>
      <c r="I30" s="511">
        <f t="shared" si="3"/>
        <v>0</v>
      </c>
      <c r="J30" s="511"/>
      <c r="K30" s="525"/>
      <c r="L30" s="514">
        <f t="shared" si="22"/>
        <v>0</v>
      </c>
      <c r="M30" s="525"/>
      <c r="N30" s="514">
        <f t="shared" si="5"/>
        <v>0</v>
      </c>
      <c r="O30" s="514">
        <f t="shared" si="6"/>
        <v>0</v>
      </c>
      <c r="P30" s="272"/>
    </row>
    <row r="31" spans="2:16">
      <c r="B31" s="195" t="str">
        <f t="shared" si="4"/>
        <v/>
      </c>
      <c r="C31" s="507">
        <f>IF(D11="","-",+C30+1)</f>
        <v>2029</v>
      </c>
      <c r="D31" s="523">
        <f>IF(F30+SUM(E$17:E30)=D$10,F30,D$10-SUM(E$17:E30))</f>
        <v>8202807.5682847053</v>
      </c>
      <c r="E31" s="522">
        <f t="shared" si="18"/>
        <v>273126.51363636367</v>
      </c>
      <c r="F31" s="523">
        <f t="shared" si="19"/>
        <v>7929681.0546483416</v>
      </c>
      <c r="G31" s="524">
        <f t="shared" si="20"/>
        <v>1237261.5594066372</v>
      </c>
      <c r="H31" s="491">
        <f t="shared" si="21"/>
        <v>1237261.5594066372</v>
      </c>
      <c r="I31" s="511">
        <f t="shared" si="3"/>
        <v>0</v>
      </c>
      <c r="J31" s="511"/>
      <c r="K31" s="525"/>
      <c r="L31" s="514">
        <f t="shared" si="22"/>
        <v>0</v>
      </c>
      <c r="M31" s="525"/>
      <c r="N31" s="514">
        <f t="shared" si="5"/>
        <v>0</v>
      </c>
      <c r="O31" s="514">
        <f t="shared" si="6"/>
        <v>0</v>
      </c>
      <c r="P31" s="272"/>
    </row>
    <row r="32" spans="2:16">
      <c r="B32" s="195" t="str">
        <f t="shared" si="4"/>
        <v/>
      </c>
      <c r="C32" s="507">
        <f>IF(D11="","-",+C31+1)</f>
        <v>2030</v>
      </c>
      <c r="D32" s="523">
        <f>IF(F31+SUM(E$17:E31)=D$10,F31,D$10-SUM(E$17:E31))</f>
        <v>7929681.0546483416</v>
      </c>
      <c r="E32" s="522">
        <f t="shared" si="18"/>
        <v>273126.51363636367</v>
      </c>
      <c r="F32" s="523">
        <f t="shared" si="19"/>
        <v>7656554.5410119779</v>
      </c>
      <c r="G32" s="524">
        <f t="shared" si="20"/>
        <v>1204615.5306530159</v>
      </c>
      <c r="H32" s="491">
        <f t="shared" si="21"/>
        <v>1204615.5306530159</v>
      </c>
      <c r="I32" s="511">
        <f t="shared" si="3"/>
        <v>0</v>
      </c>
      <c r="J32" s="511"/>
      <c r="K32" s="525"/>
      <c r="L32" s="514">
        <f t="shared" si="22"/>
        <v>0</v>
      </c>
      <c r="M32" s="525"/>
      <c r="N32" s="514">
        <f t="shared" si="5"/>
        <v>0</v>
      </c>
      <c r="O32" s="514">
        <f t="shared" si="6"/>
        <v>0</v>
      </c>
      <c r="P32" s="272"/>
    </row>
    <row r="33" spans="2:16">
      <c r="B33" s="195" t="str">
        <f t="shared" si="4"/>
        <v/>
      </c>
      <c r="C33" s="507">
        <f>IF(D11="","-",+C32+1)</f>
        <v>2031</v>
      </c>
      <c r="D33" s="523">
        <f>IF(F32+SUM(E$17:E32)=D$10,F32,D$10-SUM(E$17:E32))</f>
        <v>7656554.5410119779</v>
      </c>
      <c r="E33" s="522">
        <f t="shared" si="18"/>
        <v>273126.51363636367</v>
      </c>
      <c r="F33" s="523">
        <f t="shared" si="19"/>
        <v>7383428.0273756143</v>
      </c>
      <c r="G33" s="524">
        <f t="shared" si="20"/>
        <v>1171969.5018993947</v>
      </c>
      <c r="H33" s="491">
        <f t="shared" si="21"/>
        <v>1171969.5018993947</v>
      </c>
      <c r="I33" s="511">
        <f t="shared" si="3"/>
        <v>0</v>
      </c>
      <c r="J33" s="511"/>
      <c r="K33" s="525"/>
      <c r="L33" s="514">
        <f t="shared" si="22"/>
        <v>0</v>
      </c>
      <c r="M33" s="525"/>
      <c r="N33" s="514">
        <f t="shared" si="5"/>
        <v>0</v>
      </c>
      <c r="O33" s="514">
        <f t="shared" si="6"/>
        <v>0</v>
      </c>
      <c r="P33" s="272"/>
    </row>
    <row r="34" spans="2:16">
      <c r="B34" s="195" t="str">
        <f t="shared" si="4"/>
        <v/>
      </c>
      <c r="C34" s="507">
        <f>IF(D11="","-",+C33+1)</f>
        <v>2032</v>
      </c>
      <c r="D34" s="523">
        <f>IF(F33+SUM(E$17:E33)=D$10,F33,D$10-SUM(E$17:E33))</f>
        <v>7383428.0273756143</v>
      </c>
      <c r="E34" s="522">
        <f t="shared" si="18"/>
        <v>273126.51363636367</v>
      </c>
      <c r="F34" s="523">
        <f t="shared" si="19"/>
        <v>7110301.5137392506</v>
      </c>
      <c r="G34" s="524">
        <f t="shared" si="20"/>
        <v>1139323.4731457732</v>
      </c>
      <c r="H34" s="491">
        <f t="shared" si="21"/>
        <v>1139323.4731457732</v>
      </c>
      <c r="I34" s="511">
        <f t="shared" si="3"/>
        <v>0</v>
      </c>
      <c r="J34" s="511"/>
      <c r="K34" s="525"/>
      <c r="L34" s="514">
        <f t="shared" si="22"/>
        <v>0</v>
      </c>
      <c r="M34" s="525"/>
      <c r="N34" s="514">
        <f t="shared" si="5"/>
        <v>0</v>
      </c>
      <c r="O34" s="514">
        <f t="shared" si="6"/>
        <v>0</v>
      </c>
      <c r="P34" s="272"/>
    </row>
    <row r="35" spans="2:16">
      <c r="B35" s="195" t="str">
        <f t="shared" si="4"/>
        <v/>
      </c>
      <c r="C35" s="507">
        <f>IF(D11="","-",+C34+1)</f>
        <v>2033</v>
      </c>
      <c r="D35" s="523">
        <f>IF(F34+SUM(E$17:E34)=D$10,F34,D$10-SUM(E$17:E34))</f>
        <v>7110301.5137392506</v>
      </c>
      <c r="E35" s="522">
        <f t="shared" si="18"/>
        <v>273126.51363636367</v>
      </c>
      <c r="F35" s="523">
        <f t="shared" si="19"/>
        <v>6837175.0001028869</v>
      </c>
      <c r="G35" s="524">
        <f t="shared" si="20"/>
        <v>1106677.4443921519</v>
      </c>
      <c r="H35" s="491">
        <f t="shared" si="21"/>
        <v>1106677.4443921519</v>
      </c>
      <c r="I35" s="511">
        <f t="shared" si="3"/>
        <v>0</v>
      </c>
      <c r="J35" s="511"/>
      <c r="K35" s="525"/>
      <c r="L35" s="514">
        <f t="shared" si="22"/>
        <v>0</v>
      </c>
      <c r="M35" s="525"/>
      <c r="N35" s="514">
        <f t="shared" si="5"/>
        <v>0</v>
      </c>
      <c r="O35" s="514">
        <f t="shared" si="6"/>
        <v>0</v>
      </c>
      <c r="P35" s="272"/>
    </row>
    <row r="36" spans="2:16">
      <c r="B36" s="195" t="str">
        <f t="shared" si="4"/>
        <v/>
      </c>
      <c r="C36" s="507">
        <f>IF(D11="","-",+C35+1)</f>
        <v>2034</v>
      </c>
      <c r="D36" s="523">
        <f>IF(F35+SUM(E$17:E35)=D$10,F35,D$10-SUM(E$17:E35))</f>
        <v>6837175.0001028869</v>
      </c>
      <c r="E36" s="522">
        <f t="shared" si="18"/>
        <v>273126.51363636367</v>
      </c>
      <c r="F36" s="523">
        <f t="shared" si="19"/>
        <v>6564048.4864665233</v>
      </c>
      <c r="G36" s="524">
        <f t="shared" si="20"/>
        <v>1074031.4156385306</v>
      </c>
      <c r="H36" s="491">
        <f t="shared" si="21"/>
        <v>1074031.4156385306</v>
      </c>
      <c r="I36" s="511">
        <f t="shared" si="3"/>
        <v>0</v>
      </c>
      <c r="J36" s="511"/>
      <c r="K36" s="525"/>
      <c r="L36" s="514">
        <f t="shared" si="22"/>
        <v>0</v>
      </c>
      <c r="M36" s="525"/>
      <c r="N36" s="514">
        <f t="shared" si="5"/>
        <v>0</v>
      </c>
      <c r="O36" s="514">
        <f t="shared" si="6"/>
        <v>0</v>
      </c>
      <c r="P36" s="272"/>
    </row>
    <row r="37" spans="2:16">
      <c r="B37" s="195" t="str">
        <f t="shared" si="4"/>
        <v/>
      </c>
      <c r="C37" s="507">
        <f>IF(D11="","-",+C36+1)</f>
        <v>2035</v>
      </c>
      <c r="D37" s="523">
        <f>IF(F36+SUM(E$17:E36)=D$10,F36,D$10-SUM(E$17:E36))</f>
        <v>6564048.4864665233</v>
      </c>
      <c r="E37" s="522">
        <f t="shared" si="18"/>
        <v>273126.51363636367</v>
      </c>
      <c r="F37" s="523">
        <f t="shared" si="19"/>
        <v>6290921.9728301596</v>
      </c>
      <c r="G37" s="524">
        <f t="shared" si="20"/>
        <v>1041385.3868849092</v>
      </c>
      <c r="H37" s="491">
        <f t="shared" si="21"/>
        <v>1041385.3868849092</v>
      </c>
      <c r="I37" s="511">
        <f t="shared" si="3"/>
        <v>0</v>
      </c>
      <c r="J37" s="511"/>
      <c r="K37" s="525"/>
      <c r="L37" s="514">
        <f t="shared" si="22"/>
        <v>0</v>
      </c>
      <c r="M37" s="525"/>
      <c r="N37" s="514">
        <f t="shared" si="5"/>
        <v>0</v>
      </c>
      <c r="O37" s="514">
        <f t="shared" si="6"/>
        <v>0</v>
      </c>
      <c r="P37" s="272"/>
    </row>
    <row r="38" spans="2:16">
      <c r="B38" s="195" t="str">
        <f t="shared" si="4"/>
        <v/>
      </c>
      <c r="C38" s="507">
        <f>IF(D11="","-",+C37+1)</f>
        <v>2036</v>
      </c>
      <c r="D38" s="523">
        <f>IF(F37+SUM(E$17:E37)=D$10,F37,D$10-SUM(E$17:E37))</f>
        <v>6290921.9728301596</v>
      </c>
      <c r="E38" s="522">
        <f t="shared" si="18"/>
        <v>273126.51363636367</v>
      </c>
      <c r="F38" s="523">
        <f t="shared" si="19"/>
        <v>6017795.4591937959</v>
      </c>
      <c r="G38" s="524">
        <f t="shared" si="20"/>
        <v>1008739.3581312879</v>
      </c>
      <c r="H38" s="491">
        <f t="shared" si="21"/>
        <v>1008739.3581312879</v>
      </c>
      <c r="I38" s="511">
        <f t="shared" si="3"/>
        <v>0</v>
      </c>
      <c r="J38" s="511"/>
      <c r="K38" s="525"/>
      <c r="L38" s="514">
        <f t="shared" si="22"/>
        <v>0</v>
      </c>
      <c r="M38" s="525"/>
      <c r="N38" s="514">
        <f t="shared" si="5"/>
        <v>0</v>
      </c>
      <c r="O38" s="514">
        <f t="shared" si="6"/>
        <v>0</v>
      </c>
      <c r="P38" s="272"/>
    </row>
    <row r="39" spans="2:16">
      <c r="B39" s="195" t="str">
        <f t="shared" si="4"/>
        <v/>
      </c>
      <c r="C39" s="507">
        <f>IF(D11="","-",+C38+1)</f>
        <v>2037</v>
      </c>
      <c r="D39" s="523">
        <f>IF(F38+SUM(E$17:E38)=D$10,F38,D$10-SUM(E$17:E38))</f>
        <v>6017795.4591937959</v>
      </c>
      <c r="E39" s="522">
        <f t="shared" si="18"/>
        <v>273126.51363636367</v>
      </c>
      <c r="F39" s="523">
        <f t="shared" si="19"/>
        <v>5744668.9455574322</v>
      </c>
      <c r="G39" s="524">
        <f t="shared" si="20"/>
        <v>976093.32937766658</v>
      </c>
      <c r="H39" s="491">
        <f t="shared" si="21"/>
        <v>976093.32937766658</v>
      </c>
      <c r="I39" s="511">
        <f t="shared" si="3"/>
        <v>0</v>
      </c>
      <c r="J39" s="511"/>
      <c r="K39" s="525"/>
      <c r="L39" s="514">
        <f t="shared" si="22"/>
        <v>0</v>
      </c>
      <c r="M39" s="525"/>
      <c r="N39" s="514">
        <f t="shared" si="5"/>
        <v>0</v>
      </c>
      <c r="O39" s="514">
        <f t="shared" si="6"/>
        <v>0</v>
      </c>
      <c r="P39" s="272"/>
    </row>
    <row r="40" spans="2:16">
      <c r="B40" s="195" t="str">
        <f t="shared" si="4"/>
        <v/>
      </c>
      <c r="C40" s="507">
        <f>IF(D11="","-",+C39+1)</f>
        <v>2038</v>
      </c>
      <c r="D40" s="523">
        <f>IF(F39+SUM(E$17:E39)=D$10,F39,D$10-SUM(E$17:E39))</f>
        <v>5744668.9455574322</v>
      </c>
      <c r="E40" s="522">
        <f t="shared" si="18"/>
        <v>273126.51363636367</v>
      </c>
      <c r="F40" s="523">
        <f t="shared" si="19"/>
        <v>5471542.4319210686</v>
      </c>
      <c r="G40" s="524">
        <f t="shared" si="20"/>
        <v>943447.30062404519</v>
      </c>
      <c r="H40" s="491">
        <f t="shared" si="21"/>
        <v>943447.30062404519</v>
      </c>
      <c r="I40" s="511">
        <f t="shared" si="3"/>
        <v>0</v>
      </c>
      <c r="J40" s="511"/>
      <c r="K40" s="525"/>
      <c r="L40" s="514">
        <f t="shared" si="22"/>
        <v>0</v>
      </c>
      <c r="M40" s="525"/>
      <c r="N40" s="514">
        <f t="shared" si="5"/>
        <v>0</v>
      </c>
      <c r="O40" s="514">
        <f t="shared" si="6"/>
        <v>0</v>
      </c>
      <c r="P40" s="272"/>
    </row>
    <row r="41" spans="2:16">
      <c r="B41" s="195" t="str">
        <f t="shared" si="4"/>
        <v/>
      </c>
      <c r="C41" s="507">
        <f>IF(D11="","-",+C40+1)</f>
        <v>2039</v>
      </c>
      <c r="D41" s="523">
        <f>IF(F40+SUM(E$17:E40)=D$10,F40,D$10-SUM(E$17:E40))</f>
        <v>5471542.4319210686</v>
      </c>
      <c r="E41" s="522">
        <f t="shared" si="18"/>
        <v>273126.51363636367</v>
      </c>
      <c r="F41" s="523">
        <f t="shared" si="19"/>
        <v>5198415.9182847049</v>
      </c>
      <c r="G41" s="524">
        <f t="shared" si="20"/>
        <v>910801.27187042381</v>
      </c>
      <c r="H41" s="491">
        <f t="shared" si="21"/>
        <v>910801.27187042381</v>
      </c>
      <c r="I41" s="511">
        <f t="shared" si="3"/>
        <v>0</v>
      </c>
      <c r="J41" s="511"/>
      <c r="K41" s="525"/>
      <c r="L41" s="514">
        <f t="shared" si="22"/>
        <v>0</v>
      </c>
      <c r="M41" s="525"/>
      <c r="N41" s="514">
        <f t="shared" si="5"/>
        <v>0</v>
      </c>
      <c r="O41" s="514">
        <f t="shared" si="6"/>
        <v>0</v>
      </c>
      <c r="P41" s="272"/>
    </row>
    <row r="42" spans="2:16">
      <c r="B42" s="195" t="str">
        <f t="shared" si="4"/>
        <v/>
      </c>
      <c r="C42" s="507">
        <f>IF(D11="","-",+C41+1)</f>
        <v>2040</v>
      </c>
      <c r="D42" s="523">
        <f>IF(F41+SUM(E$17:E41)=D$10,F41,D$10-SUM(E$17:E41))</f>
        <v>5198415.9182847049</v>
      </c>
      <c r="E42" s="522">
        <f t="shared" si="18"/>
        <v>273126.51363636367</v>
      </c>
      <c r="F42" s="523">
        <f t="shared" si="19"/>
        <v>4925289.4046483412</v>
      </c>
      <c r="G42" s="524">
        <f t="shared" si="20"/>
        <v>878155.24311680254</v>
      </c>
      <c r="H42" s="491">
        <f t="shared" si="21"/>
        <v>878155.24311680254</v>
      </c>
      <c r="I42" s="511">
        <f t="shared" si="3"/>
        <v>0</v>
      </c>
      <c r="J42" s="511"/>
      <c r="K42" s="525"/>
      <c r="L42" s="514">
        <f t="shared" si="22"/>
        <v>0</v>
      </c>
      <c r="M42" s="525"/>
      <c r="N42" s="514">
        <f t="shared" si="5"/>
        <v>0</v>
      </c>
      <c r="O42" s="514">
        <f t="shared" si="6"/>
        <v>0</v>
      </c>
      <c r="P42" s="272"/>
    </row>
    <row r="43" spans="2:16">
      <c r="B43" s="195" t="str">
        <f t="shared" si="4"/>
        <v/>
      </c>
      <c r="C43" s="507">
        <f>IF(D11="","-",+C42+1)</f>
        <v>2041</v>
      </c>
      <c r="D43" s="523">
        <f>IF(F42+SUM(E$17:E42)=D$10,F42,D$10-SUM(E$17:E42))</f>
        <v>4925289.4046483412</v>
      </c>
      <c r="E43" s="522">
        <f t="shared" si="18"/>
        <v>273126.51363636367</v>
      </c>
      <c r="F43" s="523">
        <f t="shared" si="19"/>
        <v>4652162.8910119776</v>
      </c>
      <c r="G43" s="524">
        <f t="shared" si="20"/>
        <v>845509.21436318115</v>
      </c>
      <c r="H43" s="491">
        <f t="shared" si="21"/>
        <v>845509.21436318115</v>
      </c>
      <c r="I43" s="511">
        <f t="shared" si="3"/>
        <v>0</v>
      </c>
      <c r="J43" s="511"/>
      <c r="K43" s="525"/>
      <c r="L43" s="514">
        <f t="shared" si="22"/>
        <v>0</v>
      </c>
      <c r="M43" s="525"/>
      <c r="N43" s="514">
        <f t="shared" si="5"/>
        <v>0</v>
      </c>
      <c r="O43" s="514">
        <f t="shared" si="6"/>
        <v>0</v>
      </c>
      <c r="P43" s="272"/>
    </row>
    <row r="44" spans="2:16">
      <c r="B44" s="195" t="str">
        <f t="shared" si="4"/>
        <v/>
      </c>
      <c r="C44" s="507">
        <f>IF(D11="","-",+C43+1)</f>
        <v>2042</v>
      </c>
      <c r="D44" s="523">
        <f>IF(F43+SUM(E$17:E43)=D$10,F43,D$10-SUM(E$17:E43))</f>
        <v>4652162.8910119776</v>
      </c>
      <c r="E44" s="522">
        <f t="shared" si="18"/>
        <v>273126.51363636367</v>
      </c>
      <c r="F44" s="523">
        <f t="shared" si="19"/>
        <v>4379036.3773756139</v>
      </c>
      <c r="G44" s="524">
        <f t="shared" si="20"/>
        <v>812863.18560955976</v>
      </c>
      <c r="H44" s="491">
        <f t="shared" si="21"/>
        <v>812863.18560955976</v>
      </c>
      <c r="I44" s="511">
        <f t="shared" si="3"/>
        <v>0</v>
      </c>
      <c r="J44" s="511"/>
      <c r="K44" s="525"/>
      <c r="L44" s="514">
        <f t="shared" si="22"/>
        <v>0</v>
      </c>
      <c r="M44" s="525"/>
      <c r="N44" s="514">
        <f t="shared" si="5"/>
        <v>0</v>
      </c>
      <c r="O44" s="514">
        <f t="shared" si="6"/>
        <v>0</v>
      </c>
      <c r="P44" s="272"/>
    </row>
    <row r="45" spans="2:16">
      <c r="B45" s="195" t="str">
        <f t="shared" si="4"/>
        <v/>
      </c>
      <c r="C45" s="507">
        <f>IF(D11="","-",+C44+1)</f>
        <v>2043</v>
      </c>
      <c r="D45" s="523">
        <f>IF(F44+SUM(E$17:E44)=D$10,F44,D$10-SUM(E$17:E44))</f>
        <v>4379036.3773756139</v>
      </c>
      <c r="E45" s="522">
        <f t="shared" si="18"/>
        <v>273126.51363636367</v>
      </c>
      <c r="F45" s="523">
        <f t="shared" si="19"/>
        <v>4105909.8637392502</v>
      </c>
      <c r="G45" s="524">
        <f t="shared" si="20"/>
        <v>780217.15685593849</v>
      </c>
      <c r="H45" s="491">
        <f t="shared" si="21"/>
        <v>780217.15685593849</v>
      </c>
      <c r="I45" s="511">
        <f t="shared" si="3"/>
        <v>0</v>
      </c>
      <c r="J45" s="511"/>
      <c r="K45" s="525"/>
      <c r="L45" s="514">
        <f t="shared" si="22"/>
        <v>0</v>
      </c>
      <c r="M45" s="525"/>
      <c r="N45" s="514">
        <f t="shared" si="5"/>
        <v>0</v>
      </c>
      <c r="O45" s="514">
        <f t="shared" si="6"/>
        <v>0</v>
      </c>
      <c r="P45" s="272"/>
    </row>
    <row r="46" spans="2:16">
      <c r="B46" s="195" t="str">
        <f t="shared" si="4"/>
        <v/>
      </c>
      <c r="C46" s="507">
        <f>IF(D11="","-",+C45+1)</f>
        <v>2044</v>
      </c>
      <c r="D46" s="523">
        <f>IF(F45+SUM(E$17:E45)=D$10,F45,D$10-SUM(E$17:E45))</f>
        <v>4105909.8637392502</v>
      </c>
      <c r="E46" s="522">
        <f t="shared" si="18"/>
        <v>273126.51363636367</v>
      </c>
      <c r="F46" s="523">
        <f t="shared" si="19"/>
        <v>3832783.3501028866</v>
      </c>
      <c r="G46" s="524">
        <f t="shared" si="20"/>
        <v>747571.1281023171</v>
      </c>
      <c r="H46" s="491">
        <f t="shared" si="21"/>
        <v>747571.1281023171</v>
      </c>
      <c r="I46" s="511">
        <f t="shared" si="3"/>
        <v>0</v>
      </c>
      <c r="J46" s="511"/>
      <c r="K46" s="525"/>
      <c r="L46" s="514">
        <f t="shared" si="22"/>
        <v>0</v>
      </c>
      <c r="M46" s="525"/>
      <c r="N46" s="514">
        <f t="shared" si="5"/>
        <v>0</v>
      </c>
      <c r="O46" s="514">
        <f t="shared" si="6"/>
        <v>0</v>
      </c>
      <c r="P46" s="272"/>
    </row>
    <row r="47" spans="2:16">
      <c r="B47" s="195" t="str">
        <f t="shared" si="4"/>
        <v/>
      </c>
      <c r="C47" s="507">
        <f>IF(D11="","-",+C46+1)</f>
        <v>2045</v>
      </c>
      <c r="D47" s="523">
        <f>IF(F46+SUM(E$17:E46)=D$10,F46,D$10-SUM(E$17:E46))</f>
        <v>3832783.3501028866</v>
      </c>
      <c r="E47" s="522">
        <f t="shared" si="18"/>
        <v>273126.51363636367</v>
      </c>
      <c r="F47" s="523">
        <f t="shared" si="19"/>
        <v>3559656.8364665229</v>
      </c>
      <c r="G47" s="524">
        <f t="shared" si="20"/>
        <v>714925.09934869572</v>
      </c>
      <c r="H47" s="491">
        <f t="shared" si="21"/>
        <v>714925.09934869572</v>
      </c>
      <c r="I47" s="511">
        <f t="shared" si="3"/>
        <v>0</v>
      </c>
      <c r="J47" s="511"/>
      <c r="K47" s="525"/>
      <c r="L47" s="514">
        <f t="shared" si="22"/>
        <v>0</v>
      </c>
      <c r="M47" s="525"/>
      <c r="N47" s="514">
        <f t="shared" si="5"/>
        <v>0</v>
      </c>
      <c r="O47" s="514">
        <f t="shared" si="6"/>
        <v>0</v>
      </c>
      <c r="P47" s="272"/>
    </row>
    <row r="48" spans="2:16">
      <c r="B48" s="195" t="str">
        <f t="shared" si="4"/>
        <v/>
      </c>
      <c r="C48" s="507">
        <f>IF(D11="","-",+C47+1)</f>
        <v>2046</v>
      </c>
      <c r="D48" s="523">
        <f>IF(F47+SUM(E$17:E47)=D$10,F47,D$10-SUM(E$17:E47))</f>
        <v>3559656.8364665229</v>
      </c>
      <c r="E48" s="522">
        <f t="shared" si="18"/>
        <v>273126.51363636367</v>
      </c>
      <c r="F48" s="523">
        <f t="shared" si="19"/>
        <v>3286530.3228301592</v>
      </c>
      <c r="G48" s="524">
        <f t="shared" si="20"/>
        <v>682279.07059507445</v>
      </c>
      <c r="H48" s="491">
        <f t="shared" si="21"/>
        <v>682279.07059507445</v>
      </c>
      <c r="I48" s="511">
        <f t="shared" si="3"/>
        <v>0</v>
      </c>
      <c r="J48" s="511"/>
      <c r="K48" s="525"/>
      <c r="L48" s="514">
        <f t="shared" si="22"/>
        <v>0</v>
      </c>
      <c r="M48" s="525"/>
      <c r="N48" s="514">
        <f t="shared" si="5"/>
        <v>0</v>
      </c>
      <c r="O48" s="514">
        <f t="shared" si="6"/>
        <v>0</v>
      </c>
      <c r="P48" s="272"/>
    </row>
    <row r="49" spans="2:16">
      <c r="B49" s="195" t="str">
        <f t="shared" si="4"/>
        <v/>
      </c>
      <c r="C49" s="507">
        <f>IF(D11="","-",+C48+1)</f>
        <v>2047</v>
      </c>
      <c r="D49" s="523">
        <f>IF(F48+SUM(E$17:E48)=D$10,F48,D$10-SUM(E$17:E48))</f>
        <v>3286530.3228301592</v>
      </c>
      <c r="E49" s="522">
        <f t="shared" si="18"/>
        <v>273126.51363636367</v>
      </c>
      <c r="F49" s="523">
        <f t="shared" si="19"/>
        <v>3013403.8091937955</v>
      </c>
      <c r="G49" s="524">
        <f t="shared" si="20"/>
        <v>649633.04184145306</v>
      </c>
      <c r="H49" s="491">
        <f t="shared" si="21"/>
        <v>649633.04184145306</v>
      </c>
      <c r="I49" s="511">
        <f t="shared" si="3"/>
        <v>0</v>
      </c>
      <c r="J49" s="511"/>
      <c r="K49" s="525"/>
      <c r="L49" s="514">
        <f t="shared" si="22"/>
        <v>0</v>
      </c>
      <c r="M49" s="525"/>
      <c r="N49" s="514">
        <f t="shared" si="5"/>
        <v>0</v>
      </c>
      <c r="O49" s="514">
        <f t="shared" si="6"/>
        <v>0</v>
      </c>
      <c r="P49" s="272"/>
    </row>
    <row r="50" spans="2:16">
      <c r="B50" s="195" t="str">
        <f t="shared" si="4"/>
        <v/>
      </c>
      <c r="C50" s="507">
        <f>IF(D11="","-",+C49+1)</f>
        <v>2048</v>
      </c>
      <c r="D50" s="523">
        <f>IF(F49+SUM(E$17:E49)=D$10,F49,D$10-SUM(E$17:E49))</f>
        <v>3013403.8091937955</v>
      </c>
      <c r="E50" s="522">
        <f t="shared" si="18"/>
        <v>273126.51363636367</v>
      </c>
      <c r="F50" s="523">
        <f t="shared" si="19"/>
        <v>2740277.2955574319</v>
      </c>
      <c r="G50" s="524">
        <f t="shared" si="20"/>
        <v>616987.01308783167</v>
      </c>
      <c r="H50" s="491">
        <f t="shared" si="21"/>
        <v>616987.01308783167</v>
      </c>
      <c r="I50" s="511">
        <f t="shared" si="3"/>
        <v>0</v>
      </c>
      <c r="J50" s="511"/>
      <c r="K50" s="525"/>
      <c r="L50" s="514">
        <f t="shared" si="22"/>
        <v>0</v>
      </c>
      <c r="M50" s="525"/>
      <c r="N50" s="514">
        <f t="shared" si="5"/>
        <v>0</v>
      </c>
      <c r="O50" s="514">
        <f t="shared" si="6"/>
        <v>0</v>
      </c>
      <c r="P50" s="272"/>
    </row>
    <row r="51" spans="2:16">
      <c r="B51" s="195" t="str">
        <f t="shared" si="4"/>
        <v/>
      </c>
      <c r="C51" s="507">
        <f>IF(D11="","-",+C50+1)</f>
        <v>2049</v>
      </c>
      <c r="D51" s="523">
        <f>IF(F50+SUM(E$17:E50)=D$10,F50,D$10-SUM(E$17:E50))</f>
        <v>2740277.2955574319</v>
      </c>
      <c r="E51" s="522">
        <f t="shared" si="18"/>
        <v>273126.51363636367</v>
      </c>
      <c r="F51" s="523">
        <f t="shared" si="19"/>
        <v>2467150.7819210682</v>
      </c>
      <c r="G51" s="524">
        <f t="shared" ref="G51:G72" si="23">+I$12*((D51+F51)/2)+E51</f>
        <v>584340.9843342104</v>
      </c>
      <c r="H51" s="491">
        <f t="shared" ref="H51:H72" si="24">+I$13*((D51+F51)/2)+E51</f>
        <v>584340.9843342104</v>
      </c>
      <c r="I51" s="511">
        <f t="shared" si="3"/>
        <v>0</v>
      </c>
      <c r="J51" s="511"/>
      <c r="K51" s="525"/>
      <c r="L51" s="514">
        <f t="shared" si="22"/>
        <v>0</v>
      </c>
      <c r="M51" s="525"/>
      <c r="N51" s="514">
        <f t="shared" si="5"/>
        <v>0</v>
      </c>
      <c r="O51" s="514">
        <f t="shared" si="6"/>
        <v>0</v>
      </c>
      <c r="P51" s="272"/>
    </row>
    <row r="52" spans="2:16">
      <c r="B52" s="195" t="str">
        <f t="shared" si="4"/>
        <v/>
      </c>
      <c r="C52" s="507">
        <f>IF(D11="","-",+C51+1)</f>
        <v>2050</v>
      </c>
      <c r="D52" s="523">
        <f>IF(F51+SUM(E$17:E51)=D$10,F51,D$10-SUM(E$17:E51))</f>
        <v>2467150.7819210682</v>
      </c>
      <c r="E52" s="522">
        <f t="shared" si="18"/>
        <v>273126.51363636367</v>
      </c>
      <c r="F52" s="523">
        <f t="shared" si="19"/>
        <v>2194024.2682847045</v>
      </c>
      <c r="G52" s="524">
        <f t="shared" si="23"/>
        <v>551694.95558058901</v>
      </c>
      <c r="H52" s="491">
        <f t="shared" si="24"/>
        <v>551694.95558058901</v>
      </c>
      <c r="I52" s="511">
        <f t="shared" si="3"/>
        <v>0</v>
      </c>
      <c r="J52" s="511"/>
      <c r="K52" s="525"/>
      <c r="L52" s="514">
        <f t="shared" si="22"/>
        <v>0</v>
      </c>
      <c r="M52" s="525"/>
      <c r="N52" s="514">
        <f t="shared" si="5"/>
        <v>0</v>
      </c>
      <c r="O52" s="514">
        <f t="shared" si="6"/>
        <v>0</v>
      </c>
      <c r="P52" s="272"/>
    </row>
    <row r="53" spans="2:16">
      <c r="B53" s="195" t="str">
        <f t="shared" si="4"/>
        <v/>
      </c>
      <c r="C53" s="507">
        <f>IF(D11="","-",+C52+1)</f>
        <v>2051</v>
      </c>
      <c r="D53" s="523">
        <f>IF(F52+SUM(E$17:E52)=D$10,F52,D$10-SUM(E$17:E52))</f>
        <v>2194024.2682847045</v>
      </c>
      <c r="E53" s="522">
        <f t="shared" si="18"/>
        <v>273126.51363636367</v>
      </c>
      <c r="F53" s="523">
        <f t="shared" si="19"/>
        <v>1920897.7546483409</v>
      </c>
      <c r="G53" s="524">
        <f t="shared" si="23"/>
        <v>519048.92682696762</v>
      </c>
      <c r="H53" s="491">
        <f t="shared" si="24"/>
        <v>519048.92682696762</v>
      </c>
      <c r="I53" s="511">
        <f t="shared" si="3"/>
        <v>0</v>
      </c>
      <c r="J53" s="511"/>
      <c r="K53" s="525"/>
      <c r="L53" s="514">
        <f t="shared" si="22"/>
        <v>0</v>
      </c>
      <c r="M53" s="525"/>
      <c r="N53" s="514">
        <f t="shared" si="5"/>
        <v>0</v>
      </c>
      <c r="O53" s="514">
        <f t="shared" si="6"/>
        <v>0</v>
      </c>
      <c r="P53" s="272"/>
    </row>
    <row r="54" spans="2:16">
      <c r="B54" s="195" t="str">
        <f t="shared" si="4"/>
        <v/>
      </c>
      <c r="C54" s="507">
        <f>IF(D11="","-",+C53+1)</f>
        <v>2052</v>
      </c>
      <c r="D54" s="523">
        <f>IF(F53+SUM(E$17:E53)=D$10,F53,D$10-SUM(E$17:E53))</f>
        <v>1920897.7546483409</v>
      </c>
      <c r="E54" s="522">
        <f t="shared" si="18"/>
        <v>273126.51363636367</v>
      </c>
      <c r="F54" s="523">
        <f t="shared" si="19"/>
        <v>1647771.2410119772</v>
      </c>
      <c r="G54" s="524">
        <f t="shared" si="23"/>
        <v>486402.89807334635</v>
      </c>
      <c r="H54" s="491">
        <f t="shared" si="24"/>
        <v>486402.89807334635</v>
      </c>
      <c r="I54" s="511">
        <f t="shared" si="3"/>
        <v>0</v>
      </c>
      <c r="J54" s="511"/>
      <c r="K54" s="525"/>
      <c r="L54" s="514">
        <f t="shared" si="22"/>
        <v>0</v>
      </c>
      <c r="M54" s="525"/>
      <c r="N54" s="514">
        <f t="shared" si="5"/>
        <v>0</v>
      </c>
      <c r="O54" s="514">
        <f t="shared" si="6"/>
        <v>0</v>
      </c>
      <c r="P54" s="272"/>
    </row>
    <row r="55" spans="2:16">
      <c r="B55" s="195" t="str">
        <f t="shared" si="4"/>
        <v/>
      </c>
      <c r="C55" s="507">
        <f>IF(D11="","-",+C54+1)</f>
        <v>2053</v>
      </c>
      <c r="D55" s="523">
        <f>IF(F54+SUM(E$17:E54)=D$10,F54,D$10-SUM(E$17:E54))</f>
        <v>1647771.2410119772</v>
      </c>
      <c r="E55" s="522">
        <f t="shared" si="18"/>
        <v>273126.51363636367</v>
      </c>
      <c r="F55" s="523">
        <f t="shared" si="19"/>
        <v>1374644.7273756135</v>
      </c>
      <c r="G55" s="524">
        <f t="shared" si="23"/>
        <v>453756.86931972497</v>
      </c>
      <c r="H55" s="491">
        <f t="shared" si="24"/>
        <v>453756.86931972497</v>
      </c>
      <c r="I55" s="511">
        <f t="shared" si="3"/>
        <v>0</v>
      </c>
      <c r="J55" s="511"/>
      <c r="K55" s="525"/>
      <c r="L55" s="514">
        <f t="shared" si="22"/>
        <v>0</v>
      </c>
      <c r="M55" s="525"/>
      <c r="N55" s="514">
        <f t="shared" si="5"/>
        <v>0</v>
      </c>
      <c r="O55" s="514">
        <f t="shared" si="6"/>
        <v>0</v>
      </c>
      <c r="P55" s="272"/>
    </row>
    <row r="56" spans="2:16">
      <c r="B56" s="195" t="str">
        <f t="shared" si="4"/>
        <v/>
      </c>
      <c r="C56" s="507">
        <f>IF(D11="","-",+C55+1)</f>
        <v>2054</v>
      </c>
      <c r="D56" s="523">
        <f>IF(F55+SUM(E$17:E55)=D$10,F55,D$10-SUM(E$17:E55))</f>
        <v>1374644.7273756135</v>
      </c>
      <c r="E56" s="522">
        <f t="shared" si="18"/>
        <v>273126.51363636367</v>
      </c>
      <c r="F56" s="523">
        <f t="shared" si="19"/>
        <v>1101518.2137392499</v>
      </c>
      <c r="G56" s="524">
        <f t="shared" si="23"/>
        <v>421110.84056610358</v>
      </c>
      <c r="H56" s="491">
        <f t="shared" si="24"/>
        <v>421110.84056610358</v>
      </c>
      <c r="I56" s="511">
        <f t="shared" si="3"/>
        <v>0</v>
      </c>
      <c r="J56" s="511"/>
      <c r="K56" s="525"/>
      <c r="L56" s="514">
        <f t="shared" si="22"/>
        <v>0</v>
      </c>
      <c r="M56" s="525"/>
      <c r="N56" s="514">
        <f t="shared" si="5"/>
        <v>0</v>
      </c>
      <c r="O56" s="514">
        <f t="shared" si="6"/>
        <v>0</v>
      </c>
      <c r="P56" s="272"/>
    </row>
    <row r="57" spans="2:16">
      <c r="B57" s="195" t="str">
        <f t="shared" si="4"/>
        <v/>
      </c>
      <c r="C57" s="507">
        <f>IF(D11="","-",+C56+1)</f>
        <v>2055</v>
      </c>
      <c r="D57" s="523">
        <f>IF(F56+SUM(E$17:E56)=D$10,F56,D$10-SUM(E$17:E56))</f>
        <v>1101518.2137392499</v>
      </c>
      <c r="E57" s="522">
        <f t="shared" si="18"/>
        <v>273126.51363636367</v>
      </c>
      <c r="F57" s="523">
        <f t="shared" si="19"/>
        <v>828391.70010288619</v>
      </c>
      <c r="G57" s="524">
        <f t="shared" si="23"/>
        <v>388464.81181248225</v>
      </c>
      <c r="H57" s="491">
        <f t="shared" si="24"/>
        <v>388464.81181248225</v>
      </c>
      <c r="I57" s="511">
        <f t="shared" si="3"/>
        <v>0</v>
      </c>
      <c r="J57" s="511"/>
      <c r="K57" s="525"/>
      <c r="L57" s="514">
        <f t="shared" si="22"/>
        <v>0</v>
      </c>
      <c r="M57" s="525"/>
      <c r="N57" s="514">
        <f t="shared" si="5"/>
        <v>0</v>
      </c>
      <c r="O57" s="514">
        <f t="shared" si="6"/>
        <v>0</v>
      </c>
      <c r="P57" s="272"/>
    </row>
    <row r="58" spans="2:16">
      <c r="B58" s="195" t="str">
        <f t="shared" si="4"/>
        <v/>
      </c>
      <c r="C58" s="507">
        <f>IF(D11="","-",+C57+1)</f>
        <v>2056</v>
      </c>
      <c r="D58" s="523">
        <f>IF(F57+SUM(E$17:E57)=D$10,F57,D$10-SUM(E$17:E57))</f>
        <v>828391.70010288619</v>
      </c>
      <c r="E58" s="522">
        <f t="shared" si="18"/>
        <v>273126.51363636367</v>
      </c>
      <c r="F58" s="523">
        <f t="shared" si="19"/>
        <v>555265.18646652251</v>
      </c>
      <c r="G58" s="524">
        <f t="shared" si="23"/>
        <v>355818.78305886092</v>
      </c>
      <c r="H58" s="491">
        <f t="shared" si="24"/>
        <v>355818.78305886092</v>
      </c>
      <c r="I58" s="511">
        <f t="shared" si="3"/>
        <v>0</v>
      </c>
      <c r="J58" s="511"/>
      <c r="K58" s="525"/>
      <c r="L58" s="514">
        <f t="shared" si="22"/>
        <v>0</v>
      </c>
      <c r="M58" s="525"/>
      <c r="N58" s="514">
        <f t="shared" si="5"/>
        <v>0</v>
      </c>
      <c r="O58" s="514">
        <f t="shared" si="6"/>
        <v>0</v>
      </c>
      <c r="P58" s="272"/>
    </row>
    <row r="59" spans="2:16">
      <c r="B59" s="195" t="str">
        <f t="shared" si="4"/>
        <v/>
      </c>
      <c r="C59" s="507">
        <f>IF(D11="","-",+C58+1)</f>
        <v>2057</v>
      </c>
      <c r="D59" s="523">
        <f>IF(F58+SUM(E$17:E58)=D$10,F58,D$10-SUM(E$17:E58))</f>
        <v>555265.18646652251</v>
      </c>
      <c r="E59" s="522">
        <f t="shared" si="18"/>
        <v>273126.51363636367</v>
      </c>
      <c r="F59" s="523">
        <f t="shared" si="19"/>
        <v>282138.67283015884</v>
      </c>
      <c r="G59" s="524">
        <f t="shared" si="23"/>
        <v>323172.75430523959</v>
      </c>
      <c r="H59" s="491">
        <f t="shared" si="24"/>
        <v>323172.75430523959</v>
      </c>
      <c r="I59" s="511">
        <f t="shared" si="3"/>
        <v>0</v>
      </c>
      <c r="J59" s="511"/>
      <c r="K59" s="525"/>
      <c r="L59" s="514">
        <f t="shared" si="22"/>
        <v>0</v>
      </c>
      <c r="M59" s="525"/>
      <c r="N59" s="514">
        <f t="shared" si="5"/>
        <v>0</v>
      </c>
      <c r="O59" s="514">
        <f t="shared" si="6"/>
        <v>0</v>
      </c>
      <c r="P59" s="272"/>
    </row>
    <row r="60" spans="2:16">
      <c r="B60" s="195" t="str">
        <f t="shared" si="4"/>
        <v/>
      </c>
      <c r="C60" s="507">
        <f>IF(D11="","-",+C59+1)</f>
        <v>2058</v>
      </c>
      <c r="D60" s="523">
        <f>IF(F59+SUM(E$17:E59)=D$10,F59,D$10-SUM(E$17:E59))</f>
        <v>282138.67283015884</v>
      </c>
      <c r="E60" s="522">
        <f t="shared" si="18"/>
        <v>273126.51363636367</v>
      </c>
      <c r="F60" s="523">
        <f t="shared" si="19"/>
        <v>9012.1591937951744</v>
      </c>
      <c r="G60" s="524">
        <f t="shared" si="23"/>
        <v>290526.7255516182</v>
      </c>
      <c r="H60" s="491">
        <f t="shared" si="24"/>
        <v>290526.7255516182</v>
      </c>
      <c r="I60" s="511">
        <f t="shared" si="3"/>
        <v>0</v>
      </c>
      <c r="J60" s="511"/>
      <c r="K60" s="525"/>
      <c r="L60" s="514">
        <f t="shared" si="22"/>
        <v>0</v>
      </c>
      <c r="M60" s="525"/>
      <c r="N60" s="514">
        <f t="shared" si="5"/>
        <v>0</v>
      </c>
      <c r="O60" s="514">
        <f t="shared" si="6"/>
        <v>0</v>
      </c>
      <c r="P60" s="272"/>
    </row>
    <row r="61" spans="2:16">
      <c r="B61" s="195" t="str">
        <f t="shared" si="4"/>
        <v/>
      </c>
      <c r="C61" s="507">
        <f>IF(D11="","-",+C60+1)</f>
        <v>2059</v>
      </c>
      <c r="D61" s="523">
        <f>IF(F60+SUM(E$17:E60)=D$10,F60,D$10-SUM(E$17:E60))</f>
        <v>9012.1591937951744</v>
      </c>
      <c r="E61" s="522">
        <f t="shared" si="18"/>
        <v>9012.1591937951744</v>
      </c>
      <c r="F61" s="523">
        <f t="shared" si="19"/>
        <v>0</v>
      </c>
      <c r="G61" s="524">
        <f t="shared" si="23"/>
        <v>9550.7579630171149</v>
      </c>
      <c r="H61" s="491">
        <f t="shared" si="24"/>
        <v>9550.7579630171149</v>
      </c>
      <c r="I61" s="511">
        <f t="shared" si="3"/>
        <v>0</v>
      </c>
      <c r="J61" s="511"/>
      <c r="K61" s="525"/>
      <c r="L61" s="514">
        <f t="shared" si="22"/>
        <v>0</v>
      </c>
      <c r="M61" s="525"/>
      <c r="N61" s="514">
        <f t="shared" si="5"/>
        <v>0</v>
      </c>
      <c r="O61" s="514">
        <f t="shared" si="6"/>
        <v>0</v>
      </c>
      <c r="P61" s="272"/>
    </row>
    <row r="62" spans="2:16">
      <c r="B62" s="195" t="str">
        <f t="shared" si="4"/>
        <v/>
      </c>
      <c r="C62" s="507">
        <f>IF(D11="","-",+C61+1)</f>
        <v>2060</v>
      </c>
      <c r="D62" s="523">
        <f>IF(F61+SUM(E$17:E61)=D$10,F61,D$10-SUM(E$17:E61))</f>
        <v>0</v>
      </c>
      <c r="E62" s="522">
        <f t="shared" si="18"/>
        <v>0</v>
      </c>
      <c r="F62" s="523">
        <f t="shared" si="19"/>
        <v>0</v>
      </c>
      <c r="G62" s="524">
        <f t="shared" si="23"/>
        <v>0</v>
      </c>
      <c r="H62" s="491">
        <f t="shared" si="24"/>
        <v>0</v>
      </c>
      <c r="I62" s="511">
        <f t="shared" si="3"/>
        <v>0</v>
      </c>
      <c r="J62" s="511"/>
      <c r="K62" s="525"/>
      <c r="L62" s="514">
        <f t="shared" si="22"/>
        <v>0</v>
      </c>
      <c r="M62" s="525"/>
      <c r="N62" s="514">
        <f t="shared" si="5"/>
        <v>0</v>
      </c>
      <c r="O62" s="514">
        <f t="shared" si="6"/>
        <v>0</v>
      </c>
      <c r="P62" s="272"/>
    </row>
    <row r="63" spans="2:16">
      <c r="B63" s="195" t="str">
        <f t="shared" si="4"/>
        <v/>
      </c>
      <c r="C63" s="507">
        <f>IF(D11="","-",+C62+1)</f>
        <v>2061</v>
      </c>
      <c r="D63" s="523">
        <f>IF(F62+SUM(E$17:E62)=D$10,F62,D$10-SUM(E$17:E62))</f>
        <v>0</v>
      </c>
      <c r="E63" s="522">
        <f t="shared" si="18"/>
        <v>0</v>
      </c>
      <c r="F63" s="523">
        <f t="shared" si="19"/>
        <v>0</v>
      </c>
      <c r="G63" s="524">
        <f t="shared" si="23"/>
        <v>0</v>
      </c>
      <c r="H63" s="491">
        <f t="shared" si="24"/>
        <v>0</v>
      </c>
      <c r="I63" s="511">
        <f t="shared" si="3"/>
        <v>0</v>
      </c>
      <c r="J63" s="511"/>
      <c r="K63" s="525"/>
      <c r="L63" s="514">
        <f t="shared" si="22"/>
        <v>0</v>
      </c>
      <c r="M63" s="525"/>
      <c r="N63" s="514">
        <f t="shared" si="5"/>
        <v>0</v>
      </c>
      <c r="O63" s="514">
        <f t="shared" si="6"/>
        <v>0</v>
      </c>
      <c r="P63" s="272"/>
    </row>
    <row r="64" spans="2:16">
      <c r="B64" s="195" t="str">
        <f t="shared" si="4"/>
        <v/>
      </c>
      <c r="C64" s="507">
        <f>IF(D11="","-",+C63+1)</f>
        <v>2062</v>
      </c>
      <c r="D64" s="523">
        <f>IF(F63+SUM(E$17:E63)=D$10,F63,D$10-SUM(E$17:E63))</f>
        <v>0</v>
      </c>
      <c r="E64" s="522">
        <f t="shared" si="18"/>
        <v>0</v>
      </c>
      <c r="F64" s="523">
        <f t="shared" si="19"/>
        <v>0</v>
      </c>
      <c r="G64" s="524">
        <f t="shared" si="23"/>
        <v>0</v>
      </c>
      <c r="H64" s="491">
        <f t="shared" si="24"/>
        <v>0</v>
      </c>
      <c r="I64" s="511">
        <f t="shared" si="3"/>
        <v>0</v>
      </c>
      <c r="J64" s="511"/>
      <c r="K64" s="525"/>
      <c r="L64" s="514">
        <f t="shared" si="22"/>
        <v>0</v>
      </c>
      <c r="M64" s="525"/>
      <c r="N64" s="514">
        <f t="shared" si="5"/>
        <v>0</v>
      </c>
      <c r="O64" s="514">
        <f t="shared" si="6"/>
        <v>0</v>
      </c>
      <c r="P64" s="272"/>
    </row>
    <row r="65" spans="2:16">
      <c r="B65" s="195" t="str">
        <f t="shared" si="4"/>
        <v/>
      </c>
      <c r="C65" s="507">
        <f>IF(D11="","-",+C64+1)</f>
        <v>2063</v>
      </c>
      <c r="D65" s="523">
        <f>IF(F64+SUM(E$17:E64)=D$10,F64,D$10-SUM(E$17:E64))</f>
        <v>0</v>
      </c>
      <c r="E65" s="522">
        <f t="shared" si="18"/>
        <v>0</v>
      </c>
      <c r="F65" s="523">
        <f t="shared" si="19"/>
        <v>0</v>
      </c>
      <c r="G65" s="524">
        <f t="shared" si="23"/>
        <v>0</v>
      </c>
      <c r="H65" s="491">
        <f t="shared" si="24"/>
        <v>0</v>
      </c>
      <c r="I65" s="511">
        <f t="shared" si="3"/>
        <v>0</v>
      </c>
      <c r="J65" s="511"/>
      <c r="K65" s="525"/>
      <c r="L65" s="514">
        <f t="shared" si="22"/>
        <v>0</v>
      </c>
      <c r="M65" s="525"/>
      <c r="N65" s="514">
        <f t="shared" si="5"/>
        <v>0</v>
      </c>
      <c r="O65" s="514">
        <f t="shared" si="6"/>
        <v>0</v>
      </c>
      <c r="P65" s="272"/>
    </row>
    <row r="66" spans="2:16">
      <c r="B66" s="195" t="str">
        <f t="shared" si="4"/>
        <v/>
      </c>
      <c r="C66" s="507">
        <f>IF(D11="","-",+C65+1)</f>
        <v>2064</v>
      </c>
      <c r="D66" s="523">
        <f>IF(F65+SUM(E$17:E65)=D$10,F65,D$10-SUM(E$17:E65))</f>
        <v>0</v>
      </c>
      <c r="E66" s="522">
        <f t="shared" si="18"/>
        <v>0</v>
      </c>
      <c r="F66" s="523">
        <f t="shared" si="19"/>
        <v>0</v>
      </c>
      <c r="G66" s="524">
        <f t="shared" si="23"/>
        <v>0</v>
      </c>
      <c r="H66" s="491">
        <f t="shared" si="24"/>
        <v>0</v>
      </c>
      <c r="I66" s="511">
        <f t="shared" si="3"/>
        <v>0</v>
      </c>
      <c r="J66" s="511"/>
      <c r="K66" s="525"/>
      <c r="L66" s="514">
        <f t="shared" si="22"/>
        <v>0</v>
      </c>
      <c r="M66" s="525"/>
      <c r="N66" s="514">
        <f t="shared" si="5"/>
        <v>0</v>
      </c>
      <c r="O66" s="514">
        <f t="shared" si="6"/>
        <v>0</v>
      </c>
      <c r="P66" s="272"/>
    </row>
    <row r="67" spans="2:16">
      <c r="B67" s="195" t="str">
        <f t="shared" si="4"/>
        <v/>
      </c>
      <c r="C67" s="507">
        <f>IF(D11="","-",+C66+1)</f>
        <v>2065</v>
      </c>
      <c r="D67" s="523">
        <f>IF(F66+SUM(E$17:E66)=D$10,F66,D$10-SUM(E$17:E66))</f>
        <v>0</v>
      </c>
      <c r="E67" s="522">
        <f t="shared" si="18"/>
        <v>0</v>
      </c>
      <c r="F67" s="523">
        <f t="shared" si="19"/>
        <v>0</v>
      </c>
      <c r="G67" s="524">
        <f t="shared" si="23"/>
        <v>0</v>
      </c>
      <c r="H67" s="491">
        <f t="shared" si="24"/>
        <v>0</v>
      </c>
      <c r="I67" s="511">
        <f t="shared" si="3"/>
        <v>0</v>
      </c>
      <c r="J67" s="511"/>
      <c r="K67" s="525"/>
      <c r="L67" s="514">
        <f t="shared" si="22"/>
        <v>0</v>
      </c>
      <c r="M67" s="525"/>
      <c r="N67" s="514">
        <f t="shared" si="5"/>
        <v>0</v>
      </c>
      <c r="O67" s="514">
        <f t="shared" si="6"/>
        <v>0</v>
      </c>
      <c r="P67" s="272"/>
    </row>
    <row r="68" spans="2:16">
      <c r="B68" s="195" t="str">
        <f t="shared" si="4"/>
        <v/>
      </c>
      <c r="C68" s="507">
        <f>IF(D11="","-",+C67+1)</f>
        <v>2066</v>
      </c>
      <c r="D68" s="523">
        <f>IF(F67+SUM(E$17:E67)=D$10,F67,D$10-SUM(E$17:E67))</f>
        <v>0</v>
      </c>
      <c r="E68" s="522">
        <f t="shared" si="18"/>
        <v>0</v>
      </c>
      <c r="F68" s="523">
        <f t="shared" si="19"/>
        <v>0</v>
      </c>
      <c r="G68" s="524">
        <f t="shared" si="23"/>
        <v>0</v>
      </c>
      <c r="H68" s="491">
        <f t="shared" si="24"/>
        <v>0</v>
      </c>
      <c r="I68" s="511">
        <f t="shared" si="3"/>
        <v>0</v>
      </c>
      <c r="J68" s="511"/>
      <c r="K68" s="525"/>
      <c r="L68" s="514">
        <f t="shared" si="22"/>
        <v>0</v>
      </c>
      <c r="M68" s="525"/>
      <c r="N68" s="514">
        <f t="shared" si="5"/>
        <v>0</v>
      </c>
      <c r="O68" s="514">
        <f t="shared" si="6"/>
        <v>0</v>
      </c>
      <c r="P68" s="272"/>
    </row>
    <row r="69" spans="2:16">
      <c r="B69" s="195" t="str">
        <f t="shared" si="4"/>
        <v/>
      </c>
      <c r="C69" s="507">
        <f>IF(D11="","-",+C68+1)</f>
        <v>2067</v>
      </c>
      <c r="D69" s="523">
        <f>IF(F68+SUM(E$17:E68)=D$10,F68,D$10-SUM(E$17:E68))</f>
        <v>0</v>
      </c>
      <c r="E69" s="522">
        <f t="shared" si="18"/>
        <v>0</v>
      </c>
      <c r="F69" s="523">
        <f t="shared" si="19"/>
        <v>0</v>
      </c>
      <c r="G69" s="524">
        <f t="shared" si="23"/>
        <v>0</v>
      </c>
      <c r="H69" s="491">
        <f t="shared" si="24"/>
        <v>0</v>
      </c>
      <c r="I69" s="511">
        <f t="shared" si="3"/>
        <v>0</v>
      </c>
      <c r="J69" s="511"/>
      <c r="K69" s="525"/>
      <c r="L69" s="514">
        <f t="shared" si="22"/>
        <v>0</v>
      </c>
      <c r="M69" s="525"/>
      <c r="N69" s="514">
        <f t="shared" si="5"/>
        <v>0</v>
      </c>
      <c r="O69" s="514">
        <f t="shared" si="6"/>
        <v>0</v>
      </c>
      <c r="P69" s="272"/>
    </row>
    <row r="70" spans="2:16">
      <c r="B70" s="195" t="str">
        <f t="shared" si="4"/>
        <v/>
      </c>
      <c r="C70" s="507">
        <f>IF(D11="","-",+C69+1)</f>
        <v>2068</v>
      </c>
      <c r="D70" s="523">
        <f>IF(F69+SUM(E$17:E69)=D$10,F69,D$10-SUM(E$17:E69))</f>
        <v>0</v>
      </c>
      <c r="E70" s="522">
        <f t="shared" si="18"/>
        <v>0</v>
      </c>
      <c r="F70" s="523">
        <f t="shared" si="19"/>
        <v>0</v>
      </c>
      <c r="G70" s="524">
        <f t="shared" si="23"/>
        <v>0</v>
      </c>
      <c r="H70" s="491">
        <f t="shared" si="24"/>
        <v>0</v>
      </c>
      <c r="I70" s="511">
        <f t="shared" si="3"/>
        <v>0</v>
      </c>
      <c r="J70" s="511"/>
      <c r="K70" s="525"/>
      <c r="L70" s="514">
        <f t="shared" si="22"/>
        <v>0</v>
      </c>
      <c r="M70" s="525"/>
      <c r="N70" s="514">
        <f t="shared" si="5"/>
        <v>0</v>
      </c>
      <c r="O70" s="514">
        <f t="shared" si="6"/>
        <v>0</v>
      </c>
      <c r="P70" s="272"/>
    </row>
    <row r="71" spans="2:16">
      <c r="B71" s="195" t="str">
        <f t="shared" si="4"/>
        <v/>
      </c>
      <c r="C71" s="507">
        <f>IF(D11="","-",+C70+1)</f>
        <v>2069</v>
      </c>
      <c r="D71" s="523">
        <f>IF(F70+SUM(E$17:E70)=D$10,F70,D$10-SUM(E$17:E70))</f>
        <v>0</v>
      </c>
      <c r="E71" s="522">
        <f t="shared" si="18"/>
        <v>0</v>
      </c>
      <c r="F71" s="523">
        <f t="shared" si="19"/>
        <v>0</v>
      </c>
      <c r="G71" s="524">
        <f t="shared" si="23"/>
        <v>0</v>
      </c>
      <c r="H71" s="491">
        <f t="shared" si="24"/>
        <v>0</v>
      </c>
      <c r="I71" s="511">
        <f t="shared" si="3"/>
        <v>0</v>
      </c>
      <c r="J71" s="511"/>
      <c r="K71" s="525"/>
      <c r="L71" s="514">
        <f t="shared" si="22"/>
        <v>0</v>
      </c>
      <c r="M71" s="525"/>
      <c r="N71" s="514">
        <f t="shared" si="5"/>
        <v>0</v>
      </c>
      <c r="O71" s="514">
        <f t="shared" si="6"/>
        <v>0</v>
      </c>
      <c r="P71" s="272"/>
    </row>
    <row r="72" spans="2:16" ht="13.5" thickBot="1">
      <c r="B72" s="195" t="str">
        <f t="shared" si="4"/>
        <v/>
      </c>
      <c r="C72" s="527">
        <f>IF(D11="","-",+C71+1)</f>
        <v>2070</v>
      </c>
      <c r="D72" s="523">
        <f>IF(F71+SUM(E$17:E71)=D$10,F71,D$10-SUM(E$17:E71))</f>
        <v>0</v>
      </c>
      <c r="E72" s="522">
        <f t="shared" si="18"/>
        <v>0</v>
      </c>
      <c r="F72" s="523">
        <f t="shared" si="19"/>
        <v>0</v>
      </c>
      <c r="G72" s="524">
        <f t="shared" si="23"/>
        <v>0</v>
      </c>
      <c r="H72" s="491">
        <f t="shared" si="24"/>
        <v>0</v>
      </c>
      <c r="I72" s="511">
        <f t="shared" si="3"/>
        <v>0</v>
      </c>
      <c r="J72" s="511"/>
      <c r="K72" s="532"/>
      <c r="L72" s="533">
        <f t="shared" si="22"/>
        <v>0</v>
      </c>
      <c r="M72" s="532"/>
      <c r="N72" s="533">
        <f t="shared" si="5"/>
        <v>0</v>
      </c>
      <c r="O72" s="533">
        <f t="shared" si="6"/>
        <v>0</v>
      </c>
      <c r="P72" s="272"/>
    </row>
    <row r="73" spans="2:16">
      <c r="C73" s="374" t="s">
        <v>78</v>
      </c>
      <c r="D73" s="375"/>
      <c r="E73" s="375">
        <f>SUM(E17:E72)</f>
        <v>12017566.600000003</v>
      </c>
      <c r="F73" s="375"/>
      <c r="G73" s="375">
        <f>SUM(G17:G72)</f>
        <v>43897778.844589509</v>
      </c>
      <c r="H73" s="375">
        <f>SUM(H17:H72)</f>
        <v>43897778.844589509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2:16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2:16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2:16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2:16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272"/>
      <c r="P77" s="272"/>
    </row>
    <row r="78" spans="2:16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2:16"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  <c r="O79" s="269"/>
      <c r="P79" s="269"/>
    </row>
    <row r="80" spans="2:16" ht="18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6">
      <c r="B81" s="269"/>
      <c r="C81" s="340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6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</row>
    <row r="83" spans="1:16" ht="20.25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451" t="str">
        <f ca="1">P1</f>
        <v>SWEPCO Project 52 of 75</v>
      </c>
    </row>
    <row r="84" spans="1:16" ht="18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538" t="s">
        <v>128</v>
      </c>
    </row>
    <row r="85" spans="1:16" ht="18.7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</row>
    <row r="86" spans="1:16" ht="15.75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2022</v>
      </c>
      <c r="M86" s="541" t="s">
        <v>9</v>
      </c>
      <c r="N86" s="542" t="s">
        <v>159</v>
      </c>
      <c r="O86" s="543" t="s">
        <v>11</v>
      </c>
      <c r="P86" s="269"/>
    </row>
    <row r="87" spans="1:16" ht="1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391</v>
      </c>
      <c r="M87" s="546">
        <f>IF(J92&lt;D11,0,VLOOKUP(J92,C17:O72,9))</f>
        <v>1410308.0751093051</v>
      </c>
      <c r="N87" s="546">
        <f>IF(J92&lt;D11,0,VLOOKUP(J92,C17:O72,11))</f>
        <v>1410308.0751093051</v>
      </c>
      <c r="O87" s="547">
        <f>+N87-M87</f>
        <v>0</v>
      </c>
      <c r="P87" s="269"/>
    </row>
    <row r="88" spans="1:16" ht="15.7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392</v>
      </c>
      <c r="M88" s="550">
        <f>IF(J92&lt;D11,0,VLOOKUP(J92,C99:P154,6))</f>
        <v>1463211.7959519105</v>
      </c>
      <c r="N88" s="550">
        <f>IF(J92&lt;D11,0,VLOOKUP(J92,C99:P154,7))</f>
        <v>1463211.7959519105</v>
      </c>
      <c r="O88" s="551">
        <f>+N88-M88</f>
        <v>0</v>
      </c>
      <c r="P88" s="269"/>
    </row>
    <row r="89" spans="1:16" ht="13.5" thickBot="1">
      <c r="C89" s="467" t="s">
        <v>84</v>
      </c>
      <c r="D89" s="552" t="str">
        <f>+D7</f>
        <v>Red Oak (State Line)-North Huntington 69 kV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52903.720842605457</v>
      </c>
      <c r="N89" s="555">
        <f>+N88-N87</f>
        <v>52903.720842605457</v>
      </c>
      <c r="O89" s="556">
        <f>+O88-O87</f>
        <v>0</v>
      </c>
      <c r="P89" s="269"/>
    </row>
    <row r="90" spans="1:16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</row>
    <row r="91" spans="1:16" ht="13.5" thickBot="1">
      <c r="A91" s="191"/>
      <c r="C91" s="558" t="s">
        <v>85</v>
      </c>
      <c r="D91" s="559" t="str">
        <f>+D9</f>
        <v>TP2012164</v>
      </c>
      <c r="E91" s="560"/>
      <c r="F91" s="560"/>
      <c r="G91" s="560"/>
      <c r="H91" s="560"/>
      <c r="I91" s="560"/>
      <c r="J91" s="560"/>
      <c r="K91" s="562"/>
      <c r="P91" s="481"/>
    </row>
    <row r="92" spans="1:16">
      <c r="C92" s="486" t="s">
        <v>51</v>
      </c>
      <c r="D92" s="628">
        <v>12017567</v>
      </c>
      <c r="E92" s="340" t="s">
        <v>86</v>
      </c>
      <c r="H92" s="484"/>
      <c r="I92" s="484"/>
      <c r="J92" s="485">
        <f>+'SWE.WS.G.BPU.ATRR.True-up'!M16</f>
        <v>2022</v>
      </c>
      <c r="K92" s="480"/>
      <c r="L92" s="375" t="s">
        <v>87</v>
      </c>
      <c r="P92" s="272"/>
    </row>
    <row r="93" spans="1:16">
      <c r="C93" s="486" t="s">
        <v>54</v>
      </c>
      <c r="D93" s="563">
        <f>IF(D11=I10,"",D11)</f>
        <v>2015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</row>
    <row r="94" spans="1:16">
      <c r="C94" s="486" t="s">
        <v>56</v>
      </c>
      <c r="D94" s="564">
        <f>IF(D11=I10,"",D12)</f>
        <v>5</v>
      </c>
      <c r="E94" s="486" t="s">
        <v>57</v>
      </c>
      <c r="F94" s="484"/>
      <c r="G94" s="484"/>
      <c r="J94" s="490">
        <f>'SWE.WS.G.BPU.ATRR.True-up'!$F$81</f>
        <v>0.11351422637179906</v>
      </c>
      <c r="K94" s="425"/>
      <c r="L94" s="183" t="s">
        <v>88</v>
      </c>
      <c r="P94" s="272"/>
    </row>
    <row r="95" spans="1:16">
      <c r="C95" s="486" t="s">
        <v>59</v>
      </c>
      <c r="D95" s="488">
        <f>'SWE.WS.G.BPU.ATRR.True-up'!F$93</f>
        <v>41</v>
      </c>
      <c r="E95" s="486" t="s">
        <v>60</v>
      </c>
      <c r="F95" s="484"/>
      <c r="G95" s="484"/>
      <c r="J95" s="490">
        <f>IF(H87="",J94,'SWE.WS.G.BPU.ATRR.True-up'!$F$80)</f>
        <v>0.11351422637179906</v>
      </c>
      <c r="K95" s="324"/>
      <c r="L95" s="375" t="s">
        <v>61</v>
      </c>
      <c r="M95" s="324"/>
      <c r="N95" s="324"/>
      <c r="O95" s="324"/>
      <c r="P95" s="272"/>
    </row>
    <row r="96" spans="1:16" ht="13.5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293111.39024390245</v>
      </c>
      <c r="K96" s="375"/>
      <c r="L96" s="375"/>
      <c r="M96" s="375"/>
      <c r="N96" s="375"/>
      <c r="O96" s="375"/>
      <c r="P96" s="272"/>
    </row>
    <row r="97" spans="1:16" ht="38.25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388</v>
      </c>
      <c r="I97" s="495" t="s">
        <v>389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</row>
    <row r="98" spans="1:16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</row>
    <row r="99" spans="1:16">
      <c r="C99" s="507">
        <f>IF(D93= "","-",D93)</f>
        <v>2015</v>
      </c>
      <c r="D99" s="629">
        <v>0</v>
      </c>
      <c r="E99" s="630">
        <v>142743.89285714287</v>
      </c>
      <c r="F99" s="631">
        <v>11847743.107142856</v>
      </c>
      <c r="G99" s="632">
        <v>5923871.5535714282</v>
      </c>
      <c r="H99" s="633">
        <v>923325.80014683155</v>
      </c>
      <c r="I99" s="634">
        <v>923325.80014683155</v>
      </c>
      <c r="J99" s="514">
        <f>+I99-H99</f>
        <v>0</v>
      </c>
      <c r="K99" s="514"/>
      <c r="L99" s="512">
        <f t="shared" ref="L99:L104" si="25">+H99</f>
        <v>923325.80014683155</v>
      </c>
      <c r="M99" s="513">
        <f t="shared" ref="M99:M130" si="26">IF(L99&lt;&gt;0,+H99-L99,0)</f>
        <v>0</v>
      </c>
      <c r="N99" s="512">
        <f t="shared" ref="N99:N104" si="27">+I99</f>
        <v>923325.80014683155</v>
      </c>
      <c r="O99" s="513">
        <f t="shared" ref="O99:O130" si="28">IF(N99&lt;&gt;0,+I99-N99,0)</f>
        <v>0</v>
      </c>
      <c r="P99" s="513">
        <f t="shared" ref="P99:P130" si="29">+O99-M99</f>
        <v>0</v>
      </c>
    </row>
    <row r="100" spans="1:16">
      <c r="B100" s="195" t="str">
        <f>IF(D100=F99,"","IU")</f>
        <v>IU</v>
      </c>
      <c r="C100" s="507">
        <f>IF(D93="","-",+C99+1)</f>
        <v>2016</v>
      </c>
      <c r="D100" s="629">
        <v>11874823.107142856</v>
      </c>
      <c r="E100" s="630">
        <v>279478.30232558138</v>
      </c>
      <c r="F100" s="631">
        <v>11595344.804817274</v>
      </c>
      <c r="G100" s="631">
        <v>11735083.955980066</v>
      </c>
      <c r="H100" s="633">
        <v>1769247.0731001948</v>
      </c>
      <c r="I100" s="634">
        <v>1769247.0731001948</v>
      </c>
      <c r="J100" s="514">
        <f>+I100-H100</f>
        <v>0</v>
      </c>
      <c r="K100" s="514"/>
      <c r="L100" s="518">
        <f t="shared" si="25"/>
        <v>1769247.0731001948</v>
      </c>
      <c r="M100" s="514">
        <f t="shared" ref="M100:M105" si="30">IF(L100&lt;&gt;0,+H100-L100,0)</f>
        <v>0</v>
      </c>
      <c r="N100" s="518">
        <f t="shared" si="27"/>
        <v>1769247.0731001948</v>
      </c>
      <c r="O100" s="514">
        <f>IF(N100&lt;&gt;0,+I100-N100,0)</f>
        <v>0</v>
      </c>
      <c r="P100" s="514">
        <f>+O100-M100</f>
        <v>0</v>
      </c>
    </row>
    <row r="101" spans="1:16">
      <c r="B101" s="195" t="str">
        <f t="shared" ref="B101:B154" si="31">IF(D101=F100,"","IU")</f>
        <v/>
      </c>
      <c r="C101" s="507">
        <f>IF(D93="","-",+C100+1)</f>
        <v>2017</v>
      </c>
      <c r="D101" s="629">
        <v>11595344.804817274</v>
      </c>
      <c r="E101" s="630">
        <v>286132.54761904763</v>
      </c>
      <c r="F101" s="631">
        <v>11309212.257198226</v>
      </c>
      <c r="G101" s="631">
        <v>11452278.53100775</v>
      </c>
      <c r="H101" s="633">
        <v>1677257.5145835318</v>
      </c>
      <c r="I101" s="634">
        <v>1677257.5145835318</v>
      </c>
      <c r="J101" s="514">
        <f t="shared" ref="J101:J154" si="32">+I101-H101</f>
        <v>0</v>
      </c>
      <c r="K101" s="514"/>
      <c r="L101" s="518">
        <f t="shared" si="25"/>
        <v>1677257.5145835318</v>
      </c>
      <c r="M101" s="514">
        <f t="shared" si="30"/>
        <v>0</v>
      </c>
      <c r="N101" s="518">
        <f t="shared" si="27"/>
        <v>1677257.5145835318</v>
      </c>
      <c r="O101" s="514">
        <f>IF(N101&lt;&gt;0,+I101-N101,0)</f>
        <v>0</v>
      </c>
      <c r="P101" s="514">
        <f>+O101-M101</f>
        <v>0</v>
      </c>
    </row>
    <row r="102" spans="1:16">
      <c r="B102" s="195" t="str">
        <f t="shared" si="31"/>
        <v/>
      </c>
      <c r="C102" s="507">
        <f>IF(D93="","-",+C101+1)</f>
        <v>2018</v>
      </c>
      <c r="D102" s="629">
        <v>11309212.257198226</v>
      </c>
      <c r="E102" s="630">
        <v>286132.54761904763</v>
      </c>
      <c r="F102" s="631">
        <v>11023079.709579177</v>
      </c>
      <c r="G102" s="631">
        <v>11166145.983388701</v>
      </c>
      <c r="H102" s="633">
        <v>1465328.7693981156</v>
      </c>
      <c r="I102" s="634">
        <v>1465328.7693981156</v>
      </c>
      <c r="J102" s="514">
        <f t="shared" si="32"/>
        <v>0</v>
      </c>
      <c r="K102" s="514"/>
      <c r="L102" s="518">
        <f t="shared" si="25"/>
        <v>1465328.7693981156</v>
      </c>
      <c r="M102" s="514">
        <f t="shared" si="30"/>
        <v>0</v>
      </c>
      <c r="N102" s="518">
        <f t="shared" si="27"/>
        <v>1465328.7693981156</v>
      </c>
      <c r="O102" s="514">
        <f>IF(N102&lt;&gt;0,+I102-N102,0)</f>
        <v>0</v>
      </c>
      <c r="P102" s="514">
        <f t="shared" si="29"/>
        <v>0</v>
      </c>
    </row>
    <row r="103" spans="1:16">
      <c r="B103" s="195" t="str">
        <f t="shared" si="31"/>
        <v/>
      </c>
      <c r="C103" s="507">
        <f>IF(D93="","-",+C102+1)</f>
        <v>2019</v>
      </c>
      <c r="D103" s="629">
        <v>11023079.709579177</v>
      </c>
      <c r="E103" s="630">
        <v>279478.30232558138</v>
      </c>
      <c r="F103" s="631">
        <v>10743601.407253595</v>
      </c>
      <c r="G103" s="631">
        <v>10883340.558416385</v>
      </c>
      <c r="H103" s="633">
        <v>1444437.0239018579</v>
      </c>
      <c r="I103" s="634">
        <v>1444437.0239018579</v>
      </c>
      <c r="J103" s="514">
        <f t="shared" si="32"/>
        <v>0</v>
      </c>
      <c r="K103" s="514"/>
      <c r="L103" s="518">
        <f t="shared" si="25"/>
        <v>1444437.0239018579</v>
      </c>
      <c r="M103" s="514">
        <f t="shared" si="30"/>
        <v>0</v>
      </c>
      <c r="N103" s="518">
        <f t="shared" si="27"/>
        <v>1444437.0239018579</v>
      </c>
      <c r="O103" s="514">
        <f t="shared" si="28"/>
        <v>0</v>
      </c>
      <c r="P103" s="514">
        <f t="shared" si="29"/>
        <v>0</v>
      </c>
    </row>
    <row r="104" spans="1:16">
      <c r="B104" s="195" t="str">
        <f t="shared" si="31"/>
        <v/>
      </c>
      <c r="C104" s="507">
        <f>IF(D93="","-",+C103+1)</f>
        <v>2020</v>
      </c>
      <c r="D104" s="629">
        <v>10743601.407253595</v>
      </c>
      <c r="E104" s="630">
        <v>286132.54761904763</v>
      </c>
      <c r="F104" s="631">
        <v>10457468.859634547</v>
      </c>
      <c r="G104" s="631">
        <v>10600535.133444071</v>
      </c>
      <c r="H104" s="633">
        <v>1426472.7384823435</v>
      </c>
      <c r="I104" s="634">
        <v>1426472.7384823435</v>
      </c>
      <c r="J104" s="514">
        <f t="shared" si="32"/>
        <v>0</v>
      </c>
      <c r="K104" s="514"/>
      <c r="L104" s="518">
        <f t="shared" si="25"/>
        <v>1426472.7384823435</v>
      </c>
      <c r="M104" s="514">
        <f t="shared" si="30"/>
        <v>0</v>
      </c>
      <c r="N104" s="518">
        <f t="shared" si="27"/>
        <v>1426472.7384823435</v>
      </c>
      <c r="O104" s="514">
        <f t="shared" si="28"/>
        <v>0</v>
      </c>
      <c r="P104" s="514">
        <f t="shared" si="29"/>
        <v>0</v>
      </c>
    </row>
    <row r="105" spans="1:16">
      <c r="B105" s="195" t="str">
        <f t="shared" si="31"/>
        <v/>
      </c>
      <c r="C105" s="507">
        <f>IF(D93="","-",+C104+1)</f>
        <v>2021</v>
      </c>
      <c r="D105" s="629">
        <v>10457468.859634547</v>
      </c>
      <c r="E105" s="630">
        <v>293111.39024390245</v>
      </c>
      <c r="F105" s="631">
        <v>10164357.469390644</v>
      </c>
      <c r="G105" s="631">
        <v>10310913.164512595</v>
      </c>
      <c r="H105" s="633">
        <v>1463546.7213003482</v>
      </c>
      <c r="I105" s="634">
        <v>1463546.7213003482</v>
      </c>
      <c r="J105" s="514">
        <f t="shared" si="32"/>
        <v>0</v>
      </c>
      <c r="K105" s="514"/>
      <c r="L105" s="518">
        <f t="shared" ref="L105" si="33">+H105</f>
        <v>1463546.7213003482</v>
      </c>
      <c r="M105" s="514">
        <f t="shared" si="30"/>
        <v>0</v>
      </c>
      <c r="N105" s="518">
        <f t="shared" ref="N105" si="34">+I105</f>
        <v>1463546.7213003482</v>
      </c>
      <c r="O105" s="514">
        <f t="shared" ref="O105" si="35">IF(N105&lt;&gt;0,+I105-N105,0)</f>
        <v>0</v>
      </c>
      <c r="P105" s="514">
        <f t="shared" ref="P105" si="36">+O105-M105</f>
        <v>0</v>
      </c>
    </row>
    <row r="106" spans="1:16">
      <c r="B106" s="195" t="str">
        <f t="shared" si="31"/>
        <v/>
      </c>
      <c r="C106" s="673">
        <f>IF(D93="","-",+C105+1)</f>
        <v>2022</v>
      </c>
      <c r="D106" s="374">
        <v>10164357.469390644</v>
      </c>
      <c r="E106" s="522">
        <v>286132.54761904763</v>
      </c>
      <c r="F106" s="523">
        <v>9878224.9217715953</v>
      </c>
      <c r="G106" s="523">
        <v>10021291.19558112</v>
      </c>
      <c r="H106" s="526">
        <v>1463211.7959519105</v>
      </c>
      <c r="I106" s="577">
        <v>1463211.7959519105</v>
      </c>
      <c r="J106" s="514">
        <f t="shared" si="32"/>
        <v>0</v>
      </c>
      <c r="K106" s="514"/>
      <c r="L106" s="525"/>
      <c r="M106" s="514">
        <f t="shared" si="26"/>
        <v>0</v>
      </c>
      <c r="N106" s="525"/>
      <c r="O106" s="514">
        <f t="shared" si="28"/>
        <v>0</v>
      </c>
      <c r="P106" s="514">
        <f t="shared" si="29"/>
        <v>0</v>
      </c>
    </row>
    <row r="107" spans="1:16">
      <c r="B107" s="195" t="str">
        <f t="shared" si="31"/>
        <v/>
      </c>
      <c r="C107" s="507">
        <f>IF(D93="","-",+C106+1)</f>
        <v>2023</v>
      </c>
      <c r="D107" s="374">
        <f>IF(F106+SUM(E$99:E106)=D$92,F106,D$92-SUM(E$99:E106))</f>
        <v>9878224.9217715953</v>
      </c>
      <c r="E107" s="522">
        <f t="shared" ref="E107:E154" si="37">IF(+$J$96&lt;F106,$J$96,D107)</f>
        <v>293111.39024390245</v>
      </c>
      <c r="F107" s="523">
        <f t="shared" ref="F107:F154" si="38">+D107-E107</f>
        <v>9585113.5315276925</v>
      </c>
      <c r="G107" s="523">
        <f t="shared" ref="G107:G154" si="39">+(F107+D107)/2</f>
        <v>9731669.2266496439</v>
      </c>
      <c r="H107" s="526">
        <f t="shared" ref="H107:H154" si="40">+J$94*G107+E107</f>
        <v>1397794.2938132808</v>
      </c>
      <c r="I107" s="577">
        <f t="shared" ref="I107:I154" si="41">+J$95*G107+E107</f>
        <v>1397794.2938132808</v>
      </c>
      <c r="J107" s="514">
        <f t="shared" si="32"/>
        <v>0</v>
      </c>
      <c r="K107" s="514"/>
      <c r="L107" s="525"/>
      <c r="M107" s="514">
        <f t="shared" si="26"/>
        <v>0</v>
      </c>
      <c r="N107" s="525"/>
      <c r="O107" s="514">
        <f t="shared" si="28"/>
        <v>0</v>
      </c>
      <c r="P107" s="514">
        <f t="shared" si="29"/>
        <v>0</v>
      </c>
    </row>
    <row r="108" spans="1:16">
      <c r="B108" s="195" t="str">
        <f t="shared" si="31"/>
        <v/>
      </c>
      <c r="C108" s="507">
        <f>IF(D93="","-",+C107+1)</f>
        <v>2024</v>
      </c>
      <c r="D108" s="374">
        <f>IF(F107+SUM(E$99:E107)=D$92,F107,D$92-SUM(E$99:E107))</f>
        <v>9585113.5315276925</v>
      </c>
      <c r="E108" s="522">
        <f t="shared" si="37"/>
        <v>293111.39024390245</v>
      </c>
      <c r="F108" s="523">
        <f t="shared" si="38"/>
        <v>9292002.1412837896</v>
      </c>
      <c r="G108" s="523">
        <f t="shared" si="39"/>
        <v>9438557.8364057411</v>
      </c>
      <c r="H108" s="526">
        <f t="shared" si="40"/>
        <v>1364521.9811089817</v>
      </c>
      <c r="I108" s="577">
        <f t="shared" si="41"/>
        <v>1364521.9811089817</v>
      </c>
      <c r="J108" s="514">
        <f t="shared" si="32"/>
        <v>0</v>
      </c>
      <c r="K108" s="514"/>
      <c r="L108" s="525"/>
      <c r="M108" s="514">
        <f t="shared" si="26"/>
        <v>0</v>
      </c>
      <c r="N108" s="525"/>
      <c r="O108" s="514">
        <f t="shared" si="28"/>
        <v>0</v>
      </c>
      <c r="P108" s="514">
        <f t="shared" si="29"/>
        <v>0</v>
      </c>
    </row>
    <row r="109" spans="1:16">
      <c r="B109" s="195" t="str">
        <f t="shared" si="31"/>
        <v/>
      </c>
      <c r="C109" s="507">
        <f>IF(D93="","-",+C108+1)</f>
        <v>2025</v>
      </c>
      <c r="D109" s="374">
        <f>IF(F108+SUM(E$99:E108)=D$92,F108,D$92-SUM(E$99:E108))</f>
        <v>9292002.1412837896</v>
      </c>
      <c r="E109" s="522">
        <f t="shared" si="37"/>
        <v>293111.39024390245</v>
      </c>
      <c r="F109" s="523">
        <f t="shared" si="38"/>
        <v>8998890.7510398868</v>
      </c>
      <c r="G109" s="523">
        <f t="shared" si="39"/>
        <v>9145446.4461618382</v>
      </c>
      <c r="H109" s="526">
        <f t="shared" si="40"/>
        <v>1331249.6684046825</v>
      </c>
      <c r="I109" s="577">
        <f t="shared" si="41"/>
        <v>1331249.6684046825</v>
      </c>
      <c r="J109" s="514">
        <f t="shared" si="32"/>
        <v>0</v>
      </c>
      <c r="K109" s="514"/>
      <c r="L109" s="525"/>
      <c r="M109" s="514">
        <f t="shared" si="26"/>
        <v>0</v>
      </c>
      <c r="N109" s="525"/>
      <c r="O109" s="514">
        <f t="shared" si="28"/>
        <v>0</v>
      </c>
      <c r="P109" s="514">
        <f t="shared" si="29"/>
        <v>0</v>
      </c>
    </row>
    <row r="110" spans="1:16">
      <c r="B110" s="195" t="str">
        <f t="shared" si="31"/>
        <v/>
      </c>
      <c r="C110" s="507">
        <f>IF(D93="","-",+C109+1)</f>
        <v>2026</v>
      </c>
      <c r="D110" s="374">
        <f>IF(F109+SUM(E$99:E109)=D$92,F109,D$92-SUM(E$99:E109))</f>
        <v>8998890.7510398868</v>
      </c>
      <c r="E110" s="522">
        <f t="shared" si="37"/>
        <v>293111.39024390245</v>
      </c>
      <c r="F110" s="523">
        <f t="shared" si="38"/>
        <v>8705779.360795984</v>
      </c>
      <c r="G110" s="523">
        <f t="shared" si="39"/>
        <v>8852335.0559179354</v>
      </c>
      <c r="H110" s="526">
        <f t="shared" si="40"/>
        <v>1297977.3557003834</v>
      </c>
      <c r="I110" s="577">
        <f t="shared" si="41"/>
        <v>1297977.3557003834</v>
      </c>
      <c r="J110" s="514">
        <f t="shared" si="32"/>
        <v>0</v>
      </c>
      <c r="K110" s="514"/>
      <c r="L110" s="525"/>
      <c r="M110" s="514">
        <f t="shared" si="26"/>
        <v>0</v>
      </c>
      <c r="N110" s="525"/>
      <c r="O110" s="514">
        <f t="shared" si="28"/>
        <v>0</v>
      </c>
      <c r="P110" s="514">
        <f t="shared" si="29"/>
        <v>0</v>
      </c>
    </row>
    <row r="111" spans="1:16">
      <c r="B111" s="195" t="str">
        <f t="shared" si="31"/>
        <v/>
      </c>
      <c r="C111" s="507">
        <f>IF(D93="","-",+C110+1)</f>
        <v>2027</v>
      </c>
      <c r="D111" s="374">
        <f>IF(F110+SUM(E$99:E110)=D$92,F110,D$92-SUM(E$99:E110))</f>
        <v>8705779.360795984</v>
      </c>
      <c r="E111" s="522">
        <f t="shared" si="37"/>
        <v>293111.39024390245</v>
      </c>
      <c r="F111" s="523">
        <f t="shared" si="38"/>
        <v>8412667.9705520812</v>
      </c>
      <c r="G111" s="523">
        <f t="shared" si="39"/>
        <v>8559223.6656740326</v>
      </c>
      <c r="H111" s="526">
        <f t="shared" si="40"/>
        <v>1264705.0429960843</v>
      </c>
      <c r="I111" s="577">
        <f t="shared" si="41"/>
        <v>1264705.0429960843</v>
      </c>
      <c r="J111" s="514">
        <f t="shared" si="32"/>
        <v>0</v>
      </c>
      <c r="K111" s="514"/>
      <c r="L111" s="525"/>
      <c r="M111" s="514">
        <f t="shared" si="26"/>
        <v>0</v>
      </c>
      <c r="N111" s="525"/>
      <c r="O111" s="514">
        <f t="shared" si="28"/>
        <v>0</v>
      </c>
      <c r="P111" s="514">
        <f t="shared" si="29"/>
        <v>0</v>
      </c>
    </row>
    <row r="112" spans="1:16">
      <c r="B112" s="195" t="str">
        <f t="shared" si="31"/>
        <v/>
      </c>
      <c r="C112" s="507">
        <f>IF(D93="","-",+C111+1)</f>
        <v>2028</v>
      </c>
      <c r="D112" s="374">
        <f>IF(F111+SUM(E$99:E111)=D$92,F111,D$92-SUM(E$99:E111))</f>
        <v>8412667.9705520812</v>
      </c>
      <c r="E112" s="522">
        <f t="shared" si="37"/>
        <v>293111.39024390245</v>
      </c>
      <c r="F112" s="523">
        <f t="shared" si="38"/>
        <v>8119556.5803081784</v>
      </c>
      <c r="G112" s="523">
        <f t="shared" si="39"/>
        <v>8266112.2754301298</v>
      </c>
      <c r="H112" s="526">
        <f t="shared" si="40"/>
        <v>1231432.7302917852</v>
      </c>
      <c r="I112" s="577">
        <f t="shared" si="41"/>
        <v>1231432.7302917852</v>
      </c>
      <c r="J112" s="514">
        <f t="shared" si="32"/>
        <v>0</v>
      </c>
      <c r="K112" s="514"/>
      <c r="L112" s="525"/>
      <c r="M112" s="514">
        <f t="shared" si="26"/>
        <v>0</v>
      </c>
      <c r="N112" s="525"/>
      <c r="O112" s="514">
        <f t="shared" si="28"/>
        <v>0</v>
      </c>
      <c r="P112" s="514">
        <f t="shared" si="29"/>
        <v>0</v>
      </c>
    </row>
    <row r="113" spans="2:16">
      <c r="B113" s="195" t="str">
        <f t="shared" si="31"/>
        <v/>
      </c>
      <c r="C113" s="507">
        <f>IF(D93="","-",+C112+1)</f>
        <v>2029</v>
      </c>
      <c r="D113" s="374">
        <f>IF(F112+SUM(E$99:E112)=D$92,F112,D$92-SUM(E$99:E112))</f>
        <v>8119556.5803081784</v>
      </c>
      <c r="E113" s="522">
        <f t="shared" si="37"/>
        <v>293111.39024390245</v>
      </c>
      <c r="F113" s="523">
        <f t="shared" si="38"/>
        <v>7826445.1900642756</v>
      </c>
      <c r="G113" s="523">
        <f t="shared" si="39"/>
        <v>7973000.885186227</v>
      </c>
      <c r="H113" s="526">
        <f t="shared" si="40"/>
        <v>1198160.4175874861</v>
      </c>
      <c r="I113" s="577">
        <f t="shared" si="41"/>
        <v>1198160.4175874861</v>
      </c>
      <c r="J113" s="514">
        <f t="shared" si="32"/>
        <v>0</v>
      </c>
      <c r="K113" s="514"/>
      <c r="L113" s="525"/>
      <c r="M113" s="514">
        <f t="shared" si="26"/>
        <v>0</v>
      </c>
      <c r="N113" s="525"/>
      <c r="O113" s="514">
        <f t="shared" si="28"/>
        <v>0</v>
      </c>
      <c r="P113" s="514">
        <f t="shared" si="29"/>
        <v>0</v>
      </c>
    </row>
    <row r="114" spans="2:16">
      <c r="B114" s="195" t="str">
        <f t="shared" si="31"/>
        <v/>
      </c>
      <c r="C114" s="507">
        <f>IF(D93="","-",+C113+1)</f>
        <v>2030</v>
      </c>
      <c r="D114" s="374">
        <f>IF(F113+SUM(E$99:E113)=D$92,F113,D$92-SUM(E$99:E113))</f>
        <v>7826445.1900642756</v>
      </c>
      <c r="E114" s="522">
        <f t="shared" si="37"/>
        <v>293111.39024390245</v>
      </c>
      <c r="F114" s="523">
        <f t="shared" si="38"/>
        <v>7533333.7998203728</v>
      </c>
      <c r="G114" s="523">
        <f t="shared" si="39"/>
        <v>7679889.4949423242</v>
      </c>
      <c r="H114" s="526">
        <f t="shared" si="40"/>
        <v>1164888.104883187</v>
      </c>
      <c r="I114" s="577">
        <f t="shared" si="41"/>
        <v>1164888.104883187</v>
      </c>
      <c r="J114" s="514">
        <f t="shared" si="32"/>
        <v>0</v>
      </c>
      <c r="K114" s="514"/>
      <c r="L114" s="525"/>
      <c r="M114" s="514">
        <f t="shared" si="26"/>
        <v>0</v>
      </c>
      <c r="N114" s="525"/>
      <c r="O114" s="514">
        <f t="shared" si="28"/>
        <v>0</v>
      </c>
      <c r="P114" s="514">
        <f t="shared" si="29"/>
        <v>0</v>
      </c>
    </row>
    <row r="115" spans="2:16">
      <c r="B115" s="195" t="str">
        <f t="shared" si="31"/>
        <v/>
      </c>
      <c r="C115" s="507">
        <f>IF(D93="","-",+C114+1)</f>
        <v>2031</v>
      </c>
      <c r="D115" s="374">
        <f>IF(F114+SUM(E$99:E114)=D$92,F114,D$92-SUM(E$99:E114))</f>
        <v>7533333.7998203728</v>
      </c>
      <c r="E115" s="522">
        <f t="shared" si="37"/>
        <v>293111.39024390245</v>
      </c>
      <c r="F115" s="523">
        <f t="shared" si="38"/>
        <v>7240222.40957647</v>
      </c>
      <c r="G115" s="523">
        <f t="shared" si="39"/>
        <v>7386778.1046984214</v>
      </c>
      <c r="H115" s="526">
        <f t="shared" si="40"/>
        <v>1131615.7921788879</v>
      </c>
      <c r="I115" s="577">
        <f t="shared" si="41"/>
        <v>1131615.7921788879</v>
      </c>
      <c r="J115" s="514">
        <f t="shared" si="32"/>
        <v>0</v>
      </c>
      <c r="K115" s="514"/>
      <c r="L115" s="525"/>
      <c r="M115" s="514">
        <f t="shared" si="26"/>
        <v>0</v>
      </c>
      <c r="N115" s="525"/>
      <c r="O115" s="514">
        <f t="shared" si="28"/>
        <v>0</v>
      </c>
      <c r="P115" s="514">
        <f t="shared" si="29"/>
        <v>0</v>
      </c>
    </row>
    <row r="116" spans="2:16">
      <c r="B116" s="195" t="str">
        <f t="shared" si="31"/>
        <v/>
      </c>
      <c r="C116" s="507">
        <f>IF(D93="","-",+C115+1)</f>
        <v>2032</v>
      </c>
      <c r="D116" s="374">
        <f>IF(F115+SUM(E$99:E115)=D$92,F115,D$92-SUM(E$99:E115))</f>
        <v>7240222.40957647</v>
      </c>
      <c r="E116" s="522">
        <f t="shared" si="37"/>
        <v>293111.39024390245</v>
      </c>
      <c r="F116" s="523">
        <f t="shared" si="38"/>
        <v>6947111.0193325672</v>
      </c>
      <c r="G116" s="523">
        <f t="shared" si="39"/>
        <v>7093666.7144545186</v>
      </c>
      <c r="H116" s="526">
        <f t="shared" si="40"/>
        <v>1098343.4794745888</v>
      </c>
      <c r="I116" s="577">
        <f t="shared" si="41"/>
        <v>1098343.4794745888</v>
      </c>
      <c r="J116" s="514">
        <f t="shared" si="32"/>
        <v>0</v>
      </c>
      <c r="K116" s="514"/>
      <c r="L116" s="525"/>
      <c r="M116" s="514">
        <f t="shared" si="26"/>
        <v>0</v>
      </c>
      <c r="N116" s="525"/>
      <c r="O116" s="514">
        <f t="shared" si="28"/>
        <v>0</v>
      </c>
      <c r="P116" s="514">
        <f t="shared" si="29"/>
        <v>0</v>
      </c>
    </row>
    <row r="117" spans="2:16">
      <c r="B117" s="195" t="str">
        <f t="shared" si="31"/>
        <v/>
      </c>
      <c r="C117" s="507">
        <f>IF(D93="","-",+C116+1)</f>
        <v>2033</v>
      </c>
      <c r="D117" s="374">
        <f>IF(F116+SUM(E$99:E116)=D$92,F116,D$92-SUM(E$99:E116))</f>
        <v>6947111.0193325672</v>
      </c>
      <c r="E117" s="522">
        <f t="shared" si="37"/>
        <v>293111.39024390245</v>
      </c>
      <c r="F117" s="523">
        <f t="shared" si="38"/>
        <v>6653999.6290886644</v>
      </c>
      <c r="G117" s="523">
        <f t="shared" si="39"/>
        <v>6800555.3242106158</v>
      </c>
      <c r="H117" s="526">
        <f t="shared" si="40"/>
        <v>1065071.1667702897</v>
      </c>
      <c r="I117" s="577">
        <f t="shared" si="41"/>
        <v>1065071.1667702897</v>
      </c>
      <c r="J117" s="514">
        <f t="shared" si="32"/>
        <v>0</v>
      </c>
      <c r="K117" s="514"/>
      <c r="L117" s="525"/>
      <c r="M117" s="514">
        <f t="shared" si="26"/>
        <v>0</v>
      </c>
      <c r="N117" s="525"/>
      <c r="O117" s="514">
        <f t="shared" si="28"/>
        <v>0</v>
      </c>
      <c r="P117" s="514">
        <f t="shared" si="29"/>
        <v>0</v>
      </c>
    </row>
    <row r="118" spans="2:16">
      <c r="B118" s="195" t="str">
        <f t="shared" si="31"/>
        <v/>
      </c>
      <c r="C118" s="507">
        <f>IF(D93="","-",+C117+1)</f>
        <v>2034</v>
      </c>
      <c r="D118" s="374">
        <f>IF(F117+SUM(E$99:E117)=D$92,F117,D$92-SUM(E$99:E117))</f>
        <v>6653999.6290886644</v>
      </c>
      <c r="E118" s="522">
        <f t="shared" si="37"/>
        <v>293111.39024390245</v>
      </c>
      <c r="F118" s="523">
        <f t="shared" si="38"/>
        <v>6360888.2388447616</v>
      </c>
      <c r="G118" s="523">
        <f t="shared" si="39"/>
        <v>6507443.933966713</v>
      </c>
      <c r="H118" s="526">
        <f t="shared" si="40"/>
        <v>1031798.8540659905</v>
      </c>
      <c r="I118" s="577">
        <f t="shared" si="41"/>
        <v>1031798.8540659905</v>
      </c>
      <c r="J118" s="514">
        <f t="shared" si="32"/>
        <v>0</v>
      </c>
      <c r="K118" s="514"/>
      <c r="L118" s="525"/>
      <c r="M118" s="514">
        <f t="shared" si="26"/>
        <v>0</v>
      </c>
      <c r="N118" s="525"/>
      <c r="O118" s="514">
        <f t="shared" si="28"/>
        <v>0</v>
      </c>
      <c r="P118" s="514">
        <f t="shared" si="29"/>
        <v>0</v>
      </c>
    </row>
    <row r="119" spans="2:16">
      <c r="B119" s="195" t="str">
        <f t="shared" si="31"/>
        <v/>
      </c>
      <c r="C119" s="507">
        <f>IF(D93="","-",+C118+1)</f>
        <v>2035</v>
      </c>
      <c r="D119" s="374">
        <f>IF(F118+SUM(E$99:E118)=D$92,F118,D$92-SUM(E$99:E118))</f>
        <v>6360888.2388447616</v>
      </c>
      <c r="E119" s="522">
        <f t="shared" si="37"/>
        <v>293111.39024390245</v>
      </c>
      <c r="F119" s="523">
        <f t="shared" si="38"/>
        <v>6067776.8486008588</v>
      </c>
      <c r="G119" s="523">
        <f t="shared" si="39"/>
        <v>6214332.5437228102</v>
      </c>
      <c r="H119" s="526">
        <f t="shared" si="40"/>
        <v>998526.54136169143</v>
      </c>
      <c r="I119" s="577">
        <f t="shared" si="41"/>
        <v>998526.54136169143</v>
      </c>
      <c r="J119" s="514">
        <f t="shared" si="32"/>
        <v>0</v>
      </c>
      <c r="K119" s="514"/>
      <c r="L119" s="525"/>
      <c r="M119" s="514">
        <f t="shared" si="26"/>
        <v>0</v>
      </c>
      <c r="N119" s="525"/>
      <c r="O119" s="514">
        <f t="shared" si="28"/>
        <v>0</v>
      </c>
      <c r="P119" s="514">
        <f t="shared" si="29"/>
        <v>0</v>
      </c>
    </row>
    <row r="120" spans="2:16">
      <c r="B120" s="195" t="str">
        <f t="shared" si="31"/>
        <v/>
      </c>
      <c r="C120" s="507">
        <f>IF(D93="","-",+C119+1)</f>
        <v>2036</v>
      </c>
      <c r="D120" s="374">
        <f>IF(F119+SUM(E$99:E119)=D$92,F119,D$92-SUM(E$99:E119))</f>
        <v>6067776.8486008588</v>
      </c>
      <c r="E120" s="522">
        <f t="shared" si="37"/>
        <v>293111.39024390245</v>
      </c>
      <c r="F120" s="523">
        <f t="shared" si="38"/>
        <v>5774665.458356956</v>
      </c>
      <c r="G120" s="523">
        <f t="shared" si="39"/>
        <v>5921221.1534789074</v>
      </c>
      <c r="H120" s="526">
        <f t="shared" si="40"/>
        <v>965254.22865739232</v>
      </c>
      <c r="I120" s="577">
        <f t="shared" si="41"/>
        <v>965254.22865739232</v>
      </c>
      <c r="J120" s="514">
        <f t="shared" si="32"/>
        <v>0</v>
      </c>
      <c r="K120" s="514"/>
      <c r="L120" s="525"/>
      <c r="M120" s="514">
        <f t="shared" si="26"/>
        <v>0</v>
      </c>
      <c r="N120" s="525"/>
      <c r="O120" s="514">
        <f t="shared" si="28"/>
        <v>0</v>
      </c>
      <c r="P120" s="514">
        <f t="shared" si="29"/>
        <v>0</v>
      </c>
    </row>
    <row r="121" spans="2:16">
      <c r="B121" s="195" t="str">
        <f t="shared" si="31"/>
        <v/>
      </c>
      <c r="C121" s="507">
        <f>IF(D93="","-",+C120+1)</f>
        <v>2037</v>
      </c>
      <c r="D121" s="374">
        <f>IF(F120+SUM(E$99:E120)=D$92,F120,D$92-SUM(E$99:E120))</f>
        <v>5774665.458356956</v>
      </c>
      <c r="E121" s="522">
        <f t="shared" si="37"/>
        <v>293111.39024390245</v>
      </c>
      <c r="F121" s="523">
        <f t="shared" si="38"/>
        <v>5481554.0681130532</v>
      </c>
      <c r="G121" s="523">
        <f t="shared" si="39"/>
        <v>5628109.7632350046</v>
      </c>
      <c r="H121" s="526">
        <f t="shared" si="40"/>
        <v>931981.91595309321</v>
      </c>
      <c r="I121" s="577">
        <f t="shared" si="41"/>
        <v>931981.91595309321</v>
      </c>
      <c r="J121" s="514">
        <f t="shared" si="32"/>
        <v>0</v>
      </c>
      <c r="K121" s="514"/>
      <c r="L121" s="525"/>
      <c r="M121" s="514">
        <f t="shared" si="26"/>
        <v>0</v>
      </c>
      <c r="N121" s="525"/>
      <c r="O121" s="514">
        <f t="shared" si="28"/>
        <v>0</v>
      </c>
      <c r="P121" s="514">
        <f t="shared" si="29"/>
        <v>0</v>
      </c>
    </row>
    <row r="122" spans="2:16">
      <c r="B122" s="195" t="str">
        <f t="shared" si="31"/>
        <v/>
      </c>
      <c r="C122" s="507">
        <f>IF(D93="","-",+C121+1)</f>
        <v>2038</v>
      </c>
      <c r="D122" s="374">
        <f>IF(F121+SUM(E$99:E121)=D$92,F121,D$92-SUM(E$99:E121))</f>
        <v>5481554.0681130532</v>
      </c>
      <c r="E122" s="522">
        <f t="shared" si="37"/>
        <v>293111.39024390245</v>
      </c>
      <c r="F122" s="523">
        <f t="shared" si="38"/>
        <v>5188442.6778691504</v>
      </c>
      <c r="G122" s="523">
        <f t="shared" si="39"/>
        <v>5334998.3729911018</v>
      </c>
      <c r="H122" s="526">
        <f t="shared" si="40"/>
        <v>898709.6032487941</v>
      </c>
      <c r="I122" s="577">
        <f t="shared" si="41"/>
        <v>898709.6032487941</v>
      </c>
      <c r="J122" s="514">
        <f t="shared" si="32"/>
        <v>0</v>
      </c>
      <c r="K122" s="514"/>
      <c r="L122" s="525"/>
      <c r="M122" s="514">
        <f t="shared" si="26"/>
        <v>0</v>
      </c>
      <c r="N122" s="525"/>
      <c r="O122" s="514">
        <f t="shared" si="28"/>
        <v>0</v>
      </c>
      <c r="P122" s="514">
        <f t="shared" si="29"/>
        <v>0</v>
      </c>
    </row>
    <row r="123" spans="2:16">
      <c r="B123" s="195" t="str">
        <f t="shared" si="31"/>
        <v/>
      </c>
      <c r="C123" s="507">
        <f>IF(D93="","-",+C122+1)</f>
        <v>2039</v>
      </c>
      <c r="D123" s="374">
        <f>IF(F122+SUM(E$99:E122)=D$92,F122,D$92-SUM(E$99:E122))</f>
        <v>5188442.6778691504</v>
      </c>
      <c r="E123" s="522">
        <f t="shared" si="37"/>
        <v>293111.39024390245</v>
      </c>
      <c r="F123" s="523">
        <f t="shared" si="38"/>
        <v>4895331.2876252476</v>
      </c>
      <c r="G123" s="523">
        <f t="shared" si="39"/>
        <v>5041886.982747199</v>
      </c>
      <c r="H123" s="526">
        <f t="shared" si="40"/>
        <v>865437.29054449499</v>
      </c>
      <c r="I123" s="577">
        <f t="shared" si="41"/>
        <v>865437.29054449499</v>
      </c>
      <c r="J123" s="514">
        <f t="shared" si="32"/>
        <v>0</v>
      </c>
      <c r="K123" s="514"/>
      <c r="L123" s="525"/>
      <c r="M123" s="514">
        <f t="shared" si="26"/>
        <v>0</v>
      </c>
      <c r="N123" s="525"/>
      <c r="O123" s="514">
        <f t="shared" si="28"/>
        <v>0</v>
      </c>
      <c r="P123" s="514">
        <f t="shared" si="29"/>
        <v>0</v>
      </c>
    </row>
    <row r="124" spans="2:16">
      <c r="B124" s="195" t="str">
        <f t="shared" si="31"/>
        <v/>
      </c>
      <c r="C124" s="507">
        <f>IF(D93="","-",+C123+1)</f>
        <v>2040</v>
      </c>
      <c r="D124" s="374">
        <f>IF(F123+SUM(E$99:E123)=D$92,F123,D$92-SUM(E$99:E123))</f>
        <v>4895331.2876252476</v>
      </c>
      <c r="E124" s="522">
        <f t="shared" si="37"/>
        <v>293111.39024390245</v>
      </c>
      <c r="F124" s="523">
        <f t="shared" si="38"/>
        <v>4602219.8973813448</v>
      </c>
      <c r="G124" s="523">
        <f t="shared" si="39"/>
        <v>4748775.5925032962</v>
      </c>
      <c r="H124" s="526">
        <f t="shared" si="40"/>
        <v>832164.97784019588</v>
      </c>
      <c r="I124" s="577">
        <f t="shared" si="41"/>
        <v>832164.97784019588</v>
      </c>
      <c r="J124" s="514">
        <f t="shared" si="32"/>
        <v>0</v>
      </c>
      <c r="K124" s="514"/>
      <c r="L124" s="525"/>
      <c r="M124" s="514">
        <f t="shared" si="26"/>
        <v>0</v>
      </c>
      <c r="N124" s="525"/>
      <c r="O124" s="514">
        <f t="shared" si="28"/>
        <v>0</v>
      </c>
      <c r="P124" s="514">
        <f t="shared" si="29"/>
        <v>0</v>
      </c>
    </row>
    <row r="125" spans="2:16">
      <c r="B125" s="195" t="str">
        <f t="shared" si="31"/>
        <v/>
      </c>
      <c r="C125" s="507">
        <f>IF(D93="","-",+C124+1)</f>
        <v>2041</v>
      </c>
      <c r="D125" s="374">
        <f>IF(F124+SUM(E$99:E124)=D$92,F124,D$92-SUM(E$99:E124))</f>
        <v>4602219.8973813448</v>
      </c>
      <c r="E125" s="522">
        <f t="shared" si="37"/>
        <v>293111.39024390245</v>
      </c>
      <c r="F125" s="523">
        <f t="shared" si="38"/>
        <v>4309108.507137442</v>
      </c>
      <c r="G125" s="523">
        <f t="shared" si="39"/>
        <v>4455664.2022593934</v>
      </c>
      <c r="H125" s="526">
        <f t="shared" si="40"/>
        <v>798892.66513589676</v>
      </c>
      <c r="I125" s="577">
        <f t="shared" si="41"/>
        <v>798892.66513589676</v>
      </c>
      <c r="J125" s="514">
        <f t="shared" si="32"/>
        <v>0</v>
      </c>
      <c r="K125" s="514"/>
      <c r="L125" s="525"/>
      <c r="M125" s="514">
        <f t="shared" si="26"/>
        <v>0</v>
      </c>
      <c r="N125" s="525"/>
      <c r="O125" s="514">
        <f t="shared" si="28"/>
        <v>0</v>
      </c>
      <c r="P125" s="514">
        <f t="shared" si="29"/>
        <v>0</v>
      </c>
    </row>
    <row r="126" spans="2:16">
      <c r="B126" s="195" t="str">
        <f t="shared" si="31"/>
        <v/>
      </c>
      <c r="C126" s="507">
        <f>IF(D93="","-",+C125+1)</f>
        <v>2042</v>
      </c>
      <c r="D126" s="374">
        <f>IF(F125+SUM(E$99:E125)=D$92,F125,D$92-SUM(E$99:E125))</f>
        <v>4309108.507137442</v>
      </c>
      <c r="E126" s="522">
        <f t="shared" si="37"/>
        <v>293111.39024390245</v>
      </c>
      <c r="F126" s="523">
        <f t="shared" si="38"/>
        <v>4015997.1168935397</v>
      </c>
      <c r="G126" s="523">
        <f t="shared" si="39"/>
        <v>4162552.8120154906</v>
      </c>
      <c r="H126" s="526">
        <f t="shared" si="40"/>
        <v>765620.35243159765</v>
      </c>
      <c r="I126" s="577">
        <f t="shared" si="41"/>
        <v>765620.35243159765</v>
      </c>
      <c r="J126" s="514">
        <f t="shared" si="32"/>
        <v>0</v>
      </c>
      <c r="K126" s="514"/>
      <c r="L126" s="525"/>
      <c r="M126" s="514">
        <f t="shared" si="26"/>
        <v>0</v>
      </c>
      <c r="N126" s="525"/>
      <c r="O126" s="514">
        <f t="shared" si="28"/>
        <v>0</v>
      </c>
      <c r="P126" s="514">
        <f t="shared" si="29"/>
        <v>0</v>
      </c>
    </row>
    <row r="127" spans="2:16">
      <c r="B127" s="195" t="str">
        <f t="shared" si="31"/>
        <v/>
      </c>
      <c r="C127" s="507">
        <f>IF(D93="","-",+C126+1)</f>
        <v>2043</v>
      </c>
      <c r="D127" s="374">
        <f>IF(F126+SUM(E$99:E126)=D$92,F126,D$92-SUM(E$99:E126))</f>
        <v>4015997.1168935397</v>
      </c>
      <c r="E127" s="522">
        <f t="shared" si="37"/>
        <v>293111.39024390245</v>
      </c>
      <c r="F127" s="523">
        <f t="shared" si="38"/>
        <v>3722885.7266496373</v>
      </c>
      <c r="G127" s="523">
        <f t="shared" si="39"/>
        <v>3869441.4217715887</v>
      </c>
      <c r="H127" s="526">
        <f t="shared" si="40"/>
        <v>732348.03972729854</v>
      </c>
      <c r="I127" s="577">
        <f t="shared" si="41"/>
        <v>732348.03972729854</v>
      </c>
      <c r="J127" s="514">
        <f t="shared" si="32"/>
        <v>0</v>
      </c>
      <c r="K127" s="514"/>
      <c r="L127" s="525"/>
      <c r="M127" s="514">
        <f t="shared" si="26"/>
        <v>0</v>
      </c>
      <c r="N127" s="525"/>
      <c r="O127" s="514">
        <f t="shared" si="28"/>
        <v>0</v>
      </c>
      <c r="P127" s="514">
        <f t="shared" si="29"/>
        <v>0</v>
      </c>
    </row>
    <row r="128" spans="2:16">
      <c r="B128" s="195" t="str">
        <f t="shared" si="31"/>
        <v/>
      </c>
      <c r="C128" s="507">
        <f>IF(D93="","-",+C127+1)</f>
        <v>2044</v>
      </c>
      <c r="D128" s="374">
        <f>IF(F127+SUM(E$99:E127)=D$92,F127,D$92-SUM(E$99:E127))</f>
        <v>3722885.7266496373</v>
      </c>
      <c r="E128" s="522">
        <f t="shared" si="37"/>
        <v>293111.39024390245</v>
      </c>
      <c r="F128" s="523">
        <f t="shared" si="38"/>
        <v>3429774.336405735</v>
      </c>
      <c r="G128" s="523">
        <f t="shared" si="39"/>
        <v>3576330.0315276859</v>
      </c>
      <c r="H128" s="526">
        <f t="shared" si="40"/>
        <v>699075.72702299943</v>
      </c>
      <c r="I128" s="577">
        <f t="shared" si="41"/>
        <v>699075.72702299943</v>
      </c>
      <c r="J128" s="514">
        <f t="shared" si="32"/>
        <v>0</v>
      </c>
      <c r="K128" s="514"/>
      <c r="L128" s="525"/>
      <c r="M128" s="514">
        <f t="shared" si="26"/>
        <v>0</v>
      </c>
      <c r="N128" s="525"/>
      <c r="O128" s="514">
        <f t="shared" si="28"/>
        <v>0</v>
      </c>
      <c r="P128" s="514">
        <f t="shared" si="29"/>
        <v>0</v>
      </c>
    </row>
    <row r="129" spans="2:16">
      <c r="B129" s="195" t="str">
        <f t="shared" si="31"/>
        <v/>
      </c>
      <c r="C129" s="507">
        <f>IF(D93="","-",+C128+1)</f>
        <v>2045</v>
      </c>
      <c r="D129" s="374">
        <f>IF(F128+SUM(E$99:E128)=D$92,F128,D$92-SUM(E$99:E128))</f>
        <v>3429774.336405735</v>
      </c>
      <c r="E129" s="522">
        <f t="shared" si="37"/>
        <v>293111.39024390245</v>
      </c>
      <c r="F129" s="523">
        <f t="shared" si="38"/>
        <v>3136662.9461618327</v>
      </c>
      <c r="G129" s="523">
        <f t="shared" si="39"/>
        <v>3283218.6412837841</v>
      </c>
      <c r="H129" s="526">
        <f t="shared" si="40"/>
        <v>665803.41431870044</v>
      </c>
      <c r="I129" s="577">
        <f t="shared" si="41"/>
        <v>665803.41431870044</v>
      </c>
      <c r="J129" s="514">
        <f t="shared" si="32"/>
        <v>0</v>
      </c>
      <c r="K129" s="514"/>
      <c r="L129" s="525"/>
      <c r="M129" s="514">
        <f t="shared" si="26"/>
        <v>0</v>
      </c>
      <c r="N129" s="525"/>
      <c r="O129" s="514">
        <f t="shared" si="28"/>
        <v>0</v>
      </c>
      <c r="P129" s="514">
        <f t="shared" si="29"/>
        <v>0</v>
      </c>
    </row>
    <row r="130" spans="2:16">
      <c r="B130" s="195" t="str">
        <f t="shared" si="31"/>
        <v/>
      </c>
      <c r="C130" s="507">
        <f>IF(D93="","-",+C129+1)</f>
        <v>2046</v>
      </c>
      <c r="D130" s="374">
        <f>IF(F129+SUM(E$99:E129)=D$92,F129,D$92-SUM(E$99:E129))</f>
        <v>3136662.9461618327</v>
      </c>
      <c r="E130" s="522">
        <f t="shared" si="37"/>
        <v>293111.39024390245</v>
      </c>
      <c r="F130" s="523">
        <f t="shared" si="38"/>
        <v>2843551.5559179303</v>
      </c>
      <c r="G130" s="523">
        <f t="shared" si="39"/>
        <v>2990107.2510398813</v>
      </c>
      <c r="H130" s="526">
        <f t="shared" si="40"/>
        <v>632531.10161440133</v>
      </c>
      <c r="I130" s="577">
        <f t="shared" si="41"/>
        <v>632531.10161440133</v>
      </c>
      <c r="J130" s="514">
        <f t="shared" si="32"/>
        <v>0</v>
      </c>
      <c r="K130" s="514"/>
      <c r="L130" s="525"/>
      <c r="M130" s="514">
        <f t="shared" si="26"/>
        <v>0</v>
      </c>
      <c r="N130" s="525"/>
      <c r="O130" s="514">
        <f t="shared" si="28"/>
        <v>0</v>
      </c>
      <c r="P130" s="514">
        <f t="shared" si="29"/>
        <v>0</v>
      </c>
    </row>
    <row r="131" spans="2:16">
      <c r="B131" s="195" t="str">
        <f t="shared" si="31"/>
        <v/>
      </c>
      <c r="C131" s="507">
        <f>IF(D93="","-",+C130+1)</f>
        <v>2047</v>
      </c>
      <c r="D131" s="374">
        <f>IF(F130+SUM(E$99:E130)=D$92,F130,D$92-SUM(E$99:E130))</f>
        <v>2843551.5559179303</v>
      </c>
      <c r="E131" s="522">
        <f t="shared" si="37"/>
        <v>293111.39024390245</v>
      </c>
      <c r="F131" s="523">
        <f t="shared" si="38"/>
        <v>2550440.165674028</v>
      </c>
      <c r="G131" s="523">
        <f t="shared" si="39"/>
        <v>2696995.8607959794</v>
      </c>
      <c r="H131" s="526">
        <f t="shared" si="40"/>
        <v>599258.78891010233</v>
      </c>
      <c r="I131" s="577">
        <f t="shared" si="41"/>
        <v>599258.78891010233</v>
      </c>
      <c r="J131" s="514">
        <f t="shared" si="32"/>
        <v>0</v>
      </c>
      <c r="K131" s="514"/>
      <c r="L131" s="525"/>
      <c r="M131" s="514">
        <f t="shared" ref="M131:M154" si="42">IF(L541&lt;&gt;0,+H541-L541,0)</f>
        <v>0</v>
      </c>
      <c r="N131" s="525"/>
      <c r="O131" s="514">
        <f t="shared" ref="O131:O154" si="43">IF(N541&lt;&gt;0,+I541-N541,0)</f>
        <v>0</v>
      </c>
      <c r="P131" s="514">
        <f t="shared" ref="P131:P154" si="44">+O541-M541</f>
        <v>0</v>
      </c>
    </row>
    <row r="132" spans="2:16">
      <c r="B132" s="195" t="str">
        <f t="shared" si="31"/>
        <v/>
      </c>
      <c r="C132" s="507">
        <f>IF(D93="","-",+C131+1)</f>
        <v>2048</v>
      </c>
      <c r="D132" s="374">
        <f>IF(F131+SUM(E$99:E131)=D$92,F131,D$92-SUM(E$99:E131))</f>
        <v>2550440.165674028</v>
      </c>
      <c r="E132" s="522">
        <f t="shared" si="37"/>
        <v>293111.39024390245</v>
      </c>
      <c r="F132" s="523">
        <f t="shared" si="38"/>
        <v>2257328.7754301257</v>
      </c>
      <c r="G132" s="523">
        <f t="shared" si="39"/>
        <v>2403884.4705520766</v>
      </c>
      <c r="H132" s="526">
        <f t="shared" si="40"/>
        <v>565986.47620580322</v>
      </c>
      <c r="I132" s="577">
        <f t="shared" si="41"/>
        <v>565986.47620580322</v>
      </c>
      <c r="J132" s="514">
        <f t="shared" si="32"/>
        <v>0</v>
      </c>
      <c r="K132" s="514"/>
      <c r="L132" s="525"/>
      <c r="M132" s="514">
        <f t="shared" si="42"/>
        <v>0</v>
      </c>
      <c r="N132" s="525"/>
      <c r="O132" s="514">
        <f t="shared" si="43"/>
        <v>0</v>
      </c>
      <c r="P132" s="514">
        <f t="shared" si="44"/>
        <v>0</v>
      </c>
    </row>
    <row r="133" spans="2:16">
      <c r="B133" s="195" t="str">
        <f t="shared" si="31"/>
        <v/>
      </c>
      <c r="C133" s="507">
        <f>IF(D93="","-",+C132+1)</f>
        <v>2049</v>
      </c>
      <c r="D133" s="374">
        <f>IF(F132+SUM(E$99:E132)=D$92,F132,D$92-SUM(E$99:E132))</f>
        <v>2257328.7754301257</v>
      </c>
      <c r="E133" s="522">
        <f t="shared" si="37"/>
        <v>293111.39024390245</v>
      </c>
      <c r="F133" s="523">
        <f t="shared" si="38"/>
        <v>1964217.3851862233</v>
      </c>
      <c r="G133" s="523">
        <f t="shared" si="39"/>
        <v>2110773.0803081747</v>
      </c>
      <c r="H133" s="526">
        <f t="shared" si="40"/>
        <v>532714.16350150423</v>
      </c>
      <c r="I133" s="577">
        <f t="shared" si="41"/>
        <v>532714.16350150423</v>
      </c>
      <c r="J133" s="514">
        <f t="shared" si="32"/>
        <v>0</v>
      </c>
      <c r="K133" s="514"/>
      <c r="L133" s="525"/>
      <c r="M133" s="514">
        <f t="shared" si="42"/>
        <v>0</v>
      </c>
      <c r="N133" s="525"/>
      <c r="O133" s="514">
        <f t="shared" si="43"/>
        <v>0</v>
      </c>
      <c r="P133" s="514">
        <f t="shared" si="44"/>
        <v>0</v>
      </c>
    </row>
    <row r="134" spans="2:16">
      <c r="B134" s="195" t="str">
        <f t="shared" si="31"/>
        <v/>
      </c>
      <c r="C134" s="507">
        <f>IF(D93="","-",+C133+1)</f>
        <v>2050</v>
      </c>
      <c r="D134" s="374">
        <f>IF(F133+SUM(E$99:E133)=D$92,F133,D$92-SUM(E$99:E133))</f>
        <v>1964217.3851862233</v>
      </c>
      <c r="E134" s="522">
        <f t="shared" si="37"/>
        <v>293111.39024390245</v>
      </c>
      <c r="F134" s="523">
        <f t="shared" si="38"/>
        <v>1671105.994942321</v>
      </c>
      <c r="G134" s="523">
        <f t="shared" si="39"/>
        <v>1817661.6900642721</v>
      </c>
      <c r="H134" s="526">
        <f t="shared" si="40"/>
        <v>499441.85079720512</v>
      </c>
      <c r="I134" s="577">
        <f t="shared" si="41"/>
        <v>499441.85079720512</v>
      </c>
      <c r="J134" s="514">
        <f t="shared" si="32"/>
        <v>0</v>
      </c>
      <c r="K134" s="514"/>
      <c r="L134" s="525"/>
      <c r="M134" s="514">
        <f t="shared" si="42"/>
        <v>0</v>
      </c>
      <c r="N134" s="525"/>
      <c r="O134" s="514">
        <f t="shared" si="43"/>
        <v>0</v>
      </c>
      <c r="P134" s="514">
        <f t="shared" si="44"/>
        <v>0</v>
      </c>
    </row>
    <row r="135" spans="2:16">
      <c r="B135" s="195" t="str">
        <f t="shared" si="31"/>
        <v/>
      </c>
      <c r="C135" s="507">
        <f>IF(D93="","-",+C134+1)</f>
        <v>2051</v>
      </c>
      <c r="D135" s="374">
        <f>IF(F134+SUM(E$99:E134)=D$92,F134,D$92-SUM(E$99:E134))</f>
        <v>1671105.994942321</v>
      </c>
      <c r="E135" s="522">
        <f t="shared" si="37"/>
        <v>293111.39024390245</v>
      </c>
      <c r="F135" s="523">
        <f t="shared" si="38"/>
        <v>1377994.6046984186</v>
      </c>
      <c r="G135" s="523">
        <f t="shared" si="39"/>
        <v>1524550.2998203698</v>
      </c>
      <c r="H135" s="526">
        <f t="shared" si="40"/>
        <v>466169.538092906</v>
      </c>
      <c r="I135" s="577">
        <f t="shared" si="41"/>
        <v>466169.538092906</v>
      </c>
      <c r="J135" s="514">
        <f t="shared" si="32"/>
        <v>0</v>
      </c>
      <c r="K135" s="514"/>
      <c r="L135" s="525"/>
      <c r="M135" s="514">
        <f t="shared" si="42"/>
        <v>0</v>
      </c>
      <c r="N135" s="525"/>
      <c r="O135" s="514">
        <f t="shared" si="43"/>
        <v>0</v>
      </c>
      <c r="P135" s="514">
        <f t="shared" si="44"/>
        <v>0</v>
      </c>
    </row>
    <row r="136" spans="2:16">
      <c r="B136" s="195" t="str">
        <f t="shared" si="31"/>
        <v/>
      </c>
      <c r="C136" s="507">
        <f>IF(D93="","-",+C135+1)</f>
        <v>2052</v>
      </c>
      <c r="D136" s="374">
        <f>IF(F135+SUM(E$99:E135)=D$92,F135,D$92-SUM(E$99:E135))</f>
        <v>1377994.6046984186</v>
      </c>
      <c r="E136" s="522">
        <f t="shared" si="37"/>
        <v>293111.39024390245</v>
      </c>
      <c r="F136" s="523">
        <f t="shared" si="38"/>
        <v>1084883.2144545163</v>
      </c>
      <c r="G136" s="523">
        <f t="shared" si="39"/>
        <v>1231438.9095764675</v>
      </c>
      <c r="H136" s="526">
        <f t="shared" si="40"/>
        <v>432897.22538860701</v>
      </c>
      <c r="I136" s="577">
        <f t="shared" si="41"/>
        <v>432897.22538860701</v>
      </c>
      <c r="J136" s="514">
        <f t="shared" si="32"/>
        <v>0</v>
      </c>
      <c r="K136" s="514"/>
      <c r="L136" s="525"/>
      <c r="M136" s="514">
        <f t="shared" si="42"/>
        <v>0</v>
      </c>
      <c r="N136" s="525"/>
      <c r="O136" s="514">
        <f t="shared" si="43"/>
        <v>0</v>
      </c>
      <c r="P136" s="514">
        <f t="shared" si="44"/>
        <v>0</v>
      </c>
    </row>
    <row r="137" spans="2:16">
      <c r="B137" s="195" t="str">
        <f t="shared" si="31"/>
        <v/>
      </c>
      <c r="C137" s="507">
        <f>IF(D93="","-",+C136+1)</f>
        <v>2053</v>
      </c>
      <c r="D137" s="374">
        <f>IF(F136+SUM(E$99:E136)=D$92,F136,D$92-SUM(E$99:E136))</f>
        <v>1084883.2144545163</v>
      </c>
      <c r="E137" s="522">
        <f t="shared" si="37"/>
        <v>293111.39024390245</v>
      </c>
      <c r="F137" s="523">
        <f t="shared" si="38"/>
        <v>791771.82421061385</v>
      </c>
      <c r="G137" s="523">
        <f t="shared" si="39"/>
        <v>938327.51933256513</v>
      </c>
      <c r="H137" s="526">
        <f t="shared" si="40"/>
        <v>399624.9126843079</v>
      </c>
      <c r="I137" s="577">
        <f t="shared" si="41"/>
        <v>399624.9126843079</v>
      </c>
      <c r="J137" s="514">
        <f t="shared" si="32"/>
        <v>0</v>
      </c>
      <c r="K137" s="514"/>
      <c r="L137" s="525"/>
      <c r="M137" s="514">
        <f t="shared" si="42"/>
        <v>0</v>
      </c>
      <c r="N137" s="525"/>
      <c r="O137" s="514">
        <f t="shared" si="43"/>
        <v>0</v>
      </c>
      <c r="P137" s="514">
        <f t="shared" si="44"/>
        <v>0</v>
      </c>
    </row>
    <row r="138" spans="2:16">
      <c r="B138" s="195" t="str">
        <f t="shared" si="31"/>
        <v/>
      </c>
      <c r="C138" s="507">
        <f>IF(D93="","-",+C137+1)</f>
        <v>2054</v>
      </c>
      <c r="D138" s="374">
        <f>IF(F137+SUM(E$99:E137)=D$92,F137,D$92-SUM(E$99:E137))</f>
        <v>791771.82421061385</v>
      </c>
      <c r="E138" s="522">
        <f t="shared" si="37"/>
        <v>293111.39024390245</v>
      </c>
      <c r="F138" s="523">
        <f t="shared" si="38"/>
        <v>498660.4339667114</v>
      </c>
      <c r="G138" s="523">
        <f t="shared" si="39"/>
        <v>645216.12908866256</v>
      </c>
      <c r="H138" s="526">
        <f t="shared" si="40"/>
        <v>366352.59998000879</v>
      </c>
      <c r="I138" s="577">
        <f t="shared" si="41"/>
        <v>366352.59998000879</v>
      </c>
      <c r="J138" s="514">
        <f t="shared" si="32"/>
        <v>0</v>
      </c>
      <c r="K138" s="514"/>
      <c r="L138" s="525"/>
      <c r="M138" s="514">
        <f t="shared" si="42"/>
        <v>0</v>
      </c>
      <c r="N138" s="525"/>
      <c r="O138" s="514">
        <f t="shared" si="43"/>
        <v>0</v>
      </c>
      <c r="P138" s="514">
        <f t="shared" si="44"/>
        <v>0</v>
      </c>
    </row>
    <row r="139" spans="2:16">
      <c r="B139" s="195" t="str">
        <f t="shared" si="31"/>
        <v/>
      </c>
      <c r="C139" s="507">
        <f>IF(D93="","-",+C138+1)</f>
        <v>2055</v>
      </c>
      <c r="D139" s="374">
        <f>IF(F138+SUM(E$99:E138)=D$92,F138,D$92-SUM(E$99:E138))</f>
        <v>498660.4339667114</v>
      </c>
      <c r="E139" s="522">
        <f t="shared" si="37"/>
        <v>293111.39024390245</v>
      </c>
      <c r="F139" s="523">
        <f t="shared" si="38"/>
        <v>205549.04372280894</v>
      </c>
      <c r="G139" s="523">
        <f t="shared" si="39"/>
        <v>352104.73884476017</v>
      </c>
      <c r="H139" s="526">
        <f t="shared" si="40"/>
        <v>333080.28727570974</v>
      </c>
      <c r="I139" s="577">
        <f t="shared" si="41"/>
        <v>333080.28727570974</v>
      </c>
      <c r="J139" s="514">
        <f t="shared" si="32"/>
        <v>0</v>
      </c>
      <c r="K139" s="514"/>
      <c r="L139" s="525"/>
      <c r="M139" s="514">
        <f t="shared" si="42"/>
        <v>0</v>
      </c>
      <c r="N139" s="525"/>
      <c r="O139" s="514">
        <f t="shared" si="43"/>
        <v>0</v>
      </c>
      <c r="P139" s="514">
        <f t="shared" si="44"/>
        <v>0</v>
      </c>
    </row>
    <row r="140" spans="2:16">
      <c r="B140" s="195" t="str">
        <f t="shared" si="31"/>
        <v/>
      </c>
      <c r="C140" s="507">
        <f>IF(D93="","-",+C139+1)</f>
        <v>2056</v>
      </c>
      <c r="D140" s="374">
        <f>IF(F139+SUM(E$99:E139)=D$92,F139,D$92-SUM(E$99:E139))</f>
        <v>205549.04372280894</v>
      </c>
      <c r="E140" s="522">
        <f t="shared" si="37"/>
        <v>205549.04372280894</v>
      </c>
      <c r="F140" s="523">
        <f t="shared" si="38"/>
        <v>0</v>
      </c>
      <c r="G140" s="523">
        <f t="shared" si="39"/>
        <v>102774.52186140447</v>
      </c>
      <c r="H140" s="526">
        <f t="shared" si="40"/>
        <v>217215.41406263784</v>
      </c>
      <c r="I140" s="577">
        <f t="shared" si="41"/>
        <v>217215.41406263784</v>
      </c>
      <c r="J140" s="514">
        <f t="shared" si="32"/>
        <v>0</v>
      </c>
      <c r="K140" s="514"/>
      <c r="L140" s="525"/>
      <c r="M140" s="514">
        <f t="shared" si="42"/>
        <v>0</v>
      </c>
      <c r="N140" s="525"/>
      <c r="O140" s="514">
        <f t="shared" si="43"/>
        <v>0</v>
      </c>
      <c r="P140" s="514">
        <f t="shared" si="44"/>
        <v>0</v>
      </c>
    </row>
    <row r="141" spans="2:16">
      <c r="B141" s="195" t="str">
        <f t="shared" si="31"/>
        <v/>
      </c>
      <c r="C141" s="507">
        <f>IF(D93="","-",+C140+1)</f>
        <v>2057</v>
      </c>
      <c r="D141" s="374">
        <f>IF(F140+SUM(E$99:E140)=D$92,F140,D$92-SUM(E$99:E140))</f>
        <v>0</v>
      </c>
      <c r="E141" s="522">
        <f t="shared" si="37"/>
        <v>0</v>
      </c>
      <c r="F141" s="523">
        <f t="shared" si="38"/>
        <v>0</v>
      </c>
      <c r="G141" s="523">
        <f t="shared" si="39"/>
        <v>0</v>
      </c>
      <c r="H141" s="526">
        <f t="shared" si="40"/>
        <v>0</v>
      </c>
      <c r="I141" s="577">
        <f t="shared" si="41"/>
        <v>0</v>
      </c>
      <c r="J141" s="514">
        <f t="shared" si="32"/>
        <v>0</v>
      </c>
      <c r="K141" s="514"/>
      <c r="L141" s="525"/>
      <c r="M141" s="514">
        <f t="shared" si="42"/>
        <v>0</v>
      </c>
      <c r="N141" s="525"/>
      <c r="O141" s="514">
        <f t="shared" si="43"/>
        <v>0</v>
      </c>
      <c r="P141" s="514">
        <f t="shared" si="44"/>
        <v>0</v>
      </c>
    </row>
    <row r="142" spans="2:16">
      <c r="B142" s="195" t="str">
        <f t="shared" si="31"/>
        <v/>
      </c>
      <c r="C142" s="507">
        <f>IF(D93="","-",+C141+1)</f>
        <v>2058</v>
      </c>
      <c r="D142" s="374">
        <f>IF(F141+SUM(E$99:E141)=D$92,F141,D$92-SUM(E$99:E141))</f>
        <v>0</v>
      </c>
      <c r="E142" s="522">
        <f t="shared" si="37"/>
        <v>0</v>
      </c>
      <c r="F142" s="523">
        <f t="shared" si="38"/>
        <v>0</v>
      </c>
      <c r="G142" s="523">
        <f t="shared" si="39"/>
        <v>0</v>
      </c>
      <c r="H142" s="526">
        <f t="shared" si="40"/>
        <v>0</v>
      </c>
      <c r="I142" s="577">
        <f t="shared" si="41"/>
        <v>0</v>
      </c>
      <c r="J142" s="514">
        <f t="shared" si="32"/>
        <v>0</v>
      </c>
      <c r="K142" s="514"/>
      <c r="L142" s="525"/>
      <c r="M142" s="514">
        <f t="shared" si="42"/>
        <v>0</v>
      </c>
      <c r="N142" s="525"/>
      <c r="O142" s="514">
        <f t="shared" si="43"/>
        <v>0</v>
      </c>
      <c r="P142" s="514">
        <f t="shared" si="44"/>
        <v>0</v>
      </c>
    </row>
    <row r="143" spans="2:16">
      <c r="B143" s="195" t="str">
        <f t="shared" si="31"/>
        <v/>
      </c>
      <c r="C143" s="507">
        <f>IF(D93="","-",+C142+1)</f>
        <v>2059</v>
      </c>
      <c r="D143" s="374">
        <f>IF(F142+SUM(E$99:E142)=D$92,F142,D$92-SUM(E$99:E142))</f>
        <v>0</v>
      </c>
      <c r="E143" s="522">
        <f t="shared" si="37"/>
        <v>0</v>
      </c>
      <c r="F143" s="523">
        <f t="shared" si="38"/>
        <v>0</v>
      </c>
      <c r="G143" s="523">
        <f t="shared" si="39"/>
        <v>0</v>
      </c>
      <c r="H143" s="526">
        <f t="shared" si="40"/>
        <v>0</v>
      </c>
      <c r="I143" s="577">
        <f t="shared" si="41"/>
        <v>0</v>
      </c>
      <c r="J143" s="514">
        <f t="shared" si="32"/>
        <v>0</v>
      </c>
      <c r="K143" s="514"/>
      <c r="L143" s="525"/>
      <c r="M143" s="514">
        <f t="shared" si="42"/>
        <v>0</v>
      </c>
      <c r="N143" s="525"/>
      <c r="O143" s="514">
        <f t="shared" si="43"/>
        <v>0</v>
      </c>
      <c r="P143" s="514">
        <f t="shared" si="44"/>
        <v>0</v>
      </c>
    </row>
    <row r="144" spans="2:16">
      <c r="B144" s="195" t="str">
        <f t="shared" si="31"/>
        <v/>
      </c>
      <c r="C144" s="507">
        <f>IF(D93="","-",+C143+1)</f>
        <v>2060</v>
      </c>
      <c r="D144" s="374">
        <f>IF(F143+SUM(E$99:E143)=D$92,F143,D$92-SUM(E$99:E143))</f>
        <v>0</v>
      </c>
      <c r="E144" s="522">
        <f t="shared" si="37"/>
        <v>0</v>
      </c>
      <c r="F144" s="523">
        <f t="shared" si="38"/>
        <v>0</v>
      </c>
      <c r="G144" s="523">
        <f t="shared" si="39"/>
        <v>0</v>
      </c>
      <c r="H144" s="526">
        <f t="shared" si="40"/>
        <v>0</v>
      </c>
      <c r="I144" s="577">
        <f t="shared" si="41"/>
        <v>0</v>
      </c>
      <c r="J144" s="514">
        <f t="shared" si="32"/>
        <v>0</v>
      </c>
      <c r="K144" s="514"/>
      <c r="L144" s="525"/>
      <c r="M144" s="514">
        <f t="shared" si="42"/>
        <v>0</v>
      </c>
      <c r="N144" s="525"/>
      <c r="O144" s="514">
        <f t="shared" si="43"/>
        <v>0</v>
      </c>
      <c r="P144" s="514">
        <f t="shared" si="44"/>
        <v>0</v>
      </c>
    </row>
    <row r="145" spans="2:16">
      <c r="B145" s="195" t="str">
        <f t="shared" si="31"/>
        <v/>
      </c>
      <c r="C145" s="507">
        <f>IF(D93="","-",+C144+1)</f>
        <v>2061</v>
      </c>
      <c r="D145" s="374">
        <f>IF(F144+SUM(E$99:E144)=D$92,F144,D$92-SUM(E$99:E144))</f>
        <v>0</v>
      </c>
      <c r="E145" s="522">
        <f t="shared" si="37"/>
        <v>0</v>
      </c>
      <c r="F145" s="523">
        <f t="shared" si="38"/>
        <v>0</v>
      </c>
      <c r="G145" s="523">
        <f t="shared" si="39"/>
        <v>0</v>
      </c>
      <c r="H145" s="526">
        <f t="shared" si="40"/>
        <v>0</v>
      </c>
      <c r="I145" s="577">
        <f t="shared" si="41"/>
        <v>0</v>
      </c>
      <c r="J145" s="514">
        <f t="shared" si="32"/>
        <v>0</v>
      </c>
      <c r="K145" s="514"/>
      <c r="L145" s="525"/>
      <c r="M145" s="514">
        <f t="shared" si="42"/>
        <v>0</v>
      </c>
      <c r="N145" s="525"/>
      <c r="O145" s="514">
        <f t="shared" si="43"/>
        <v>0</v>
      </c>
      <c r="P145" s="514">
        <f t="shared" si="44"/>
        <v>0</v>
      </c>
    </row>
    <row r="146" spans="2:16">
      <c r="B146" s="195" t="str">
        <f t="shared" si="31"/>
        <v/>
      </c>
      <c r="C146" s="507">
        <f>IF(D93="","-",+C145+1)</f>
        <v>2062</v>
      </c>
      <c r="D146" s="374">
        <f>IF(F145+SUM(E$99:E145)=D$92,F145,D$92-SUM(E$99:E145))</f>
        <v>0</v>
      </c>
      <c r="E146" s="522">
        <f t="shared" si="37"/>
        <v>0</v>
      </c>
      <c r="F146" s="523">
        <f t="shared" si="38"/>
        <v>0</v>
      </c>
      <c r="G146" s="523">
        <f t="shared" si="39"/>
        <v>0</v>
      </c>
      <c r="H146" s="526">
        <f t="shared" si="40"/>
        <v>0</v>
      </c>
      <c r="I146" s="577">
        <f t="shared" si="41"/>
        <v>0</v>
      </c>
      <c r="J146" s="514">
        <f t="shared" si="32"/>
        <v>0</v>
      </c>
      <c r="K146" s="514"/>
      <c r="L146" s="525"/>
      <c r="M146" s="514">
        <f t="shared" si="42"/>
        <v>0</v>
      </c>
      <c r="N146" s="525"/>
      <c r="O146" s="514">
        <f t="shared" si="43"/>
        <v>0</v>
      </c>
      <c r="P146" s="514">
        <f t="shared" si="44"/>
        <v>0</v>
      </c>
    </row>
    <row r="147" spans="2:16">
      <c r="B147" s="195" t="str">
        <f t="shared" si="31"/>
        <v/>
      </c>
      <c r="C147" s="507">
        <f>IF(D93="","-",+C146+1)</f>
        <v>2063</v>
      </c>
      <c r="D147" s="374">
        <f>IF(F146+SUM(E$99:E146)=D$92,F146,D$92-SUM(E$99:E146))</f>
        <v>0</v>
      </c>
      <c r="E147" s="522">
        <f t="shared" si="37"/>
        <v>0</v>
      </c>
      <c r="F147" s="523">
        <f t="shared" si="38"/>
        <v>0</v>
      </c>
      <c r="G147" s="523">
        <f t="shared" si="39"/>
        <v>0</v>
      </c>
      <c r="H147" s="526">
        <f t="shared" si="40"/>
        <v>0</v>
      </c>
      <c r="I147" s="577">
        <f t="shared" si="41"/>
        <v>0</v>
      </c>
      <c r="J147" s="514">
        <f t="shared" si="32"/>
        <v>0</v>
      </c>
      <c r="K147" s="514"/>
      <c r="L147" s="525"/>
      <c r="M147" s="514">
        <f t="shared" si="42"/>
        <v>0</v>
      </c>
      <c r="N147" s="525"/>
      <c r="O147" s="514">
        <f t="shared" si="43"/>
        <v>0</v>
      </c>
      <c r="P147" s="514">
        <f t="shared" si="44"/>
        <v>0</v>
      </c>
    </row>
    <row r="148" spans="2:16">
      <c r="B148" s="195" t="str">
        <f t="shared" si="31"/>
        <v/>
      </c>
      <c r="C148" s="507">
        <f>IF(D93="","-",+C147+1)</f>
        <v>2064</v>
      </c>
      <c r="D148" s="374">
        <f>IF(F147+SUM(E$99:E147)=D$92,F147,D$92-SUM(E$99:E147))</f>
        <v>0</v>
      </c>
      <c r="E148" s="522">
        <f t="shared" si="37"/>
        <v>0</v>
      </c>
      <c r="F148" s="523">
        <f t="shared" si="38"/>
        <v>0</v>
      </c>
      <c r="G148" s="523">
        <f t="shared" si="39"/>
        <v>0</v>
      </c>
      <c r="H148" s="526">
        <f t="shared" si="40"/>
        <v>0</v>
      </c>
      <c r="I148" s="577">
        <f t="shared" si="41"/>
        <v>0</v>
      </c>
      <c r="J148" s="514">
        <f t="shared" si="32"/>
        <v>0</v>
      </c>
      <c r="K148" s="514"/>
      <c r="L148" s="525"/>
      <c r="M148" s="514">
        <f t="shared" si="42"/>
        <v>0</v>
      </c>
      <c r="N148" s="525"/>
      <c r="O148" s="514">
        <f t="shared" si="43"/>
        <v>0</v>
      </c>
      <c r="P148" s="514">
        <f t="shared" si="44"/>
        <v>0</v>
      </c>
    </row>
    <row r="149" spans="2:16">
      <c r="B149" s="195" t="str">
        <f t="shared" si="31"/>
        <v/>
      </c>
      <c r="C149" s="507">
        <f>IF(D93="","-",+C148+1)</f>
        <v>2065</v>
      </c>
      <c r="D149" s="374">
        <f>IF(F148+SUM(E$99:E148)=D$92,F148,D$92-SUM(E$99:E148))</f>
        <v>0</v>
      </c>
      <c r="E149" s="522">
        <f t="shared" si="37"/>
        <v>0</v>
      </c>
      <c r="F149" s="523">
        <f t="shared" si="38"/>
        <v>0</v>
      </c>
      <c r="G149" s="523">
        <f t="shared" si="39"/>
        <v>0</v>
      </c>
      <c r="H149" s="526">
        <f t="shared" si="40"/>
        <v>0</v>
      </c>
      <c r="I149" s="577">
        <f t="shared" si="41"/>
        <v>0</v>
      </c>
      <c r="J149" s="514">
        <f t="shared" si="32"/>
        <v>0</v>
      </c>
      <c r="K149" s="514"/>
      <c r="L149" s="525"/>
      <c r="M149" s="514">
        <f t="shared" si="42"/>
        <v>0</v>
      </c>
      <c r="N149" s="525"/>
      <c r="O149" s="514">
        <f t="shared" si="43"/>
        <v>0</v>
      </c>
      <c r="P149" s="514">
        <f t="shared" si="44"/>
        <v>0</v>
      </c>
    </row>
    <row r="150" spans="2:16">
      <c r="B150" s="195" t="str">
        <f t="shared" si="31"/>
        <v/>
      </c>
      <c r="C150" s="507">
        <f>IF(D93="","-",+C149+1)</f>
        <v>2066</v>
      </c>
      <c r="D150" s="374">
        <f>IF(F149+SUM(E$99:E149)=D$92,F149,D$92-SUM(E$99:E149))</f>
        <v>0</v>
      </c>
      <c r="E150" s="522">
        <f t="shared" si="37"/>
        <v>0</v>
      </c>
      <c r="F150" s="523">
        <f t="shared" si="38"/>
        <v>0</v>
      </c>
      <c r="G150" s="523">
        <f t="shared" si="39"/>
        <v>0</v>
      </c>
      <c r="H150" s="526">
        <f t="shared" si="40"/>
        <v>0</v>
      </c>
      <c r="I150" s="577">
        <f t="shared" si="41"/>
        <v>0</v>
      </c>
      <c r="J150" s="514">
        <f t="shared" si="32"/>
        <v>0</v>
      </c>
      <c r="K150" s="514"/>
      <c r="L150" s="525"/>
      <c r="M150" s="514">
        <f t="shared" si="42"/>
        <v>0</v>
      </c>
      <c r="N150" s="525"/>
      <c r="O150" s="514">
        <f t="shared" si="43"/>
        <v>0</v>
      </c>
      <c r="P150" s="514">
        <f t="shared" si="44"/>
        <v>0</v>
      </c>
    </row>
    <row r="151" spans="2:16">
      <c r="B151" s="195" t="str">
        <f t="shared" si="31"/>
        <v/>
      </c>
      <c r="C151" s="507">
        <f>IF(D93="","-",+C150+1)</f>
        <v>2067</v>
      </c>
      <c r="D151" s="374">
        <f>IF(F150+SUM(E$99:E150)=D$92,F150,D$92-SUM(E$99:E150))</f>
        <v>0</v>
      </c>
      <c r="E151" s="522">
        <f t="shared" si="37"/>
        <v>0</v>
      </c>
      <c r="F151" s="523">
        <f t="shared" si="38"/>
        <v>0</v>
      </c>
      <c r="G151" s="523">
        <f t="shared" si="39"/>
        <v>0</v>
      </c>
      <c r="H151" s="526">
        <f t="shared" si="40"/>
        <v>0</v>
      </c>
      <c r="I151" s="577">
        <f t="shared" si="41"/>
        <v>0</v>
      </c>
      <c r="J151" s="514">
        <f t="shared" si="32"/>
        <v>0</v>
      </c>
      <c r="K151" s="514"/>
      <c r="L151" s="525"/>
      <c r="M151" s="514">
        <f t="shared" si="42"/>
        <v>0</v>
      </c>
      <c r="N151" s="525"/>
      <c r="O151" s="514">
        <f t="shared" si="43"/>
        <v>0</v>
      </c>
      <c r="P151" s="514">
        <f t="shared" si="44"/>
        <v>0</v>
      </c>
    </row>
    <row r="152" spans="2:16">
      <c r="B152" s="195" t="str">
        <f t="shared" si="31"/>
        <v/>
      </c>
      <c r="C152" s="507">
        <f>IF(D93="","-",+C151+1)</f>
        <v>2068</v>
      </c>
      <c r="D152" s="374">
        <f>IF(F151+SUM(E$99:E151)=D$92,F151,D$92-SUM(E$99:E151))</f>
        <v>0</v>
      </c>
      <c r="E152" s="522">
        <f t="shared" si="37"/>
        <v>0</v>
      </c>
      <c r="F152" s="523">
        <f t="shared" si="38"/>
        <v>0</v>
      </c>
      <c r="G152" s="523">
        <f t="shared" si="39"/>
        <v>0</v>
      </c>
      <c r="H152" s="526">
        <f t="shared" si="40"/>
        <v>0</v>
      </c>
      <c r="I152" s="577">
        <f t="shared" si="41"/>
        <v>0</v>
      </c>
      <c r="J152" s="514">
        <f t="shared" si="32"/>
        <v>0</v>
      </c>
      <c r="K152" s="514"/>
      <c r="L152" s="525"/>
      <c r="M152" s="514">
        <f t="shared" si="42"/>
        <v>0</v>
      </c>
      <c r="N152" s="525"/>
      <c r="O152" s="514">
        <f t="shared" si="43"/>
        <v>0</v>
      </c>
      <c r="P152" s="514">
        <f t="shared" si="44"/>
        <v>0</v>
      </c>
    </row>
    <row r="153" spans="2:16">
      <c r="B153" s="195" t="str">
        <f t="shared" si="31"/>
        <v/>
      </c>
      <c r="C153" s="507">
        <f>IF(D93="","-",+C152+1)</f>
        <v>2069</v>
      </c>
      <c r="D153" s="374">
        <f>IF(F152+SUM(E$99:E152)=D$92,F152,D$92-SUM(E$99:E152))</f>
        <v>0</v>
      </c>
      <c r="E153" s="522">
        <f t="shared" si="37"/>
        <v>0</v>
      </c>
      <c r="F153" s="523">
        <f t="shared" si="38"/>
        <v>0</v>
      </c>
      <c r="G153" s="523">
        <f t="shared" si="39"/>
        <v>0</v>
      </c>
      <c r="H153" s="526">
        <f t="shared" si="40"/>
        <v>0</v>
      </c>
      <c r="I153" s="577">
        <f t="shared" si="41"/>
        <v>0</v>
      </c>
      <c r="J153" s="514">
        <f t="shared" si="32"/>
        <v>0</v>
      </c>
      <c r="K153" s="514"/>
      <c r="L153" s="525"/>
      <c r="M153" s="514">
        <f t="shared" si="42"/>
        <v>0</v>
      </c>
      <c r="N153" s="525"/>
      <c r="O153" s="514">
        <f t="shared" si="43"/>
        <v>0</v>
      </c>
      <c r="P153" s="514">
        <f t="shared" si="44"/>
        <v>0</v>
      </c>
    </row>
    <row r="154" spans="2:16" ht="13.5" thickBot="1">
      <c r="B154" s="195" t="str">
        <f t="shared" si="31"/>
        <v/>
      </c>
      <c r="C154" s="527">
        <f>IF(D93="","-",+C153+1)</f>
        <v>2070</v>
      </c>
      <c r="D154" s="374">
        <f>IF(F153+SUM(E$99:E153)=D$92,F153,D$92-SUM(E$99:E153))</f>
        <v>0</v>
      </c>
      <c r="E154" s="522">
        <f t="shared" si="37"/>
        <v>0</v>
      </c>
      <c r="F154" s="523">
        <f t="shared" si="38"/>
        <v>0</v>
      </c>
      <c r="G154" s="523">
        <f t="shared" si="39"/>
        <v>0</v>
      </c>
      <c r="H154" s="526">
        <f t="shared" si="40"/>
        <v>0</v>
      </c>
      <c r="I154" s="577">
        <f t="shared" si="41"/>
        <v>0</v>
      </c>
      <c r="J154" s="514">
        <f t="shared" si="32"/>
        <v>0</v>
      </c>
      <c r="K154" s="514"/>
      <c r="L154" s="532"/>
      <c r="M154" s="533">
        <f t="shared" si="42"/>
        <v>0</v>
      </c>
      <c r="N154" s="532"/>
      <c r="O154" s="533">
        <f t="shared" si="43"/>
        <v>0</v>
      </c>
      <c r="P154" s="533">
        <f t="shared" si="44"/>
        <v>0</v>
      </c>
    </row>
    <row r="155" spans="2:16">
      <c r="C155" s="374" t="s">
        <v>78</v>
      </c>
      <c r="D155" s="375"/>
      <c r="E155" s="375">
        <f>SUM(E99:E154)</f>
        <v>12017566.999999996</v>
      </c>
      <c r="F155" s="375"/>
      <c r="G155" s="375"/>
      <c r="H155" s="375">
        <f>SUM(H99:H154)</f>
        <v>40409473.43889612</v>
      </c>
      <c r="I155" s="375">
        <f>SUM(I99:I154)</f>
        <v>40409473.43889612</v>
      </c>
      <c r="J155" s="375">
        <f>SUM(J99:J154)</f>
        <v>0</v>
      </c>
      <c r="K155" s="375"/>
      <c r="L155" s="375"/>
      <c r="M155" s="375"/>
      <c r="N155" s="375"/>
      <c r="O155" s="375"/>
      <c r="P155" s="269"/>
    </row>
    <row r="156" spans="2:16">
      <c r="C156" s="183" t="s">
        <v>92</v>
      </c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</row>
    <row r="157" spans="2:16">
      <c r="C157" s="580"/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</row>
    <row r="158" spans="2:16">
      <c r="C158" s="614" t="s">
        <v>132</v>
      </c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</row>
    <row r="159" spans="2:16">
      <c r="C159" s="467" t="s">
        <v>79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</row>
    <row r="160" spans="2:16">
      <c r="C160" s="581" t="s">
        <v>80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</row>
    <row r="161" spans="3:16">
      <c r="C161" s="581"/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</row>
    <row r="162" spans="3:16" ht="18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635" t="s">
        <v>131</v>
      </c>
    </row>
  </sheetData>
  <conditionalFormatting sqref="C17:C72">
    <cfRule type="cellIs" dxfId="58" priority="1" stopIfTrue="1" operator="equal">
      <formula>$I$10</formula>
    </cfRule>
  </conditionalFormatting>
  <conditionalFormatting sqref="C99:C154">
    <cfRule type="cellIs" dxfId="57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Sheet102"/>
  <dimension ref="A1:P162"/>
  <sheetViews>
    <sheetView topLeftCell="A90" zoomScaleNormal="100" zoomScaleSheetLayoutView="82" workbookViewId="0">
      <selection activeCell="D99" sqref="D99:I106"/>
    </sheetView>
  </sheetViews>
  <sheetFormatPr defaultColWidth="8.7109375" defaultRowHeight="12.75" customHeight="1"/>
  <cols>
    <col min="1" max="1" width="4.7109375" style="183" customWidth="1"/>
    <col min="2" max="2" width="6.7109375" style="183" customWidth="1"/>
    <col min="3" max="3" width="23.28515625" style="183" customWidth="1"/>
    <col min="4" max="8" width="17.7109375" style="183" customWidth="1"/>
    <col min="9" max="9" width="20.42578125" style="183" customWidth="1"/>
    <col min="10" max="10" width="16.42578125" style="183" customWidth="1"/>
    <col min="11" max="11" width="17.7109375" style="183" customWidth="1"/>
    <col min="12" max="12" width="16.140625" style="183" customWidth="1"/>
    <col min="13" max="13" width="17.7109375" style="183" customWidth="1"/>
    <col min="14" max="14" width="16.7109375" style="183" customWidth="1"/>
    <col min="15" max="15" width="16.85546875" style="183" customWidth="1"/>
    <col min="16" max="16" width="24.42578125" style="183" customWidth="1"/>
    <col min="17" max="17" width="9.140625" style="183" customWidth="1"/>
    <col min="18" max="22" width="8.7109375" style="183"/>
    <col min="23" max="23" width="9.140625" style="183" customWidth="1"/>
    <col min="24" max="16384" width="8.7109375" style="183"/>
  </cols>
  <sheetData>
    <row r="1" spans="1:16" ht="20.25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53 of 75</v>
      </c>
    </row>
    <row r="2" spans="1:16" ht="18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538" t="s">
        <v>129</v>
      </c>
    </row>
    <row r="3" spans="1:16" ht="18.75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/>
      <c r="P3" s="623">
        <v>1</v>
      </c>
    </row>
    <row r="4" spans="1:16" ht="15.75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6" ht="1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675650.11419007811</v>
      </c>
      <c r="P5" s="269"/>
    </row>
    <row r="6" spans="1:16" ht="15.7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675650.11419007811</v>
      </c>
      <c r="O6" s="269"/>
      <c r="P6" s="269"/>
    </row>
    <row r="7" spans="1:16" ht="13.5" thickBot="1">
      <c r="C7" s="467" t="s">
        <v>48</v>
      </c>
      <c r="D7" s="624" t="s">
        <v>341</v>
      </c>
      <c r="E7" s="587"/>
      <c r="F7" s="587"/>
      <c r="G7" s="587"/>
      <c r="H7" s="59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6" ht="13.5" thickBot="1">
      <c r="C8" s="472"/>
      <c r="D8" s="625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6" ht="13.5" thickBot="1">
      <c r="C9" s="476" t="s">
        <v>50</v>
      </c>
      <c r="D9" s="477" t="s">
        <v>468</v>
      </c>
      <c r="E9" s="637" t="s">
        <v>399</v>
      </c>
      <c r="F9" s="478"/>
      <c r="G9" s="478"/>
      <c r="H9" s="478"/>
      <c r="I9" s="479"/>
      <c r="J9" s="480"/>
      <c r="O9" s="481"/>
      <c r="P9" s="272"/>
    </row>
    <row r="10" spans="1:16">
      <c r="C10" s="482" t="s">
        <v>51</v>
      </c>
      <c r="D10" s="483">
        <v>5738012.9100000001</v>
      </c>
      <c r="E10" s="353" t="s">
        <v>52</v>
      </c>
      <c r="F10" s="481"/>
      <c r="G10" s="484"/>
      <c r="H10" s="484"/>
      <c r="I10" s="485">
        <f>+'SWE.WS.F.BPU.ATRR.Projected'!L19</f>
        <v>2024</v>
      </c>
      <c r="J10" s="480"/>
      <c r="K10" s="375" t="s">
        <v>53</v>
      </c>
      <c r="O10" s="272"/>
      <c r="P10" s="272"/>
    </row>
    <row r="11" spans="1:16">
      <c r="C11" s="486" t="s">
        <v>54</v>
      </c>
      <c r="D11" s="487">
        <v>2015</v>
      </c>
      <c r="E11" s="486" t="s">
        <v>55</v>
      </c>
      <c r="F11" s="484"/>
      <c r="G11" s="233"/>
      <c r="H11" s="233"/>
      <c r="I11" s="488">
        <f>IF(G5="",0,'SWE.WS.F.BPU.ATRR.Projected'!F$13)</f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6">
      <c r="C12" s="486" t="s">
        <v>56</v>
      </c>
      <c r="D12" s="483">
        <v>5</v>
      </c>
      <c r="E12" s="486" t="s">
        <v>57</v>
      </c>
      <c r="F12" s="484"/>
      <c r="G12" s="233"/>
      <c r="H12" s="233"/>
      <c r="I12" s="490">
        <f>'SWE.WS.F.BPU.ATRR.Projected'!$F$81</f>
        <v>0.11952713165403545</v>
      </c>
      <c r="J12" s="425"/>
      <c r="K12" s="183" t="s">
        <v>58</v>
      </c>
      <c r="O12" s="272"/>
      <c r="P12" s="272"/>
    </row>
    <row r="13" spans="1:16">
      <c r="C13" s="486" t="s">
        <v>59</v>
      </c>
      <c r="D13" s="488">
        <f>+'SWE.WS.F.BPU.ATRR.Projected'!F$93</f>
        <v>44</v>
      </c>
      <c r="E13" s="486" t="s">
        <v>60</v>
      </c>
      <c r="F13" s="484"/>
      <c r="G13" s="233"/>
      <c r="H13" s="233"/>
      <c r="I13" s="490">
        <f>IF(G5="",I12,'SWE.WS.F.BPU.ATRR.Projected'!$F$80)</f>
        <v>0.11952713165403545</v>
      </c>
      <c r="J13" s="425"/>
      <c r="K13" s="375" t="s">
        <v>61</v>
      </c>
      <c r="L13" s="324"/>
      <c r="M13" s="324"/>
      <c r="N13" s="324"/>
      <c r="O13" s="272"/>
      <c r="P13" s="272"/>
    </row>
    <row r="14" spans="1:16" ht="13.5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130409.38431818182</v>
      </c>
      <c r="J14" s="375"/>
      <c r="K14" s="375"/>
      <c r="L14" s="375"/>
      <c r="M14" s="375"/>
      <c r="N14" s="375"/>
      <c r="O14" s="272"/>
      <c r="P14" s="272"/>
    </row>
    <row r="15" spans="1:16" ht="38.25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388</v>
      </c>
      <c r="H15" s="495" t="s">
        <v>389</v>
      </c>
      <c r="I15" s="492" t="s">
        <v>68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6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>
      <c r="C17" s="507">
        <f>IF(D11= "","-",D11)</f>
        <v>2015</v>
      </c>
      <c r="D17" s="629">
        <v>5900000</v>
      </c>
      <c r="E17" s="638">
        <v>11706.349206349207</v>
      </c>
      <c r="F17" s="629">
        <v>5888293.6507936511</v>
      </c>
      <c r="G17" s="638">
        <v>787222.89256713865</v>
      </c>
      <c r="H17" s="639">
        <v>787222.89256713865</v>
      </c>
      <c r="I17" s="511">
        <v>0</v>
      </c>
      <c r="J17" s="511"/>
      <c r="K17" s="518">
        <f t="shared" ref="K17:K22" si="0">G17</f>
        <v>787222.89256713865</v>
      </c>
      <c r="L17" s="519">
        <f t="shared" ref="L17:L22" si="1">IF(K17&lt;&gt;0,+G17-K17,0)</f>
        <v>0</v>
      </c>
      <c r="M17" s="518">
        <f t="shared" ref="M17:M22" si="2">H17</f>
        <v>787222.89256713865</v>
      </c>
      <c r="N17" s="514">
        <f>IF(M17&lt;&gt;0,+H17-M17,0)</f>
        <v>0</v>
      </c>
      <c r="O17" s="514">
        <f>+N17-L17</f>
        <v>0</v>
      </c>
      <c r="P17" s="272"/>
    </row>
    <row r="18" spans="2:16">
      <c r="B18" s="195" t="str">
        <f>IF(D18=F17,"","IU")</f>
        <v>IU</v>
      </c>
      <c r="C18" s="507">
        <f>IF(D11="","-",+C17+1)</f>
        <v>2016</v>
      </c>
      <c r="D18" s="631">
        <v>5712842.6507936511</v>
      </c>
      <c r="E18" s="630">
        <v>136298.78571428571</v>
      </c>
      <c r="F18" s="631">
        <v>5576543.8650793657</v>
      </c>
      <c r="G18" s="630">
        <v>861695.47237571224</v>
      </c>
      <c r="H18" s="639">
        <v>861695.47237571224</v>
      </c>
      <c r="I18" s="511">
        <f>H18-G18</f>
        <v>0</v>
      </c>
      <c r="J18" s="511"/>
      <c r="K18" s="518">
        <f t="shared" si="0"/>
        <v>861695.47237571224</v>
      </c>
      <c r="L18" s="519">
        <f t="shared" si="1"/>
        <v>0</v>
      </c>
      <c r="M18" s="518">
        <f t="shared" si="2"/>
        <v>861695.47237571224</v>
      </c>
      <c r="N18" s="514">
        <f>IF(M18&lt;&gt;0,+H18-M18,0)</f>
        <v>0</v>
      </c>
      <c r="O18" s="514">
        <f>+N18-L18</f>
        <v>0</v>
      </c>
      <c r="P18" s="272"/>
    </row>
    <row r="19" spans="2:16">
      <c r="B19" s="195" t="str">
        <f>IF(D19=F18,"","IU")</f>
        <v>IU</v>
      </c>
      <c r="C19" s="507">
        <f>IF(D11="","-",+C18+1)</f>
        <v>2017</v>
      </c>
      <c r="D19" s="631">
        <v>5590007.8650793647</v>
      </c>
      <c r="E19" s="630">
        <v>133442.16279069768</v>
      </c>
      <c r="F19" s="631">
        <v>5456565.7022886667</v>
      </c>
      <c r="G19" s="630">
        <v>817736.15631136962</v>
      </c>
      <c r="H19" s="639">
        <v>817736.15631136962</v>
      </c>
      <c r="I19" s="511">
        <f t="shared" ref="I19:I72" si="3">H19-G19</f>
        <v>0</v>
      </c>
      <c r="J19" s="511"/>
      <c r="K19" s="518">
        <f t="shared" si="0"/>
        <v>817736.15631136962</v>
      </c>
      <c r="L19" s="519">
        <f t="shared" si="1"/>
        <v>0</v>
      </c>
      <c r="M19" s="518">
        <f t="shared" si="2"/>
        <v>817736.15631136962</v>
      </c>
      <c r="N19" s="514">
        <f>IF(M19&lt;&gt;0,+H19-M19,0)</f>
        <v>0</v>
      </c>
      <c r="O19" s="514">
        <f>+N19-L19</f>
        <v>0</v>
      </c>
      <c r="P19" s="272"/>
    </row>
    <row r="20" spans="2:16">
      <c r="B20" s="195" t="str">
        <f t="shared" ref="B20:B72" si="4">IF(D20=F19,"","IU")</f>
        <v/>
      </c>
      <c r="C20" s="507">
        <f>IF(D11="","-",+C19+1)</f>
        <v>2018</v>
      </c>
      <c r="D20" s="631">
        <v>5456565.7022886667</v>
      </c>
      <c r="E20" s="630">
        <v>139951.53658536586</v>
      </c>
      <c r="F20" s="631">
        <v>5316614.1657033013</v>
      </c>
      <c r="G20" s="630">
        <v>824555.33054261771</v>
      </c>
      <c r="H20" s="639">
        <v>824555.33054261771</v>
      </c>
      <c r="I20" s="511">
        <f t="shared" si="3"/>
        <v>0</v>
      </c>
      <c r="J20" s="511"/>
      <c r="K20" s="518">
        <f t="shared" si="0"/>
        <v>824555.33054261771</v>
      </c>
      <c r="L20" s="519">
        <f t="shared" si="1"/>
        <v>0</v>
      </c>
      <c r="M20" s="518">
        <f t="shared" si="2"/>
        <v>824555.33054261771</v>
      </c>
      <c r="N20" s="514">
        <f>IF(M20&lt;&gt;0,+H20-M20,0)</f>
        <v>0</v>
      </c>
      <c r="O20" s="514">
        <f>+N20-L20</f>
        <v>0</v>
      </c>
      <c r="P20" s="272"/>
    </row>
    <row r="21" spans="2:16">
      <c r="B21" s="195" t="str">
        <f t="shared" si="4"/>
        <v/>
      </c>
      <c r="C21" s="507">
        <f>IF(D11="","-",+C20+1)</f>
        <v>2019</v>
      </c>
      <c r="D21" s="631">
        <v>5316614.1657033013</v>
      </c>
      <c r="E21" s="630">
        <v>139951.53658536586</v>
      </c>
      <c r="F21" s="631">
        <v>5176662.6291179359</v>
      </c>
      <c r="G21" s="630">
        <v>806768.31610667519</v>
      </c>
      <c r="H21" s="639">
        <v>806768.31610667519</v>
      </c>
      <c r="I21" s="511">
        <f t="shared" si="3"/>
        <v>0</v>
      </c>
      <c r="J21" s="511"/>
      <c r="K21" s="518">
        <f t="shared" si="0"/>
        <v>806768.31610667519</v>
      </c>
      <c r="L21" s="519">
        <f t="shared" si="1"/>
        <v>0</v>
      </c>
      <c r="M21" s="518">
        <f t="shared" si="2"/>
        <v>806768.31610667519</v>
      </c>
      <c r="N21" s="514">
        <f t="shared" ref="N21:N72" si="5">IF(M21&lt;&gt;0,+H21-M21,0)</f>
        <v>0</v>
      </c>
      <c r="O21" s="514">
        <f t="shared" ref="O21:O72" si="6">+N21-L21</f>
        <v>0</v>
      </c>
      <c r="P21" s="272"/>
    </row>
    <row r="22" spans="2:16">
      <c r="B22" s="195" t="str">
        <f t="shared" si="4"/>
        <v/>
      </c>
      <c r="C22" s="507">
        <f>IF(D11="","-",+C21+1)</f>
        <v>2020</v>
      </c>
      <c r="D22" s="631">
        <v>5176662.6291179359</v>
      </c>
      <c r="E22" s="630">
        <v>139951.53658536586</v>
      </c>
      <c r="F22" s="631">
        <v>5036711.0925325705</v>
      </c>
      <c r="G22" s="630">
        <v>662546.66149504599</v>
      </c>
      <c r="H22" s="639">
        <v>662546.66149504599</v>
      </c>
      <c r="I22" s="511">
        <f t="shared" si="3"/>
        <v>0</v>
      </c>
      <c r="J22" s="511"/>
      <c r="K22" s="518">
        <f t="shared" si="0"/>
        <v>662546.66149504599</v>
      </c>
      <c r="L22" s="519">
        <f t="shared" si="1"/>
        <v>0</v>
      </c>
      <c r="M22" s="518">
        <f t="shared" si="2"/>
        <v>662546.66149504599</v>
      </c>
      <c r="N22" s="514">
        <f t="shared" si="5"/>
        <v>0</v>
      </c>
      <c r="O22" s="514">
        <f t="shared" si="6"/>
        <v>0</v>
      </c>
      <c r="P22" s="272"/>
    </row>
    <row r="23" spans="2:16">
      <c r="B23" s="195" t="str">
        <f t="shared" si="4"/>
        <v>IU</v>
      </c>
      <c r="C23" s="507">
        <f>IF(D11="","-",+C22+1)</f>
        <v>2021</v>
      </c>
      <c r="D23" s="631">
        <v>5043220.4663272379</v>
      </c>
      <c r="E23" s="630">
        <v>136619.35714285713</v>
      </c>
      <c r="F23" s="631">
        <v>4906601.1091843806</v>
      </c>
      <c r="G23" s="630">
        <v>663982.51182654442</v>
      </c>
      <c r="H23" s="639">
        <v>663982.51182654442</v>
      </c>
      <c r="I23" s="511">
        <f t="shared" si="3"/>
        <v>0</v>
      </c>
      <c r="J23" s="511"/>
      <c r="K23" s="518">
        <f t="shared" ref="K23" si="7">G23</f>
        <v>663982.51182654442</v>
      </c>
      <c r="L23" s="519">
        <f t="shared" ref="L23" si="8">IF(K23&lt;&gt;0,+G23-K23,0)</f>
        <v>0</v>
      </c>
      <c r="M23" s="518">
        <f t="shared" ref="M23" si="9">H23</f>
        <v>663982.51182654442</v>
      </c>
      <c r="N23" s="514">
        <f t="shared" si="5"/>
        <v>0</v>
      </c>
      <c r="O23" s="514">
        <f t="shared" si="6"/>
        <v>0</v>
      </c>
      <c r="P23" s="272"/>
    </row>
    <row r="24" spans="2:16">
      <c r="B24" s="195" t="str">
        <f t="shared" si="4"/>
        <v>IU</v>
      </c>
      <c r="C24" s="507">
        <f>IF(D11="","-",+C23+1)</f>
        <v>2022</v>
      </c>
      <c r="D24" s="631">
        <v>4900091.7353897123</v>
      </c>
      <c r="E24" s="630">
        <v>136619.35714285713</v>
      </c>
      <c r="F24" s="631">
        <v>4763472.378246855</v>
      </c>
      <c r="G24" s="630">
        <v>679924.72685761354</v>
      </c>
      <c r="H24" s="639">
        <v>679924.72685761354</v>
      </c>
      <c r="I24" s="511">
        <f t="shared" si="3"/>
        <v>0</v>
      </c>
      <c r="J24" s="511"/>
      <c r="K24" s="518">
        <f t="shared" ref="K24" si="10">G24</f>
        <v>679924.72685761354</v>
      </c>
      <c r="L24" s="519">
        <f t="shared" ref="L24" si="11">IF(K24&lt;&gt;0,+G24-K24,0)</f>
        <v>0</v>
      </c>
      <c r="M24" s="518">
        <f t="shared" ref="M24" si="12">H24</f>
        <v>679924.72685761354</v>
      </c>
      <c r="N24" s="514">
        <f t="shared" si="5"/>
        <v>0</v>
      </c>
      <c r="O24" s="514">
        <f t="shared" si="6"/>
        <v>0</v>
      </c>
      <c r="P24" s="272"/>
    </row>
    <row r="25" spans="2:16">
      <c r="B25" s="195" t="str">
        <f t="shared" si="4"/>
        <v>IU</v>
      </c>
      <c r="C25" s="507">
        <f>IF(D11="","-",+C24+1)</f>
        <v>2023</v>
      </c>
      <c r="D25" s="631">
        <v>4763472.2882468551</v>
      </c>
      <c r="E25" s="630">
        <v>136619.35500000001</v>
      </c>
      <c r="F25" s="631">
        <v>4626852.9332468547</v>
      </c>
      <c r="G25" s="630">
        <v>729744.16665768996</v>
      </c>
      <c r="H25" s="639">
        <v>729744.16665768996</v>
      </c>
      <c r="I25" s="511">
        <f t="shared" si="3"/>
        <v>0</v>
      </c>
      <c r="J25" s="511"/>
      <c r="K25" s="518">
        <f t="shared" ref="K25" si="13">G25</f>
        <v>729744.16665768996</v>
      </c>
      <c r="L25" s="519">
        <f t="shared" ref="L25" si="14">IF(K25&lt;&gt;0,+G25-K25,0)</f>
        <v>0</v>
      </c>
      <c r="M25" s="518">
        <f t="shared" ref="M25" si="15">H25</f>
        <v>729744.16665768996</v>
      </c>
      <c r="N25" s="514">
        <f t="shared" ref="N25" si="16">IF(M25&lt;&gt;0,+H25-M25,0)</f>
        <v>0</v>
      </c>
      <c r="O25" s="514">
        <f t="shared" ref="O25" si="17">+N25-L25</f>
        <v>0</v>
      </c>
      <c r="P25" s="272"/>
    </row>
    <row r="26" spans="2:16">
      <c r="B26" s="195" t="str">
        <f t="shared" si="4"/>
        <v/>
      </c>
      <c r="C26" s="673">
        <f>IF(D11="","-",+C25+1)</f>
        <v>2024</v>
      </c>
      <c r="D26" s="523">
        <f>IF(F25+SUM(E$17:E25)=D$10,F25,D$10-SUM(E$17:E25))</f>
        <v>4626852.9332468547</v>
      </c>
      <c r="E26" s="522">
        <f t="shared" ref="E26:E72" si="18">IF(+$I$14&lt;F25,$I$14,D26)</f>
        <v>130409.38431818182</v>
      </c>
      <c r="F26" s="523">
        <f t="shared" ref="F26:F72" si="19">+D26-E26</f>
        <v>4496443.5489286724</v>
      </c>
      <c r="G26" s="524">
        <f t="shared" ref="G26:G50" si="20">+I$12*((D26+F26)/2)+E26</f>
        <v>675650.11419007811</v>
      </c>
      <c r="H26" s="491">
        <f t="shared" ref="H26:H50" si="21">+I$13*((D26+F26)/2)+E26</f>
        <v>675650.11419007811</v>
      </c>
      <c r="I26" s="511">
        <f t="shared" si="3"/>
        <v>0</v>
      </c>
      <c r="J26" s="511"/>
      <c r="K26" s="525"/>
      <c r="L26" s="514">
        <f t="shared" ref="L26:L72" si="22">IF(K26&lt;&gt;0,+G26-K26,0)</f>
        <v>0</v>
      </c>
      <c r="M26" s="525"/>
      <c r="N26" s="514">
        <f t="shared" si="5"/>
        <v>0</v>
      </c>
      <c r="O26" s="514">
        <f t="shared" si="6"/>
        <v>0</v>
      </c>
      <c r="P26" s="272"/>
    </row>
    <row r="27" spans="2:16">
      <c r="B27" s="195" t="str">
        <f t="shared" si="4"/>
        <v/>
      </c>
      <c r="C27" s="507">
        <f>IF(D11="","-",+C26+1)</f>
        <v>2025</v>
      </c>
      <c r="D27" s="523">
        <f>IF(F26+SUM(E$17:E26)=D$10,F26,D$10-SUM(E$17:E26))</f>
        <v>4496443.5489286724</v>
      </c>
      <c r="E27" s="522">
        <f t="shared" si="18"/>
        <v>130409.38431818182</v>
      </c>
      <c r="F27" s="523">
        <f t="shared" si="19"/>
        <v>4366034.1646104902</v>
      </c>
      <c r="G27" s="524">
        <f t="shared" si="20"/>
        <v>660062.65454175707</v>
      </c>
      <c r="H27" s="491">
        <f t="shared" si="21"/>
        <v>660062.65454175707</v>
      </c>
      <c r="I27" s="511">
        <f t="shared" si="3"/>
        <v>0</v>
      </c>
      <c r="J27" s="511"/>
      <c r="K27" s="525"/>
      <c r="L27" s="514">
        <f t="shared" si="22"/>
        <v>0</v>
      </c>
      <c r="M27" s="525"/>
      <c r="N27" s="514">
        <f t="shared" si="5"/>
        <v>0</v>
      </c>
      <c r="O27" s="514">
        <f t="shared" si="6"/>
        <v>0</v>
      </c>
      <c r="P27" s="272"/>
    </row>
    <row r="28" spans="2:16">
      <c r="B28" s="195" t="str">
        <f t="shared" si="4"/>
        <v/>
      </c>
      <c r="C28" s="507">
        <f>IF(D11="","-",+C27+1)</f>
        <v>2026</v>
      </c>
      <c r="D28" s="523">
        <f>IF(F27+SUM(E$17:E27)=D$10,F27,D$10-SUM(E$17:E27))</f>
        <v>4366034.1646104902</v>
      </c>
      <c r="E28" s="522">
        <f t="shared" si="18"/>
        <v>130409.38431818182</v>
      </c>
      <c r="F28" s="523">
        <f t="shared" si="19"/>
        <v>4235624.780292308</v>
      </c>
      <c r="G28" s="524">
        <f t="shared" si="20"/>
        <v>644475.19489343604</v>
      </c>
      <c r="H28" s="491">
        <f t="shared" si="21"/>
        <v>644475.19489343604</v>
      </c>
      <c r="I28" s="511">
        <f t="shared" si="3"/>
        <v>0</v>
      </c>
      <c r="J28" s="511"/>
      <c r="K28" s="525"/>
      <c r="L28" s="514">
        <f t="shared" si="22"/>
        <v>0</v>
      </c>
      <c r="M28" s="525"/>
      <c r="N28" s="514">
        <f t="shared" si="5"/>
        <v>0</v>
      </c>
      <c r="O28" s="514">
        <f t="shared" si="6"/>
        <v>0</v>
      </c>
      <c r="P28" s="272"/>
    </row>
    <row r="29" spans="2:16">
      <c r="B29" s="195" t="str">
        <f t="shared" si="4"/>
        <v/>
      </c>
      <c r="C29" s="507">
        <f>IF(D11="","-",+C28+1)</f>
        <v>2027</v>
      </c>
      <c r="D29" s="523">
        <f>IF(F28+SUM(E$17:E28)=D$10,F28,D$10-SUM(E$17:E28))</f>
        <v>4235624.780292308</v>
      </c>
      <c r="E29" s="522">
        <f t="shared" si="18"/>
        <v>130409.38431818182</v>
      </c>
      <c r="F29" s="523">
        <f t="shared" si="19"/>
        <v>4105215.3959741262</v>
      </c>
      <c r="G29" s="524">
        <f t="shared" si="20"/>
        <v>628887.73524511489</v>
      </c>
      <c r="H29" s="491">
        <f t="shared" si="21"/>
        <v>628887.73524511489</v>
      </c>
      <c r="I29" s="511">
        <f t="shared" si="3"/>
        <v>0</v>
      </c>
      <c r="J29" s="511"/>
      <c r="K29" s="525"/>
      <c r="L29" s="514">
        <f t="shared" si="22"/>
        <v>0</v>
      </c>
      <c r="M29" s="525"/>
      <c r="N29" s="514">
        <f t="shared" si="5"/>
        <v>0</v>
      </c>
      <c r="O29" s="514">
        <f t="shared" si="6"/>
        <v>0</v>
      </c>
      <c r="P29" s="272"/>
    </row>
    <row r="30" spans="2:16">
      <c r="B30" s="195" t="str">
        <f t="shared" si="4"/>
        <v/>
      </c>
      <c r="C30" s="507">
        <f>IF(D11="","-",+C29+1)</f>
        <v>2028</v>
      </c>
      <c r="D30" s="523">
        <f>IF(F29+SUM(E$17:E29)=D$10,F29,D$10-SUM(E$17:E29))</f>
        <v>4105215.3959741262</v>
      </c>
      <c r="E30" s="522">
        <f t="shared" si="18"/>
        <v>130409.38431818182</v>
      </c>
      <c r="F30" s="523">
        <f t="shared" si="19"/>
        <v>3974806.0116559444</v>
      </c>
      <c r="G30" s="524">
        <f t="shared" si="20"/>
        <v>613300.27559679397</v>
      </c>
      <c r="H30" s="491">
        <f t="shared" si="21"/>
        <v>613300.27559679397</v>
      </c>
      <c r="I30" s="511">
        <f t="shared" si="3"/>
        <v>0</v>
      </c>
      <c r="J30" s="511"/>
      <c r="K30" s="525"/>
      <c r="L30" s="514">
        <f t="shared" si="22"/>
        <v>0</v>
      </c>
      <c r="M30" s="525"/>
      <c r="N30" s="514">
        <f t="shared" si="5"/>
        <v>0</v>
      </c>
      <c r="O30" s="514">
        <f t="shared" si="6"/>
        <v>0</v>
      </c>
      <c r="P30" s="272"/>
    </row>
    <row r="31" spans="2:16">
      <c r="B31" s="195" t="str">
        <f t="shared" si="4"/>
        <v/>
      </c>
      <c r="C31" s="507">
        <f>IF(D11="","-",+C30+1)</f>
        <v>2029</v>
      </c>
      <c r="D31" s="523">
        <f>IF(F30+SUM(E$17:E30)=D$10,F30,D$10-SUM(E$17:E30))</f>
        <v>3974806.0116559444</v>
      </c>
      <c r="E31" s="522">
        <f t="shared" si="18"/>
        <v>130409.38431818182</v>
      </c>
      <c r="F31" s="523">
        <f t="shared" si="19"/>
        <v>3844396.6273377626</v>
      </c>
      <c r="G31" s="524">
        <f t="shared" si="20"/>
        <v>597712.81594847294</v>
      </c>
      <c r="H31" s="491">
        <f t="shared" si="21"/>
        <v>597712.81594847294</v>
      </c>
      <c r="I31" s="511">
        <f t="shared" si="3"/>
        <v>0</v>
      </c>
      <c r="J31" s="511"/>
      <c r="K31" s="525"/>
      <c r="L31" s="514">
        <f t="shared" si="22"/>
        <v>0</v>
      </c>
      <c r="M31" s="525"/>
      <c r="N31" s="514">
        <f t="shared" si="5"/>
        <v>0</v>
      </c>
      <c r="O31" s="514">
        <f t="shared" si="6"/>
        <v>0</v>
      </c>
      <c r="P31" s="272"/>
    </row>
    <row r="32" spans="2:16">
      <c r="B32" s="195" t="str">
        <f t="shared" si="4"/>
        <v/>
      </c>
      <c r="C32" s="507">
        <f>IF(D11="","-",+C31+1)</f>
        <v>2030</v>
      </c>
      <c r="D32" s="523">
        <f>IF(F31+SUM(E$17:E31)=D$10,F31,D$10-SUM(E$17:E31))</f>
        <v>3844396.6273377626</v>
      </c>
      <c r="E32" s="522">
        <f t="shared" si="18"/>
        <v>130409.38431818182</v>
      </c>
      <c r="F32" s="523">
        <f t="shared" si="19"/>
        <v>3713987.2430195808</v>
      </c>
      <c r="G32" s="524">
        <f t="shared" si="20"/>
        <v>582125.35630015191</v>
      </c>
      <c r="H32" s="491">
        <f t="shared" si="21"/>
        <v>582125.35630015191</v>
      </c>
      <c r="I32" s="511">
        <f t="shared" si="3"/>
        <v>0</v>
      </c>
      <c r="J32" s="511"/>
      <c r="K32" s="525"/>
      <c r="L32" s="514">
        <f t="shared" si="22"/>
        <v>0</v>
      </c>
      <c r="M32" s="525"/>
      <c r="N32" s="514">
        <f t="shared" si="5"/>
        <v>0</v>
      </c>
      <c r="O32" s="514">
        <f t="shared" si="6"/>
        <v>0</v>
      </c>
      <c r="P32" s="272"/>
    </row>
    <row r="33" spans="2:16">
      <c r="B33" s="195" t="str">
        <f t="shared" si="4"/>
        <v/>
      </c>
      <c r="C33" s="507">
        <f>IF(D11="","-",+C32+1)</f>
        <v>2031</v>
      </c>
      <c r="D33" s="523">
        <f>IF(F32+SUM(E$17:E32)=D$10,F32,D$10-SUM(E$17:E32))</f>
        <v>3713987.2430195808</v>
      </c>
      <c r="E33" s="522">
        <f t="shared" si="18"/>
        <v>130409.38431818182</v>
      </c>
      <c r="F33" s="523">
        <f t="shared" si="19"/>
        <v>3583577.8587013991</v>
      </c>
      <c r="G33" s="524">
        <f t="shared" si="20"/>
        <v>566537.89665183087</v>
      </c>
      <c r="H33" s="491">
        <f t="shared" si="21"/>
        <v>566537.89665183087</v>
      </c>
      <c r="I33" s="511">
        <f t="shared" si="3"/>
        <v>0</v>
      </c>
      <c r="J33" s="511"/>
      <c r="K33" s="525"/>
      <c r="L33" s="514">
        <f t="shared" si="22"/>
        <v>0</v>
      </c>
      <c r="M33" s="525"/>
      <c r="N33" s="514">
        <f t="shared" si="5"/>
        <v>0</v>
      </c>
      <c r="O33" s="514">
        <f t="shared" si="6"/>
        <v>0</v>
      </c>
      <c r="P33" s="272"/>
    </row>
    <row r="34" spans="2:16">
      <c r="B34" s="195" t="str">
        <f t="shared" si="4"/>
        <v/>
      </c>
      <c r="C34" s="507">
        <f>IF(D11="","-",+C33+1)</f>
        <v>2032</v>
      </c>
      <c r="D34" s="523">
        <f>IF(F33+SUM(E$17:E33)=D$10,F33,D$10-SUM(E$17:E33))</f>
        <v>3583577.8587013991</v>
      </c>
      <c r="E34" s="522">
        <f t="shared" si="18"/>
        <v>130409.38431818182</v>
      </c>
      <c r="F34" s="523">
        <f t="shared" si="19"/>
        <v>3453168.4743832173</v>
      </c>
      <c r="G34" s="524">
        <f t="shared" si="20"/>
        <v>550950.43700350984</v>
      </c>
      <c r="H34" s="491">
        <f t="shared" si="21"/>
        <v>550950.43700350984</v>
      </c>
      <c r="I34" s="511">
        <f t="shared" si="3"/>
        <v>0</v>
      </c>
      <c r="J34" s="511"/>
      <c r="K34" s="525"/>
      <c r="L34" s="514">
        <f t="shared" si="22"/>
        <v>0</v>
      </c>
      <c r="M34" s="525"/>
      <c r="N34" s="514">
        <f t="shared" si="5"/>
        <v>0</v>
      </c>
      <c r="O34" s="514">
        <f t="shared" si="6"/>
        <v>0</v>
      </c>
      <c r="P34" s="272"/>
    </row>
    <row r="35" spans="2:16">
      <c r="B35" s="195" t="str">
        <f t="shared" si="4"/>
        <v/>
      </c>
      <c r="C35" s="507">
        <f>IF(D11="","-",+C34+1)</f>
        <v>2033</v>
      </c>
      <c r="D35" s="523">
        <f>IF(F34+SUM(E$17:E34)=D$10,F34,D$10-SUM(E$17:E34))</f>
        <v>3453168.4743832173</v>
      </c>
      <c r="E35" s="522">
        <f t="shared" si="18"/>
        <v>130409.38431818182</v>
      </c>
      <c r="F35" s="523">
        <f t="shared" si="19"/>
        <v>3322759.0900650355</v>
      </c>
      <c r="G35" s="524">
        <f t="shared" si="20"/>
        <v>535362.97735518881</v>
      </c>
      <c r="H35" s="491">
        <f t="shared" si="21"/>
        <v>535362.97735518881</v>
      </c>
      <c r="I35" s="511">
        <f t="shared" si="3"/>
        <v>0</v>
      </c>
      <c r="J35" s="511"/>
      <c r="K35" s="525"/>
      <c r="L35" s="514">
        <f t="shared" si="22"/>
        <v>0</v>
      </c>
      <c r="M35" s="525"/>
      <c r="N35" s="514">
        <f t="shared" si="5"/>
        <v>0</v>
      </c>
      <c r="O35" s="514">
        <f t="shared" si="6"/>
        <v>0</v>
      </c>
      <c r="P35" s="272"/>
    </row>
    <row r="36" spans="2:16">
      <c r="B36" s="195" t="str">
        <f t="shared" si="4"/>
        <v/>
      </c>
      <c r="C36" s="507">
        <f>IF(D11="","-",+C35+1)</f>
        <v>2034</v>
      </c>
      <c r="D36" s="523">
        <f>IF(F35+SUM(E$17:E35)=D$10,F35,D$10-SUM(E$17:E35))</f>
        <v>3322759.0900650355</v>
      </c>
      <c r="E36" s="522">
        <f t="shared" si="18"/>
        <v>130409.38431818182</v>
      </c>
      <c r="F36" s="523">
        <f t="shared" si="19"/>
        <v>3192349.7057468537</v>
      </c>
      <c r="G36" s="524">
        <f t="shared" si="20"/>
        <v>519775.51770686789</v>
      </c>
      <c r="H36" s="491">
        <f t="shared" si="21"/>
        <v>519775.51770686789</v>
      </c>
      <c r="I36" s="511">
        <f t="shared" si="3"/>
        <v>0</v>
      </c>
      <c r="J36" s="511"/>
      <c r="K36" s="525"/>
      <c r="L36" s="514">
        <f t="shared" si="22"/>
        <v>0</v>
      </c>
      <c r="M36" s="525"/>
      <c r="N36" s="514">
        <f t="shared" si="5"/>
        <v>0</v>
      </c>
      <c r="O36" s="514">
        <f t="shared" si="6"/>
        <v>0</v>
      </c>
      <c r="P36" s="272"/>
    </row>
    <row r="37" spans="2:16">
      <c r="B37" s="195" t="str">
        <f t="shared" si="4"/>
        <v/>
      </c>
      <c r="C37" s="507">
        <f>IF(D11="","-",+C36+1)</f>
        <v>2035</v>
      </c>
      <c r="D37" s="523">
        <f>IF(F36+SUM(E$17:E36)=D$10,F36,D$10-SUM(E$17:E36))</f>
        <v>3192349.7057468537</v>
      </c>
      <c r="E37" s="522">
        <f t="shared" si="18"/>
        <v>130409.38431818182</v>
      </c>
      <c r="F37" s="523">
        <f t="shared" si="19"/>
        <v>3061940.3214286719</v>
      </c>
      <c r="G37" s="524">
        <f t="shared" si="20"/>
        <v>504188.0580585468</v>
      </c>
      <c r="H37" s="491">
        <f t="shared" si="21"/>
        <v>504188.0580585468</v>
      </c>
      <c r="I37" s="511">
        <f t="shared" si="3"/>
        <v>0</v>
      </c>
      <c r="J37" s="511"/>
      <c r="K37" s="525"/>
      <c r="L37" s="514">
        <f t="shared" si="22"/>
        <v>0</v>
      </c>
      <c r="M37" s="525"/>
      <c r="N37" s="514">
        <f t="shared" si="5"/>
        <v>0</v>
      </c>
      <c r="O37" s="514">
        <f t="shared" si="6"/>
        <v>0</v>
      </c>
      <c r="P37" s="272"/>
    </row>
    <row r="38" spans="2:16">
      <c r="B38" s="195" t="str">
        <f t="shared" si="4"/>
        <v/>
      </c>
      <c r="C38" s="507">
        <f>IF(D11="","-",+C37+1)</f>
        <v>2036</v>
      </c>
      <c r="D38" s="523">
        <f>IF(F37+SUM(E$17:E37)=D$10,F37,D$10-SUM(E$17:E37))</f>
        <v>3061940.3214286719</v>
      </c>
      <c r="E38" s="522">
        <f t="shared" si="18"/>
        <v>130409.38431818182</v>
      </c>
      <c r="F38" s="523">
        <f t="shared" si="19"/>
        <v>2931530.9371104902</v>
      </c>
      <c r="G38" s="524">
        <f t="shared" si="20"/>
        <v>488600.59841022582</v>
      </c>
      <c r="H38" s="491">
        <f t="shared" si="21"/>
        <v>488600.59841022582</v>
      </c>
      <c r="I38" s="511">
        <f t="shared" si="3"/>
        <v>0</v>
      </c>
      <c r="J38" s="511"/>
      <c r="K38" s="525"/>
      <c r="L38" s="514">
        <f t="shared" si="22"/>
        <v>0</v>
      </c>
      <c r="M38" s="525"/>
      <c r="N38" s="514">
        <f t="shared" si="5"/>
        <v>0</v>
      </c>
      <c r="O38" s="514">
        <f t="shared" si="6"/>
        <v>0</v>
      </c>
      <c r="P38" s="272"/>
    </row>
    <row r="39" spans="2:16">
      <c r="B39" s="195" t="str">
        <f t="shared" si="4"/>
        <v/>
      </c>
      <c r="C39" s="507">
        <f>IF(D11="","-",+C38+1)</f>
        <v>2037</v>
      </c>
      <c r="D39" s="523">
        <f>IF(F38+SUM(E$17:E38)=D$10,F38,D$10-SUM(E$17:E38))</f>
        <v>2931530.9371104902</v>
      </c>
      <c r="E39" s="522">
        <f t="shared" si="18"/>
        <v>130409.38431818182</v>
      </c>
      <c r="F39" s="523">
        <f t="shared" si="19"/>
        <v>2801121.5527923084</v>
      </c>
      <c r="G39" s="524">
        <f t="shared" si="20"/>
        <v>473013.13876190479</v>
      </c>
      <c r="H39" s="491">
        <f t="shared" si="21"/>
        <v>473013.13876190479</v>
      </c>
      <c r="I39" s="511">
        <f t="shared" si="3"/>
        <v>0</v>
      </c>
      <c r="J39" s="511"/>
      <c r="K39" s="525"/>
      <c r="L39" s="514">
        <f t="shared" si="22"/>
        <v>0</v>
      </c>
      <c r="M39" s="525"/>
      <c r="N39" s="514">
        <f t="shared" si="5"/>
        <v>0</v>
      </c>
      <c r="O39" s="514">
        <f t="shared" si="6"/>
        <v>0</v>
      </c>
      <c r="P39" s="272"/>
    </row>
    <row r="40" spans="2:16">
      <c r="B40" s="195" t="str">
        <f t="shared" si="4"/>
        <v/>
      </c>
      <c r="C40" s="507">
        <f>IF(D11="","-",+C39+1)</f>
        <v>2038</v>
      </c>
      <c r="D40" s="523">
        <f>IF(F39+SUM(E$17:E39)=D$10,F39,D$10-SUM(E$17:E39))</f>
        <v>2801121.5527923084</v>
      </c>
      <c r="E40" s="522">
        <f t="shared" si="18"/>
        <v>130409.38431818182</v>
      </c>
      <c r="F40" s="523">
        <f t="shared" si="19"/>
        <v>2670712.1684741266</v>
      </c>
      <c r="G40" s="524">
        <f t="shared" si="20"/>
        <v>457425.67911358381</v>
      </c>
      <c r="H40" s="491">
        <f t="shared" si="21"/>
        <v>457425.67911358381</v>
      </c>
      <c r="I40" s="511">
        <f t="shared" si="3"/>
        <v>0</v>
      </c>
      <c r="J40" s="511"/>
      <c r="K40" s="525"/>
      <c r="L40" s="514">
        <f t="shared" si="22"/>
        <v>0</v>
      </c>
      <c r="M40" s="525"/>
      <c r="N40" s="514">
        <f t="shared" si="5"/>
        <v>0</v>
      </c>
      <c r="O40" s="514">
        <f t="shared" si="6"/>
        <v>0</v>
      </c>
      <c r="P40" s="272"/>
    </row>
    <row r="41" spans="2:16">
      <c r="B41" s="195" t="str">
        <f t="shared" si="4"/>
        <v/>
      </c>
      <c r="C41" s="507">
        <f>IF(D11="","-",+C40+1)</f>
        <v>2039</v>
      </c>
      <c r="D41" s="523">
        <f>IF(F40+SUM(E$17:E40)=D$10,F40,D$10-SUM(E$17:E40))</f>
        <v>2670712.1684741266</v>
      </c>
      <c r="E41" s="522">
        <f t="shared" si="18"/>
        <v>130409.38431818182</v>
      </c>
      <c r="F41" s="523">
        <f t="shared" si="19"/>
        <v>2540302.7841559448</v>
      </c>
      <c r="G41" s="524">
        <f t="shared" si="20"/>
        <v>441838.21946526272</v>
      </c>
      <c r="H41" s="491">
        <f t="shared" si="21"/>
        <v>441838.21946526272</v>
      </c>
      <c r="I41" s="511">
        <f t="shared" si="3"/>
        <v>0</v>
      </c>
      <c r="J41" s="511"/>
      <c r="K41" s="525"/>
      <c r="L41" s="514">
        <f t="shared" si="22"/>
        <v>0</v>
      </c>
      <c r="M41" s="525"/>
      <c r="N41" s="514">
        <f t="shared" si="5"/>
        <v>0</v>
      </c>
      <c r="O41" s="514">
        <f t="shared" si="6"/>
        <v>0</v>
      </c>
      <c r="P41" s="272"/>
    </row>
    <row r="42" spans="2:16">
      <c r="B42" s="195" t="str">
        <f t="shared" si="4"/>
        <v/>
      </c>
      <c r="C42" s="507">
        <f>IF(D11="","-",+C41+1)</f>
        <v>2040</v>
      </c>
      <c r="D42" s="523">
        <f>IF(F41+SUM(E$17:E41)=D$10,F41,D$10-SUM(E$17:E41))</f>
        <v>2540302.7841559448</v>
      </c>
      <c r="E42" s="522">
        <f t="shared" si="18"/>
        <v>130409.38431818182</v>
      </c>
      <c r="F42" s="523">
        <f t="shared" si="19"/>
        <v>2409893.399837763</v>
      </c>
      <c r="G42" s="524">
        <f t="shared" si="20"/>
        <v>426250.75981694175</v>
      </c>
      <c r="H42" s="491">
        <f t="shared" si="21"/>
        <v>426250.75981694175</v>
      </c>
      <c r="I42" s="511">
        <f t="shared" si="3"/>
        <v>0</v>
      </c>
      <c r="J42" s="511"/>
      <c r="K42" s="525"/>
      <c r="L42" s="514">
        <f t="shared" si="22"/>
        <v>0</v>
      </c>
      <c r="M42" s="525"/>
      <c r="N42" s="514">
        <f t="shared" si="5"/>
        <v>0</v>
      </c>
      <c r="O42" s="514">
        <f t="shared" si="6"/>
        <v>0</v>
      </c>
      <c r="P42" s="272"/>
    </row>
    <row r="43" spans="2:16">
      <c r="B43" s="195" t="str">
        <f t="shared" si="4"/>
        <v/>
      </c>
      <c r="C43" s="507">
        <f>IF(D11="","-",+C42+1)</f>
        <v>2041</v>
      </c>
      <c r="D43" s="523">
        <f>IF(F42+SUM(E$17:E42)=D$10,F42,D$10-SUM(E$17:E42))</f>
        <v>2409893.399837763</v>
      </c>
      <c r="E43" s="522">
        <f t="shared" si="18"/>
        <v>130409.38431818182</v>
      </c>
      <c r="F43" s="523">
        <f t="shared" si="19"/>
        <v>2279484.0155195813</v>
      </c>
      <c r="G43" s="524">
        <f t="shared" si="20"/>
        <v>410663.30016862071</v>
      </c>
      <c r="H43" s="491">
        <f t="shared" si="21"/>
        <v>410663.30016862071</v>
      </c>
      <c r="I43" s="511">
        <f t="shared" si="3"/>
        <v>0</v>
      </c>
      <c r="J43" s="511"/>
      <c r="K43" s="525"/>
      <c r="L43" s="514">
        <f t="shared" si="22"/>
        <v>0</v>
      </c>
      <c r="M43" s="525"/>
      <c r="N43" s="514">
        <f t="shared" si="5"/>
        <v>0</v>
      </c>
      <c r="O43" s="514">
        <f t="shared" si="6"/>
        <v>0</v>
      </c>
      <c r="P43" s="272"/>
    </row>
    <row r="44" spans="2:16">
      <c r="B44" s="195" t="str">
        <f t="shared" si="4"/>
        <v/>
      </c>
      <c r="C44" s="507">
        <f>IF(D11="","-",+C43+1)</f>
        <v>2042</v>
      </c>
      <c r="D44" s="523">
        <f>IF(F43+SUM(E$17:E43)=D$10,F43,D$10-SUM(E$17:E43))</f>
        <v>2279484.0155195813</v>
      </c>
      <c r="E44" s="522">
        <f t="shared" si="18"/>
        <v>130409.38431818182</v>
      </c>
      <c r="F44" s="523">
        <f t="shared" si="19"/>
        <v>2149074.6312013995</v>
      </c>
      <c r="G44" s="524">
        <f t="shared" si="20"/>
        <v>395075.84052029974</v>
      </c>
      <c r="H44" s="491">
        <f t="shared" si="21"/>
        <v>395075.84052029974</v>
      </c>
      <c r="I44" s="511">
        <f t="shared" si="3"/>
        <v>0</v>
      </c>
      <c r="J44" s="511"/>
      <c r="K44" s="525"/>
      <c r="L44" s="514">
        <f t="shared" si="22"/>
        <v>0</v>
      </c>
      <c r="M44" s="525"/>
      <c r="N44" s="514">
        <f t="shared" si="5"/>
        <v>0</v>
      </c>
      <c r="O44" s="514">
        <f t="shared" si="6"/>
        <v>0</v>
      </c>
      <c r="P44" s="272"/>
    </row>
    <row r="45" spans="2:16">
      <c r="B45" s="195" t="str">
        <f t="shared" si="4"/>
        <v/>
      </c>
      <c r="C45" s="507">
        <f>IF(D11="","-",+C44+1)</f>
        <v>2043</v>
      </c>
      <c r="D45" s="523">
        <f>IF(F44+SUM(E$17:E44)=D$10,F44,D$10-SUM(E$17:E44))</f>
        <v>2149074.6312013995</v>
      </c>
      <c r="E45" s="522">
        <f t="shared" si="18"/>
        <v>130409.38431818182</v>
      </c>
      <c r="F45" s="523">
        <f t="shared" si="19"/>
        <v>2018665.2468832177</v>
      </c>
      <c r="G45" s="524">
        <f t="shared" si="20"/>
        <v>379488.38087197865</v>
      </c>
      <c r="H45" s="491">
        <f t="shared" si="21"/>
        <v>379488.38087197865</v>
      </c>
      <c r="I45" s="511">
        <f t="shared" si="3"/>
        <v>0</v>
      </c>
      <c r="J45" s="511"/>
      <c r="K45" s="525"/>
      <c r="L45" s="514">
        <f t="shared" si="22"/>
        <v>0</v>
      </c>
      <c r="M45" s="525"/>
      <c r="N45" s="514">
        <f t="shared" si="5"/>
        <v>0</v>
      </c>
      <c r="O45" s="514">
        <f t="shared" si="6"/>
        <v>0</v>
      </c>
      <c r="P45" s="272"/>
    </row>
    <row r="46" spans="2:16">
      <c r="B46" s="195" t="str">
        <f t="shared" si="4"/>
        <v/>
      </c>
      <c r="C46" s="507">
        <f>IF(D11="","-",+C45+1)</f>
        <v>2044</v>
      </c>
      <c r="D46" s="523">
        <f>IF(F45+SUM(E$17:E45)=D$10,F45,D$10-SUM(E$17:E45))</f>
        <v>2018665.2468832177</v>
      </c>
      <c r="E46" s="522">
        <f t="shared" si="18"/>
        <v>130409.38431818182</v>
      </c>
      <c r="F46" s="523">
        <f t="shared" si="19"/>
        <v>1888255.8625650359</v>
      </c>
      <c r="G46" s="524">
        <f t="shared" si="20"/>
        <v>363900.92122365767</v>
      </c>
      <c r="H46" s="491">
        <f t="shared" si="21"/>
        <v>363900.92122365767</v>
      </c>
      <c r="I46" s="511">
        <f t="shared" si="3"/>
        <v>0</v>
      </c>
      <c r="J46" s="511"/>
      <c r="K46" s="525"/>
      <c r="L46" s="514">
        <f t="shared" si="22"/>
        <v>0</v>
      </c>
      <c r="M46" s="525"/>
      <c r="N46" s="514">
        <f t="shared" si="5"/>
        <v>0</v>
      </c>
      <c r="O46" s="514">
        <f t="shared" si="6"/>
        <v>0</v>
      </c>
      <c r="P46" s="272"/>
    </row>
    <row r="47" spans="2:16">
      <c r="B47" s="195" t="str">
        <f t="shared" si="4"/>
        <v/>
      </c>
      <c r="C47" s="507">
        <f>IF(D11="","-",+C46+1)</f>
        <v>2045</v>
      </c>
      <c r="D47" s="523">
        <f>IF(F46+SUM(E$17:E46)=D$10,F46,D$10-SUM(E$17:E46))</f>
        <v>1888255.8625650359</v>
      </c>
      <c r="E47" s="522">
        <f t="shared" si="18"/>
        <v>130409.38431818182</v>
      </c>
      <c r="F47" s="523">
        <f t="shared" si="19"/>
        <v>1757846.4782468542</v>
      </c>
      <c r="G47" s="524">
        <f t="shared" si="20"/>
        <v>348313.46157533664</v>
      </c>
      <c r="H47" s="491">
        <f t="shared" si="21"/>
        <v>348313.46157533664</v>
      </c>
      <c r="I47" s="511">
        <f t="shared" si="3"/>
        <v>0</v>
      </c>
      <c r="J47" s="511"/>
      <c r="K47" s="525"/>
      <c r="L47" s="514">
        <f t="shared" si="22"/>
        <v>0</v>
      </c>
      <c r="M47" s="525"/>
      <c r="N47" s="514">
        <f t="shared" si="5"/>
        <v>0</v>
      </c>
      <c r="O47" s="514">
        <f t="shared" si="6"/>
        <v>0</v>
      </c>
      <c r="P47" s="272"/>
    </row>
    <row r="48" spans="2:16">
      <c r="B48" s="195" t="str">
        <f t="shared" si="4"/>
        <v/>
      </c>
      <c r="C48" s="507">
        <f>IF(D11="","-",+C47+1)</f>
        <v>2046</v>
      </c>
      <c r="D48" s="523">
        <f>IF(F47+SUM(E$17:E47)=D$10,F47,D$10-SUM(E$17:E47))</f>
        <v>1757846.4782468542</v>
      </c>
      <c r="E48" s="522">
        <f t="shared" si="18"/>
        <v>130409.38431818182</v>
      </c>
      <c r="F48" s="523">
        <f t="shared" si="19"/>
        <v>1627437.0939286724</v>
      </c>
      <c r="G48" s="524">
        <f t="shared" si="20"/>
        <v>332726.0019270156</v>
      </c>
      <c r="H48" s="491">
        <f t="shared" si="21"/>
        <v>332726.0019270156</v>
      </c>
      <c r="I48" s="511">
        <f t="shared" si="3"/>
        <v>0</v>
      </c>
      <c r="J48" s="511"/>
      <c r="K48" s="525"/>
      <c r="L48" s="514">
        <f t="shared" si="22"/>
        <v>0</v>
      </c>
      <c r="M48" s="525"/>
      <c r="N48" s="514">
        <f t="shared" si="5"/>
        <v>0</v>
      </c>
      <c r="O48" s="514">
        <f t="shared" si="6"/>
        <v>0</v>
      </c>
      <c r="P48" s="272"/>
    </row>
    <row r="49" spans="2:16">
      <c r="B49" s="195" t="str">
        <f t="shared" si="4"/>
        <v/>
      </c>
      <c r="C49" s="507">
        <f>IF(D11="","-",+C48+1)</f>
        <v>2047</v>
      </c>
      <c r="D49" s="523">
        <f>IF(F48+SUM(E$17:E48)=D$10,F48,D$10-SUM(E$17:E48))</f>
        <v>1627437.0939286724</v>
      </c>
      <c r="E49" s="522">
        <f t="shared" si="18"/>
        <v>130409.38431818182</v>
      </c>
      <c r="F49" s="523">
        <f t="shared" si="19"/>
        <v>1497027.7096104906</v>
      </c>
      <c r="G49" s="524">
        <f t="shared" si="20"/>
        <v>317138.54227869457</v>
      </c>
      <c r="H49" s="491">
        <f t="shared" si="21"/>
        <v>317138.54227869457</v>
      </c>
      <c r="I49" s="511">
        <f t="shared" si="3"/>
        <v>0</v>
      </c>
      <c r="J49" s="511"/>
      <c r="K49" s="525"/>
      <c r="L49" s="514">
        <f t="shared" si="22"/>
        <v>0</v>
      </c>
      <c r="M49" s="525"/>
      <c r="N49" s="514">
        <f t="shared" si="5"/>
        <v>0</v>
      </c>
      <c r="O49" s="514">
        <f t="shared" si="6"/>
        <v>0</v>
      </c>
      <c r="P49" s="272"/>
    </row>
    <row r="50" spans="2:16">
      <c r="B50" s="195" t="str">
        <f t="shared" si="4"/>
        <v/>
      </c>
      <c r="C50" s="507">
        <f>IF(D11="","-",+C49+1)</f>
        <v>2048</v>
      </c>
      <c r="D50" s="523">
        <f>IF(F49+SUM(E$17:E49)=D$10,F49,D$10-SUM(E$17:E49))</f>
        <v>1497027.7096104906</v>
      </c>
      <c r="E50" s="522">
        <f t="shared" si="18"/>
        <v>130409.38431818182</v>
      </c>
      <c r="F50" s="523">
        <f t="shared" si="19"/>
        <v>1366618.3252923088</v>
      </c>
      <c r="G50" s="524">
        <f t="shared" si="20"/>
        <v>301551.0826303736</v>
      </c>
      <c r="H50" s="491">
        <f t="shared" si="21"/>
        <v>301551.0826303736</v>
      </c>
      <c r="I50" s="511">
        <f t="shared" si="3"/>
        <v>0</v>
      </c>
      <c r="J50" s="511"/>
      <c r="K50" s="525"/>
      <c r="L50" s="514">
        <f t="shared" si="22"/>
        <v>0</v>
      </c>
      <c r="M50" s="525"/>
      <c r="N50" s="514">
        <f t="shared" si="5"/>
        <v>0</v>
      </c>
      <c r="O50" s="514">
        <f t="shared" si="6"/>
        <v>0</v>
      </c>
      <c r="P50" s="272"/>
    </row>
    <row r="51" spans="2:16">
      <c r="B51" s="195" t="str">
        <f t="shared" si="4"/>
        <v/>
      </c>
      <c r="C51" s="507">
        <f>IF(D11="","-",+C50+1)</f>
        <v>2049</v>
      </c>
      <c r="D51" s="523">
        <f>IF(F50+SUM(E$17:E50)=D$10,F50,D$10-SUM(E$17:E50))</f>
        <v>1366618.3252923088</v>
      </c>
      <c r="E51" s="522">
        <f t="shared" si="18"/>
        <v>130409.38431818182</v>
      </c>
      <c r="F51" s="523">
        <f t="shared" si="19"/>
        <v>1236208.940974127</v>
      </c>
      <c r="G51" s="524">
        <f t="shared" ref="G51:G72" si="23">+I$12*((D51+F51)/2)+E51</f>
        <v>285963.62298205256</v>
      </c>
      <c r="H51" s="491">
        <f t="shared" ref="H51:H72" si="24">+I$13*((D51+F51)/2)+E51</f>
        <v>285963.62298205256</v>
      </c>
      <c r="I51" s="511">
        <f t="shared" si="3"/>
        <v>0</v>
      </c>
      <c r="J51" s="511"/>
      <c r="K51" s="525"/>
      <c r="L51" s="514">
        <f t="shared" si="22"/>
        <v>0</v>
      </c>
      <c r="M51" s="525"/>
      <c r="N51" s="514">
        <f t="shared" si="5"/>
        <v>0</v>
      </c>
      <c r="O51" s="514">
        <f t="shared" si="6"/>
        <v>0</v>
      </c>
      <c r="P51" s="272"/>
    </row>
    <row r="52" spans="2:16">
      <c r="B52" s="195" t="str">
        <f t="shared" si="4"/>
        <v/>
      </c>
      <c r="C52" s="507">
        <f>IF(D11="","-",+C51+1)</f>
        <v>2050</v>
      </c>
      <c r="D52" s="523">
        <f>IF(F51+SUM(E$17:E51)=D$10,F51,D$10-SUM(E$17:E51))</f>
        <v>1236208.940974127</v>
      </c>
      <c r="E52" s="522">
        <f t="shared" si="18"/>
        <v>130409.38431818182</v>
      </c>
      <c r="F52" s="523">
        <f t="shared" si="19"/>
        <v>1105799.5566559453</v>
      </c>
      <c r="G52" s="524">
        <f t="shared" si="23"/>
        <v>270376.16333373153</v>
      </c>
      <c r="H52" s="491">
        <f t="shared" si="24"/>
        <v>270376.16333373153</v>
      </c>
      <c r="I52" s="511">
        <f t="shared" si="3"/>
        <v>0</v>
      </c>
      <c r="J52" s="511"/>
      <c r="K52" s="525"/>
      <c r="L52" s="514">
        <f t="shared" si="22"/>
        <v>0</v>
      </c>
      <c r="M52" s="525"/>
      <c r="N52" s="514">
        <f t="shared" si="5"/>
        <v>0</v>
      </c>
      <c r="O52" s="514">
        <f t="shared" si="6"/>
        <v>0</v>
      </c>
      <c r="P52" s="272"/>
    </row>
    <row r="53" spans="2:16">
      <c r="B53" s="195" t="str">
        <f t="shared" si="4"/>
        <v/>
      </c>
      <c r="C53" s="507">
        <f>IF(D11="","-",+C52+1)</f>
        <v>2051</v>
      </c>
      <c r="D53" s="523">
        <f>IF(F52+SUM(E$17:E52)=D$10,F52,D$10-SUM(E$17:E52))</f>
        <v>1105799.5566559453</v>
      </c>
      <c r="E53" s="522">
        <f t="shared" si="18"/>
        <v>130409.38431818182</v>
      </c>
      <c r="F53" s="523">
        <f t="shared" si="19"/>
        <v>975390.17233776348</v>
      </c>
      <c r="G53" s="524">
        <f t="shared" si="23"/>
        <v>254788.7036854105</v>
      </c>
      <c r="H53" s="491">
        <f t="shared" si="24"/>
        <v>254788.7036854105</v>
      </c>
      <c r="I53" s="511">
        <f t="shared" si="3"/>
        <v>0</v>
      </c>
      <c r="J53" s="511"/>
      <c r="K53" s="525"/>
      <c r="L53" s="514">
        <f t="shared" si="22"/>
        <v>0</v>
      </c>
      <c r="M53" s="525"/>
      <c r="N53" s="514">
        <f t="shared" si="5"/>
        <v>0</v>
      </c>
      <c r="O53" s="514">
        <f t="shared" si="6"/>
        <v>0</v>
      </c>
      <c r="P53" s="272"/>
    </row>
    <row r="54" spans="2:16">
      <c r="B54" s="195" t="str">
        <f t="shared" si="4"/>
        <v/>
      </c>
      <c r="C54" s="507">
        <f>IF(D11="","-",+C53+1)</f>
        <v>2052</v>
      </c>
      <c r="D54" s="523">
        <f>IF(F53+SUM(E$17:E53)=D$10,F53,D$10-SUM(E$17:E53))</f>
        <v>975390.17233776348</v>
      </c>
      <c r="E54" s="522">
        <f t="shared" si="18"/>
        <v>130409.38431818182</v>
      </c>
      <c r="F54" s="523">
        <f t="shared" si="19"/>
        <v>844980.7880195817</v>
      </c>
      <c r="G54" s="524">
        <f t="shared" si="23"/>
        <v>239201.24403708949</v>
      </c>
      <c r="H54" s="491">
        <f t="shared" si="24"/>
        <v>239201.24403708949</v>
      </c>
      <c r="I54" s="511">
        <f t="shared" si="3"/>
        <v>0</v>
      </c>
      <c r="J54" s="511"/>
      <c r="K54" s="525"/>
      <c r="L54" s="514">
        <f t="shared" si="22"/>
        <v>0</v>
      </c>
      <c r="M54" s="525"/>
      <c r="N54" s="514">
        <f t="shared" si="5"/>
        <v>0</v>
      </c>
      <c r="O54" s="514">
        <f t="shared" si="6"/>
        <v>0</v>
      </c>
      <c r="P54" s="272"/>
    </row>
    <row r="55" spans="2:16">
      <c r="B55" s="195" t="str">
        <f t="shared" si="4"/>
        <v/>
      </c>
      <c r="C55" s="507">
        <f>IF(D11="","-",+C54+1)</f>
        <v>2053</v>
      </c>
      <c r="D55" s="523">
        <f>IF(F54+SUM(E$17:E54)=D$10,F54,D$10-SUM(E$17:E54))</f>
        <v>844980.7880195817</v>
      </c>
      <c r="E55" s="522">
        <f t="shared" si="18"/>
        <v>130409.38431818182</v>
      </c>
      <c r="F55" s="523">
        <f t="shared" si="19"/>
        <v>714571.40370139992</v>
      </c>
      <c r="G55" s="524">
        <f t="shared" si="23"/>
        <v>223613.78438876849</v>
      </c>
      <c r="H55" s="491">
        <f t="shared" si="24"/>
        <v>223613.78438876849</v>
      </c>
      <c r="I55" s="511">
        <f t="shared" si="3"/>
        <v>0</v>
      </c>
      <c r="J55" s="511"/>
      <c r="K55" s="525"/>
      <c r="L55" s="514">
        <f t="shared" si="22"/>
        <v>0</v>
      </c>
      <c r="M55" s="525"/>
      <c r="N55" s="514">
        <f t="shared" si="5"/>
        <v>0</v>
      </c>
      <c r="O55" s="514">
        <f t="shared" si="6"/>
        <v>0</v>
      </c>
      <c r="P55" s="272"/>
    </row>
    <row r="56" spans="2:16">
      <c r="B56" s="195" t="str">
        <f t="shared" si="4"/>
        <v/>
      </c>
      <c r="C56" s="507">
        <f>IF(D11="","-",+C55+1)</f>
        <v>2054</v>
      </c>
      <c r="D56" s="523">
        <f>IF(F55+SUM(E$17:E55)=D$10,F55,D$10-SUM(E$17:E55))</f>
        <v>714571.40370139992</v>
      </c>
      <c r="E56" s="522">
        <f t="shared" si="18"/>
        <v>130409.38431818182</v>
      </c>
      <c r="F56" s="523">
        <f t="shared" si="19"/>
        <v>584162.01938321814</v>
      </c>
      <c r="G56" s="524">
        <f t="shared" si="23"/>
        <v>208026.32474044745</v>
      </c>
      <c r="H56" s="491">
        <f t="shared" si="24"/>
        <v>208026.32474044745</v>
      </c>
      <c r="I56" s="511">
        <f t="shared" si="3"/>
        <v>0</v>
      </c>
      <c r="J56" s="511"/>
      <c r="K56" s="525"/>
      <c r="L56" s="514">
        <f t="shared" si="22"/>
        <v>0</v>
      </c>
      <c r="M56" s="525"/>
      <c r="N56" s="514">
        <f t="shared" si="5"/>
        <v>0</v>
      </c>
      <c r="O56" s="514">
        <f t="shared" si="6"/>
        <v>0</v>
      </c>
      <c r="P56" s="272"/>
    </row>
    <row r="57" spans="2:16">
      <c r="B57" s="195" t="str">
        <f t="shared" si="4"/>
        <v/>
      </c>
      <c r="C57" s="507">
        <f>IF(D11="","-",+C56+1)</f>
        <v>2055</v>
      </c>
      <c r="D57" s="523">
        <f>IF(F56+SUM(E$17:E56)=D$10,F56,D$10-SUM(E$17:E56))</f>
        <v>584162.01938321814</v>
      </c>
      <c r="E57" s="522">
        <f t="shared" si="18"/>
        <v>130409.38431818182</v>
      </c>
      <c r="F57" s="523">
        <f t="shared" si="19"/>
        <v>453752.6350650363</v>
      </c>
      <c r="G57" s="524">
        <f t="shared" si="23"/>
        <v>192438.86509212642</v>
      </c>
      <c r="H57" s="491">
        <f t="shared" si="24"/>
        <v>192438.86509212642</v>
      </c>
      <c r="I57" s="511">
        <f t="shared" si="3"/>
        <v>0</v>
      </c>
      <c r="J57" s="511"/>
      <c r="K57" s="525"/>
      <c r="L57" s="514">
        <f t="shared" si="22"/>
        <v>0</v>
      </c>
      <c r="M57" s="525"/>
      <c r="N57" s="514">
        <f t="shared" si="5"/>
        <v>0</v>
      </c>
      <c r="O57" s="514">
        <f t="shared" si="6"/>
        <v>0</v>
      </c>
      <c r="P57" s="272"/>
    </row>
    <row r="58" spans="2:16">
      <c r="B58" s="195" t="str">
        <f t="shared" si="4"/>
        <v/>
      </c>
      <c r="C58" s="507">
        <f>IF(D11="","-",+C57+1)</f>
        <v>2056</v>
      </c>
      <c r="D58" s="523">
        <f>IF(F57+SUM(E$17:E57)=D$10,F57,D$10-SUM(E$17:E57))</f>
        <v>453752.6350650363</v>
      </c>
      <c r="E58" s="522">
        <f t="shared" si="18"/>
        <v>130409.38431818182</v>
      </c>
      <c r="F58" s="523">
        <f t="shared" si="19"/>
        <v>323343.25074685446</v>
      </c>
      <c r="G58" s="524">
        <f t="shared" si="23"/>
        <v>176851.40544380539</v>
      </c>
      <c r="H58" s="491">
        <f t="shared" si="24"/>
        <v>176851.40544380539</v>
      </c>
      <c r="I58" s="511">
        <f t="shared" si="3"/>
        <v>0</v>
      </c>
      <c r="J58" s="511"/>
      <c r="K58" s="525"/>
      <c r="L58" s="514">
        <f t="shared" si="22"/>
        <v>0</v>
      </c>
      <c r="M58" s="525"/>
      <c r="N58" s="514">
        <f t="shared" si="5"/>
        <v>0</v>
      </c>
      <c r="O58" s="514">
        <f t="shared" si="6"/>
        <v>0</v>
      </c>
      <c r="P58" s="272"/>
    </row>
    <row r="59" spans="2:16">
      <c r="B59" s="195" t="str">
        <f t="shared" si="4"/>
        <v/>
      </c>
      <c r="C59" s="507">
        <f>IF(D11="","-",+C58+1)</f>
        <v>2057</v>
      </c>
      <c r="D59" s="523">
        <f>IF(F58+SUM(E$17:E58)=D$10,F58,D$10-SUM(E$17:E58))</f>
        <v>323343.25074685446</v>
      </c>
      <c r="E59" s="522">
        <f t="shared" si="18"/>
        <v>130409.38431818182</v>
      </c>
      <c r="F59" s="523">
        <f t="shared" si="19"/>
        <v>192933.86642867263</v>
      </c>
      <c r="G59" s="524">
        <f t="shared" si="23"/>
        <v>161263.94579548438</v>
      </c>
      <c r="H59" s="491">
        <f t="shared" si="24"/>
        <v>161263.94579548438</v>
      </c>
      <c r="I59" s="511">
        <f t="shared" si="3"/>
        <v>0</v>
      </c>
      <c r="J59" s="511"/>
      <c r="K59" s="525"/>
      <c r="L59" s="514">
        <f t="shared" si="22"/>
        <v>0</v>
      </c>
      <c r="M59" s="525"/>
      <c r="N59" s="514">
        <f t="shared" si="5"/>
        <v>0</v>
      </c>
      <c r="O59" s="514">
        <f t="shared" si="6"/>
        <v>0</v>
      </c>
      <c r="P59" s="272"/>
    </row>
    <row r="60" spans="2:16">
      <c r="B60" s="195" t="str">
        <f t="shared" si="4"/>
        <v/>
      </c>
      <c r="C60" s="507">
        <f>IF(D11="","-",+C59+1)</f>
        <v>2058</v>
      </c>
      <c r="D60" s="523">
        <f>IF(F59+SUM(E$17:E59)=D$10,F59,D$10-SUM(E$17:E59))</f>
        <v>192933.86642867263</v>
      </c>
      <c r="E60" s="522">
        <f t="shared" si="18"/>
        <v>130409.38431818182</v>
      </c>
      <c r="F60" s="523">
        <f t="shared" si="19"/>
        <v>62524.482110490804</v>
      </c>
      <c r="G60" s="524">
        <f t="shared" si="23"/>
        <v>145676.48614716335</v>
      </c>
      <c r="H60" s="491">
        <f t="shared" si="24"/>
        <v>145676.48614716335</v>
      </c>
      <c r="I60" s="511">
        <f t="shared" si="3"/>
        <v>0</v>
      </c>
      <c r="J60" s="511"/>
      <c r="K60" s="525"/>
      <c r="L60" s="514">
        <f t="shared" si="22"/>
        <v>0</v>
      </c>
      <c r="M60" s="525"/>
      <c r="N60" s="514">
        <f t="shared" si="5"/>
        <v>0</v>
      </c>
      <c r="O60" s="514">
        <f t="shared" si="6"/>
        <v>0</v>
      </c>
      <c r="P60" s="272"/>
    </row>
    <row r="61" spans="2:16">
      <c r="B61" s="195" t="str">
        <f t="shared" si="4"/>
        <v/>
      </c>
      <c r="C61" s="507">
        <f>IF(D11="","-",+C60+1)</f>
        <v>2059</v>
      </c>
      <c r="D61" s="523">
        <f>IF(F60+SUM(E$17:E60)=D$10,F60,D$10-SUM(E$17:E60))</f>
        <v>62524.482110490804</v>
      </c>
      <c r="E61" s="522">
        <f t="shared" si="18"/>
        <v>62524.482110490804</v>
      </c>
      <c r="F61" s="523">
        <f t="shared" si="19"/>
        <v>0</v>
      </c>
      <c r="G61" s="524">
        <f t="shared" si="23"/>
        <v>66261.168112901316</v>
      </c>
      <c r="H61" s="491">
        <f t="shared" si="24"/>
        <v>66261.168112901316</v>
      </c>
      <c r="I61" s="511">
        <f t="shared" si="3"/>
        <v>0</v>
      </c>
      <c r="J61" s="511"/>
      <c r="K61" s="525"/>
      <c r="L61" s="514">
        <f t="shared" si="22"/>
        <v>0</v>
      </c>
      <c r="M61" s="525"/>
      <c r="N61" s="514">
        <f t="shared" si="5"/>
        <v>0</v>
      </c>
      <c r="O61" s="514">
        <f t="shared" si="6"/>
        <v>0</v>
      </c>
      <c r="P61" s="272"/>
    </row>
    <row r="62" spans="2:16">
      <c r="B62" s="195" t="str">
        <f t="shared" si="4"/>
        <v/>
      </c>
      <c r="C62" s="507">
        <f>IF(D11="","-",+C61+1)</f>
        <v>2060</v>
      </c>
      <c r="D62" s="523">
        <f>IF(F61+SUM(E$17:E61)=D$10,F61,D$10-SUM(E$17:E61))</f>
        <v>0</v>
      </c>
      <c r="E62" s="522">
        <f t="shared" si="18"/>
        <v>0</v>
      </c>
      <c r="F62" s="523">
        <f t="shared" si="19"/>
        <v>0</v>
      </c>
      <c r="G62" s="524">
        <f t="shared" si="23"/>
        <v>0</v>
      </c>
      <c r="H62" s="491">
        <f t="shared" si="24"/>
        <v>0</v>
      </c>
      <c r="I62" s="511">
        <f t="shared" si="3"/>
        <v>0</v>
      </c>
      <c r="J62" s="511"/>
      <c r="K62" s="525"/>
      <c r="L62" s="514">
        <f t="shared" si="22"/>
        <v>0</v>
      </c>
      <c r="M62" s="525"/>
      <c r="N62" s="514">
        <f t="shared" si="5"/>
        <v>0</v>
      </c>
      <c r="O62" s="514">
        <f t="shared" si="6"/>
        <v>0</v>
      </c>
      <c r="P62" s="272"/>
    </row>
    <row r="63" spans="2:16">
      <c r="B63" s="195" t="str">
        <f t="shared" si="4"/>
        <v/>
      </c>
      <c r="C63" s="507">
        <f>IF(D11="","-",+C62+1)</f>
        <v>2061</v>
      </c>
      <c r="D63" s="523">
        <f>IF(F62+SUM(E$17:E62)=D$10,F62,D$10-SUM(E$17:E62))</f>
        <v>0</v>
      </c>
      <c r="E63" s="522">
        <f t="shared" si="18"/>
        <v>0</v>
      </c>
      <c r="F63" s="523">
        <f t="shared" si="19"/>
        <v>0</v>
      </c>
      <c r="G63" s="524">
        <f t="shared" si="23"/>
        <v>0</v>
      </c>
      <c r="H63" s="491">
        <f t="shared" si="24"/>
        <v>0</v>
      </c>
      <c r="I63" s="511">
        <f t="shared" si="3"/>
        <v>0</v>
      </c>
      <c r="J63" s="511"/>
      <c r="K63" s="525"/>
      <c r="L63" s="514">
        <f t="shared" si="22"/>
        <v>0</v>
      </c>
      <c r="M63" s="525"/>
      <c r="N63" s="514">
        <f t="shared" si="5"/>
        <v>0</v>
      </c>
      <c r="O63" s="514">
        <f t="shared" si="6"/>
        <v>0</v>
      </c>
      <c r="P63" s="272"/>
    </row>
    <row r="64" spans="2:16">
      <c r="B64" s="195" t="str">
        <f t="shared" si="4"/>
        <v/>
      </c>
      <c r="C64" s="507">
        <f>IF(D11="","-",+C63+1)</f>
        <v>2062</v>
      </c>
      <c r="D64" s="523">
        <f>IF(F63+SUM(E$17:E63)=D$10,F63,D$10-SUM(E$17:E63))</f>
        <v>0</v>
      </c>
      <c r="E64" s="522">
        <f t="shared" si="18"/>
        <v>0</v>
      </c>
      <c r="F64" s="523">
        <f t="shared" si="19"/>
        <v>0</v>
      </c>
      <c r="G64" s="524">
        <f t="shared" si="23"/>
        <v>0</v>
      </c>
      <c r="H64" s="491">
        <f t="shared" si="24"/>
        <v>0</v>
      </c>
      <c r="I64" s="511">
        <f t="shared" si="3"/>
        <v>0</v>
      </c>
      <c r="J64" s="511"/>
      <c r="K64" s="525"/>
      <c r="L64" s="514">
        <f t="shared" si="22"/>
        <v>0</v>
      </c>
      <c r="M64" s="525"/>
      <c r="N64" s="514">
        <f t="shared" si="5"/>
        <v>0</v>
      </c>
      <c r="O64" s="514">
        <f t="shared" si="6"/>
        <v>0</v>
      </c>
      <c r="P64" s="272"/>
    </row>
    <row r="65" spans="2:16">
      <c r="B65" s="195" t="str">
        <f t="shared" si="4"/>
        <v/>
      </c>
      <c r="C65" s="507">
        <f>IF(D11="","-",+C64+1)</f>
        <v>2063</v>
      </c>
      <c r="D65" s="523">
        <f>IF(F64+SUM(E$17:E64)=D$10,F64,D$10-SUM(E$17:E64))</f>
        <v>0</v>
      </c>
      <c r="E65" s="522">
        <f t="shared" si="18"/>
        <v>0</v>
      </c>
      <c r="F65" s="523">
        <f t="shared" si="19"/>
        <v>0</v>
      </c>
      <c r="G65" s="524">
        <f t="shared" si="23"/>
        <v>0</v>
      </c>
      <c r="H65" s="491">
        <f t="shared" si="24"/>
        <v>0</v>
      </c>
      <c r="I65" s="511">
        <f t="shared" si="3"/>
        <v>0</v>
      </c>
      <c r="J65" s="511"/>
      <c r="K65" s="525"/>
      <c r="L65" s="514">
        <f t="shared" si="22"/>
        <v>0</v>
      </c>
      <c r="M65" s="525"/>
      <c r="N65" s="514">
        <f t="shared" si="5"/>
        <v>0</v>
      </c>
      <c r="O65" s="514">
        <f t="shared" si="6"/>
        <v>0</v>
      </c>
      <c r="P65" s="272"/>
    </row>
    <row r="66" spans="2:16">
      <c r="B66" s="195" t="str">
        <f t="shared" si="4"/>
        <v/>
      </c>
      <c r="C66" s="507">
        <f>IF(D11="","-",+C65+1)</f>
        <v>2064</v>
      </c>
      <c r="D66" s="523">
        <f>IF(F65+SUM(E$17:E65)=D$10,F65,D$10-SUM(E$17:E65))</f>
        <v>0</v>
      </c>
      <c r="E66" s="522">
        <f t="shared" si="18"/>
        <v>0</v>
      </c>
      <c r="F66" s="523">
        <f t="shared" si="19"/>
        <v>0</v>
      </c>
      <c r="G66" s="524">
        <f t="shared" si="23"/>
        <v>0</v>
      </c>
      <c r="H66" s="491">
        <f t="shared" si="24"/>
        <v>0</v>
      </c>
      <c r="I66" s="511">
        <f t="shared" si="3"/>
        <v>0</v>
      </c>
      <c r="J66" s="511"/>
      <c r="K66" s="525"/>
      <c r="L66" s="514">
        <f t="shared" si="22"/>
        <v>0</v>
      </c>
      <c r="M66" s="525"/>
      <c r="N66" s="514">
        <f t="shared" si="5"/>
        <v>0</v>
      </c>
      <c r="O66" s="514">
        <f t="shared" si="6"/>
        <v>0</v>
      </c>
      <c r="P66" s="272"/>
    </row>
    <row r="67" spans="2:16">
      <c r="B67" s="195" t="str">
        <f t="shared" si="4"/>
        <v/>
      </c>
      <c r="C67" s="507">
        <f>IF(D11="","-",+C66+1)</f>
        <v>2065</v>
      </c>
      <c r="D67" s="523">
        <f>IF(F66+SUM(E$17:E66)=D$10,F66,D$10-SUM(E$17:E66))</f>
        <v>0</v>
      </c>
      <c r="E67" s="522">
        <f t="shared" si="18"/>
        <v>0</v>
      </c>
      <c r="F67" s="523">
        <f t="shared" si="19"/>
        <v>0</v>
      </c>
      <c r="G67" s="524">
        <f t="shared" si="23"/>
        <v>0</v>
      </c>
      <c r="H67" s="491">
        <f t="shared" si="24"/>
        <v>0</v>
      </c>
      <c r="I67" s="511">
        <f t="shared" si="3"/>
        <v>0</v>
      </c>
      <c r="J67" s="511"/>
      <c r="K67" s="525"/>
      <c r="L67" s="514">
        <f t="shared" si="22"/>
        <v>0</v>
      </c>
      <c r="M67" s="525"/>
      <c r="N67" s="514">
        <f t="shared" si="5"/>
        <v>0</v>
      </c>
      <c r="O67" s="514">
        <f t="shared" si="6"/>
        <v>0</v>
      </c>
      <c r="P67" s="272"/>
    </row>
    <row r="68" spans="2:16">
      <c r="B68" s="195" t="str">
        <f t="shared" si="4"/>
        <v/>
      </c>
      <c r="C68" s="507">
        <f>IF(D11="","-",+C67+1)</f>
        <v>2066</v>
      </c>
      <c r="D68" s="523">
        <f>IF(F67+SUM(E$17:E67)=D$10,F67,D$10-SUM(E$17:E67))</f>
        <v>0</v>
      </c>
      <c r="E68" s="522">
        <f t="shared" si="18"/>
        <v>0</v>
      </c>
      <c r="F68" s="523">
        <f t="shared" si="19"/>
        <v>0</v>
      </c>
      <c r="G68" s="524">
        <f t="shared" si="23"/>
        <v>0</v>
      </c>
      <c r="H68" s="491">
        <f t="shared" si="24"/>
        <v>0</v>
      </c>
      <c r="I68" s="511">
        <f t="shared" si="3"/>
        <v>0</v>
      </c>
      <c r="J68" s="511"/>
      <c r="K68" s="525"/>
      <c r="L68" s="514">
        <f t="shared" si="22"/>
        <v>0</v>
      </c>
      <c r="M68" s="525"/>
      <c r="N68" s="514">
        <f t="shared" si="5"/>
        <v>0</v>
      </c>
      <c r="O68" s="514">
        <f t="shared" si="6"/>
        <v>0</v>
      </c>
      <c r="P68" s="272"/>
    </row>
    <row r="69" spans="2:16">
      <c r="B69" s="195" t="str">
        <f t="shared" si="4"/>
        <v/>
      </c>
      <c r="C69" s="507">
        <f>IF(D11="","-",+C68+1)</f>
        <v>2067</v>
      </c>
      <c r="D69" s="523">
        <f>IF(F68+SUM(E$17:E68)=D$10,F68,D$10-SUM(E$17:E68))</f>
        <v>0</v>
      </c>
      <c r="E69" s="522">
        <f t="shared" si="18"/>
        <v>0</v>
      </c>
      <c r="F69" s="523">
        <f t="shared" si="19"/>
        <v>0</v>
      </c>
      <c r="G69" s="524">
        <f t="shared" si="23"/>
        <v>0</v>
      </c>
      <c r="H69" s="491">
        <f t="shared" si="24"/>
        <v>0</v>
      </c>
      <c r="I69" s="511">
        <f t="shared" si="3"/>
        <v>0</v>
      </c>
      <c r="J69" s="511"/>
      <c r="K69" s="525"/>
      <c r="L69" s="514">
        <f t="shared" si="22"/>
        <v>0</v>
      </c>
      <c r="M69" s="525"/>
      <c r="N69" s="514">
        <f t="shared" si="5"/>
        <v>0</v>
      </c>
      <c r="O69" s="514">
        <f t="shared" si="6"/>
        <v>0</v>
      </c>
      <c r="P69" s="272"/>
    </row>
    <row r="70" spans="2:16">
      <c r="B70" s="195" t="str">
        <f t="shared" si="4"/>
        <v/>
      </c>
      <c r="C70" s="507">
        <f>IF(D11="","-",+C69+1)</f>
        <v>2068</v>
      </c>
      <c r="D70" s="523">
        <f>IF(F69+SUM(E$17:E69)=D$10,F69,D$10-SUM(E$17:E69))</f>
        <v>0</v>
      </c>
      <c r="E70" s="522">
        <f t="shared" si="18"/>
        <v>0</v>
      </c>
      <c r="F70" s="523">
        <f t="shared" si="19"/>
        <v>0</v>
      </c>
      <c r="G70" s="524">
        <f t="shared" si="23"/>
        <v>0</v>
      </c>
      <c r="H70" s="491">
        <f t="shared" si="24"/>
        <v>0</v>
      </c>
      <c r="I70" s="511">
        <f t="shared" si="3"/>
        <v>0</v>
      </c>
      <c r="J70" s="511"/>
      <c r="K70" s="525"/>
      <c r="L70" s="514">
        <f t="shared" si="22"/>
        <v>0</v>
      </c>
      <c r="M70" s="525"/>
      <c r="N70" s="514">
        <f t="shared" si="5"/>
        <v>0</v>
      </c>
      <c r="O70" s="514">
        <f t="shared" si="6"/>
        <v>0</v>
      </c>
      <c r="P70" s="272"/>
    </row>
    <row r="71" spans="2:16">
      <c r="B71" s="195" t="str">
        <f t="shared" si="4"/>
        <v/>
      </c>
      <c r="C71" s="507">
        <f>IF(D11="","-",+C70+1)</f>
        <v>2069</v>
      </c>
      <c r="D71" s="523">
        <f>IF(F70+SUM(E$17:E70)=D$10,F70,D$10-SUM(E$17:E70))</f>
        <v>0</v>
      </c>
      <c r="E71" s="522">
        <f t="shared" si="18"/>
        <v>0</v>
      </c>
      <c r="F71" s="523">
        <f t="shared" si="19"/>
        <v>0</v>
      </c>
      <c r="G71" s="524">
        <f t="shared" si="23"/>
        <v>0</v>
      </c>
      <c r="H71" s="491">
        <f t="shared" si="24"/>
        <v>0</v>
      </c>
      <c r="I71" s="511">
        <f t="shared" si="3"/>
        <v>0</v>
      </c>
      <c r="J71" s="511"/>
      <c r="K71" s="525"/>
      <c r="L71" s="514">
        <f t="shared" si="22"/>
        <v>0</v>
      </c>
      <c r="M71" s="525"/>
      <c r="N71" s="514">
        <f t="shared" si="5"/>
        <v>0</v>
      </c>
      <c r="O71" s="514">
        <f t="shared" si="6"/>
        <v>0</v>
      </c>
      <c r="P71" s="272"/>
    </row>
    <row r="72" spans="2:16" ht="13.5" thickBot="1">
      <c r="B72" s="195" t="str">
        <f t="shared" si="4"/>
        <v/>
      </c>
      <c r="C72" s="527">
        <f>IF(D11="","-",+C71+1)</f>
        <v>2070</v>
      </c>
      <c r="D72" s="523">
        <f>IF(F71+SUM(E$17:E71)=D$10,F71,D$10-SUM(E$17:E71))</f>
        <v>0</v>
      </c>
      <c r="E72" s="522">
        <f t="shared" si="18"/>
        <v>0</v>
      </c>
      <c r="F72" s="523">
        <f t="shared" si="19"/>
        <v>0</v>
      </c>
      <c r="G72" s="524">
        <f t="shared" si="23"/>
        <v>0</v>
      </c>
      <c r="H72" s="491">
        <f t="shared" si="24"/>
        <v>0</v>
      </c>
      <c r="I72" s="511">
        <f t="shared" si="3"/>
        <v>0</v>
      </c>
      <c r="J72" s="511"/>
      <c r="K72" s="532"/>
      <c r="L72" s="533">
        <f t="shared" si="22"/>
        <v>0</v>
      </c>
      <c r="M72" s="532"/>
      <c r="N72" s="533">
        <f t="shared" si="5"/>
        <v>0</v>
      </c>
      <c r="O72" s="533">
        <f t="shared" si="6"/>
        <v>0</v>
      </c>
      <c r="P72" s="272"/>
    </row>
    <row r="73" spans="2:16">
      <c r="C73" s="374" t="s">
        <v>78</v>
      </c>
      <c r="D73" s="375"/>
      <c r="E73" s="375">
        <f>SUM(E17:E72)</f>
        <v>5738012.9100000029</v>
      </c>
      <c r="F73" s="375"/>
      <c r="G73" s="375">
        <f>SUM(G17:G72)</f>
        <v>21273652.908755027</v>
      </c>
      <c r="H73" s="375">
        <f>SUM(H17:H72)</f>
        <v>21273652.908755027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2:16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2:16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2:16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2:16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272"/>
      <c r="P77" s="272"/>
    </row>
    <row r="78" spans="2:16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2:16"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  <c r="O79" s="269"/>
      <c r="P79" s="269"/>
    </row>
    <row r="80" spans="2:16" ht="18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6">
      <c r="B81" s="269"/>
      <c r="C81" s="340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6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</row>
    <row r="83" spans="1:16" ht="20.25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451" t="str">
        <f ca="1">P1</f>
        <v>SWEPCO Project 53 of 75</v>
      </c>
    </row>
    <row r="84" spans="1:16" ht="18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538" t="s">
        <v>128</v>
      </c>
    </row>
    <row r="85" spans="1:16" ht="18.7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</row>
    <row r="86" spans="1:16" ht="15.75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2022</v>
      </c>
      <c r="M86" s="541" t="s">
        <v>9</v>
      </c>
      <c r="N86" s="542" t="s">
        <v>159</v>
      </c>
      <c r="O86" s="543" t="s">
        <v>11</v>
      </c>
      <c r="P86" s="269"/>
    </row>
    <row r="87" spans="1:16" ht="1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391</v>
      </c>
      <c r="M87" s="546">
        <f>IF(J92&lt;D11,0,VLOOKUP(J92,C17:O72,9))</f>
        <v>679924.72685761354</v>
      </c>
      <c r="N87" s="546">
        <f>IF(J92&lt;D11,0,VLOOKUP(J92,C17:O72,11))</f>
        <v>679924.72685761354</v>
      </c>
      <c r="O87" s="547">
        <f>+N87-M87</f>
        <v>0</v>
      </c>
      <c r="P87" s="269"/>
    </row>
    <row r="88" spans="1:16" ht="15.7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392</v>
      </c>
      <c r="M88" s="550">
        <f>IF(J92&lt;D11,0,VLOOKUP(J92,C99:P154,6))</f>
        <v>705309.25865404611</v>
      </c>
      <c r="N88" s="550">
        <f>IF(J92&lt;D11,0,VLOOKUP(J92,C99:P154,7))</f>
        <v>705309.25865404611</v>
      </c>
      <c r="O88" s="551">
        <f>+N88-M88</f>
        <v>0</v>
      </c>
      <c r="P88" s="269"/>
    </row>
    <row r="89" spans="1:16" ht="13.5" thickBot="1">
      <c r="C89" s="467" t="s">
        <v>84</v>
      </c>
      <c r="D89" s="552" t="str">
        <f>+D7</f>
        <v>Mt. Pleasant - West Mt. Pleasant 69 kV Ckt 1)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25384.531796432566</v>
      </c>
      <c r="N89" s="555">
        <f>+N88-N87</f>
        <v>25384.531796432566</v>
      </c>
      <c r="O89" s="556">
        <f>+O88-O87</f>
        <v>0</v>
      </c>
      <c r="P89" s="269"/>
    </row>
    <row r="90" spans="1:16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</row>
    <row r="91" spans="1:16" ht="13.5" thickBot="1">
      <c r="A91" s="191"/>
      <c r="C91" s="558" t="s">
        <v>85</v>
      </c>
      <c r="D91" s="559" t="str">
        <f>+D9</f>
        <v>TP2013081</v>
      </c>
      <c r="E91" s="560"/>
      <c r="F91" s="560"/>
      <c r="G91" s="560"/>
      <c r="H91" s="560"/>
      <c r="I91" s="560"/>
      <c r="J91" s="560"/>
      <c r="K91" s="562"/>
      <c r="P91" s="481"/>
    </row>
    <row r="92" spans="1:16">
      <c r="C92" s="486" t="s">
        <v>51</v>
      </c>
      <c r="D92" s="628">
        <v>5738013</v>
      </c>
      <c r="E92" s="340" t="s">
        <v>86</v>
      </c>
      <c r="H92" s="484"/>
      <c r="I92" s="484"/>
      <c r="J92" s="485">
        <f>+'SWE.WS.G.BPU.ATRR.True-up'!M16</f>
        <v>2022</v>
      </c>
      <c r="K92" s="480"/>
      <c r="L92" s="375" t="s">
        <v>87</v>
      </c>
      <c r="P92" s="272"/>
    </row>
    <row r="93" spans="1:16">
      <c r="C93" s="486" t="s">
        <v>54</v>
      </c>
      <c r="D93" s="563">
        <f>IF(D11=I10,"",D11)</f>
        <v>2015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</row>
    <row r="94" spans="1:16">
      <c r="C94" s="486" t="s">
        <v>56</v>
      </c>
      <c r="D94" s="564">
        <f>IF(D11=I10,"",D12)</f>
        <v>5</v>
      </c>
      <c r="E94" s="486" t="s">
        <v>57</v>
      </c>
      <c r="F94" s="484"/>
      <c r="G94" s="484"/>
      <c r="J94" s="490">
        <f>'SWE.WS.G.BPU.ATRR.True-up'!$F$81</f>
        <v>0.11351422637179906</v>
      </c>
      <c r="K94" s="425"/>
      <c r="L94" s="183" t="s">
        <v>88</v>
      </c>
      <c r="P94" s="272"/>
    </row>
    <row r="95" spans="1:16">
      <c r="C95" s="486" t="s">
        <v>59</v>
      </c>
      <c r="D95" s="488">
        <f>'SWE.WS.G.BPU.ATRR.True-up'!F$93</f>
        <v>41</v>
      </c>
      <c r="E95" s="486" t="s">
        <v>60</v>
      </c>
      <c r="F95" s="484"/>
      <c r="G95" s="484"/>
      <c r="J95" s="490">
        <f>IF(H87="",J94,'SWE.WS.G.BPU.ATRR.True-up'!$F$80)</f>
        <v>0.11351422637179906</v>
      </c>
      <c r="K95" s="324"/>
      <c r="L95" s="375" t="s">
        <v>61</v>
      </c>
      <c r="M95" s="324"/>
      <c r="N95" s="324"/>
      <c r="O95" s="324"/>
      <c r="P95" s="272"/>
    </row>
    <row r="96" spans="1:16" ht="13.5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139951.53658536586</v>
      </c>
      <c r="K96" s="375"/>
      <c r="L96" s="375"/>
      <c r="M96" s="375"/>
      <c r="N96" s="375"/>
      <c r="O96" s="375"/>
      <c r="P96" s="272"/>
    </row>
    <row r="97" spans="1:16" ht="38.25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388</v>
      </c>
      <c r="I97" s="495" t="s">
        <v>389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</row>
    <row r="98" spans="1:16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</row>
    <row r="99" spans="1:16">
      <c r="C99" s="507">
        <f>IF(D93= "","-",D93)</f>
        <v>2015</v>
      </c>
      <c r="D99" s="629">
        <v>0</v>
      </c>
      <c r="E99" s="630">
        <v>11358.232142857143</v>
      </c>
      <c r="F99" s="631">
        <v>5713190.7678571427</v>
      </c>
      <c r="G99" s="632">
        <v>2856595.3839285714</v>
      </c>
      <c r="H99" s="633">
        <v>387768.60042600508</v>
      </c>
      <c r="I99" s="634">
        <v>387768.60042600508</v>
      </c>
      <c r="J99" s="514">
        <f>+I99-H99</f>
        <v>0</v>
      </c>
      <c r="K99" s="514"/>
      <c r="L99" s="512">
        <f t="shared" ref="L99:L104" si="25">+H99</f>
        <v>387768.60042600508</v>
      </c>
      <c r="M99" s="513">
        <f t="shared" ref="M99:M130" si="26">IF(L99&lt;&gt;0,+H99-L99,0)</f>
        <v>0</v>
      </c>
      <c r="N99" s="512">
        <f t="shared" ref="N99:N104" si="27">+I99</f>
        <v>387768.60042600508</v>
      </c>
      <c r="O99" s="513">
        <f t="shared" ref="O99:O130" si="28">IF(N99&lt;&gt;0,+I99-N99,0)</f>
        <v>0</v>
      </c>
      <c r="P99" s="513">
        <f t="shared" ref="P99:P130" si="29">+O99-M99</f>
        <v>0</v>
      </c>
    </row>
    <row r="100" spans="1:16">
      <c r="B100" s="195" t="str">
        <f>IF(D100=F99,"","IU")</f>
        <v>IU</v>
      </c>
      <c r="C100" s="507">
        <f>IF(D93="","-",+C99+1)</f>
        <v>2016</v>
      </c>
      <c r="D100" s="629">
        <v>5726654.7678571427</v>
      </c>
      <c r="E100" s="630">
        <v>133442.16279069768</v>
      </c>
      <c r="F100" s="631">
        <v>5593212.6050664447</v>
      </c>
      <c r="G100" s="631">
        <v>5659933.6864617933</v>
      </c>
      <c r="H100" s="633">
        <v>851970.67799992743</v>
      </c>
      <c r="I100" s="634">
        <v>851970.67799992743</v>
      </c>
      <c r="J100" s="514">
        <f>+I100-H100</f>
        <v>0</v>
      </c>
      <c r="K100" s="514"/>
      <c r="L100" s="518">
        <f t="shared" si="25"/>
        <v>851970.67799992743</v>
      </c>
      <c r="M100" s="514">
        <f t="shared" ref="M100:M105" si="30">IF(L100&lt;&gt;0,+H100-L100,0)</f>
        <v>0</v>
      </c>
      <c r="N100" s="518">
        <f t="shared" si="27"/>
        <v>851970.67799992743</v>
      </c>
      <c r="O100" s="514">
        <f>IF(N100&lt;&gt;0,+I100-N100,0)</f>
        <v>0</v>
      </c>
      <c r="P100" s="514">
        <f>+O100-M100</f>
        <v>0</v>
      </c>
    </row>
    <row r="101" spans="1:16">
      <c r="B101" s="195" t="str">
        <f t="shared" ref="B101:B154" si="31">IF(D101=F100,"","IU")</f>
        <v/>
      </c>
      <c r="C101" s="507">
        <f>IF(D93="","-",+C100+1)</f>
        <v>2017</v>
      </c>
      <c r="D101" s="629">
        <v>5593212.6050664447</v>
      </c>
      <c r="E101" s="630">
        <v>136619.35714285713</v>
      </c>
      <c r="F101" s="631">
        <v>5456593.2479235874</v>
      </c>
      <c r="G101" s="631">
        <v>5524902.9264950156</v>
      </c>
      <c r="H101" s="633">
        <v>807737.36918670509</v>
      </c>
      <c r="I101" s="634">
        <v>807737.36918670509</v>
      </c>
      <c r="J101" s="514">
        <f t="shared" ref="J101:J154" si="32">+I101-H101</f>
        <v>0</v>
      </c>
      <c r="K101" s="514"/>
      <c r="L101" s="518">
        <f t="shared" si="25"/>
        <v>807737.36918670509</v>
      </c>
      <c r="M101" s="514">
        <f t="shared" si="30"/>
        <v>0</v>
      </c>
      <c r="N101" s="518">
        <f t="shared" si="27"/>
        <v>807737.36918670509</v>
      </c>
      <c r="O101" s="514">
        <f>IF(N101&lt;&gt;0,+I101-N101,0)</f>
        <v>0</v>
      </c>
      <c r="P101" s="514">
        <f>+O101-M101</f>
        <v>0</v>
      </c>
    </row>
    <row r="102" spans="1:16">
      <c r="B102" s="195" t="str">
        <f t="shared" si="31"/>
        <v/>
      </c>
      <c r="C102" s="507">
        <f>IF(D93="","-",+C101+1)</f>
        <v>2018</v>
      </c>
      <c r="D102" s="629">
        <v>5456593.2479235874</v>
      </c>
      <c r="E102" s="630">
        <v>136619.35714285713</v>
      </c>
      <c r="F102" s="631">
        <v>5319973.8907807302</v>
      </c>
      <c r="G102" s="631">
        <v>5388283.5693521593</v>
      </c>
      <c r="H102" s="633">
        <v>705646.81176386797</v>
      </c>
      <c r="I102" s="634">
        <v>705646.81176386797</v>
      </c>
      <c r="J102" s="514">
        <f t="shared" si="32"/>
        <v>0</v>
      </c>
      <c r="K102" s="514"/>
      <c r="L102" s="518">
        <f t="shared" si="25"/>
        <v>705646.81176386797</v>
      </c>
      <c r="M102" s="514">
        <f t="shared" si="30"/>
        <v>0</v>
      </c>
      <c r="N102" s="518">
        <f t="shared" si="27"/>
        <v>705646.81176386797</v>
      </c>
      <c r="O102" s="514">
        <f>IF(N102&lt;&gt;0,+I102-N102,0)</f>
        <v>0</v>
      </c>
      <c r="P102" s="514">
        <f t="shared" si="29"/>
        <v>0</v>
      </c>
    </row>
    <row r="103" spans="1:16">
      <c r="B103" s="195" t="str">
        <f t="shared" si="31"/>
        <v/>
      </c>
      <c r="C103" s="507">
        <f>IF(D93="","-",+C102+1)</f>
        <v>2019</v>
      </c>
      <c r="D103" s="629">
        <v>5319973.8907807302</v>
      </c>
      <c r="E103" s="630">
        <v>133442.16279069768</v>
      </c>
      <c r="F103" s="631">
        <v>5186531.7279900322</v>
      </c>
      <c r="G103" s="631">
        <v>5253252.8093853816</v>
      </c>
      <c r="H103" s="633">
        <v>695753.21463092987</v>
      </c>
      <c r="I103" s="634">
        <v>695753.21463092987</v>
      </c>
      <c r="J103" s="514">
        <f t="shared" si="32"/>
        <v>0</v>
      </c>
      <c r="K103" s="514"/>
      <c r="L103" s="518">
        <f t="shared" si="25"/>
        <v>695753.21463092987</v>
      </c>
      <c r="M103" s="514">
        <f t="shared" si="30"/>
        <v>0</v>
      </c>
      <c r="N103" s="518">
        <f t="shared" si="27"/>
        <v>695753.21463092987</v>
      </c>
      <c r="O103" s="514">
        <f t="shared" si="28"/>
        <v>0</v>
      </c>
      <c r="P103" s="514">
        <f t="shared" si="29"/>
        <v>0</v>
      </c>
    </row>
    <row r="104" spans="1:16">
      <c r="B104" s="195" t="str">
        <f t="shared" si="31"/>
        <v/>
      </c>
      <c r="C104" s="507">
        <f>IF(D93="","-",+C103+1)</f>
        <v>2020</v>
      </c>
      <c r="D104" s="629">
        <v>5186531.7279900322</v>
      </c>
      <c r="E104" s="630">
        <v>136619.35714285713</v>
      </c>
      <c r="F104" s="631">
        <v>5049912.3708471749</v>
      </c>
      <c r="G104" s="631">
        <v>5118222.049418604</v>
      </c>
      <c r="H104" s="633">
        <v>687206.11858859565</v>
      </c>
      <c r="I104" s="634">
        <v>687206.11858859565</v>
      </c>
      <c r="J104" s="514">
        <f t="shared" si="32"/>
        <v>0</v>
      </c>
      <c r="K104" s="514"/>
      <c r="L104" s="518">
        <f t="shared" si="25"/>
        <v>687206.11858859565</v>
      </c>
      <c r="M104" s="514">
        <f t="shared" si="30"/>
        <v>0</v>
      </c>
      <c r="N104" s="518">
        <f t="shared" si="27"/>
        <v>687206.11858859565</v>
      </c>
      <c r="O104" s="514">
        <f t="shared" si="28"/>
        <v>0</v>
      </c>
      <c r="P104" s="514">
        <f t="shared" si="29"/>
        <v>0</v>
      </c>
    </row>
    <row r="105" spans="1:16">
      <c r="B105" s="195" t="str">
        <f t="shared" si="31"/>
        <v/>
      </c>
      <c r="C105" s="507">
        <f>IF(D93="","-",+C104+1)</f>
        <v>2021</v>
      </c>
      <c r="D105" s="629">
        <v>5049912.3708471749</v>
      </c>
      <c r="E105" s="630">
        <v>139951.53658536586</v>
      </c>
      <c r="F105" s="631">
        <v>4909960.8342618095</v>
      </c>
      <c r="G105" s="631">
        <v>4979936.6025544927</v>
      </c>
      <c r="H105" s="633">
        <v>705245.18740494445</v>
      </c>
      <c r="I105" s="634">
        <v>705245.18740494445</v>
      </c>
      <c r="J105" s="514">
        <f t="shared" si="32"/>
        <v>0</v>
      </c>
      <c r="K105" s="514"/>
      <c r="L105" s="518">
        <f t="shared" ref="L105" si="33">+H105</f>
        <v>705245.18740494445</v>
      </c>
      <c r="M105" s="514">
        <f t="shared" si="30"/>
        <v>0</v>
      </c>
      <c r="N105" s="518">
        <f t="shared" ref="N105" si="34">+I105</f>
        <v>705245.18740494445</v>
      </c>
      <c r="O105" s="514">
        <f t="shared" ref="O105" si="35">IF(N105&lt;&gt;0,+I105-N105,0)</f>
        <v>0</v>
      </c>
      <c r="P105" s="514">
        <f t="shared" ref="P105" si="36">+O105-M105</f>
        <v>0</v>
      </c>
    </row>
    <row r="106" spans="1:16">
      <c r="B106" s="195" t="str">
        <f t="shared" si="31"/>
        <v/>
      </c>
      <c r="C106" s="673">
        <f>IF(D93="","-",+C105+1)</f>
        <v>2022</v>
      </c>
      <c r="D106" s="374">
        <v>4909960.8342618095</v>
      </c>
      <c r="E106" s="522">
        <v>136619.35714285713</v>
      </c>
      <c r="F106" s="523">
        <v>4773341.4771189522</v>
      </c>
      <c r="G106" s="523">
        <v>4841651.1556903813</v>
      </c>
      <c r="H106" s="526">
        <v>705309.25865404611</v>
      </c>
      <c r="I106" s="577">
        <v>705309.25865404611</v>
      </c>
      <c r="J106" s="514">
        <f t="shared" si="32"/>
        <v>0</v>
      </c>
      <c r="K106" s="514"/>
      <c r="L106" s="525"/>
      <c r="M106" s="514">
        <f t="shared" si="26"/>
        <v>0</v>
      </c>
      <c r="N106" s="525"/>
      <c r="O106" s="514">
        <f t="shared" si="28"/>
        <v>0</v>
      </c>
      <c r="P106" s="514">
        <f t="shared" si="29"/>
        <v>0</v>
      </c>
    </row>
    <row r="107" spans="1:16">
      <c r="B107" s="195" t="str">
        <f t="shared" si="31"/>
        <v/>
      </c>
      <c r="C107" s="507">
        <f>IF(D93="","-",+C106+1)</f>
        <v>2023</v>
      </c>
      <c r="D107" s="374">
        <f>IF(F106+SUM(E$99:E106)=D$92,F106,D$92-SUM(E$99:E106))</f>
        <v>4773341.4771189522</v>
      </c>
      <c r="E107" s="522">
        <f t="shared" ref="E107:E154" si="37">IF(+$J$96&lt;F106,$J$96,D107)</f>
        <v>139951.53658536586</v>
      </c>
      <c r="F107" s="523">
        <f t="shared" ref="F107:F154" si="38">+D107-E107</f>
        <v>4633389.9405335868</v>
      </c>
      <c r="G107" s="523">
        <f t="shared" ref="G107:G154" si="39">+(F107+D107)/2</f>
        <v>4703365.70882627</v>
      </c>
      <c r="H107" s="526">
        <f t="shared" ref="H107:H154" si="40">+J$94*G107+E107</f>
        <v>673850.45636642829</v>
      </c>
      <c r="I107" s="577">
        <f t="shared" ref="I107:I154" si="41">+J$95*G107+E107</f>
        <v>673850.45636642829</v>
      </c>
      <c r="J107" s="514">
        <f t="shared" si="32"/>
        <v>0</v>
      </c>
      <c r="K107" s="514"/>
      <c r="L107" s="525"/>
      <c r="M107" s="514">
        <f t="shared" si="26"/>
        <v>0</v>
      </c>
      <c r="N107" s="525"/>
      <c r="O107" s="514">
        <f t="shared" si="28"/>
        <v>0</v>
      </c>
      <c r="P107" s="514">
        <f t="shared" si="29"/>
        <v>0</v>
      </c>
    </row>
    <row r="108" spans="1:16">
      <c r="B108" s="195" t="str">
        <f t="shared" si="31"/>
        <v/>
      </c>
      <c r="C108" s="507">
        <f>IF(D93="","-",+C107+1)</f>
        <v>2024</v>
      </c>
      <c r="D108" s="374">
        <f>IF(F107+SUM(E$99:E107)=D$92,F107,D$92-SUM(E$99:E107))</f>
        <v>4633389.9405335868</v>
      </c>
      <c r="E108" s="522">
        <f t="shared" si="37"/>
        <v>139951.53658536586</v>
      </c>
      <c r="F108" s="523">
        <f t="shared" si="38"/>
        <v>4493438.4039482214</v>
      </c>
      <c r="G108" s="523">
        <f t="shared" si="39"/>
        <v>4563414.1722409036</v>
      </c>
      <c r="H108" s="526">
        <f t="shared" si="40"/>
        <v>657963.96596139576</v>
      </c>
      <c r="I108" s="577">
        <f t="shared" si="41"/>
        <v>657963.96596139576</v>
      </c>
      <c r="J108" s="514">
        <f t="shared" si="32"/>
        <v>0</v>
      </c>
      <c r="K108" s="514"/>
      <c r="L108" s="525"/>
      <c r="M108" s="514">
        <f t="shared" si="26"/>
        <v>0</v>
      </c>
      <c r="N108" s="525"/>
      <c r="O108" s="514">
        <f t="shared" si="28"/>
        <v>0</v>
      </c>
      <c r="P108" s="514">
        <f t="shared" si="29"/>
        <v>0</v>
      </c>
    </row>
    <row r="109" spans="1:16">
      <c r="B109" s="195" t="str">
        <f t="shared" si="31"/>
        <v/>
      </c>
      <c r="C109" s="507">
        <f>IF(D93="","-",+C108+1)</f>
        <v>2025</v>
      </c>
      <c r="D109" s="374">
        <f>IF(F108+SUM(E$99:E108)=D$92,F108,D$92-SUM(E$99:E108))</f>
        <v>4493438.4039482214</v>
      </c>
      <c r="E109" s="522">
        <f t="shared" si="37"/>
        <v>139951.53658536586</v>
      </c>
      <c r="F109" s="523">
        <f t="shared" si="38"/>
        <v>4353486.8673628559</v>
      </c>
      <c r="G109" s="523">
        <f t="shared" si="39"/>
        <v>4423462.6356555391</v>
      </c>
      <c r="H109" s="526">
        <f t="shared" si="40"/>
        <v>642077.47555636358</v>
      </c>
      <c r="I109" s="577">
        <f t="shared" si="41"/>
        <v>642077.47555636358</v>
      </c>
      <c r="J109" s="514">
        <f t="shared" si="32"/>
        <v>0</v>
      </c>
      <c r="K109" s="514"/>
      <c r="L109" s="525"/>
      <c r="M109" s="514">
        <f t="shared" si="26"/>
        <v>0</v>
      </c>
      <c r="N109" s="525"/>
      <c r="O109" s="514">
        <f t="shared" si="28"/>
        <v>0</v>
      </c>
      <c r="P109" s="514">
        <f t="shared" si="29"/>
        <v>0</v>
      </c>
    </row>
    <row r="110" spans="1:16">
      <c r="B110" s="195" t="str">
        <f t="shared" si="31"/>
        <v/>
      </c>
      <c r="C110" s="507">
        <f>IF(D93="","-",+C109+1)</f>
        <v>2026</v>
      </c>
      <c r="D110" s="374">
        <f>IF(F109+SUM(E$99:E109)=D$92,F109,D$92-SUM(E$99:E109))</f>
        <v>4353486.8673628559</v>
      </c>
      <c r="E110" s="522">
        <f t="shared" si="37"/>
        <v>139951.53658536586</v>
      </c>
      <c r="F110" s="523">
        <f t="shared" si="38"/>
        <v>4213535.3307774905</v>
      </c>
      <c r="G110" s="523">
        <f t="shared" si="39"/>
        <v>4283511.0990701728</v>
      </c>
      <c r="H110" s="526">
        <f t="shared" si="40"/>
        <v>626190.98515133129</v>
      </c>
      <c r="I110" s="577">
        <f t="shared" si="41"/>
        <v>626190.98515133129</v>
      </c>
      <c r="J110" s="514">
        <f t="shared" si="32"/>
        <v>0</v>
      </c>
      <c r="K110" s="514"/>
      <c r="L110" s="525"/>
      <c r="M110" s="514">
        <f t="shared" si="26"/>
        <v>0</v>
      </c>
      <c r="N110" s="525"/>
      <c r="O110" s="514">
        <f t="shared" si="28"/>
        <v>0</v>
      </c>
      <c r="P110" s="514">
        <f t="shared" si="29"/>
        <v>0</v>
      </c>
    </row>
    <row r="111" spans="1:16">
      <c r="B111" s="195" t="str">
        <f t="shared" si="31"/>
        <v/>
      </c>
      <c r="C111" s="507">
        <f>IF(D93="","-",+C110+1)</f>
        <v>2027</v>
      </c>
      <c r="D111" s="374">
        <f>IF(F110+SUM(E$99:E110)=D$92,F110,D$92-SUM(E$99:E110))</f>
        <v>4213535.3307774905</v>
      </c>
      <c r="E111" s="522">
        <f t="shared" si="37"/>
        <v>139951.53658536586</v>
      </c>
      <c r="F111" s="523">
        <f t="shared" si="38"/>
        <v>4073583.7941921246</v>
      </c>
      <c r="G111" s="523">
        <f t="shared" si="39"/>
        <v>4143559.5624848073</v>
      </c>
      <c r="H111" s="526">
        <f t="shared" si="40"/>
        <v>610304.49474629899</v>
      </c>
      <c r="I111" s="577">
        <f t="shared" si="41"/>
        <v>610304.49474629899</v>
      </c>
      <c r="J111" s="514">
        <f t="shared" si="32"/>
        <v>0</v>
      </c>
      <c r="K111" s="514"/>
      <c r="L111" s="525"/>
      <c r="M111" s="514">
        <f t="shared" si="26"/>
        <v>0</v>
      </c>
      <c r="N111" s="525"/>
      <c r="O111" s="514">
        <f t="shared" si="28"/>
        <v>0</v>
      </c>
      <c r="P111" s="514">
        <f t="shared" si="29"/>
        <v>0</v>
      </c>
    </row>
    <row r="112" spans="1:16">
      <c r="B112" s="195" t="str">
        <f t="shared" si="31"/>
        <v/>
      </c>
      <c r="C112" s="507">
        <f>IF(D93="","-",+C111+1)</f>
        <v>2028</v>
      </c>
      <c r="D112" s="374">
        <f>IF(F111+SUM(E$99:E111)=D$92,F111,D$92-SUM(E$99:E111))</f>
        <v>4073583.7941921246</v>
      </c>
      <c r="E112" s="522">
        <f t="shared" si="37"/>
        <v>139951.53658536586</v>
      </c>
      <c r="F112" s="523">
        <f t="shared" si="38"/>
        <v>3933632.2576067587</v>
      </c>
      <c r="G112" s="523">
        <f t="shared" si="39"/>
        <v>4003608.0258994419</v>
      </c>
      <c r="H112" s="526">
        <f t="shared" si="40"/>
        <v>594418.0043412667</v>
      </c>
      <c r="I112" s="577">
        <f t="shared" si="41"/>
        <v>594418.0043412667</v>
      </c>
      <c r="J112" s="514">
        <f t="shared" si="32"/>
        <v>0</v>
      </c>
      <c r="K112" s="514"/>
      <c r="L112" s="525"/>
      <c r="M112" s="514">
        <f t="shared" si="26"/>
        <v>0</v>
      </c>
      <c r="N112" s="525"/>
      <c r="O112" s="514">
        <f t="shared" si="28"/>
        <v>0</v>
      </c>
      <c r="P112" s="514">
        <f t="shared" si="29"/>
        <v>0</v>
      </c>
    </row>
    <row r="113" spans="2:16">
      <c r="B113" s="195" t="str">
        <f t="shared" si="31"/>
        <v/>
      </c>
      <c r="C113" s="507">
        <f>IF(D93="","-",+C112+1)</f>
        <v>2029</v>
      </c>
      <c r="D113" s="374">
        <f>IF(F112+SUM(E$99:E112)=D$92,F112,D$92-SUM(E$99:E112))</f>
        <v>3933632.2576067587</v>
      </c>
      <c r="E113" s="522">
        <f t="shared" si="37"/>
        <v>139951.53658536586</v>
      </c>
      <c r="F113" s="523">
        <f t="shared" si="38"/>
        <v>3793680.7210213928</v>
      </c>
      <c r="G113" s="523">
        <f t="shared" si="39"/>
        <v>3863656.4893140756</v>
      </c>
      <c r="H113" s="526">
        <f t="shared" si="40"/>
        <v>578531.51393623429</v>
      </c>
      <c r="I113" s="577">
        <f t="shared" si="41"/>
        <v>578531.51393623429</v>
      </c>
      <c r="J113" s="514">
        <f t="shared" si="32"/>
        <v>0</v>
      </c>
      <c r="K113" s="514"/>
      <c r="L113" s="525"/>
      <c r="M113" s="514">
        <f t="shared" si="26"/>
        <v>0</v>
      </c>
      <c r="N113" s="525"/>
      <c r="O113" s="514">
        <f t="shared" si="28"/>
        <v>0</v>
      </c>
      <c r="P113" s="514">
        <f t="shared" si="29"/>
        <v>0</v>
      </c>
    </row>
    <row r="114" spans="2:16">
      <c r="B114" s="195" t="str">
        <f t="shared" si="31"/>
        <v/>
      </c>
      <c r="C114" s="507">
        <f>IF(D93="","-",+C113+1)</f>
        <v>2030</v>
      </c>
      <c r="D114" s="374">
        <f>IF(F113+SUM(E$99:E113)=D$92,F113,D$92-SUM(E$99:E113))</f>
        <v>3793680.7210213928</v>
      </c>
      <c r="E114" s="522">
        <f t="shared" si="37"/>
        <v>139951.53658536586</v>
      </c>
      <c r="F114" s="523">
        <f t="shared" si="38"/>
        <v>3653729.184436027</v>
      </c>
      <c r="G114" s="523">
        <f t="shared" si="39"/>
        <v>3723704.9527287101</v>
      </c>
      <c r="H114" s="526">
        <f t="shared" si="40"/>
        <v>562645.02353120199</v>
      </c>
      <c r="I114" s="577">
        <f t="shared" si="41"/>
        <v>562645.02353120199</v>
      </c>
      <c r="J114" s="514">
        <f t="shared" si="32"/>
        <v>0</v>
      </c>
      <c r="K114" s="514"/>
      <c r="L114" s="525"/>
      <c r="M114" s="514">
        <f t="shared" si="26"/>
        <v>0</v>
      </c>
      <c r="N114" s="525"/>
      <c r="O114" s="514">
        <f t="shared" si="28"/>
        <v>0</v>
      </c>
      <c r="P114" s="514">
        <f t="shared" si="29"/>
        <v>0</v>
      </c>
    </row>
    <row r="115" spans="2:16">
      <c r="B115" s="195" t="str">
        <f t="shared" si="31"/>
        <v/>
      </c>
      <c r="C115" s="507">
        <f>IF(D93="","-",+C114+1)</f>
        <v>2031</v>
      </c>
      <c r="D115" s="374">
        <f>IF(F114+SUM(E$99:E114)=D$92,F114,D$92-SUM(E$99:E114))</f>
        <v>3653729.184436027</v>
      </c>
      <c r="E115" s="522">
        <f t="shared" si="37"/>
        <v>139951.53658536586</v>
      </c>
      <c r="F115" s="523">
        <f t="shared" si="38"/>
        <v>3513777.6478506611</v>
      </c>
      <c r="G115" s="523">
        <f t="shared" si="39"/>
        <v>3583753.4161433438</v>
      </c>
      <c r="H115" s="526">
        <f t="shared" si="40"/>
        <v>546758.53312616958</v>
      </c>
      <c r="I115" s="577">
        <f t="shared" si="41"/>
        <v>546758.53312616958</v>
      </c>
      <c r="J115" s="514">
        <f t="shared" si="32"/>
        <v>0</v>
      </c>
      <c r="K115" s="514"/>
      <c r="L115" s="525"/>
      <c r="M115" s="514">
        <f t="shared" si="26"/>
        <v>0</v>
      </c>
      <c r="N115" s="525"/>
      <c r="O115" s="514">
        <f t="shared" si="28"/>
        <v>0</v>
      </c>
      <c r="P115" s="514">
        <f t="shared" si="29"/>
        <v>0</v>
      </c>
    </row>
    <row r="116" spans="2:16">
      <c r="B116" s="195" t="str">
        <f t="shared" si="31"/>
        <v/>
      </c>
      <c r="C116" s="507">
        <f>IF(D93="","-",+C115+1)</f>
        <v>2032</v>
      </c>
      <c r="D116" s="374">
        <f>IF(F115+SUM(E$99:E115)=D$92,F115,D$92-SUM(E$99:E115))</f>
        <v>3513777.6478506611</v>
      </c>
      <c r="E116" s="522">
        <f t="shared" si="37"/>
        <v>139951.53658536586</v>
      </c>
      <c r="F116" s="523">
        <f t="shared" si="38"/>
        <v>3373826.1112652952</v>
      </c>
      <c r="G116" s="523">
        <f t="shared" si="39"/>
        <v>3443801.8795579784</v>
      </c>
      <c r="H116" s="526">
        <f t="shared" si="40"/>
        <v>530872.04272113729</v>
      </c>
      <c r="I116" s="577">
        <f t="shared" si="41"/>
        <v>530872.04272113729</v>
      </c>
      <c r="J116" s="514">
        <f t="shared" si="32"/>
        <v>0</v>
      </c>
      <c r="K116" s="514"/>
      <c r="L116" s="525"/>
      <c r="M116" s="514">
        <f t="shared" si="26"/>
        <v>0</v>
      </c>
      <c r="N116" s="525"/>
      <c r="O116" s="514">
        <f t="shared" si="28"/>
        <v>0</v>
      </c>
      <c r="P116" s="514">
        <f t="shared" si="29"/>
        <v>0</v>
      </c>
    </row>
    <row r="117" spans="2:16">
      <c r="B117" s="195" t="str">
        <f t="shared" si="31"/>
        <v/>
      </c>
      <c r="C117" s="507">
        <f>IF(D93="","-",+C116+1)</f>
        <v>2033</v>
      </c>
      <c r="D117" s="374">
        <f>IF(F116+SUM(E$99:E116)=D$92,F116,D$92-SUM(E$99:E116))</f>
        <v>3373826.1112652952</v>
      </c>
      <c r="E117" s="522">
        <f t="shared" si="37"/>
        <v>139951.53658536586</v>
      </c>
      <c r="F117" s="523">
        <f t="shared" si="38"/>
        <v>3233874.5746799293</v>
      </c>
      <c r="G117" s="523">
        <f t="shared" si="39"/>
        <v>3303850.342972612</v>
      </c>
      <c r="H117" s="526">
        <f t="shared" si="40"/>
        <v>514985.55231610488</v>
      </c>
      <c r="I117" s="577">
        <f t="shared" si="41"/>
        <v>514985.55231610488</v>
      </c>
      <c r="J117" s="514">
        <f t="shared" si="32"/>
        <v>0</v>
      </c>
      <c r="K117" s="514"/>
      <c r="L117" s="525"/>
      <c r="M117" s="514">
        <f t="shared" si="26"/>
        <v>0</v>
      </c>
      <c r="N117" s="525"/>
      <c r="O117" s="514">
        <f t="shared" si="28"/>
        <v>0</v>
      </c>
      <c r="P117" s="514">
        <f t="shared" si="29"/>
        <v>0</v>
      </c>
    </row>
    <row r="118" spans="2:16">
      <c r="B118" s="195" t="str">
        <f t="shared" si="31"/>
        <v/>
      </c>
      <c r="C118" s="507">
        <f>IF(D93="","-",+C117+1)</f>
        <v>2034</v>
      </c>
      <c r="D118" s="374">
        <f>IF(F117+SUM(E$99:E117)=D$92,F117,D$92-SUM(E$99:E117))</f>
        <v>3233874.5746799293</v>
      </c>
      <c r="E118" s="522">
        <f t="shared" si="37"/>
        <v>139951.53658536586</v>
      </c>
      <c r="F118" s="523">
        <f t="shared" si="38"/>
        <v>3093923.0380945634</v>
      </c>
      <c r="G118" s="523">
        <f t="shared" si="39"/>
        <v>3163898.8063872466</v>
      </c>
      <c r="H118" s="526">
        <f t="shared" si="40"/>
        <v>499099.06191107258</v>
      </c>
      <c r="I118" s="577">
        <f t="shared" si="41"/>
        <v>499099.06191107258</v>
      </c>
      <c r="J118" s="514">
        <f t="shared" si="32"/>
        <v>0</v>
      </c>
      <c r="K118" s="514"/>
      <c r="L118" s="525"/>
      <c r="M118" s="514">
        <f t="shared" si="26"/>
        <v>0</v>
      </c>
      <c r="N118" s="525"/>
      <c r="O118" s="514">
        <f t="shared" si="28"/>
        <v>0</v>
      </c>
      <c r="P118" s="514">
        <f t="shared" si="29"/>
        <v>0</v>
      </c>
    </row>
    <row r="119" spans="2:16">
      <c r="B119" s="195" t="str">
        <f t="shared" si="31"/>
        <v/>
      </c>
      <c r="C119" s="507">
        <f>IF(D93="","-",+C118+1)</f>
        <v>2035</v>
      </c>
      <c r="D119" s="374">
        <f>IF(F118+SUM(E$99:E118)=D$92,F118,D$92-SUM(E$99:E118))</f>
        <v>3093923.0380945634</v>
      </c>
      <c r="E119" s="522">
        <f t="shared" si="37"/>
        <v>139951.53658536586</v>
      </c>
      <c r="F119" s="523">
        <f t="shared" si="38"/>
        <v>2953971.5015091975</v>
      </c>
      <c r="G119" s="523">
        <f t="shared" si="39"/>
        <v>3023947.2698018802</v>
      </c>
      <c r="H119" s="526">
        <f t="shared" si="40"/>
        <v>483212.57150604017</v>
      </c>
      <c r="I119" s="577">
        <f t="shared" si="41"/>
        <v>483212.57150604017</v>
      </c>
      <c r="J119" s="514">
        <f t="shared" si="32"/>
        <v>0</v>
      </c>
      <c r="K119" s="514"/>
      <c r="L119" s="525"/>
      <c r="M119" s="514">
        <f t="shared" si="26"/>
        <v>0</v>
      </c>
      <c r="N119" s="525"/>
      <c r="O119" s="514">
        <f t="shared" si="28"/>
        <v>0</v>
      </c>
      <c r="P119" s="514">
        <f t="shared" si="29"/>
        <v>0</v>
      </c>
    </row>
    <row r="120" spans="2:16">
      <c r="B120" s="195" t="str">
        <f t="shared" si="31"/>
        <v/>
      </c>
      <c r="C120" s="507">
        <f>IF(D93="","-",+C119+1)</f>
        <v>2036</v>
      </c>
      <c r="D120" s="374">
        <f>IF(F119+SUM(E$99:E119)=D$92,F119,D$92-SUM(E$99:E119))</f>
        <v>2953971.5015091975</v>
      </c>
      <c r="E120" s="522">
        <f t="shared" si="37"/>
        <v>139951.53658536586</v>
      </c>
      <c r="F120" s="523">
        <f t="shared" si="38"/>
        <v>2814019.9649238316</v>
      </c>
      <c r="G120" s="523">
        <f t="shared" si="39"/>
        <v>2883995.7332165148</v>
      </c>
      <c r="H120" s="526">
        <f t="shared" si="40"/>
        <v>467326.08110100788</v>
      </c>
      <c r="I120" s="577">
        <f t="shared" si="41"/>
        <v>467326.08110100788</v>
      </c>
      <c r="J120" s="514">
        <f t="shared" si="32"/>
        <v>0</v>
      </c>
      <c r="K120" s="514"/>
      <c r="L120" s="525"/>
      <c r="M120" s="514">
        <f t="shared" si="26"/>
        <v>0</v>
      </c>
      <c r="N120" s="525"/>
      <c r="O120" s="514">
        <f t="shared" si="28"/>
        <v>0</v>
      </c>
      <c r="P120" s="514">
        <f t="shared" si="29"/>
        <v>0</v>
      </c>
    </row>
    <row r="121" spans="2:16">
      <c r="B121" s="195" t="str">
        <f t="shared" si="31"/>
        <v/>
      </c>
      <c r="C121" s="507">
        <f>IF(D93="","-",+C120+1)</f>
        <v>2037</v>
      </c>
      <c r="D121" s="374">
        <f>IF(F120+SUM(E$99:E120)=D$92,F120,D$92-SUM(E$99:E120))</f>
        <v>2814019.9649238316</v>
      </c>
      <c r="E121" s="522">
        <f t="shared" si="37"/>
        <v>139951.53658536586</v>
      </c>
      <c r="F121" s="523">
        <f t="shared" si="38"/>
        <v>2674068.4283384657</v>
      </c>
      <c r="G121" s="523">
        <f t="shared" si="39"/>
        <v>2744044.1966311485</v>
      </c>
      <c r="H121" s="526">
        <f t="shared" si="40"/>
        <v>451439.59069597558</v>
      </c>
      <c r="I121" s="577">
        <f t="shared" si="41"/>
        <v>451439.59069597558</v>
      </c>
      <c r="J121" s="514">
        <f t="shared" si="32"/>
        <v>0</v>
      </c>
      <c r="K121" s="514"/>
      <c r="L121" s="525"/>
      <c r="M121" s="514">
        <f t="shared" si="26"/>
        <v>0</v>
      </c>
      <c r="N121" s="525"/>
      <c r="O121" s="514">
        <f t="shared" si="28"/>
        <v>0</v>
      </c>
      <c r="P121" s="514">
        <f t="shared" si="29"/>
        <v>0</v>
      </c>
    </row>
    <row r="122" spans="2:16">
      <c r="B122" s="195" t="str">
        <f t="shared" si="31"/>
        <v/>
      </c>
      <c r="C122" s="507">
        <f>IF(D93="","-",+C121+1)</f>
        <v>2038</v>
      </c>
      <c r="D122" s="374">
        <f>IF(F121+SUM(E$99:E121)=D$92,F121,D$92-SUM(E$99:E121))</f>
        <v>2674068.4283384657</v>
      </c>
      <c r="E122" s="522">
        <f t="shared" si="37"/>
        <v>139951.53658536586</v>
      </c>
      <c r="F122" s="523">
        <f t="shared" si="38"/>
        <v>2534116.8917530999</v>
      </c>
      <c r="G122" s="523">
        <f t="shared" si="39"/>
        <v>2604092.660045783</v>
      </c>
      <c r="H122" s="526">
        <f t="shared" si="40"/>
        <v>435553.10029094329</v>
      </c>
      <c r="I122" s="577">
        <f t="shared" si="41"/>
        <v>435553.10029094329</v>
      </c>
      <c r="J122" s="514">
        <f t="shared" si="32"/>
        <v>0</v>
      </c>
      <c r="K122" s="514"/>
      <c r="L122" s="525"/>
      <c r="M122" s="514">
        <f t="shared" si="26"/>
        <v>0</v>
      </c>
      <c r="N122" s="525"/>
      <c r="O122" s="514">
        <f t="shared" si="28"/>
        <v>0</v>
      </c>
      <c r="P122" s="514">
        <f t="shared" si="29"/>
        <v>0</v>
      </c>
    </row>
    <row r="123" spans="2:16">
      <c r="B123" s="195" t="str">
        <f t="shared" si="31"/>
        <v/>
      </c>
      <c r="C123" s="507">
        <f>IF(D93="","-",+C122+1)</f>
        <v>2039</v>
      </c>
      <c r="D123" s="374">
        <f>IF(F122+SUM(E$99:E122)=D$92,F122,D$92-SUM(E$99:E122))</f>
        <v>2534116.8917530999</v>
      </c>
      <c r="E123" s="522">
        <f t="shared" si="37"/>
        <v>139951.53658536586</v>
      </c>
      <c r="F123" s="523">
        <f t="shared" si="38"/>
        <v>2394165.355167734</v>
      </c>
      <c r="G123" s="523">
        <f t="shared" si="39"/>
        <v>2464141.1234604167</v>
      </c>
      <c r="H123" s="526">
        <f t="shared" si="40"/>
        <v>419666.60988591088</v>
      </c>
      <c r="I123" s="577">
        <f t="shared" si="41"/>
        <v>419666.60988591088</v>
      </c>
      <c r="J123" s="514">
        <f t="shared" si="32"/>
        <v>0</v>
      </c>
      <c r="K123" s="514"/>
      <c r="L123" s="525"/>
      <c r="M123" s="514">
        <f t="shared" si="26"/>
        <v>0</v>
      </c>
      <c r="N123" s="525"/>
      <c r="O123" s="514">
        <f t="shared" si="28"/>
        <v>0</v>
      </c>
      <c r="P123" s="514">
        <f t="shared" si="29"/>
        <v>0</v>
      </c>
    </row>
    <row r="124" spans="2:16">
      <c r="B124" s="195" t="str">
        <f t="shared" si="31"/>
        <v/>
      </c>
      <c r="C124" s="507">
        <f>IF(D93="","-",+C123+1)</f>
        <v>2040</v>
      </c>
      <c r="D124" s="374">
        <f>IF(F123+SUM(E$99:E123)=D$92,F123,D$92-SUM(E$99:E123))</f>
        <v>2394165.355167734</v>
      </c>
      <c r="E124" s="522">
        <f t="shared" si="37"/>
        <v>139951.53658536586</v>
      </c>
      <c r="F124" s="523">
        <f t="shared" si="38"/>
        <v>2254213.8185823681</v>
      </c>
      <c r="G124" s="523">
        <f t="shared" si="39"/>
        <v>2324189.5868750513</v>
      </c>
      <c r="H124" s="526">
        <f t="shared" si="40"/>
        <v>403780.11948087858</v>
      </c>
      <c r="I124" s="577">
        <f t="shared" si="41"/>
        <v>403780.11948087858</v>
      </c>
      <c r="J124" s="514">
        <f t="shared" si="32"/>
        <v>0</v>
      </c>
      <c r="K124" s="514"/>
      <c r="L124" s="525"/>
      <c r="M124" s="514">
        <f t="shared" si="26"/>
        <v>0</v>
      </c>
      <c r="N124" s="525"/>
      <c r="O124" s="514">
        <f t="shared" si="28"/>
        <v>0</v>
      </c>
      <c r="P124" s="514">
        <f t="shared" si="29"/>
        <v>0</v>
      </c>
    </row>
    <row r="125" spans="2:16">
      <c r="B125" s="195" t="str">
        <f t="shared" si="31"/>
        <v/>
      </c>
      <c r="C125" s="507">
        <f>IF(D93="","-",+C124+1)</f>
        <v>2041</v>
      </c>
      <c r="D125" s="374">
        <f>IF(F124+SUM(E$99:E124)=D$92,F124,D$92-SUM(E$99:E124))</f>
        <v>2254213.8185823681</v>
      </c>
      <c r="E125" s="522">
        <f t="shared" si="37"/>
        <v>139951.53658536586</v>
      </c>
      <c r="F125" s="523">
        <f t="shared" si="38"/>
        <v>2114262.2819970022</v>
      </c>
      <c r="G125" s="523">
        <f t="shared" si="39"/>
        <v>2184238.0502896849</v>
      </c>
      <c r="H125" s="526">
        <f t="shared" si="40"/>
        <v>387893.62907584617</v>
      </c>
      <c r="I125" s="577">
        <f t="shared" si="41"/>
        <v>387893.62907584617</v>
      </c>
      <c r="J125" s="514">
        <f t="shared" si="32"/>
        <v>0</v>
      </c>
      <c r="K125" s="514"/>
      <c r="L125" s="525"/>
      <c r="M125" s="514">
        <f t="shared" si="26"/>
        <v>0</v>
      </c>
      <c r="N125" s="525"/>
      <c r="O125" s="514">
        <f t="shared" si="28"/>
        <v>0</v>
      </c>
      <c r="P125" s="514">
        <f t="shared" si="29"/>
        <v>0</v>
      </c>
    </row>
    <row r="126" spans="2:16">
      <c r="B126" s="195" t="str">
        <f t="shared" si="31"/>
        <v/>
      </c>
      <c r="C126" s="507">
        <f>IF(D93="","-",+C125+1)</f>
        <v>2042</v>
      </c>
      <c r="D126" s="374">
        <f>IF(F125+SUM(E$99:E125)=D$92,F125,D$92-SUM(E$99:E125))</f>
        <v>2114262.2819970022</v>
      </c>
      <c r="E126" s="522">
        <f t="shared" si="37"/>
        <v>139951.53658536586</v>
      </c>
      <c r="F126" s="523">
        <f t="shared" si="38"/>
        <v>1974310.7454116363</v>
      </c>
      <c r="G126" s="523">
        <f t="shared" si="39"/>
        <v>2044286.5137043193</v>
      </c>
      <c r="H126" s="526">
        <f t="shared" si="40"/>
        <v>372007.13867081387</v>
      </c>
      <c r="I126" s="577">
        <f t="shared" si="41"/>
        <v>372007.13867081387</v>
      </c>
      <c r="J126" s="514">
        <f t="shared" si="32"/>
        <v>0</v>
      </c>
      <c r="K126" s="514"/>
      <c r="L126" s="525"/>
      <c r="M126" s="514">
        <f t="shared" si="26"/>
        <v>0</v>
      </c>
      <c r="N126" s="525"/>
      <c r="O126" s="514">
        <f t="shared" si="28"/>
        <v>0</v>
      </c>
      <c r="P126" s="514">
        <f t="shared" si="29"/>
        <v>0</v>
      </c>
    </row>
    <row r="127" spans="2:16">
      <c r="B127" s="195" t="str">
        <f t="shared" si="31"/>
        <v/>
      </c>
      <c r="C127" s="507">
        <f>IF(D93="","-",+C126+1)</f>
        <v>2043</v>
      </c>
      <c r="D127" s="374">
        <f>IF(F126+SUM(E$99:E126)=D$92,F126,D$92-SUM(E$99:E126))</f>
        <v>1974310.7454116363</v>
      </c>
      <c r="E127" s="522">
        <f t="shared" si="37"/>
        <v>139951.53658536586</v>
      </c>
      <c r="F127" s="523">
        <f t="shared" si="38"/>
        <v>1834359.2088262704</v>
      </c>
      <c r="G127" s="523">
        <f t="shared" si="39"/>
        <v>1904334.9771189534</v>
      </c>
      <c r="H127" s="526">
        <f t="shared" si="40"/>
        <v>356120.64826578152</v>
      </c>
      <c r="I127" s="577">
        <f t="shared" si="41"/>
        <v>356120.64826578152</v>
      </c>
      <c r="J127" s="514">
        <f t="shared" si="32"/>
        <v>0</v>
      </c>
      <c r="K127" s="514"/>
      <c r="L127" s="525"/>
      <c r="M127" s="514">
        <f t="shared" si="26"/>
        <v>0</v>
      </c>
      <c r="N127" s="525"/>
      <c r="O127" s="514">
        <f t="shared" si="28"/>
        <v>0</v>
      </c>
      <c r="P127" s="514">
        <f t="shared" si="29"/>
        <v>0</v>
      </c>
    </row>
    <row r="128" spans="2:16">
      <c r="B128" s="195" t="str">
        <f t="shared" si="31"/>
        <v/>
      </c>
      <c r="C128" s="507">
        <f>IF(D93="","-",+C127+1)</f>
        <v>2044</v>
      </c>
      <c r="D128" s="374">
        <f>IF(F127+SUM(E$99:E127)=D$92,F127,D$92-SUM(E$99:E127))</f>
        <v>1834359.2088262704</v>
      </c>
      <c r="E128" s="522">
        <f t="shared" si="37"/>
        <v>139951.53658536586</v>
      </c>
      <c r="F128" s="523">
        <f t="shared" si="38"/>
        <v>1694407.6722409045</v>
      </c>
      <c r="G128" s="523">
        <f t="shared" si="39"/>
        <v>1764383.4405335875</v>
      </c>
      <c r="H128" s="526">
        <f t="shared" si="40"/>
        <v>340234.15786074917</v>
      </c>
      <c r="I128" s="577">
        <f t="shared" si="41"/>
        <v>340234.15786074917</v>
      </c>
      <c r="J128" s="514">
        <f t="shared" si="32"/>
        <v>0</v>
      </c>
      <c r="K128" s="514"/>
      <c r="L128" s="525"/>
      <c r="M128" s="514">
        <f t="shared" si="26"/>
        <v>0</v>
      </c>
      <c r="N128" s="525"/>
      <c r="O128" s="514">
        <f t="shared" si="28"/>
        <v>0</v>
      </c>
      <c r="P128" s="514">
        <f t="shared" si="29"/>
        <v>0</v>
      </c>
    </row>
    <row r="129" spans="2:16">
      <c r="B129" s="195" t="str">
        <f t="shared" si="31"/>
        <v/>
      </c>
      <c r="C129" s="507">
        <f>IF(D93="","-",+C128+1)</f>
        <v>2045</v>
      </c>
      <c r="D129" s="374">
        <f>IF(F128+SUM(E$99:E128)=D$92,F128,D$92-SUM(E$99:E128))</f>
        <v>1694407.6722409045</v>
      </c>
      <c r="E129" s="522">
        <f t="shared" si="37"/>
        <v>139951.53658536586</v>
      </c>
      <c r="F129" s="523">
        <f t="shared" si="38"/>
        <v>1554456.1356555386</v>
      </c>
      <c r="G129" s="523">
        <f t="shared" si="39"/>
        <v>1624431.9039482216</v>
      </c>
      <c r="H129" s="526">
        <f t="shared" si="40"/>
        <v>324347.66745571687</v>
      </c>
      <c r="I129" s="577">
        <f t="shared" si="41"/>
        <v>324347.66745571687</v>
      </c>
      <c r="J129" s="514">
        <f t="shared" si="32"/>
        <v>0</v>
      </c>
      <c r="K129" s="514"/>
      <c r="L129" s="525"/>
      <c r="M129" s="514">
        <f t="shared" si="26"/>
        <v>0</v>
      </c>
      <c r="N129" s="525"/>
      <c r="O129" s="514">
        <f t="shared" si="28"/>
        <v>0</v>
      </c>
      <c r="P129" s="514">
        <f t="shared" si="29"/>
        <v>0</v>
      </c>
    </row>
    <row r="130" spans="2:16">
      <c r="B130" s="195" t="str">
        <f t="shared" si="31"/>
        <v/>
      </c>
      <c r="C130" s="507">
        <f>IF(D93="","-",+C129+1)</f>
        <v>2046</v>
      </c>
      <c r="D130" s="374">
        <f>IF(F129+SUM(E$99:E129)=D$92,F129,D$92-SUM(E$99:E129))</f>
        <v>1554456.1356555386</v>
      </c>
      <c r="E130" s="522">
        <f t="shared" si="37"/>
        <v>139951.53658536586</v>
      </c>
      <c r="F130" s="523">
        <f t="shared" si="38"/>
        <v>1414504.5990701728</v>
      </c>
      <c r="G130" s="523">
        <f t="shared" si="39"/>
        <v>1484480.3673628557</v>
      </c>
      <c r="H130" s="526">
        <f t="shared" si="40"/>
        <v>308461.17705068446</v>
      </c>
      <c r="I130" s="577">
        <f t="shared" si="41"/>
        <v>308461.17705068446</v>
      </c>
      <c r="J130" s="514">
        <f t="shared" si="32"/>
        <v>0</v>
      </c>
      <c r="K130" s="514"/>
      <c r="L130" s="525"/>
      <c r="M130" s="514">
        <f t="shared" si="26"/>
        <v>0</v>
      </c>
      <c r="N130" s="525"/>
      <c r="O130" s="514">
        <f t="shared" si="28"/>
        <v>0</v>
      </c>
      <c r="P130" s="514">
        <f t="shared" si="29"/>
        <v>0</v>
      </c>
    </row>
    <row r="131" spans="2:16">
      <c r="B131" s="195" t="str">
        <f t="shared" si="31"/>
        <v/>
      </c>
      <c r="C131" s="507">
        <f>IF(D93="","-",+C130+1)</f>
        <v>2047</v>
      </c>
      <c r="D131" s="374">
        <f>IF(F130+SUM(E$99:E130)=D$92,F130,D$92-SUM(E$99:E130))</f>
        <v>1414504.5990701728</v>
      </c>
      <c r="E131" s="522">
        <f t="shared" si="37"/>
        <v>139951.53658536586</v>
      </c>
      <c r="F131" s="523">
        <f t="shared" si="38"/>
        <v>1274553.0624848069</v>
      </c>
      <c r="G131" s="523">
        <f t="shared" si="39"/>
        <v>1344528.8307774898</v>
      </c>
      <c r="H131" s="526">
        <f t="shared" si="40"/>
        <v>292574.68664565217</v>
      </c>
      <c r="I131" s="577">
        <f t="shared" si="41"/>
        <v>292574.68664565217</v>
      </c>
      <c r="J131" s="514">
        <f t="shared" si="32"/>
        <v>0</v>
      </c>
      <c r="K131" s="514"/>
      <c r="L131" s="525"/>
      <c r="M131" s="514">
        <f t="shared" ref="M131:M154" si="42">IF(L541&lt;&gt;0,+H541-L541,0)</f>
        <v>0</v>
      </c>
      <c r="N131" s="525"/>
      <c r="O131" s="514">
        <f t="shared" ref="O131:O154" si="43">IF(N541&lt;&gt;0,+I541-N541,0)</f>
        <v>0</v>
      </c>
      <c r="P131" s="514">
        <f t="shared" ref="P131:P154" si="44">+O541-M541</f>
        <v>0</v>
      </c>
    </row>
    <row r="132" spans="2:16">
      <c r="B132" s="195" t="str">
        <f t="shared" si="31"/>
        <v/>
      </c>
      <c r="C132" s="507">
        <f>IF(D93="","-",+C131+1)</f>
        <v>2048</v>
      </c>
      <c r="D132" s="374">
        <f>IF(F131+SUM(E$99:E131)=D$92,F131,D$92-SUM(E$99:E131))</f>
        <v>1274553.0624848069</v>
      </c>
      <c r="E132" s="522">
        <f t="shared" si="37"/>
        <v>139951.53658536586</v>
      </c>
      <c r="F132" s="523">
        <f t="shared" si="38"/>
        <v>1134601.525899441</v>
      </c>
      <c r="G132" s="523">
        <f t="shared" si="39"/>
        <v>1204577.2941921239</v>
      </c>
      <c r="H132" s="526">
        <f t="shared" si="40"/>
        <v>276688.19624061981</v>
      </c>
      <c r="I132" s="577">
        <f t="shared" si="41"/>
        <v>276688.19624061981</v>
      </c>
      <c r="J132" s="514">
        <f t="shared" si="32"/>
        <v>0</v>
      </c>
      <c r="K132" s="514"/>
      <c r="L132" s="525"/>
      <c r="M132" s="514">
        <f t="shared" si="42"/>
        <v>0</v>
      </c>
      <c r="N132" s="525"/>
      <c r="O132" s="514">
        <f t="shared" si="43"/>
        <v>0</v>
      </c>
      <c r="P132" s="514">
        <f t="shared" si="44"/>
        <v>0</v>
      </c>
    </row>
    <row r="133" spans="2:16">
      <c r="B133" s="195" t="str">
        <f t="shared" si="31"/>
        <v/>
      </c>
      <c r="C133" s="507">
        <f>IF(D93="","-",+C132+1)</f>
        <v>2049</v>
      </c>
      <c r="D133" s="374">
        <f>IF(F132+SUM(E$99:E132)=D$92,F132,D$92-SUM(E$99:E132))</f>
        <v>1134601.525899441</v>
      </c>
      <c r="E133" s="522">
        <f t="shared" si="37"/>
        <v>139951.53658536586</v>
      </c>
      <c r="F133" s="523">
        <f t="shared" si="38"/>
        <v>994649.98931407509</v>
      </c>
      <c r="G133" s="523">
        <f t="shared" si="39"/>
        <v>1064625.757606758</v>
      </c>
      <c r="H133" s="526">
        <f t="shared" si="40"/>
        <v>260801.70583558746</v>
      </c>
      <c r="I133" s="577">
        <f t="shared" si="41"/>
        <v>260801.70583558746</v>
      </c>
      <c r="J133" s="514">
        <f t="shared" si="32"/>
        <v>0</v>
      </c>
      <c r="K133" s="514"/>
      <c r="L133" s="525"/>
      <c r="M133" s="514">
        <f t="shared" si="42"/>
        <v>0</v>
      </c>
      <c r="N133" s="525"/>
      <c r="O133" s="514">
        <f t="shared" si="43"/>
        <v>0</v>
      </c>
      <c r="P133" s="514">
        <f t="shared" si="44"/>
        <v>0</v>
      </c>
    </row>
    <row r="134" spans="2:16">
      <c r="B134" s="195" t="str">
        <f t="shared" si="31"/>
        <v/>
      </c>
      <c r="C134" s="507">
        <f>IF(D93="","-",+C133+1)</f>
        <v>2050</v>
      </c>
      <c r="D134" s="374">
        <f>IF(F133+SUM(E$99:E133)=D$92,F133,D$92-SUM(E$99:E133))</f>
        <v>994649.98931407509</v>
      </c>
      <c r="E134" s="522">
        <f t="shared" si="37"/>
        <v>139951.53658536586</v>
      </c>
      <c r="F134" s="523">
        <f t="shared" si="38"/>
        <v>854698.45272870921</v>
      </c>
      <c r="G134" s="523">
        <f t="shared" si="39"/>
        <v>924674.22102139215</v>
      </c>
      <c r="H134" s="526">
        <f t="shared" si="40"/>
        <v>244915.21543055511</v>
      </c>
      <c r="I134" s="577">
        <f t="shared" si="41"/>
        <v>244915.21543055511</v>
      </c>
      <c r="J134" s="514">
        <f t="shared" si="32"/>
        <v>0</v>
      </c>
      <c r="K134" s="514"/>
      <c r="L134" s="525"/>
      <c r="M134" s="514">
        <f t="shared" si="42"/>
        <v>0</v>
      </c>
      <c r="N134" s="525"/>
      <c r="O134" s="514">
        <f t="shared" si="43"/>
        <v>0</v>
      </c>
      <c r="P134" s="514">
        <f t="shared" si="44"/>
        <v>0</v>
      </c>
    </row>
    <row r="135" spans="2:16">
      <c r="B135" s="195" t="str">
        <f t="shared" si="31"/>
        <v/>
      </c>
      <c r="C135" s="507">
        <f>IF(D93="","-",+C134+1)</f>
        <v>2051</v>
      </c>
      <c r="D135" s="374">
        <f>IF(F134+SUM(E$99:E134)=D$92,F134,D$92-SUM(E$99:E134))</f>
        <v>854698.45272870921</v>
      </c>
      <c r="E135" s="522">
        <f t="shared" si="37"/>
        <v>139951.53658536586</v>
      </c>
      <c r="F135" s="523">
        <f t="shared" si="38"/>
        <v>714746.91614334332</v>
      </c>
      <c r="G135" s="523">
        <f t="shared" si="39"/>
        <v>784722.68443602626</v>
      </c>
      <c r="H135" s="526">
        <f t="shared" si="40"/>
        <v>229028.72502552278</v>
      </c>
      <c r="I135" s="577">
        <f t="shared" si="41"/>
        <v>229028.72502552278</v>
      </c>
      <c r="J135" s="514">
        <f t="shared" si="32"/>
        <v>0</v>
      </c>
      <c r="K135" s="514"/>
      <c r="L135" s="525"/>
      <c r="M135" s="514">
        <f t="shared" si="42"/>
        <v>0</v>
      </c>
      <c r="N135" s="525"/>
      <c r="O135" s="514">
        <f t="shared" si="43"/>
        <v>0</v>
      </c>
      <c r="P135" s="514">
        <f t="shared" si="44"/>
        <v>0</v>
      </c>
    </row>
    <row r="136" spans="2:16">
      <c r="B136" s="195" t="str">
        <f t="shared" si="31"/>
        <v/>
      </c>
      <c r="C136" s="507">
        <f>IF(D93="","-",+C135+1)</f>
        <v>2052</v>
      </c>
      <c r="D136" s="374">
        <f>IF(F135+SUM(E$99:E135)=D$92,F135,D$92-SUM(E$99:E135))</f>
        <v>714746.91614334332</v>
      </c>
      <c r="E136" s="522">
        <f t="shared" si="37"/>
        <v>139951.53658536586</v>
      </c>
      <c r="F136" s="523">
        <f t="shared" si="38"/>
        <v>574795.37955797743</v>
      </c>
      <c r="G136" s="523">
        <f t="shared" si="39"/>
        <v>644771.14785066037</v>
      </c>
      <c r="H136" s="526">
        <f t="shared" si="40"/>
        <v>213142.23462049046</v>
      </c>
      <c r="I136" s="577">
        <f t="shared" si="41"/>
        <v>213142.23462049046</v>
      </c>
      <c r="J136" s="514">
        <f t="shared" si="32"/>
        <v>0</v>
      </c>
      <c r="K136" s="514"/>
      <c r="L136" s="525"/>
      <c r="M136" s="514">
        <f t="shared" si="42"/>
        <v>0</v>
      </c>
      <c r="N136" s="525"/>
      <c r="O136" s="514">
        <f t="shared" si="43"/>
        <v>0</v>
      </c>
      <c r="P136" s="514">
        <f t="shared" si="44"/>
        <v>0</v>
      </c>
    </row>
    <row r="137" spans="2:16">
      <c r="B137" s="195" t="str">
        <f t="shared" si="31"/>
        <v/>
      </c>
      <c r="C137" s="507">
        <f>IF(D93="","-",+C136+1)</f>
        <v>2053</v>
      </c>
      <c r="D137" s="374">
        <f>IF(F136+SUM(E$99:E136)=D$92,F136,D$92-SUM(E$99:E136))</f>
        <v>574795.37955797743</v>
      </c>
      <c r="E137" s="522">
        <f t="shared" si="37"/>
        <v>139951.53658536586</v>
      </c>
      <c r="F137" s="523">
        <f t="shared" si="38"/>
        <v>434843.84297261154</v>
      </c>
      <c r="G137" s="523">
        <f t="shared" si="39"/>
        <v>504819.61126529449</v>
      </c>
      <c r="H137" s="526">
        <f t="shared" si="40"/>
        <v>197255.74421545811</v>
      </c>
      <c r="I137" s="577">
        <f t="shared" si="41"/>
        <v>197255.74421545811</v>
      </c>
      <c r="J137" s="514">
        <f t="shared" si="32"/>
        <v>0</v>
      </c>
      <c r="K137" s="514"/>
      <c r="L137" s="525"/>
      <c r="M137" s="514">
        <f t="shared" si="42"/>
        <v>0</v>
      </c>
      <c r="N137" s="525"/>
      <c r="O137" s="514">
        <f t="shared" si="43"/>
        <v>0</v>
      </c>
      <c r="P137" s="514">
        <f t="shared" si="44"/>
        <v>0</v>
      </c>
    </row>
    <row r="138" spans="2:16">
      <c r="B138" s="195" t="str">
        <f t="shared" si="31"/>
        <v/>
      </c>
      <c r="C138" s="507">
        <f>IF(D93="","-",+C137+1)</f>
        <v>2054</v>
      </c>
      <c r="D138" s="374">
        <f>IF(F137+SUM(E$99:E137)=D$92,F137,D$92-SUM(E$99:E137))</f>
        <v>434843.84297261154</v>
      </c>
      <c r="E138" s="522">
        <f t="shared" si="37"/>
        <v>139951.53658536586</v>
      </c>
      <c r="F138" s="523">
        <f t="shared" si="38"/>
        <v>294892.30638724566</v>
      </c>
      <c r="G138" s="523">
        <f t="shared" si="39"/>
        <v>364868.0746799286</v>
      </c>
      <c r="H138" s="526">
        <f t="shared" si="40"/>
        <v>181369.25381042575</v>
      </c>
      <c r="I138" s="577">
        <f t="shared" si="41"/>
        <v>181369.25381042575</v>
      </c>
      <c r="J138" s="514">
        <f t="shared" si="32"/>
        <v>0</v>
      </c>
      <c r="K138" s="514"/>
      <c r="L138" s="525"/>
      <c r="M138" s="514">
        <f t="shared" si="42"/>
        <v>0</v>
      </c>
      <c r="N138" s="525"/>
      <c r="O138" s="514">
        <f t="shared" si="43"/>
        <v>0</v>
      </c>
      <c r="P138" s="514">
        <f t="shared" si="44"/>
        <v>0</v>
      </c>
    </row>
    <row r="139" spans="2:16">
      <c r="B139" s="195" t="str">
        <f t="shared" si="31"/>
        <v/>
      </c>
      <c r="C139" s="507">
        <f>IF(D93="","-",+C138+1)</f>
        <v>2055</v>
      </c>
      <c r="D139" s="374">
        <f>IF(F138+SUM(E$99:E138)=D$92,F138,D$92-SUM(E$99:E138))</f>
        <v>294892.30638724566</v>
      </c>
      <c r="E139" s="522">
        <f t="shared" si="37"/>
        <v>139951.53658536586</v>
      </c>
      <c r="F139" s="523">
        <f t="shared" si="38"/>
        <v>154940.7698018798</v>
      </c>
      <c r="G139" s="523">
        <f t="shared" si="39"/>
        <v>224916.53809456271</v>
      </c>
      <c r="H139" s="526">
        <f t="shared" si="40"/>
        <v>165482.7634053934</v>
      </c>
      <c r="I139" s="577">
        <f t="shared" si="41"/>
        <v>165482.7634053934</v>
      </c>
      <c r="J139" s="514">
        <f t="shared" si="32"/>
        <v>0</v>
      </c>
      <c r="K139" s="514"/>
      <c r="L139" s="525"/>
      <c r="M139" s="514">
        <f t="shared" si="42"/>
        <v>0</v>
      </c>
      <c r="N139" s="525"/>
      <c r="O139" s="514">
        <f t="shared" si="43"/>
        <v>0</v>
      </c>
      <c r="P139" s="514">
        <f t="shared" si="44"/>
        <v>0</v>
      </c>
    </row>
    <row r="140" spans="2:16">
      <c r="B140" s="195" t="str">
        <f t="shared" si="31"/>
        <v/>
      </c>
      <c r="C140" s="507">
        <f>IF(D93="","-",+C139+1)</f>
        <v>2056</v>
      </c>
      <c r="D140" s="374">
        <f>IF(F139+SUM(E$99:E139)=D$92,F139,D$92-SUM(E$99:E139))</f>
        <v>154940.7698018798</v>
      </c>
      <c r="E140" s="522">
        <f t="shared" si="37"/>
        <v>139951.53658536586</v>
      </c>
      <c r="F140" s="523">
        <f t="shared" si="38"/>
        <v>14989.233216513938</v>
      </c>
      <c r="G140" s="523">
        <f t="shared" si="39"/>
        <v>84965.001509196867</v>
      </c>
      <c r="H140" s="526">
        <f t="shared" si="40"/>
        <v>149596.27300036108</v>
      </c>
      <c r="I140" s="577">
        <f t="shared" si="41"/>
        <v>149596.27300036108</v>
      </c>
      <c r="J140" s="514">
        <f t="shared" si="32"/>
        <v>0</v>
      </c>
      <c r="K140" s="514"/>
      <c r="L140" s="525"/>
      <c r="M140" s="514">
        <f t="shared" si="42"/>
        <v>0</v>
      </c>
      <c r="N140" s="525"/>
      <c r="O140" s="514">
        <f t="shared" si="43"/>
        <v>0</v>
      </c>
      <c r="P140" s="514">
        <f t="shared" si="44"/>
        <v>0</v>
      </c>
    </row>
    <row r="141" spans="2:16">
      <c r="B141" s="195" t="str">
        <f t="shared" si="31"/>
        <v/>
      </c>
      <c r="C141" s="507">
        <f>IF(D93="","-",+C140+1)</f>
        <v>2057</v>
      </c>
      <c r="D141" s="374">
        <f>IF(F140+SUM(E$99:E140)=D$92,F140,D$92-SUM(E$99:E140))</f>
        <v>14989.233216513938</v>
      </c>
      <c r="E141" s="522">
        <f t="shared" si="37"/>
        <v>14989.233216513938</v>
      </c>
      <c r="F141" s="523">
        <f t="shared" si="38"/>
        <v>0</v>
      </c>
      <c r="G141" s="523">
        <f t="shared" si="39"/>
        <v>7494.6166082569689</v>
      </c>
      <c r="H141" s="526">
        <f t="shared" si="40"/>
        <v>15839.978822753465</v>
      </c>
      <c r="I141" s="577">
        <f t="shared" si="41"/>
        <v>15839.978822753465</v>
      </c>
      <c r="J141" s="514">
        <f t="shared" si="32"/>
        <v>0</v>
      </c>
      <c r="K141" s="514"/>
      <c r="L141" s="525"/>
      <c r="M141" s="514">
        <f t="shared" si="42"/>
        <v>0</v>
      </c>
      <c r="N141" s="525"/>
      <c r="O141" s="514">
        <f t="shared" si="43"/>
        <v>0</v>
      </c>
      <c r="P141" s="514">
        <f t="shared" si="44"/>
        <v>0</v>
      </c>
    </row>
    <row r="142" spans="2:16">
      <c r="B142" s="195" t="str">
        <f t="shared" si="31"/>
        <v/>
      </c>
      <c r="C142" s="507">
        <f>IF(D93="","-",+C141+1)</f>
        <v>2058</v>
      </c>
      <c r="D142" s="374">
        <f>IF(F141+SUM(E$99:E141)=D$92,F141,D$92-SUM(E$99:E141))</f>
        <v>0</v>
      </c>
      <c r="E142" s="522">
        <f t="shared" si="37"/>
        <v>0</v>
      </c>
      <c r="F142" s="523">
        <f t="shared" si="38"/>
        <v>0</v>
      </c>
      <c r="G142" s="523">
        <f t="shared" si="39"/>
        <v>0</v>
      </c>
      <c r="H142" s="526">
        <f t="shared" si="40"/>
        <v>0</v>
      </c>
      <c r="I142" s="577">
        <f t="shared" si="41"/>
        <v>0</v>
      </c>
      <c r="J142" s="514">
        <f t="shared" si="32"/>
        <v>0</v>
      </c>
      <c r="K142" s="514"/>
      <c r="L142" s="525"/>
      <c r="M142" s="514">
        <f t="shared" si="42"/>
        <v>0</v>
      </c>
      <c r="N142" s="525"/>
      <c r="O142" s="514">
        <f t="shared" si="43"/>
        <v>0</v>
      </c>
      <c r="P142" s="514">
        <f t="shared" si="44"/>
        <v>0</v>
      </c>
    </row>
    <row r="143" spans="2:16">
      <c r="B143" s="195" t="str">
        <f t="shared" si="31"/>
        <v/>
      </c>
      <c r="C143" s="507">
        <f>IF(D93="","-",+C142+1)</f>
        <v>2059</v>
      </c>
      <c r="D143" s="374">
        <f>IF(F142+SUM(E$99:E142)=D$92,F142,D$92-SUM(E$99:E142))</f>
        <v>0</v>
      </c>
      <c r="E143" s="522">
        <f t="shared" si="37"/>
        <v>0</v>
      </c>
      <c r="F143" s="523">
        <f t="shared" si="38"/>
        <v>0</v>
      </c>
      <c r="G143" s="523">
        <f t="shared" si="39"/>
        <v>0</v>
      </c>
      <c r="H143" s="526">
        <f t="shared" si="40"/>
        <v>0</v>
      </c>
      <c r="I143" s="577">
        <f t="shared" si="41"/>
        <v>0</v>
      </c>
      <c r="J143" s="514">
        <f t="shared" si="32"/>
        <v>0</v>
      </c>
      <c r="K143" s="514"/>
      <c r="L143" s="525"/>
      <c r="M143" s="514">
        <f t="shared" si="42"/>
        <v>0</v>
      </c>
      <c r="N143" s="525"/>
      <c r="O143" s="514">
        <f t="shared" si="43"/>
        <v>0</v>
      </c>
      <c r="P143" s="514">
        <f t="shared" si="44"/>
        <v>0</v>
      </c>
    </row>
    <row r="144" spans="2:16">
      <c r="B144" s="195" t="str">
        <f t="shared" si="31"/>
        <v/>
      </c>
      <c r="C144" s="507">
        <f>IF(D93="","-",+C143+1)</f>
        <v>2060</v>
      </c>
      <c r="D144" s="374">
        <f>IF(F143+SUM(E$99:E143)=D$92,F143,D$92-SUM(E$99:E143))</f>
        <v>0</v>
      </c>
      <c r="E144" s="522">
        <f t="shared" si="37"/>
        <v>0</v>
      </c>
      <c r="F144" s="523">
        <f t="shared" si="38"/>
        <v>0</v>
      </c>
      <c r="G144" s="523">
        <f t="shared" si="39"/>
        <v>0</v>
      </c>
      <c r="H144" s="526">
        <f t="shared" si="40"/>
        <v>0</v>
      </c>
      <c r="I144" s="577">
        <f t="shared" si="41"/>
        <v>0</v>
      </c>
      <c r="J144" s="514">
        <f t="shared" si="32"/>
        <v>0</v>
      </c>
      <c r="K144" s="514"/>
      <c r="L144" s="525"/>
      <c r="M144" s="514">
        <f t="shared" si="42"/>
        <v>0</v>
      </c>
      <c r="N144" s="525"/>
      <c r="O144" s="514">
        <f t="shared" si="43"/>
        <v>0</v>
      </c>
      <c r="P144" s="514">
        <f t="shared" si="44"/>
        <v>0</v>
      </c>
    </row>
    <row r="145" spans="2:16">
      <c r="B145" s="195" t="str">
        <f t="shared" si="31"/>
        <v/>
      </c>
      <c r="C145" s="507">
        <f>IF(D93="","-",+C144+1)</f>
        <v>2061</v>
      </c>
      <c r="D145" s="374">
        <f>IF(F144+SUM(E$99:E144)=D$92,F144,D$92-SUM(E$99:E144))</f>
        <v>0</v>
      </c>
      <c r="E145" s="522">
        <f t="shared" si="37"/>
        <v>0</v>
      </c>
      <c r="F145" s="523">
        <f t="shared" si="38"/>
        <v>0</v>
      </c>
      <c r="G145" s="523">
        <f t="shared" si="39"/>
        <v>0</v>
      </c>
      <c r="H145" s="526">
        <f t="shared" si="40"/>
        <v>0</v>
      </c>
      <c r="I145" s="577">
        <f t="shared" si="41"/>
        <v>0</v>
      </c>
      <c r="J145" s="514">
        <f t="shared" si="32"/>
        <v>0</v>
      </c>
      <c r="K145" s="514"/>
      <c r="L145" s="525"/>
      <c r="M145" s="514">
        <f t="shared" si="42"/>
        <v>0</v>
      </c>
      <c r="N145" s="525"/>
      <c r="O145" s="514">
        <f t="shared" si="43"/>
        <v>0</v>
      </c>
      <c r="P145" s="514">
        <f t="shared" si="44"/>
        <v>0</v>
      </c>
    </row>
    <row r="146" spans="2:16">
      <c r="B146" s="195" t="str">
        <f t="shared" si="31"/>
        <v/>
      </c>
      <c r="C146" s="507">
        <f>IF(D93="","-",+C145+1)</f>
        <v>2062</v>
      </c>
      <c r="D146" s="374">
        <f>IF(F145+SUM(E$99:E145)=D$92,F145,D$92-SUM(E$99:E145))</f>
        <v>0</v>
      </c>
      <c r="E146" s="522">
        <f t="shared" si="37"/>
        <v>0</v>
      </c>
      <c r="F146" s="523">
        <f t="shared" si="38"/>
        <v>0</v>
      </c>
      <c r="G146" s="523">
        <f t="shared" si="39"/>
        <v>0</v>
      </c>
      <c r="H146" s="526">
        <f t="shared" si="40"/>
        <v>0</v>
      </c>
      <c r="I146" s="577">
        <f t="shared" si="41"/>
        <v>0</v>
      </c>
      <c r="J146" s="514">
        <f t="shared" si="32"/>
        <v>0</v>
      </c>
      <c r="K146" s="514"/>
      <c r="L146" s="525"/>
      <c r="M146" s="514">
        <f t="shared" si="42"/>
        <v>0</v>
      </c>
      <c r="N146" s="525"/>
      <c r="O146" s="514">
        <f t="shared" si="43"/>
        <v>0</v>
      </c>
      <c r="P146" s="514">
        <f t="shared" si="44"/>
        <v>0</v>
      </c>
    </row>
    <row r="147" spans="2:16">
      <c r="B147" s="195" t="str">
        <f t="shared" si="31"/>
        <v/>
      </c>
      <c r="C147" s="507">
        <f>IF(D93="","-",+C146+1)</f>
        <v>2063</v>
      </c>
      <c r="D147" s="374">
        <f>IF(F146+SUM(E$99:E146)=D$92,F146,D$92-SUM(E$99:E146))</f>
        <v>0</v>
      </c>
      <c r="E147" s="522">
        <f t="shared" si="37"/>
        <v>0</v>
      </c>
      <c r="F147" s="523">
        <f t="shared" si="38"/>
        <v>0</v>
      </c>
      <c r="G147" s="523">
        <f t="shared" si="39"/>
        <v>0</v>
      </c>
      <c r="H147" s="526">
        <f t="shared" si="40"/>
        <v>0</v>
      </c>
      <c r="I147" s="577">
        <f t="shared" si="41"/>
        <v>0</v>
      </c>
      <c r="J147" s="514">
        <f t="shared" si="32"/>
        <v>0</v>
      </c>
      <c r="K147" s="514"/>
      <c r="L147" s="525"/>
      <c r="M147" s="514">
        <f t="shared" si="42"/>
        <v>0</v>
      </c>
      <c r="N147" s="525"/>
      <c r="O147" s="514">
        <f t="shared" si="43"/>
        <v>0</v>
      </c>
      <c r="P147" s="514">
        <f t="shared" si="44"/>
        <v>0</v>
      </c>
    </row>
    <row r="148" spans="2:16">
      <c r="B148" s="195" t="str">
        <f t="shared" si="31"/>
        <v/>
      </c>
      <c r="C148" s="507">
        <f>IF(D93="","-",+C147+1)</f>
        <v>2064</v>
      </c>
      <c r="D148" s="374">
        <f>IF(F147+SUM(E$99:E147)=D$92,F147,D$92-SUM(E$99:E147))</f>
        <v>0</v>
      </c>
      <c r="E148" s="522">
        <f t="shared" si="37"/>
        <v>0</v>
      </c>
      <c r="F148" s="523">
        <f t="shared" si="38"/>
        <v>0</v>
      </c>
      <c r="G148" s="523">
        <f t="shared" si="39"/>
        <v>0</v>
      </c>
      <c r="H148" s="526">
        <f t="shared" si="40"/>
        <v>0</v>
      </c>
      <c r="I148" s="577">
        <f t="shared" si="41"/>
        <v>0</v>
      </c>
      <c r="J148" s="514">
        <f t="shared" si="32"/>
        <v>0</v>
      </c>
      <c r="K148" s="514"/>
      <c r="L148" s="525"/>
      <c r="M148" s="514">
        <f t="shared" si="42"/>
        <v>0</v>
      </c>
      <c r="N148" s="525"/>
      <c r="O148" s="514">
        <f t="shared" si="43"/>
        <v>0</v>
      </c>
      <c r="P148" s="514">
        <f t="shared" si="44"/>
        <v>0</v>
      </c>
    </row>
    <row r="149" spans="2:16">
      <c r="B149" s="195" t="str">
        <f t="shared" si="31"/>
        <v/>
      </c>
      <c r="C149" s="507">
        <f>IF(D93="","-",+C148+1)</f>
        <v>2065</v>
      </c>
      <c r="D149" s="374">
        <f>IF(F148+SUM(E$99:E148)=D$92,F148,D$92-SUM(E$99:E148))</f>
        <v>0</v>
      </c>
      <c r="E149" s="522">
        <f t="shared" si="37"/>
        <v>0</v>
      </c>
      <c r="F149" s="523">
        <f t="shared" si="38"/>
        <v>0</v>
      </c>
      <c r="G149" s="523">
        <f t="shared" si="39"/>
        <v>0</v>
      </c>
      <c r="H149" s="526">
        <f t="shared" si="40"/>
        <v>0</v>
      </c>
      <c r="I149" s="577">
        <f t="shared" si="41"/>
        <v>0</v>
      </c>
      <c r="J149" s="514">
        <f t="shared" si="32"/>
        <v>0</v>
      </c>
      <c r="K149" s="514"/>
      <c r="L149" s="525"/>
      <c r="M149" s="514">
        <f t="shared" si="42"/>
        <v>0</v>
      </c>
      <c r="N149" s="525"/>
      <c r="O149" s="514">
        <f t="shared" si="43"/>
        <v>0</v>
      </c>
      <c r="P149" s="514">
        <f t="shared" si="44"/>
        <v>0</v>
      </c>
    </row>
    <row r="150" spans="2:16">
      <c r="B150" s="195" t="str">
        <f t="shared" si="31"/>
        <v/>
      </c>
      <c r="C150" s="507">
        <f>IF(D93="","-",+C149+1)</f>
        <v>2066</v>
      </c>
      <c r="D150" s="374">
        <f>IF(F149+SUM(E$99:E149)=D$92,F149,D$92-SUM(E$99:E149))</f>
        <v>0</v>
      </c>
      <c r="E150" s="522">
        <f t="shared" si="37"/>
        <v>0</v>
      </c>
      <c r="F150" s="523">
        <f t="shared" si="38"/>
        <v>0</v>
      </c>
      <c r="G150" s="523">
        <f t="shared" si="39"/>
        <v>0</v>
      </c>
      <c r="H150" s="526">
        <f t="shared" si="40"/>
        <v>0</v>
      </c>
      <c r="I150" s="577">
        <f t="shared" si="41"/>
        <v>0</v>
      </c>
      <c r="J150" s="514">
        <f t="shared" si="32"/>
        <v>0</v>
      </c>
      <c r="K150" s="514"/>
      <c r="L150" s="525"/>
      <c r="M150" s="514">
        <f t="shared" si="42"/>
        <v>0</v>
      </c>
      <c r="N150" s="525"/>
      <c r="O150" s="514">
        <f t="shared" si="43"/>
        <v>0</v>
      </c>
      <c r="P150" s="514">
        <f t="shared" si="44"/>
        <v>0</v>
      </c>
    </row>
    <row r="151" spans="2:16">
      <c r="B151" s="195" t="str">
        <f t="shared" si="31"/>
        <v/>
      </c>
      <c r="C151" s="507">
        <f>IF(D93="","-",+C150+1)</f>
        <v>2067</v>
      </c>
      <c r="D151" s="374">
        <f>IF(F150+SUM(E$99:E150)=D$92,F150,D$92-SUM(E$99:E150))</f>
        <v>0</v>
      </c>
      <c r="E151" s="522">
        <f t="shared" si="37"/>
        <v>0</v>
      </c>
      <c r="F151" s="523">
        <f t="shared" si="38"/>
        <v>0</v>
      </c>
      <c r="G151" s="523">
        <f t="shared" si="39"/>
        <v>0</v>
      </c>
      <c r="H151" s="526">
        <f t="shared" si="40"/>
        <v>0</v>
      </c>
      <c r="I151" s="577">
        <f t="shared" si="41"/>
        <v>0</v>
      </c>
      <c r="J151" s="514">
        <f t="shared" si="32"/>
        <v>0</v>
      </c>
      <c r="K151" s="514"/>
      <c r="L151" s="525"/>
      <c r="M151" s="514">
        <f t="shared" si="42"/>
        <v>0</v>
      </c>
      <c r="N151" s="525"/>
      <c r="O151" s="514">
        <f t="shared" si="43"/>
        <v>0</v>
      </c>
      <c r="P151" s="514">
        <f t="shared" si="44"/>
        <v>0</v>
      </c>
    </row>
    <row r="152" spans="2:16">
      <c r="B152" s="195" t="str">
        <f t="shared" si="31"/>
        <v/>
      </c>
      <c r="C152" s="507">
        <f>IF(D93="","-",+C151+1)</f>
        <v>2068</v>
      </c>
      <c r="D152" s="374">
        <f>IF(F151+SUM(E$99:E151)=D$92,F151,D$92-SUM(E$99:E151))</f>
        <v>0</v>
      </c>
      <c r="E152" s="522">
        <f t="shared" si="37"/>
        <v>0</v>
      </c>
      <c r="F152" s="523">
        <f t="shared" si="38"/>
        <v>0</v>
      </c>
      <c r="G152" s="523">
        <f t="shared" si="39"/>
        <v>0</v>
      </c>
      <c r="H152" s="526">
        <f t="shared" si="40"/>
        <v>0</v>
      </c>
      <c r="I152" s="577">
        <f t="shared" si="41"/>
        <v>0</v>
      </c>
      <c r="J152" s="514">
        <f t="shared" si="32"/>
        <v>0</v>
      </c>
      <c r="K152" s="514"/>
      <c r="L152" s="525"/>
      <c r="M152" s="514">
        <f t="shared" si="42"/>
        <v>0</v>
      </c>
      <c r="N152" s="525"/>
      <c r="O152" s="514">
        <f t="shared" si="43"/>
        <v>0</v>
      </c>
      <c r="P152" s="514">
        <f t="shared" si="44"/>
        <v>0</v>
      </c>
    </row>
    <row r="153" spans="2:16">
      <c r="B153" s="195" t="str">
        <f t="shared" si="31"/>
        <v/>
      </c>
      <c r="C153" s="507">
        <f>IF(D93="","-",+C152+1)</f>
        <v>2069</v>
      </c>
      <c r="D153" s="374">
        <f>IF(F152+SUM(E$99:E152)=D$92,F152,D$92-SUM(E$99:E152))</f>
        <v>0</v>
      </c>
      <c r="E153" s="522">
        <f t="shared" si="37"/>
        <v>0</v>
      </c>
      <c r="F153" s="523">
        <f t="shared" si="38"/>
        <v>0</v>
      </c>
      <c r="G153" s="523">
        <f t="shared" si="39"/>
        <v>0</v>
      </c>
      <c r="H153" s="526">
        <f t="shared" si="40"/>
        <v>0</v>
      </c>
      <c r="I153" s="577">
        <f t="shared" si="41"/>
        <v>0</v>
      </c>
      <c r="J153" s="514">
        <f t="shared" si="32"/>
        <v>0</v>
      </c>
      <c r="K153" s="514"/>
      <c r="L153" s="525"/>
      <c r="M153" s="514">
        <f t="shared" si="42"/>
        <v>0</v>
      </c>
      <c r="N153" s="525"/>
      <c r="O153" s="514">
        <f t="shared" si="43"/>
        <v>0</v>
      </c>
      <c r="P153" s="514">
        <f t="shared" si="44"/>
        <v>0</v>
      </c>
    </row>
    <row r="154" spans="2:16" ht="13.5" thickBot="1">
      <c r="B154" s="195" t="str">
        <f t="shared" si="31"/>
        <v/>
      </c>
      <c r="C154" s="527">
        <f>IF(D93="","-",+C153+1)</f>
        <v>2070</v>
      </c>
      <c r="D154" s="374">
        <f>IF(F153+SUM(E$99:E153)=D$92,F153,D$92-SUM(E$99:E153))</f>
        <v>0</v>
      </c>
      <c r="E154" s="522">
        <f t="shared" si="37"/>
        <v>0</v>
      </c>
      <c r="F154" s="523">
        <f t="shared" si="38"/>
        <v>0</v>
      </c>
      <c r="G154" s="523">
        <f t="shared" si="39"/>
        <v>0</v>
      </c>
      <c r="H154" s="526">
        <f t="shared" si="40"/>
        <v>0</v>
      </c>
      <c r="I154" s="577">
        <f t="shared" si="41"/>
        <v>0</v>
      </c>
      <c r="J154" s="514">
        <f t="shared" si="32"/>
        <v>0</v>
      </c>
      <c r="K154" s="514"/>
      <c r="L154" s="532"/>
      <c r="M154" s="533">
        <f t="shared" si="42"/>
        <v>0</v>
      </c>
      <c r="N154" s="532"/>
      <c r="O154" s="533">
        <f t="shared" si="43"/>
        <v>0</v>
      </c>
      <c r="P154" s="533">
        <f t="shared" si="44"/>
        <v>0</v>
      </c>
    </row>
    <row r="155" spans="2:16">
      <c r="C155" s="374" t="s">
        <v>78</v>
      </c>
      <c r="D155" s="375"/>
      <c r="E155" s="375">
        <f>SUM(E99:E154)</f>
        <v>5738012.9999999963</v>
      </c>
      <c r="F155" s="375"/>
      <c r="G155" s="375"/>
      <c r="H155" s="375">
        <f>SUM(H99:H154)</f>
        <v>19561071.616713189</v>
      </c>
      <c r="I155" s="375">
        <f>SUM(I99:I154)</f>
        <v>19561071.616713189</v>
      </c>
      <c r="J155" s="375">
        <f>SUM(J99:J154)</f>
        <v>0</v>
      </c>
      <c r="K155" s="375"/>
      <c r="L155" s="375"/>
      <c r="M155" s="375"/>
      <c r="N155" s="375"/>
      <c r="O155" s="375"/>
      <c r="P155" s="269"/>
    </row>
    <row r="156" spans="2:16">
      <c r="C156" s="183" t="s">
        <v>92</v>
      </c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</row>
    <row r="157" spans="2:16">
      <c r="C157" s="580"/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</row>
    <row r="158" spans="2:16">
      <c r="C158" s="614" t="s">
        <v>132</v>
      </c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</row>
    <row r="159" spans="2:16">
      <c r="C159" s="467" t="s">
        <v>79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</row>
    <row r="160" spans="2:16">
      <c r="C160" s="581" t="s">
        <v>80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</row>
    <row r="161" spans="3:16">
      <c r="C161" s="581"/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</row>
    <row r="162" spans="3:16" ht="18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635" t="s">
        <v>131</v>
      </c>
    </row>
  </sheetData>
  <conditionalFormatting sqref="C17:C72">
    <cfRule type="cellIs" dxfId="56" priority="1" stopIfTrue="1" operator="equal">
      <formula>$I$10</formula>
    </cfRule>
  </conditionalFormatting>
  <conditionalFormatting sqref="C99:C154">
    <cfRule type="cellIs" dxfId="55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103"/>
  <dimension ref="A1:P162"/>
  <sheetViews>
    <sheetView topLeftCell="A87" zoomScaleNormal="100" zoomScaleSheetLayoutView="82" workbookViewId="0">
      <selection activeCell="D99" sqref="D99:I106"/>
    </sheetView>
  </sheetViews>
  <sheetFormatPr defaultColWidth="8.7109375" defaultRowHeight="12.75" customHeight="1"/>
  <cols>
    <col min="1" max="1" width="4.7109375" style="183" customWidth="1"/>
    <col min="2" max="2" width="6.7109375" style="183" customWidth="1"/>
    <col min="3" max="3" width="23.28515625" style="183" customWidth="1"/>
    <col min="4" max="8" width="17.7109375" style="183" customWidth="1"/>
    <col min="9" max="9" width="20.42578125" style="183" customWidth="1"/>
    <col min="10" max="10" width="16.42578125" style="183" customWidth="1"/>
    <col min="11" max="11" width="17.7109375" style="183" customWidth="1"/>
    <col min="12" max="12" width="16.140625" style="183" customWidth="1"/>
    <col min="13" max="13" width="17.7109375" style="183" customWidth="1"/>
    <col min="14" max="14" width="16.7109375" style="183" customWidth="1"/>
    <col min="15" max="15" width="16.85546875" style="183" customWidth="1"/>
    <col min="16" max="16" width="24.42578125" style="183" customWidth="1"/>
    <col min="17" max="17" width="9.140625" style="183" customWidth="1"/>
    <col min="18" max="22" width="8.7109375" style="183"/>
    <col min="23" max="23" width="9.140625" style="183" customWidth="1"/>
    <col min="24" max="16384" width="8.7109375" style="183"/>
  </cols>
  <sheetData>
    <row r="1" spans="1:16" ht="20.25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54 of 75</v>
      </c>
    </row>
    <row r="2" spans="1:16" ht="18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538" t="s">
        <v>129</v>
      </c>
    </row>
    <row r="3" spans="1:16" ht="18.75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/>
      <c r="P3" s="623">
        <v>1</v>
      </c>
    </row>
    <row r="4" spans="1:16" ht="15.75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6" ht="1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1630989.3674118209</v>
      </c>
      <c r="P5" s="269"/>
    </row>
    <row r="6" spans="1:16" ht="15.7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1630989.3674118209</v>
      </c>
      <c r="O6" s="269"/>
      <c r="P6" s="269"/>
    </row>
    <row r="7" spans="1:16" ht="13.5" thickBot="1">
      <c r="C7" s="467" t="s">
        <v>48</v>
      </c>
      <c r="D7" s="624" t="s">
        <v>342</v>
      </c>
      <c r="E7" s="587"/>
      <c r="F7" s="587"/>
      <c r="G7" s="587"/>
      <c r="H7" s="59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6" ht="13.5" thickBot="1">
      <c r="C8" s="472"/>
      <c r="D8" s="625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6" ht="13.5" thickBot="1">
      <c r="C9" s="476" t="s">
        <v>50</v>
      </c>
      <c r="D9" s="477" t="s">
        <v>469</v>
      </c>
      <c r="E9" s="637" t="s">
        <v>400</v>
      </c>
      <c r="F9" s="478"/>
      <c r="G9" s="478"/>
      <c r="H9" s="478"/>
      <c r="I9" s="479"/>
      <c r="J9" s="480"/>
      <c r="O9" s="481"/>
      <c r="P9" s="272"/>
    </row>
    <row r="10" spans="1:16">
      <c r="C10" s="482" t="s">
        <v>51</v>
      </c>
      <c r="D10" s="483">
        <v>13851900</v>
      </c>
      <c r="E10" s="353" t="s">
        <v>52</v>
      </c>
      <c r="F10" s="481"/>
      <c r="G10" s="484"/>
      <c r="H10" s="484"/>
      <c r="I10" s="485">
        <f>+'SWE.WS.F.BPU.ATRR.Projected'!L19</f>
        <v>2024</v>
      </c>
      <c r="J10" s="480"/>
      <c r="K10" s="375" t="s">
        <v>53</v>
      </c>
      <c r="O10" s="272"/>
      <c r="P10" s="272"/>
    </row>
    <row r="11" spans="1:16">
      <c r="C11" s="486" t="s">
        <v>54</v>
      </c>
      <c r="D11" s="487">
        <v>2015</v>
      </c>
      <c r="E11" s="486" t="s">
        <v>55</v>
      </c>
      <c r="F11" s="484"/>
      <c r="G11" s="233"/>
      <c r="H11" s="233"/>
      <c r="I11" s="488">
        <f>IF(G5="",0,'SWE.WS.F.BPU.ATRR.Projected'!F$13)</f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6">
      <c r="C12" s="486" t="s">
        <v>56</v>
      </c>
      <c r="D12" s="483">
        <v>11</v>
      </c>
      <c r="E12" s="486" t="s">
        <v>57</v>
      </c>
      <c r="F12" s="484"/>
      <c r="G12" s="233"/>
      <c r="H12" s="233"/>
      <c r="I12" s="490">
        <f>'SWE.WS.F.BPU.ATRR.Projected'!$F$81</f>
        <v>0.11952713165403545</v>
      </c>
      <c r="J12" s="425"/>
      <c r="K12" s="183" t="s">
        <v>58</v>
      </c>
      <c r="O12" s="272"/>
      <c r="P12" s="272"/>
    </row>
    <row r="13" spans="1:16">
      <c r="C13" s="486" t="s">
        <v>59</v>
      </c>
      <c r="D13" s="488">
        <f>+'SWE.WS.F.BPU.ATRR.Projected'!F$93</f>
        <v>44</v>
      </c>
      <c r="E13" s="486" t="s">
        <v>60</v>
      </c>
      <c r="F13" s="484"/>
      <c r="G13" s="233"/>
      <c r="H13" s="233"/>
      <c r="I13" s="490">
        <f>IF(G5="",I12,'SWE.WS.F.BPU.ATRR.Projected'!$F$80)</f>
        <v>0.11952713165403545</v>
      </c>
      <c r="J13" s="425"/>
      <c r="K13" s="375" t="s">
        <v>61</v>
      </c>
      <c r="L13" s="324"/>
      <c r="M13" s="324"/>
      <c r="N13" s="324"/>
      <c r="O13" s="272"/>
      <c r="P13" s="272"/>
    </row>
    <row r="14" spans="1:16" ht="13.5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314815.90909090912</v>
      </c>
      <c r="J14" s="375"/>
      <c r="K14" s="375"/>
      <c r="L14" s="375"/>
      <c r="M14" s="375"/>
      <c r="N14" s="375"/>
      <c r="O14" s="272"/>
      <c r="P14" s="272"/>
    </row>
    <row r="15" spans="1:16" ht="38.25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388</v>
      </c>
      <c r="H15" s="495" t="s">
        <v>389</v>
      </c>
      <c r="I15" s="492" t="s">
        <v>68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6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>
      <c r="C17" s="507">
        <f>IF(D11= "","-",D11)</f>
        <v>2015</v>
      </c>
      <c r="D17" s="629">
        <v>13860000</v>
      </c>
      <c r="E17" s="638">
        <v>27500</v>
      </c>
      <c r="F17" s="629">
        <v>13832500</v>
      </c>
      <c r="G17" s="638">
        <v>1849306.6594882272</v>
      </c>
      <c r="H17" s="639">
        <v>1849306.6594882272</v>
      </c>
      <c r="I17" s="511">
        <v>0</v>
      </c>
      <c r="J17" s="511"/>
      <c r="K17" s="518">
        <f t="shared" ref="K17:K22" si="0">G17</f>
        <v>1849306.6594882272</v>
      </c>
      <c r="L17" s="519">
        <f t="shared" ref="L17:L22" si="1">IF(K17&lt;&gt;0,+G17-K17,0)</f>
        <v>0</v>
      </c>
      <c r="M17" s="518">
        <f t="shared" ref="M17:M22" si="2">H17</f>
        <v>1849306.6594882272</v>
      </c>
      <c r="N17" s="514">
        <f>IF(M17&lt;&gt;0,+H17-M17,0)</f>
        <v>0</v>
      </c>
      <c r="O17" s="514">
        <f>+N17-L17</f>
        <v>0</v>
      </c>
      <c r="P17" s="272"/>
    </row>
    <row r="18" spans="2:16">
      <c r="B18" s="195" t="str">
        <f>IF(D18=F17,"","IU")</f>
        <v>IU</v>
      </c>
      <c r="C18" s="507">
        <f>IF(D11="","-",+C17+1)</f>
        <v>2016</v>
      </c>
      <c r="D18" s="631">
        <v>13848292</v>
      </c>
      <c r="E18" s="630">
        <v>330376</v>
      </c>
      <c r="F18" s="631">
        <v>13517916</v>
      </c>
      <c r="G18" s="630">
        <v>2088786.1755878374</v>
      </c>
      <c r="H18" s="639">
        <v>2088786.1755878374</v>
      </c>
      <c r="I18" s="511">
        <f>H18-G18</f>
        <v>0</v>
      </c>
      <c r="J18" s="511"/>
      <c r="K18" s="518">
        <f t="shared" si="0"/>
        <v>2088786.1755878374</v>
      </c>
      <c r="L18" s="519">
        <f t="shared" si="1"/>
        <v>0</v>
      </c>
      <c r="M18" s="518">
        <f t="shared" si="2"/>
        <v>2088786.1755878374</v>
      </c>
      <c r="N18" s="514">
        <f>IF(M18&lt;&gt;0,+H18-M18,0)</f>
        <v>0</v>
      </c>
      <c r="O18" s="514">
        <f>+N18-L18</f>
        <v>0</v>
      </c>
      <c r="P18" s="272"/>
    </row>
    <row r="19" spans="2:16">
      <c r="B19" s="195" t="str">
        <f>IF(D19=F18,"","IU")</f>
        <v>IU</v>
      </c>
      <c r="C19" s="507">
        <f>IF(D11="","-",+C18+1)</f>
        <v>2017</v>
      </c>
      <c r="D19" s="631">
        <v>13494024</v>
      </c>
      <c r="E19" s="630">
        <v>322137.20930232556</v>
      </c>
      <c r="F19" s="631">
        <v>13171886.790697675</v>
      </c>
      <c r="G19" s="630">
        <v>1973990.8338267417</v>
      </c>
      <c r="H19" s="639">
        <v>1973990.8338267417</v>
      </c>
      <c r="I19" s="511">
        <f t="shared" ref="I19:I72" si="3">H19-G19</f>
        <v>0</v>
      </c>
      <c r="J19" s="511"/>
      <c r="K19" s="518">
        <f t="shared" si="0"/>
        <v>1973990.8338267417</v>
      </c>
      <c r="L19" s="519">
        <f t="shared" si="1"/>
        <v>0</v>
      </c>
      <c r="M19" s="518">
        <f t="shared" si="2"/>
        <v>1973990.8338267417</v>
      </c>
      <c r="N19" s="514">
        <f>IF(M19&lt;&gt;0,+H19-M19,0)</f>
        <v>0</v>
      </c>
      <c r="O19" s="514">
        <f>+N19-L19</f>
        <v>0</v>
      </c>
      <c r="P19" s="272"/>
    </row>
    <row r="20" spans="2:16">
      <c r="B20" s="195" t="str">
        <f t="shared" ref="B20:B72" si="4">IF(D20=F19,"","IU")</f>
        <v/>
      </c>
      <c r="C20" s="507">
        <f>IF(D11="","-",+C19+1)</f>
        <v>2018</v>
      </c>
      <c r="D20" s="631">
        <v>13171886.790697675</v>
      </c>
      <c r="E20" s="630">
        <v>337851.21951219509</v>
      </c>
      <c r="F20" s="631">
        <v>12834035.571185481</v>
      </c>
      <c r="G20" s="630">
        <v>1990450.8542031003</v>
      </c>
      <c r="H20" s="639">
        <v>1990450.8542031003</v>
      </c>
      <c r="I20" s="511">
        <f t="shared" si="3"/>
        <v>0</v>
      </c>
      <c r="J20" s="511"/>
      <c r="K20" s="518">
        <f t="shared" si="0"/>
        <v>1990450.8542031003</v>
      </c>
      <c r="L20" s="519">
        <f t="shared" si="1"/>
        <v>0</v>
      </c>
      <c r="M20" s="518">
        <f t="shared" si="2"/>
        <v>1990450.8542031003</v>
      </c>
      <c r="N20" s="514">
        <f>IF(M20&lt;&gt;0,+H20-M20,0)</f>
        <v>0</v>
      </c>
      <c r="O20" s="514">
        <f>+N20-L20</f>
        <v>0</v>
      </c>
      <c r="P20" s="272"/>
    </row>
    <row r="21" spans="2:16">
      <c r="B21" s="195" t="str">
        <f t="shared" si="4"/>
        <v/>
      </c>
      <c r="C21" s="507">
        <f>IF(D11="","-",+C20+1)</f>
        <v>2019</v>
      </c>
      <c r="D21" s="631">
        <v>12834035.571185481</v>
      </c>
      <c r="E21" s="630">
        <v>337851.21951219509</v>
      </c>
      <c r="F21" s="631">
        <v>12496184.351673286</v>
      </c>
      <c r="G21" s="630">
        <v>1947511.9578873843</v>
      </c>
      <c r="H21" s="639">
        <v>1947511.9578873843</v>
      </c>
      <c r="I21" s="511">
        <f t="shared" si="3"/>
        <v>0</v>
      </c>
      <c r="J21" s="511"/>
      <c r="K21" s="518">
        <f t="shared" si="0"/>
        <v>1947511.9578873843</v>
      </c>
      <c r="L21" s="519">
        <f t="shared" si="1"/>
        <v>0</v>
      </c>
      <c r="M21" s="518">
        <f t="shared" si="2"/>
        <v>1947511.9578873843</v>
      </c>
      <c r="N21" s="514">
        <f t="shared" ref="N21:N72" si="5">IF(M21&lt;&gt;0,+H21-M21,0)</f>
        <v>0</v>
      </c>
      <c r="O21" s="514">
        <f t="shared" ref="O21:O72" si="6">+N21-L21</f>
        <v>0</v>
      </c>
      <c r="P21" s="272"/>
    </row>
    <row r="22" spans="2:16">
      <c r="B22" s="195" t="str">
        <f t="shared" si="4"/>
        <v/>
      </c>
      <c r="C22" s="507">
        <f>IF(D11="","-",+C21+1)</f>
        <v>2020</v>
      </c>
      <c r="D22" s="631">
        <v>12496184.351673286</v>
      </c>
      <c r="E22" s="630">
        <v>337851.21951219509</v>
      </c>
      <c r="F22" s="631">
        <v>12158333.132161092</v>
      </c>
      <c r="G22" s="630">
        <v>1599366.8553044961</v>
      </c>
      <c r="H22" s="639">
        <v>1599366.8553044961</v>
      </c>
      <c r="I22" s="511">
        <f t="shared" si="3"/>
        <v>0</v>
      </c>
      <c r="J22" s="511"/>
      <c r="K22" s="518">
        <f t="shared" si="0"/>
        <v>1599366.8553044961</v>
      </c>
      <c r="L22" s="519">
        <f t="shared" si="1"/>
        <v>0</v>
      </c>
      <c r="M22" s="518">
        <f t="shared" si="2"/>
        <v>1599366.8553044961</v>
      </c>
      <c r="N22" s="514">
        <f t="shared" si="5"/>
        <v>0</v>
      </c>
      <c r="O22" s="514">
        <f t="shared" si="6"/>
        <v>0</v>
      </c>
      <c r="P22" s="272"/>
    </row>
    <row r="23" spans="2:16">
      <c r="B23" s="195" t="str">
        <f t="shared" si="4"/>
        <v>IU</v>
      </c>
      <c r="C23" s="507">
        <f>IF(D11="","-",+C22+1)</f>
        <v>2021</v>
      </c>
      <c r="D23" s="631">
        <v>12174047.142370958</v>
      </c>
      <c r="E23" s="630">
        <v>329807.14285714284</v>
      </c>
      <c r="F23" s="631">
        <v>11844239.999513814</v>
      </c>
      <c r="G23" s="630">
        <v>1602830.9434464206</v>
      </c>
      <c r="H23" s="639">
        <v>1602830.9434464206</v>
      </c>
      <c r="I23" s="511">
        <f t="shared" si="3"/>
        <v>0</v>
      </c>
      <c r="J23" s="511"/>
      <c r="K23" s="518">
        <f t="shared" ref="K23" si="7">G23</f>
        <v>1602830.9434464206</v>
      </c>
      <c r="L23" s="519">
        <f t="shared" ref="L23" si="8">IF(K23&lt;&gt;0,+G23-K23,0)</f>
        <v>0</v>
      </c>
      <c r="M23" s="518">
        <f t="shared" ref="M23" si="9">H23</f>
        <v>1602830.9434464206</v>
      </c>
      <c r="N23" s="514">
        <f t="shared" si="5"/>
        <v>0</v>
      </c>
      <c r="O23" s="514">
        <f t="shared" si="6"/>
        <v>0</v>
      </c>
      <c r="P23" s="272"/>
    </row>
    <row r="24" spans="2:16">
      <c r="B24" s="195" t="str">
        <f t="shared" si="4"/>
        <v>IU</v>
      </c>
      <c r="C24" s="507">
        <f>IF(D11="","-",+C23+1)</f>
        <v>2022</v>
      </c>
      <c r="D24" s="631">
        <v>11828525.989303946</v>
      </c>
      <c r="E24" s="630">
        <v>329807.14285714284</v>
      </c>
      <c r="F24" s="631">
        <v>11498718.846446803</v>
      </c>
      <c r="G24" s="630">
        <v>1641312.6320202737</v>
      </c>
      <c r="H24" s="639">
        <v>1641312.6320202737</v>
      </c>
      <c r="I24" s="511">
        <f t="shared" si="3"/>
        <v>0</v>
      </c>
      <c r="J24" s="511"/>
      <c r="K24" s="518">
        <f t="shared" ref="K24" si="10">G24</f>
        <v>1641312.6320202737</v>
      </c>
      <c r="L24" s="519">
        <f t="shared" ref="L24" si="11">IF(K24&lt;&gt;0,+G24-K24,0)</f>
        <v>0</v>
      </c>
      <c r="M24" s="518">
        <f t="shared" ref="M24" si="12">H24</f>
        <v>1641312.6320202737</v>
      </c>
      <c r="N24" s="514">
        <f t="shared" si="5"/>
        <v>0</v>
      </c>
      <c r="O24" s="514">
        <f t="shared" si="6"/>
        <v>0</v>
      </c>
      <c r="P24" s="272"/>
    </row>
    <row r="25" spans="2:16">
      <c r="B25" s="195" t="str">
        <f t="shared" si="4"/>
        <v/>
      </c>
      <c r="C25" s="507">
        <f>IF(D11="","-",+C24+1)</f>
        <v>2023</v>
      </c>
      <c r="D25" s="631">
        <v>11498718.846446803</v>
      </c>
      <c r="E25" s="630">
        <v>329807.14285714284</v>
      </c>
      <c r="F25" s="631">
        <v>11168911.703589659</v>
      </c>
      <c r="G25" s="630">
        <v>1761571.6221046289</v>
      </c>
      <c r="H25" s="639">
        <v>1761571.6221046289</v>
      </c>
      <c r="I25" s="511">
        <f t="shared" si="3"/>
        <v>0</v>
      </c>
      <c r="J25" s="511"/>
      <c r="K25" s="518">
        <f t="shared" ref="K25" si="13">G25</f>
        <v>1761571.6221046289</v>
      </c>
      <c r="L25" s="519">
        <f t="shared" ref="L25" si="14">IF(K25&lt;&gt;0,+G25-K25,0)</f>
        <v>0</v>
      </c>
      <c r="M25" s="518">
        <f t="shared" ref="M25" si="15">H25</f>
        <v>1761571.6221046289</v>
      </c>
      <c r="N25" s="514">
        <f t="shared" ref="N25" si="16">IF(M25&lt;&gt;0,+H25-M25,0)</f>
        <v>0</v>
      </c>
      <c r="O25" s="514">
        <f t="shared" ref="O25" si="17">+N25-L25</f>
        <v>0</v>
      </c>
      <c r="P25" s="272"/>
    </row>
    <row r="26" spans="2:16">
      <c r="B26" s="195" t="str">
        <f t="shared" si="4"/>
        <v/>
      </c>
      <c r="C26" s="673">
        <f>IF(D11="","-",+C25+1)</f>
        <v>2024</v>
      </c>
      <c r="D26" s="523">
        <f>IF(F25+SUM(E$17:E25)=D$10,F25,D$10-SUM(E$17:E25))</f>
        <v>11168911.703589659</v>
      </c>
      <c r="E26" s="522">
        <f t="shared" ref="E26:E72" si="18">IF(+$I$14&lt;F25,$I$14,D26)</f>
        <v>314815.90909090912</v>
      </c>
      <c r="F26" s="523">
        <f t="shared" ref="F26:F72" si="19">+D26-E26</f>
        <v>10854095.794498751</v>
      </c>
      <c r="G26" s="524">
        <f t="shared" ref="G26:G50" si="20">+I$12*((D26+F26)/2)+E26</f>
        <v>1630989.3674118209</v>
      </c>
      <c r="H26" s="491">
        <f t="shared" ref="H26:H50" si="21">+I$13*((D26+F26)/2)+E26</f>
        <v>1630989.3674118209</v>
      </c>
      <c r="I26" s="511">
        <f t="shared" si="3"/>
        <v>0</v>
      </c>
      <c r="J26" s="511"/>
      <c r="K26" s="525"/>
      <c r="L26" s="514">
        <f t="shared" ref="L26:L72" si="22">IF(K26&lt;&gt;0,+G26-K26,0)</f>
        <v>0</v>
      </c>
      <c r="M26" s="525"/>
      <c r="N26" s="514">
        <f t="shared" si="5"/>
        <v>0</v>
      </c>
      <c r="O26" s="514">
        <f t="shared" si="6"/>
        <v>0</v>
      </c>
      <c r="P26" s="272"/>
    </row>
    <row r="27" spans="2:16">
      <c r="B27" s="195" t="str">
        <f t="shared" si="4"/>
        <v/>
      </c>
      <c r="C27" s="507">
        <f>IF(D11="","-",+C26+1)</f>
        <v>2025</v>
      </c>
      <c r="D27" s="523">
        <f>IF(F26+SUM(E$17:E26)=D$10,F26,D$10-SUM(E$17:E26))</f>
        <v>10854095.794498751</v>
      </c>
      <c r="E27" s="522">
        <f t="shared" si="18"/>
        <v>314815.90909090912</v>
      </c>
      <c r="F27" s="523">
        <f t="shared" si="19"/>
        <v>10539279.885407843</v>
      </c>
      <c r="G27" s="524">
        <f t="shared" si="20"/>
        <v>1593360.3247991267</v>
      </c>
      <c r="H27" s="491">
        <f t="shared" si="21"/>
        <v>1593360.3247991267</v>
      </c>
      <c r="I27" s="511">
        <f t="shared" si="3"/>
        <v>0</v>
      </c>
      <c r="J27" s="511"/>
      <c r="K27" s="525"/>
      <c r="L27" s="514">
        <f t="shared" si="22"/>
        <v>0</v>
      </c>
      <c r="M27" s="525"/>
      <c r="N27" s="514">
        <f t="shared" si="5"/>
        <v>0</v>
      </c>
      <c r="O27" s="514">
        <f t="shared" si="6"/>
        <v>0</v>
      </c>
      <c r="P27" s="272"/>
    </row>
    <row r="28" spans="2:16">
      <c r="B28" s="195" t="str">
        <f t="shared" si="4"/>
        <v/>
      </c>
      <c r="C28" s="507">
        <f>IF(D11="","-",+C27+1)</f>
        <v>2026</v>
      </c>
      <c r="D28" s="523">
        <f>IF(F27+SUM(E$17:E27)=D$10,F27,D$10-SUM(E$17:E27))</f>
        <v>10539279.885407843</v>
      </c>
      <c r="E28" s="522">
        <f t="shared" si="18"/>
        <v>314815.90909090912</v>
      </c>
      <c r="F28" s="523">
        <f t="shared" si="19"/>
        <v>10224463.976316934</v>
      </c>
      <c r="G28" s="524">
        <f t="shared" si="20"/>
        <v>1555731.2821864332</v>
      </c>
      <c r="H28" s="491">
        <f t="shared" si="21"/>
        <v>1555731.2821864332</v>
      </c>
      <c r="I28" s="511">
        <f t="shared" si="3"/>
        <v>0</v>
      </c>
      <c r="J28" s="511"/>
      <c r="K28" s="525"/>
      <c r="L28" s="514">
        <f t="shared" si="22"/>
        <v>0</v>
      </c>
      <c r="M28" s="525"/>
      <c r="N28" s="514">
        <f t="shared" si="5"/>
        <v>0</v>
      </c>
      <c r="O28" s="514">
        <f t="shared" si="6"/>
        <v>0</v>
      </c>
      <c r="P28" s="272"/>
    </row>
    <row r="29" spans="2:16">
      <c r="B29" s="195" t="str">
        <f t="shared" si="4"/>
        <v/>
      </c>
      <c r="C29" s="507">
        <f>IF(D11="","-",+C28+1)</f>
        <v>2027</v>
      </c>
      <c r="D29" s="523">
        <f>IF(F28+SUM(E$17:E28)=D$10,F28,D$10-SUM(E$17:E28))</f>
        <v>10224463.976316934</v>
      </c>
      <c r="E29" s="522">
        <f t="shared" si="18"/>
        <v>314815.90909090912</v>
      </c>
      <c r="F29" s="523">
        <f t="shared" si="19"/>
        <v>9909648.0672260262</v>
      </c>
      <c r="G29" s="524">
        <f t="shared" si="20"/>
        <v>1518102.239573739</v>
      </c>
      <c r="H29" s="491">
        <f t="shared" si="21"/>
        <v>1518102.239573739</v>
      </c>
      <c r="I29" s="511">
        <f t="shared" si="3"/>
        <v>0</v>
      </c>
      <c r="J29" s="511"/>
      <c r="K29" s="525"/>
      <c r="L29" s="514">
        <f t="shared" si="22"/>
        <v>0</v>
      </c>
      <c r="M29" s="525"/>
      <c r="N29" s="514">
        <f t="shared" si="5"/>
        <v>0</v>
      </c>
      <c r="O29" s="514">
        <f t="shared" si="6"/>
        <v>0</v>
      </c>
      <c r="P29" s="272"/>
    </row>
    <row r="30" spans="2:16">
      <c r="B30" s="195" t="str">
        <f t="shared" si="4"/>
        <v/>
      </c>
      <c r="C30" s="507">
        <f>IF(D11="","-",+C29+1)</f>
        <v>2028</v>
      </c>
      <c r="D30" s="523">
        <f>IF(F29+SUM(E$17:E29)=D$10,F29,D$10-SUM(E$17:E29))</f>
        <v>9909648.0672260262</v>
      </c>
      <c r="E30" s="522">
        <f t="shared" si="18"/>
        <v>314815.90909090912</v>
      </c>
      <c r="F30" s="523">
        <f t="shared" si="19"/>
        <v>9594832.158135118</v>
      </c>
      <c r="G30" s="524">
        <f t="shared" si="20"/>
        <v>1480473.1969610455</v>
      </c>
      <c r="H30" s="491">
        <f t="shared" si="21"/>
        <v>1480473.1969610455</v>
      </c>
      <c r="I30" s="511">
        <f t="shared" si="3"/>
        <v>0</v>
      </c>
      <c r="J30" s="511"/>
      <c r="K30" s="525"/>
      <c r="L30" s="514">
        <f t="shared" si="22"/>
        <v>0</v>
      </c>
      <c r="M30" s="525"/>
      <c r="N30" s="514">
        <f t="shared" si="5"/>
        <v>0</v>
      </c>
      <c r="O30" s="514">
        <f t="shared" si="6"/>
        <v>0</v>
      </c>
      <c r="P30" s="272"/>
    </row>
    <row r="31" spans="2:16">
      <c r="B31" s="195" t="str">
        <f t="shared" si="4"/>
        <v/>
      </c>
      <c r="C31" s="507">
        <f>IF(D11="","-",+C30+1)</f>
        <v>2029</v>
      </c>
      <c r="D31" s="523">
        <f>IF(F30+SUM(E$17:E30)=D$10,F30,D$10-SUM(E$17:E30))</f>
        <v>9594832.158135118</v>
      </c>
      <c r="E31" s="522">
        <f t="shared" si="18"/>
        <v>314815.90909090912</v>
      </c>
      <c r="F31" s="523">
        <f t="shared" si="19"/>
        <v>9280016.2490442097</v>
      </c>
      <c r="G31" s="524">
        <f t="shared" si="20"/>
        <v>1442844.1543483515</v>
      </c>
      <c r="H31" s="491">
        <f t="shared" si="21"/>
        <v>1442844.1543483515</v>
      </c>
      <c r="I31" s="511">
        <f t="shared" si="3"/>
        <v>0</v>
      </c>
      <c r="J31" s="511"/>
      <c r="K31" s="525"/>
      <c r="L31" s="514">
        <f t="shared" si="22"/>
        <v>0</v>
      </c>
      <c r="M31" s="525"/>
      <c r="N31" s="514">
        <f t="shared" si="5"/>
        <v>0</v>
      </c>
      <c r="O31" s="514">
        <f t="shared" si="6"/>
        <v>0</v>
      </c>
      <c r="P31" s="272"/>
    </row>
    <row r="32" spans="2:16">
      <c r="B32" s="195" t="str">
        <f t="shared" si="4"/>
        <v/>
      </c>
      <c r="C32" s="507">
        <f>IF(D11="","-",+C31+1)</f>
        <v>2030</v>
      </c>
      <c r="D32" s="523">
        <f>IF(F31+SUM(E$17:E31)=D$10,F31,D$10-SUM(E$17:E31))</f>
        <v>9280016.2490442097</v>
      </c>
      <c r="E32" s="522">
        <f t="shared" si="18"/>
        <v>314815.90909090912</v>
      </c>
      <c r="F32" s="523">
        <f t="shared" si="19"/>
        <v>8965200.3399533015</v>
      </c>
      <c r="G32" s="524">
        <f t="shared" si="20"/>
        <v>1405215.1117356578</v>
      </c>
      <c r="H32" s="491">
        <f t="shared" si="21"/>
        <v>1405215.1117356578</v>
      </c>
      <c r="I32" s="511">
        <f t="shared" si="3"/>
        <v>0</v>
      </c>
      <c r="J32" s="511"/>
      <c r="K32" s="525"/>
      <c r="L32" s="514">
        <f t="shared" si="22"/>
        <v>0</v>
      </c>
      <c r="M32" s="525"/>
      <c r="N32" s="514">
        <f t="shared" si="5"/>
        <v>0</v>
      </c>
      <c r="O32" s="514">
        <f t="shared" si="6"/>
        <v>0</v>
      </c>
      <c r="P32" s="272"/>
    </row>
    <row r="33" spans="2:16">
      <c r="B33" s="195" t="str">
        <f t="shared" si="4"/>
        <v/>
      </c>
      <c r="C33" s="507">
        <f>IF(D11="","-",+C32+1)</f>
        <v>2031</v>
      </c>
      <c r="D33" s="523">
        <f>IF(F32+SUM(E$17:E32)=D$10,F32,D$10-SUM(E$17:E32))</f>
        <v>8965200.3399533015</v>
      </c>
      <c r="E33" s="522">
        <f t="shared" si="18"/>
        <v>314815.90909090912</v>
      </c>
      <c r="F33" s="523">
        <f t="shared" si="19"/>
        <v>8650384.4308623932</v>
      </c>
      <c r="G33" s="524">
        <f t="shared" si="20"/>
        <v>1367586.0691229638</v>
      </c>
      <c r="H33" s="491">
        <f t="shared" si="21"/>
        <v>1367586.0691229638</v>
      </c>
      <c r="I33" s="511">
        <f t="shared" si="3"/>
        <v>0</v>
      </c>
      <c r="J33" s="511"/>
      <c r="K33" s="525"/>
      <c r="L33" s="514">
        <f t="shared" si="22"/>
        <v>0</v>
      </c>
      <c r="M33" s="525"/>
      <c r="N33" s="514">
        <f t="shared" si="5"/>
        <v>0</v>
      </c>
      <c r="O33" s="514">
        <f t="shared" si="6"/>
        <v>0</v>
      </c>
      <c r="P33" s="272"/>
    </row>
    <row r="34" spans="2:16">
      <c r="B34" s="195" t="str">
        <f t="shared" si="4"/>
        <v/>
      </c>
      <c r="C34" s="507">
        <f>IF(D11="","-",+C33+1)</f>
        <v>2032</v>
      </c>
      <c r="D34" s="523">
        <f>IF(F33+SUM(E$17:E33)=D$10,F33,D$10-SUM(E$17:E33))</f>
        <v>8650384.4308623932</v>
      </c>
      <c r="E34" s="522">
        <f t="shared" si="18"/>
        <v>314815.90909090912</v>
      </c>
      <c r="F34" s="523">
        <f t="shared" si="19"/>
        <v>8335568.5217714841</v>
      </c>
      <c r="G34" s="524">
        <f t="shared" si="20"/>
        <v>1329957.0265102698</v>
      </c>
      <c r="H34" s="491">
        <f t="shared" si="21"/>
        <v>1329957.0265102698</v>
      </c>
      <c r="I34" s="511">
        <f t="shared" si="3"/>
        <v>0</v>
      </c>
      <c r="J34" s="511"/>
      <c r="K34" s="525"/>
      <c r="L34" s="514">
        <f t="shared" si="22"/>
        <v>0</v>
      </c>
      <c r="M34" s="525"/>
      <c r="N34" s="514">
        <f t="shared" si="5"/>
        <v>0</v>
      </c>
      <c r="O34" s="514">
        <f t="shared" si="6"/>
        <v>0</v>
      </c>
      <c r="P34" s="272"/>
    </row>
    <row r="35" spans="2:16">
      <c r="B35" s="195" t="str">
        <f t="shared" si="4"/>
        <v/>
      </c>
      <c r="C35" s="507">
        <f>IF(D11="","-",+C34+1)</f>
        <v>2033</v>
      </c>
      <c r="D35" s="523">
        <f>IF(F34+SUM(E$17:E34)=D$10,F34,D$10-SUM(E$17:E34))</f>
        <v>8335568.5217714841</v>
      </c>
      <c r="E35" s="522">
        <f t="shared" si="18"/>
        <v>314815.90909090912</v>
      </c>
      <c r="F35" s="523">
        <f t="shared" si="19"/>
        <v>8020752.6126805749</v>
      </c>
      <c r="G35" s="524">
        <f t="shared" si="20"/>
        <v>1292327.9838975761</v>
      </c>
      <c r="H35" s="491">
        <f t="shared" si="21"/>
        <v>1292327.9838975761</v>
      </c>
      <c r="I35" s="511">
        <f t="shared" si="3"/>
        <v>0</v>
      </c>
      <c r="J35" s="511"/>
      <c r="K35" s="525"/>
      <c r="L35" s="514">
        <f t="shared" si="22"/>
        <v>0</v>
      </c>
      <c r="M35" s="525"/>
      <c r="N35" s="514">
        <f t="shared" si="5"/>
        <v>0</v>
      </c>
      <c r="O35" s="514">
        <f t="shared" si="6"/>
        <v>0</v>
      </c>
      <c r="P35" s="272"/>
    </row>
    <row r="36" spans="2:16">
      <c r="B36" s="195" t="str">
        <f t="shared" si="4"/>
        <v/>
      </c>
      <c r="C36" s="507">
        <f>IF(D11="","-",+C35+1)</f>
        <v>2034</v>
      </c>
      <c r="D36" s="523">
        <f>IF(F35+SUM(E$17:E35)=D$10,F35,D$10-SUM(E$17:E35))</f>
        <v>8020752.6126805749</v>
      </c>
      <c r="E36" s="522">
        <f t="shared" si="18"/>
        <v>314815.90909090912</v>
      </c>
      <c r="F36" s="523">
        <f t="shared" si="19"/>
        <v>7705936.7035896657</v>
      </c>
      <c r="G36" s="524">
        <f t="shared" si="20"/>
        <v>1254698.9412848819</v>
      </c>
      <c r="H36" s="491">
        <f t="shared" si="21"/>
        <v>1254698.9412848819</v>
      </c>
      <c r="I36" s="511">
        <f t="shared" si="3"/>
        <v>0</v>
      </c>
      <c r="J36" s="511"/>
      <c r="K36" s="525"/>
      <c r="L36" s="514">
        <f t="shared" si="22"/>
        <v>0</v>
      </c>
      <c r="M36" s="525"/>
      <c r="N36" s="514">
        <f t="shared" si="5"/>
        <v>0</v>
      </c>
      <c r="O36" s="514">
        <f t="shared" si="6"/>
        <v>0</v>
      </c>
      <c r="P36" s="272"/>
    </row>
    <row r="37" spans="2:16">
      <c r="B37" s="195" t="str">
        <f t="shared" si="4"/>
        <v/>
      </c>
      <c r="C37" s="507">
        <f>IF(D11="","-",+C36+1)</f>
        <v>2035</v>
      </c>
      <c r="D37" s="523">
        <f>IF(F36+SUM(E$17:E36)=D$10,F36,D$10-SUM(E$17:E36))</f>
        <v>7705936.7035896657</v>
      </c>
      <c r="E37" s="522">
        <f t="shared" si="18"/>
        <v>314815.90909090912</v>
      </c>
      <c r="F37" s="523">
        <f t="shared" si="19"/>
        <v>7391120.7944987565</v>
      </c>
      <c r="G37" s="524">
        <f t="shared" si="20"/>
        <v>1217069.8986721882</v>
      </c>
      <c r="H37" s="491">
        <f t="shared" si="21"/>
        <v>1217069.8986721882</v>
      </c>
      <c r="I37" s="511">
        <f t="shared" si="3"/>
        <v>0</v>
      </c>
      <c r="J37" s="511"/>
      <c r="K37" s="525"/>
      <c r="L37" s="514">
        <f t="shared" si="22"/>
        <v>0</v>
      </c>
      <c r="M37" s="525"/>
      <c r="N37" s="514">
        <f t="shared" si="5"/>
        <v>0</v>
      </c>
      <c r="O37" s="514">
        <f t="shared" si="6"/>
        <v>0</v>
      </c>
      <c r="P37" s="272"/>
    </row>
    <row r="38" spans="2:16">
      <c r="B38" s="195" t="str">
        <f t="shared" si="4"/>
        <v/>
      </c>
      <c r="C38" s="507">
        <f>IF(D11="","-",+C37+1)</f>
        <v>2036</v>
      </c>
      <c r="D38" s="523">
        <f>IF(F37+SUM(E$17:E37)=D$10,F37,D$10-SUM(E$17:E37))</f>
        <v>7391120.7944987565</v>
      </c>
      <c r="E38" s="522">
        <f t="shared" si="18"/>
        <v>314815.90909090912</v>
      </c>
      <c r="F38" s="523">
        <f t="shared" si="19"/>
        <v>7076304.8854078474</v>
      </c>
      <c r="G38" s="524">
        <f t="shared" si="20"/>
        <v>1179440.856059494</v>
      </c>
      <c r="H38" s="491">
        <f t="shared" si="21"/>
        <v>1179440.856059494</v>
      </c>
      <c r="I38" s="511">
        <f t="shared" si="3"/>
        <v>0</v>
      </c>
      <c r="J38" s="511"/>
      <c r="K38" s="525"/>
      <c r="L38" s="514">
        <f t="shared" si="22"/>
        <v>0</v>
      </c>
      <c r="M38" s="525"/>
      <c r="N38" s="514">
        <f t="shared" si="5"/>
        <v>0</v>
      </c>
      <c r="O38" s="514">
        <f t="shared" si="6"/>
        <v>0</v>
      </c>
      <c r="P38" s="272"/>
    </row>
    <row r="39" spans="2:16">
      <c r="B39" s="195" t="str">
        <f t="shared" si="4"/>
        <v/>
      </c>
      <c r="C39" s="507">
        <f>IF(D11="","-",+C38+1)</f>
        <v>2037</v>
      </c>
      <c r="D39" s="523">
        <f>IF(F38+SUM(E$17:E38)=D$10,F38,D$10-SUM(E$17:E38))</f>
        <v>7076304.8854078474</v>
      </c>
      <c r="E39" s="522">
        <f t="shared" si="18"/>
        <v>314815.90909090912</v>
      </c>
      <c r="F39" s="523">
        <f t="shared" si="19"/>
        <v>6761488.9763169382</v>
      </c>
      <c r="G39" s="524">
        <f t="shared" si="20"/>
        <v>1141811.8134468002</v>
      </c>
      <c r="H39" s="491">
        <f t="shared" si="21"/>
        <v>1141811.8134468002</v>
      </c>
      <c r="I39" s="511">
        <f t="shared" si="3"/>
        <v>0</v>
      </c>
      <c r="J39" s="511"/>
      <c r="K39" s="525"/>
      <c r="L39" s="514">
        <f t="shared" si="22"/>
        <v>0</v>
      </c>
      <c r="M39" s="525"/>
      <c r="N39" s="514">
        <f t="shared" si="5"/>
        <v>0</v>
      </c>
      <c r="O39" s="514">
        <f t="shared" si="6"/>
        <v>0</v>
      </c>
      <c r="P39" s="272"/>
    </row>
    <row r="40" spans="2:16">
      <c r="B40" s="195" t="str">
        <f t="shared" si="4"/>
        <v/>
      </c>
      <c r="C40" s="507">
        <f>IF(D11="","-",+C39+1)</f>
        <v>2038</v>
      </c>
      <c r="D40" s="523">
        <f>IF(F39+SUM(E$17:E39)=D$10,F39,D$10-SUM(E$17:E39))</f>
        <v>6761488.9763169382</v>
      </c>
      <c r="E40" s="522">
        <f t="shared" si="18"/>
        <v>314815.90909090912</v>
      </c>
      <c r="F40" s="523">
        <f t="shared" si="19"/>
        <v>6446673.067226029</v>
      </c>
      <c r="G40" s="524">
        <f t="shared" si="20"/>
        <v>1104182.770834106</v>
      </c>
      <c r="H40" s="491">
        <f t="shared" si="21"/>
        <v>1104182.770834106</v>
      </c>
      <c r="I40" s="511">
        <f t="shared" si="3"/>
        <v>0</v>
      </c>
      <c r="J40" s="511"/>
      <c r="K40" s="525"/>
      <c r="L40" s="514">
        <f t="shared" si="22"/>
        <v>0</v>
      </c>
      <c r="M40" s="525"/>
      <c r="N40" s="514">
        <f t="shared" si="5"/>
        <v>0</v>
      </c>
      <c r="O40" s="514">
        <f t="shared" si="6"/>
        <v>0</v>
      </c>
      <c r="P40" s="272"/>
    </row>
    <row r="41" spans="2:16">
      <c r="B41" s="195" t="str">
        <f t="shared" si="4"/>
        <v/>
      </c>
      <c r="C41" s="507">
        <f>IF(D11="","-",+C40+1)</f>
        <v>2039</v>
      </c>
      <c r="D41" s="523">
        <f>IF(F40+SUM(E$17:E40)=D$10,F40,D$10-SUM(E$17:E40))</f>
        <v>6446673.067226029</v>
      </c>
      <c r="E41" s="522">
        <f t="shared" si="18"/>
        <v>314815.90909090912</v>
      </c>
      <c r="F41" s="523">
        <f t="shared" si="19"/>
        <v>6131857.1581351198</v>
      </c>
      <c r="G41" s="524">
        <f t="shared" si="20"/>
        <v>1066553.7282214123</v>
      </c>
      <c r="H41" s="491">
        <f t="shared" si="21"/>
        <v>1066553.7282214123</v>
      </c>
      <c r="I41" s="511">
        <f t="shared" si="3"/>
        <v>0</v>
      </c>
      <c r="J41" s="511"/>
      <c r="K41" s="525"/>
      <c r="L41" s="514">
        <f t="shared" si="22"/>
        <v>0</v>
      </c>
      <c r="M41" s="525"/>
      <c r="N41" s="514">
        <f t="shared" si="5"/>
        <v>0</v>
      </c>
      <c r="O41" s="514">
        <f t="shared" si="6"/>
        <v>0</v>
      </c>
      <c r="P41" s="272"/>
    </row>
    <row r="42" spans="2:16">
      <c r="B42" s="195" t="str">
        <f t="shared" si="4"/>
        <v/>
      </c>
      <c r="C42" s="507">
        <f>IF(D11="","-",+C41+1)</f>
        <v>2040</v>
      </c>
      <c r="D42" s="523">
        <f>IF(F41+SUM(E$17:E41)=D$10,F41,D$10-SUM(E$17:E41))</f>
        <v>6131857.1581351198</v>
      </c>
      <c r="E42" s="522">
        <f t="shared" si="18"/>
        <v>314815.90909090912</v>
      </c>
      <c r="F42" s="523">
        <f t="shared" si="19"/>
        <v>5817041.2490442107</v>
      </c>
      <c r="G42" s="524">
        <f t="shared" si="20"/>
        <v>1028924.6856087183</v>
      </c>
      <c r="H42" s="491">
        <f t="shared" si="21"/>
        <v>1028924.6856087183</v>
      </c>
      <c r="I42" s="511">
        <f t="shared" si="3"/>
        <v>0</v>
      </c>
      <c r="J42" s="511"/>
      <c r="K42" s="525"/>
      <c r="L42" s="514">
        <f t="shared" si="22"/>
        <v>0</v>
      </c>
      <c r="M42" s="525"/>
      <c r="N42" s="514">
        <f t="shared" si="5"/>
        <v>0</v>
      </c>
      <c r="O42" s="514">
        <f t="shared" si="6"/>
        <v>0</v>
      </c>
      <c r="P42" s="272"/>
    </row>
    <row r="43" spans="2:16">
      <c r="B43" s="195" t="str">
        <f t="shared" si="4"/>
        <v/>
      </c>
      <c r="C43" s="507">
        <f>IF(D11="","-",+C42+1)</f>
        <v>2041</v>
      </c>
      <c r="D43" s="523">
        <f>IF(F42+SUM(E$17:E42)=D$10,F42,D$10-SUM(E$17:E42))</f>
        <v>5817041.2490442107</v>
      </c>
      <c r="E43" s="522">
        <f t="shared" si="18"/>
        <v>314815.90909090912</v>
      </c>
      <c r="F43" s="523">
        <f t="shared" si="19"/>
        <v>5502225.3399533015</v>
      </c>
      <c r="G43" s="524">
        <f t="shared" si="20"/>
        <v>991295.64299602434</v>
      </c>
      <c r="H43" s="491">
        <f t="shared" si="21"/>
        <v>991295.64299602434</v>
      </c>
      <c r="I43" s="511">
        <f t="shared" si="3"/>
        <v>0</v>
      </c>
      <c r="J43" s="511"/>
      <c r="K43" s="525"/>
      <c r="L43" s="514">
        <f t="shared" si="22"/>
        <v>0</v>
      </c>
      <c r="M43" s="525"/>
      <c r="N43" s="514">
        <f t="shared" si="5"/>
        <v>0</v>
      </c>
      <c r="O43" s="514">
        <f t="shared" si="6"/>
        <v>0</v>
      </c>
      <c r="P43" s="272"/>
    </row>
    <row r="44" spans="2:16">
      <c r="B44" s="195" t="str">
        <f t="shared" si="4"/>
        <v/>
      </c>
      <c r="C44" s="507">
        <f>IF(D11="","-",+C43+1)</f>
        <v>2042</v>
      </c>
      <c r="D44" s="523">
        <f>IF(F43+SUM(E$17:E43)=D$10,F43,D$10-SUM(E$17:E43))</f>
        <v>5502225.3399533015</v>
      </c>
      <c r="E44" s="522">
        <f t="shared" si="18"/>
        <v>314815.90909090912</v>
      </c>
      <c r="F44" s="523">
        <f t="shared" si="19"/>
        <v>5187409.4308623923</v>
      </c>
      <c r="G44" s="524">
        <f t="shared" si="20"/>
        <v>953666.60038333037</v>
      </c>
      <c r="H44" s="491">
        <f t="shared" si="21"/>
        <v>953666.60038333037</v>
      </c>
      <c r="I44" s="511">
        <f t="shared" si="3"/>
        <v>0</v>
      </c>
      <c r="J44" s="511"/>
      <c r="K44" s="525"/>
      <c r="L44" s="514">
        <f t="shared" si="22"/>
        <v>0</v>
      </c>
      <c r="M44" s="525"/>
      <c r="N44" s="514">
        <f t="shared" si="5"/>
        <v>0</v>
      </c>
      <c r="O44" s="514">
        <f t="shared" si="6"/>
        <v>0</v>
      </c>
      <c r="P44" s="272"/>
    </row>
    <row r="45" spans="2:16">
      <c r="B45" s="195" t="str">
        <f t="shared" si="4"/>
        <v/>
      </c>
      <c r="C45" s="507">
        <f>IF(D11="","-",+C44+1)</f>
        <v>2043</v>
      </c>
      <c r="D45" s="523">
        <f>IF(F44+SUM(E$17:E44)=D$10,F44,D$10-SUM(E$17:E44))</f>
        <v>5187409.4308623923</v>
      </c>
      <c r="E45" s="522">
        <f t="shared" si="18"/>
        <v>314815.90909090912</v>
      </c>
      <c r="F45" s="523">
        <f t="shared" si="19"/>
        <v>4872593.5217714831</v>
      </c>
      <c r="G45" s="524">
        <f t="shared" si="20"/>
        <v>916037.5577706364</v>
      </c>
      <c r="H45" s="491">
        <f t="shared" si="21"/>
        <v>916037.5577706364</v>
      </c>
      <c r="I45" s="511">
        <f t="shared" si="3"/>
        <v>0</v>
      </c>
      <c r="J45" s="511"/>
      <c r="K45" s="525"/>
      <c r="L45" s="514">
        <f t="shared" si="22"/>
        <v>0</v>
      </c>
      <c r="M45" s="525"/>
      <c r="N45" s="514">
        <f t="shared" si="5"/>
        <v>0</v>
      </c>
      <c r="O45" s="514">
        <f t="shared" si="6"/>
        <v>0</v>
      </c>
      <c r="P45" s="272"/>
    </row>
    <row r="46" spans="2:16">
      <c r="B46" s="195" t="str">
        <f t="shared" si="4"/>
        <v/>
      </c>
      <c r="C46" s="507">
        <f>IF(D11="","-",+C45+1)</f>
        <v>2044</v>
      </c>
      <c r="D46" s="523">
        <f>IF(F45+SUM(E$17:E45)=D$10,F45,D$10-SUM(E$17:E45))</f>
        <v>4872593.5217714831</v>
      </c>
      <c r="E46" s="522">
        <f t="shared" si="18"/>
        <v>314815.90909090912</v>
      </c>
      <c r="F46" s="523">
        <f t="shared" si="19"/>
        <v>4557777.6126805739</v>
      </c>
      <c r="G46" s="524">
        <f t="shared" si="20"/>
        <v>878408.51515794243</v>
      </c>
      <c r="H46" s="491">
        <f t="shared" si="21"/>
        <v>878408.51515794243</v>
      </c>
      <c r="I46" s="511">
        <f t="shared" si="3"/>
        <v>0</v>
      </c>
      <c r="J46" s="511"/>
      <c r="K46" s="525"/>
      <c r="L46" s="514">
        <f t="shared" si="22"/>
        <v>0</v>
      </c>
      <c r="M46" s="525"/>
      <c r="N46" s="514">
        <f t="shared" si="5"/>
        <v>0</v>
      </c>
      <c r="O46" s="514">
        <f t="shared" si="6"/>
        <v>0</v>
      </c>
      <c r="P46" s="272"/>
    </row>
    <row r="47" spans="2:16">
      <c r="B47" s="195" t="str">
        <f t="shared" si="4"/>
        <v/>
      </c>
      <c r="C47" s="507">
        <f>IF(D11="","-",+C46+1)</f>
        <v>2045</v>
      </c>
      <c r="D47" s="523">
        <f>IF(F46+SUM(E$17:E46)=D$10,F46,D$10-SUM(E$17:E46))</f>
        <v>4557777.6126805739</v>
      </c>
      <c r="E47" s="522">
        <f t="shared" si="18"/>
        <v>314815.90909090912</v>
      </c>
      <c r="F47" s="523">
        <f t="shared" si="19"/>
        <v>4242961.7035896648</v>
      </c>
      <c r="G47" s="524">
        <f t="shared" si="20"/>
        <v>840779.47254524846</v>
      </c>
      <c r="H47" s="491">
        <f t="shared" si="21"/>
        <v>840779.47254524846</v>
      </c>
      <c r="I47" s="511">
        <f t="shared" si="3"/>
        <v>0</v>
      </c>
      <c r="J47" s="511"/>
      <c r="K47" s="525"/>
      <c r="L47" s="514">
        <f t="shared" si="22"/>
        <v>0</v>
      </c>
      <c r="M47" s="525"/>
      <c r="N47" s="514">
        <f t="shared" si="5"/>
        <v>0</v>
      </c>
      <c r="O47" s="514">
        <f t="shared" si="6"/>
        <v>0</v>
      </c>
      <c r="P47" s="272"/>
    </row>
    <row r="48" spans="2:16">
      <c r="B48" s="195" t="str">
        <f t="shared" si="4"/>
        <v/>
      </c>
      <c r="C48" s="507">
        <f>IF(D11="","-",+C47+1)</f>
        <v>2046</v>
      </c>
      <c r="D48" s="523">
        <f>IF(F47+SUM(E$17:E47)=D$10,F47,D$10-SUM(E$17:E47))</f>
        <v>4242961.7035896648</v>
      </c>
      <c r="E48" s="522">
        <f t="shared" si="18"/>
        <v>314815.90909090912</v>
      </c>
      <c r="F48" s="523">
        <f t="shared" si="19"/>
        <v>3928145.7944987556</v>
      </c>
      <c r="G48" s="524">
        <f t="shared" si="20"/>
        <v>803150.42993255449</v>
      </c>
      <c r="H48" s="491">
        <f t="shared" si="21"/>
        <v>803150.42993255449</v>
      </c>
      <c r="I48" s="511">
        <f t="shared" si="3"/>
        <v>0</v>
      </c>
      <c r="J48" s="511"/>
      <c r="K48" s="525"/>
      <c r="L48" s="514">
        <f t="shared" si="22"/>
        <v>0</v>
      </c>
      <c r="M48" s="525"/>
      <c r="N48" s="514">
        <f t="shared" si="5"/>
        <v>0</v>
      </c>
      <c r="O48" s="514">
        <f t="shared" si="6"/>
        <v>0</v>
      </c>
      <c r="P48" s="272"/>
    </row>
    <row r="49" spans="2:16">
      <c r="B49" s="195" t="str">
        <f t="shared" si="4"/>
        <v/>
      </c>
      <c r="C49" s="507">
        <f>IF(D11="","-",+C48+1)</f>
        <v>2047</v>
      </c>
      <c r="D49" s="523">
        <f>IF(F48+SUM(E$17:E48)=D$10,F48,D$10-SUM(E$17:E48))</f>
        <v>3928145.7944987556</v>
      </c>
      <c r="E49" s="522">
        <f t="shared" si="18"/>
        <v>314815.90909090912</v>
      </c>
      <c r="F49" s="523">
        <f t="shared" si="19"/>
        <v>3613329.8854078464</v>
      </c>
      <c r="G49" s="524">
        <f t="shared" si="20"/>
        <v>765521.38731986051</v>
      </c>
      <c r="H49" s="491">
        <f t="shared" si="21"/>
        <v>765521.38731986051</v>
      </c>
      <c r="I49" s="511">
        <f t="shared" si="3"/>
        <v>0</v>
      </c>
      <c r="J49" s="511"/>
      <c r="K49" s="525"/>
      <c r="L49" s="514">
        <f t="shared" si="22"/>
        <v>0</v>
      </c>
      <c r="M49" s="525"/>
      <c r="N49" s="514">
        <f t="shared" si="5"/>
        <v>0</v>
      </c>
      <c r="O49" s="514">
        <f t="shared" si="6"/>
        <v>0</v>
      </c>
      <c r="P49" s="272"/>
    </row>
    <row r="50" spans="2:16">
      <c r="B50" s="195" t="str">
        <f t="shared" si="4"/>
        <v/>
      </c>
      <c r="C50" s="507">
        <f>IF(D11="","-",+C49+1)</f>
        <v>2048</v>
      </c>
      <c r="D50" s="523">
        <f>IF(F49+SUM(E$17:E49)=D$10,F49,D$10-SUM(E$17:E49))</f>
        <v>3613329.8854078464</v>
      </c>
      <c r="E50" s="522">
        <f t="shared" si="18"/>
        <v>314815.90909090912</v>
      </c>
      <c r="F50" s="523">
        <f t="shared" si="19"/>
        <v>3298513.9763169372</v>
      </c>
      <c r="G50" s="524">
        <f t="shared" si="20"/>
        <v>727892.34470716654</v>
      </c>
      <c r="H50" s="491">
        <f t="shared" si="21"/>
        <v>727892.34470716654</v>
      </c>
      <c r="I50" s="511">
        <f t="shared" si="3"/>
        <v>0</v>
      </c>
      <c r="J50" s="511"/>
      <c r="K50" s="525"/>
      <c r="L50" s="514">
        <f t="shared" si="22"/>
        <v>0</v>
      </c>
      <c r="M50" s="525"/>
      <c r="N50" s="514">
        <f t="shared" si="5"/>
        <v>0</v>
      </c>
      <c r="O50" s="514">
        <f t="shared" si="6"/>
        <v>0</v>
      </c>
      <c r="P50" s="272"/>
    </row>
    <row r="51" spans="2:16">
      <c r="B51" s="195" t="str">
        <f t="shared" si="4"/>
        <v/>
      </c>
      <c r="C51" s="507">
        <f>IF(D11="","-",+C50+1)</f>
        <v>2049</v>
      </c>
      <c r="D51" s="523">
        <f>IF(F50+SUM(E$17:E50)=D$10,F50,D$10-SUM(E$17:E50))</f>
        <v>3298513.9763169372</v>
      </c>
      <c r="E51" s="522">
        <f t="shared" si="18"/>
        <v>314815.90909090912</v>
      </c>
      <c r="F51" s="523">
        <f t="shared" si="19"/>
        <v>2983698.0672260281</v>
      </c>
      <c r="G51" s="524">
        <f t="shared" ref="G51:G72" si="23">+I$12*((D51+F51)/2)+E51</f>
        <v>690263.30209447257</v>
      </c>
      <c r="H51" s="491">
        <f t="shared" ref="H51:H72" si="24">+I$13*((D51+F51)/2)+E51</f>
        <v>690263.30209447257</v>
      </c>
      <c r="I51" s="511">
        <f t="shared" si="3"/>
        <v>0</v>
      </c>
      <c r="J51" s="511"/>
      <c r="K51" s="525"/>
      <c r="L51" s="514">
        <f t="shared" si="22"/>
        <v>0</v>
      </c>
      <c r="M51" s="525"/>
      <c r="N51" s="514">
        <f t="shared" si="5"/>
        <v>0</v>
      </c>
      <c r="O51" s="514">
        <f t="shared" si="6"/>
        <v>0</v>
      </c>
      <c r="P51" s="272"/>
    </row>
    <row r="52" spans="2:16">
      <c r="B52" s="195" t="str">
        <f t="shared" si="4"/>
        <v/>
      </c>
      <c r="C52" s="507">
        <f>IF(D11="","-",+C51+1)</f>
        <v>2050</v>
      </c>
      <c r="D52" s="523">
        <f>IF(F51+SUM(E$17:E51)=D$10,F51,D$10-SUM(E$17:E51))</f>
        <v>2983698.0672260281</v>
      </c>
      <c r="E52" s="522">
        <f t="shared" si="18"/>
        <v>314815.90909090912</v>
      </c>
      <c r="F52" s="523">
        <f t="shared" si="19"/>
        <v>2668882.1581351189</v>
      </c>
      <c r="G52" s="524">
        <f t="shared" si="23"/>
        <v>652634.25948177872</v>
      </c>
      <c r="H52" s="491">
        <f t="shared" si="24"/>
        <v>652634.25948177872</v>
      </c>
      <c r="I52" s="511">
        <f t="shared" si="3"/>
        <v>0</v>
      </c>
      <c r="J52" s="511"/>
      <c r="K52" s="525"/>
      <c r="L52" s="514">
        <f t="shared" si="22"/>
        <v>0</v>
      </c>
      <c r="M52" s="525"/>
      <c r="N52" s="514">
        <f t="shared" si="5"/>
        <v>0</v>
      </c>
      <c r="O52" s="514">
        <f t="shared" si="6"/>
        <v>0</v>
      </c>
      <c r="P52" s="272"/>
    </row>
    <row r="53" spans="2:16">
      <c r="B53" s="195" t="str">
        <f t="shared" si="4"/>
        <v/>
      </c>
      <c r="C53" s="507">
        <f>IF(D11="","-",+C52+1)</f>
        <v>2051</v>
      </c>
      <c r="D53" s="523">
        <f>IF(F52+SUM(E$17:E52)=D$10,F52,D$10-SUM(E$17:E52))</f>
        <v>2668882.1581351189</v>
      </c>
      <c r="E53" s="522">
        <f t="shared" si="18"/>
        <v>314815.90909090912</v>
      </c>
      <c r="F53" s="523">
        <f t="shared" si="19"/>
        <v>2354066.2490442097</v>
      </c>
      <c r="G53" s="524">
        <f t="shared" si="23"/>
        <v>615005.21686908475</v>
      </c>
      <c r="H53" s="491">
        <f t="shared" si="24"/>
        <v>615005.21686908475</v>
      </c>
      <c r="I53" s="511">
        <f t="shared" si="3"/>
        <v>0</v>
      </c>
      <c r="J53" s="511"/>
      <c r="K53" s="525"/>
      <c r="L53" s="514">
        <f t="shared" si="22"/>
        <v>0</v>
      </c>
      <c r="M53" s="525"/>
      <c r="N53" s="514">
        <f t="shared" si="5"/>
        <v>0</v>
      </c>
      <c r="O53" s="514">
        <f t="shared" si="6"/>
        <v>0</v>
      </c>
      <c r="P53" s="272"/>
    </row>
    <row r="54" spans="2:16">
      <c r="B54" s="195" t="str">
        <f t="shared" si="4"/>
        <v/>
      </c>
      <c r="C54" s="507">
        <f>IF(D11="","-",+C53+1)</f>
        <v>2052</v>
      </c>
      <c r="D54" s="523">
        <f>IF(F53+SUM(E$17:E53)=D$10,F53,D$10-SUM(E$17:E53))</f>
        <v>2354066.2490442097</v>
      </c>
      <c r="E54" s="522">
        <f t="shared" si="18"/>
        <v>314815.90909090912</v>
      </c>
      <c r="F54" s="523">
        <f t="shared" si="19"/>
        <v>2039250.3399533005</v>
      </c>
      <c r="G54" s="524">
        <f t="shared" si="23"/>
        <v>577376.17425639078</v>
      </c>
      <c r="H54" s="491">
        <f t="shared" si="24"/>
        <v>577376.17425639078</v>
      </c>
      <c r="I54" s="511">
        <f t="shared" si="3"/>
        <v>0</v>
      </c>
      <c r="J54" s="511"/>
      <c r="K54" s="525"/>
      <c r="L54" s="514">
        <f t="shared" si="22"/>
        <v>0</v>
      </c>
      <c r="M54" s="525"/>
      <c r="N54" s="514">
        <f t="shared" si="5"/>
        <v>0</v>
      </c>
      <c r="O54" s="514">
        <f t="shared" si="6"/>
        <v>0</v>
      </c>
      <c r="P54" s="272"/>
    </row>
    <row r="55" spans="2:16">
      <c r="B55" s="195" t="str">
        <f t="shared" si="4"/>
        <v/>
      </c>
      <c r="C55" s="507">
        <f>IF(D11="","-",+C54+1)</f>
        <v>2053</v>
      </c>
      <c r="D55" s="523">
        <f>IF(F54+SUM(E$17:E54)=D$10,F54,D$10-SUM(E$17:E54))</f>
        <v>2039250.3399533005</v>
      </c>
      <c r="E55" s="522">
        <f t="shared" si="18"/>
        <v>314815.90909090912</v>
      </c>
      <c r="F55" s="523">
        <f t="shared" si="19"/>
        <v>1724434.4308623914</v>
      </c>
      <c r="G55" s="524">
        <f t="shared" si="23"/>
        <v>539747.1316436968</v>
      </c>
      <c r="H55" s="491">
        <f t="shared" si="24"/>
        <v>539747.1316436968</v>
      </c>
      <c r="I55" s="511">
        <f t="shared" si="3"/>
        <v>0</v>
      </c>
      <c r="J55" s="511"/>
      <c r="K55" s="525"/>
      <c r="L55" s="514">
        <f t="shared" si="22"/>
        <v>0</v>
      </c>
      <c r="M55" s="525"/>
      <c r="N55" s="514">
        <f t="shared" si="5"/>
        <v>0</v>
      </c>
      <c r="O55" s="514">
        <f t="shared" si="6"/>
        <v>0</v>
      </c>
      <c r="P55" s="272"/>
    </row>
    <row r="56" spans="2:16">
      <c r="B56" s="195" t="str">
        <f t="shared" si="4"/>
        <v/>
      </c>
      <c r="C56" s="507">
        <f>IF(D11="","-",+C55+1)</f>
        <v>2054</v>
      </c>
      <c r="D56" s="523">
        <f>IF(F55+SUM(E$17:E55)=D$10,F55,D$10-SUM(E$17:E55))</f>
        <v>1724434.4308623914</v>
      </c>
      <c r="E56" s="522">
        <f t="shared" si="18"/>
        <v>314815.90909090912</v>
      </c>
      <c r="F56" s="523">
        <f t="shared" si="19"/>
        <v>1409618.5217714822</v>
      </c>
      <c r="G56" s="524">
        <f t="shared" si="23"/>
        <v>502118.08903100283</v>
      </c>
      <c r="H56" s="491">
        <f t="shared" si="24"/>
        <v>502118.08903100283</v>
      </c>
      <c r="I56" s="511">
        <f t="shared" si="3"/>
        <v>0</v>
      </c>
      <c r="J56" s="511"/>
      <c r="K56" s="525"/>
      <c r="L56" s="514">
        <f t="shared" si="22"/>
        <v>0</v>
      </c>
      <c r="M56" s="525"/>
      <c r="N56" s="514">
        <f t="shared" si="5"/>
        <v>0</v>
      </c>
      <c r="O56" s="514">
        <f t="shared" si="6"/>
        <v>0</v>
      </c>
      <c r="P56" s="272"/>
    </row>
    <row r="57" spans="2:16">
      <c r="B57" s="195" t="str">
        <f t="shared" si="4"/>
        <v/>
      </c>
      <c r="C57" s="507">
        <f>IF(D11="","-",+C56+1)</f>
        <v>2055</v>
      </c>
      <c r="D57" s="523">
        <f>IF(F56+SUM(E$17:E56)=D$10,F56,D$10-SUM(E$17:E56))</f>
        <v>1409618.5217714822</v>
      </c>
      <c r="E57" s="522">
        <f t="shared" si="18"/>
        <v>314815.90909090912</v>
      </c>
      <c r="F57" s="523">
        <f t="shared" si="19"/>
        <v>1094802.612680573</v>
      </c>
      <c r="G57" s="524">
        <f t="shared" si="23"/>
        <v>464489.04641830892</v>
      </c>
      <c r="H57" s="491">
        <f t="shared" si="24"/>
        <v>464489.04641830892</v>
      </c>
      <c r="I57" s="511">
        <f t="shared" si="3"/>
        <v>0</v>
      </c>
      <c r="J57" s="511"/>
      <c r="K57" s="525"/>
      <c r="L57" s="514">
        <f t="shared" si="22"/>
        <v>0</v>
      </c>
      <c r="M57" s="525"/>
      <c r="N57" s="514">
        <f t="shared" si="5"/>
        <v>0</v>
      </c>
      <c r="O57" s="514">
        <f t="shared" si="6"/>
        <v>0</v>
      </c>
      <c r="P57" s="272"/>
    </row>
    <row r="58" spans="2:16">
      <c r="B58" s="195" t="str">
        <f t="shared" si="4"/>
        <v/>
      </c>
      <c r="C58" s="507">
        <f>IF(D11="","-",+C57+1)</f>
        <v>2056</v>
      </c>
      <c r="D58" s="523">
        <f>IF(F57+SUM(E$17:E57)=D$10,F57,D$10-SUM(E$17:E57))</f>
        <v>1094802.612680573</v>
      </c>
      <c r="E58" s="522">
        <f t="shared" si="18"/>
        <v>314815.90909090912</v>
      </c>
      <c r="F58" s="523">
        <f t="shared" si="19"/>
        <v>779986.70358966384</v>
      </c>
      <c r="G58" s="524">
        <f t="shared" si="23"/>
        <v>426860.00380561495</v>
      </c>
      <c r="H58" s="491">
        <f t="shared" si="24"/>
        <v>426860.00380561495</v>
      </c>
      <c r="I58" s="511">
        <f t="shared" si="3"/>
        <v>0</v>
      </c>
      <c r="J58" s="511"/>
      <c r="K58" s="525"/>
      <c r="L58" s="514">
        <f t="shared" si="22"/>
        <v>0</v>
      </c>
      <c r="M58" s="525"/>
      <c r="N58" s="514">
        <f t="shared" si="5"/>
        <v>0</v>
      </c>
      <c r="O58" s="514">
        <f t="shared" si="6"/>
        <v>0</v>
      </c>
      <c r="P58" s="272"/>
    </row>
    <row r="59" spans="2:16">
      <c r="B59" s="195" t="str">
        <f t="shared" si="4"/>
        <v/>
      </c>
      <c r="C59" s="507">
        <f>IF(D11="","-",+C58+1)</f>
        <v>2057</v>
      </c>
      <c r="D59" s="523">
        <f>IF(F58+SUM(E$17:E58)=D$10,F58,D$10-SUM(E$17:E58))</f>
        <v>779986.70358966384</v>
      </c>
      <c r="E59" s="522">
        <f t="shared" si="18"/>
        <v>314815.90909090912</v>
      </c>
      <c r="F59" s="523">
        <f t="shared" si="19"/>
        <v>465170.79449875472</v>
      </c>
      <c r="G59" s="524">
        <f t="shared" si="23"/>
        <v>389230.96119292104</v>
      </c>
      <c r="H59" s="491">
        <f t="shared" si="24"/>
        <v>389230.96119292104</v>
      </c>
      <c r="I59" s="511">
        <f t="shared" si="3"/>
        <v>0</v>
      </c>
      <c r="J59" s="511"/>
      <c r="K59" s="525"/>
      <c r="L59" s="514">
        <f t="shared" si="22"/>
        <v>0</v>
      </c>
      <c r="M59" s="525"/>
      <c r="N59" s="514">
        <f t="shared" si="5"/>
        <v>0</v>
      </c>
      <c r="O59" s="514">
        <f t="shared" si="6"/>
        <v>0</v>
      </c>
      <c r="P59" s="272"/>
    </row>
    <row r="60" spans="2:16">
      <c r="B60" s="195" t="str">
        <f t="shared" si="4"/>
        <v/>
      </c>
      <c r="C60" s="507">
        <f>IF(D11="","-",+C59+1)</f>
        <v>2058</v>
      </c>
      <c r="D60" s="523">
        <f>IF(F59+SUM(E$17:E59)=D$10,F59,D$10-SUM(E$17:E59))</f>
        <v>465170.79449875472</v>
      </c>
      <c r="E60" s="522">
        <f t="shared" si="18"/>
        <v>314815.90909090912</v>
      </c>
      <c r="F60" s="523">
        <f t="shared" si="19"/>
        <v>150354.88540784561</v>
      </c>
      <c r="G60" s="524">
        <f t="shared" si="23"/>
        <v>351601.91858022707</v>
      </c>
      <c r="H60" s="491">
        <f t="shared" si="24"/>
        <v>351601.91858022707</v>
      </c>
      <c r="I60" s="511">
        <f t="shared" si="3"/>
        <v>0</v>
      </c>
      <c r="J60" s="511"/>
      <c r="K60" s="525"/>
      <c r="L60" s="514">
        <f t="shared" si="22"/>
        <v>0</v>
      </c>
      <c r="M60" s="525"/>
      <c r="N60" s="514">
        <f t="shared" si="5"/>
        <v>0</v>
      </c>
      <c r="O60" s="514">
        <f t="shared" si="6"/>
        <v>0</v>
      </c>
      <c r="P60" s="272"/>
    </row>
    <row r="61" spans="2:16">
      <c r="B61" s="195" t="str">
        <f t="shared" si="4"/>
        <v/>
      </c>
      <c r="C61" s="507">
        <f>IF(D11="","-",+C60+1)</f>
        <v>2059</v>
      </c>
      <c r="D61" s="523">
        <f>IF(F60+SUM(E$17:E60)=D$10,F60,D$10-SUM(E$17:E60))</f>
        <v>150354.88540784561</v>
      </c>
      <c r="E61" s="522">
        <f t="shared" si="18"/>
        <v>150354.88540784561</v>
      </c>
      <c r="F61" s="523">
        <f t="shared" si="19"/>
        <v>0</v>
      </c>
      <c r="G61" s="524">
        <f t="shared" si="23"/>
        <v>159340.62949933109</v>
      </c>
      <c r="H61" s="491">
        <f t="shared" si="24"/>
        <v>159340.62949933109</v>
      </c>
      <c r="I61" s="511">
        <f t="shared" si="3"/>
        <v>0</v>
      </c>
      <c r="J61" s="511"/>
      <c r="K61" s="525"/>
      <c r="L61" s="514">
        <f t="shared" si="22"/>
        <v>0</v>
      </c>
      <c r="M61" s="525"/>
      <c r="N61" s="514">
        <f t="shared" si="5"/>
        <v>0</v>
      </c>
      <c r="O61" s="514">
        <f t="shared" si="6"/>
        <v>0</v>
      </c>
      <c r="P61" s="272"/>
    </row>
    <row r="62" spans="2:16">
      <c r="B62" s="195" t="str">
        <f t="shared" si="4"/>
        <v/>
      </c>
      <c r="C62" s="507">
        <f>IF(D11="","-",+C61+1)</f>
        <v>2060</v>
      </c>
      <c r="D62" s="523">
        <f>IF(F61+SUM(E$17:E61)=D$10,F61,D$10-SUM(E$17:E61))</f>
        <v>0</v>
      </c>
      <c r="E62" s="522">
        <f t="shared" si="18"/>
        <v>0</v>
      </c>
      <c r="F62" s="523">
        <f t="shared" si="19"/>
        <v>0</v>
      </c>
      <c r="G62" s="524">
        <f t="shared" si="23"/>
        <v>0</v>
      </c>
      <c r="H62" s="491">
        <f t="shared" si="24"/>
        <v>0</v>
      </c>
      <c r="I62" s="511">
        <f t="shared" si="3"/>
        <v>0</v>
      </c>
      <c r="J62" s="511"/>
      <c r="K62" s="525"/>
      <c r="L62" s="514">
        <f t="shared" si="22"/>
        <v>0</v>
      </c>
      <c r="M62" s="525"/>
      <c r="N62" s="514">
        <f t="shared" si="5"/>
        <v>0</v>
      </c>
      <c r="O62" s="514">
        <f t="shared" si="6"/>
        <v>0</v>
      </c>
      <c r="P62" s="272"/>
    </row>
    <row r="63" spans="2:16">
      <c r="B63" s="195" t="str">
        <f t="shared" si="4"/>
        <v/>
      </c>
      <c r="C63" s="507">
        <f>IF(D11="","-",+C62+1)</f>
        <v>2061</v>
      </c>
      <c r="D63" s="523">
        <f>IF(F62+SUM(E$17:E62)=D$10,F62,D$10-SUM(E$17:E62))</f>
        <v>0</v>
      </c>
      <c r="E63" s="522">
        <f t="shared" si="18"/>
        <v>0</v>
      </c>
      <c r="F63" s="523">
        <f t="shared" si="19"/>
        <v>0</v>
      </c>
      <c r="G63" s="524">
        <f t="shared" si="23"/>
        <v>0</v>
      </c>
      <c r="H63" s="491">
        <f t="shared" si="24"/>
        <v>0</v>
      </c>
      <c r="I63" s="511">
        <f t="shared" si="3"/>
        <v>0</v>
      </c>
      <c r="J63" s="511"/>
      <c r="K63" s="525"/>
      <c r="L63" s="514">
        <f t="shared" si="22"/>
        <v>0</v>
      </c>
      <c r="M63" s="525"/>
      <c r="N63" s="514">
        <f t="shared" si="5"/>
        <v>0</v>
      </c>
      <c r="O63" s="514">
        <f t="shared" si="6"/>
        <v>0</v>
      </c>
      <c r="P63" s="272"/>
    </row>
    <row r="64" spans="2:16">
      <c r="B64" s="195" t="str">
        <f t="shared" si="4"/>
        <v/>
      </c>
      <c r="C64" s="507">
        <f>IF(D11="","-",+C63+1)</f>
        <v>2062</v>
      </c>
      <c r="D64" s="523">
        <f>IF(F63+SUM(E$17:E63)=D$10,F63,D$10-SUM(E$17:E63))</f>
        <v>0</v>
      </c>
      <c r="E64" s="522">
        <f t="shared" si="18"/>
        <v>0</v>
      </c>
      <c r="F64" s="523">
        <f t="shared" si="19"/>
        <v>0</v>
      </c>
      <c r="G64" s="524">
        <f t="shared" si="23"/>
        <v>0</v>
      </c>
      <c r="H64" s="491">
        <f t="shared" si="24"/>
        <v>0</v>
      </c>
      <c r="I64" s="511">
        <f t="shared" si="3"/>
        <v>0</v>
      </c>
      <c r="J64" s="511"/>
      <c r="K64" s="525"/>
      <c r="L64" s="514">
        <f t="shared" si="22"/>
        <v>0</v>
      </c>
      <c r="M64" s="525"/>
      <c r="N64" s="514">
        <f t="shared" si="5"/>
        <v>0</v>
      </c>
      <c r="O64" s="514">
        <f t="shared" si="6"/>
        <v>0</v>
      </c>
      <c r="P64" s="272"/>
    </row>
    <row r="65" spans="2:16">
      <c r="B65" s="195" t="str">
        <f t="shared" si="4"/>
        <v/>
      </c>
      <c r="C65" s="507">
        <f>IF(D11="","-",+C64+1)</f>
        <v>2063</v>
      </c>
      <c r="D65" s="523">
        <f>IF(F64+SUM(E$17:E64)=D$10,F64,D$10-SUM(E$17:E64))</f>
        <v>0</v>
      </c>
      <c r="E65" s="522">
        <f t="shared" si="18"/>
        <v>0</v>
      </c>
      <c r="F65" s="523">
        <f t="shared" si="19"/>
        <v>0</v>
      </c>
      <c r="G65" s="524">
        <f t="shared" si="23"/>
        <v>0</v>
      </c>
      <c r="H65" s="491">
        <f t="shared" si="24"/>
        <v>0</v>
      </c>
      <c r="I65" s="511">
        <f t="shared" si="3"/>
        <v>0</v>
      </c>
      <c r="J65" s="511"/>
      <c r="K65" s="525"/>
      <c r="L65" s="514">
        <f t="shared" si="22"/>
        <v>0</v>
      </c>
      <c r="M65" s="525"/>
      <c r="N65" s="514">
        <f t="shared" si="5"/>
        <v>0</v>
      </c>
      <c r="O65" s="514">
        <f t="shared" si="6"/>
        <v>0</v>
      </c>
      <c r="P65" s="272"/>
    </row>
    <row r="66" spans="2:16">
      <c r="B66" s="195" t="str">
        <f t="shared" si="4"/>
        <v/>
      </c>
      <c r="C66" s="507">
        <f>IF(D11="","-",+C65+1)</f>
        <v>2064</v>
      </c>
      <c r="D66" s="523">
        <f>IF(F65+SUM(E$17:E65)=D$10,F65,D$10-SUM(E$17:E65))</f>
        <v>0</v>
      </c>
      <c r="E66" s="522">
        <f t="shared" si="18"/>
        <v>0</v>
      </c>
      <c r="F66" s="523">
        <f t="shared" si="19"/>
        <v>0</v>
      </c>
      <c r="G66" s="524">
        <f t="shared" si="23"/>
        <v>0</v>
      </c>
      <c r="H66" s="491">
        <f t="shared" si="24"/>
        <v>0</v>
      </c>
      <c r="I66" s="511">
        <f t="shared" si="3"/>
        <v>0</v>
      </c>
      <c r="J66" s="511"/>
      <c r="K66" s="525"/>
      <c r="L66" s="514">
        <f t="shared" si="22"/>
        <v>0</v>
      </c>
      <c r="M66" s="525"/>
      <c r="N66" s="514">
        <f t="shared" si="5"/>
        <v>0</v>
      </c>
      <c r="O66" s="514">
        <f t="shared" si="6"/>
        <v>0</v>
      </c>
      <c r="P66" s="272"/>
    </row>
    <row r="67" spans="2:16">
      <c r="B67" s="195" t="str">
        <f t="shared" si="4"/>
        <v/>
      </c>
      <c r="C67" s="507">
        <f>IF(D11="","-",+C66+1)</f>
        <v>2065</v>
      </c>
      <c r="D67" s="523">
        <f>IF(F66+SUM(E$17:E66)=D$10,F66,D$10-SUM(E$17:E66))</f>
        <v>0</v>
      </c>
      <c r="E67" s="522">
        <f t="shared" si="18"/>
        <v>0</v>
      </c>
      <c r="F67" s="523">
        <f t="shared" si="19"/>
        <v>0</v>
      </c>
      <c r="G67" s="524">
        <f t="shared" si="23"/>
        <v>0</v>
      </c>
      <c r="H67" s="491">
        <f t="shared" si="24"/>
        <v>0</v>
      </c>
      <c r="I67" s="511">
        <f t="shared" si="3"/>
        <v>0</v>
      </c>
      <c r="J67" s="511"/>
      <c r="K67" s="525"/>
      <c r="L67" s="514">
        <f t="shared" si="22"/>
        <v>0</v>
      </c>
      <c r="M67" s="525"/>
      <c r="N67" s="514">
        <f t="shared" si="5"/>
        <v>0</v>
      </c>
      <c r="O67" s="514">
        <f t="shared" si="6"/>
        <v>0</v>
      </c>
      <c r="P67" s="272"/>
    </row>
    <row r="68" spans="2:16">
      <c r="B68" s="195" t="str">
        <f t="shared" si="4"/>
        <v/>
      </c>
      <c r="C68" s="507">
        <f>IF(D11="","-",+C67+1)</f>
        <v>2066</v>
      </c>
      <c r="D68" s="523">
        <f>IF(F67+SUM(E$17:E67)=D$10,F67,D$10-SUM(E$17:E67))</f>
        <v>0</v>
      </c>
      <c r="E68" s="522">
        <f t="shared" si="18"/>
        <v>0</v>
      </c>
      <c r="F68" s="523">
        <f t="shared" si="19"/>
        <v>0</v>
      </c>
      <c r="G68" s="524">
        <f t="shared" si="23"/>
        <v>0</v>
      </c>
      <c r="H68" s="491">
        <f t="shared" si="24"/>
        <v>0</v>
      </c>
      <c r="I68" s="511">
        <f t="shared" si="3"/>
        <v>0</v>
      </c>
      <c r="J68" s="511"/>
      <c r="K68" s="525"/>
      <c r="L68" s="514">
        <f t="shared" si="22"/>
        <v>0</v>
      </c>
      <c r="M68" s="525"/>
      <c r="N68" s="514">
        <f t="shared" si="5"/>
        <v>0</v>
      </c>
      <c r="O68" s="514">
        <f t="shared" si="6"/>
        <v>0</v>
      </c>
      <c r="P68" s="272"/>
    </row>
    <row r="69" spans="2:16">
      <c r="B69" s="195" t="str">
        <f t="shared" si="4"/>
        <v/>
      </c>
      <c r="C69" s="507">
        <f>IF(D11="","-",+C68+1)</f>
        <v>2067</v>
      </c>
      <c r="D69" s="523">
        <f>IF(F68+SUM(E$17:E68)=D$10,F68,D$10-SUM(E$17:E68))</f>
        <v>0</v>
      </c>
      <c r="E69" s="522">
        <f t="shared" si="18"/>
        <v>0</v>
      </c>
      <c r="F69" s="523">
        <f t="shared" si="19"/>
        <v>0</v>
      </c>
      <c r="G69" s="524">
        <f t="shared" si="23"/>
        <v>0</v>
      </c>
      <c r="H69" s="491">
        <f t="shared" si="24"/>
        <v>0</v>
      </c>
      <c r="I69" s="511">
        <f t="shared" si="3"/>
        <v>0</v>
      </c>
      <c r="J69" s="511"/>
      <c r="K69" s="525"/>
      <c r="L69" s="514">
        <f t="shared" si="22"/>
        <v>0</v>
      </c>
      <c r="M69" s="525"/>
      <c r="N69" s="514">
        <f t="shared" si="5"/>
        <v>0</v>
      </c>
      <c r="O69" s="514">
        <f t="shared" si="6"/>
        <v>0</v>
      </c>
      <c r="P69" s="272"/>
    </row>
    <row r="70" spans="2:16">
      <c r="B70" s="195" t="str">
        <f t="shared" si="4"/>
        <v/>
      </c>
      <c r="C70" s="507">
        <f>IF(D11="","-",+C69+1)</f>
        <v>2068</v>
      </c>
      <c r="D70" s="523">
        <f>IF(F69+SUM(E$17:E69)=D$10,F69,D$10-SUM(E$17:E69))</f>
        <v>0</v>
      </c>
      <c r="E70" s="522">
        <f t="shared" si="18"/>
        <v>0</v>
      </c>
      <c r="F70" s="523">
        <f t="shared" si="19"/>
        <v>0</v>
      </c>
      <c r="G70" s="524">
        <f t="shared" si="23"/>
        <v>0</v>
      </c>
      <c r="H70" s="491">
        <f t="shared" si="24"/>
        <v>0</v>
      </c>
      <c r="I70" s="511">
        <f t="shared" si="3"/>
        <v>0</v>
      </c>
      <c r="J70" s="511"/>
      <c r="K70" s="525"/>
      <c r="L70" s="514">
        <f t="shared" si="22"/>
        <v>0</v>
      </c>
      <c r="M70" s="525"/>
      <c r="N70" s="514">
        <f t="shared" si="5"/>
        <v>0</v>
      </c>
      <c r="O70" s="514">
        <f t="shared" si="6"/>
        <v>0</v>
      </c>
      <c r="P70" s="272"/>
    </row>
    <row r="71" spans="2:16">
      <c r="B71" s="195" t="str">
        <f t="shared" si="4"/>
        <v/>
      </c>
      <c r="C71" s="507">
        <f>IF(D11="","-",+C70+1)</f>
        <v>2069</v>
      </c>
      <c r="D71" s="523">
        <f>IF(F70+SUM(E$17:E70)=D$10,F70,D$10-SUM(E$17:E70))</f>
        <v>0</v>
      </c>
      <c r="E71" s="522">
        <f t="shared" si="18"/>
        <v>0</v>
      </c>
      <c r="F71" s="523">
        <f t="shared" si="19"/>
        <v>0</v>
      </c>
      <c r="G71" s="524">
        <f t="shared" si="23"/>
        <v>0</v>
      </c>
      <c r="H71" s="491">
        <f t="shared" si="24"/>
        <v>0</v>
      </c>
      <c r="I71" s="511">
        <f t="shared" si="3"/>
        <v>0</v>
      </c>
      <c r="J71" s="511"/>
      <c r="K71" s="525"/>
      <c r="L71" s="514">
        <f t="shared" si="22"/>
        <v>0</v>
      </c>
      <c r="M71" s="525"/>
      <c r="N71" s="514">
        <f t="shared" si="5"/>
        <v>0</v>
      </c>
      <c r="O71" s="514">
        <f t="shared" si="6"/>
        <v>0</v>
      </c>
      <c r="P71" s="272"/>
    </row>
    <row r="72" spans="2:16" ht="13.5" thickBot="1">
      <c r="B72" s="195" t="str">
        <f t="shared" si="4"/>
        <v/>
      </c>
      <c r="C72" s="527">
        <f>IF(D11="","-",+C71+1)</f>
        <v>2070</v>
      </c>
      <c r="D72" s="523">
        <f>IF(F71+SUM(E$17:E71)=D$10,F71,D$10-SUM(E$17:E71))</f>
        <v>0</v>
      </c>
      <c r="E72" s="522">
        <f t="shared" si="18"/>
        <v>0</v>
      </c>
      <c r="F72" s="523">
        <f t="shared" si="19"/>
        <v>0</v>
      </c>
      <c r="G72" s="524">
        <f t="shared" si="23"/>
        <v>0</v>
      </c>
      <c r="H72" s="491">
        <f t="shared" si="24"/>
        <v>0</v>
      </c>
      <c r="I72" s="511">
        <f t="shared" si="3"/>
        <v>0</v>
      </c>
      <c r="J72" s="511"/>
      <c r="K72" s="532"/>
      <c r="L72" s="533">
        <f t="shared" si="22"/>
        <v>0</v>
      </c>
      <c r="M72" s="532"/>
      <c r="N72" s="533">
        <f t="shared" si="5"/>
        <v>0</v>
      </c>
      <c r="O72" s="533">
        <f t="shared" si="6"/>
        <v>0</v>
      </c>
      <c r="P72" s="272"/>
    </row>
    <row r="73" spans="2:16">
      <c r="C73" s="374" t="s">
        <v>78</v>
      </c>
      <c r="D73" s="375"/>
      <c r="E73" s="375">
        <f>SUM(E17:E72)</f>
        <v>13851899.999999991</v>
      </c>
      <c r="F73" s="375"/>
      <c r="G73" s="375">
        <f>SUM(G17:G72)</f>
        <v>51309816.668229304</v>
      </c>
      <c r="H73" s="375">
        <f>SUM(H17:H72)</f>
        <v>51309816.668229304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2:16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2:16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2:16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2:16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272"/>
      <c r="P77" s="272"/>
    </row>
    <row r="78" spans="2:16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2:16"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  <c r="O79" s="269"/>
      <c r="P79" s="269"/>
    </row>
    <row r="80" spans="2:16" ht="18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6">
      <c r="B81" s="269"/>
      <c r="C81" s="340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6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</row>
    <row r="83" spans="1:16" ht="20.25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451" t="str">
        <f ca="1">P1</f>
        <v>SWEPCO Project 54 of 75</v>
      </c>
    </row>
    <row r="84" spans="1:16" ht="18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538" t="s">
        <v>128</v>
      </c>
    </row>
    <row r="85" spans="1:16" ht="18.7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</row>
    <row r="86" spans="1:16" ht="15.75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2022</v>
      </c>
      <c r="M86" s="541" t="s">
        <v>9</v>
      </c>
      <c r="N86" s="542" t="s">
        <v>159</v>
      </c>
      <c r="O86" s="543" t="s">
        <v>11</v>
      </c>
      <c r="P86" s="269"/>
    </row>
    <row r="87" spans="1:16" ht="1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391</v>
      </c>
      <c r="M87" s="546">
        <f>IF(J92&lt;D11,0,VLOOKUP(J92,C17:O72,9))</f>
        <v>1641312.6320202737</v>
      </c>
      <c r="N87" s="546">
        <f>IF(J92&lt;D11,0,VLOOKUP(J92,C17:O72,11))</f>
        <v>1641312.6320202737</v>
      </c>
      <c r="O87" s="547">
        <f>+N87-M87</f>
        <v>0</v>
      </c>
      <c r="P87" s="269"/>
    </row>
    <row r="88" spans="1:16" ht="15.7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392</v>
      </c>
      <c r="M88" s="550">
        <f>IF(J92&lt;D11,0,VLOOKUP(J92,C99:P154,6))</f>
        <v>1702644.784147114</v>
      </c>
      <c r="N88" s="550">
        <f>IF(J92&lt;D11,0,VLOOKUP(J92,C99:P154,7))</f>
        <v>1702644.784147114</v>
      </c>
      <c r="O88" s="551">
        <f>+N88-M88</f>
        <v>0</v>
      </c>
      <c r="P88" s="269"/>
    </row>
    <row r="89" spans="1:16" ht="13.5" thickBot="1">
      <c r="C89" s="467" t="s">
        <v>84</v>
      </c>
      <c r="D89" s="552" t="str">
        <f>+D7</f>
        <v>Benteler - Port Robson 138 kV Ckt 1 and 2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61332.152126840316</v>
      </c>
      <c r="N89" s="555">
        <f>+N88-N87</f>
        <v>61332.152126840316</v>
      </c>
      <c r="O89" s="556">
        <f>+O88-O87</f>
        <v>0</v>
      </c>
      <c r="P89" s="269"/>
    </row>
    <row r="90" spans="1:16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</row>
    <row r="91" spans="1:16" ht="13.5" thickBot="1">
      <c r="A91" s="191"/>
      <c r="C91" s="558" t="s">
        <v>85</v>
      </c>
      <c r="D91" s="559" t="str">
        <f>+D9</f>
        <v>TP2012172</v>
      </c>
      <c r="E91" s="560"/>
      <c r="F91" s="560"/>
      <c r="G91" s="560"/>
      <c r="H91" s="560"/>
      <c r="I91" s="560"/>
      <c r="J91" s="560"/>
      <c r="K91" s="562"/>
      <c r="P91" s="481"/>
    </row>
    <row r="92" spans="1:16">
      <c r="C92" s="486" t="s">
        <v>51</v>
      </c>
      <c r="D92" s="628">
        <v>13851900</v>
      </c>
      <c r="E92" s="340" t="s">
        <v>86</v>
      </c>
      <c r="H92" s="484"/>
      <c r="I92" s="484"/>
      <c r="J92" s="485">
        <f>+'SWE.WS.G.BPU.ATRR.True-up'!M16</f>
        <v>2022</v>
      </c>
      <c r="K92" s="480"/>
      <c r="L92" s="375" t="s">
        <v>87</v>
      </c>
      <c r="P92" s="272"/>
    </row>
    <row r="93" spans="1:16">
      <c r="C93" s="486" t="s">
        <v>54</v>
      </c>
      <c r="D93" s="563">
        <f>IF(D11=I10,"",D11)</f>
        <v>2015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</row>
    <row r="94" spans="1:16">
      <c r="C94" s="486" t="s">
        <v>56</v>
      </c>
      <c r="D94" s="564">
        <f>IF(D11=I10,"",D12)</f>
        <v>11</v>
      </c>
      <c r="E94" s="486" t="s">
        <v>57</v>
      </c>
      <c r="F94" s="484"/>
      <c r="G94" s="484"/>
      <c r="J94" s="490">
        <f>'SWE.WS.G.BPU.ATRR.True-up'!$F$81</f>
        <v>0.11351422637179906</v>
      </c>
      <c r="K94" s="425"/>
      <c r="L94" s="183" t="s">
        <v>88</v>
      </c>
      <c r="P94" s="272"/>
    </row>
    <row r="95" spans="1:16">
      <c r="C95" s="486" t="s">
        <v>59</v>
      </c>
      <c r="D95" s="488">
        <f>'SWE.WS.G.BPU.ATRR.True-up'!F$93</f>
        <v>41</v>
      </c>
      <c r="E95" s="486" t="s">
        <v>60</v>
      </c>
      <c r="F95" s="484"/>
      <c r="G95" s="484"/>
      <c r="J95" s="490">
        <f>IF(H87="",J94,'SWE.WS.G.BPU.ATRR.True-up'!$F$80)</f>
        <v>0.11351422637179906</v>
      </c>
      <c r="K95" s="324"/>
      <c r="L95" s="375" t="s">
        <v>61</v>
      </c>
      <c r="M95" s="324"/>
      <c r="N95" s="324"/>
      <c r="O95" s="324"/>
      <c r="P95" s="272"/>
    </row>
    <row r="96" spans="1:16" ht="13.5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337851.21951219509</v>
      </c>
      <c r="K96" s="375"/>
      <c r="L96" s="375"/>
      <c r="M96" s="375"/>
      <c r="N96" s="375"/>
      <c r="O96" s="375"/>
      <c r="P96" s="272"/>
    </row>
    <row r="97" spans="1:16" ht="38.25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388</v>
      </c>
      <c r="I97" s="495" t="s">
        <v>389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</row>
    <row r="98" spans="1:16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</row>
    <row r="99" spans="1:16">
      <c r="C99" s="507">
        <f>IF(D93= "","-",D93)</f>
        <v>2015</v>
      </c>
      <c r="D99" s="629">
        <v>0</v>
      </c>
      <c r="E99" s="630">
        <v>27531.333333333332</v>
      </c>
      <c r="F99" s="631">
        <v>13848260.666666666</v>
      </c>
      <c r="G99" s="632">
        <v>6924130.333333333</v>
      </c>
      <c r="H99" s="633">
        <v>939916.21761685633</v>
      </c>
      <c r="I99" s="634">
        <v>939916.21761685633</v>
      </c>
      <c r="J99" s="514">
        <f>+I99-H99</f>
        <v>0</v>
      </c>
      <c r="K99" s="514"/>
      <c r="L99" s="512">
        <f t="shared" ref="L99:L104" si="25">+H99</f>
        <v>939916.21761685633</v>
      </c>
      <c r="M99" s="513">
        <f t="shared" ref="M99:M130" si="26">IF(L99&lt;&gt;0,+H99-L99,0)</f>
        <v>0</v>
      </c>
      <c r="N99" s="512">
        <f t="shared" ref="N99:N104" si="27">+I99</f>
        <v>939916.21761685633</v>
      </c>
      <c r="O99" s="513">
        <f t="shared" ref="O99:O130" si="28">IF(N99&lt;&gt;0,+I99-N99,0)</f>
        <v>0</v>
      </c>
      <c r="P99" s="513">
        <f t="shared" ref="P99:P130" si="29">+O99-M99</f>
        <v>0</v>
      </c>
    </row>
    <row r="100" spans="1:16">
      <c r="B100" s="195" t="str">
        <f>IF(D100=F99,"","IU")</f>
        <v>IU</v>
      </c>
      <c r="C100" s="507">
        <f>IF(D93="","-",+C99+1)</f>
        <v>2016</v>
      </c>
      <c r="D100" s="629">
        <v>13824368.666666666</v>
      </c>
      <c r="E100" s="630">
        <v>322137.20930232556</v>
      </c>
      <c r="F100" s="631">
        <v>13502231.457364341</v>
      </c>
      <c r="G100" s="631">
        <v>13663300.062015504</v>
      </c>
      <c r="H100" s="633">
        <v>2056692.9921555684</v>
      </c>
      <c r="I100" s="634">
        <v>2056692.9921555684</v>
      </c>
      <c r="J100" s="514">
        <f>+I100-H100</f>
        <v>0</v>
      </c>
      <c r="K100" s="514"/>
      <c r="L100" s="518">
        <f t="shared" si="25"/>
        <v>2056692.9921555684</v>
      </c>
      <c r="M100" s="514">
        <f t="shared" ref="M100:M105" si="30">IF(L100&lt;&gt;0,+H100-L100,0)</f>
        <v>0</v>
      </c>
      <c r="N100" s="518">
        <f t="shared" si="27"/>
        <v>2056692.9921555684</v>
      </c>
      <c r="O100" s="514">
        <f>IF(N100&lt;&gt;0,+I100-N100,0)</f>
        <v>0</v>
      </c>
      <c r="P100" s="514">
        <f>+O100-M100</f>
        <v>0</v>
      </c>
    </row>
    <row r="101" spans="1:16">
      <c r="B101" s="195" t="str">
        <f t="shared" ref="B101:B154" si="31">IF(D101=F100,"","IU")</f>
        <v/>
      </c>
      <c r="C101" s="507">
        <f>IF(D93="","-",+C100+1)</f>
        <v>2017</v>
      </c>
      <c r="D101" s="629">
        <v>13502231.457364341</v>
      </c>
      <c r="E101" s="630">
        <v>329807.14285714284</v>
      </c>
      <c r="F101" s="631">
        <v>13172424.314507198</v>
      </c>
      <c r="G101" s="631">
        <v>13337327.885935768</v>
      </c>
      <c r="H101" s="633">
        <v>1949911.8027709834</v>
      </c>
      <c r="I101" s="634">
        <v>1949911.8027709834</v>
      </c>
      <c r="J101" s="514">
        <f t="shared" ref="J101:J154" si="32">+I101-H101</f>
        <v>0</v>
      </c>
      <c r="K101" s="514"/>
      <c r="L101" s="518">
        <f t="shared" si="25"/>
        <v>1949911.8027709834</v>
      </c>
      <c r="M101" s="514">
        <f t="shared" si="30"/>
        <v>0</v>
      </c>
      <c r="N101" s="518">
        <f t="shared" si="27"/>
        <v>1949911.8027709834</v>
      </c>
      <c r="O101" s="514">
        <f>IF(N101&lt;&gt;0,+I101-N101,0)</f>
        <v>0</v>
      </c>
      <c r="P101" s="514">
        <f>+O101-M101</f>
        <v>0</v>
      </c>
    </row>
    <row r="102" spans="1:16">
      <c r="B102" s="195" t="str">
        <f t="shared" si="31"/>
        <v/>
      </c>
      <c r="C102" s="507">
        <f>IF(D93="","-",+C101+1)</f>
        <v>2018</v>
      </c>
      <c r="D102" s="629">
        <v>13172424.314507198</v>
      </c>
      <c r="E102" s="630">
        <v>329807.14285714284</v>
      </c>
      <c r="F102" s="631">
        <v>12842617.171650054</v>
      </c>
      <c r="G102" s="631">
        <v>13007520.743078627</v>
      </c>
      <c r="H102" s="633">
        <v>1703460.9834722793</v>
      </c>
      <c r="I102" s="634">
        <v>1703460.9834722793</v>
      </c>
      <c r="J102" s="514">
        <f t="shared" si="32"/>
        <v>0</v>
      </c>
      <c r="K102" s="514"/>
      <c r="L102" s="518">
        <f t="shared" si="25"/>
        <v>1703460.9834722793</v>
      </c>
      <c r="M102" s="514">
        <f t="shared" si="30"/>
        <v>0</v>
      </c>
      <c r="N102" s="518">
        <f t="shared" si="27"/>
        <v>1703460.9834722793</v>
      </c>
      <c r="O102" s="514">
        <f>IF(N102&lt;&gt;0,+I102-N102,0)</f>
        <v>0</v>
      </c>
      <c r="P102" s="514">
        <f t="shared" si="29"/>
        <v>0</v>
      </c>
    </row>
    <row r="103" spans="1:16">
      <c r="B103" s="195" t="str">
        <f t="shared" si="31"/>
        <v/>
      </c>
      <c r="C103" s="507">
        <f>IF(D93="","-",+C102+1)</f>
        <v>2019</v>
      </c>
      <c r="D103" s="629">
        <v>12842617.171650054</v>
      </c>
      <c r="E103" s="630">
        <v>322137.20930232556</v>
      </c>
      <c r="F103" s="631">
        <v>12520479.962347729</v>
      </c>
      <c r="G103" s="631">
        <v>12681548.566998892</v>
      </c>
      <c r="H103" s="633">
        <v>1679577.0989135858</v>
      </c>
      <c r="I103" s="634">
        <v>1679577.0989135858</v>
      </c>
      <c r="J103" s="514">
        <f t="shared" si="32"/>
        <v>0</v>
      </c>
      <c r="K103" s="514"/>
      <c r="L103" s="518">
        <f t="shared" si="25"/>
        <v>1679577.0989135858</v>
      </c>
      <c r="M103" s="514">
        <f t="shared" si="30"/>
        <v>0</v>
      </c>
      <c r="N103" s="518">
        <f t="shared" si="27"/>
        <v>1679577.0989135858</v>
      </c>
      <c r="O103" s="514">
        <f t="shared" si="28"/>
        <v>0</v>
      </c>
      <c r="P103" s="514">
        <f t="shared" si="29"/>
        <v>0</v>
      </c>
    </row>
    <row r="104" spans="1:16">
      <c r="B104" s="195" t="str">
        <f t="shared" si="31"/>
        <v/>
      </c>
      <c r="C104" s="507">
        <f>IF(D93="","-",+C103+1)</f>
        <v>2020</v>
      </c>
      <c r="D104" s="629">
        <v>12520479.962347729</v>
      </c>
      <c r="E104" s="630">
        <v>329807.14285714284</v>
      </c>
      <c r="F104" s="631">
        <v>12190672.819490585</v>
      </c>
      <c r="G104" s="631">
        <v>12355576.390919156</v>
      </c>
      <c r="H104" s="633">
        <v>1658943.8479839475</v>
      </c>
      <c r="I104" s="634">
        <v>1658943.8479839475</v>
      </c>
      <c r="J104" s="514">
        <f t="shared" si="32"/>
        <v>0</v>
      </c>
      <c r="K104" s="514"/>
      <c r="L104" s="518">
        <f t="shared" si="25"/>
        <v>1658943.8479839475</v>
      </c>
      <c r="M104" s="514">
        <f t="shared" si="30"/>
        <v>0</v>
      </c>
      <c r="N104" s="518">
        <f t="shared" si="27"/>
        <v>1658943.8479839475</v>
      </c>
      <c r="O104" s="514">
        <f t="shared" si="28"/>
        <v>0</v>
      </c>
      <c r="P104" s="514">
        <f t="shared" si="29"/>
        <v>0</v>
      </c>
    </row>
    <row r="105" spans="1:16">
      <c r="B105" s="195" t="str">
        <f t="shared" si="31"/>
        <v/>
      </c>
      <c r="C105" s="507">
        <f>IF(D93="","-",+C104+1)</f>
        <v>2021</v>
      </c>
      <c r="D105" s="629">
        <v>12190672.819490585</v>
      </c>
      <c r="E105" s="630">
        <v>337851.21951219509</v>
      </c>
      <c r="F105" s="631">
        <v>11852821.599978391</v>
      </c>
      <c r="G105" s="631">
        <v>12021747.209734488</v>
      </c>
      <c r="H105" s="633">
        <v>1702490.5536625395</v>
      </c>
      <c r="I105" s="634">
        <v>1702490.5536625395</v>
      </c>
      <c r="J105" s="514">
        <f t="shared" si="32"/>
        <v>0</v>
      </c>
      <c r="K105" s="514"/>
      <c r="L105" s="518">
        <f t="shared" ref="L105" si="33">+H105</f>
        <v>1702490.5536625395</v>
      </c>
      <c r="M105" s="514">
        <f t="shared" si="30"/>
        <v>0</v>
      </c>
      <c r="N105" s="518">
        <f t="shared" ref="N105" si="34">+I105</f>
        <v>1702490.5536625395</v>
      </c>
      <c r="O105" s="514">
        <f t="shared" ref="O105" si="35">IF(N105&lt;&gt;0,+I105-N105,0)</f>
        <v>0</v>
      </c>
      <c r="P105" s="514">
        <f t="shared" ref="P105" si="36">+O105-M105</f>
        <v>0</v>
      </c>
    </row>
    <row r="106" spans="1:16">
      <c r="B106" s="195" t="str">
        <f t="shared" si="31"/>
        <v/>
      </c>
      <c r="C106" s="673">
        <f>IF(D93="","-",+C105+1)</f>
        <v>2022</v>
      </c>
      <c r="D106" s="374">
        <v>11852821.599978391</v>
      </c>
      <c r="E106" s="522">
        <v>329807.14285714284</v>
      </c>
      <c r="F106" s="523">
        <v>11523014.457121247</v>
      </c>
      <c r="G106" s="523">
        <v>11687918.02854982</v>
      </c>
      <c r="H106" s="526">
        <v>1702644.784147114</v>
      </c>
      <c r="I106" s="577">
        <v>1702644.784147114</v>
      </c>
      <c r="J106" s="514">
        <f t="shared" si="32"/>
        <v>0</v>
      </c>
      <c r="K106" s="514"/>
      <c r="L106" s="525"/>
      <c r="M106" s="514">
        <f t="shared" si="26"/>
        <v>0</v>
      </c>
      <c r="N106" s="525"/>
      <c r="O106" s="514">
        <f t="shared" si="28"/>
        <v>0</v>
      </c>
      <c r="P106" s="514">
        <f t="shared" si="29"/>
        <v>0</v>
      </c>
    </row>
    <row r="107" spans="1:16">
      <c r="B107" s="195" t="str">
        <f t="shared" si="31"/>
        <v/>
      </c>
      <c r="C107" s="507">
        <f>IF(D93="","-",+C106+1)</f>
        <v>2023</v>
      </c>
      <c r="D107" s="374">
        <f>IF(F106+SUM(E$99:E106)=D$92,F106,D$92-SUM(E$99:E106))</f>
        <v>11523014.457121247</v>
      </c>
      <c r="E107" s="522">
        <f t="shared" ref="E107:E154" si="37">IF(+$J$96&lt;F106,$J$96,D107)</f>
        <v>337851.21951219509</v>
      </c>
      <c r="F107" s="523">
        <f t="shared" ref="F107:F154" si="38">+D107-E107</f>
        <v>11185163.237609053</v>
      </c>
      <c r="G107" s="523">
        <f t="shared" ref="G107:G154" si="39">+(F107+D107)/2</f>
        <v>11354088.84736515</v>
      </c>
      <c r="H107" s="526">
        <f t="shared" ref="H107:H154" si="40">+J$94*G107+E107</f>
        <v>1626701.8311775217</v>
      </c>
      <c r="I107" s="577">
        <f t="shared" ref="I107:I154" si="41">+J$95*G107+E107</f>
        <v>1626701.8311775217</v>
      </c>
      <c r="J107" s="514">
        <f t="shared" si="32"/>
        <v>0</v>
      </c>
      <c r="K107" s="514"/>
      <c r="L107" s="525"/>
      <c r="M107" s="514">
        <f t="shared" si="26"/>
        <v>0</v>
      </c>
      <c r="N107" s="525"/>
      <c r="O107" s="514">
        <f t="shared" si="28"/>
        <v>0</v>
      </c>
      <c r="P107" s="514">
        <f t="shared" si="29"/>
        <v>0</v>
      </c>
    </row>
    <row r="108" spans="1:16">
      <c r="B108" s="195" t="str">
        <f t="shared" si="31"/>
        <v/>
      </c>
      <c r="C108" s="507">
        <f>IF(D93="","-",+C107+1)</f>
        <v>2024</v>
      </c>
      <c r="D108" s="374">
        <f>IF(F107+SUM(E$99:E107)=D$92,F107,D$92-SUM(E$99:E107))</f>
        <v>11185163.237609053</v>
      </c>
      <c r="E108" s="522">
        <f t="shared" si="37"/>
        <v>337851.21951219509</v>
      </c>
      <c r="F108" s="523">
        <f t="shared" si="38"/>
        <v>10847312.018096859</v>
      </c>
      <c r="G108" s="523">
        <f t="shared" si="39"/>
        <v>11016237.627852956</v>
      </c>
      <c r="H108" s="526">
        <f t="shared" si="40"/>
        <v>1588350.9113658261</v>
      </c>
      <c r="I108" s="577">
        <f t="shared" si="41"/>
        <v>1588350.9113658261</v>
      </c>
      <c r="J108" s="514">
        <f t="shared" si="32"/>
        <v>0</v>
      </c>
      <c r="K108" s="514"/>
      <c r="L108" s="525"/>
      <c r="M108" s="514">
        <f t="shared" si="26"/>
        <v>0</v>
      </c>
      <c r="N108" s="525"/>
      <c r="O108" s="514">
        <f t="shared" si="28"/>
        <v>0</v>
      </c>
      <c r="P108" s="514">
        <f t="shared" si="29"/>
        <v>0</v>
      </c>
    </row>
    <row r="109" spans="1:16">
      <c r="B109" s="195" t="str">
        <f t="shared" si="31"/>
        <v/>
      </c>
      <c r="C109" s="507">
        <f>IF(D93="","-",+C108+1)</f>
        <v>2025</v>
      </c>
      <c r="D109" s="374">
        <f>IF(F108+SUM(E$99:E108)=D$92,F108,D$92-SUM(E$99:E108))</f>
        <v>10847312.018096859</v>
      </c>
      <c r="E109" s="522">
        <f t="shared" si="37"/>
        <v>337851.21951219509</v>
      </c>
      <c r="F109" s="523">
        <f t="shared" si="38"/>
        <v>10509460.798584664</v>
      </c>
      <c r="G109" s="523">
        <f t="shared" si="39"/>
        <v>10678386.408340761</v>
      </c>
      <c r="H109" s="526">
        <f t="shared" si="40"/>
        <v>1549999.9915541306</v>
      </c>
      <c r="I109" s="577">
        <f t="shared" si="41"/>
        <v>1549999.9915541306</v>
      </c>
      <c r="J109" s="514">
        <f t="shared" si="32"/>
        <v>0</v>
      </c>
      <c r="K109" s="514"/>
      <c r="L109" s="525"/>
      <c r="M109" s="514">
        <f t="shared" si="26"/>
        <v>0</v>
      </c>
      <c r="N109" s="525"/>
      <c r="O109" s="514">
        <f t="shared" si="28"/>
        <v>0</v>
      </c>
      <c r="P109" s="514">
        <f t="shared" si="29"/>
        <v>0</v>
      </c>
    </row>
    <row r="110" spans="1:16">
      <c r="B110" s="195" t="str">
        <f t="shared" si="31"/>
        <v/>
      </c>
      <c r="C110" s="507">
        <f>IF(D93="","-",+C109+1)</f>
        <v>2026</v>
      </c>
      <c r="D110" s="374">
        <f>IF(F109+SUM(E$99:E109)=D$92,F109,D$92-SUM(E$99:E109))</f>
        <v>10509460.798584664</v>
      </c>
      <c r="E110" s="522">
        <f t="shared" si="37"/>
        <v>337851.21951219509</v>
      </c>
      <c r="F110" s="523">
        <f t="shared" si="38"/>
        <v>10171609.57907247</v>
      </c>
      <c r="G110" s="523">
        <f t="shared" si="39"/>
        <v>10340535.188828567</v>
      </c>
      <c r="H110" s="526">
        <f t="shared" si="40"/>
        <v>1511649.071742435</v>
      </c>
      <c r="I110" s="577">
        <f t="shared" si="41"/>
        <v>1511649.071742435</v>
      </c>
      <c r="J110" s="514">
        <f t="shared" si="32"/>
        <v>0</v>
      </c>
      <c r="K110" s="514"/>
      <c r="L110" s="525"/>
      <c r="M110" s="514">
        <f t="shared" si="26"/>
        <v>0</v>
      </c>
      <c r="N110" s="525"/>
      <c r="O110" s="514">
        <f t="shared" si="28"/>
        <v>0</v>
      </c>
      <c r="P110" s="514">
        <f t="shared" si="29"/>
        <v>0</v>
      </c>
    </row>
    <row r="111" spans="1:16">
      <c r="B111" s="195" t="str">
        <f t="shared" si="31"/>
        <v/>
      </c>
      <c r="C111" s="507">
        <f>IF(D93="","-",+C110+1)</f>
        <v>2027</v>
      </c>
      <c r="D111" s="374">
        <f>IF(F110+SUM(E$99:E110)=D$92,F110,D$92-SUM(E$99:E110))</f>
        <v>10171609.57907247</v>
      </c>
      <c r="E111" s="522">
        <f t="shared" si="37"/>
        <v>337851.21951219509</v>
      </c>
      <c r="F111" s="523">
        <f t="shared" si="38"/>
        <v>9833758.3595602755</v>
      </c>
      <c r="G111" s="523">
        <f t="shared" si="39"/>
        <v>10002683.969316373</v>
      </c>
      <c r="H111" s="526">
        <f t="shared" si="40"/>
        <v>1473298.1519307394</v>
      </c>
      <c r="I111" s="577">
        <f t="shared" si="41"/>
        <v>1473298.1519307394</v>
      </c>
      <c r="J111" s="514">
        <f t="shared" si="32"/>
        <v>0</v>
      </c>
      <c r="K111" s="514"/>
      <c r="L111" s="525"/>
      <c r="M111" s="514">
        <f t="shared" si="26"/>
        <v>0</v>
      </c>
      <c r="N111" s="525"/>
      <c r="O111" s="514">
        <f t="shared" si="28"/>
        <v>0</v>
      </c>
      <c r="P111" s="514">
        <f t="shared" si="29"/>
        <v>0</v>
      </c>
    </row>
    <row r="112" spans="1:16">
      <c r="B112" s="195" t="str">
        <f t="shared" si="31"/>
        <v/>
      </c>
      <c r="C112" s="507">
        <f>IF(D93="","-",+C111+1)</f>
        <v>2028</v>
      </c>
      <c r="D112" s="374">
        <f>IF(F111+SUM(E$99:E111)=D$92,F111,D$92-SUM(E$99:E111))</f>
        <v>9833758.3595602755</v>
      </c>
      <c r="E112" s="522">
        <f t="shared" si="37"/>
        <v>337851.21951219509</v>
      </c>
      <c r="F112" s="523">
        <f t="shared" si="38"/>
        <v>9495907.1400480811</v>
      </c>
      <c r="G112" s="523">
        <f t="shared" si="39"/>
        <v>9664832.7498041783</v>
      </c>
      <c r="H112" s="526">
        <f t="shared" si="40"/>
        <v>1434947.2321190438</v>
      </c>
      <c r="I112" s="577">
        <f t="shared" si="41"/>
        <v>1434947.2321190438</v>
      </c>
      <c r="J112" s="514">
        <f t="shared" si="32"/>
        <v>0</v>
      </c>
      <c r="K112" s="514"/>
      <c r="L112" s="525"/>
      <c r="M112" s="514">
        <f t="shared" si="26"/>
        <v>0</v>
      </c>
      <c r="N112" s="525"/>
      <c r="O112" s="514">
        <f t="shared" si="28"/>
        <v>0</v>
      </c>
      <c r="P112" s="514">
        <f t="shared" si="29"/>
        <v>0</v>
      </c>
    </row>
    <row r="113" spans="2:16">
      <c r="B113" s="195" t="str">
        <f t="shared" si="31"/>
        <v/>
      </c>
      <c r="C113" s="507">
        <f>IF(D93="","-",+C112+1)</f>
        <v>2029</v>
      </c>
      <c r="D113" s="374">
        <f>IF(F112+SUM(E$99:E112)=D$92,F112,D$92-SUM(E$99:E112))</f>
        <v>9495907.1400480811</v>
      </c>
      <c r="E113" s="522">
        <f t="shared" si="37"/>
        <v>337851.21951219509</v>
      </c>
      <c r="F113" s="523">
        <f t="shared" si="38"/>
        <v>9158055.9205358867</v>
      </c>
      <c r="G113" s="523">
        <f t="shared" si="39"/>
        <v>9326981.5302919839</v>
      </c>
      <c r="H113" s="526">
        <f t="shared" si="40"/>
        <v>1396596.3123073482</v>
      </c>
      <c r="I113" s="577">
        <f t="shared" si="41"/>
        <v>1396596.3123073482</v>
      </c>
      <c r="J113" s="514">
        <f t="shared" si="32"/>
        <v>0</v>
      </c>
      <c r="K113" s="514"/>
      <c r="L113" s="525"/>
      <c r="M113" s="514">
        <f t="shared" si="26"/>
        <v>0</v>
      </c>
      <c r="N113" s="525"/>
      <c r="O113" s="514">
        <f t="shared" si="28"/>
        <v>0</v>
      </c>
      <c r="P113" s="514">
        <f t="shared" si="29"/>
        <v>0</v>
      </c>
    </row>
    <row r="114" spans="2:16">
      <c r="B114" s="195" t="str">
        <f t="shared" si="31"/>
        <v/>
      </c>
      <c r="C114" s="507">
        <f>IF(D93="","-",+C113+1)</f>
        <v>2030</v>
      </c>
      <c r="D114" s="374">
        <f>IF(F113+SUM(E$99:E113)=D$92,F113,D$92-SUM(E$99:E113))</f>
        <v>9158055.9205358867</v>
      </c>
      <c r="E114" s="522">
        <f t="shared" si="37"/>
        <v>337851.21951219509</v>
      </c>
      <c r="F114" s="523">
        <f t="shared" si="38"/>
        <v>8820204.7010236923</v>
      </c>
      <c r="G114" s="523">
        <f t="shared" si="39"/>
        <v>8989130.3107797895</v>
      </c>
      <c r="H114" s="526">
        <f t="shared" si="40"/>
        <v>1358245.3924956527</v>
      </c>
      <c r="I114" s="577">
        <f t="shared" si="41"/>
        <v>1358245.3924956527</v>
      </c>
      <c r="J114" s="514">
        <f t="shared" si="32"/>
        <v>0</v>
      </c>
      <c r="K114" s="514"/>
      <c r="L114" s="525"/>
      <c r="M114" s="514">
        <f t="shared" si="26"/>
        <v>0</v>
      </c>
      <c r="N114" s="525"/>
      <c r="O114" s="514">
        <f t="shared" si="28"/>
        <v>0</v>
      </c>
      <c r="P114" s="514">
        <f t="shared" si="29"/>
        <v>0</v>
      </c>
    </row>
    <row r="115" spans="2:16">
      <c r="B115" s="195" t="str">
        <f t="shared" si="31"/>
        <v/>
      </c>
      <c r="C115" s="507">
        <f>IF(D93="","-",+C114+1)</f>
        <v>2031</v>
      </c>
      <c r="D115" s="374">
        <f>IF(F114+SUM(E$99:E114)=D$92,F114,D$92-SUM(E$99:E114))</f>
        <v>8820204.7010236923</v>
      </c>
      <c r="E115" s="522">
        <f t="shared" si="37"/>
        <v>337851.21951219509</v>
      </c>
      <c r="F115" s="523">
        <f t="shared" si="38"/>
        <v>8482353.4815114979</v>
      </c>
      <c r="G115" s="523">
        <f t="shared" si="39"/>
        <v>8651279.0912675951</v>
      </c>
      <c r="H115" s="526">
        <f t="shared" si="40"/>
        <v>1319894.4726839568</v>
      </c>
      <c r="I115" s="577">
        <f t="shared" si="41"/>
        <v>1319894.4726839568</v>
      </c>
      <c r="J115" s="514">
        <f t="shared" si="32"/>
        <v>0</v>
      </c>
      <c r="K115" s="514"/>
      <c r="L115" s="525"/>
      <c r="M115" s="514">
        <f t="shared" si="26"/>
        <v>0</v>
      </c>
      <c r="N115" s="525"/>
      <c r="O115" s="514">
        <f t="shared" si="28"/>
        <v>0</v>
      </c>
      <c r="P115" s="514">
        <f t="shared" si="29"/>
        <v>0</v>
      </c>
    </row>
    <row r="116" spans="2:16">
      <c r="B116" s="195" t="str">
        <f t="shared" si="31"/>
        <v/>
      </c>
      <c r="C116" s="507">
        <f>IF(D93="","-",+C115+1)</f>
        <v>2032</v>
      </c>
      <c r="D116" s="374">
        <f>IF(F115+SUM(E$99:E115)=D$92,F115,D$92-SUM(E$99:E115))</f>
        <v>8482353.4815114979</v>
      </c>
      <c r="E116" s="522">
        <f t="shared" si="37"/>
        <v>337851.21951219509</v>
      </c>
      <c r="F116" s="523">
        <f t="shared" si="38"/>
        <v>8144502.2619993025</v>
      </c>
      <c r="G116" s="523">
        <f t="shared" si="39"/>
        <v>8313427.8717554007</v>
      </c>
      <c r="H116" s="526">
        <f t="shared" si="40"/>
        <v>1281543.5528722615</v>
      </c>
      <c r="I116" s="577">
        <f t="shared" si="41"/>
        <v>1281543.5528722615</v>
      </c>
      <c r="J116" s="514">
        <f t="shared" si="32"/>
        <v>0</v>
      </c>
      <c r="K116" s="514"/>
      <c r="L116" s="525"/>
      <c r="M116" s="514">
        <f t="shared" si="26"/>
        <v>0</v>
      </c>
      <c r="N116" s="525"/>
      <c r="O116" s="514">
        <f t="shared" si="28"/>
        <v>0</v>
      </c>
      <c r="P116" s="514">
        <f t="shared" si="29"/>
        <v>0</v>
      </c>
    </row>
    <row r="117" spans="2:16">
      <c r="B117" s="195" t="str">
        <f t="shared" si="31"/>
        <v/>
      </c>
      <c r="C117" s="507">
        <f>IF(D93="","-",+C116+1)</f>
        <v>2033</v>
      </c>
      <c r="D117" s="374">
        <f>IF(F116+SUM(E$99:E116)=D$92,F116,D$92-SUM(E$99:E116))</f>
        <v>8144502.2619993025</v>
      </c>
      <c r="E117" s="522">
        <f t="shared" si="37"/>
        <v>337851.21951219509</v>
      </c>
      <c r="F117" s="523">
        <f t="shared" si="38"/>
        <v>7806651.0424871072</v>
      </c>
      <c r="G117" s="523">
        <f t="shared" si="39"/>
        <v>7975576.6522432044</v>
      </c>
      <c r="H117" s="526">
        <f t="shared" si="40"/>
        <v>1243192.6330605655</v>
      </c>
      <c r="I117" s="577">
        <f t="shared" si="41"/>
        <v>1243192.6330605655</v>
      </c>
      <c r="J117" s="514">
        <f t="shared" si="32"/>
        <v>0</v>
      </c>
      <c r="K117" s="514"/>
      <c r="L117" s="525"/>
      <c r="M117" s="514">
        <f t="shared" si="26"/>
        <v>0</v>
      </c>
      <c r="N117" s="525"/>
      <c r="O117" s="514">
        <f t="shared" si="28"/>
        <v>0</v>
      </c>
      <c r="P117" s="514">
        <f t="shared" si="29"/>
        <v>0</v>
      </c>
    </row>
    <row r="118" spans="2:16">
      <c r="B118" s="195" t="str">
        <f t="shared" si="31"/>
        <v/>
      </c>
      <c r="C118" s="507">
        <f>IF(D93="","-",+C117+1)</f>
        <v>2034</v>
      </c>
      <c r="D118" s="374">
        <f>IF(F117+SUM(E$99:E117)=D$92,F117,D$92-SUM(E$99:E117))</f>
        <v>7806651.0424871072</v>
      </c>
      <c r="E118" s="522">
        <f t="shared" si="37"/>
        <v>337851.21951219509</v>
      </c>
      <c r="F118" s="523">
        <f t="shared" si="38"/>
        <v>7468799.8229749119</v>
      </c>
      <c r="G118" s="523">
        <f t="shared" si="39"/>
        <v>7637725.43273101</v>
      </c>
      <c r="H118" s="526">
        <f t="shared" si="40"/>
        <v>1204841.7132488699</v>
      </c>
      <c r="I118" s="577">
        <f t="shared" si="41"/>
        <v>1204841.7132488699</v>
      </c>
      <c r="J118" s="514">
        <f t="shared" si="32"/>
        <v>0</v>
      </c>
      <c r="K118" s="514"/>
      <c r="L118" s="525"/>
      <c r="M118" s="514">
        <f t="shared" si="26"/>
        <v>0</v>
      </c>
      <c r="N118" s="525"/>
      <c r="O118" s="514">
        <f t="shared" si="28"/>
        <v>0</v>
      </c>
      <c r="P118" s="514">
        <f t="shared" si="29"/>
        <v>0</v>
      </c>
    </row>
    <row r="119" spans="2:16">
      <c r="B119" s="195" t="str">
        <f t="shared" si="31"/>
        <v/>
      </c>
      <c r="C119" s="507">
        <f>IF(D93="","-",+C118+1)</f>
        <v>2035</v>
      </c>
      <c r="D119" s="374">
        <f>IF(F118+SUM(E$99:E118)=D$92,F118,D$92-SUM(E$99:E118))</f>
        <v>7468799.8229749119</v>
      </c>
      <c r="E119" s="522">
        <f t="shared" si="37"/>
        <v>337851.21951219509</v>
      </c>
      <c r="F119" s="523">
        <f t="shared" si="38"/>
        <v>7130948.6034627166</v>
      </c>
      <c r="G119" s="523">
        <f t="shared" si="39"/>
        <v>7299874.2132188138</v>
      </c>
      <c r="H119" s="526">
        <f t="shared" si="40"/>
        <v>1166490.7934371741</v>
      </c>
      <c r="I119" s="577">
        <f t="shared" si="41"/>
        <v>1166490.7934371741</v>
      </c>
      <c r="J119" s="514">
        <f t="shared" si="32"/>
        <v>0</v>
      </c>
      <c r="K119" s="514"/>
      <c r="L119" s="525"/>
      <c r="M119" s="514">
        <f t="shared" si="26"/>
        <v>0</v>
      </c>
      <c r="N119" s="525"/>
      <c r="O119" s="514">
        <f t="shared" si="28"/>
        <v>0</v>
      </c>
      <c r="P119" s="514">
        <f t="shared" si="29"/>
        <v>0</v>
      </c>
    </row>
    <row r="120" spans="2:16">
      <c r="B120" s="195" t="str">
        <f t="shared" si="31"/>
        <v/>
      </c>
      <c r="C120" s="507">
        <f>IF(D93="","-",+C119+1)</f>
        <v>2036</v>
      </c>
      <c r="D120" s="374">
        <f>IF(F119+SUM(E$99:E119)=D$92,F119,D$92-SUM(E$99:E119))</f>
        <v>7130948.6034627166</v>
      </c>
      <c r="E120" s="522">
        <f t="shared" si="37"/>
        <v>337851.21951219509</v>
      </c>
      <c r="F120" s="523">
        <f t="shared" si="38"/>
        <v>6793097.3839505212</v>
      </c>
      <c r="G120" s="523">
        <f t="shared" si="39"/>
        <v>6962022.9937066194</v>
      </c>
      <c r="H120" s="526">
        <f t="shared" si="40"/>
        <v>1128139.8736254785</v>
      </c>
      <c r="I120" s="577">
        <f t="shared" si="41"/>
        <v>1128139.8736254785</v>
      </c>
      <c r="J120" s="514">
        <f t="shared" si="32"/>
        <v>0</v>
      </c>
      <c r="K120" s="514"/>
      <c r="L120" s="525"/>
      <c r="M120" s="514">
        <f t="shared" si="26"/>
        <v>0</v>
      </c>
      <c r="N120" s="525"/>
      <c r="O120" s="514">
        <f t="shared" si="28"/>
        <v>0</v>
      </c>
      <c r="P120" s="514">
        <f t="shared" si="29"/>
        <v>0</v>
      </c>
    </row>
    <row r="121" spans="2:16">
      <c r="B121" s="195" t="str">
        <f t="shared" si="31"/>
        <v/>
      </c>
      <c r="C121" s="507">
        <f>IF(D93="","-",+C120+1)</f>
        <v>2037</v>
      </c>
      <c r="D121" s="374">
        <f>IF(F120+SUM(E$99:E120)=D$92,F120,D$92-SUM(E$99:E120))</f>
        <v>6793097.3839505212</v>
      </c>
      <c r="E121" s="522">
        <f t="shared" si="37"/>
        <v>337851.21951219509</v>
      </c>
      <c r="F121" s="523">
        <f t="shared" si="38"/>
        <v>6455246.1644383259</v>
      </c>
      <c r="G121" s="523">
        <f t="shared" si="39"/>
        <v>6624171.7741944231</v>
      </c>
      <c r="H121" s="526">
        <f t="shared" si="40"/>
        <v>1089788.9538137827</v>
      </c>
      <c r="I121" s="577">
        <f t="shared" si="41"/>
        <v>1089788.9538137827</v>
      </c>
      <c r="J121" s="514">
        <f t="shared" si="32"/>
        <v>0</v>
      </c>
      <c r="K121" s="514"/>
      <c r="L121" s="525"/>
      <c r="M121" s="514">
        <f t="shared" si="26"/>
        <v>0</v>
      </c>
      <c r="N121" s="525"/>
      <c r="O121" s="514">
        <f t="shared" si="28"/>
        <v>0</v>
      </c>
      <c r="P121" s="514">
        <f t="shared" si="29"/>
        <v>0</v>
      </c>
    </row>
    <row r="122" spans="2:16">
      <c r="B122" s="195" t="str">
        <f t="shared" si="31"/>
        <v/>
      </c>
      <c r="C122" s="507">
        <f>IF(D93="","-",+C121+1)</f>
        <v>2038</v>
      </c>
      <c r="D122" s="374">
        <f>IF(F121+SUM(E$99:E121)=D$92,F121,D$92-SUM(E$99:E121))</f>
        <v>6455246.1644383259</v>
      </c>
      <c r="E122" s="522">
        <f t="shared" si="37"/>
        <v>337851.21951219509</v>
      </c>
      <c r="F122" s="523">
        <f t="shared" si="38"/>
        <v>6117394.9449261306</v>
      </c>
      <c r="G122" s="523">
        <f t="shared" si="39"/>
        <v>6286320.5546822287</v>
      </c>
      <c r="H122" s="526">
        <f t="shared" si="40"/>
        <v>1051438.0340020871</v>
      </c>
      <c r="I122" s="577">
        <f t="shared" si="41"/>
        <v>1051438.0340020871</v>
      </c>
      <c r="J122" s="514">
        <f t="shared" si="32"/>
        <v>0</v>
      </c>
      <c r="K122" s="514"/>
      <c r="L122" s="525"/>
      <c r="M122" s="514">
        <f t="shared" si="26"/>
        <v>0</v>
      </c>
      <c r="N122" s="525"/>
      <c r="O122" s="514">
        <f t="shared" si="28"/>
        <v>0</v>
      </c>
      <c r="P122" s="514">
        <f t="shared" si="29"/>
        <v>0</v>
      </c>
    </row>
    <row r="123" spans="2:16">
      <c r="B123" s="195" t="str">
        <f t="shared" si="31"/>
        <v/>
      </c>
      <c r="C123" s="507">
        <f>IF(D93="","-",+C122+1)</f>
        <v>2039</v>
      </c>
      <c r="D123" s="374">
        <f>IF(F122+SUM(E$99:E122)=D$92,F122,D$92-SUM(E$99:E122))</f>
        <v>6117394.9449261306</v>
      </c>
      <c r="E123" s="522">
        <f t="shared" si="37"/>
        <v>337851.21951219509</v>
      </c>
      <c r="F123" s="523">
        <f t="shared" si="38"/>
        <v>5779543.7254139353</v>
      </c>
      <c r="G123" s="523">
        <f t="shared" si="39"/>
        <v>5948469.3351700325</v>
      </c>
      <c r="H123" s="526">
        <f t="shared" si="40"/>
        <v>1013087.1141903913</v>
      </c>
      <c r="I123" s="577">
        <f t="shared" si="41"/>
        <v>1013087.1141903913</v>
      </c>
      <c r="J123" s="514">
        <f t="shared" si="32"/>
        <v>0</v>
      </c>
      <c r="K123" s="514"/>
      <c r="L123" s="525"/>
      <c r="M123" s="514">
        <f t="shared" si="26"/>
        <v>0</v>
      </c>
      <c r="N123" s="525"/>
      <c r="O123" s="514">
        <f t="shared" si="28"/>
        <v>0</v>
      </c>
      <c r="P123" s="514">
        <f t="shared" si="29"/>
        <v>0</v>
      </c>
    </row>
    <row r="124" spans="2:16">
      <c r="B124" s="195" t="str">
        <f t="shared" si="31"/>
        <v/>
      </c>
      <c r="C124" s="507">
        <f>IF(D93="","-",+C123+1)</f>
        <v>2040</v>
      </c>
      <c r="D124" s="374">
        <f>IF(F123+SUM(E$99:E123)=D$92,F123,D$92-SUM(E$99:E123))</f>
        <v>5779543.7254139353</v>
      </c>
      <c r="E124" s="522">
        <f t="shared" si="37"/>
        <v>337851.21951219509</v>
      </c>
      <c r="F124" s="523">
        <f t="shared" si="38"/>
        <v>5441692.5059017399</v>
      </c>
      <c r="G124" s="523">
        <f t="shared" si="39"/>
        <v>5610618.1156578381</v>
      </c>
      <c r="H124" s="526">
        <f t="shared" si="40"/>
        <v>974736.19437869557</v>
      </c>
      <c r="I124" s="577">
        <f t="shared" si="41"/>
        <v>974736.19437869557</v>
      </c>
      <c r="J124" s="514">
        <f t="shared" si="32"/>
        <v>0</v>
      </c>
      <c r="K124" s="514"/>
      <c r="L124" s="525"/>
      <c r="M124" s="514">
        <f t="shared" si="26"/>
        <v>0</v>
      </c>
      <c r="N124" s="525"/>
      <c r="O124" s="514">
        <f t="shared" si="28"/>
        <v>0</v>
      </c>
      <c r="P124" s="514">
        <f t="shared" si="29"/>
        <v>0</v>
      </c>
    </row>
    <row r="125" spans="2:16">
      <c r="B125" s="195" t="str">
        <f t="shared" si="31"/>
        <v/>
      </c>
      <c r="C125" s="507">
        <f>IF(D93="","-",+C124+1)</f>
        <v>2041</v>
      </c>
      <c r="D125" s="374">
        <f>IF(F124+SUM(E$99:E124)=D$92,F124,D$92-SUM(E$99:E124))</f>
        <v>5441692.5059017399</v>
      </c>
      <c r="E125" s="522">
        <f t="shared" si="37"/>
        <v>337851.21951219509</v>
      </c>
      <c r="F125" s="523">
        <f t="shared" si="38"/>
        <v>5103841.2863895446</v>
      </c>
      <c r="G125" s="523">
        <f t="shared" si="39"/>
        <v>5272766.8961456418</v>
      </c>
      <c r="H125" s="526">
        <f t="shared" si="40"/>
        <v>936385.27456699975</v>
      </c>
      <c r="I125" s="577">
        <f t="shared" si="41"/>
        <v>936385.27456699975</v>
      </c>
      <c r="J125" s="514">
        <f t="shared" si="32"/>
        <v>0</v>
      </c>
      <c r="K125" s="514"/>
      <c r="L125" s="525"/>
      <c r="M125" s="514">
        <f t="shared" si="26"/>
        <v>0</v>
      </c>
      <c r="N125" s="525"/>
      <c r="O125" s="514">
        <f t="shared" si="28"/>
        <v>0</v>
      </c>
      <c r="P125" s="514">
        <f t="shared" si="29"/>
        <v>0</v>
      </c>
    </row>
    <row r="126" spans="2:16">
      <c r="B126" s="195" t="str">
        <f t="shared" si="31"/>
        <v/>
      </c>
      <c r="C126" s="507">
        <f>IF(D93="","-",+C125+1)</f>
        <v>2042</v>
      </c>
      <c r="D126" s="374">
        <f>IF(F125+SUM(E$99:E125)=D$92,F125,D$92-SUM(E$99:E125))</f>
        <v>5103841.2863895446</v>
      </c>
      <c r="E126" s="522">
        <f t="shared" si="37"/>
        <v>337851.21951219509</v>
      </c>
      <c r="F126" s="523">
        <f t="shared" si="38"/>
        <v>4765990.0668773493</v>
      </c>
      <c r="G126" s="523">
        <f t="shared" si="39"/>
        <v>4934915.6766334474</v>
      </c>
      <c r="H126" s="526">
        <f t="shared" si="40"/>
        <v>898034.35475530417</v>
      </c>
      <c r="I126" s="577">
        <f t="shared" si="41"/>
        <v>898034.35475530417</v>
      </c>
      <c r="J126" s="514">
        <f t="shared" si="32"/>
        <v>0</v>
      </c>
      <c r="K126" s="514"/>
      <c r="L126" s="525"/>
      <c r="M126" s="514">
        <f t="shared" si="26"/>
        <v>0</v>
      </c>
      <c r="N126" s="525"/>
      <c r="O126" s="514">
        <f t="shared" si="28"/>
        <v>0</v>
      </c>
      <c r="P126" s="514">
        <f t="shared" si="29"/>
        <v>0</v>
      </c>
    </row>
    <row r="127" spans="2:16">
      <c r="B127" s="195" t="str">
        <f t="shared" si="31"/>
        <v/>
      </c>
      <c r="C127" s="507">
        <f>IF(D93="","-",+C126+1)</f>
        <v>2043</v>
      </c>
      <c r="D127" s="374">
        <f>IF(F126+SUM(E$99:E126)=D$92,F126,D$92-SUM(E$99:E126))</f>
        <v>4765990.0668773493</v>
      </c>
      <c r="E127" s="522">
        <f t="shared" si="37"/>
        <v>337851.21951219509</v>
      </c>
      <c r="F127" s="523">
        <f t="shared" si="38"/>
        <v>4428138.847365154</v>
      </c>
      <c r="G127" s="523">
        <f t="shared" si="39"/>
        <v>4597064.4571212512</v>
      </c>
      <c r="H127" s="526">
        <f t="shared" si="40"/>
        <v>859683.43494360836</v>
      </c>
      <c r="I127" s="577">
        <f t="shared" si="41"/>
        <v>859683.43494360836</v>
      </c>
      <c r="J127" s="514">
        <f t="shared" si="32"/>
        <v>0</v>
      </c>
      <c r="K127" s="514"/>
      <c r="L127" s="525"/>
      <c r="M127" s="514">
        <f t="shared" si="26"/>
        <v>0</v>
      </c>
      <c r="N127" s="525"/>
      <c r="O127" s="514">
        <f t="shared" si="28"/>
        <v>0</v>
      </c>
      <c r="P127" s="514">
        <f t="shared" si="29"/>
        <v>0</v>
      </c>
    </row>
    <row r="128" spans="2:16">
      <c r="B128" s="195" t="str">
        <f t="shared" si="31"/>
        <v/>
      </c>
      <c r="C128" s="507">
        <f>IF(D93="","-",+C127+1)</f>
        <v>2044</v>
      </c>
      <c r="D128" s="374">
        <f>IF(F127+SUM(E$99:E127)=D$92,F127,D$92-SUM(E$99:E127))</f>
        <v>4428138.847365154</v>
      </c>
      <c r="E128" s="522">
        <f t="shared" si="37"/>
        <v>337851.21951219509</v>
      </c>
      <c r="F128" s="523">
        <f t="shared" si="38"/>
        <v>4090287.6278529586</v>
      </c>
      <c r="G128" s="523">
        <f t="shared" si="39"/>
        <v>4259213.2376090568</v>
      </c>
      <c r="H128" s="526">
        <f t="shared" si="40"/>
        <v>821332.51513191266</v>
      </c>
      <c r="I128" s="577">
        <f t="shared" si="41"/>
        <v>821332.51513191266</v>
      </c>
      <c r="J128" s="514">
        <f t="shared" si="32"/>
        <v>0</v>
      </c>
      <c r="K128" s="514"/>
      <c r="L128" s="525"/>
      <c r="M128" s="514">
        <f t="shared" si="26"/>
        <v>0</v>
      </c>
      <c r="N128" s="525"/>
      <c r="O128" s="514">
        <f t="shared" si="28"/>
        <v>0</v>
      </c>
      <c r="P128" s="514">
        <f t="shared" si="29"/>
        <v>0</v>
      </c>
    </row>
    <row r="129" spans="2:16">
      <c r="B129" s="195" t="str">
        <f t="shared" si="31"/>
        <v/>
      </c>
      <c r="C129" s="507">
        <f>IF(D93="","-",+C128+1)</f>
        <v>2045</v>
      </c>
      <c r="D129" s="374">
        <f>IF(F128+SUM(E$99:E128)=D$92,F128,D$92-SUM(E$99:E128))</f>
        <v>4090287.6278529586</v>
      </c>
      <c r="E129" s="522">
        <f t="shared" si="37"/>
        <v>337851.21951219509</v>
      </c>
      <c r="F129" s="523">
        <f t="shared" si="38"/>
        <v>3752436.4083407633</v>
      </c>
      <c r="G129" s="523">
        <f t="shared" si="39"/>
        <v>3921362.018096861</v>
      </c>
      <c r="H129" s="526">
        <f t="shared" si="40"/>
        <v>782981.59532021696</v>
      </c>
      <c r="I129" s="577">
        <f t="shared" si="41"/>
        <v>782981.59532021696</v>
      </c>
      <c r="J129" s="514">
        <f t="shared" si="32"/>
        <v>0</v>
      </c>
      <c r="K129" s="514"/>
      <c r="L129" s="525"/>
      <c r="M129" s="514">
        <f t="shared" si="26"/>
        <v>0</v>
      </c>
      <c r="N129" s="525"/>
      <c r="O129" s="514">
        <f t="shared" si="28"/>
        <v>0</v>
      </c>
      <c r="P129" s="514">
        <f t="shared" si="29"/>
        <v>0</v>
      </c>
    </row>
    <row r="130" spans="2:16">
      <c r="B130" s="195" t="str">
        <f t="shared" si="31"/>
        <v/>
      </c>
      <c r="C130" s="507">
        <f>IF(D93="","-",+C129+1)</f>
        <v>2046</v>
      </c>
      <c r="D130" s="374">
        <f>IF(F129+SUM(E$99:E129)=D$92,F129,D$92-SUM(E$99:E129))</f>
        <v>3752436.4083407633</v>
      </c>
      <c r="E130" s="522">
        <f t="shared" si="37"/>
        <v>337851.21951219509</v>
      </c>
      <c r="F130" s="523">
        <f t="shared" si="38"/>
        <v>3414585.188828568</v>
      </c>
      <c r="G130" s="523">
        <f t="shared" si="39"/>
        <v>3583510.7985846656</v>
      </c>
      <c r="H130" s="526">
        <f t="shared" si="40"/>
        <v>744630.67550852126</v>
      </c>
      <c r="I130" s="577">
        <f t="shared" si="41"/>
        <v>744630.67550852126</v>
      </c>
      <c r="J130" s="514">
        <f t="shared" si="32"/>
        <v>0</v>
      </c>
      <c r="K130" s="514"/>
      <c r="L130" s="525"/>
      <c r="M130" s="514">
        <f t="shared" si="26"/>
        <v>0</v>
      </c>
      <c r="N130" s="525"/>
      <c r="O130" s="514">
        <f t="shared" si="28"/>
        <v>0</v>
      </c>
      <c r="P130" s="514">
        <f t="shared" si="29"/>
        <v>0</v>
      </c>
    </row>
    <row r="131" spans="2:16">
      <c r="B131" s="195" t="str">
        <f t="shared" si="31"/>
        <v/>
      </c>
      <c r="C131" s="507">
        <f>IF(D93="","-",+C130+1)</f>
        <v>2047</v>
      </c>
      <c r="D131" s="374">
        <f>IF(F130+SUM(E$99:E130)=D$92,F130,D$92-SUM(E$99:E130))</f>
        <v>3414585.188828568</v>
      </c>
      <c r="E131" s="522">
        <f t="shared" si="37"/>
        <v>337851.21951219509</v>
      </c>
      <c r="F131" s="523">
        <f t="shared" si="38"/>
        <v>3076733.9693163726</v>
      </c>
      <c r="G131" s="523">
        <f t="shared" si="39"/>
        <v>3245659.5790724703</v>
      </c>
      <c r="H131" s="526">
        <f t="shared" si="40"/>
        <v>706279.75569682557</v>
      </c>
      <c r="I131" s="577">
        <f t="shared" si="41"/>
        <v>706279.75569682557</v>
      </c>
      <c r="J131" s="514">
        <f t="shared" si="32"/>
        <v>0</v>
      </c>
      <c r="K131" s="514"/>
      <c r="L131" s="525"/>
      <c r="M131" s="514">
        <f t="shared" ref="M131:M154" si="42">IF(L541&lt;&gt;0,+H541-L541,0)</f>
        <v>0</v>
      </c>
      <c r="N131" s="525"/>
      <c r="O131" s="514">
        <f t="shared" ref="O131:O154" si="43">IF(N541&lt;&gt;0,+I541-N541,0)</f>
        <v>0</v>
      </c>
      <c r="P131" s="514">
        <f t="shared" ref="P131:P154" si="44">+O541-M541</f>
        <v>0</v>
      </c>
    </row>
    <row r="132" spans="2:16">
      <c r="B132" s="195" t="str">
        <f t="shared" si="31"/>
        <v/>
      </c>
      <c r="C132" s="507">
        <f>IF(D93="","-",+C131+1)</f>
        <v>2048</v>
      </c>
      <c r="D132" s="374">
        <f>IF(F131+SUM(E$99:E131)=D$92,F131,D$92-SUM(E$99:E131))</f>
        <v>3076733.9693163726</v>
      </c>
      <c r="E132" s="522">
        <f t="shared" si="37"/>
        <v>337851.21951219509</v>
      </c>
      <c r="F132" s="523">
        <f t="shared" si="38"/>
        <v>2738882.7498041773</v>
      </c>
      <c r="G132" s="523">
        <f t="shared" si="39"/>
        <v>2907808.359560275</v>
      </c>
      <c r="H132" s="526">
        <f t="shared" si="40"/>
        <v>667928.83588512987</v>
      </c>
      <c r="I132" s="577">
        <f t="shared" si="41"/>
        <v>667928.83588512987</v>
      </c>
      <c r="J132" s="514">
        <f t="shared" si="32"/>
        <v>0</v>
      </c>
      <c r="K132" s="514"/>
      <c r="L132" s="525"/>
      <c r="M132" s="514">
        <f t="shared" si="42"/>
        <v>0</v>
      </c>
      <c r="N132" s="525"/>
      <c r="O132" s="514">
        <f t="shared" si="43"/>
        <v>0</v>
      </c>
      <c r="P132" s="514">
        <f t="shared" si="44"/>
        <v>0</v>
      </c>
    </row>
    <row r="133" spans="2:16">
      <c r="B133" s="195" t="str">
        <f t="shared" si="31"/>
        <v/>
      </c>
      <c r="C133" s="507">
        <f>IF(D93="","-",+C132+1)</f>
        <v>2049</v>
      </c>
      <c r="D133" s="374">
        <f>IF(F132+SUM(E$99:E132)=D$92,F132,D$92-SUM(E$99:E132))</f>
        <v>2738882.7498041773</v>
      </c>
      <c r="E133" s="522">
        <f t="shared" si="37"/>
        <v>337851.21951219509</v>
      </c>
      <c r="F133" s="523">
        <f t="shared" si="38"/>
        <v>2401031.530291982</v>
      </c>
      <c r="G133" s="523">
        <f t="shared" si="39"/>
        <v>2569957.1400480797</v>
      </c>
      <c r="H133" s="526">
        <f t="shared" si="40"/>
        <v>629577.91607343405</v>
      </c>
      <c r="I133" s="577">
        <f t="shared" si="41"/>
        <v>629577.91607343405</v>
      </c>
      <c r="J133" s="514">
        <f t="shared" si="32"/>
        <v>0</v>
      </c>
      <c r="K133" s="514"/>
      <c r="L133" s="525"/>
      <c r="M133" s="514">
        <f t="shared" si="42"/>
        <v>0</v>
      </c>
      <c r="N133" s="525"/>
      <c r="O133" s="514">
        <f t="shared" si="43"/>
        <v>0</v>
      </c>
      <c r="P133" s="514">
        <f t="shared" si="44"/>
        <v>0</v>
      </c>
    </row>
    <row r="134" spans="2:16">
      <c r="B134" s="195" t="str">
        <f t="shared" si="31"/>
        <v/>
      </c>
      <c r="C134" s="507">
        <f>IF(D93="","-",+C133+1)</f>
        <v>2050</v>
      </c>
      <c r="D134" s="374">
        <f>IF(F133+SUM(E$99:E133)=D$92,F133,D$92-SUM(E$99:E133))</f>
        <v>2401031.530291982</v>
      </c>
      <c r="E134" s="522">
        <f t="shared" si="37"/>
        <v>337851.21951219509</v>
      </c>
      <c r="F134" s="523">
        <f t="shared" si="38"/>
        <v>2063180.3107797869</v>
      </c>
      <c r="G134" s="523">
        <f t="shared" si="39"/>
        <v>2232105.9205358843</v>
      </c>
      <c r="H134" s="526">
        <f t="shared" si="40"/>
        <v>591226.99626173836</v>
      </c>
      <c r="I134" s="577">
        <f t="shared" si="41"/>
        <v>591226.99626173836</v>
      </c>
      <c r="J134" s="514">
        <f t="shared" si="32"/>
        <v>0</v>
      </c>
      <c r="K134" s="514"/>
      <c r="L134" s="525"/>
      <c r="M134" s="514">
        <f t="shared" si="42"/>
        <v>0</v>
      </c>
      <c r="N134" s="525"/>
      <c r="O134" s="514">
        <f t="shared" si="43"/>
        <v>0</v>
      </c>
      <c r="P134" s="514">
        <f t="shared" si="44"/>
        <v>0</v>
      </c>
    </row>
    <row r="135" spans="2:16">
      <c r="B135" s="195" t="str">
        <f t="shared" si="31"/>
        <v/>
      </c>
      <c r="C135" s="507">
        <f>IF(D93="","-",+C134+1)</f>
        <v>2051</v>
      </c>
      <c r="D135" s="374">
        <f>IF(F134+SUM(E$99:E134)=D$92,F134,D$92-SUM(E$99:E134))</f>
        <v>2063180.3107797869</v>
      </c>
      <c r="E135" s="522">
        <f t="shared" si="37"/>
        <v>337851.21951219509</v>
      </c>
      <c r="F135" s="523">
        <f t="shared" si="38"/>
        <v>1725329.0912675918</v>
      </c>
      <c r="G135" s="523">
        <f t="shared" si="39"/>
        <v>1894254.7010236895</v>
      </c>
      <c r="H135" s="526">
        <f t="shared" si="40"/>
        <v>552876.07645004266</v>
      </c>
      <c r="I135" s="577">
        <f t="shared" si="41"/>
        <v>552876.07645004266</v>
      </c>
      <c r="J135" s="514">
        <f t="shared" si="32"/>
        <v>0</v>
      </c>
      <c r="K135" s="514"/>
      <c r="L135" s="525"/>
      <c r="M135" s="514">
        <f t="shared" si="42"/>
        <v>0</v>
      </c>
      <c r="N135" s="525"/>
      <c r="O135" s="514">
        <f t="shared" si="43"/>
        <v>0</v>
      </c>
      <c r="P135" s="514">
        <f t="shared" si="44"/>
        <v>0</v>
      </c>
    </row>
    <row r="136" spans="2:16">
      <c r="B136" s="195" t="str">
        <f t="shared" si="31"/>
        <v/>
      </c>
      <c r="C136" s="507">
        <f>IF(D93="","-",+C135+1)</f>
        <v>2052</v>
      </c>
      <c r="D136" s="374">
        <f>IF(F135+SUM(E$99:E135)=D$92,F135,D$92-SUM(E$99:E135))</f>
        <v>1725329.0912675918</v>
      </c>
      <c r="E136" s="522">
        <f t="shared" si="37"/>
        <v>337851.21951219509</v>
      </c>
      <c r="F136" s="523">
        <f t="shared" si="38"/>
        <v>1387477.8717553967</v>
      </c>
      <c r="G136" s="523">
        <f t="shared" si="39"/>
        <v>1556403.4815114941</v>
      </c>
      <c r="H136" s="526">
        <f t="shared" si="40"/>
        <v>514525.15663834702</v>
      </c>
      <c r="I136" s="577">
        <f t="shared" si="41"/>
        <v>514525.15663834702</v>
      </c>
      <c r="J136" s="514">
        <f t="shared" si="32"/>
        <v>0</v>
      </c>
      <c r="K136" s="514"/>
      <c r="L136" s="525"/>
      <c r="M136" s="514">
        <f t="shared" si="42"/>
        <v>0</v>
      </c>
      <c r="N136" s="525"/>
      <c r="O136" s="514">
        <f t="shared" si="43"/>
        <v>0</v>
      </c>
      <c r="P136" s="514">
        <f t="shared" si="44"/>
        <v>0</v>
      </c>
    </row>
    <row r="137" spans="2:16">
      <c r="B137" s="195" t="str">
        <f t="shared" si="31"/>
        <v/>
      </c>
      <c r="C137" s="507">
        <f>IF(D93="","-",+C136+1)</f>
        <v>2053</v>
      </c>
      <c r="D137" s="374">
        <f>IF(F136+SUM(E$99:E136)=D$92,F136,D$92-SUM(E$99:E136))</f>
        <v>1387477.8717553967</v>
      </c>
      <c r="E137" s="522">
        <f t="shared" si="37"/>
        <v>337851.21951219509</v>
      </c>
      <c r="F137" s="523">
        <f t="shared" si="38"/>
        <v>1049626.6522432016</v>
      </c>
      <c r="G137" s="523">
        <f t="shared" si="39"/>
        <v>1218552.2619992993</v>
      </c>
      <c r="H137" s="526">
        <f t="shared" si="40"/>
        <v>476174.23682665138</v>
      </c>
      <c r="I137" s="577">
        <f t="shared" si="41"/>
        <v>476174.23682665138</v>
      </c>
      <c r="J137" s="514">
        <f t="shared" si="32"/>
        <v>0</v>
      </c>
      <c r="K137" s="514"/>
      <c r="L137" s="525"/>
      <c r="M137" s="514">
        <f t="shared" si="42"/>
        <v>0</v>
      </c>
      <c r="N137" s="525"/>
      <c r="O137" s="514">
        <f t="shared" si="43"/>
        <v>0</v>
      </c>
      <c r="P137" s="514">
        <f t="shared" si="44"/>
        <v>0</v>
      </c>
    </row>
    <row r="138" spans="2:16">
      <c r="B138" s="195" t="str">
        <f t="shared" si="31"/>
        <v/>
      </c>
      <c r="C138" s="507">
        <f>IF(D93="","-",+C137+1)</f>
        <v>2054</v>
      </c>
      <c r="D138" s="374">
        <f>IF(F137+SUM(E$99:E137)=D$92,F137,D$92-SUM(E$99:E137))</f>
        <v>1049626.6522432016</v>
      </c>
      <c r="E138" s="522">
        <f t="shared" si="37"/>
        <v>337851.21951219509</v>
      </c>
      <c r="F138" s="523">
        <f t="shared" si="38"/>
        <v>711775.43273100653</v>
      </c>
      <c r="G138" s="523">
        <f t="shared" si="39"/>
        <v>880701.04248710407</v>
      </c>
      <c r="H138" s="526">
        <f t="shared" si="40"/>
        <v>437823.31701495568</v>
      </c>
      <c r="I138" s="577">
        <f t="shared" si="41"/>
        <v>437823.31701495568</v>
      </c>
      <c r="J138" s="514">
        <f t="shared" si="32"/>
        <v>0</v>
      </c>
      <c r="K138" s="514"/>
      <c r="L138" s="525"/>
      <c r="M138" s="514">
        <f t="shared" si="42"/>
        <v>0</v>
      </c>
      <c r="N138" s="525"/>
      <c r="O138" s="514">
        <f t="shared" si="43"/>
        <v>0</v>
      </c>
      <c r="P138" s="514">
        <f t="shared" si="44"/>
        <v>0</v>
      </c>
    </row>
    <row r="139" spans="2:16">
      <c r="B139" s="195" t="str">
        <f t="shared" si="31"/>
        <v/>
      </c>
      <c r="C139" s="507">
        <f>IF(D93="","-",+C138+1)</f>
        <v>2055</v>
      </c>
      <c r="D139" s="374">
        <f>IF(F138+SUM(E$99:E138)=D$92,F138,D$92-SUM(E$99:E138))</f>
        <v>711775.43273100653</v>
      </c>
      <c r="E139" s="522">
        <f t="shared" si="37"/>
        <v>337851.21951219509</v>
      </c>
      <c r="F139" s="523">
        <f t="shared" si="38"/>
        <v>373924.21321881143</v>
      </c>
      <c r="G139" s="523">
        <f t="shared" si="39"/>
        <v>542849.82297490898</v>
      </c>
      <c r="H139" s="526">
        <f t="shared" si="40"/>
        <v>399472.39720325998</v>
      </c>
      <c r="I139" s="577">
        <f t="shared" si="41"/>
        <v>399472.39720325998</v>
      </c>
      <c r="J139" s="514">
        <f t="shared" si="32"/>
        <v>0</v>
      </c>
      <c r="K139" s="514"/>
      <c r="L139" s="525"/>
      <c r="M139" s="514">
        <f t="shared" si="42"/>
        <v>0</v>
      </c>
      <c r="N139" s="525"/>
      <c r="O139" s="514">
        <f t="shared" si="43"/>
        <v>0</v>
      </c>
      <c r="P139" s="514">
        <f t="shared" si="44"/>
        <v>0</v>
      </c>
    </row>
    <row r="140" spans="2:16">
      <c r="B140" s="195" t="str">
        <f t="shared" si="31"/>
        <v/>
      </c>
      <c r="C140" s="507">
        <f>IF(D93="","-",+C139+1)</f>
        <v>2056</v>
      </c>
      <c r="D140" s="374">
        <f>IF(F139+SUM(E$99:E139)=D$92,F139,D$92-SUM(E$99:E139))</f>
        <v>373924.21321881143</v>
      </c>
      <c r="E140" s="522">
        <f t="shared" si="37"/>
        <v>337851.21951219509</v>
      </c>
      <c r="F140" s="523">
        <f t="shared" si="38"/>
        <v>36072.99370661634</v>
      </c>
      <c r="G140" s="523">
        <f t="shared" si="39"/>
        <v>204998.60346271389</v>
      </c>
      <c r="H140" s="526">
        <f t="shared" si="40"/>
        <v>361121.47739156429</v>
      </c>
      <c r="I140" s="577">
        <f t="shared" si="41"/>
        <v>361121.47739156429</v>
      </c>
      <c r="J140" s="514">
        <f t="shared" si="32"/>
        <v>0</v>
      </c>
      <c r="K140" s="514"/>
      <c r="L140" s="525"/>
      <c r="M140" s="514">
        <f t="shared" si="42"/>
        <v>0</v>
      </c>
      <c r="N140" s="525"/>
      <c r="O140" s="514">
        <f t="shared" si="43"/>
        <v>0</v>
      </c>
      <c r="P140" s="514">
        <f t="shared" si="44"/>
        <v>0</v>
      </c>
    </row>
    <row r="141" spans="2:16">
      <c r="B141" s="195" t="str">
        <f t="shared" si="31"/>
        <v/>
      </c>
      <c r="C141" s="507">
        <f>IF(D93="","-",+C140+1)</f>
        <v>2057</v>
      </c>
      <c r="D141" s="374">
        <f>IF(F140+SUM(E$99:E140)=D$92,F140,D$92-SUM(E$99:E140))</f>
        <v>36072.99370661634</v>
      </c>
      <c r="E141" s="522">
        <f t="shared" si="37"/>
        <v>36072.99370661634</v>
      </c>
      <c r="F141" s="523">
        <f t="shared" si="38"/>
        <v>0</v>
      </c>
      <c r="G141" s="523">
        <f t="shared" si="39"/>
        <v>18036.49685330817</v>
      </c>
      <c r="H141" s="526">
        <f t="shared" si="40"/>
        <v>38120.392693377005</v>
      </c>
      <c r="I141" s="577">
        <f t="shared" si="41"/>
        <v>38120.392693377005</v>
      </c>
      <c r="J141" s="514">
        <f t="shared" si="32"/>
        <v>0</v>
      </c>
      <c r="K141" s="514"/>
      <c r="L141" s="525"/>
      <c r="M141" s="514">
        <f t="shared" si="42"/>
        <v>0</v>
      </c>
      <c r="N141" s="525"/>
      <c r="O141" s="514">
        <f t="shared" si="43"/>
        <v>0</v>
      </c>
      <c r="P141" s="514">
        <f t="shared" si="44"/>
        <v>0</v>
      </c>
    </row>
    <row r="142" spans="2:16">
      <c r="B142" s="195" t="str">
        <f t="shared" si="31"/>
        <v/>
      </c>
      <c r="C142" s="507">
        <f>IF(D93="","-",+C141+1)</f>
        <v>2058</v>
      </c>
      <c r="D142" s="374">
        <f>IF(F141+SUM(E$99:E141)=D$92,F141,D$92-SUM(E$99:E141))</f>
        <v>0</v>
      </c>
      <c r="E142" s="522">
        <f t="shared" si="37"/>
        <v>0</v>
      </c>
      <c r="F142" s="523">
        <f t="shared" si="38"/>
        <v>0</v>
      </c>
      <c r="G142" s="523">
        <f t="shared" si="39"/>
        <v>0</v>
      </c>
      <c r="H142" s="526">
        <f t="shared" si="40"/>
        <v>0</v>
      </c>
      <c r="I142" s="577">
        <f t="shared" si="41"/>
        <v>0</v>
      </c>
      <c r="J142" s="514">
        <f t="shared" si="32"/>
        <v>0</v>
      </c>
      <c r="K142" s="514"/>
      <c r="L142" s="525"/>
      <c r="M142" s="514">
        <f t="shared" si="42"/>
        <v>0</v>
      </c>
      <c r="N142" s="525"/>
      <c r="O142" s="514">
        <f t="shared" si="43"/>
        <v>0</v>
      </c>
      <c r="P142" s="514">
        <f t="shared" si="44"/>
        <v>0</v>
      </c>
    </row>
    <row r="143" spans="2:16">
      <c r="B143" s="195" t="str">
        <f t="shared" si="31"/>
        <v/>
      </c>
      <c r="C143" s="507">
        <f>IF(D93="","-",+C142+1)</f>
        <v>2059</v>
      </c>
      <c r="D143" s="374">
        <f>IF(F142+SUM(E$99:E142)=D$92,F142,D$92-SUM(E$99:E142))</f>
        <v>0</v>
      </c>
      <c r="E143" s="522">
        <f t="shared" si="37"/>
        <v>0</v>
      </c>
      <c r="F143" s="523">
        <f t="shared" si="38"/>
        <v>0</v>
      </c>
      <c r="G143" s="523">
        <f t="shared" si="39"/>
        <v>0</v>
      </c>
      <c r="H143" s="526">
        <f t="shared" si="40"/>
        <v>0</v>
      </c>
      <c r="I143" s="577">
        <f t="shared" si="41"/>
        <v>0</v>
      </c>
      <c r="J143" s="514">
        <f t="shared" si="32"/>
        <v>0</v>
      </c>
      <c r="K143" s="514"/>
      <c r="L143" s="525"/>
      <c r="M143" s="514">
        <f t="shared" si="42"/>
        <v>0</v>
      </c>
      <c r="N143" s="525"/>
      <c r="O143" s="514">
        <f t="shared" si="43"/>
        <v>0</v>
      </c>
      <c r="P143" s="514">
        <f t="shared" si="44"/>
        <v>0</v>
      </c>
    </row>
    <row r="144" spans="2:16">
      <c r="B144" s="195" t="str">
        <f t="shared" si="31"/>
        <v/>
      </c>
      <c r="C144" s="507">
        <f>IF(D93="","-",+C143+1)</f>
        <v>2060</v>
      </c>
      <c r="D144" s="374">
        <f>IF(F143+SUM(E$99:E143)=D$92,F143,D$92-SUM(E$99:E143))</f>
        <v>0</v>
      </c>
      <c r="E144" s="522">
        <f t="shared" si="37"/>
        <v>0</v>
      </c>
      <c r="F144" s="523">
        <f t="shared" si="38"/>
        <v>0</v>
      </c>
      <c r="G144" s="523">
        <f t="shared" si="39"/>
        <v>0</v>
      </c>
      <c r="H144" s="526">
        <f t="shared" si="40"/>
        <v>0</v>
      </c>
      <c r="I144" s="577">
        <f t="shared" si="41"/>
        <v>0</v>
      </c>
      <c r="J144" s="514">
        <f t="shared" si="32"/>
        <v>0</v>
      </c>
      <c r="K144" s="514"/>
      <c r="L144" s="525"/>
      <c r="M144" s="514">
        <f t="shared" si="42"/>
        <v>0</v>
      </c>
      <c r="N144" s="525"/>
      <c r="O144" s="514">
        <f t="shared" si="43"/>
        <v>0</v>
      </c>
      <c r="P144" s="514">
        <f t="shared" si="44"/>
        <v>0</v>
      </c>
    </row>
    <row r="145" spans="2:16">
      <c r="B145" s="195" t="str">
        <f t="shared" si="31"/>
        <v/>
      </c>
      <c r="C145" s="507">
        <f>IF(D93="","-",+C144+1)</f>
        <v>2061</v>
      </c>
      <c r="D145" s="374">
        <f>IF(F144+SUM(E$99:E144)=D$92,F144,D$92-SUM(E$99:E144))</f>
        <v>0</v>
      </c>
      <c r="E145" s="522">
        <f t="shared" si="37"/>
        <v>0</v>
      </c>
      <c r="F145" s="523">
        <f t="shared" si="38"/>
        <v>0</v>
      </c>
      <c r="G145" s="523">
        <f t="shared" si="39"/>
        <v>0</v>
      </c>
      <c r="H145" s="526">
        <f t="shared" si="40"/>
        <v>0</v>
      </c>
      <c r="I145" s="577">
        <f t="shared" si="41"/>
        <v>0</v>
      </c>
      <c r="J145" s="514">
        <f t="shared" si="32"/>
        <v>0</v>
      </c>
      <c r="K145" s="514"/>
      <c r="L145" s="525"/>
      <c r="M145" s="514">
        <f t="shared" si="42"/>
        <v>0</v>
      </c>
      <c r="N145" s="525"/>
      <c r="O145" s="514">
        <f t="shared" si="43"/>
        <v>0</v>
      </c>
      <c r="P145" s="514">
        <f t="shared" si="44"/>
        <v>0</v>
      </c>
    </row>
    <row r="146" spans="2:16">
      <c r="B146" s="195" t="str">
        <f t="shared" si="31"/>
        <v/>
      </c>
      <c r="C146" s="507">
        <f>IF(D93="","-",+C145+1)</f>
        <v>2062</v>
      </c>
      <c r="D146" s="374">
        <f>IF(F145+SUM(E$99:E145)=D$92,F145,D$92-SUM(E$99:E145))</f>
        <v>0</v>
      </c>
      <c r="E146" s="522">
        <f t="shared" si="37"/>
        <v>0</v>
      </c>
      <c r="F146" s="523">
        <f t="shared" si="38"/>
        <v>0</v>
      </c>
      <c r="G146" s="523">
        <f t="shared" si="39"/>
        <v>0</v>
      </c>
      <c r="H146" s="526">
        <f t="shared" si="40"/>
        <v>0</v>
      </c>
      <c r="I146" s="577">
        <f t="shared" si="41"/>
        <v>0</v>
      </c>
      <c r="J146" s="514">
        <f t="shared" si="32"/>
        <v>0</v>
      </c>
      <c r="K146" s="514"/>
      <c r="L146" s="525"/>
      <c r="M146" s="514">
        <f t="shared" si="42"/>
        <v>0</v>
      </c>
      <c r="N146" s="525"/>
      <c r="O146" s="514">
        <f t="shared" si="43"/>
        <v>0</v>
      </c>
      <c r="P146" s="514">
        <f t="shared" si="44"/>
        <v>0</v>
      </c>
    </row>
    <row r="147" spans="2:16">
      <c r="B147" s="195" t="str">
        <f t="shared" si="31"/>
        <v/>
      </c>
      <c r="C147" s="507">
        <f>IF(D93="","-",+C146+1)</f>
        <v>2063</v>
      </c>
      <c r="D147" s="374">
        <f>IF(F146+SUM(E$99:E146)=D$92,F146,D$92-SUM(E$99:E146))</f>
        <v>0</v>
      </c>
      <c r="E147" s="522">
        <f t="shared" si="37"/>
        <v>0</v>
      </c>
      <c r="F147" s="523">
        <f t="shared" si="38"/>
        <v>0</v>
      </c>
      <c r="G147" s="523">
        <f t="shared" si="39"/>
        <v>0</v>
      </c>
      <c r="H147" s="526">
        <f t="shared" si="40"/>
        <v>0</v>
      </c>
      <c r="I147" s="577">
        <f t="shared" si="41"/>
        <v>0</v>
      </c>
      <c r="J147" s="514">
        <f t="shared" si="32"/>
        <v>0</v>
      </c>
      <c r="K147" s="514"/>
      <c r="L147" s="525"/>
      <c r="M147" s="514">
        <f t="shared" si="42"/>
        <v>0</v>
      </c>
      <c r="N147" s="525"/>
      <c r="O147" s="514">
        <f t="shared" si="43"/>
        <v>0</v>
      </c>
      <c r="P147" s="514">
        <f t="shared" si="44"/>
        <v>0</v>
      </c>
    </row>
    <row r="148" spans="2:16">
      <c r="B148" s="195" t="str">
        <f t="shared" si="31"/>
        <v/>
      </c>
      <c r="C148" s="507">
        <f>IF(D93="","-",+C147+1)</f>
        <v>2064</v>
      </c>
      <c r="D148" s="374">
        <f>IF(F147+SUM(E$99:E147)=D$92,F147,D$92-SUM(E$99:E147))</f>
        <v>0</v>
      </c>
      <c r="E148" s="522">
        <f t="shared" si="37"/>
        <v>0</v>
      </c>
      <c r="F148" s="523">
        <f t="shared" si="38"/>
        <v>0</v>
      </c>
      <c r="G148" s="523">
        <f t="shared" si="39"/>
        <v>0</v>
      </c>
      <c r="H148" s="526">
        <f t="shared" si="40"/>
        <v>0</v>
      </c>
      <c r="I148" s="577">
        <f t="shared" si="41"/>
        <v>0</v>
      </c>
      <c r="J148" s="514">
        <f t="shared" si="32"/>
        <v>0</v>
      </c>
      <c r="K148" s="514"/>
      <c r="L148" s="525"/>
      <c r="M148" s="514">
        <f t="shared" si="42"/>
        <v>0</v>
      </c>
      <c r="N148" s="525"/>
      <c r="O148" s="514">
        <f t="shared" si="43"/>
        <v>0</v>
      </c>
      <c r="P148" s="514">
        <f t="shared" si="44"/>
        <v>0</v>
      </c>
    </row>
    <row r="149" spans="2:16">
      <c r="B149" s="195" t="str">
        <f t="shared" si="31"/>
        <v/>
      </c>
      <c r="C149" s="507">
        <f>IF(D93="","-",+C148+1)</f>
        <v>2065</v>
      </c>
      <c r="D149" s="374">
        <f>IF(F148+SUM(E$99:E148)=D$92,F148,D$92-SUM(E$99:E148))</f>
        <v>0</v>
      </c>
      <c r="E149" s="522">
        <f t="shared" si="37"/>
        <v>0</v>
      </c>
      <c r="F149" s="523">
        <f t="shared" si="38"/>
        <v>0</v>
      </c>
      <c r="G149" s="523">
        <f t="shared" si="39"/>
        <v>0</v>
      </c>
      <c r="H149" s="526">
        <f t="shared" si="40"/>
        <v>0</v>
      </c>
      <c r="I149" s="577">
        <f t="shared" si="41"/>
        <v>0</v>
      </c>
      <c r="J149" s="514">
        <f t="shared" si="32"/>
        <v>0</v>
      </c>
      <c r="K149" s="514"/>
      <c r="L149" s="525"/>
      <c r="M149" s="514">
        <f t="shared" si="42"/>
        <v>0</v>
      </c>
      <c r="N149" s="525"/>
      <c r="O149" s="514">
        <f t="shared" si="43"/>
        <v>0</v>
      </c>
      <c r="P149" s="514">
        <f t="shared" si="44"/>
        <v>0</v>
      </c>
    </row>
    <row r="150" spans="2:16">
      <c r="B150" s="195" t="str">
        <f t="shared" si="31"/>
        <v/>
      </c>
      <c r="C150" s="507">
        <f>IF(D93="","-",+C149+1)</f>
        <v>2066</v>
      </c>
      <c r="D150" s="374">
        <f>IF(F149+SUM(E$99:E149)=D$92,F149,D$92-SUM(E$99:E149))</f>
        <v>0</v>
      </c>
      <c r="E150" s="522">
        <f t="shared" si="37"/>
        <v>0</v>
      </c>
      <c r="F150" s="523">
        <f t="shared" si="38"/>
        <v>0</v>
      </c>
      <c r="G150" s="523">
        <f t="shared" si="39"/>
        <v>0</v>
      </c>
      <c r="H150" s="526">
        <f t="shared" si="40"/>
        <v>0</v>
      </c>
      <c r="I150" s="577">
        <f t="shared" si="41"/>
        <v>0</v>
      </c>
      <c r="J150" s="514">
        <f t="shared" si="32"/>
        <v>0</v>
      </c>
      <c r="K150" s="514"/>
      <c r="L150" s="525"/>
      <c r="M150" s="514">
        <f t="shared" si="42"/>
        <v>0</v>
      </c>
      <c r="N150" s="525"/>
      <c r="O150" s="514">
        <f t="shared" si="43"/>
        <v>0</v>
      </c>
      <c r="P150" s="514">
        <f t="shared" si="44"/>
        <v>0</v>
      </c>
    </row>
    <row r="151" spans="2:16">
      <c r="B151" s="195" t="str">
        <f t="shared" si="31"/>
        <v/>
      </c>
      <c r="C151" s="507">
        <f>IF(D93="","-",+C150+1)</f>
        <v>2067</v>
      </c>
      <c r="D151" s="374">
        <f>IF(F150+SUM(E$99:E150)=D$92,F150,D$92-SUM(E$99:E150))</f>
        <v>0</v>
      </c>
      <c r="E151" s="522">
        <f t="shared" si="37"/>
        <v>0</v>
      </c>
      <c r="F151" s="523">
        <f t="shared" si="38"/>
        <v>0</v>
      </c>
      <c r="G151" s="523">
        <f t="shared" si="39"/>
        <v>0</v>
      </c>
      <c r="H151" s="526">
        <f t="shared" si="40"/>
        <v>0</v>
      </c>
      <c r="I151" s="577">
        <f t="shared" si="41"/>
        <v>0</v>
      </c>
      <c r="J151" s="514">
        <f t="shared" si="32"/>
        <v>0</v>
      </c>
      <c r="K151" s="514"/>
      <c r="L151" s="525"/>
      <c r="M151" s="514">
        <f t="shared" si="42"/>
        <v>0</v>
      </c>
      <c r="N151" s="525"/>
      <c r="O151" s="514">
        <f t="shared" si="43"/>
        <v>0</v>
      </c>
      <c r="P151" s="514">
        <f t="shared" si="44"/>
        <v>0</v>
      </c>
    </row>
    <row r="152" spans="2:16">
      <c r="B152" s="195" t="str">
        <f t="shared" si="31"/>
        <v/>
      </c>
      <c r="C152" s="507">
        <f>IF(D93="","-",+C151+1)</f>
        <v>2068</v>
      </c>
      <c r="D152" s="374">
        <f>IF(F151+SUM(E$99:E151)=D$92,F151,D$92-SUM(E$99:E151))</f>
        <v>0</v>
      </c>
      <c r="E152" s="522">
        <f t="shared" si="37"/>
        <v>0</v>
      </c>
      <c r="F152" s="523">
        <f t="shared" si="38"/>
        <v>0</v>
      </c>
      <c r="G152" s="523">
        <f t="shared" si="39"/>
        <v>0</v>
      </c>
      <c r="H152" s="526">
        <f t="shared" si="40"/>
        <v>0</v>
      </c>
      <c r="I152" s="577">
        <f t="shared" si="41"/>
        <v>0</v>
      </c>
      <c r="J152" s="514">
        <f t="shared" si="32"/>
        <v>0</v>
      </c>
      <c r="K152" s="514"/>
      <c r="L152" s="525"/>
      <c r="M152" s="514">
        <f t="shared" si="42"/>
        <v>0</v>
      </c>
      <c r="N152" s="525"/>
      <c r="O152" s="514">
        <f t="shared" si="43"/>
        <v>0</v>
      </c>
      <c r="P152" s="514">
        <f t="shared" si="44"/>
        <v>0</v>
      </c>
    </row>
    <row r="153" spans="2:16">
      <c r="B153" s="195" t="str">
        <f t="shared" si="31"/>
        <v/>
      </c>
      <c r="C153" s="507">
        <f>IF(D93="","-",+C152+1)</f>
        <v>2069</v>
      </c>
      <c r="D153" s="374">
        <f>IF(F152+SUM(E$99:E152)=D$92,F152,D$92-SUM(E$99:E152))</f>
        <v>0</v>
      </c>
      <c r="E153" s="522">
        <f t="shared" si="37"/>
        <v>0</v>
      </c>
      <c r="F153" s="523">
        <f t="shared" si="38"/>
        <v>0</v>
      </c>
      <c r="G153" s="523">
        <f t="shared" si="39"/>
        <v>0</v>
      </c>
      <c r="H153" s="526">
        <f t="shared" si="40"/>
        <v>0</v>
      </c>
      <c r="I153" s="577">
        <f t="shared" si="41"/>
        <v>0</v>
      </c>
      <c r="J153" s="514">
        <f t="shared" si="32"/>
        <v>0</v>
      </c>
      <c r="K153" s="514"/>
      <c r="L153" s="525"/>
      <c r="M153" s="514">
        <f t="shared" si="42"/>
        <v>0</v>
      </c>
      <c r="N153" s="525"/>
      <c r="O153" s="514">
        <f t="shared" si="43"/>
        <v>0</v>
      </c>
      <c r="P153" s="514">
        <f t="shared" si="44"/>
        <v>0</v>
      </c>
    </row>
    <row r="154" spans="2:16" ht="13.5" thickBot="1">
      <c r="B154" s="195" t="str">
        <f t="shared" si="31"/>
        <v/>
      </c>
      <c r="C154" s="527">
        <f>IF(D93="","-",+C153+1)</f>
        <v>2070</v>
      </c>
      <c r="D154" s="578">
        <f>IF(F153+SUM(E$99:E153)=D$92,F153,D$92-SUM(E$99:E153))</f>
        <v>0</v>
      </c>
      <c r="E154" s="529">
        <f t="shared" si="37"/>
        <v>0</v>
      </c>
      <c r="F154" s="528">
        <f t="shared" si="38"/>
        <v>0</v>
      </c>
      <c r="G154" s="528">
        <f t="shared" si="39"/>
        <v>0</v>
      </c>
      <c r="H154" s="530">
        <f t="shared" si="40"/>
        <v>0</v>
      </c>
      <c r="I154" s="579">
        <f t="shared" si="41"/>
        <v>0</v>
      </c>
      <c r="J154" s="533">
        <f t="shared" si="32"/>
        <v>0</v>
      </c>
      <c r="K154" s="514"/>
      <c r="L154" s="532"/>
      <c r="M154" s="533">
        <f t="shared" si="42"/>
        <v>0</v>
      </c>
      <c r="N154" s="532"/>
      <c r="O154" s="533">
        <f t="shared" si="43"/>
        <v>0</v>
      </c>
      <c r="P154" s="533">
        <f t="shared" si="44"/>
        <v>0</v>
      </c>
    </row>
    <row r="155" spans="2:16">
      <c r="C155" s="374" t="s">
        <v>78</v>
      </c>
      <c r="D155" s="375"/>
      <c r="E155" s="375">
        <f>SUM(E99:E154)</f>
        <v>13851899.999999993</v>
      </c>
      <c r="F155" s="375"/>
      <c r="G155" s="375"/>
      <c r="H155" s="375">
        <f>SUM(H99:H154)</f>
        <v>47224754.919090733</v>
      </c>
      <c r="I155" s="375">
        <f>SUM(I99:I154)</f>
        <v>47224754.919090733</v>
      </c>
      <c r="J155" s="375">
        <f>SUM(J99:J154)</f>
        <v>0</v>
      </c>
      <c r="K155" s="375"/>
      <c r="L155" s="375"/>
      <c r="M155" s="375"/>
      <c r="N155" s="375"/>
      <c r="O155" s="375"/>
      <c r="P155" s="269"/>
    </row>
    <row r="156" spans="2:16">
      <c r="C156" s="183" t="s">
        <v>92</v>
      </c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</row>
    <row r="157" spans="2:16">
      <c r="C157" s="580"/>
      <c r="L157" s="271"/>
      <c r="M157" s="271"/>
      <c r="N157" s="271"/>
      <c r="O157" s="271"/>
      <c r="P157" s="269"/>
    </row>
    <row r="158" spans="2:16">
      <c r="C158" s="614" t="s">
        <v>132</v>
      </c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</row>
    <row r="159" spans="2:16">
      <c r="C159" s="467" t="s">
        <v>79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</row>
    <row r="160" spans="2:16">
      <c r="C160" s="581" t="s">
        <v>80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</row>
    <row r="161" spans="3:16">
      <c r="C161" s="581"/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</row>
    <row r="162" spans="3:16" ht="18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635" t="s">
        <v>131</v>
      </c>
    </row>
  </sheetData>
  <conditionalFormatting sqref="C17:C72">
    <cfRule type="cellIs" dxfId="54" priority="3" stopIfTrue="1" operator="equal">
      <formula>$I$10</formula>
    </cfRule>
  </conditionalFormatting>
  <conditionalFormatting sqref="C99:C153">
    <cfRule type="cellIs" dxfId="53" priority="4" stopIfTrue="1" operator="equal">
      <formula>$J$92</formula>
    </cfRule>
  </conditionalFormatting>
  <conditionalFormatting sqref="C154">
    <cfRule type="cellIs" dxfId="52" priority="1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heet104"/>
  <dimension ref="A1:P162"/>
  <sheetViews>
    <sheetView topLeftCell="A90" zoomScaleNormal="100" zoomScaleSheetLayoutView="80" workbookViewId="0">
      <selection activeCell="D99" sqref="D99:I105"/>
    </sheetView>
  </sheetViews>
  <sheetFormatPr defaultColWidth="8.7109375" defaultRowHeight="12.75" customHeight="1"/>
  <cols>
    <col min="1" max="1" width="4.7109375" style="183" customWidth="1"/>
    <col min="2" max="2" width="6.7109375" style="183" customWidth="1"/>
    <col min="3" max="3" width="23.28515625" style="183" customWidth="1"/>
    <col min="4" max="8" width="17.7109375" style="183" customWidth="1"/>
    <col min="9" max="9" width="20.42578125" style="183" customWidth="1"/>
    <col min="10" max="10" width="16.42578125" style="183" customWidth="1"/>
    <col min="11" max="11" width="17.7109375" style="183" customWidth="1"/>
    <col min="12" max="12" width="16.140625" style="183" customWidth="1"/>
    <col min="13" max="13" width="17.7109375" style="183" customWidth="1"/>
    <col min="14" max="14" width="16.7109375" style="183" customWidth="1"/>
    <col min="15" max="15" width="16.85546875" style="183" customWidth="1"/>
    <col min="16" max="16" width="32.5703125" style="183" customWidth="1"/>
    <col min="17" max="17" width="9.140625" style="183" customWidth="1"/>
    <col min="18" max="18" width="8.7109375" style="183"/>
    <col min="19" max="21" width="9.140625" style="183" customWidth="1"/>
    <col min="22" max="22" width="8.7109375" style="183"/>
    <col min="23" max="23" width="9.140625" style="183" customWidth="1"/>
    <col min="24" max="16384" width="8.7109375" style="183"/>
  </cols>
  <sheetData>
    <row r="1" spans="1:16" ht="20.25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55 of 75</v>
      </c>
    </row>
    <row r="2" spans="1:16" ht="18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538" t="s">
        <v>129</v>
      </c>
    </row>
    <row r="3" spans="1:16" ht="18.75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/>
      <c r="P3" s="623">
        <v>1</v>
      </c>
    </row>
    <row r="4" spans="1:16" ht="15.75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6" ht="1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1121091.4278100706</v>
      </c>
      <c r="P5" s="269"/>
    </row>
    <row r="6" spans="1:16" ht="15.7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1121091.4278100706</v>
      </c>
      <c r="O6" s="269"/>
      <c r="P6" s="269"/>
    </row>
    <row r="7" spans="1:16" ht="13.5" thickBot="1">
      <c r="C7" s="467" t="s">
        <v>48</v>
      </c>
      <c r="D7" s="624" t="s">
        <v>355</v>
      </c>
      <c r="E7" s="587"/>
      <c r="F7" s="269"/>
      <c r="G7" s="269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6" ht="13.5" thickBot="1">
      <c r="C8" s="472"/>
      <c r="D8" s="625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6" ht="13.5" thickBot="1">
      <c r="C9" s="476" t="s">
        <v>50</v>
      </c>
      <c r="D9" s="477" t="s">
        <v>356</v>
      </c>
      <c r="E9" s="637" t="s">
        <v>506</v>
      </c>
      <c r="F9" s="478"/>
      <c r="G9" s="478"/>
      <c r="H9" s="478"/>
      <c r="I9" s="479"/>
      <c r="J9" s="480"/>
      <c r="O9" s="481"/>
      <c r="P9" s="272"/>
    </row>
    <row r="10" spans="1:16">
      <c r="C10" s="482" t="s">
        <v>51</v>
      </c>
      <c r="D10" s="483">
        <v>9381462.7200000007</v>
      </c>
      <c r="E10" s="353" t="s">
        <v>52</v>
      </c>
      <c r="F10" s="481"/>
      <c r="G10" s="484"/>
      <c r="H10" s="484"/>
      <c r="I10" s="485">
        <f>+'SWE.WS.F.BPU.ATRR.Projected'!L19</f>
        <v>2024</v>
      </c>
      <c r="J10" s="480"/>
      <c r="K10" s="375" t="s">
        <v>53</v>
      </c>
      <c r="O10" s="272"/>
      <c r="P10" s="272"/>
    </row>
    <row r="11" spans="1:16">
      <c r="C11" s="486" t="s">
        <v>54</v>
      </c>
      <c r="D11" s="487">
        <v>2016</v>
      </c>
      <c r="E11" s="486" t="s">
        <v>55</v>
      </c>
      <c r="F11" s="484"/>
      <c r="G11" s="233"/>
      <c r="H11" s="233"/>
      <c r="I11" s="488">
        <f>IF(G5="",0,'SWE.WS.F.BPU.ATRR.Projected'!F$13)</f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6">
      <c r="C12" s="486" t="s">
        <v>56</v>
      </c>
      <c r="D12" s="483">
        <v>4</v>
      </c>
      <c r="E12" s="486" t="s">
        <v>57</v>
      </c>
      <c r="F12" s="484"/>
      <c r="G12" s="233"/>
      <c r="H12" s="233"/>
      <c r="I12" s="490">
        <f>'SWE.WS.F.BPU.ATRR.Projected'!$F$81</f>
        <v>0.11952713165403545</v>
      </c>
      <c r="J12" s="425"/>
      <c r="K12" s="183" t="s">
        <v>58</v>
      </c>
      <c r="O12" s="272"/>
      <c r="P12" s="272"/>
    </row>
    <row r="13" spans="1:16">
      <c r="C13" s="486" t="s">
        <v>59</v>
      </c>
      <c r="D13" s="488">
        <f>+'SWE.WS.F.BPU.ATRR.Projected'!F$93</f>
        <v>44</v>
      </c>
      <c r="E13" s="486" t="s">
        <v>60</v>
      </c>
      <c r="F13" s="484"/>
      <c r="G13" s="233"/>
      <c r="H13" s="233"/>
      <c r="I13" s="490">
        <f>IF(G5="",I12,'SWE.WS.F.BPU.ATRR.Projected'!$F$80)</f>
        <v>0.11952713165403545</v>
      </c>
      <c r="J13" s="425"/>
      <c r="K13" s="375" t="s">
        <v>61</v>
      </c>
      <c r="L13" s="324"/>
      <c r="M13" s="324"/>
      <c r="N13" s="324"/>
      <c r="O13" s="272"/>
      <c r="P13" s="272"/>
    </row>
    <row r="14" spans="1:16" ht="13.5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213215.06181818183</v>
      </c>
      <c r="J14" s="375"/>
      <c r="K14" s="375"/>
      <c r="L14" s="375"/>
      <c r="M14" s="375"/>
      <c r="N14" s="375"/>
      <c r="O14" s="272"/>
      <c r="P14" s="272"/>
    </row>
    <row r="15" spans="1:16" ht="38.25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388</v>
      </c>
      <c r="H15" s="495" t="s">
        <v>389</v>
      </c>
      <c r="I15" s="492" t="s">
        <v>68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6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600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>
      <c r="C17" s="507">
        <f>IF(D11= "","-",D11)</f>
        <v>2016</v>
      </c>
      <c r="D17" s="631">
        <v>8831593</v>
      </c>
      <c r="E17" s="630">
        <v>105138.01190476192</v>
      </c>
      <c r="F17" s="631">
        <v>8726454.9880952388</v>
      </c>
      <c r="G17" s="630">
        <v>1240275.0587599066</v>
      </c>
      <c r="H17" s="639">
        <v>1240275.0587599066</v>
      </c>
      <c r="I17" s="511">
        <f t="shared" ref="I17:I72" si="0">H17-G17</f>
        <v>0</v>
      </c>
      <c r="J17" s="511"/>
      <c r="K17" s="512">
        <f t="shared" ref="K17:K22" si="1">+G17</f>
        <v>1240275.0587599066</v>
      </c>
      <c r="L17" s="513">
        <f t="shared" ref="L17:L72" si="2">IF(K17&lt;&gt;0,+G17-K17,0)</f>
        <v>0</v>
      </c>
      <c r="M17" s="512">
        <f t="shared" ref="M17:M22" si="3">+H17</f>
        <v>1240275.0587599066</v>
      </c>
      <c r="N17" s="513">
        <f t="shared" ref="N17:N72" si="4">IF(M17&lt;&gt;0,+H17-M17,0)</f>
        <v>0</v>
      </c>
      <c r="O17" s="514">
        <f t="shared" ref="O17:O72" si="5">+N17-L17</f>
        <v>0</v>
      </c>
      <c r="P17" s="272"/>
    </row>
    <row r="18" spans="2:16">
      <c r="B18" s="195" t="str">
        <f>IF(D18=F17,"","IU")</f>
        <v>IU</v>
      </c>
      <c r="C18" s="507">
        <f>IF(D11="","-",+C17+1)</f>
        <v>2017</v>
      </c>
      <c r="D18" s="631">
        <v>9270344.9880952388</v>
      </c>
      <c r="E18" s="630">
        <v>218034.48837209304</v>
      </c>
      <c r="F18" s="631">
        <v>9052310.4997231457</v>
      </c>
      <c r="G18" s="630">
        <v>1353054.593855357</v>
      </c>
      <c r="H18" s="639">
        <v>1353054.593855357</v>
      </c>
      <c r="I18" s="511">
        <f t="shared" si="0"/>
        <v>0</v>
      </c>
      <c r="J18" s="511"/>
      <c r="K18" s="518">
        <f t="shared" si="1"/>
        <v>1353054.593855357</v>
      </c>
      <c r="L18" s="519">
        <f t="shared" ref="L18:L23" si="6">IF(K18&lt;&gt;0,+G18-K18,0)</f>
        <v>0</v>
      </c>
      <c r="M18" s="518">
        <f t="shared" si="3"/>
        <v>1353054.593855357</v>
      </c>
      <c r="N18" s="514">
        <f>IF(M18&lt;&gt;0,+H18-M18,0)</f>
        <v>0</v>
      </c>
      <c r="O18" s="514">
        <f>+N18-L18</f>
        <v>0</v>
      </c>
      <c r="P18" s="272"/>
    </row>
    <row r="19" spans="2:16">
      <c r="B19" s="195" t="str">
        <f>IF(D19=F18,"","IU")</f>
        <v/>
      </c>
      <c r="C19" s="507">
        <f>IF(D11="","-",+C18+1)</f>
        <v>2018</v>
      </c>
      <c r="D19" s="631">
        <v>9052310.4997231457</v>
      </c>
      <c r="E19" s="630">
        <v>228670.31707317074</v>
      </c>
      <c r="F19" s="631">
        <v>8823640.1826499756</v>
      </c>
      <c r="G19" s="630">
        <v>1364634.2393042783</v>
      </c>
      <c r="H19" s="639">
        <v>1364634.2393042783</v>
      </c>
      <c r="I19" s="511">
        <f t="shared" si="0"/>
        <v>0</v>
      </c>
      <c r="J19" s="511"/>
      <c r="K19" s="518">
        <f t="shared" si="1"/>
        <v>1364634.2393042783</v>
      </c>
      <c r="L19" s="519">
        <f t="shared" si="6"/>
        <v>0</v>
      </c>
      <c r="M19" s="518">
        <f t="shared" si="3"/>
        <v>1364634.2393042783</v>
      </c>
      <c r="N19" s="514">
        <f>IF(M19&lt;&gt;0,+H19-M19,0)</f>
        <v>0</v>
      </c>
      <c r="O19" s="514">
        <f>+N19-L19</f>
        <v>0</v>
      </c>
      <c r="P19" s="272"/>
    </row>
    <row r="20" spans="2:16">
      <c r="B20" s="195" t="str">
        <f t="shared" ref="B20:B72" si="7">IF(D20=F19,"","IU")</f>
        <v/>
      </c>
      <c r="C20" s="507">
        <f>IF(D11="","-",+C19+1)</f>
        <v>2019</v>
      </c>
      <c r="D20" s="631">
        <v>8823640.1826499756</v>
      </c>
      <c r="E20" s="630">
        <v>228670.31707317074</v>
      </c>
      <c r="F20" s="631">
        <v>8594969.8655768055</v>
      </c>
      <c r="G20" s="630">
        <v>1335571.5914042245</v>
      </c>
      <c r="H20" s="639">
        <v>1335571.5914042245</v>
      </c>
      <c r="I20" s="511">
        <f t="shared" si="0"/>
        <v>0</v>
      </c>
      <c r="J20" s="511"/>
      <c r="K20" s="518">
        <f t="shared" si="1"/>
        <v>1335571.5914042245</v>
      </c>
      <c r="L20" s="519">
        <f t="shared" si="6"/>
        <v>0</v>
      </c>
      <c r="M20" s="518">
        <f t="shared" si="3"/>
        <v>1335571.5914042245</v>
      </c>
      <c r="N20" s="514">
        <f t="shared" si="4"/>
        <v>0</v>
      </c>
      <c r="O20" s="514">
        <f t="shared" si="5"/>
        <v>0</v>
      </c>
      <c r="P20" s="272"/>
    </row>
    <row r="21" spans="2:16">
      <c r="B21" s="195" t="str">
        <f t="shared" si="7"/>
        <v/>
      </c>
      <c r="C21" s="507">
        <f>IF(D11="","-",+C20+1)</f>
        <v>2020</v>
      </c>
      <c r="D21" s="631">
        <v>8594969.8655768055</v>
      </c>
      <c r="E21" s="630">
        <v>228670.31707317074</v>
      </c>
      <c r="F21" s="631">
        <v>8366299.5485036345</v>
      </c>
      <c r="G21" s="630">
        <v>1096539.9309391833</v>
      </c>
      <c r="H21" s="639">
        <v>1096539.9309391833</v>
      </c>
      <c r="I21" s="511">
        <f t="shared" si="0"/>
        <v>0</v>
      </c>
      <c r="J21" s="511"/>
      <c r="K21" s="518">
        <f t="shared" si="1"/>
        <v>1096539.9309391833</v>
      </c>
      <c r="L21" s="519">
        <f t="shared" si="6"/>
        <v>0</v>
      </c>
      <c r="M21" s="518">
        <f t="shared" si="3"/>
        <v>1096539.9309391833</v>
      </c>
      <c r="N21" s="514">
        <f t="shared" si="4"/>
        <v>0</v>
      </c>
      <c r="O21" s="514">
        <f t="shared" si="5"/>
        <v>0</v>
      </c>
      <c r="P21" s="272"/>
    </row>
    <row r="22" spans="2:16">
      <c r="B22" s="195" t="str">
        <f t="shared" si="7"/>
        <v>IU</v>
      </c>
      <c r="C22" s="507">
        <f>IF(D11="","-",+C21+1)</f>
        <v>2021</v>
      </c>
      <c r="D22" s="631">
        <v>8382915.3772047106</v>
      </c>
      <c r="E22" s="630">
        <v>223368.16666666666</v>
      </c>
      <c r="F22" s="631">
        <v>8159547.2105380436</v>
      </c>
      <c r="G22" s="630">
        <v>1100156.2769158005</v>
      </c>
      <c r="H22" s="639">
        <v>1100156.2769158005</v>
      </c>
      <c r="I22" s="511">
        <f t="shared" si="0"/>
        <v>0</v>
      </c>
      <c r="J22" s="511"/>
      <c r="K22" s="518">
        <f t="shared" si="1"/>
        <v>1100156.2769158005</v>
      </c>
      <c r="L22" s="519">
        <f t="shared" si="6"/>
        <v>0</v>
      </c>
      <c r="M22" s="518">
        <f t="shared" si="3"/>
        <v>1100156.2769158005</v>
      </c>
      <c r="N22" s="514">
        <f t="shared" si="4"/>
        <v>0</v>
      </c>
      <c r="O22" s="514">
        <f t="shared" si="5"/>
        <v>0</v>
      </c>
      <c r="P22" s="272"/>
    </row>
    <row r="23" spans="2:16">
      <c r="B23" s="195" t="str">
        <f t="shared" si="7"/>
        <v>IU</v>
      </c>
      <c r="C23" s="507">
        <f>IF(D11="","-",+C22+1)</f>
        <v>2022</v>
      </c>
      <c r="D23" s="631">
        <v>8148911.3818369657</v>
      </c>
      <c r="E23" s="630">
        <v>223368.16666666666</v>
      </c>
      <c r="F23" s="631">
        <v>7925543.2151702987</v>
      </c>
      <c r="G23" s="630">
        <v>1127106.9316908673</v>
      </c>
      <c r="H23" s="639">
        <v>1127106.9316908673</v>
      </c>
      <c r="I23" s="511">
        <f t="shared" si="0"/>
        <v>0</v>
      </c>
      <c r="J23" s="511"/>
      <c r="K23" s="518">
        <f t="shared" ref="K23" si="8">+G23</f>
        <v>1127106.9316908673</v>
      </c>
      <c r="L23" s="519">
        <f t="shared" si="6"/>
        <v>0</v>
      </c>
      <c r="M23" s="518">
        <f t="shared" ref="M23" si="9">+H23</f>
        <v>1127106.9316908673</v>
      </c>
      <c r="N23" s="514">
        <f t="shared" si="4"/>
        <v>0</v>
      </c>
      <c r="O23" s="514">
        <f t="shared" si="5"/>
        <v>0</v>
      </c>
      <c r="P23" s="272"/>
    </row>
    <row r="24" spans="2:16">
      <c r="B24" s="195" t="str">
        <f t="shared" si="7"/>
        <v>IU</v>
      </c>
      <c r="C24" s="507">
        <f>IF(D11="","-",+C23+1)</f>
        <v>2023</v>
      </c>
      <c r="D24" s="631">
        <v>7925542.9351703003</v>
      </c>
      <c r="E24" s="630">
        <v>223368.16</v>
      </c>
      <c r="F24" s="631">
        <v>7702174.7751703002</v>
      </c>
      <c r="G24" s="630">
        <v>1210467.8508998295</v>
      </c>
      <c r="H24" s="639">
        <v>1210467.8508998295</v>
      </c>
      <c r="I24" s="511">
        <f t="shared" si="0"/>
        <v>0</v>
      </c>
      <c r="J24" s="511"/>
      <c r="K24" s="518">
        <f t="shared" ref="K24" si="10">+G24</f>
        <v>1210467.8508998295</v>
      </c>
      <c r="L24" s="519">
        <f t="shared" ref="L24" si="11">IF(K24&lt;&gt;0,+G24-K24,0)</f>
        <v>0</v>
      </c>
      <c r="M24" s="518">
        <f t="shared" ref="M24" si="12">+H24</f>
        <v>1210467.8508998295</v>
      </c>
      <c r="N24" s="514">
        <f t="shared" ref="N24" si="13">IF(M24&lt;&gt;0,+H24-M24,0)</f>
        <v>0</v>
      </c>
      <c r="O24" s="514">
        <f t="shared" ref="O24" si="14">+N24-L24</f>
        <v>0</v>
      </c>
      <c r="P24" s="272"/>
    </row>
    <row r="25" spans="2:16">
      <c r="B25" s="195" t="str">
        <f t="shared" si="7"/>
        <v/>
      </c>
      <c r="C25" s="673">
        <f>IF(D11="","-",+C24+1)</f>
        <v>2024</v>
      </c>
      <c r="D25" s="523">
        <f>IF(F24+SUM(E$17:E24)=D$10,F24,D$10-SUM(E$17:E24))</f>
        <v>7702174.7751703002</v>
      </c>
      <c r="E25" s="522">
        <f>IF(+I14&lt;F24,I14,D25)</f>
        <v>213215.06181818183</v>
      </c>
      <c r="F25" s="523">
        <f t="shared" ref="F25:F72" si="15">+D25-E25</f>
        <v>7488959.7133521186</v>
      </c>
      <c r="G25" s="524">
        <f t="shared" ref="G25:G49" si="16">+I$12*((D25+F25)/2)+E25</f>
        <v>1121091.4278100706</v>
      </c>
      <c r="H25" s="491">
        <f t="shared" ref="H25:H49" si="17">+I$13*((D25+F25)/2)+E25</f>
        <v>1121091.4278100706</v>
      </c>
      <c r="I25" s="511">
        <f t="shared" si="0"/>
        <v>0</v>
      </c>
      <c r="J25" s="511"/>
      <c r="K25" s="525"/>
      <c r="L25" s="514">
        <f t="shared" si="2"/>
        <v>0</v>
      </c>
      <c r="M25" s="525"/>
      <c r="N25" s="514">
        <f t="shared" si="4"/>
        <v>0</v>
      </c>
      <c r="O25" s="514">
        <f t="shared" si="5"/>
        <v>0</v>
      </c>
      <c r="P25" s="272"/>
    </row>
    <row r="26" spans="2:16">
      <c r="B26" s="195" t="str">
        <f t="shared" si="7"/>
        <v/>
      </c>
      <c r="C26" s="507">
        <f>IF(D11="","-",+C25+1)</f>
        <v>2025</v>
      </c>
      <c r="D26" s="523">
        <f>IF(F25+SUM(E$17:E25)=D$10,F25,D$10-SUM(E$17:E25))</f>
        <v>7488959.7133521186</v>
      </c>
      <c r="E26" s="522">
        <f>IF(+I14&lt;F25,I14,D26)</f>
        <v>213215.06181818183</v>
      </c>
      <c r="F26" s="523">
        <f t="shared" si="15"/>
        <v>7275744.6515339371</v>
      </c>
      <c r="G26" s="524">
        <f t="shared" si="16"/>
        <v>1095606.4430455056</v>
      </c>
      <c r="H26" s="491">
        <f t="shared" si="17"/>
        <v>1095606.4430455056</v>
      </c>
      <c r="I26" s="511">
        <f t="shared" si="0"/>
        <v>0</v>
      </c>
      <c r="J26" s="511"/>
      <c r="K26" s="525"/>
      <c r="L26" s="514">
        <f t="shared" si="2"/>
        <v>0</v>
      </c>
      <c r="M26" s="525"/>
      <c r="N26" s="514">
        <f t="shared" si="4"/>
        <v>0</v>
      </c>
      <c r="O26" s="514">
        <f t="shared" si="5"/>
        <v>0</v>
      </c>
      <c r="P26" s="272"/>
    </row>
    <row r="27" spans="2:16">
      <c r="B27" s="195" t="str">
        <f t="shared" si="7"/>
        <v/>
      </c>
      <c r="C27" s="507">
        <f>IF(D11="","-",+C26+1)</f>
        <v>2026</v>
      </c>
      <c r="D27" s="523">
        <f>IF(F26+SUM(E$17:E26)=D$10,F26,D$10-SUM(E$17:E26))</f>
        <v>7275744.6515339371</v>
      </c>
      <c r="E27" s="522">
        <f>IF(+I14&lt;F26,I14,D27)</f>
        <v>213215.06181818183</v>
      </c>
      <c r="F27" s="523">
        <f t="shared" si="15"/>
        <v>7062529.5897157555</v>
      </c>
      <c r="G27" s="524">
        <f t="shared" si="16"/>
        <v>1070121.4582809403</v>
      </c>
      <c r="H27" s="491">
        <f t="shared" si="17"/>
        <v>1070121.4582809403</v>
      </c>
      <c r="I27" s="511">
        <f t="shared" si="0"/>
        <v>0</v>
      </c>
      <c r="J27" s="511"/>
      <c r="K27" s="525"/>
      <c r="L27" s="514">
        <f t="shared" si="2"/>
        <v>0</v>
      </c>
      <c r="M27" s="525"/>
      <c r="N27" s="514">
        <f t="shared" si="4"/>
        <v>0</v>
      </c>
      <c r="O27" s="514">
        <f t="shared" si="5"/>
        <v>0</v>
      </c>
      <c r="P27" s="272"/>
    </row>
    <row r="28" spans="2:16">
      <c r="B28" s="195" t="str">
        <f t="shared" si="7"/>
        <v/>
      </c>
      <c r="C28" s="507">
        <f>IF(D11="","-",+C27+1)</f>
        <v>2027</v>
      </c>
      <c r="D28" s="523">
        <f>IF(F27+SUM(E$17:E27)=D$10,F27,D$10-SUM(E$17:E27))</f>
        <v>7062529.5897157555</v>
      </c>
      <c r="E28" s="522">
        <f>IF(+I14&lt;F27,I14,D28)</f>
        <v>213215.06181818183</v>
      </c>
      <c r="F28" s="523">
        <f t="shared" si="15"/>
        <v>6849314.527897574</v>
      </c>
      <c r="G28" s="524">
        <f t="shared" si="16"/>
        <v>1044636.4735163753</v>
      </c>
      <c r="H28" s="491">
        <f t="shared" si="17"/>
        <v>1044636.4735163753</v>
      </c>
      <c r="I28" s="511">
        <f t="shared" si="0"/>
        <v>0</v>
      </c>
      <c r="J28" s="511"/>
      <c r="K28" s="525"/>
      <c r="L28" s="514">
        <f t="shared" si="2"/>
        <v>0</v>
      </c>
      <c r="M28" s="525"/>
      <c r="N28" s="514">
        <f t="shared" si="4"/>
        <v>0</v>
      </c>
      <c r="O28" s="514">
        <f t="shared" si="5"/>
        <v>0</v>
      </c>
      <c r="P28" s="272"/>
    </row>
    <row r="29" spans="2:16">
      <c r="B29" s="195" t="str">
        <f t="shared" si="7"/>
        <v/>
      </c>
      <c r="C29" s="507">
        <f>IF(D11="","-",+C28+1)</f>
        <v>2028</v>
      </c>
      <c r="D29" s="523">
        <f>IF(F28+SUM(E$17:E28)=D$10,F28,D$10-SUM(E$17:E28))</f>
        <v>6849314.527897574</v>
      </c>
      <c r="E29" s="522">
        <f>IF(+I14&lt;F28,I14,D29)</f>
        <v>213215.06181818183</v>
      </c>
      <c r="F29" s="523">
        <f t="shared" si="15"/>
        <v>6636099.4660793925</v>
      </c>
      <c r="G29" s="524">
        <f t="shared" si="16"/>
        <v>1019151.4887518103</v>
      </c>
      <c r="H29" s="491">
        <f t="shared" si="17"/>
        <v>1019151.4887518103</v>
      </c>
      <c r="I29" s="511">
        <f t="shared" si="0"/>
        <v>0</v>
      </c>
      <c r="J29" s="511"/>
      <c r="K29" s="525"/>
      <c r="L29" s="514">
        <f t="shared" si="2"/>
        <v>0</v>
      </c>
      <c r="M29" s="525"/>
      <c r="N29" s="514">
        <f t="shared" si="4"/>
        <v>0</v>
      </c>
      <c r="O29" s="514">
        <f t="shared" si="5"/>
        <v>0</v>
      </c>
      <c r="P29" s="272"/>
    </row>
    <row r="30" spans="2:16">
      <c r="B30" s="195" t="str">
        <f t="shared" si="7"/>
        <v/>
      </c>
      <c r="C30" s="507">
        <f>IF(D11="","-",+C29+1)</f>
        <v>2029</v>
      </c>
      <c r="D30" s="523">
        <f>IF(F29+SUM(E$17:E29)=D$10,F29,D$10-SUM(E$17:E29))</f>
        <v>6636099.4660793925</v>
      </c>
      <c r="E30" s="522">
        <f>IF(+I14&lt;F29,I14,D30)</f>
        <v>213215.06181818183</v>
      </c>
      <c r="F30" s="523">
        <f t="shared" si="15"/>
        <v>6422884.4042612109</v>
      </c>
      <c r="G30" s="524">
        <f t="shared" si="16"/>
        <v>993666.50398724526</v>
      </c>
      <c r="H30" s="491">
        <f t="shared" si="17"/>
        <v>993666.50398724526</v>
      </c>
      <c r="I30" s="511">
        <f t="shared" si="0"/>
        <v>0</v>
      </c>
      <c r="J30" s="511"/>
      <c r="K30" s="525"/>
      <c r="L30" s="514">
        <f t="shared" si="2"/>
        <v>0</v>
      </c>
      <c r="M30" s="525"/>
      <c r="N30" s="514">
        <f t="shared" si="4"/>
        <v>0</v>
      </c>
      <c r="O30" s="514">
        <f t="shared" si="5"/>
        <v>0</v>
      </c>
      <c r="P30" s="272"/>
    </row>
    <row r="31" spans="2:16">
      <c r="B31" s="195" t="str">
        <f t="shared" si="7"/>
        <v/>
      </c>
      <c r="C31" s="507">
        <f>IF(D11="","-",+C30+1)</f>
        <v>2030</v>
      </c>
      <c r="D31" s="523">
        <f>IF(F30+SUM(E$17:E30)=D$10,F30,D$10-SUM(E$17:E30))</f>
        <v>6422884.4042612109</v>
      </c>
      <c r="E31" s="522">
        <f>IF(+I14&lt;F30,I14,D31)</f>
        <v>213215.06181818183</v>
      </c>
      <c r="F31" s="523">
        <f t="shared" si="15"/>
        <v>6209669.3424430294</v>
      </c>
      <c r="G31" s="524">
        <f t="shared" si="16"/>
        <v>968181.51922268001</v>
      </c>
      <c r="H31" s="491">
        <f t="shared" si="17"/>
        <v>968181.51922268001</v>
      </c>
      <c r="I31" s="511">
        <f t="shared" si="0"/>
        <v>0</v>
      </c>
      <c r="J31" s="511"/>
      <c r="K31" s="525"/>
      <c r="L31" s="514">
        <f t="shared" si="2"/>
        <v>0</v>
      </c>
      <c r="M31" s="525"/>
      <c r="N31" s="514">
        <f t="shared" si="4"/>
        <v>0</v>
      </c>
      <c r="O31" s="514">
        <f t="shared" si="5"/>
        <v>0</v>
      </c>
      <c r="P31" s="272"/>
    </row>
    <row r="32" spans="2:16">
      <c r="B32" s="195" t="str">
        <f t="shared" si="7"/>
        <v/>
      </c>
      <c r="C32" s="507">
        <f>IF(D11="","-",+C31+1)</f>
        <v>2031</v>
      </c>
      <c r="D32" s="523">
        <f>IF(F31+SUM(E$17:E31)=D$10,F31,D$10-SUM(E$17:E31))</f>
        <v>6209669.3424430294</v>
      </c>
      <c r="E32" s="522">
        <f>IF(+I14&lt;F31,I14,D32)</f>
        <v>213215.06181818183</v>
      </c>
      <c r="F32" s="523">
        <f t="shared" si="15"/>
        <v>5996454.2806248479</v>
      </c>
      <c r="G32" s="524">
        <f t="shared" si="16"/>
        <v>942696.534458115</v>
      </c>
      <c r="H32" s="491">
        <f t="shared" si="17"/>
        <v>942696.534458115</v>
      </c>
      <c r="I32" s="511">
        <f t="shared" si="0"/>
        <v>0</v>
      </c>
      <c r="J32" s="511"/>
      <c r="K32" s="525"/>
      <c r="L32" s="514">
        <f t="shared" si="2"/>
        <v>0</v>
      </c>
      <c r="M32" s="525"/>
      <c r="N32" s="514">
        <f t="shared" si="4"/>
        <v>0</v>
      </c>
      <c r="O32" s="514">
        <f t="shared" si="5"/>
        <v>0</v>
      </c>
      <c r="P32" s="272"/>
    </row>
    <row r="33" spans="2:16">
      <c r="B33" s="195" t="str">
        <f t="shared" si="7"/>
        <v/>
      </c>
      <c r="C33" s="507">
        <f>IF(D11="","-",+C32+1)</f>
        <v>2032</v>
      </c>
      <c r="D33" s="523">
        <f>IF(F32+SUM(E$17:E32)=D$10,F32,D$10-SUM(E$17:E32))</f>
        <v>5996454.2806248479</v>
      </c>
      <c r="E33" s="522">
        <f>IF(+I14&lt;F32,I14,D33)</f>
        <v>213215.06181818183</v>
      </c>
      <c r="F33" s="523">
        <f t="shared" si="15"/>
        <v>5783239.2188066663</v>
      </c>
      <c r="G33" s="524">
        <f t="shared" si="16"/>
        <v>917211.54969354975</v>
      </c>
      <c r="H33" s="491">
        <f t="shared" si="17"/>
        <v>917211.54969354975</v>
      </c>
      <c r="I33" s="511">
        <f t="shared" si="0"/>
        <v>0</v>
      </c>
      <c r="J33" s="511"/>
      <c r="K33" s="525"/>
      <c r="L33" s="514">
        <f t="shared" si="2"/>
        <v>0</v>
      </c>
      <c r="M33" s="525"/>
      <c r="N33" s="514">
        <f t="shared" si="4"/>
        <v>0</v>
      </c>
      <c r="O33" s="514">
        <f t="shared" si="5"/>
        <v>0</v>
      </c>
      <c r="P33" s="272"/>
    </row>
    <row r="34" spans="2:16">
      <c r="B34" s="195" t="str">
        <f t="shared" si="7"/>
        <v/>
      </c>
      <c r="C34" s="507">
        <f>IF(D11="","-",+C33+1)</f>
        <v>2033</v>
      </c>
      <c r="D34" s="523">
        <f>IF(F33+SUM(E$17:E33)=D$10,F33,D$10-SUM(E$17:E33))</f>
        <v>5783239.2188066663</v>
      </c>
      <c r="E34" s="522">
        <f>IF(+I14&lt;F33,I14,D34)</f>
        <v>213215.06181818183</v>
      </c>
      <c r="F34" s="523">
        <f t="shared" si="15"/>
        <v>5570024.1569884848</v>
      </c>
      <c r="G34" s="524">
        <f t="shared" si="16"/>
        <v>891726.56492898474</v>
      </c>
      <c r="H34" s="491">
        <f t="shared" si="17"/>
        <v>891726.56492898474</v>
      </c>
      <c r="I34" s="511">
        <f t="shared" si="0"/>
        <v>0</v>
      </c>
      <c r="J34" s="511"/>
      <c r="K34" s="525"/>
      <c r="L34" s="514">
        <f t="shared" si="2"/>
        <v>0</v>
      </c>
      <c r="M34" s="525"/>
      <c r="N34" s="514">
        <f t="shared" si="4"/>
        <v>0</v>
      </c>
      <c r="O34" s="514">
        <f t="shared" si="5"/>
        <v>0</v>
      </c>
      <c r="P34" s="272"/>
    </row>
    <row r="35" spans="2:16">
      <c r="B35" s="195" t="str">
        <f t="shared" si="7"/>
        <v/>
      </c>
      <c r="C35" s="507">
        <f>IF(D11="","-",+C34+1)</f>
        <v>2034</v>
      </c>
      <c r="D35" s="523">
        <f>IF(F34+SUM(E$17:E34)=D$10,F34,D$10-SUM(E$17:E34))</f>
        <v>5570024.1569884801</v>
      </c>
      <c r="E35" s="522">
        <f>IF(+I14&lt;F34,I14,D35)</f>
        <v>213215.06181818183</v>
      </c>
      <c r="F35" s="523">
        <f t="shared" si="15"/>
        <v>5356809.0951702986</v>
      </c>
      <c r="G35" s="524">
        <f t="shared" si="16"/>
        <v>866241.58016441925</v>
      </c>
      <c r="H35" s="491">
        <f t="shared" si="17"/>
        <v>866241.58016441925</v>
      </c>
      <c r="I35" s="511">
        <f t="shared" si="0"/>
        <v>0</v>
      </c>
      <c r="J35" s="511"/>
      <c r="K35" s="525"/>
      <c r="L35" s="514">
        <f t="shared" si="2"/>
        <v>0</v>
      </c>
      <c r="M35" s="525"/>
      <c r="N35" s="514">
        <f t="shared" si="4"/>
        <v>0</v>
      </c>
      <c r="O35" s="514">
        <f t="shared" si="5"/>
        <v>0</v>
      </c>
      <c r="P35" s="272"/>
    </row>
    <row r="36" spans="2:16">
      <c r="B36" s="195" t="str">
        <f t="shared" si="7"/>
        <v/>
      </c>
      <c r="C36" s="507">
        <f>IF(D11="","-",+C35+1)</f>
        <v>2035</v>
      </c>
      <c r="D36" s="523">
        <f>IF(F35+SUM(E$17:E35)=D$10,F35,D$10-SUM(E$17:E35))</f>
        <v>5356809.0951702986</v>
      </c>
      <c r="E36" s="522">
        <f>IF(+I14&lt;F35,I14,D36)</f>
        <v>213215.06181818183</v>
      </c>
      <c r="F36" s="523">
        <f t="shared" si="15"/>
        <v>5143594.0333521171</v>
      </c>
      <c r="G36" s="524">
        <f t="shared" si="16"/>
        <v>840756.59539985401</v>
      </c>
      <c r="H36" s="491">
        <f t="shared" si="17"/>
        <v>840756.59539985401</v>
      </c>
      <c r="I36" s="511">
        <f t="shared" si="0"/>
        <v>0</v>
      </c>
      <c r="J36" s="511"/>
      <c r="K36" s="525"/>
      <c r="L36" s="514">
        <f t="shared" si="2"/>
        <v>0</v>
      </c>
      <c r="M36" s="525"/>
      <c r="N36" s="514">
        <f t="shared" si="4"/>
        <v>0</v>
      </c>
      <c r="O36" s="514">
        <f t="shared" si="5"/>
        <v>0</v>
      </c>
      <c r="P36" s="272"/>
    </row>
    <row r="37" spans="2:16">
      <c r="B37" s="195" t="str">
        <f t="shared" si="7"/>
        <v/>
      </c>
      <c r="C37" s="507">
        <f>IF(D11="","-",+C36+1)</f>
        <v>2036</v>
      </c>
      <c r="D37" s="523">
        <f>IF(F36+SUM(E$17:E36)=D$10,F36,D$10-SUM(E$17:E36))</f>
        <v>5143594.0333521171</v>
      </c>
      <c r="E37" s="522">
        <f>IF(+I14&lt;F36,I14,D37)</f>
        <v>213215.06181818183</v>
      </c>
      <c r="F37" s="523">
        <f t="shared" si="15"/>
        <v>4930378.9715339355</v>
      </c>
      <c r="G37" s="524">
        <f t="shared" si="16"/>
        <v>815271.61063528899</v>
      </c>
      <c r="H37" s="491">
        <f t="shared" si="17"/>
        <v>815271.61063528899</v>
      </c>
      <c r="I37" s="511">
        <f t="shared" si="0"/>
        <v>0</v>
      </c>
      <c r="J37" s="511"/>
      <c r="K37" s="525"/>
      <c r="L37" s="514">
        <f t="shared" si="2"/>
        <v>0</v>
      </c>
      <c r="M37" s="525"/>
      <c r="N37" s="514">
        <f t="shared" si="4"/>
        <v>0</v>
      </c>
      <c r="O37" s="514">
        <f t="shared" si="5"/>
        <v>0</v>
      </c>
      <c r="P37" s="272"/>
    </row>
    <row r="38" spans="2:16">
      <c r="B38" s="195" t="str">
        <f t="shared" si="7"/>
        <v/>
      </c>
      <c r="C38" s="507">
        <f>IF(D11="","-",+C37+1)</f>
        <v>2037</v>
      </c>
      <c r="D38" s="523">
        <f>IF(F37+SUM(E$17:E37)=D$10,F37,D$10-SUM(E$17:E37))</f>
        <v>4930378.9715339355</v>
      </c>
      <c r="E38" s="522">
        <f>IF(+I14&lt;F37,I14,D38)</f>
        <v>213215.06181818183</v>
      </c>
      <c r="F38" s="523">
        <f t="shared" si="15"/>
        <v>4717163.909715754</v>
      </c>
      <c r="G38" s="524">
        <f t="shared" si="16"/>
        <v>789786.62587072374</v>
      </c>
      <c r="H38" s="491">
        <f t="shared" si="17"/>
        <v>789786.62587072374</v>
      </c>
      <c r="I38" s="511">
        <f t="shared" si="0"/>
        <v>0</v>
      </c>
      <c r="J38" s="511"/>
      <c r="K38" s="525"/>
      <c r="L38" s="514">
        <f t="shared" si="2"/>
        <v>0</v>
      </c>
      <c r="M38" s="525"/>
      <c r="N38" s="514">
        <f t="shared" si="4"/>
        <v>0</v>
      </c>
      <c r="O38" s="514">
        <f t="shared" si="5"/>
        <v>0</v>
      </c>
      <c r="P38" s="272"/>
    </row>
    <row r="39" spans="2:16">
      <c r="B39" s="195" t="str">
        <f t="shared" si="7"/>
        <v/>
      </c>
      <c r="C39" s="507">
        <f>IF(D11="","-",+C38+1)</f>
        <v>2038</v>
      </c>
      <c r="D39" s="523">
        <f>IF(F38+SUM(E$17:E38)=D$10,F38,D$10-SUM(E$17:E38))</f>
        <v>4717163.909715754</v>
      </c>
      <c r="E39" s="522">
        <f>IF(+I14&lt;F38,I14,D39)</f>
        <v>213215.06181818183</v>
      </c>
      <c r="F39" s="523">
        <f t="shared" si="15"/>
        <v>4503948.8478975724</v>
      </c>
      <c r="G39" s="524">
        <f t="shared" si="16"/>
        <v>764301.64110615873</v>
      </c>
      <c r="H39" s="491">
        <f t="shared" si="17"/>
        <v>764301.64110615873</v>
      </c>
      <c r="I39" s="511">
        <f t="shared" si="0"/>
        <v>0</v>
      </c>
      <c r="J39" s="511"/>
      <c r="K39" s="525"/>
      <c r="L39" s="514">
        <f t="shared" si="2"/>
        <v>0</v>
      </c>
      <c r="M39" s="525"/>
      <c r="N39" s="514">
        <f t="shared" si="4"/>
        <v>0</v>
      </c>
      <c r="O39" s="514">
        <f t="shared" si="5"/>
        <v>0</v>
      </c>
      <c r="P39" s="272"/>
    </row>
    <row r="40" spans="2:16">
      <c r="B40" s="195" t="str">
        <f t="shared" si="7"/>
        <v/>
      </c>
      <c r="C40" s="507">
        <f>IF(D11="","-",+C39+1)</f>
        <v>2039</v>
      </c>
      <c r="D40" s="523">
        <f>IF(F39+SUM(E$17:E39)=D$10,F39,D$10-SUM(E$17:E39))</f>
        <v>4503948.8478975724</v>
      </c>
      <c r="E40" s="522">
        <f>IF(+I14&lt;F39,I14,D40)</f>
        <v>213215.06181818183</v>
      </c>
      <c r="F40" s="523">
        <f t="shared" si="15"/>
        <v>4290733.7860793909</v>
      </c>
      <c r="G40" s="524">
        <f t="shared" si="16"/>
        <v>738816.65634159371</v>
      </c>
      <c r="H40" s="491">
        <f t="shared" si="17"/>
        <v>738816.65634159371</v>
      </c>
      <c r="I40" s="511">
        <f t="shared" si="0"/>
        <v>0</v>
      </c>
      <c r="J40" s="511"/>
      <c r="K40" s="525"/>
      <c r="L40" s="514">
        <f t="shared" si="2"/>
        <v>0</v>
      </c>
      <c r="M40" s="525"/>
      <c r="N40" s="514">
        <f t="shared" si="4"/>
        <v>0</v>
      </c>
      <c r="O40" s="514">
        <f t="shared" si="5"/>
        <v>0</v>
      </c>
      <c r="P40" s="272"/>
    </row>
    <row r="41" spans="2:16">
      <c r="B41" s="195" t="str">
        <f t="shared" si="7"/>
        <v/>
      </c>
      <c r="C41" s="507">
        <f>IF(D11="","-",+C40+1)</f>
        <v>2040</v>
      </c>
      <c r="D41" s="523">
        <f>IF(F40+SUM(E$17:E40)=D$10,F40,D$10-SUM(E$17:E40))</f>
        <v>4290733.7860793909</v>
      </c>
      <c r="E41" s="522">
        <f>IF(+I14&lt;F40,I14,D41)</f>
        <v>213215.06181818183</v>
      </c>
      <c r="F41" s="523">
        <f t="shared" si="15"/>
        <v>4077518.7242612089</v>
      </c>
      <c r="G41" s="524">
        <f t="shared" si="16"/>
        <v>713331.67157702846</v>
      </c>
      <c r="H41" s="491">
        <f t="shared" si="17"/>
        <v>713331.67157702846</v>
      </c>
      <c r="I41" s="511">
        <f t="shared" si="0"/>
        <v>0</v>
      </c>
      <c r="J41" s="511"/>
      <c r="K41" s="525"/>
      <c r="L41" s="514">
        <f t="shared" si="2"/>
        <v>0</v>
      </c>
      <c r="M41" s="525"/>
      <c r="N41" s="514">
        <f t="shared" si="4"/>
        <v>0</v>
      </c>
      <c r="O41" s="514">
        <f t="shared" si="5"/>
        <v>0</v>
      </c>
      <c r="P41" s="272"/>
    </row>
    <row r="42" spans="2:16">
      <c r="B42" s="195" t="str">
        <f t="shared" si="7"/>
        <v/>
      </c>
      <c r="C42" s="507">
        <f>IF(D11="","-",+C41+1)</f>
        <v>2041</v>
      </c>
      <c r="D42" s="523">
        <f>IF(F41+SUM(E$17:E41)=D$10,F41,D$10-SUM(E$17:E41))</f>
        <v>4077518.7242612089</v>
      </c>
      <c r="E42" s="522">
        <f>IF(+I14&lt;F41,I14,D42)</f>
        <v>213215.06181818183</v>
      </c>
      <c r="F42" s="523">
        <f t="shared" si="15"/>
        <v>3864303.6624430269</v>
      </c>
      <c r="G42" s="524">
        <f t="shared" si="16"/>
        <v>687846.68681246345</v>
      </c>
      <c r="H42" s="491">
        <f t="shared" si="17"/>
        <v>687846.68681246345</v>
      </c>
      <c r="I42" s="511">
        <f t="shared" si="0"/>
        <v>0</v>
      </c>
      <c r="J42" s="511"/>
      <c r="K42" s="525"/>
      <c r="L42" s="514">
        <f t="shared" si="2"/>
        <v>0</v>
      </c>
      <c r="M42" s="525"/>
      <c r="N42" s="514">
        <f t="shared" si="4"/>
        <v>0</v>
      </c>
      <c r="O42" s="514">
        <f t="shared" si="5"/>
        <v>0</v>
      </c>
      <c r="P42" s="272"/>
    </row>
    <row r="43" spans="2:16">
      <c r="B43" s="195" t="str">
        <f t="shared" si="7"/>
        <v/>
      </c>
      <c r="C43" s="507">
        <f>IF(D11="","-",+C42+1)</f>
        <v>2042</v>
      </c>
      <c r="D43" s="523">
        <f>IF(F42+SUM(E$17:E42)=D$10,F42,D$10-SUM(E$17:E42))</f>
        <v>3864303.6624430269</v>
      </c>
      <c r="E43" s="522">
        <f>IF(+I14&lt;F42,I14,D43)</f>
        <v>213215.06181818183</v>
      </c>
      <c r="F43" s="523">
        <f t="shared" si="15"/>
        <v>3651088.6006248449</v>
      </c>
      <c r="G43" s="524">
        <f t="shared" si="16"/>
        <v>662361.7020478982</v>
      </c>
      <c r="H43" s="491">
        <f t="shared" si="17"/>
        <v>662361.7020478982</v>
      </c>
      <c r="I43" s="511">
        <f t="shared" si="0"/>
        <v>0</v>
      </c>
      <c r="J43" s="511"/>
      <c r="K43" s="525"/>
      <c r="L43" s="514">
        <f t="shared" si="2"/>
        <v>0</v>
      </c>
      <c r="M43" s="525"/>
      <c r="N43" s="514">
        <f t="shared" si="4"/>
        <v>0</v>
      </c>
      <c r="O43" s="514">
        <f t="shared" si="5"/>
        <v>0</v>
      </c>
      <c r="P43" s="272"/>
    </row>
    <row r="44" spans="2:16">
      <c r="B44" s="195" t="str">
        <f t="shared" si="7"/>
        <v/>
      </c>
      <c r="C44" s="507">
        <f>IF(D11="","-",+C43+1)</f>
        <v>2043</v>
      </c>
      <c r="D44" s="523">
        <f>IF(F43+SUM(E$17:E43)=D$10,F43,D$10-SUM(E$17:E43))</f>
        <v>3651088.6006248449</v>
      </c>
      <c r="E44" s="522">
        <f>IF(+I14&lt;F43,I14,D44)</f>
        <v>213215.06181818183</v>
      </c>
      <c r="F44" s="523">
        <f t="shared" si="15"/>
        <v>3437873.5388066629</v>
      </c>
      <c r="G44" s="524">
        <f t="shared" si="16"/>
        <v>636876.71728333319</v>
      </c>
      <c r="H44" s="491">
        <f t="shared" si="17"/>
        <v>636876.71728333319</v>
      </c>
      <c r="I44" s="511">
        <f t="shared" si="0"/>
        <v>0</v>
      </c>
      <c r="J44" s="511"/>
      <c r="K44" s="525"/>
      <c r="L44" s="514">
        <f t="shared" si="2"/>
        <v>0</v>
      </c>
      <c r="M44" s="525"/>
      <c r="N44" s="514">
        <f t="shared" si="4"/>
        <v>0</v>
      </c>
      <c r="O44" s="514">
        <f t="shared" si="5"/>
        <v>0</v>
      </c>
      <c r="P44" s="272"/>
    </row>
    <row r="45" spans="2:16">
      <c r="B45" s="195" t="str">
        <f t="shared" si="7"/>
        <v/>
      </c>
      <c r="C45" s="507">
        <f>IF(D11="","-",+C44+1)</f>
        <v>2044</v>
      </c>
      <c r="D45" s="523">
        <f>IF(F44+SUM(E$17:E44)=D$10,F44,D$10-SUM(E$17:E44))</f>
        <v>3437873.5388066629</v>
      </c>
      <c r="E45" s="522">
        <f>IF(+I14&lt;F44,I14,D45)</f>
        <v>213215.06181818183</v>
      </c>
      <c r="F45" s="523">
        <f t="shared" si="15"/>
        <v>3224658.4769884809</v>
      </c>
      <c r="G45" s="524">
        <f t="shared" si="16"/>
        <v>611391.73251876794</v>
      </c>
      <c r="H45" s="491">
        <f t="shared" si="17"/>
        <v>611391.73251876794</v>
      </c>
      <c r="I45" s="511">
        <f t="shared" si="0"/>
        <v>0</v>
      </c>
      <c r="J45" s="511"/>
      <c r="K45" s="525"/>
      <c r="L45" s="514">
        <f t="shared" si="2"/>
        <v>0</v>
      </c>
      <c r="M45" s="525"/>
      <c r="N45" s="514">
        <f t="shared" si="4"/>
        <v>0</v>
      </c>
      <c r="O45" s="514">
        <f t="shared" si="5"/>
        <v>0</v>
      </c>
      <c r="P45" s="272"/>
    </row>
    <row r="46" spans="2:16">
      <c r="B46" s="195" t="str">
        <f t="shared" si="7"/>
        <v/>
      </c>
      <c r="C46" s="507">
        <f>IF(D11="","-",+C45+1)</f>
        <v>2045</v>
      </c>
      <c r="D46" s="523">
        <f>IF(F45+SUM(E$17:E45)=D$10,F45,D$10-SUM(E$17:E45))</f>
        <v>3224658.4769884809</v>
      </c>
      <c r="E46" s="522">
        <f>IF(+I14&lt;F45,I14,D46)</f>
        <v>213215.06181818183</v>
      </c>
      <c r="F46" s="523">
        <f t="shared" si="15"/>
        <v>3011443.4151702989</v>
      </c>
      <c r="G46" s="524">
        <f t="shared" si="16"/>
        <v>585906.74775420292</v>
      </c>
      <c r="H46" s="491">
        <f t="shared" si="17"/>
        <v>585906.74775420292</v>
      </c>
      <c r="I46" s="511">
        <f t="shared" si="0"/>
        <v>0</v>
      </c>
      <c r="J46" s="511"/>
      <c r="K46" s="525"/>
      <c r="L46" s="514">
        <f t="shared" si="2"/>
        <v>0</v>
      </c>
      <c r="M46" s="525"/>
      <c r="N46" s="514">
        <f t="shared" si="4"/>
        <v>0</v>
      </c>
      <c r="O46" s="514">
        <f t="shared" si="5"/>
        <v>0</v>
      </c>
      <c r="P46" s="272"/>
    </row>
    <row r="47" spans="2:16">
      <c r="B47" s="195" t="str">
        <f t="shared" si="7"/>
        <v/>
      </c>
      <c r="C47" s="507">
        <f>IF(D11="","-",+C46+1)</f>
        <v>2046</v>
      </c>
      <c r="D47" s="523">
        <f>IF(F46+SUM(E$17:E46)=D$10,F46,D$10-SUM(E$17:E46))</f>
        <v>3011443.4151702989</v>
      </c>
      <c r="E47" s="522">
        <f>IF(+I14&lt;F46,I14,D47)</f>
        <v>213215.06181818183</v>
      </c>
      <c r="F47" s="523">
        <f t="shared" si="15"/>
        <v>2798228.3533521169</v>
      </c>
      <c r="G47" s="524">
        <f t="shared" si="16"/>
        <v>560421.76298963767</v>
      </c>
      <c r="H47" s="491">
        <f t="shared" si="17"/>
        <v>560421.76298963767</v>
      </c>
      <c r="I47" s="511">
        <f t="shared" si="0"/>
        <v>0</v>
      </c>
      <c r="J47" s="511"/>
      <c r="K47" s="525"/>
      <c r="L47" s="514">
        <f t="shared" si="2"/>
        <v>0</v>
      </c>
      <c r="M47" s="525"/>
      <c r="N47" s="514">
        <f t="shared" si="4"/>
        <v>0</v>
      </c>
      <c r="O47" s="514">
        <f t="shared" si="5"/>
        <v>0</v>
      </c>
      <c r="P47" s="272"/>
    </row>
    <row r="48" spans="2:16">
      <c r="B48" s="195" t="str">
        <f t="shared" si="7"/>
        <v/>
      </c>
      <c r="C48" s="507">
        <f>IF(D11="","-",+C47+1)</f>
        <v>2047</v>
      </c>
      <c r="D48" s="523">
        <f>IF(F47+SUM(E$17:E47)=D$10,F47,D$10-SUM(E$17:E47))</f>
        <v>2798228.3533521169</v>
      </c>
      <c r="E48" s="522">
        <f>IF(+I14&lt;F47,I14,D48)</f>
        <v>213215.06181818183</v>
      </c>
      <c r="F48" s="523">
        <f t="shared" si="15"/>
        <v>2585013.2915339349</v>
      </c>
      <c r="G48" s="524">
        <f t="shared" si="16"/>
        <v>534936.77822507266</v>
      </c>
      <c r="H48" s="491">
        <f t="shared" si="17"/>
        <v>534936.77822507266</v>
      </c>
      <c r="I48" s="511">
        <f t="shared" si="0"/>
        <v>0</v>
      </c>
      <c r="J48" s="511"/>
      <c r="K48" s="525"/>
      <c r="L48" s="514">
        <f t="shared" si="2"/>
        <v>0</v>
      </c>
      <c r="M48" s="525"/>
      <c r="N48" s="514">
        <f t="shared" si="4"/>
        <v>0</v>
      </c>
      <c r="O48" s="514">
        <f t="shared" si="5"/>
        <v>0</v>
      </c>
      <c r="P48" s="272"/>
    </row>
    <row r="49" spans="2:16">
      <c r="B49" s="195" t="str">
        <f t="shared" si="7"/>
        <v/>
      </c>
      <c r="C49" s="507">
        <f>IF(D11="","-",+C48+1)</f>
        <v>2048</v>
      </c>
      <c r="D49" s="523">
        <f>IF(F48+SUM(E$17:E48)=D$10,F48,D$10-SUM(E$17:E48))</f>
        <v>2585013.2915339349</v>
      </c>
      <c r="E49" s="522">
        <f>IF(+I14&lt;F48,I14,D49)</f>
        <v>213215.06181818183</v>
      </c>
      <c r="F49" s="523">
        <f t="shared" si="15"/>
        <v>2371798.2297157529</v>
      </c>
      <c r="G49" s="524">
        <f t="shared" si="16"/>
        <v>509451.79346050735</v>
      </c>
      <c r="H49" s="491">
        <f t="shared" si="17"/>
        <v>509451.79346050735</v>
      </c>
      <c r="I49" s="511">
        <f t="shared" si="0"/>
        <v>0</v>
      </c>
      <c r="J49" s="511"/>
      <c r="K49" s="525"/>
      <c r="L49" s="514">
        <f t="shared" si="2"/>
        <v>0</v>
      </c>
      <c r="M49" s="525"/>
      <c r="N49" s="514">
        <f t="shared" si="4"/>
        <v>0</v>
      </c>
      <c r="O49" s="514">
        <f t="shared" si="5"/>
        <v>0</v>
      </c>
      <c r="P49" s="272"/>
    </row>
    <row r="50" spans="2:16">
      <c r="B50" s="195" t="str">
        <f t="shared" si="7"/>
        <v/>
      </c>
      <c r="C50" s="507">
        <f>IF(D11="","-",+C49+1)</f>
        <v>2049</v>
      </c>
      <c r="D50" s="523">
        <f>IF(F49+SUM(E$17:E49)=D$10,F49,D$10-SUM(E$17:E49))</f>
        <v>2371798.2297157529</v>
      </c>
      <c r="E50" s="522">
        <f>IF(+I14&lt;F49,I14,D50)</f>
        <v>213215.06181818183</v>
      </c>
      <c r="F50" s="523">
        <f t="shared" si="15"/>
        <v>2158583.1678975709</v>
      </c>
      <c r="G50" s="524">
        <f t="shared" ref="G50:G72" si="18">+I$12*((D50+F50)/2)+E50</f>
        <v>483966.80869594228</v>
      </c>
      <c r="H50" s="491">
        <f t="shared" ref="H50:H72" si="19">+I$13*((D50+F50)/2)+E50</f>
        <v>483966.80869594228</v>
      </c>
      <c r="I50" s="511">
        <f t="shared" si="0"/>
        <v>0</v>
      </c>
      <c r="J50" s="511"/>
      <c r="K50" s="525"/>
      <c r="L50" s="514">
        <f t="shared" si="2"/>
        <v>0</v>
      </c>
      <c r="M50" s="525"/>
      <c r="N50" s="514">
        <f t="shared" si="4"/>
        <v>0</v>
      </c>
      <c r="O50" s="514">
        <f t="shared" si="5"/>
        <v>0</v>
      </c>
      <c r="P50" s="272"/>
    </row>
    <row r="51" spans="2:16">
      <c r="B51" s="195" t="str">
        <f t="shared" si="7"/>
        <v/>
      </c>
      <c r="C51" s="507">
        <f>IF(D11="","-",+C50+1)</f>
        <v>2050</v>
      </c>
      <c r="D51" s="523">
        <f>IF(F50+SUM(E$17:E50)=D$10,F50,D$10-SUM(E$17:E50))</f>
        <v>2158583.1678975709</v>
      </c>
      <c r="E51" s="522">
        <f>IF(+I14&lt;F50,I14,D51)</f>
        <v>213215.06181818183</v>
      </c>
      <c r="F51" s="523">
        <f t="shared" si="15"/>
        <v>1945368.1060793891</v>
      </c>
      <c r="G51" s="524">
        <f t="shared" si="18"/>
        <v>458481.82393137715</v>
      </c>
      <c r="H51" s="491">
        <f t="shared" si="19"/>
        <v>458481.82393137715</v>
      </c>
      <c r="I51" s="511">
        <f t="shared" si="0"/>
        <v>0</v>
      </c>
      <c r="J51" s="511"/>
      <c r="K51" s="525"/>
      <c r="L51" s="514">
        <f t="shared" si="2"/>
        <v>0</v>
      </c>
      <c r="M51" s="525"/>
      <c r="N51" s="514">
        <f t="shared" si="4"/>
        <v>0</v>
      </c>
      <c r="O51" s="514">
        <f t="shared" si="5"/>
        <v>0</v>
      </c>
      <c r="P51" s="272"/>
    </row>
    <row r="52" spans="2:16">
      <c r="B52" s="195" t="str">
        <f t="shared" si="7"/>
        <v/>
      </c>
      <c r="C52" s="507">
        <f>IF(D11="","-",+C51+1)</f>
        <v>2051</v>
      </c>
      <c r="D52" s="523">
        <f>IF(F51+SUM(E$17:E51)=D$10,F51,D$10-SUM(E$17:E51))</f>
        <v>1945368.1060793891</v>
      </c>
      <c r="E52" s="522">
        <f>IF(+I14&lt;F51,I14,D52)</f>
        <v>213215.06181818183</v>
      </c>
      <c r="F52" s="523">
        <f t="shared" si="15"/>
        <v>1732153.0442612073</v>
      </c>
      <c r="G52" s="524">
        <f t="shared" si="18"/>
        <v>432996.83916681202</v>
      </c>
      <c r="H52" s="491">
        <f t="shared" si="19"/>
        <v>432996.83916681202</v>
      </c>
      <c r="I52" s="511">
        <f t="shared" si="0"/>
        <v>0</v>
      </c>
      <c r="J52" s="511"/>
      <c r="K52" s="525"/>
      <c r="L52" s="514">
        <f t="shared" si="2"/>
        <v>0</v>
      </c>
      <c r="M52" s="525"/>
      <c r="N52" s="514">
        <f t="shared" si="4"/>
        <v>0</v>
      </c>
      <c r="O52" s="514">
        <f t="shared" si="5"/>
        <v>0</v>
      </c>
      <c r="P52" s="272"/>
    </row>
    <row r="53" spans="2:16">
      <c r="B53" s="195" t="str">
        <f t="shared" si="7"/>
        <v/>
      </c>
      <c r="C53" s="507">
        <f>IF(D11="","-",+C52+1)</f>
        <v>2052</v>
      </c>
      <c r="D53" s="523">
        <f>IF(F52+SUM(E$17:E52)=D$10,F52,D$10-SUM(E$17:E52))</f>
        <v>1732153.0442612073</v>
      </c>
      <c r="E53" s="522">
        <f>IF(+I14&lt;F52,I14,D53)</f>
        <v>213215.06181818183</v>
      </c>
      <c r="F53" s="523">
        <f t="shared" si="15"/>
        <v>1518937.9824430256</v>
      </c>
      <c r="G53" s="524">
        <f t="shared" si="18"/>
        <v>407511.85440224689</v>
      </c>
      <c r="H53" s="491">
        <f t="shared" si="19"/>
        <v>407511.85440224689</v>
      </c>
      <c r="I53" s="511">
        <f t="shared" si="0"/>
        <v>0</v>
      </c>
      <c r="J53" s="511"/>
      <c r="K53" s="525"/>
      <c r="L53" s="514">
        <f t="shared" si="2"/>
        <v>0</v>
      </c>
      <c r="M53" s="525"/>
      <c r="N53" s="514">
        <f t="shared" si="4"/>
        <v>0</v>
      </c>
      <c r="O53" s="514">
        <f t="shared" si="5"/>
        <v>0</v>
      </c>
      <c r="P53" s="272"/>
    </row>
    <row r="54" spans="2:16">
      <c r="B54" s="195" t="str">
        <f t="shared" si="7"/>
        <v/>
      </c>
      <c r="C54" s="507">
        <f>IF(D11="","-",+C53+1)</f>
        <v>2053</v>
      </c>
      <c r="D54" s="523">
        <f>IF(F53+SUM(E$17:E53)=D$10,F53,D$10-SUM(E$17:E53))</f>
        <v>1518937.9824430256</v>
      </c>
      <c r="E54" s="522">
        <f>IF(+I14&lt;F53,I14,D54)</f>
        <v>213215.06181818183</v>
      </c>
      <c r="F54" s="523">
        <f t="shared" si="15"/>
        <v>1305722.9206248438</v>
      </c>
      <c r="G54" s="524">
        <f t="shared" si="18"/>
        <v>382026.86963768175</v>
      </c>
      <c r="H54" s="491">
        <f t="shared" si="19"/>
        <v>382026.86963768175</v>
      </c>
      <c r="I54" s="511">
        <f t="shared" si="0"/>
        <v>0</v>
      </c>
      <c r="J54" s="511"/>
      <c r="K54" s="525"/>
      <c r="L54" s="514">
        <f t="shared" si="2"/>
        <v>0</v>
      </c>
      <c r="M54" s="525"/>
      <c r="N54" s="514">
        <f t="shared" si="4"/>
        <v>0</v>
      </c>
      <c r="O54" s="514">
        <f t="shared" si="5"/>
        <v>0</v>
      </c>
      <c r="P54" s="272"/>
    </row>
    <row r="55" spans="2:16">
      <c r="B55" s="195" t="str">
        <f t="shared" si="7"/>
        <v/>
      </c>
      <c r="C55" s="507">
        <f>IF(D11="","-",+C54+1)</f>
        <v>2054</v>
      </c>
      <c r="D55" s="523">
        <f>IF(F54+SUM(E$17:E54)=D$10,F54,D$10-SUM(E$17:E54))</f>
        <v>1305722.9206248438</v>
      </c>
      <c r="E55" s="522">
        <f>IF(+I14&lt;F54,I14,D55)</f>
        <v>213215.06181818183</v>
      </c>
      <c r="F55" s="523">
        <f t="shared" si="15"/>
        <v>1092507.858806662</v>
      </c>
      <c r="G55" s="524">
        <f t="shared" si="18"/>
        <v>356541.88487311662</v>
      </c>
      <c r="H55" s="491">
        <f t="shared" si="19"/>
        <v>356541.88487311662</v>
      </c>
      <c r="I55" s="511">
        <f t="shared" si="0"/>
        <v>0</v>
      </c>
      <c r="J55" s="511"/>
      <c r="K55" s="525"/>
      <c r="L55" s="514">
        <f t="shared" si="2"/>
        <v>0</v>
      </c>
      <c r="M55" s="525"/>
      <c r="N55" s="514">
        <f t="shared" si="4"/>
        <v>0</v>
      </c>
      <c r="O55" s="514">
        <f t="shared" si="5"/>
        <v>0</v>
      </c>
      <c r="P55" s="272"/>
    </row>
    <row r="56" spans="2:16">
      <c r="B56" s="195" t="str">
        <f t="shared" si="7"/>
        <v/>
      </c>
      <c r="C56" s="507">
        <f>IF(D11="","-",+C55+1)</f>
        <v>2055</v>
      </c>
      <c r="D56" s="523">
        <f>IF(F55+SUM(E$17:E55)=D$10,F55,D$10-SUM(E$17:E55))</f>
        <v>1092507.858806662</v>
      </c>
      <c r="E56" s="522">
        <f>IF(+I14&lt;F55,I14,D56)</f>
        <v>213215.06181818183</v>
      </c>
      <c r="F56" s="523">
        <f t="shared" si="15"/>
        <v>879292.79698848026</v>
      </c>
      <c r="G56" s="524">
        <f t="shared" si="18"/>
        <v>331056.90010855155</v>
      </c>
      <c r="H56" s="491">
        <f t="shared" si="19"/>
        <v>331056.90010855155</v>
      </c>
      <c r="I56" s="511">
        <f t="shared" si="0"/>
        <v>0</v>
      </c>
      <c r="J56" s="511"/>
      <c r="K56" s="525"/>
      <c r="L56" s="514">
        <f t="shared" si="2"/>
        <v>0</v>
      </c>
      <c r="M56" s="525"/>
      <c r="N56" s="514">
        <f t="shared" si="4"/>
        <v>0</v>
      </c>
      <c r="O56" s="514">
        <f t="shared" si="5"/>
        <v>0</v>
      </c>
      <c r="P56" s="272"/>
    </row>
    <row r="57" spans="2:16">
      <c r="B57" s="195" t="str">
        <f t="shared" si="7"/>
        <v/>
      </c>
      <c r="C57" s="507">
        <f>IF(D11="","-",+C56+1)</f>
        <v>2056</v>
      </c>
      <c r="D57" s="523">
        <f>IF(F56+SUM(E$17:E56)=D$10,F56,D$10-SUM(E$17:E56))</f>
        <v>879292.79698848026</v>
      </c>
      <c r="E57" s="522">
        <f>IF(+I14&lt;F56,I14,D57)</f>
        <v>213215.06181818183</v>
      </c>
      <c r="F57" s="523">
        <f t="shared" si="15"/>
        <v>666077.73517029849</v>
      </c>
      <c r="G57" s="524">
        <f t="shared" si="18"/>
        <v>305571.91534398642</v>
      </c>
      <c r="H57" s="491">
        <f t="shared" si="19"/>
        <v>305571.91534398642</v>
      </c>
      <c r="I57" s="511">
        <f t="shared" si="0"/>
        <v>0</v>
      </c>
      <c r="J57" s="511"/>
      <c r="K57" s="525"/>
      <c r="L57" s="514">
        <f t="shared" si="2"/>
        <v>0</v>
      </c>
      <c r="M57" s="525"/>
      <c r="N57" s="514">
        <f t="shared" si="4"/>
        <v>0</v>
      </c>
      <c r="O57" s="514">
        <f t="shared" si="5"/>
        <v>0</v>
      </c>
      <c r="P57" s="272"/>
    </row>
    <row r="58" spans="2:16">
      <c r="B58" s="195" t="str">
        <f t="shared" si="7"/>
        <v/>
      </c>
      <c r="C58" s="507">
        <f>IF(D11="","-",+C57+1)</f>
        <v>2057</v>
      </c>
      <c r="D58" s="523">
        <f>IF(F57+SUM(E$17:E57)=D$10,F57,D$10-SUM(E$17:E57))</f>
        <v>666077.73517029849</v>
      </c>
      <c r="E58" s="522">
        <f>IF(+I14&lt;F57,I14,D58)</f>
        <v>213215.06181818183</v>
      </c>
      <c r="F58" s="523">
        <f t="shared" si="15"/>
        <v>452862.67335211666</v>
      </c>
      <c r="G58" s="524">
        <f t="shared" si="18"/>
        <v>280086.93057942129</v>
      </c>
      <c r="H58" s="491">
        <f t="shared" si="19"/>
        <v>280086.93057942129</v>
      </c>
      <c r="I58" s="511">
        <f t="shared" si="0"/>
        <v>0</v>
      </c>
      <c r="J58" s="511"/>
      <c r="K58" s="525"/>
      <c r="L58" s="514">
        <f t="shared" si="2"/>
        <v>0</v>
      </c>
      <c r="M58" s="525"/>
      <c r="N58" s="514">
        <f t="shared" si="4"/>
        <v>0</v>
      </c>
      <c r="O58" s="514">
        <f t="shared" si="5"/>
        <v>0</v>
      </c>
      <c r="P58" s="272"/>
    </row>
    <row r="59" spans="2:16">
      <c r="B59" s="195" t="str">
        <f t="shared" si="7"/>
        <v/>
      </c>
      <c r="C59" s="507">
        <f>IF(D11="","-",+C58+1)</f>
        <v>2058</v>
      </c>
      <c r="D59" s="523">
        <f>IF(F58+SUM(E$17:E58)=D$10,F58,D$10-SUM(E$17:E58))</f>
        <v>452862.67335211666</v>
      </c>
      <c r="E59" s="522">
        <f>IF(+I14&lt;F58,I14,D59)</f>
        <v>213215.06181818183</v>
      </c>
      <c r="F59" s="523">
        <f t="shared" si="15"/>
        <v>239647.61153393483</v>
      </c>
      <c r="G59" s="524">
        <f t="shared" si="18"/>
        <v>254601.94581485615</v>
      </c>
      <c r="H59" s="491">
        <f t="shared" si="19"/>
        <v>254601.94581485615</v>
      </c>
      <c r="I59" s="511">
        <f t="shared" si="0"/>
        <v>0</v>
      </c>
      <c r="J59" s="511"/>
      <c r="K59" s="525"/>
      <c r="L59" s="514">
        <f t="shared" si="2"/>
        <v>0</v>
      </c>
      <c r="M59" s="525"/>
      <c r="N59" s="514">
        <f t="shared" si="4"/>
        <v>0</v>
      </c>
      <c r="O59" s="514">
        <f t="shared" si="5"/>
        <v>0</v>
      </c>
      <c r="P59" s="272"/>
    </row>
    <row r="60" spans="2:16">
      <c r="B60" s="195" t="str">
        <f t="shared" si="7"/>
        <v/>
      </c>
      <c r="C60" s="507">
        <f>IF(D11="","-",+C59+1)</f>
        <v>2059</v>
      </c>
      <c r="D60" s="523">
        <f>IF(F59+SUM(E$17:E59)=D$10,F59,D$10-SUM(E$17:E59))</f>
        <v>239647.61153393483</v>
      </c>
      <c r="E60" s="522">
        <f>IF(+I14&lt;F59,I14,D60)</f>
        <v>213215.06181818183</v>
      </c>
      <c r="F60" s="523">
        <f t="shared" si="15"/>
        <v>26432.549715753004</v>
      </c>
      <c r="G60" s="524">
        <f t="shared" si="18"/>
        <v>229116.96105029105</v>
      </c>
      <c r="H60" s="491">
        <f t="shared" si="19"/>
        <v>229116.96105029105</v>
      </c>
      <c r="I60" s="511">
        <f t="shared" si="0"/>
        <v>0</v>
      </c>
      <c r="J60" s="511"/>
      <c r="K60" s="525"/>
      <c r="L60" s="514">
        <f t="shared" si="2"/>
        <v>0</v>
      </c>
      <c r="M60" s="525"/>
      <c r="N60" s="514">
        <f t="shared" si="4"/>
        <v>0</v>
      </c>
      <c r="O60" s="514">
        <f t="shared" si="5"/>
        <v>0</v>
      </c>
      <c r="P60" s="272"/>
    </row>
    <row r="61" spans="2:16">
      <c r="B61" s="195" t="str">
        <f t="shared" si="7"/>
        <v/>
      </c>
      <c r="C61" s="507">
        <f>IF(D11="","-",+C60+1)</f>
        <v>2060</v>
      </c>
      <c r="D61" s="523">
        <f>IF(F60+SUM(E$17:E60)=D$10,F60,D$10-SUM(E$17:E60))</f>
        <v>26432.549715753004</v>
      </c>
      <c r="E61" s="522">
        <f>IF(+I14&lt;F60,I14,D61)</f>
        <v>26432.549715753004</v>
      </c>
      <c r="F61" s="523">
        <f t="shared" si="15"/>
        <v>0</v>
      </c>
      <c r="G61" s="526">
        <f t="shared" si="18"/>
        <v>28012.253140666329</v>
      </c>
      <c r="H61" s="491">
        <f t="shared" si="19"/>
        <v>28012.253140666329</v>
      </c>
      <c r="I61" s="511">
        <f t="shared" si="0"/>
        <v>0</v>
      </c>
      <c r="J61" s="511"/>
      <c r="K61" s="525"/>
      <c r="L61" s="514">
        <f t="shared" si="2"/>
        <v>0</v>
      </c>
      <c r="M61" s="525"/>
      <c r="N61" s="514">
        <f t="shared" si="4"/>
        <v>0</v>
      </c>
      <c r="O61" s="514">
        <f t="shared" si="5"/>
        <v>0</v>
      </c>
      <c r="P61" s="272"/>
    </row>
    <row r="62" spans="2:16">
      <c r="B62" s="195" t="str">
        <f t="shared" si="7"/>
        <v/>
      </c>
      <c r="C62" s="507">
        <f>IF(D11="","-",+C61+1)</f>
        <v>2061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15"/>
        <v>0</v>
      </c>
      <c r="G62" s="526">
        <f t="shared" si="18"/>
        <v>0</v>
      </c>
      <c r="H62" s="491">
        <f t="shared" si="19"/>
        <v>0</v>
      </c>
      <c r="I62" s="511">
        <f t="shared" si="0"/>
        <v>0</v>
      </c>
      <c r="J62" s="511"/>
      <c r="K62" s="525"/>
      <c r="L62" s="514">
        <f t="shared" si="2"/>
        <v>0</v>
      </c>
      <c r="M62" s="525"/>
      <c r="N62" s="514">
        <f t="shared" si="4"/>
        <v>0</v>
      </c>
      <c r="O62" s="514">
        <f t="shared" si="5"/>
        <v>0</v>
      </c>
      <c r="P62" s="272"/>
    </row>
    <row r="63" spans="2:16">
      <c r="B63" s="195" t="str">
        <f t="shared" si="7"/>
        <v/>
      </c>
      <c r="C63" s="507">
        <f>IF(D11="","-",+C62+1)</f>
        <v>2062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15"/>
        <v>0</v>
      </c>
      <c r="G63" s="526">
        <f t="shared" si="18"/>
        <v>0</v>
      </c>
      <c r="H63" s="491">
        <f t="shared" si="19"/>
        <v>0</v>
      </c>
      <c r="I63" s="511">
        <f t="shared" si="0"/>
        <v>0</v>
      </c>
      <c r="J63" s="511"/>
      <c r="K63" s="525"/>
      <c r="L63" s="514">
        <f t="shared" si="2"/>
        <v>0</v>
      </c>
      <c r="M63" s="525"/>
      <c r="N63" s="514">
        <f t="shared" si="4"/>
        <v>0</v>
      </c>
      <c r="O63" s="514">
        <f t="shared" si="5"/>
        <v>0</v>
      </c>
      <c r="P63" s="272"/>
    </row>
    <row r="64" spans="2:16">
      <c r="B64" s="195" t="str">
        <f t="shared" si="7"/>
        <v/>
      </c>
      <c r="C64" s="507">
        <f>IF(D11="","-",+C63+1)</f>
        <v>2063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15"/>
        <v>0</v>
      </c>
      <c r="G64" s="526">
        <f t="shared" si="18"/>
        <v>0</v>
      </c>
      <c r="H64" s="491">
        <f t="shared" si="19"/>
        <v>0</v>
      </c>
      <c r="I64" s="511">
        <f t="shared" si="0"/>
        <v>0</v>
      </c>
      <c r="J64" s="511"/>
      <c r="K64" s="525"/>
      <c r="L64" s="514">
        <f t="shared" si="2"/>
        <v>0</v>
      </c>
      <c r="M64" s="525"/>
      <c r="N64" s="514">
        <f t="shared" si="4"/>
        <v>0</v>
      </c>
      <c r="O64" s="514">
        <f t="shared" si="5"/>
        <v>0</v>
      </c>
      <c r="P64" s="272"/>
    </row>
    <row r="65" spans="2:16">
      <c r="B65" s="195" t="str">
        <f t="shared" si="7"/>
        <v/>
      </c>
      <c r="C65" s="507">
        <f>IF(D11="","-",+C64+1)</f>
        <v>2064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15"/>
        <v>0</v>
      </c>
      <c r="G65" s="526">
        <f t="shared" si="18"/>
        <v>0</v>
      </c>
      <c r="H65" s="491">
        <f t="shared" si="19"/>
        <v>0</v>
      </c>
      <c r="I65" s="511">
        <f t="shared" si="0"/>
        <v>0</v>
      </c>
      <c r="J65" s="511"/>
      <c r="K65" s="525"/>
      <c r="L65" s="514">
        <f t="shared" si="2"/>
        <v>0</v>
      </c>
      <c r="M65" s="525"/>
      <c r="N65" s="514">
        <f t="shared" si="4"/>
        <v>0</v>
      </c>
      <c r="O65" s="514">
        <f t="shared" si="5"/>
        <v>0</v>
      </c>
      <c r="P65" s="272"/>
    </row>
    <row r="66" spans="2:16">
      <c r="B66" s="195" t="str">
        <f t="shared" si="7"/>
        <v/>
      </c>
      <c r="C66" s="507">
        <f>IF(D11="","-",+C65+1)</f>
        <v>2065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15"/>
        <v>0</v>
      </c>
      <c r="G66" s="526">
        <f t="shared" si="18"/>
        <v>0</v>
      </c>
      <c r="H66" s="491">
        <f t="shared" si="19"/>
        <v>0</v>
      </c>
      <c r="I66" s="511">
        <f t="shared" si="0"/>
        <v>0</v>
      </c>
      <c r="J66" s="511"/>
      <c r="K66" s="525"/>
      <c r="L66" s="514">
        <f t="shared" si="2"/>
        <v>0</v>
      </c>
      <c r="M66" s="525"/>
      <c r="N66" s="514">
        <f t="shared" si="4"/>
        <v>0</v>
      </c>
      <c r="O66" s="514">
        <f t="shared" si="5"/>
        <v>0</v>
      </c>
      <c r="P66" s="272"/>
    </row>
    <row r="67" spans="2:16">
      <c r="B67" s="195" t="str">
        <f t="shared" si="7"/>
        <v/>
      </c>
      <c r="C67" s="507">
        <f>IF(D11="","-",+C66+1)</f>
        <v>2066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15"/>
        <v>0</v>
      </c>
      <c r="G67" s="526">
        <f t="shared" si="18"/>
        <v>0</v>
      </c>
      <c r="H67" s="491">
        <f t="shared" si="19"/>
        <v>0</v>
      </c>
      <c r="I67" s="511">
        <f t="shared" si="0"/>
        <v>0</v>
      </c>
      <c r="J67" s="511"/>
      <c r="K67" s="525"/>
      <c r="L67" s="514">
        <f t="shared" si="2"/>
        <v>0</v>
      </c>
      <c r="M67" s="525"/>
      <c r="N67" s="514">
        <f t="shared" si="4"/>
        <v>0</v>
      </c>
      <c r="O67" s="514">
        <f t="shared" si="5"/>
        <v>0</v>
      </c>
      <c r="P67" s="272"/>
    </row>
    <row r="68" spans="2:16">
      <c r="B68" s="195" t="str">
        <f t="shared" si="7"/>
        <v/>
      </c>
      <c r="C68" s="507">
        <f>IF(D11="","-",+C67+1)</f>
        <v>2067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15"/>
        <v>0</v>
      </c>
      <c r="G68" s="526">
        <f t="shared" si="18"/>
        <v>0</v>
      </c>
      <c r="H68" s="491">
        <f t="shared" si="19"/>
        <v>0</v>
      </c>
      <c r="I68" s="511">
        <f t="shared" si="0"/>
        <v>0</v>
      </c>
      <c r="J68" s="511"/>
      <c r="K68" s="525"/>
      <c r="L68" s="514">
        <f t="shared" si="2"/>
        <v>0</v>
      </c>
      <c r="M68" s="525"/>
      <c r="N68" s="514">
        <f t="shared" si="4"/>
        <v>0</v>
      </c>
      <c r="O68" s="514">
        <f t="shared" si="5"/>
        <v>0</v>
      </c>
      <c r="P68" s="272"/>
    </row>
    <row r="69" spans="2:16">
      <c r="B69" s="195" t="str">
        <f t="shared" si="7"/>
        <v/>
      </c>
      <c r="C69" s="507">
        <f>IF(D11="","-",+C68+1)</f>
        <v>2068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15"/>
        <v>0</v>
      </c>
      <c r="G69" s="526">
        <f t="shared" si="18"/>
        <v>0</v>
      </c>
      <c r="H69" s="491">
        <f t="shared" si="19"/>
        <v>0</v>
      </c>
      <c r="I69" s="511">
        <f t="shared" si="0"/>
        <v>0</v>
      </c>
      <c r="J69" s="511"/>
      <c r="K69" s="525"/>
      <c r="L69" s="514">
        <f t="shared" si="2"/>
        <v>0</v>
      </c>
      <c r="M69" s="525"/>
      <c r="N69" s="514">
        <f t="shared" si="4"/>
        <v>0</v>
      </c>
      <c r="O69" s="514">
        <f t="shared" si="5"/>
        <v>0</v>
      </c>
      <c r="P69" s="272"/>
    </row>
    <row r="70" spans="2:16">
      <c r="B70" s="195" t="str">
        <f t="shared" si="7"/>
        <v/>
      </c>
      <c r="C70" s="507">
        <f>IF(D11="","-",+C69+1)</f>
        <v>2069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15"/>
        <v>0</v>
      </c>
      <c r="G70" s="526">
        <f t="shared" si="18"/>
        <v>0</v>
      </c>
      <c r="H70" s="491">
        <f t="shared" si="19"/>
        <v>0</v>
      </c>
      <c r="I70" s="511">
        <f t="shared" si="0"/>
        <v>0</v>
      </c>
      <c r="J70" s="511"/>
      <c r="K70" s="525"/>
      <c r="L70" s="514">
        <f t="shared" si="2"/>
        <v>0</v>
      </c>
      <c r="M70" s="525"/>
      <c r="N70" s="514">
        <f t="shared" si="4"/>
        <v>0</v>
      </c>
      <c r="O70" s="514">
        <f t="shared" si="5"/>
        <v>0</v>
      </c>
      <c r="P70" s="272"/>
    </row>
    <row r="71" spans="2:16">
      <c r="B71" s="195" t="str">
        <f t="shared" si="7"/>
        <v/>
      </c>
      <c r="C71" s="507">
        <f>IF(D11="","-",+C70+1)</f>
        <v>2070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15"/>
        <v>0</v>
      </c>
      <c r="G71" s="526">
        <f t="shared" si="18"/>
        <v>0</v>
      </c>
      <c r="H71" s="491">
        <f t="shared" si="19"/>
        <v>0</v>
      </c>
      <c r="I71" s="511">
        <f t="shared" si="0"/>
        <v>0</v>
      </c>
      <c r="J71" s="511"/>
      <c r="K71" s="525"/>
      <c r="L71" s="514">
        <f t="shared" si="2"/>
        <v>0</v>
      </c>
      <c r="M71" s="525"/>
      <c r="N71" s="514">
        <f t="shared" si="4"/>
        <v>0</v>
      </c>
      <c r="O71" s="514">
        <f t="shared" si="5"/>
        <v>0</v>
      </c>
      <c r="P71" s="272"/>
    </row>
    <row r="72" spans="2:16" ht="13.5" thickBot="1">
      <c r="B72" s="195" t="str">
        <f t="shared" si="7"/>
        <v/>
      </c>
      <c r="C72" s="527">
        <f>IF(D11="","-",+C71+1)</f>
        <v>2071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15"/>
        <v>0</v>
      </c>
      <c r="G72" s="530">
        <f t="shared" si="18"/>
        <v>0</v>
      </c>
      <c r="H72" s="471">
        <f t="shared" si="19"/>
        <v>0</v>
      </c>
      <c r="I72" s="531">
        <f t="shared" si="0"/>
        <v>0</v>
      </c>
      <c r="J72" s="511"/>
      <c r="K72" s="532"/>
      <c r="L72" s="533">
        <f t="shared" si="2"/>
        <v>0</v>
      </c>
      <c r="M72" s="532"/>
      <c r="N72" s="533">
        <f t="shared" si="4"/>
        <v>0</v>
      </c>
      <c r="O72" s="533">
        <f t="shared" si="5"/>
        <v>0</v>
      </c>
      <c r="P72" s="272"/>
    </row>
    <row r="73" spans="2:16">
      <c r="C73" s="374" t="s">
        <v>78</v>
      </c>
      <c r="D73" s="375"/>
      <c r="E73" s="375">
        <f>SUM(E17:E72)</f>
        <v>9381462.7199999988</v>
      </c>
      <c r="F73" s="375"/>
      <c r="G73" s="375">
        <f>SUM(G17:G72)</f>
        <v>34159569.726396628</v>
      </c>
      <c r="H73" s="375">
        <f>SUM(H17:H72)</f>
        <v>34159569.726396628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2:16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2:16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2:16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2:16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272"/>
      <c r="P77" s="272"/>
    </row>
    <row r="78" spans="2:16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2:16"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  <c r="O79" s="269"/>
      <c r="P79" s="269"/>
    </row>
    <row r="80" spans="2:16" ht="18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6">
      <c r="B81" s="269"/>
      <c r="C81" s="340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6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</row>
    <row r="83" spans="1:16" ht="20.25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451" t="str">
        <f ca="1">P1</f>
        <v>SWEPCO Project 55 of 75</v>
      </c>
    </row>
    <row r="84" spans="1:16" ht="18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538" t="s">
        <v>128</v>
      </c>
    </row>
    <row r="85" spans="1:16" ht="18.7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</row>
    <row r="86" spans="1:16" ht="15.75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2022</v>
      </c>
      <c r="M86" s="541" t="s">
        <v>9</v>
      </c>
      <c r="N86" s="542" t="s">
        <v>159</v>
      </c>
      <c r="O86" s="543" t="s">
        <v>11</v>
      </c>
      <c r="P86" s="269"/>
    </row>
    <row r="87" spans="1:16" ht="1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391</v>
      </c>
      <c r="M87" s="546">
        <f>IF(J92&lt;D11,0,VLOOKUP(J92,C17:O72,9))</f>
        <v>1127106.9316908673</v>
      </c>
      <c r="N87" s="546">
        <f>IF(J92&lt;D11,0,VLOOKUP(J92,C17:O72,11))</f>
        <v>1127106.9316908673</v>
      </c>
      <c r="O87" s="547">
        <f>+N87-M87</f>
        <v>0</v>
      </c>
      <c r="P87" s="269"/>
    </row>
    <row r="88" spans="1:16" ht="15.7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392</v>
      </c>
      <c r="M88" s="550">
        <f>IF(J92&lt;D11,0,VLOOKUP(J92,C99:P154,6))</f>
        <v>1163891.6846246484</v>
      </c>
      <c r="N88" s="550">
        <f>IF(J92&lt;D11,0,VLOOKUP(J92,C99:P154,7))</f>
        <v>1163891.6846246484</v>
      </c>
      <c r="O88" s="551">
        <f>+N88-M88</f>
        <v>0</v>
      </c>
      <c r="P88" s="269"/>
    </row>
    <row r="89" spans="1:16" ht="13.5" thickBot="1">
      <c r="C89" s="467" t="s">
        <v>84</v>
      </c>
      <c r="D89" s="552" t="str">
        <f>+D7</f>
        <v>Ellerbe Rd-S Shreveport 69 kv Build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36784.752933781128</v>
      </c>
      <c r="N89" s="555">
        <f>+N88-N87</f>
        <v>36784.752933781128</v>
      </c>
      <c r="O89" s="556">
        <f>+O88-O87</f>
        <v>0</v>
      </c>
      <c r="P89" s="269"/>
    </row>
    <row r="90" spans="1:16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</row>
    <row r="91" spans="1:16" ht="13.5" thickBot="1">
      <c r="A91" s="191"/>
      <c r="C91" s="558" t="s">
        <v>85</v>
      </c>
      <c r="D91" s="559" t="str">
        <f>+D9</f>
        <v>TP201154</v>
      </c>
      <c r="E91" s="560"/>
      <c r="F91" s="560"/>
      <c r="G91" s="560"/>
      <c r="H91" s="560"/>
      <c r="I91" s="560"/>
      <c r="J91" s="560"/>
      <c r="K91" s="562"/>
      <c r="P91" s="481"/>
    </row>
    <row r="92" spans="1:16">
      <c r="C92" s="486" t="s">
        <v>51</v>
      </c>
      <c r="D92" s="483">
        <v>9381463</v>
      </c>
      <c r="E92" s="340" t="s">
        <v>86</v>
      </c>
      <c r="H92" s="484"/>
      <c r="I92" s="484"/>
      <c r="J92" s="485">
        <f>+'SWE.WS.G.BPU.ATRR.True-up'!M16</f>
        <v>2022</v>
      </c>
      <c r="K92" s="480"/>
      <c r="L92" s="375" t="s">
        <v>87</v>
      </c>
      <c r="P92" s="272"/>
    </row>
    <row r="93" spans="1:16">
      <c r="C93" s="486" t="s">
        <v>54</v>
      </c>
      <c r="D93" s="563">
        <f>IF(D11=I10,"",D11)</f>
        <v>2016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</row>
    <row r="94" spans="1:16">
      <c r="C94" s="486" t="s">
        <v>56</v>
      </c>
      <c r="D94" s="564">
        <f>IF(D11=I10,"",D12)</f>
        <v>4</v>
      </c>
      <c r="E94" s="486" t="s">
        <v>57</v>
      </c>
      <c r="F94" s="484"/>
      <c r="G94" s="484"/>
      <c r="J94" s="490">
        <f>'SWE.WS.G.BPU.ATRR.True-up'!$F$81</f>
        <v>0.11351422637179906</v>
      </c>
      <c r="K94" s="425"/>
      <c r="L94" s="183" t="s">
        <v>88</v>
      </c>
      <c r="P94" s="272"/>
    </row>
    <row r="95" spans="1:16">
      <c r="C95" s="486" t="s">
        <v>59</v>
      </c>
      <c r="D95" s="488">
        <f>'SWE.WS.G.BPU.ATRR.True-up'!F$93</f>
        <v>41</v>
      </c>
      <c r="E95" s="486" t="s">
        <v>60</v>
      </c>
      <c r="F95" s="484"/>
      <c r="G95" s="484"/>
      <c r="J95" s="490">
        <f>IF(H87="",J94,'SWE.WS.G.BPU.ATRR.True-up'!$F$80)</f>
        <v>0.11351422637179906</v>
      </c>
      <c r="K95" s="324"/>
      <c r="L95" s="375" t="s">
        <v>61</v>
      </c>
      <c r="M95" s="324"/>
      <c r="N95" s="324"/>
      <c r="O95" s="324"/>
      <c r="P95" s="272"/>
    </row>
    <row r="96" spans="1:16" ht="13.5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228816.17073170733</v>
      </c>
      <c r="K96" s="375"/>
      <c r="L96" s="375"/>
      <c r="M96" s="375"/>
      <c r="N96" s="375"/>
      <c r="O96" s="375"/>
      <c r="P96" s="272"/>
    </row>
    <row r="97" spans="1:16" ht="38.25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388</v>
      </c>
      <c r="I97" s="495" t="s">
        <v>389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</row>
    <row r="98" spans="1:16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602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</row>
    <row r="99" spans="1:16">
      <c r="C99" s="507">
        <f>IF(D93= "","-",D93)</f>
        <v>2016</v>
      </c>
      <c r="D99" s="649">
        <v>0</v>
      </c>
      <c r="E99" s="650">
        <v>145356.32558139536</v>
      </c>
      <c r="F99" s="651">
        <v>9230126.674418604</v>
      </c>
      <c r="G99" s="652">
        <v>4615063.337209302</v>
      </c>
      <c r="H99" s="653">
        <v>731238.56219016481</v>
      </c>
      <c r="I99" s="654">
        <v>731238.56219016481</v>
      </c>
      <c r="J99" s="514">
        <f t="shared" ref="J99:J130" si="20">+I99-H99</f>
        <v>0</v>
      </c>
      <c r="K99" s="514"/>
      <c r="L99" s="512">
        <f t="shared" ref="L99:L104" si="21">+H99</f>
        <v>731238.56219016481</v>
      </c>
      <c r="M99" s="513">
        <f t="shared" ref="M99:M130" si="22">IF(L99&lt;&gt;0,+H99-L99,0)</f>
        <v>0</v>
      </c>
      <c r="N99" s="512">
        <f t="shared" ref="N99:N104" si="23">+I99</f>
        <v>731238.56219016481</v>
      </c>
      <c r="O99" s="513">
        <f t="shared" ref="O99:O130" si="24">IF(N99&lt;&gt;0,+I99-N99,0)</f>
        <v>0</v>
      </c>
      <c r="P99" s="513">
        <f t="shared" ref="P99:P130" si="25">+O99-M99</f>
        <v>0</v>
      </c>
    </row>
    <row r="100" spans="1:16">
      <c r="B100" s="195" t="str">
        <f>IF(D100=F99,"","IU")</f>
        <v>IU</v>
      </c>
      <c r="C100" s="507">
        <f>IF(D93="","-",+C99+1)</f>
        <v>2017</v>
      </c>
      <c r="D100" s="629">
        <v>9236106.674418604</v>
      </c>
      <c r="E100" s="630">
        <v>223368.16666666666</v>
      </c>
      <c r="F100" s="631">
        <v>9012738.507751938</v>
      </c>
      <c r="G100" s="631">
        <v>9124422.59108527</v>
      </c>
      <c r="H100" s="633">
        <v>1331725.0793304511</v>
      </c>
      <c r="I100" s="634">
        <v>1331725.0793304511</v>
      </c>
      <c r="J100" s="514">
        <f t="shared" si="20"/>
        <v>0</v>
      </c>
      <c r="K100" s="514"/>
      <c r="L100" s="655">
        <f t="shared" si="21"/>
        <v>1331725.0793304511</v>
      </c>
      <c r="M100" s="514">
        <f t="shared" si="22"/>
        <v>0</v>
      </c>
      <c r="N100" s="655">
        <f t="shared" si="23"/>
        <v>1331725.0793304511</v>
      </c>
      <c r="O100" s="514">
        <f t="shared" si="24"/>
        <v>0</v>
      </c>
      <c r="P100" s="514">
        <f t="shared" si="25"/>
        <v>0</v>
      </c>
    </row>
    <row r="101" spans="1:16">
      <c r="B101" s="195" t="str">
        <f t="shared" ref="B101:B154" si="26">IF(D101=F100,"","IU")</f>
        <v/>
      </c>
      <c r="C101" s="507">
        <f>IF(D93="","-",+C100+1)</f>
        <v>2018</v>
      </c>
      <c r="D101" s="629">
        <v>9012738.507751938</v>
      </c>
      <c r="E101" s="630">
        <v>223368.16666666666</v>
      </c>
      <c r="F101" s="631">
        <v>8789370.3410852719</v>
      </c>
      <c r="G101" s="631">
        <v>8901054.4244186059</v>
      </c>
      <c r="H101" s="633">
        <v>1163360.3325167969</v>
      </c>
      <c r="I101" s="634">
        <v>1163360.3325167969</v>
      </c>
      <c r="J101" s="514">
        <f t="shared" si="20"/>
        <v>0</v>
      </c>
      <c r="K101" s="514"/>
      <c r="L101" s="655">
        <f t="shared" si="21"/>
        <v>1163360.3325167969</v>
      </c>
      <c r="M101" s="514">
        <f t="shared" ref="M101" si="27">IF(L101&lt;&gt;0,+H101-L101,0)</f>
        <v>0</v>
      </c>
      <c r="N101" s="655">
        <f t="shared" si="23"/>
        <v>1163360.3325167969</v>
      </c>
      <c r="O101" s="514">
        <f t="shared" ref="O101" si="28">IF(N101&lt;&gt;0,+I101-N101,0)</f>
        <v>0</v>
      </c>
      <c r="P101" s="514">
        <f t="shared" si="25"/>
        <v>0</v>
      </c>
    </row>
    <row r="102" spans="1:16">
      <c r="B102" s="195" t="str">
        <f t="shared" si="26"/>
        <v/>
      </c>
      <c r="C102" s="507">
        <f>IF(D93="","-",+C101+1)</f>
        <v>2019</v>
      </c>
      <c r="D102" s="629">
        <v>8789370.3410852719</v>
      </c>
      <c r="E102" s="630">
        <v>218173.55813953487</v>
      </c>
      <c r="F102" s="631">
        <v>8571196.7829457372</v>
      </c>
      <c r="G102" s="631">
        <v>8680283.5620155036</v>
      </c>
      <c r="H102" s="633">
        <v>1147315.8547577483</v>
      </c>
      <c r="I102" s="634">
        <v>1147315.8547577483</v>
      </c>
      <c r="J102" s="514">
        <f t="shared" si="20"/>
        <v>0</v>
      </c>
      <c r="K102" s="514"/>
      <c r="L102" s="655">
        <f t="shared" si="21"/>
        <v>1147315.8547577483</v>
      </c>
      <c r="M102" s="514">
        <f t="shared" ref="M102:M103" si="29">IF(L102&lt;&gt;0,+H102-L102,0)</f>
        <v>0</v>
      </c>
      <c r="N102" s="655">
        <f t="shared" si="23"/>
        <v>1147315.8547577483</v>
      </c>
      <c r="O102" s="514">
        <f t="shared" si="24"/>
        <v>0</v>
      </c>
      <c r="P102" s="514">
        <f t="shared" si="25"/>
        <v>0</v>
      </c>
    </row>
    <row r="103" spans="1:16">
      <c r="B103" s="195" t="str">
        <f t="shared" si="26"/>
        <v/>
      </c>
      <c r="C103" s="507">
        <f>IF(D93="","-",+C102+1)</f>
        <v>2020</v>
      </c>
      <c r="D103" s="629">
        <v>8571196.7829457372</v>
      </c>
      <c r="E103" s="630">
        <v>223368.16666666666</v>
      </c>
      <c r="F103" s="631">
        <v>8347828.6162790703</v>
      </c>
      <c r="G103" s="631">
        <v>8459512.6996124033</v>
      </c>
      <c r="H103" s="633">
        <v>1133390.3688526335</v>
      </c>
      <c r="I103" s="634">
        <v>1133390.3688526335</v>
      </c>
      <c r="J103" s="514">
        <f t="shared" si="20"/>
        <v>0</v>
      </c>
      <c r="K103" s="514"/>
      <c r="L103" s="655">
        <f t="shared" si="21"/>
        <v>1133390.3688526335</v>
      </c>
      <c r="M103" s="514">
        <f t="shared" si="29"/>
        <v>0</v>
      </c>
      <c r="N103" s="655">
        <f t="shared" si="23"/>
        <v>1133390.3688526335</v>
      </c>
      <c r="O103" s="514">
        <f t="shared" si="24"/>
        <v>0</v>
      </c>
      <c r="P103" s="514">
        <f t="shared" si="25"/>
        <v>0</v>
      </c>
    </row>
    <row r="104" spans="1:16">
      <c r="B104" s="195" t="str">
        <f t="shared" si="26"/>
        <v/>
      </c>
      <c r="C104" s="507">
        <f>IF(D93="","-",+C103+1)</f>
        <v>2021</v>
      </c>
      <c r="D104" s="629">
        <v>8347828.6162790703</v>
      </c>
      <c r="E104" s="630">
        <v>228816.17073170733</v>
      </c>
      <c r="F104" s="631">
        <v>8119012.4455473628</v>
      </c>
      <c r="G104" s="631">
        <v>8233420.530913217</v>
      </c>
      <c r="H104" s="633">
        <v>1163426.5326920082</v>
      </c>
      <c r="I104" s="634">
        <v>1163426.5326920082</v>
      </c>
      <c r="J104" s="514">
        <f t="shared" si="20"/>
        <v>0</v>
      </c>
      <c r="K104" s="514"/>
      <c r="L104" s="655">
        <f t="shared" si="21"/>
        <v>1163426.5326920082</v>
      </c>
      <c r="M104" s="514">
        <f t="shared" ref="M104" si="30">IF(L104&lt;&gt;0,+H104-L104,0)</f>
        <v>0</v>
      </c>
      <c r="N104" s="655">
        <f t="shared" si="23"/>
        <v>1163426.5326920082</v>
      </c>
      <c r="O104" s="514">
        <f t="shared" ref="O104" si="31">IF(N104&lt;&gt;0,+I104-N104,0)</f>
        <v>0</v>
      </c>
      <c r="P104" s="514">
        <f t="shared" ref="P104" si="32">+O104-M104</f>
        <v>0</v>
      </c>
    </row>
    <row r="105" spans="1:16">
      <c r="B105" s="195" t="str">
        <f t="shared" si="26"/>
        <v/>
      </c>
      <c r="C105" s="673">
        <f>IF(D93="","-",+C104+1)</f>
        <v>2022</v>
      </c>
      <c r="D105" s="374">
        <v>8119012.4455473628</v>
      </c>
      <c r="E105" s="522">
        <v>223368.16666666666</v>
      </c>
      <c r="F105" s="523">
        <v>7895644.2788806958</v>
      </c>
      <c r="G105" s="523">
        <v>8007328.3622140288</v>
      </c>
      <c r="H105" s="526">
        <v>1163891.6846246484</v>
      </c>
      <c r="I105" s="577">
        <v>1163891.6846246484</v>
      </c>
      <c r="J105" s="514">
        <f t="shared" si="20"/>
        <v>0</v>
      </c>
      <c r="K105" s="514"/>
      <c r="L105" s="525"/>
      <c r="M105" s="514">
        <f t="shared" si="22"/>
        <v>0</v>
      </c>
      <c r="N105" s="525"/>
      <c r="O105" s="514">
        <f t="shared" si="24"/>
        <v>0</v>
      </c>
      <c r="P105" s="514">
        <f t="shared" si="25"/>
        <v>0</v>
      </c>
    </row>
    <row r="106" spans="1:16">
      <c r="B106" s="195" t="str">
        <f t="shared" si="26"/>
        <v/>
      </c>
      <c r="C106" s="507">
        <f>IF(D93="","-",+C105+1)</f>
        <v>2023</v>
      </c>
      <c r="D106" s="374">
        <f>IF(F105+SUM(E$99:E105)=D$92,F105,D$92-SUM(E$99:E105))</f>
        <v>7895644.2788806958</v>
      </c>
      <c r="E106" s="522">
        <f>IF(+J96&lt;F105,J96,D106)</f>
        <v>228816.17073170733</v>
      </c>
      <c r="F106" s="523">
        <f t="shared" ref="F106:F130" si="33">+D106-E106</f>
        <v>7666828.1081489883</v>
      </c>
      <c r="G106" s="523">
        <f t="shared" ref="G106:G130" si="34">+(F106+D106)/2</f>
        <v>7781236.1935148425</v>
      </c>
      <c r="H106" s="526">
        <f t="shared" ref="H106:H154" si="35">+J$94*G106+E106</f>
        <v>1112097.1774547871</v>
      </c>
      <c r="I106" s="577">
        <f t="shared" ref="I106:I154" si="36">+J$95*G106+E106</f>
        <v>1112097.1774547871</v>
      </c>
      <c r="J106" s="514">
        <f t="shared" si="20"/>
        <v>0</v>
      </c>
      <c r="K106" s="514"/>
      <c r="L106" s="525"/>
      <c r="M106" s="514">
        <f t="shared" si="22"/>
        <v>0</v>
      </c>
      <c r="N106" s="525"/>
      <c r="O106" s="514">
        <f t="shared" si="24"/>
        <v>0</v>
      </c>
      <c r="P106" s="514">
        <f t="shared" si="25"/>
        <v>0</v>
      </c>
    </row>
    <row r="107" spans="1:16">
      <c r="B107" s="195" t="str">
        <f t="shared" si="26"/>
        <v/>
      </c>
      <c r="C107" s="507">
        <f>IF(D93="","-",+C106+1)</f>
        <v>2024</v>
      </c>
      <c r="D107" s="374">
        <f>IF(F106+SUM(E$99:E106)=D$92,F106,D$92-SUM(E$99:E106))</f>
        <v>7666828.1081489883</v>
      </c>
      <c r="E107" s="522">
        <f>IF(+J96&lt;F106,J96,D107)</f>
        <v>228816.17073170733</v>
      </c>
      <c r="F107" s="523">
        <f t="shared" si="33"/>
        <v>7438011.9374172809</v>
      </c>
      <c r="G107" s="523">
        <f t="shared" si="34"/>
        <v>7552420.0227831341</v>
      </c>
      <c r="H107" s="526">
        <f t="shared" si="35"/>
        <v>1086123.2868528198</v>
      </c>
      <c r="I107" s="577">
        <f t="shared" si="36"/>
        <v>1086123.2868528198</v>
      </c>
      <c r="J107" s="514">
        <f t="shared" si="20"/>
        <v>0</v>
      </c>
      <c r="K107" s="514"/>
      <c r="L107" s="525"/>
      <c r="M107" s="514">
        <f t="shared" si="22"/>
        <v>0</v>
      </c>
      <c r="N107" s="525"/>
      <c r="O107" s="514">
        <f t="shared" si="24"/>
        <v>0</v>
      </c>
      <c r="P107" s="514">
        <f t="shared" si="25"/>
        <v>0</v>
      </c>
    </row>
    <row r="108" spans="1:16">
      <c r="B108" s="195" t="str">
        <f t="shared" si="26"/>
        <v/>
      </c>
      <c r="C108" s="507">
        <f>IF(D93="","-",+C107+1)</f>
        <v>2025</v>
      </c>
      <c r="D108" s="374">
        <f>IF(F107+SUM(E$99:E107)=D$92,F107,D$92-SUM(E$99:E107))</f>
        <v>7438011.9374172809</v>
      </c>
      <c r="E108" s="522">
        <f>IF(+J96&lt;F107,J96,D108)</f>
        <v>228816.17073170733</v>
      </c>
      <c r="F108" s="523">
        <f t="shared" si="33"/>
        <v>7209195.7666855734</v>
      </c>
      <c r="G108" s="523">
        <f t="shared" si="34"/>
        <v>7323603.8520514276</v>
      </c>
      <c r="H108" s="526">
        <f t="shared" si="35"/>
        <v>1060149.3962508526</v>
      </c>
      <c r="I108" s="577">
        <f t="shared" si="36"/>
        <v>1060149.3962508526</v>
      </c>
      <c r="J108" s="514">
        <f t="shared" si="20"/>
        <v>0</v>
      </c>
      <c r="K108" s="514"/>
      <c r="L108" s="525"/>
      <c r="M108" s="514">
        <f t="shared" si="22"/>
        <v>0</v>
      </c>
      <c r="N108" s="525"/>
      <c r="O108" s="514">
        <f t="shared" si="24"/>
        <v>0</v>
      </c>
      <c r="P108" s="514">
        <f t="shared" si="25"/>
        <v>0</v>
      </c>
    </row>
    <row r="109" spans="1:16">
      <c r="B109" s="195" t="str">
        <f t="shared" si="26"/>
        <v/>
      </c>
      <c r="C109" s="507">
        <f>IF(D93="","-",+C108+1)</f>
        <v>2026</v>
      </c>
      <c r="D109" s="374">
        <f>IF(F108+SUM(E$99:E108)=D$92,F108,D$92-SUM(E$99:E108))</f>
        <v>7209195.7666855734</v>
      </c>
      <c r="E109" s="522">
        <f>IF(+J96&lt;F108,J96,D109)</f>
        <v>228816.17073170733</v>
      </c>
      <c r="F109" s="523">
        <f t="shared" si="33"/>
        <v>6980379.5959538659</v>
      </c>
      <c r="G109" s="523">
        <f t="shared" si="34"/>
        <v>7094787.6813197192</v>
      </c>
      <c r="H109" s="526">
        <f t="shared" si="35"/>
        <v>1034175.5056488853</v>
      </c>
      <c r="I109" s="577">
        <f t="shared" si="36"/>
        <v>1034175.5056488853</v>
      </c>
      <c r="J109" s="514">
        <f t="shared" si="20"/>
        <v>0</v>
      </c>
      <c r="K109" s="514"/>
      <c r="L109" s="525"/>
      <c r="M109" s="514">
        <f t="shared" si="22"/>
        <v>0</v>
      </c>
      <c r="N109" s="525"/>
      <c r="O109" s="514">
        <f t="shared" si="24"/>
        <v>0</v>
      </c>
      <c r="P109" s="514">
        <f t="shared" si="25"/>
        <v>0</v>
      </c>
    </row>
    <row r="110" spans="1:16">
      <c r="B110" s="195" t="str">
        <f t="shared" si="26"/>
        <v/>
      </c>
      <c r="C110" s="507">
        <f>IF(D93="","-",+C109+1)</f>
        <v>2027</v>
      </c>
      <c r="D110" s="374">
        <f>IF(F109+SUM(E$99:E109)=D$92,F109,D$92-SUM(E$99:E109))</f>
        <v>6980379.5959538659</v>
      </c>
      <c r="E110" s="522">
        <f>IF(+J96&lt;F109,J96,D110)</f>
        <v>228816.17073170733</v>
      </c>
      <c r="F110" s="523">
        <f t="shared" si="33"/>
        <v>6751563.4252221584</v>
      </c>
      <c r="G110" s="523">
        <f t="shared" si="34"/>
        <v>6865971.5105880126</v>
      </c>
      <c r="H110" s="526">
        <f t="shared" si="35"/>
        <v>1008201.6150469182</v>
      </c>
      <c r="I110" s="577">
        <f t="shared" si="36"/>
        <v>1008201.6150469182</v>
      </c>
      <c r="J110" s="514">
        <f t="shared" si="20"/>
        <v>0</v>
      </c>
      <c r="K110" s="514"/>
      <c r="L110" s="525"/>
      <c r="M110" s="514">
        <f t="shared" si="22"/>
        <v>0</v>
      </c>
      <c r="N110" s="525"/>
      <c r="O110" s="514">
        <f t="shared" si="24"/>
        <v>0</v>
      </c>
      <c r="P110" s="514">
        <f t="shared" si="25"/>
        <v>0</v>
      </c>
    </row>
    <row r="111" spans="1:16">
      <c r="B111" s="195" t="str">
        <f t="shared" si="26"/>
        <v/>
      </c>
      <c r="C111" s="507">
        <f>IF(D93="","-",+C110+1)</f>
        <v>2028</v>
      </c>
      <c r="D111" s="374">
        <f>IF(F110+SUM(E$99:E110)=D$92,F110,D$92-SUM(E$99:E110))</f>
        <v>6751563.4252221584</v>
      </c>
      <c r="E111" s="522">
        <f>IF(+J96&lt;F110,J96,D111)</f>
        <v>228816.17073170733</v>
      </c>
      <c r="F111" s="523">
        <f t="shared" si="33"/>
        <v>6522747.254490451</v>
      </c>
      <c r="G111" s="523">
        <f t="shared" si="34"/>
        <v>6637155.3398563042</v>
      </c>
      <c r="H111" s="526">
        <f t="shared" si="35"/>
        <v>982227.72444495081</v>
      </c>
      <c r="I111" s="577">
        <f t="shared" si="36"/>
        <v>982227.72444495081</v>
      </c>
      <c r="J111" s="514">
        <f t="shared" si="20"/>
        <v>0</v>
      </c>
      <c r="K111" s="514"/>
      <c r="L111" s="525"/>
      <c r="M111" s="514">
        <f t="shared" si="22"/>
        <v>0</v>
      </c>
      <c r="N111" s="525"/>
      <c r="O111" s="514">
        <f t="shared" si="24"/>
        <v>0</v>
      </c>
      <c r="P111" s="514">
        <f t="shared" si="25"/>
        <v>0</v>
      </c>
    </row>
    <row r="112" spans="1:16">
      <c r="B112" s="195" t="str">
        <f t="shared" si="26"/>
        <v/>
      </c>
      <c r="C112" s="507">
        <f>IF(D93="","-",+C111+1)</f>
        <v>2029</v>
      </c>
      <c r="D112" s="374">
        <f>IF(F111+SUM(E$99:E111)=D$92,F111,D$92-SUM(E$99:E111))</f>
        <v>6522747.254490451</v>
      </c>
      <c r="E112" s="522">
        <f>IF(+J96&lt;F111,J96,D112)</f>
        <v>228816.17073170733</v>
      </c>
      <c r="F112" s="523">
        <f t="shared" si="33"/>
        <v>6293931.0837587435</v>
      </c>
      <c r="G112" s="523">
        <f t="shared" si="34"/>
        <v>6408339.1691245977</v>
      </c>
      <c r="H112" s="526">
        <f t="shared" si="35"/>
        <v>956253.83384298359</v>
      </c>
      <c r="I112" s="577">
        <f t="shared" si="36"/>
        <v>956253.83384298359</v>
      </c>
      <c r="J112" s="514">
        <f t="shared" si="20"/>
        <v>0</v>
      </c>
      <c r="K112" s="514"/>
      <c r="L112" s="525"/>
      <c r="M112" s="514">
        <f t="shared" si="22"/>
        <v>0</v>
      </c>
      <c r="N112" s="525"/>
      <c r="O112" s="514">
        <f t="shared" si="24"/>
        <v>0</v>
      </c>
      <c r="P112" s="514">
        <f t="shared" si="25"/>
        <v>0</v>
      </c>
    </row>
    <row r="113" spans="2:16">
      <c r="B113" s="195" t="str">
        <f t="shared" si="26"/>
        <v/>
      </c>
      <c r="C113" s="507">
        <f>IF(D93="","-",+C112+1)</f>
        <v>2030</v>
      </c>
      <c r="D113" s="374">
        <f>IF(F112+SUM(E$99:E112)=D$92,F112,D$92-SUM(E$99:E112))</f>
        <v>6293931.0837587435</v>
      </c>
      <c r="E113" s="522">
        <f>IF(+J96&lt;F112,J96,D113)</f>
        <v>228816.17073170733</v>
      </c>
      <c r="F113" s="523">
        <f t="shared" si="33"/>
        <v>6065114.913027036</v>
      </c>
      <c r="G113" s="523">
        <f t="shared" si="34"/>
        <v>6179522.9983928893</v>
      </c>
      <c r="H113" s="526">
        <f t="shared" si="35"/>
        <v>930279.94324101624</v>
      </c>
      <c r="I113" s="577">
        <f t="shared" si="36"/>
        <v>930279.94324101624</v>
      </c>
      <c r="J113" s="514">
        <f t="shared" si="20"/>
        <v>0</v>
      </c>
      <c r="K113" s="514"/>
      <c r="L113" s="525"/>
      <c r="M113" s="514">
        <f t="shared" si="22"/>
        <v>0</v>
      </c>
      <c r="N113" s="525"/>
      <c r="O113" s="514">
        <f t="shared" si="24"/>
        <v>0</v>
      </c>
      <c r="P113" s="514">
        <f t="shared" si="25"/>
        <v>0</v>
      </c>
    </row>
    <row r="114" spans="2:16">
      <c r="B114" s="195" t="str">
        <f t="shared" si="26"/>
        <v/>
      </c>
      <c r="C114" s="507">
        <f>IF(D93="","-",+C113+1)</f>
        <v>2031</v>
      </c>
      <c r="D114" s="374">
        <f>IF(F113+SUM(E$99:E113)=D$92,F113,D$92-SUM(E$99:E113))</f>
        <v>6065114.913027036</v>
      </c>
      <c r="E114" s="522">
        <f>IF(+J96&lt;F113,J96,D114)</f>
        <v>228816.17073170733</v>
      </c>
      <c r="F114" s="523">
        <f t="shared" si="33"/>
        <v>5836298.7422953285</v>
      </c>
      <c r="G114" s="523">
        <f t="shared" si="34"/>
        <v>5950706.8276611827</v>
      </c>
      <c r="H114" s="526">
        <f t="shared" si="35"/>
        <v>904306.05263904913</v>
      </c>
      <c r="I114" s="577">
        <f t="shared" si="36"/>
        <v>904306.05263904913</v>
      </c>
      <c r="J114" s="514">
        <f t="shared" si="20"/>
        <v>0</v>
      </c>
      <c r="K114" s="514"/>
      <c r="L114" s="525"/>
      <c r="M114" s="514">
        <f t="shared" si="22"/>
        <v>0</v>
      </c>
      <c r="N114" s="525"/>
      <c r="O114" s="514">
        <f t="shared" si="24"/>
        <v>0</v>
      </c>
      <c r="P114" s="514">
        <f t="shared" si="25"/>
        <v>0</v>
      </c>
    </row>
    <row r="115" spans="2:16">
      <c r="B115" s="195" t="str">
        <f t="shared" si="26"/>
        <v/>
      </c>
      <c r="C115" s="507">
        <f>IF(D93="","-",+C114+1)</f>
        <v>2032</v>
      </c>
      <c r="D115" s="374">
        <f>IF(F114+SUM(E$99:E114)=D$92,F114,D$92-SUM(E$99:E114))</f>
        <v>5836298.7422953285</v>
      </c>
      <c r="E115" s="522">
        <f>IF(+J96&lt;F114,J96,D115)</f>
        <v>228816.17073170733</v>
      </c>
      <c r="F115" s="523">
        <f t="shared" si="33"/>
        <v>5607482.5715636211</v>
      </c>
      <c r="G115" s="523">
        <f t="shared" si="34"/>
        <v>5721890.6569294743</v>
      </c>
      <c r="H115" s="526">
        <f t="shared" si="35"/>
        <v>878332.16203708178</v>
      </c>
      <c r="I115" s="577">
        <f t="shared" si="36"/>
        <v>878332.16203708178</v>
      </c>
      <c r="J115" s="514">
        <f t="shared" si="20"/>
        <v>0</v>
      </c>
      <c r="K115" s="514"/>
      <c r="L115" s="525"/>
      <c r="M115" s="514">
        <f t="shared" si="22"/>
        <v>0</v>
      </c>
      <c r="N115" s="525"/>
      <c r="O115" s="514">
        <f t="shared" si="24"/>
        <v>0</v>
      </c>
      <c r="P115" s="514">
        <f t="shared" si="25"/>
        <v>0</v>
      </c>
    </row>
    <row r="116" spans="2:16">
      <c r="B116" s="195" t="str">
        <f t="shared" si="26"/>
        <v/>
      </c>
      <c r="C116" s="507">
        <f>IF(D93="","-",+C115+1)</f>
        <v>2033</v>
      </c>
      <c r="D116" s="374">
        <f>IF(F115+SUM(E$99:E115)=D$92,F115,D$92-SUM(E$99:E115))</f>
        <v>5607482.5715636211</v>
      </c>
      <c r="E116" s="522">
        <f>IF(+J96&lt;F115,J96,D116)</f>
        <v>228816.17073170733</v>
      </c>
      <c r="F116" s="523">
        <f t="shared" si="33"/>
        <v>5378666.4008319136</v>
      </c>
      <c r="G116" s="523">
        <f t="shared" si="34"/>
        <v>5493074.4861977678</v>
      </c>
      <c r="H116" s="526">
        <f t="shared" si="35"/>
        <v>852358.27143511456</v>
      </c>
      <c r="I116" s="577">
        <f t="shared" si="36"/>
        <v>852358.27143511456</v>
      </c>
      <c r="J116" s="514">
        <f t="shared" si="20"/>
        <v>0</v>
      </c>
      <c r="K116" s="514"/>
      <c r="L116" s="525"/>
      <c r="M116" s="514">
        <f t="shared" si="22"/>
        <v>0</v>
      </c>
      <c r="N116" s="525"/>
      <c r="O116" s="514">
        <f t="shared" si="24"/>
        <v>0</v>
      </c>
      <c r="P116" s="514">
        <f t="shared" si="25"/>
        <v>0</v>
      </c>
    </row>
    <row r="117" spans="2:16">
      <c r="B117" s="195" t="str">
        <f t="shared" si="26"/>
        <v/>
      </c>
      <c r="C117" s="507">
        <f>IF(D93="","-",+C116+1)</f>
        <v>2034</v>
      </c>
      <c r="D117" s="374">
        <f>IF(F116+SUM(E$99:E116)=D$92,F116,D$92-SUM(E$99:E116))</f>
        <v>5378666.4008319136</v>
      </c>
      <c r="E117" s="522">
        <f>IF(+J96&lt;F116,J96,D117)</f>
        <v>228816.17073170733</v>
      </c>
      <c r="F117" s="523">
        <f t="shared" si="33"/>
        <v>5149850.2301002061</v>
      </c>
      <c r="G117" s="523">
        <f t="shared" si="34"/>
        <v>5264258.3154660594</v>
      </c>
      <c r="H117" s="526">
        <f t="shared" si="35"/>
        <v>826384.38083314721</v>
      </c>
      <c r="I117" s="577">
        <f t="shared" si="36"/>
        <v>826384.38083314721</v>
      </c>
      <c r="J117" s="514">
        <f t="shared" si="20"/>
        <v>0</v>
      </c>
      <c r="K117" s="514"/>
      <c r="L117" s="525"/>
      <c r="M117" s="514">
        <f t="shared" si="22"/>
        <v>0</v>
      </c>
      <c r="N117" s="525"/>
      <c r="O117" s="514">
        <f t="shared" si="24"/>
        <v>0</v>
      </c>
      <c r="P117" s="514">
        <f t="shared" si="25"/>
        <v>0</v>
      </c>
    </row>
    <row r="118" spans="2:16">
      <c r="B118" s="195" t="str">
        <f t="shared" si="26"/>
        <v/>
      </c>
      <c r="C118" s="507">
        <f>IF(D93="","-",+C117+1)</f>
        <v>2035</v>
      </c>
      <c r="D118" s="374">
        <f>IF(F117+SUM(E$99:E117)=D$92,F117,D$92-SUM(E$99:E117))</f>
        <v>5149850.2301002061</v>
      </c>
      <c r="E118" s="522">
        <f>IF(+J96&lt;F117,J96,D118)</f>
        <v>228816.17073170733</v>
      </c>
      <c r="F118" s="523">
        <f t="shared" si="33"/>
        <v>4921034.0593684986</v>
      </c>
      <c r="G118" s="523">
        <f t="shared" si="34"/>
        <v>5035442.1447343528</v>
      </c>
      <c r="H118" s="526">
        <f t="shared" si="35"/>
        <v>800410.4902311801</v>
      </c>
      <c r="I118" s="577">
        <f t="shared" si="36"/>
        <v>800410.4902311801</v>
      </c>
      <c r="J118" s="514">
        <f t="shared" si="20"/>
        <v>0</v>
      </c>
      <c r="K118" s="514"/>
      <c r="L118" s="525"/>
      <c r="M118" s="514">
        <f t="shared" si="22"/>
        <v>0</v>
      </c>
      <c r="N118" s="525"/>
      <c r="O118" s="514">
        <f t="shared" si="24"/>
        <v>0</v>
      </c>
      <c r="P118" s="514">
        <f t="shared" si="25"/>
        <v>0</v>
      </c>
    </row>
    <row r="119" spans="2:16">
      <c r="B119" s="195" t="str">
        <f t="shared" si="26"/>
        <v/>
      </c>
      <c r="C119" s="507">
        <f>IF(D93="","-",+C118+1)</f>
        <v>2036</v>
      </c>
      <c r="D119" s="374">
        <f>IF(F118+SUM(E$99:E118)=D$92,F118,D$92-SUM(E$99:E118))</f>
        <v>4921034.0593684986</v>
      </c>
      <c r="E119" s="522">
        <f>IF(+J96&lt;F118,J96,D119)</f>
        <v>228816.17073170733</v>
      </c>
      <c r="F119" s="523">
        <f t="shared" si="33"/>
        <v>4692217.8886367911</v>
      </c>
      <c r="G119" s="523">
        <f t="shared" si="34"/>
        <v>4806625.9740026444</v>
      </c>
      <c r="H119" s="526">
        <f t="shared" si="35"/>
        <v>774436.59962921264</v>
      </c>
      <c r="I119" s="577">
        <f t="shared" si="36"/>
        <v>774436.59962921264</v>
      </c>
      <c r="J119" s="514">
        <f t="shared" si="20"/>
        <v>0</v>
      </c>
      <c r="K119" s="514"/>
      <c r="L119" s="525"/>
      <c r="M119" s="514">
        <f t="shared" si="22"/>
        <v>0</v>
      </c>
      <c r="N119" s="525"/>
      <c r="O119" s="514">
        <f t="shared" si="24"/>
        <v>0</v>
      </c>
      <c r="P119" s="514">
        <f t="shared" si="25"/>
        <v>0</v>
      </c>
    </row>
    <row r="120" spans="2:16">
      <c r="B120" s="195" t="str">
        <f t="shared" si="26"/>
        <v/>
      </c>
      <c r="C120" s="507">
        <f>IF(D93="","-",+C119+1)</f>
        <v>2037</v>
      </c>
      <c r="D120" s="374">
        <f>IF(F119+SUM(E$99:E119)=D$92,F119,D$92-SUM(E$99:E119))</f>
        <v>4692217.8886367911</v>
      </c>
      <c r="E120" s="522">
        <f>IF(+J96&lt;F119,J96,D120)</f>
        <v>228816.17073170733</v>
      </c>
      <c r="F120" s="523">
        <f t="shared" si="33"/>
        <v>4463401.7179050837</v>
      </c>
      <c r="G120" s="523">
        <f t="shared" si="34"/>
        <v>4577809.8032709379</v>
      </c>
      <c r="H120" s="526">
        <f t="shared" si="35"/>
        <v>748462.70902724552</v>
      </c>
      <c r="I120" s="577">
        <f t="shared" si="36"/>
        <v>748462.70902724552</v>
      </c>
      <c r="J120" s="514">
        <f t="shared" si="20"/>
        <v>0</v>
      </c>
      <c r="K120" s="514"/>
      <c r="L120" s="525"/>
      <c r="M120" s="514">
        <f t="shared" si="22"/>
        <v>0</v>
      </c>
      <c r="N120" s="525"/>
      <c r="O120" s="514">
        <f t="shared" si="24"/>
        <v>0</v>
      </c>
      <c r="P120" s="514">
        <f t="shared" si="25"/>
        <v>0</v>
      </c>
    </row>
    <row r="121" spans="2:16">
      <c r="B121" s="195" t="str">
        <f t="shared" si="26"/>
        <v/>
      </c>
      <c r="C121" s="507">
        <f>IF(D93="","-",+C120+1)</f>
        <v>2038</v>
      </c>
      <c r="D121" s="374">
        <f>IF(F120+SUM(E$99:E120)=D$92,F120,D$92-SUM(E$99:E120))</f>
        <v>4463401.7179050837</v>
      </c>
      <c r="E121" s="522">
        <f>IF(+J96&lt;F120,J96,D121)</f>
        <v>228816.17073170733</v>
      </c>
      <c r="F121" s="523">
        <f t="shared" si="33"/>
        <v>4234585.5471733762</v>
      </c>
      <c r="G121" s="523">
        <f t="shared" si="34"/>
        <v>4348993.6325392295</v>
      </c>
      <c r="H121" s="526">
        <f t="shared" si="35"/>
        <v>722488.81842527806</v>
      </c>
      <c r="I121" s="577">
        <f t="shared" si="36"/>
        <v>722488.81842527806</v>
      </c>
      <c r="J121" s="514">
        <f t="shared" si="20"/>
        <v>0</v>
      </c>
      <c r="K121" s="514"/>
      <c r="L121" s="525"/>
      <c r="M121" s="514">
        <f t="shared" si="22"/>
        <v>0</v>
      </c>
      <c r="N121" s="525"/>
      <c r="O121" s="514">
        <f t="shared" si="24"/>
        <v>0</v>
      </c>
      <c r="P121" s="514">
        <f t="shared" si="25"/>
        <v>0</v>
      </c>
    </row>
    <row r="122" spans="2:16">
      <c r="B122" s="195" t="str">
        <f t="shared" si="26"/>
        <v/>
      </c>
      <c r="C122" s="507">
        <f>IF(D93="","-",+C121+1)</f>
        <v>2039</v>
      </c>
      <c r="D122" s="374">
        <f>IF(F121+SUM(E$99:E121)=D$92,F121,D$92-SUM(E$99:E121))</f>
        <v>4234585.5471733762</v>
      </c>
      <c r="E122" s="522">
        <f>IF(+J96&lt;F121,J96,D122)</f>
        <v>228816.17073170733</v>
      </c>
      <c r="F122" s="523">
        <f t="shared" si="33"/>
        <v>4005769.3764416687</v>
      </c>
      <c r="G122" s="523">
        <f t="shared" si="34"/>
        <v>4120177.4618075225</v>
      </c>
      <c r="H122" s="526">
        <f t="shared" si="35"/>
        <v>696514.92782331095</v>
      </c>
      <c r="I122" s="577">
        <f t="shared" si="36"/>
        <v>696514.92782331095</v>
      </c>
      <c r="J122" s="514">
        <f t="shared" si="20"/>
        <v>0</v>
      </c>
      <c r="K122" s="514"/>
      <c r="L122" s="525"/>
      <c r="M122" s="514">
        <f t="shared" si="22"/>
        <v>0</v>
      </c>
      <c r="N122" s="525"/>
      <c r="O122" s="514">
        <f t="shared" si="24"/>
        <v>0</v>
      </c>
      <c r="P122" s="514">
        <f t="shared" si="25"/>
        <v>0</v>
      </c>
    </row>
    <row r="123" spans="2:16">
      <c r="B123" s="195" t="str">
        <f t="shared" si="26"/>
        <v/>
      </c>
      <c r="C123" s="507">
        <f>IF(D93="","-",+C122+1)</f>
        <v>2040</v>
      </c>
      <c r="D123" s="374">
        <f>IF(F122+SUM(E$99:E122)=D$92,F122,D$92-SUM(E$99:E122))</f>
        <v>4005769.3764416687</v>
      </c>
      <c r="E123" s="522">
        <f>IF(+J96&lt;F122,J96,D123)</f>
        <v>228816.17073170733</v>
      </c>
      <c r="F123" s="523">
        <f t="shared" si="33"/>
        <v>3776953.2057099612</v>
      </c>
      <c r="G123" s="523">
        <f t="shared" si="34"/>
        <v>3891361.291075815</v>
      </c>
      <c r="H123" s="526">
        <f t="shared" si="35"/>
        <v>670541.03722134361</v>
      </c>
      <c r="I123" s="577">
        <f t="shared" si="36"/>
        <v>670541.03722134361</v>
      </c>
      <c r="J123" s="514">
        <f t="shared" si="20"/>
        <v>0</v>
      </c>
      <c r="K123" s="514"/>
      <c r="L123" s="525"/>
      <c r="M123" s="514">
        <f t="shared" si="22"/>
        <v>0</v>
      </c>
      <c r="N123" s="525"/>
      <c r="O123" s="514">
        <f t="shared" si="24"/>
        <v>0</v>
      </c>
      <c r="P123" s="514">
        <f t="shared" si="25"/>
        <v>0</v>
      </c>
    </row>
    <row r="124" spans="2:16">
      <c r="B124" s="195" t="str">
        <f t="shared" si="26"/>
        <v/>
      </c>
      <c r="C124" s="507">
        <f>IF(D93="","-",+C123+1)</f>
        <v>2041</v>
      </c>
      <c r="D124" s="374">
        <f>IF(F123+SUM(E$99:E123)=D$92,F123,D$92-SUM(E$99:E123))</f>
        <v>3776953.2057099612</v>
      </c>
      <c r="E124" s="522">
        <f>IF(+J96&lt;F123,J96,D124)</f>
        <v>228816.17073170733</v>
      </c>
      <c r="F124" s="523">
        <f t="shared" si="33"/>
        <v>3548137.0349782538</v>
      </c>
      <c r="G124" s="523">
        <f t="shared" si="34"/>
        <v>3662545.1203441075</v>
      </c>
      <c r="H124" s="526">
        <f t="shared" si="35"/>
        <v>644567.14661937638</v>
      </c>
      <c r="I124" s="577">
        <f t="shared" si="36"/>
        <v>644567.14661937638</v>
      </c>
      <c r="J124" s="514">
        <f t="shared" si="20"/>
        <v>0</v>
      </c>
      <c r="K124" s="514"/>
      <c r="L124" s="525"/>
      <c r="M124" s="514">
        <f t="shared" si="22"/>
        <v>0</v>
      </c>
      <c r="N124" s="525"/>
      <c r="O124" s="514">
        <f t="shared" si="24"/>
        <v>0</v>
      </c>
      <c r="P124" s="514">
        <f t="shared" si="25"/>
        <v>0</v>
      </c>
    </row>
    <row r="125" spans="2:16">
      <c r="B125" s="195" t="str">
        <f t="shared" si="26"/>
        <v/>
      </c>
      <c r="C125" s="507">
        <f>IF(D93="","-",+C124+1)</f>
        <v>2042</v>
      </c>
      <c r="D125" s="374">
        <f>IF(F124+SUM(E$99:E124)=D$92,F124,D$92-SUM(E$99:E124))</f>
        <v>3548137.0349782538</v>
      </c>
      <c r="E125" s="522">
        <f>IF(+J96&lt;F124,J96,D125)</f>
        <v>228816.17073170733</v>
      </c>
      <c r="F125" s="523">
        <f t="shared" si="33"/>
        <v>3319320.8642465463</v>
      </c>
      <c r="G125" s="523">
        <f t="shared" si="34"/>
        <v>3433728.9496124</v>
      </c>
      <c r="H125" s="526">
        <f t="shared" si="35"/>
        <v>618593.25601740915</v>
      </c>
      <c r="I125" s="577">
        <f t="shared" si="36"/>
        <v>618593.25601740915</v>
      </c>
      <c r="J125" s="514">
        <f t="shared" si="20"/>
        <v>0</v>
      </c>
      <c r="K125" s="514"/>
      <c r="L125" s="525"/>
      <c r="M125" s="514">
        <f t="shared" si="22"/>
        <v>0</v>
      </c>
      <c r="N125" s="525"/>
      <c r="O125" s="514">
        <f t="shared" si="24"/>
        <v>0</v>
      </c>
      <c r="P125" s="514">
        <f t="shared" si="25"/>
        <v>0</v>
      </c>
    </row>
    <row r="126" spans="2:16">
      <c r="B126" s="195" t="str">
        <f t="shared" si="26"/>
        <v/>
      </c>
      <c r="C126" s="507">
        <f>IF(D93="","-",+C125+1)</f>
        <v>2043</v>
      </c>
      <c r="D126" s="374">
        <f>IF(F125+SUM(E$99:E125)=D$92,F125,D$92-SUM(E$99:E125))</f>
        <v>3319320.8642465463</v>
      </c>
      <c r="E126" s="522">
        <f>IF(+J96&lt;F125,J96,D126)</f>
        <v>228816.17073170733</v>
      </c>
      <c r="F126" s="523">
        <f t="shared" si="33"/>
        <v>3090504.6935148388</v>
      </c>
      <c r="G126" s="523">
        <f t="shared" si="34"/>
        <v>3204912.7788806926</v>
      </c>
      <c r="H126" s="526">
        <f t="shared" si="35"/>
        <v>592619.3654154418</v>
      </c>
      <c r="I126" s="577">
        <f t="shared" si="36"/>
        <v>592619.3654154418</v>
      </c>
      <c r="J126" s="514">
        <f t="shared" si="20"/>
        <v>0</v>
      </c>
      <c r="K126" s="514"/>
      <c r="L126" s="525"/>
      <c r="M126" s="514">
        <f t="shared" si="22"/>
        <v>0</v>
      </c>
      <c r="N126" s="525"/>
      <c r="O126" s="514">
        <f t="shared" si="24"/>
        <v>0</v>
      </c>
      <c r="P126" s="514">
        <f t="shared" si="25"/>
        <v>0</v>
      </c>
    </row>
    <row r="127" spans="2:16">
      <c r="B127" s="195" t="str">
        <f t="shared" si="26"/>
        <v/>
      </c>
      <c r="C127" s="507">
        <f>IF(D93="","-",+C126+1)</f>
        <v>2044</v>
      </c>
      <c r="D127" s="374">
        <f>IF(F126+SUM(E$99:E126)=D$92,F126,D$92-SUM(E$99:E126))</f>
        <v>3090504.6935148388</v>
      </c>
      <c r="E127" s="522">
        <f>IF(+J96&lt;F126,J96,D127)</f>
        <v>228816.17073170733</v>
      </c>
      <c r="F127" s="523">
        <f t="shared" si="33"/>
        <v>2861688.5227831313</v>
      </c>
      <c r="G127" s="523">
        <f t="shared" si="34"/>
        <v>2976096.6081489851</v>
      </c>
      <c r="H127" s="526">
        <f t="shared" si="35"/>
        <v>566645.47481347458</v>
      </c>
      <c r="I127" s="577">
        <f t="shared" si="36"/>
        <v>566645.47481347458</v>
      </c>
      <c r="J127" s="514">
        <f t="shared" si="20"/>
        <v>0</v>
      </c>
      <c r="K127" s="514"/>
      <c r="L127" s="525"/>
      <c r="M127" s="514">
        <f t="shared" si="22"/>
        <v>0</v>
      </c>
      <c r="N127" s="525"/>
      <c r="O127" s="514">
        <f t="shared" si="24"/>
        <v>0</v>
      </c>
      <c r="P127" s="514">
        <f t="shared" si="25"/>
        <v>0</v>
      </c>
    </row>
    <row r="128" spans="2:16">
      <c r="B128" s="195" t="str">
        <f t="shared" si="26"/>
        <v/>
      </c>
      <c r="C128" s="507">
        <f>IF(D93="","-",+C127+1)</f>
        <v>2045</v>
      </c>
      <c r="D128" s="374">
        <f>IF(F127+SUM(E$99:E127)=D$92,F127,D$92-SUM(E$99:E127))</f>
        <v>2861688.5227831313</v>
      </c>
      <c r="E128" s="522">
        <f>IF(+J96&lt;F127,J96,D128)</f>
        <v>228816.17073170733</v>
      </c>
      <c r="F128" s="523">
        <f t="shared" si="33"/>
        <v>2632872.3520514239</v>
      </c>
      <c r="G128" s="523">
        <f t="shared" si="34"/>
        <v>2747280.4374172776</v>
      </c>
      <c r="H128" s="526">
        <f t="shared" si="35"/>
        <v>540671.58421150735</v>
      </c>
      <c r="I128" s="577">
        <f t="shared" si="36"/>
        <v>540671.58421150735</v>
      </c>
      <c r="J128" s="514">
        <f t="shared" si="20"/>
        <v>0</v>
      </c>
      <c r="K128" s="514"/>
      <c r="L128" s="525"/>
      <c r="M128" s="514">
        <f t="shared" si="22"/>
        <v>0</v>
      </c>
      <c r="N128" s="525"/>
      <c r="O128" s="514">
        <f t="shared" si="24"/>
        <v>0</v>
      </c>
      <c r="P128" s="514">
        <f t="shared" si="25"/>
        <v>0</v>
      </c>
    </row>
    <row r="129" spans="2:16">
      <c r="B129" s="195" t="str">
        <f t="shared" si="26"/>
        <v/>
      </c>
      <c r="C129" s="507">
        <f>IF(D93="","-",+C128+1)</f>
        <v>2046</v>
      </c>
      <c r="D129" s="374">
        <f>IF(F128+SUM(E$99:E128)=D$92,F128,D$92-SUM(E$99:E128))</f>
        <v>2632872.3520514239</v>
      </c>
      <c r="E129" s="522">
        <f>IF(+J96&lt;F128,J96,D129)</f>
        <v>228816.17073170733</v>
      </c>
      <c r="F129" s="523">
        <f t="shared" si="33"/>
        <v>2404056.1813197164</v>
      </c>
      <c r="G129" s="523">
        <f t="shared" si="34"/>
        <v>2518464.2666855701</v>
      </c>
      <c r="H129" s="526">
        <f t="shared" si="35"/>
        <v>514697.69360954</v>
      </c>
      <c r="I129" s="577">
        <f t="shared" si="36"/>
        <v>514697.69360954</v>
      </c>
      <c r="J129" s="514">
        <f t="shared" si="20"/>
        <v>0</v>
      </c>
      <c r="K129" s="514"/>
      <c r="L129" s="525"/>
      <c r="M129" s="514">
        <f t="shared" si="22"/>
        <v>0</v>
      </c>
      <c r="N129" s="525"/>
      <c r="O129" s="514">
        <f t="shared" si="24"/>
        <v>0</v>
      </c>
      <c r="P129" s="514">
        <f t="shared" si="25"/>
        <v>0</v>
      </c>
    </row>
    <row r="130" spans="2:16">
      <c r="B130" s="195" t="str">
        <f t="shared" si="26"/>
        <v/>
      </c>
      <c r="C130" s="507">
        <f>IF(D93="","-",+C129+1)</f>
        <v>2047</v>
      </c>
      <c r="D130" s="374">
        <f>IF(F129+SUM(E$99:E129)=D$92,F129,D$92-SUM(E$99:E129))</f>
        <v>2404056.1813197164</v>
      </c>
      <c r="E130" s="522">
        <f>IF(+J96&lt;F129,J96,D130)</f>
        <v>228816.17073170733</v>
      </c>
      <c r="F130" s="523">
        <f t="shared" si="33"/>
        <v>2175240.0105880089</v>
      </c>
      <c r="G130" s="523">
        <f t="shared" si="34"/>
        <v>2289648.0959538626</v>
      </c>
      <c r="H130" s="526">
        <f t="shared" si="35"/>
        <v>488723.80300757277</v>
      </c>
      <c r="I130" s="577">
        <f t="shared" si="36"/>
        <v>488723.80300757277</v>
      </c>
      <c r="J130" s="514">
        <f t="shared" si="20"/>
        <v>0</v>
      </c>
      <c r="K130" s="514"/>
      <c r="L130" s="525"/>
      <c r="M130" s="514">
        <f t="shared" si="22"/>
        <v>0</v>
      </c>
      <c r="N130" s="525"/>
      <c r="O130" s="514">
        <f t="shared" si="24"/>
        <v>0</v>
      </c>
      <c r="P130" s="514">
        <f t="shared" si="25"/>
        <v>0</v>
      </c>
    </row>
    <row r="131" spans="2:16">
      <c r="B131" s="195" t="str">
        <f t="shared" si="26"/>
        <v/>
      </c>
      <c r="C131" s="507">
        <f>IF(D93="","-",+C130+1)</f>
        <v>2048</v>
      </c>
      <c r="D131" s="374">
        <f>IF(F130+SUM(E$99:E130)=D$92,F130,D$92-SUM(E$99:E130))</f>
        <v>2175240.0105880089</v>
      </c>
      <c r="E131" s="522">
        <f>IF(+J96&lt;F130,J96,D131)</f>
        <v>228816.17073170733</v>
      </c>
      <c r="F131" s="523">
        <f t="shared" ref="F131:F154" si="37">+D131-E131</f>
        <v>1946423.8398563017</v>
      </c>
      <c r="G131" s="523">
        <f t="shared" ref="G131:G154" si="38">+(F131+D131)/2</f>
        <v>2060831.9252221552</v>
      </c>
      <c r="H131" s="526">
        <f t="shared" si="35"/>
        <v>462749.91240560554</v>
      </c>
      <c r="I131" s="577">
        <f t="shared" si="36"/>
        <v>462749.91240560554</v>
      </c>
      <c r="J131" s="514">
        <f t="shared" ref="J131:J154" si="39">+I541-H541</f>
        <v>0</v>
      </c>
      <c r="K131" s="514"/>
      <c r="L131" s="525"/>
      <c r="M131" s="514">
        <f t="shared" ref="M131:M154" si="40">IF(L541&lt;&gt;0,+H541-L541,0)</f>
        <v>0</v>
      </c>
      <c r="N131" s="525"/>
      <c r="O131" s="514">
        <f t="shared" ref="O131:O154" si="41">IF(N541&lt;&gt;0,+I541-N541,0)</f>
        <v>0</v>
      </c>
      <c r="P131" s="514">
        <f t="shared" ref="P131:P154" si="42">+O541-M541</f>
        <v>0</v>
      </c>
    </row>
    <row r="132" spans="2:16">
      <c r="B132" s="195" t="str">
        <f t="shared" si="26"/>
        <v/>
      </c>
      <c r="C132" s="507">
        <f>IF(D93="","-",+C131+1)</f>
        <v>2049</v>
      </c>
      <c r="D132" s="374">
        <f>IF(F131+SUM(E$99:E131)=D$92,F131,D$92-SUM(E$99:E131))</f>
        <v>1946423.8398563017</v>
      </c>
      <c r="E132" s="522">
        <f>IF(+J96&lt;F131,J96,D132)</f>
        <v>228816.17073170733</v>
      </c>
      <c r="F132" s="523">
        <f t="shared" si="37"/>
        <v>1717607.6691245944</v>
      </c>
      <c r="G132" s="523">
        <f t="shared" si="38"/>
        <v>1832015.7544904482</v>
      </c>
      <c r="H132" s="526">
        <f t="shared" si="35"/>
        <v>436776.02180363832</v>
      </c>
      <c r="I132" s="577">
        <f t="shared" si="36"/>
        <v>436776.02180363832</v>
      </c>
      <c r="J132" s="514">
        <f t="shared" si="39"/>
        <v>0</v>
      </c>
      <c r="K132" s="514"/>
      <c r="L132" s="525"/>
      <c r="M132" s="514">
        <f t="shared" si="40"/>
        <v>0</v>
      </c>
      <c r="N132" s="525"/>
      <c r="O132" s="514">
        <f t="shared" si="41"/>
        <v>0</v>
      </c>
      <c r="P132" s="514">
        <f t="shared" si="42"/>
        <v>0</v>
      </c>
    </row>
    <row r="133" spans="2:16">
      <c r="B133" s="195" t="str">
        <f t="shared" si="26"/>
        <v/>
      </c>
      <c r="C133" s="507">
        <f>IF(D93="","-",+C132+1)</f>
        <v>2050</v>
      </c>
      <c r="D133" s="374">
        <f>IF(F132+SUM(E$99:E132)=D$92,F132,D$92-SUM(E$99:E132))</f>
        <v>1717607.6691245944</v>
      </c>
      <c r="E133" s="522">
        <f>IF(+J96&lt;F132,J96,D133)</f>
        <v>228816.17073170733</v>
      </c>
      <c r="F133" s="523">
        <f t="shared" si="37"/>
        <v>1488791.4983928872</v>
      </c>
      <c r="G133" s="523">
        <f t="shared" si="38"/>
        <v>1603199.5837587407</v>
      </c>
      <c r="H133" s="526">
        <f t="shared" si="35"/>
        <v>410802.13120167109</v>
      </c>
      <c r="I133" s="577">
        <f t="shared" si="36"/>
        <v>410802.13120167109</v>
      </c>
      <c r="J133" s="514">
        <f t="shared" si="39"/>
        <v>0</v>
      </c>
      <c r="K133" s="514"/>
      <c r="L133" s="525"/>
      <c r="M133" s="514">
        <f t="shared" si="40"/>
        <v>0</v>
      </c>
      <c r="N133" s="525"/>
      <c r="O133" s="514">
        <f t="shared" si="41"/>
        <v>0</v>
      </c>
      <c r="P133" s="514">
        <f t="shared" si="42"/>
        <v>0</v>
      </c>
    </row>
    <row r="134" spans="2:16">
      <c r="B134" s="195" t="str">
        <f t="shared" si="26"/>
        <v/>
      </c>
      <c r="C134" s="507">
        <f>IF(D93="","-",+C133+1)</f>
        <v>2051</v>
      </c>
      <c r="D134" s="374">
        <f>IF(F133+SUM(E$99:E133)=D$92,F133,D$92-SUM(E$99:E133))</f>
        <v>1488791.4983928872</v>
      </c>
      <c r="E134" s="522">
        <f>IF(+J96&lt;F133,J96,D134)</f>
        <v>228816.17073170733</v>
      </c>
      <c r="F134" s="523">
        <f t="shared" si="37"/>
        <v>1259975.3276611799</v>
      </c>
      <c r="G134" s="523">
        <f t="shared" si="38"/>
        <v>1374383.4130270337</v>
      </c>
      <c r="H134" s="526">
        <f t="shared" si="35"/>
        <v>384828.24059970386</v>
      </c>
      <c r="I134" s="577">
        <f t="shared" si="36"/>
        <v>384828.24059970386</v>
      </c>
      <c r="J134" s="514">
        <f t="shared" si="39"/>
        <v>0</v>
      </c>
      <c r="K134" s="514"/>
      <c r="L134" s="525"/>
      <c r="M134" s="514">
        <f t="shared" si="40"/>
        <v>0</v>
      </c>
      <c r="N134" s="525"/>
      <c r="O134" s="514">
        <f t="shared" si="41"/>
        <v>0</v>
      </c>
      <c r="P134" s="514">
        <f t="shared" si="42"/>
        <v>0</v>
      </c>
    </row>
    <row r="135" spans="2:16">
      <c r="B135" s="195" t="str">
        <f t="shared" si="26"/>
        <v/>
      </c>
      <c r="C135" s="507">
        <f>IF(D93="","-",+C134+1)</f>
        <v>2052</v>
      </c>
      <c r="D135" s="374">
        <f>IF(F134+SUM(E$99:E134)=D$92,F134,D$92-SUM(E$99:E134))</f>
        <v>1259975.3276611799</v>
      </c>
      <c r="E135" s="522">
        <f>IF(+J96&lt;F134,J96,D135)</f>
        <v>228816.17073170733</v>
      </c>
      <c r="F135" s="523">
        <f t="shared" si="37"/>
        <v>1031159.1569294726</v>
      </c>
      <c r="G135" s="523">
        <f t="shared" si="38"/>
        <v>1145567.2422953262</v>
      </c>
      <c r="H135" s="526">
        <f t="shared" si="35"/>
        <v>358854.34999773657</v>
      </c>
      <c r="I135" s="577">
        <f t="shared" si="36"/>
        <v>358854.34999773657</v>
      </c>
      <c r="J135" s="514">
        <f t="shared" si="39"/>
        <v>0</v>
      </c>
      <c r="K135" s="514"/>
      <c r="L135" s="525"/>
      <c r="M135" s="514">
        <f t="shared" si="40"/>
        <v>0</v>
      </c>
      <c r="N135" s="525"/>
      <c r="O135" s="514">
        <f t="shared" si="41"/>
        <v>0</v>
      </c>
      <c r="P135" s="514">
        <f t="shared" si="42"/>
        <v>0</v>
      </c>
    </row>
    <row r="136" spans="2:16">
      <c r="B136" s="195" t="str">
        <f t="shared" si="26"/>
        <v/>
      </c>
      <c r="C136" s="507">
        <f>IF(D93="","-",+C135+1)</f>
        <v>2053</v>
      </c>
      <c r="D136" s="374">
        <f>IF(F135+SUM(E$99:E135)=D$92,F135,D$92-SUM(E$99:E135))</f>
        <v>1031159.1569294726</v>
      </c>
      <c r="E136" s="522">
        <f>IF(+J96&lt;F135,J96,D136)</f>
        <v>228816.17073170733</v>
      </c>
      <c r="F136" s="523">
        <f t="shared" si="37"/>
        <v>802342.98619776522</v>
      </c>
      <c r="G136" s="523">
        <f t="shared" si="38"/>
        <v>916751.07156361896</v>
      </c>
      <c r="H136" s="526">
        <f t="shared" si="35"/>
        <v>332880.45939576934</v>
      </c>
      <c r="I136" s="577">
        <f t="shared" si="36"/>
        <v>332880.45939576934</v>
      </c>
      <c r="J136" s="514">
        <f t="shared" si="39"/>
        <v>0</v>
      </c>
      <c r="K136" s="514"/>
      <c r="L136" s="525"/>
      <c r="M136" s="514">
        <f t="shared" si="40"/>
        <v>0</v>
      </c>
      <c r="N136" s="525"/>
      <c r="O136" s="514">
        <f t="shared" si="41"/>
        <v>0</v>
      </c>
      <c r="P136" s="514">
        <f t="shared" si="42"/>
        <v>0</v>
      </c>
    </row>
    <row r="137" spans="2:16">
      <c r="B137" s="195" t="str">
        <f t="shared" si="26"/>
        <v/>
      </c>
      <c r="C137" s="507">
        <f>IF(D93="","-",+C136+1)</f>
        <v>2054</v>
      </c>
      <c r="D137" s="374">
        <f>IF(F136+SUM(E$99:E136)=D$92,F136,D$92-SUM(E$99:E136))</f>
        <v>802342.98619776522</v>
      </c>
      <c r="E137" s="522">
        <f>IF(+J96&lt;F136,J96,D137)</f>
        <v>228816.17073170733</v>
      </c>
      <c r="F137" s="523">
        <f t="shared" si="37"/>
        <v>573526.81546605786</v>
      </c>
      <c r="G137" s="523">
        <f t="shared" si="38"/>
        <v>687934.90083191148</v>
      </c>
      <c r="H137" s="526">
        <f t="shared" si="35"/>
        <v>306906.56879380206</v>
      </c>
      <c r="I137" s="577">
        <f t="shared" si="36"/>
        <v>306906.56879380206</v>
      </c>
      <c r="J137" s="514">
        <f t="shared" si="39"/>
        <v>0</v>
      </c>
      <c r="K137" s="514"/>
      <c r="L137" s="525"/>
      <c r="M137" s="514">
        <f t="shared" si="40"/>
        <v>0</v>
      </c>
      <c r="N137" s="525"/>
      <c r="O137" s="514">
        <f t="shared" si="41"/>
        <v>0</v>
      </c>
      <c r="P137" s="514">
        <f t="shared" si="42"/>
        <v>0</v>
      </c>
    </row>
    <row r="138" spans="2:16">
      <c r="B138" s="195" t="str">
        <f t="shared" si="26"/>
        <v/>
      </c>
      <c r="C138" s="507">
        <f>IF(D93="","-",+C137+1)</f>
        <v>2055</v>
      </c>
      <c r="D138" s="374">
        <f>IF(F137+SUM(E$99:E137)=D$92,F137,D$92-SUM(E$99:E137))</f>
        <v>573526.81546605786</v>
      </c>
      <c r="E138" s="522">
        <f>IF(+J96&lt;F137,J96,D138)</f>
        <v>228816.17073170733</v>
      </c>
      <c r="F138" s="523">
        <f t="shared" si="37"/>
        <v>344710.6447343505</v>
      </c>
      <c r="G138" s="523">
        <f t="shared" si="38"/>
        <v>459118.73010020418</v>
      </c>
      <c r="H138" s="526">
        <f t="shared" si="35"/>
        <v>280932.67819183483</v>
      </c>
      <c r="I138" s="577">
        <f t="shared" si="36"/>
        <v>280932.67819183483</v>
      </c>
      <c r="J138" s="514">
        <f t="shared" si="39"/>
        <v>0</v>
      </c>
      <c r="K138" s="514"/>
      <c r="L138" s="525"/>
      <c r="M138" s="514">
        <f t="shared" si="40"/>
        <v>0</v>
      </c>
      <c r="N138" s="525"/>
      <c r="O138" s="514">
        <f t="shared" si="41"/>
        <v>0</v>
      </c>
      <c r="P138" s="514">
        <f t="shared" si="42"/>
        <v>0</v>
      </c>
    </row>
    <row r="139" spans="2:16">
      <c r="B139" s="195" t="str">
        <f t="shared" si="26"/>
        <v/>
      </c>
      <c r="C139" s="507">
        <f>IF(D93="","-",+C138+1)</f>
        <v>2056</v>
      </c>
      <c r="D139" s="374">
        <f>IF(F138+SUM(E$99:E138)=D$92,F138,D$92-SUM(E$99:E138))</f>
        <v>344710.6447343505</v>
      </c>
      <c r="E139" s="522">
        <f>IF(+J96&lt;F138,J96,D139)</f>
        <v>228816.17073170733</v>
      </c>
      <c r="F139" s="523">
        <f t="shared" si="37"/>
        <v>115894.47400264317</v>
      </c>
      <c r="G139" s="523">
        <f t="shared" si="38"/>
        <v>230302.55936849682</v>
      </c>
      <c r="H139" s="526">
        <f t="shared" si="35"/>
        <v>254958.78758986757</v>
      </c>
      <c r="I139" s="577">
        <f t="shared" si="36"/>
        <v>254958.78758986757</v>
      </c>
      <c r="J139" s="514">
        <f t="shared" si="39"/>
        <v>0</v>
      </c>
      <c r="K139" s="514"/>
      <c r="L139" s="525"/>
      <c r="M139" s="514">
        <f t="shared" si="40"/>
        <v>0</v>
      </c>
      <c r="N139" s="525"/>
      <c r="O139" s="514">
        <f t="shared" si="41"/>
        <v>0</v>
      </c>
      <c r="P139" s="514">
        <f t="shared" si="42"/>
        <v>0</v>
      </c>
    </row>
    <row r="140" spans="2:16">
      <c r="B140" s="195" t="str">
        <f t="shared" si="26"/>
        <v/>
      </c>
      <c r="C140" s="507">
        <f>IF(D93="","-",+C139+1)</f>
        <v>2057</v>
      </c>
      <c r="D140" s="374">
        <f>IF(F139+SUM(E$99:E139)=D$92,F139,D$92-SUM(E$99:E139))</f>
        <v>115894.47400264317</v>
      </c>
      <c r="E140" s="522">
        <f>IF(+J96&lt;F139,J96,D140)</f>
        <v>115894.47400264317</v>
      </c>
      <c r="F140" s="523">
        <f t="shared" si="37"/>
        <v>0</v>
      </c>
      <c r="G140" s="523">
        <f t="shared" si="38"/>
        <v>57947.237001321584</v>
      </c>
      <c r="H140" s="526">
        <f t="shared" si="35"/>
        <v>122472.30978123148</v>
      </c>
      <c r="I140" s="577">
        <f t="shared" si="36"/>
        <v>122472.30978123148</v>
      </c>
      <c r="J140" s="514">
        <f t="shared" si="39"/>
        <v>0</v>
      </c>
      <c r="K140" s="514"/>
      <c r="L140" s="525"/>
      <c r="M140" s="514">
        <f t="shared" si="40"/>
        <v>0</v>
      </c>
      <c r="N140" s="525"/>
      <c r="O140" s="514">
        <f t="shared" si="41"/>
        <v>0</v>
      </c>
      <c r="P140" s="514">
        <f t="shared" si="42"/>
        <v>0</v>
      </c>
    </row>
    <row r="141" spans="2:16">
      <c r="B141" s="195" t="str">
        <f t="shared" si="26"/>
        <v/>
      </c>
      <c r="C141" s="507">
        <f>IF(D93="","-",+C140+1)</f>
        <v>2058</v>
      </c>
      <c r="D141" s="374">
        <f>IF(F140+SUM(E$99:E140)=D$92,F140,D$92-SUM(E$99:E140))</f>
        <v>0</v>
      </c>
      <c r="E141" s="522">
        <f>IF(+J96&lt;F140,J96,D141)</f>
        <v>0</v>
      </c>
      <c r="F141" s="523">
        <f t="shared" si="37"/>
        <v>0</v>
      </c>
      <c r="G141" s="523">
        <f t="shared" si="38"/>
        <v>0</v>
      </c>
      <c r="H141" s="526">
        <f t="shared" si="35"/>
        <v>0</v>
      </c>
      <c r="I141" s="577">
        <f t="shared" si="36"/>
        <v>0</v>
      </c>
      <c r="J141" s="514">
        <f t="shared" si="39"/>
        <v>0</v>
      </c>
      <c r="K141" s="514"/>
      <c r="L141" s="525"/>
      <c r="M141" s="514">
        <f t="shared" si="40"/>
        <v>0</v>
      </c>
      <c r="N141" s="525"/>
      <c r="O141" s="514">
        <f t="shared" si="41"/>
        <v>0</v>
      </c>
      <c r="P141" s="514">
        <f t="shared" si="42"/>
        <v>0</v>
      </c>
    </row>
    <row r="142" spans="2:16">
      <c r="B142" s="195" t="str">
        <f t="shared" si="26"/>
        <v/>
      </c>
      <c r="C142" s="507">
        <f>IF(D93="","-",+C141+1)</f>
        <v>2059</v>
      </c>
      <c r="D142" s="374">
        <f>IF(F141+SUM(E$99:E141)=D$92,F141,D$92-SUM(E$99:E141))</f>
        <v>0</v>
      </c>
      <c r="E142" s="522">
        <f>IF(+J96&lt;F141,J96,D142)</f>
        <v>0</v>
      </c>
      <c r="F142" s="523">
        <f t="shared" si="37"/>
        <v>0</v>
      </c>
      <c r="G142" s="523">
        <f t="shared" si="38"/>
        <v>0</v>
      </c>
      <c r="H142" s="526">
        <f t="shared" si="35"/>
        <v>0</v>
      </c>
      <c r="I142" s="577">
        <f t="shared" si="36"/>
        <v>0</v>
      </c>
      <c r="J142" s="514">
        <f t="shared" si="39"/>
        <v>0</v>
      </c>
      <c r="K142" s="514"/>
      <c r="L142" s="525"/>
      <c r="M142" s="514">
        <f t="shared" si="40"/>
        <v>0</v>
      </c>
      <c r="N142" s="525"/>
      <c r="O142" s="514">
        <f t="shared" si="41"/>
        <v>0</v>
      </c>
      <c r="P142" s="514">
        <f t="shared" si="42"/>
        <v>0</v>
      </c>
    </row>
    <row r="143" spans="2:16">
      <c r="B143" s="195" t="str">
        <f t="shared" si="26"/>
        <v/>
      </c>
      <c r="C143" s="507">
        <f>IF(D93="","-",+C142+1)</f>
        <v>2060</v>
      </c>
      <c r="D143" s="374">
        <f>IF(F142+SUM(E$99:E142)=D$92,F142,D$92-SUM(E$99:E142))</f>
        <v>0</v>
      </c>
      <c r="E143" s="522">
        <f>IF(+J96&lt;F142,J96,D143)</f>
        <v>0</v>
      </c>
      <c r="F143" s="523">
        <f t="shared" si="37"/>
        <v>0</v>
      </c>
      <c r="G143" s="523">
        <f t="shared" si="38"/>
        <v>0</v>
      </c>
      <c r="H143" s="526">
        <f t="shared" si="35"/>
        <v>0</v>
      </c>
      <c r="I143" s="577">
        <f t="shared" si="36"/>
        <v>0</v>
      </c>
      <c r="J143" s="514">
        <f t="shared" si="39"/>
        <v>0</v>
      </c>
      <c r="K143" s="514"/>
      <c r="L143" s="525"/>
      <c r="M143" s="514">
        <f t="shared" si="40"/>
        <v>0</v>
      </c>
      <c r="N143" s="525"/>
      <c r="O143" s="514">
        <f t="shared" si="41"/>
        <v>0</v>
      </c>
      <c r="P143" s="514">
        <f t="shared" si="42"/>
        <v>0</v>
      </c>
    </row>
    <row r="144" spans="2:16">
      <c r="B144" s="195" t="str">
        <f t="shared" si="26"/>
        <v/>
      </c>
      <c r="C144" s="507">
        <f>IF(D93="","-",+C143+1)</f>
        <v>2061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37"/>
        <v>0</v>
      </c>
      <c r="G144" s="523">
        <f t="shared" si="38"/>
        <v>0</v>
      </c>
      <c r="H144" s="526">
        <f t="shared" si="35"/>
        <v>0</v>
      </c>
      <c r="I144" s="577">
        <f t="shared" si="36"/>
        <v>0</v>
      </c>
      <c r="J144" s="514">
        <f t="shared" si="39"/>
        <v>0</v>
      </c>
      <c r="K144" s="514"/>
      <c r="L144" s="525"/>
      <c r="M144" s="514">
        <f t="shared" si="40"/>
        <v>0</v>
      </c>
      <c r="N144" s="525"/>
      <c r="O144" s="514">
        <f t="shared" si="41"/>
        <v>0</v>
      </c>
      <c r="P144" s="514">
        <f t="shared" si="42"/>
        <v>0</v>
      </c>
    </row>
    <row r="145" spans="2:16">
      <c r="B145" s="195" t="str">
        <f t="shared" si="26"/>
        <v/>
      </c>
      <c r="C145" s="507">
        <f>IF(D93="","-",+C144+1)</f>
        <v>2062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37"/>
        <v>0</v>
      </c>
      <c r="G145" s="523">
        <f t="shared" si="38"/>
        <v>0</v>
      </c>
      <c r="H145" s="526">
        <f t="shared" si="35"/>
        <v>0</v>
      </c>
      <c r="I145" s="577">
        <f t="shared" si="36"/>
        <v>0</v>
      </c>
      <c r="J145" s="514">
        <f t="shared" si="39"/>
        <v>0</v>
      </c>
      <c r="K145" s="514"/>
      <c r="L145" s="525"/>
      <c r="M145" s="514">
        <f t="shared" si="40"/>
        <v>0</v>
      </c>
      <c r="N145" s="525"/>
      <c r="O145" s="514">
        <f t="shared" si="41"/>
        <v>0</v>
      </c>
      <c r="P145" s="514">
        <f t="shared" si="42"/>
        <v>0</v>
      </c>
    </row>
    <row r="146" spans="2:16">
      <c r="B146" s="195" t="str">
        <f t="shared" si="26"/>
        <v/>
      </c>
      <c r="C146" s="507">
        <f>IF(D93="","-",+C145+1)</f>
        <v>2063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37"/>
        <v>0</v>
      </c>
      <c r="G146" s="523">
        <f t="shared" si="38"/>
        <v>0</v>
      </c>
      <c r="H146" s="526">
        <f t="shared" si="35"/>
        <v>0</v>
      </c>
      <c r="I146" s="577">
        <f t="shared" si="36"/>
        <v>0</v>
      </c>
      <c r="J146" s="514">
        <f t="shared" si="39"/>
        <v>0</v>
      </c>
      <c r="K146" s="514"/>
      <c r="L146" s="525"/>
      <c r="M146" s="514">
        <f t="shared" si="40"/>
        <v>0</v>
      </c>
      <c r="N146" s="525"/>
      <c r="O146" s="514">
        <f t="shared" si="41"/>
        <v>0</v>
      </c>
      <c r="P146" s="514">
        <f t="shared" si="42"/>
        <v>0</v>
      </c>
    </row>
    <row r="147" spans="2:16">
      <c r="B147" s="195" t="str">
        <f t="shared" si="26"/>
        <v/>
      </c>
      <c r="C147" s="507">
        <f>IF(D93="","-",+C146+1)</f>
        <v>2064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37"/>
        <v>0</v>
      </c>
      <c r="G147" s="523">
        <f t="shared" si="38"/>
        <v>0</v>
      </c>
      <c r="H147" s="526">
        <f t="shared" si="35"/>
        <v>0</v>
      </c>
      <c r="I147" s="577">
        <f t="shared" si="36"/>
        <v>0</v>
      </c>
      <c r="J147" s="514">
        <f t="shared" si="39"/>
        <v>0</v>
      </c>
      <c r="K147" s="514"/>
      <c r="L147" s="525"/>
      <c r="M147" s="514">
        <f t="shared" si="40"/>
        <v>0</v>
      </c>
      <c r="N147" s="525"/>
      <c r="O147" s="514">
        <f t="shared" si="41"/>
        <v>0</v>
      </c>
      <c r="P147" s="514">
        <f t="shared" si="42"/>
        <v>0</v>
      </c>
    </row>
    <row r="148" spans="2:16">
      <c r="B148" s="195" t="str">
        <f t="shared" si="26"/>
        <v/>
      </c>
      <c r="C148" s="507">
        <f>IF(D93="","-",+C147+1)</f>
        <v>2065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37"/>
        <v>0</v>
      </c>
      <c r="G148" s="523">
        <f t="shared" si="38"/>
        <v>0</v>
      </c>
      <c r="H148" s="526">
        <f t="shared" si="35"/>
        <v>0</v>
      </c>
      <c r="I148" s="577">
        <f t="shared" si="36"/>
        <v>0</v>
      </c>
      <c r="J148" s="514">
        <f t="shared" si="39"/>
        <v>0</v>
      </c>
      <c r="K148" s="514"/>
      <c r="L148" s="525"/>
      <c r="M148" s="514">
        <f t="shared" si="40"/>
        <v>0</v>
      </c>
      <c r="N148" s="525"/>
      <c r="O148" s="514">
        <f t="shared" si="41"/>
        <v>0</v>
      </c>
      <c r="P148" s="514">
        <f t="shared" si="42"/>
        <v>0</v>
      </c>
    </row>
    <row r="149" spans="2:16">
      <c r="B149" s="195" t="str">
        <f t="shared" si="26"/>
        <v/>
      </c>
      <c r="C149" s="507">
        <f>IF(D93="","-",+C148+1)</f>
        <v>2066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37"/>
        <v>0</v>
      </c>
      <c r="G149" s="523">
        <f t="shared" si="38"/>
        <v>0</v>
      </c>
      <c r="H149" s="526">
        <f t="shared" si="35"/>
        <v>0</v>
      </c>
      <c r="I149" s="577">
        <f t="shared" si="36"/>
        <v>0</v>
      </c>
      <c r="J149" s="514">
        <f t="shared" si="39"/>
        <v>0</v>
      </c>
      <c r="K149" s="514"/>
      <c r="L149" s="525"/>
      <c r="M149" s="514">
        <f t="shared" si="40"/>
        <v>0</v>
      </c>
      <c r="N149" s="525"/>
      <c r="O149" s="514">
        <f t="shared" si="41"/>
        <v>0</v>
      </c>
      <c r="P149" s="514">
        <f t="shared" si="42"/>
        <v>0</v>
      </c>
    </row>
    <row r="150" spans="2:16">
      <c r="B150" s="195" t="str">
        <f t="shared" si="26"/>
        <v/>
      </c>
      <c r="C150" s="507">
        <f>IF(D93="","-",+C149+1)</f>
        <v>2067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37"/>
        <v>0</v>
      </c>
      <c r="G150" s="523">
        <f t="shared" si="38"/>
        <v>0</v>
      </c>
      <c r="H150" s="526">
        <f t="shared" si="35"/>
        <v>0</v>
      </c>
      <c r="I150" s="577">
        <f t="shared" si="36"/>
        <v>0</v>
      </c>
      <c r="J150" s="514">
        <f t="shared" si="39"/>
        <v>0</v>
      </c>
      <c r="K150" s="514"/>
      <c r="L150" s="525"/>
      <c r="M150" s="514">
        <f t="shared" si="40"/>
        <v>0</v>
      </c>
      <c r="N150" s="525"/>
      <c r="O150" s="514">
        <f t="shared" si="41"/>
        <v>0</v>
      </c>
      <c r="P150" s="514">
        <f t="shared" si="42"/>
        <v>0</v>
      </c>
    </row>
    <row r="151" spans="2:16">
      <c r="B151" s="195" t="str">
        <f t="shared" si="26"/>
        <v/>
      </c>
      <c r="C151" s="507">
        <f>IF(D93="","-",+C150+1)</f>
        <v>2068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37"/>
        <v>0</v>
      </c>
      <c r="G151" s="523">
        <f t="shared" si="38"/>
        <v>0</v>
      </c>
      <c r="H151" s="526">
        <f t="shared" si="35"/>
        <v>0</v>
      </c>
      <c r="I151" s="577">
        <f t="shared" si="36"/>
        <v>0</v>
      </c>
      <c r="J151" s="514">
        <f t="shared" si="39"/>
        <v>0</v>
      </c>
      <c r="K151" s="514"/>
      <c r="L151" s="525"/>
      <c r="M151" s="514">
        <f t="shared" si="40"/>
        <v>0</v>
      </c>
      <c r="N151" s="525"/>
      <c r="O151" s="514">
        <f t="shared" si="41"/>
        <v>0</v>
      </c>
      <c r="P151" s="514">
        <f t="shared" si="42"/>
        <v>0</v>
      </c>
    </row>
    <row r="152" spans="2:16">
      <c r="B152" s="195" t="str">
        <f t="shared" si="26"/>
        <v/>
      </c>
      <c r="C152" s="507">
        <f>IF(D93="","-",+C151+1)</f>
        <v>2069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37"/>
        <v>0</v>
      </c>
      <c r="G152" s="523">
        <f t="shared" si="38"/>
        <v>0</v>
      </c>
      <c r="H152" s="526">
        <f t="shared" si="35"/>
        <v>0</v>
      </c>
      <c r="I152" s="577">
        <f t="shared" si="36"/>
        <v>0</v>
      </c>
      <c r="J152" s="514">
        <f t="shared" si="39"/>
        <v>0</v>
      </c>
      <c r="K152" s="514"/>
      <c r="L152" s="525"/>
      <c r="M152" s="514">
        <f t="shared" si="40"/>
        <v>0</v>
      </c>
      <c r="N152" s="525"/>
      <c r="O152" s="514">
        <f t="shared" si="41"/>
        <v>0</v>
      </c>
      <c r="P152" s="514">
        <f t="shared" si="42"/>
        <v>0</v>
      </c>
    </row>
    <row r="153" spans="2:16">
      <c r="B153" s="195" t="str">
        <f t="shared" si="26"/>
        <v/>
      </c>
      <c r="C153" s="507">
        <f>IF(D93="","-",+C152+1)</f>
        <v>2070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37"/>
        <v>0</v>
      </c>
      <c r="G153" s="523">
        <f t="shared" si="38"/>
        <v>0</v>
      </c>
      <c r="H153" s="526">
        <f t="shared" si="35"/>
        <v>0</v>
      </c>
      <c r="I153" s="577">
        <f t="shared" si="36"/>
        <v>0</v>
      </c>
      <c r="J153" s="514">
        <f t="shared" si="39"/>
        <v>0</v>
      </c>
      <c r="K153" s="514"/>
      <c r="L153" s="525"/>
      <c r="M153" s="514">
        <f t="shared" si="40"/>
        <v>0</v>
      </c>
      <c r="N153" s="525"/>
      <c r="O153" s="514">
        <f t="shared" si="41"/>
        <v>0</v>
      </c>
      <c r="P153" s="514">
        <f t="shared" si="42"/>
        <v>0</v>
      </c>
    </row>
    <row r="154" spans="2:16" ht="13.5" thickBot="1">
      <c r="B154" s="195" t="str">
        <f t="shared" si="26"/>
        <v/>
      </c>
      <c r="C154" s="527">
        <f>IF(D93="","-",+C153+1)</f>
        <v>2071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37"/>
        <v>0</v>
      </c>
      <c r="G154" s="528">
        <f t="shared" si="38"/>
        <v>0</v>
      </c>
      <c r="H154" s="530">
        <f t="shared" si="35"/>
        <v>0</v>
      </c>
      <c r="I154" s="579">
        <f t="shared" si="36"/>
        <v>0</v>
      </c>
      <c r="J154" s="533">
        <f t="shared" si="39"/>
        <v>0</v>
      </c>
      <c r="K154" s="514"/>
      <c r="L154" s="532"/>
      <c r="M154" s="533">
        <f t="shared" si="40"/>
        <v>0</v>
      </c>
      <c r="N154" s="532"/>
      <c r="O154" s="533">
        <f t="shared" si="41"/>
        <v>0</v>
      </c>
      <c r="P154" s="533">
        <f t="shared" si="42"/>
        <v>0</v>
      </c>
    </row>
    <row r="155" spans="2:16">
      <c r="C155" s="374" t="s">
        <v>78</v>
      </c>
      <c r="D155" s="375"/>
      <c r="E155" s="375">
        <f>SUM(E99:E154)</f>
        <v>9381462.9999999963</v>
      </c>
      <c r="F155" s="375"/>
      <c r="G155" s="375"/>
      <c r="H155" s="375">
        <f>SUM(H99:H154)</f>
        <v>31196772.130504813</v>
      </c>
      <c r="I155" s="375">
        <f>SUM(I99:I154)</f>
        <v>31196772.130504813</v>
      </c>
      <c r="J155" s="375">
        <f>SUM(J99:J154)</f>
        <v>0</v>
      </c>
      <c r="K155" s="375"/>
      <c r="L155" s="375"/>
      <c r="M155" s="375"/>
      <c r="N155" s="375"/>
      <c r="O155" s="375"/>
      <c r="P155" s="269"/>
    </row>
    <row r="156" spans="2:16">
      <c r="C156" s="183" t="s">
        <v>92</v>
      </c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</row>
    <row r="157" spans="2:16">
      <c r="C157" s="580"/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</row>
    <row r="158" spans="2:16">
      <c r="C158" s="614" t="s">
        <v>132</v>
      </c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</row>
    <row r="159" spans="2:16">
      <c r="C159" s="467" t="s">
        <v>79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</row>
    <row r="160" spans="2:16">
      <c r="C160" s="581" t="s">
        <v>80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</row>
    <row r="161" spans="3:16">
      <c r="C161" s="581"/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</row>
    <row r="162" spans="3:16" ht="18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635" t="s">
        <v>131</v>
      </c>
    </row>
  </sheetData>
  <conditionalFormatting sqref="C17:C72">
    <cfRule type="cellIs" dxfId="51" priority="1" stopIfTrue="1" operator="equal">
      <formula>$I$10</formula>
    </cfRule>
  </conditionalFormatting>
  <conditionalFormatting sqref="C99:C154">
    <cfRule type="cellIs" dxfId="50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Sheet105"/>
  <dimension ref="A1:P162"/>
  <sheetViews>
    <sheetView topLeftCell="A90" zoomScaleNormal="100" zoomScaleSheetLayoutView="80" workbookViewId="0">
      <selection activeCell="D99" sqref="D99:I105"/>
    </sheetView>
  </sheetViews>
  <sheetFormatPr defaultColWidth="8.7109375" defaultRowHeight="12.75" customHeight="1"/>
  <cols>
    <col min="1" max="1" width="4.7109375" style="183" customWidth="1"/>
    <col min="2" max="2" width="6.7109375" style="183" customWidth="1"/>
    <col min="3" max="3" width="23.28515625" style="183" customWidth="1"/>
    <col min="4" max="8" width="17.7109375" style="183" customWidth="1"/>
    <col min="9" max="9" width="20.42578125" style="183" customWidth="1"/>
    <col min="10" max="10" width="16.42578125" style="183" customWidth="1"/>
    <col min="11" max="11" width="17.7109375" style="183" customWidth="1"/>
    <col min="12" max="12" width="16.140625" style="183" customWidth="1"/>
    <col min="13" max="13" width="17.7109375" style="183" customWidth="1"/>
    <col min="14" max="14" width="16.7109375" style="183" customWidth="1"/>
    <col min="15" max="15" width="16.85546875" style="183" customWidth="1"/>
    <col min="16" max="16" width="24.42578125" style="183" customWidth="1"/>
    <col min="17" max="17" width="9.140625" style="183" customWidth="1"/>
    <col min="18" max="22" width="8.7109375" style="183"/>
    <col min="23" max="23" width="9.140625" style="183" customWidth="1"/>
    <col min="24" max="16384" width="8.7109375" style="183"/>
  </cols>
  <sheetData>
    <row r="1" spans="1:16" ht="20.25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56 of 75</v>
      </c>
    </row>
    <row r="2" spans="1:16" ht="18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538" t="s">
        <v>129</v>
      </c>
    </row>
    <row r="3" spans="1:16" ht="18.75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/>
      <c r="P3" s="623">
        <v>1</v>
      </c>
    </row>
    <row r="4" spans="1:16" ht="15.75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6" ht="1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186716.13800710742</v>
      </c>
      <c r="P5" s="269"/>
    </row>
    <row r="6" spans="1:16" ht="15.7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186716.13800710742</v>
      </c>
      <c r="O6" s="269"/>
      <c r="P6" s="269"/>
    </row>
    <row r="7" spans="1:16" ht="13.5" thickBot="1">
      <c r="C7" s="467" t="s">
        <v>48</v>
      </c>
      <c r="D7" s="624" t="s">
        <v>357</v>
      </c>
      <c r="E7" s="587"/>
      <c r="F7" s="269"/>
      <c r="G7" s="269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6" ht="13.5" thickBot="1">
      <c r="C8" s="472"/>
      <c r="D8" s="625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6" ht="13.5" thickBot="1">
      <c r="C9" s="476" t="s">
        <v>50</v>
      </c>
      <c r="D9" s="477" t="s">
        <v>358</v>
      </c>
      <c r="E9" s="637" t="s">
        <v>401</v>
      </c>
      <c r="F9" s="478"/>
      <c r="G9" s="478"/>
      <c r="H9" s="478"/>
      <c r="I9" s="479"/>
      <c r="J9" s="480"/>
      <c r="O9" s="481"/>
      <c r="P9" s="272"/>
    </row>
    <row r="10" spans="1:16">
      <c r="C10" s="482" t="s">
        <v>51</v>
      </c>
      <c r="D10" s="483">
        <v>1558180.6099999999</v>
      </c>
      <c r="E10" s="353" t="s">
        <v>52</v>
      </c>
      <c r="F10" s="481"/>
      <c r="G10" s="484"/>
      <c r="H10" s="484"/>
      <c r="I10" s="485">
        <f>+'SWE.WS.F.BPU.ATRR.Projected'!L19</f>
        <v>2024</v>
      </c>
      <c r="J10" s="480"/>
      <c r="K10" s="375" t="s">
        <v>53</v>
      </c>
      <c r="O10" s="272"/>
      <c r="P10" s="272"/>
    </row>
    <row r="11" spans="1:16">
      <c r="C11" s="486" t="s">
        <v>54</v>
      </c>
      <c r="D11" s="487">
        <v>2016</v>
      </c>
      <c r="E11" s="486" t="s">
        <v>55</v>
      </c>
      <c r="F11" s="484"/>
      <c r="G11" s="233"/>
      <c r="H11" s="233"/>
      <c r="I11" s="488">
        <f>IF(G5="",0,'SWE.WS.F.BPU.ATRR.Projected'!F$13)</f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6">
      <c r="C12" s="486" t="s">
        <v>56</v>
      </c>
      <c r="D12" s="483">
        <v>9</v>
      </c>
      <c r="E12" s="486" t="s">
        <v>57</v>
      </c>
      <c r="F12" s="484"/>
      <c r="G12" s="233"/>
      <c r="H12" s="233"/>
      <c r="I12" s="490">
        <f>'SWE.WS.F.BPU.ATRR.Projected'!$F$81</f>
        <v>0.11952713165403545</v>
      </c>
      <c r="J12" s="425"/>
      <c r="K12" s="183" t="s">
        <v>58</v>
      </c>
      <c r="O12" s="272"/>
      <c r="P12" s="272"/>
    </row>
    <row r="13" spans="1:16">
      <c r="C13" s="486" t="s">
        <v>59</v>
      </c>
      <c r="D13" s="488">
        <f>+'SWE.WS.F.BPU.ATRR.Projected'!F$93</f>
        <v>44</v>
      </c>
      <c r="E13" s="486" t="s">
        <v>60</v>
      </c>
      <c r="F13" s="484"/>
      <c r="G13" s="233"/>
      <c r="H13" s="233"/>
      <c r="I13" s="490">
        <f>IF(G5="",I12,'SWE.WS.F.BPU.ATRR.Projected'!$F$80)</f>
        <v>0.11952713165403545</v>
      </c>
      <c r="J13" s="425"/>
      <c r="K13" s="375" t="s">
        <v>61</v>
      </c>
      <c r="L13" s="324"/>
      <c r="M13" s="324"/>
      <c r="N13" s="324"/>
      <c r="O13" s="272"/>
      <c r="P13" s="272"/>
    </row>
    <row r="14" spans="1:16" ht="13.5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35413.195681818179</v>
      </c>
      <c r="J14" s="375"/>
      <c r="K14" s="375"/>
      <c r="L14" s="375"/>
      <c r="M14" s="375"/>
      <c r="N14" s="375"/>
      <c r="O14" s="272"/>
      <c r="P14" s="272"/>
    </row>
    <row r="15" spans="1:16" ht="38.25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388</v>
      </c>
      <c r="H15" s="495" t="s">
        <v>389</v>
      </c>
      <c r="I15" s="492" t="s">
        <v>68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6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600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>
      <c r="C17" s="507">
        <f>IF(D11= "","-",D11)</f>
        <v>2016</v>
      </c>
      <c r="D17" s="631">
        <v>1111302</v>
      </c>
      <c r="E17" s="630">
        <v>13229.785714285714</v>
      </c>
      <c r="F17" s="631">
        <v>1098072.2142857143</v>
      </c>
      <c r="G17" s="630">
        <v>156066.99191753985</v>
      </c>
      <c r="H17" s="639">
        <v>156066.99191753985</v>
      </c>
      <c r="I17" s="511">
        <f t="shared" ref="I17:I72" si="0">H17-G17</f>
        <v>0</v>
      </c>
      <c r="J17" s="511"/>
      <c r="K17" s="512">
        <f t="shared" ref="K17:K22" si="1">+G17</f>
        <v>156066.99191753985</v>
      </c>
      <c r="L17" s="513">
        <f t="shared" ref="L17:L72" si="2">IF(K17&lt;&gt;0,+G17-K17,0)</f>
        <v>0</v>
      </c>
      <c r="M17" s="512">
        <f t="shared" ref="M17:M22" si="3">+H17</f>
        <v>156066.99191753985</v>
      </c>
      <c r="N17" s="513">
        <f t="shared" ref="N17:N72" si="4">IF(M17&lt;&gt;0,+H17-M17,0)</f>
        <v>0</v>
      </c>
      <c r="O17" s="514">
        <f t="shared" ref="O17:O72" si="5">+N17-L17</f>
        <v>0</v>
      </c>
      <c r="P17" s="272"/>
    </row>
    <row r="18" spans="2:16">
      <c r="B18" s="195" t="str">
        <f>IF(D18=F17,"","IU")</f>
        <v>IU</v>
      </c>
      <c r="C18" s="507">
        <f>IF(D11="","-",+C17+1)</f>
        <v>2017</v>
      </c>
      <c r="D18" s="631">
        <v>1543391.2142857143</v>
      </c>
      <c r="E18" s="630">
        <v>36200.488372093023</v>
      </c>
      <c r="F18" s="631">
        <v>1507190.7259136213</v>
      </c>
      <c r="G18" s="630">
        <v>225172.65115998022</v>
      </c>
      <c r="H18" s="639">
        <v>225172.65115998022</v>
      </c>
      <c r="I18" s="511">
        <f t="shared" si="0"/>
        <v>0</v>
      </c>
      <c r="J18" s="511"/>
      <c r="K18" s="518">
        <f t="shared" si="1"/>
        <v>225172.65115998022</v>
      </c>
      <c r="L18" s="519">
        <f t="shared" ref="L18:L23" si="6">IF(K18&lt;&gt;0,+G18-K18,0)</f>
        <v>0</v>
      </c>
      <c r="M18" s="518">
        <f t="shared" si="3"/>
        <v>225172.65115998022</v>
      </c>
      <c r="N18" s="514">
        <f>IF(M18&lt;&gt;0,+H18-M18,0)</f>
        <v>0</v>
      </c>
      <c r="O18" s="514">
        <f>+N18-L18</f>
        <v>0</v>
      </c>
      <c r="P18" s="272"/>
    </row>
    <row r="19" spans="2:16">
      <c r="B19" s="195" t="str">
        <f>IF(D19=F18,"","IU")</f>
        <v/>
      </c>
      <c r="C19" s="507">
        <f>IF(D11="","-",+C18+1)</f>
        <v>2018</v>
      </c>
      <c r="D19" s="631">
        <v>1507190.7259136213</v>
      </c>
      <c r="E19" s="630">
        <v>37966.365853658535</v>
      </c>
      <c r="F19" s="631">
        <v>1469224.3600599626</v>
      </c>
      <c r="G19" s="630">
        <v>227108.76254780369</v>
      </c>
      <c r="H19" s="639">
        <v>227108.76254780369</v>
      </c>
      <c r="I19" s="511">
        <f t="shared" si="0"/>
        <v>0</v>
      </c>
      <c r="J19" s="511"/>
      <c r="K19" s="518">
        <f t="shared" si="1"/>
        <v>227108.76254780369</v>
      </c>
      <c r="L19" s="519">
        <f t="shared" si="6"/>
        <v>0</v>
      </c>
      <c r="M19" s="518">
        <f t="shared" si="3"/>
        <v>227108.76254780369</v>
      </c>
      <c r="N19" s="514">
        <f>IF(M19&lt;&gt;0,+H19-M19,0)</f>
        <v>0</v>
      </c>
      <c r="O19" s="514">
        <f>+N19-L19</f>
        <v>0</v>
      </c>
      <c r="P19" s="272"/>
    </row>
    <row r="20" spans="2:16">
      <c r="B20" s="195" t="str">
        <f t="shared" ref="B20:B72" si="7">IF(D20=F19,"","IU")</f>
        <v/>
      </c>
      <c r="C20" s="507">
        <f>IF(D11="","-",+C19+1)</f>
        <v>2019</v>
      </c>
      <c r="D20" s="631">
        <v>1469224.3600599626</v>
      </c>
      <c r="E20" s="630">
        <v>37966.365853658535</v>
      </c>
      <c r="F20" s="631">
        <v>1431257.994206304</v>
      </c>
      <c r="G20" s="630">
        <v>222283.46149005229</v>
      </c>
      <c r="H20" s="639">
        <v>222283.46149005229</v>
      </c>
      <c r="I20" s="511">
        <f t="shared" si="0"/>
        <v>0</v>
      </c>
      <c r="J20" s="511"/>
      <c r="K20" s="518">
        <f t="shared" si="1"/>
        <v>222283.46149005229</v>
      </c>
      <c r="L20" s="519">
        <f t="shared" si="6"/>
        <v>0</v>
      </c>
      <c r="M20" s="518">
        <f t="shared" si="3"/>
        <v>222283.46149005229</v>
      </c>
      <c r="N20" s="514">
        <f t="shared" si="4"/>
        <v>0</v>
      </c>
      <c r="O20" s="514">
        <f t="shared" si="5"/>
        <v>0</v>
      </c>
      <c r="P20" s="272"/>
    </row>
    <row r="21" spans="2:16">
      <c r="B21" s="195" t="str">
        <f t="shared" si="7"/>
        <v/>
      </c>
      <c r="C21" s="507">
        <f>IF(D11="","-",+C20+1)</f>
        <v>2020</v>
      </c>
      <c r="D21" s="631">
        <v>1431257.994206304</v>
      </c>
      <c r="E21" s="630">
        <v>37966.365853658535</v>
      </c>
      <c r="F21" s="631">
        <v>1393291.6283526453</v>
      </c>
      <c r="G21" s="630">
        <v>182492.15165602544</v>
      </c>
      <c r="H21" s="639">
        <v>182492.15165602544</v>
      </c>
      <c r="I21" s="511">
        <f t="shared" si="0"/>
        <v>0</v>
      </c>
      <c r="J21" s="511"/>
      <c r="K21" s="518">
        <f t="shared" si="1"/>
        <v>182492.15165602544</v>
      </c>
      <c r="L21" s="519">
        <f t="shared" si="6"/>
        <v>0</v>
      </c>
      <c r="M21" s="518">
        <f t="shared" si="3"/>
        <v>182492.15165602544</v>
      </c>
      <c r="N21" s="514">
        <f t="shared" si="4"/>
        <v>0</v>
      </c>
      <c r="O21" s="514">
        <f t="shared" si="5"/>
        <v>0</v>
      </c>
      <c r="P21" s="272"/>
    </row>
    <row r="22" spans="2:16">
      <c r="B22" s="195" t="str">
        <f t="shared" si="7"/>
        <v>IU</v>
      </c>
      <c r="C22" s="507">
        <f>IF(D11="","-",+C21+1)</f>
        <v>2021</v>
      </c>
      <c r="D22" s="631">
        <v>1396617.5058342111</v>
      </c>
      <c r="E22" s="630">
        <v>37099.547619047618</v>
      </c>
      <c r="F22" s="631">
        <v>1359517.9582151636</v>
      </c>
      <c r="G22" s="630">
        <v>183180.99059024267</v>
      </c>
      <c r="H22" s="639">
        <v>183180.99059024267</v>
      </c>
      <c r="I22" s="511">
        <f t="shared" si="0"/>
        <v>0</v>
      </c>
      <c r="J22" s="511"/>
      <c r="K22" s="518">
        <f t="shared" si="1"/>
        <v>183180.99059024267</v>
      </c>
      <c r="L22" s="519">
        <f t="shared" si="6"/>
        <v>0</v>
      </c>
      <c r="M22" s="518">
        <f t="shared" si="3"/>
        <v>183180.99059024267</v>
      </c>
      <c r="N22" s="514">
        <f t="shared" si="4"/>
        <v>0</v>
      </c>
      <c r="O22" s="514">
        <f t="shared" si="5"/>
        <v>0</v>
      </c>
      <c r="P22" s="272"/>
    </row>
    <row r="23" spans="2:16">
      <c r="B23" s="195" t="str">
        <f t="shared" si="7"/>
        <v>IU</v>
      </c>
      <c r="C23" s="507">
        <f>IF(D11="","-",+C22+1)</f>
        <v>2022</v>
      </c>
      <c r="D23" s="631">
        <v>1357752.080733598</v>
      </c>
      <c r="E23" s="630">
        <v>37099.547619047618</v>
      </c>
      <c r="F23" s="631">
        <v>1320652.5331145504</v>
      </c>
      <c r="G23" s="630">
        <v>187684.94156484964</v>
      </c>
      <c r="H23" s="639">
        <v>187684.94156484964</v>
      </c>
      <c r="I23" s="511">
        <f t="shared" si="0"/>
        <v>0</v>
      </c>
      <c r="J23" s="511"/>
      <c r="K23" s="518">
        <f t="shared" ref="K23" si="8">+G23</f>
        <v>187684.94156484964</v>
      </c>
      <c r="L23" s="519">
        <f t="shared" si="6"/>
        <v>0</v>
      </c>
      <c r="M23" s="518">
        <f t="shared" ref="M23" si="9">+H23</f>
        <v>187684.94156484964</v>
      </c>
      <c r="N23" s="514">
        <f t="shared" si="4"/>
        <v>0</v>
      </c>
      <c r="O23" s="514">
        <f t="shared" si="5"/>
        <v>0</v>
      </c>
      <c r="P23" s="272"/>
    </row>
    <row r="24" spans="2:16">
      <c r="B24" s="195" t="str">
        <f t="shared" si="7"/>
        <v>IU</v>
      </c>
      <c r="C24" s="507">
        <f>IF(D11="","-",+C23+1)</f>
        <v>2023</v>
      </c>
      <c r="D24" s="631">
        <v>1320652.1431145503</v>
      </c>
      <c r="E24" s="630">
        <v>37099.53833333333</v>
      </c>
      <c r="F24" s="631">
        <v>1283552.6047812169</v>
      </c>
      <c r="G24" s="630">
        <v>201589.94885481661</v>
      </c>
      <c r="H24" s="639">
        <v>201589.94885481661</v>
      </c>
      <c r="I24" s="511">
        <f t="shared" si="0"/>
        <v>0</v>
      </c>
      <c r="J24" s="511"/>
      <c r="K24" s="518">
        <f t="shared" ref="K24" si="10">+G24</f>
        <v>201589.94885481661</v>
      </c>
      <c r="L24" s="519">
        <f t="shared" ref="L24" si="11">IF(K24&lt;&gt;0,+G24-K24,0)</f>
        <v>0</v>
      </c>
      <c r="M24" s="518">
        <f t="shared" ref="M24" si="12">+H24</f>
        <v>201589.94885481661</v>
      </c>
      <c r="N24" s="514">
        <f t="shared" ref="N24" si="13">IF(M24&lt;&gt;0,+H24-M24,0)</f>
        <v>0</v>
      </c>
      <c r="O24" s="514">
        <f t="shared" ref="O24" si="14">+N24-L24</f>
        <v>0</v>
      </c>
      <c r="P24" s="272"/>
    </row>
    <row r="25" spans="2:16">
      <c r="B25" s="195" t="str">
        <f t="shared" si="7"/>
        <v/>
      </c>
      <c r="C25" s="673">
        <f>IF(D11="","-",+C24+1)</f>
        <v>2024</v>
      </c>
      <c r="D25" s="523">
        <f>IF(F24+SUM(E$17:E24)=D$10,F24,D$10-SUM(E$17:E24))</f>
        <v>1283552.6047812169</v>
      </c>
      <c r="E25" s="522">
        <f>IF(+I14&lt;F24,I14,D25)</f>
        <v>35413.195681818179</v>
      </c>
      <c r="F25" s="523">
        <f t="shared" ref="F25:F72" si="15">+D25-E25</f>
        <v>1248139.4090993986</v>
      </c>
      <c r="G25" s="524">
        <f t="shared" ref="G25:G49" si="16">+I$12*((D25+F25)/2)+E25</f>
        <v>186716.13800710742</v>
      </c>
      <c r="H25" s="491">
        <f t="shared" ref="H25:H49" si="17">+I$13*((D25+F25)/2)+E25</f>
        <v>186716.13800710742</v>
      </c>
      <c r="I25" s="511">
        <f t="shared" si="0"/>
        <v>0</v>
      </c>
      <c r="J25" s="511"/>
      <c r="K25" s="525"/>
      <c r="L25" s="514">
        <f t="shared" si="2"/>
        <v>0</v>
      </c>
      <c r="M25" s="525"/>
      <c r="N25" s="514">
        <f t="shared" si="4"/>
        <v>0</v>
      </c>
      <c r="O25" s="514">
        <f t="shared" si="5"/>
        <v>0</v>
      </c>
      <c r="P25" s="272"/>
    </row>
    <row r="26" spans="2:16">
      <c r="B26" s="195" t="str">
        <f t="shared" si="7"/>
        <v/>
      </c>
      <c r="C26" s="507">
        <f>IF(D11="","-",+C25+1)</f>
        <v>2025</v>
      </c>
      <c r="D26" s="523">
        <f>IF(F25+SUM(E$17:E25)=D$10,F25,D$10-SUM(E$17:E25))</f>
        <v>1248139.4090993986</v>
      </c>
      <c r="E26" s="522">
        <f>IF(+I14&lt;F25,I14,D26)</f>
        <v>35413.195681818179</v>
      </c>
      <c r="F26" s="523">
        <f t="shared" si="15"/>
        <v>1212726.2134175804</v>
      </c>
      <c r="G26" s="524">
        <f t="shared" si="16"/>
        <v>182483.30030455659</v>
      </c>
      <c r="H26" s="491">
        <f t="shared" si="17"/>
        <v>182483.30030455659</v>
      </c>
      <c r="I26" s="511">
        <f t="shared" si="0"/>
        <v>0</v>
      </c>
      <c r="J26" s="511"/>
      <c r="K26" s="525"/>
      <c r="L26" s="514">
        <f t="shared" si="2"/>
        <v>0</v>
      </c>
      <c r="M26" s="525"/>
      <c r="N26" s="514">
        <f t="shared" si="4"/>
        <v>0</v>
      </c>
      <c r="O26" s="514">
        <f t="shared" si="5"/>
        <v>0</v>
      </c>
      <c r="P26" s="272"/>
    </row>
    <row r="27" spans="2:16">
      <c r="B27" s="195" t="str">
        <f t="shared" si="7"/>
        <v/>
      </c>
      <c r="C27" s="507">
        <f>IF(D11="","-",+C26+1)</f>
        <v>2026</v>
      </c>
      <c r="D27" s="523">
        <f>IF(F26+SUM(E$17:E26)=D$10,F26,D$10-SUM(E$17:E26))</f>
        <v>1212726.2134175804</v>
      </c>
      <c r="E27" s="522">
        <f>IF(+I14&lt;F26,I14,D27)</f>
        <v>35413.195681818179</v>
      </c>
      <c r="F27" s="523">
        <f t="shared" si="15"/>
        <v>1177313.0177357621</v>
      </c>
      <c r="G27" s="524">
        <f t="shared" si="16"/>
        <v>178250.46260200578</v>
      </c>
      <c r="H27" s="491">
        <f t="shared" si="17"/>
        <v>178250.46260200578</v>
      </c>
      <c r="I27" s="511">
        <f t="shared" si="0"/>
        <v>0</v>
      </c>
      <c r="J27" s="511"/>
      <c r="K27" s="525"/>
      <c r="L27" s="514">
        <f t="shared" si="2"/>
        <v>0</v>
      </c>
      <c r="M27" s="525"/>
      <c r="N27" s="514">
        <f t="shared" si="4"/>
        <v>0</v>
      </c>
      <c r="O27" s="514">
        <f t="shared" si="5"/>
        <v>0</v>
      </c>
      <c r="P27" s="272"/>
    </row>
    <row r="28" spans="2:16">
      <c r="B28" s="195" t="str">
        <f t="shared" si="7"/>
        <v/>
      </c>
      <c r="C28" s="507">
        <f>IF(D11="","-",+C27+1)</f>
        <v>2027</v>
      </c>
      <c r="D28" s="523">
        <f>IF(F27+SUM(E$17:E27)=D$10,F27,D$10-SUM(E$17:E27))</f>
        <v>1177313.0177357621</v>
      </c>
      <c r="E28" s="522">
        <f>IF(+I14&lt;F27,I14,D28)</f>
        <v>35413.195681818179</v>
      </c>
      <c r="F28" s="523">
        <f t="shared" si="15"/>
        <v>1141899.8220539438</v>
      </c>
      <c r="G28" s="524">
        <f t="shared" si="16"/>
        <v>174017.62489945497</v>
      </c>
      <c r="H28" s="491">
        <f t="shared" si="17"/>
        <v>174017.62489945497</v>
      </c>
      <c r="I28" s="511">
        <f t="shared" si="0"/>
        <v>0</v>
      </c>
      <c r="J28" s="511"/>
      <c r="K28" s="525"/>
      <c r="L28" s="514">
        <f t="shared" si="2"/>
        <v>0</v>
      </c>
      <c r="M28" s="525"/>
      <c r="N28" s="514">
        <f t="shared" si="4"/>
        <v>0</v>
      </c>
      <c r="O28" s="514">
        <f t="shared" si="5"/>
        <v>0</v>
      </c>
      <c r="P28" s="272"/>
    </row>
    <row r="29" spans="2:16">
      <c r="B29" s="195" t="str">
        <f t="shared" si="7"/>
        <v/>
      </c>
      <c r="C29" s="507">
        <f>IF(D11="","-",+C28+1)</f>
        <v>2028</v>
      </c>
      <c r="D29" s="523">
        <f>IF(F28+SUM(E$17:E28)=D$10,F28,D$10-SUM(E$17:E28))</f>
        <v>1141899.8220539438</v>
      </c>
      <c r="E29" s="522">
        <f>IF(+I14&lt;F28,I14,D29)</f>
        <v>35413.195681818179</v>
      </c>
      <c r="F29" s="523">
        <f t="shared" si="15"/>
        <v>1106486.6263721255</v>
      </c>
      <c r="G29" s="524">
        <f t="shared" si="16"/>
        <v>169784.78719690416</v>
      </c>
      <c r="H29" s="491">
        <f t="shared" si="17"/>
        <v>169784.78719690416</v>
      </c>
      <c r="I29" s="511">
        <f t="shared" si="0"/>
        <v>0</v>
      </c>
      <c r="J29" s="511"/>
      <c r="K29" s="525"/>
      <c r="L29" s="514">
        <f t="shared" si="2"/>
        <v>0</v>
      </c>
      <c r="M29" s="525"/>
      <c r="N29" s="514">
        <f t="shared" si="4"/>
        <v>0</v>
      </c>
      <c r="O29" s="514">
        <f t="shared" si="5"/>
        <v>0</v>
      </c>
      <c r="P29" s="272"/>
    </row>
    <row r="30" spans="2:16">
      <c r="B30" s="195" t="str">
        <f t="shared" si="7"/>
        <v/>
      </c>
      <c r="C30" s="507">
        <f>IF(D11="","-",+C29+1)</f>
        <v>2029</v>
      </c>
      <c r="D30" s="523">
        <f>IF(F29+SUM(E$17:E29)=D$10,F29,D$10-SUM(E$17:E29))</f>
        <v>1106486.6263721255</v>
      </c>
      <c r="E30" s="522">
        <f>IF(+I14&lt;F29,I14,D30)</f>
        <v>35413.195681818179</v>
      </c>
      <c r="F30" s="523">
        <f t="shared" si="15"/>
        <v>1071073.4306903072</v>
      </c>
      <c r="G30" s="524">
        <f t="shared" si="16"/>
        <v>165551.94949435332</v>
      </c>
      <c r="H30" s="491">
        <f t="shared" si="17"/>
        <v>165551.94949435332</v>
      </c>
      <c r="I30" s="511">
        <f t="shared" si="0"/>
        <v>0</v>
      </c>
      <c r="J30" s="511"/>
      <c r="K30" s="525"/>
      <c r="L30" s="514">
        <f t="shared" si="2"/>
        <v>0</v>
      </c>
      <c r="M30" s="525"/>
      <c r="N30" s="514">
        <f t="shared" si="4"/>
        <v>0</v>
      </c>
      <c r="O30" s="514">
        <f t="shared" si="5"/>
        <v>0</v>
      </c>
      <c r="P30" s="272"/>
    </row>
    <row r="31" spans="2:16">
      <c r="B31" s="195" t="str">
        <f t="shared" si="7"/>
        <v/>
      </c>
      <c r="C31" s="507">
        <f>IF(D11="","-",+C30+1)</f>
        <v>2030</v>
      </c>
      <c r="D31" s="523">
        <f>IF(F30+SUM(E$17:E30)=D$10,F30,D$10-SUM(E$17:E30))</f>
        <v>1071073.4306903072</v>
      </c>
      <c r="E31" s="522">
        <f>IF(+I14&lt;F30,I14,D31)</f>
        <v>35413.195681818179</v>
      </c>
      <c r="F31" s="523">
        <f t="shared" si="15"/>
        <v>1035660.235008489</v>
      </c>
      <c r="G31" s="524">
        <f t="shared" si="16"/>
        <v>161319.11179180251</v>
      </c>
      <c r="H31" s="491">
        <f t="shared" si="17"/>
        <v>161319.11179180251</v>
      </c>
      <c r="I31" s="511">
        <f t="shared" si="0"/>
        <v>0</v>
      </c>
      <c r="J31" s="511"/>
      <c r="K31" s="525"/>
      <c r="L31" s="514">
        <f t="shared" si="2"/>
        <v>0</v>
      </c>
      <c r="M31" s="525"/>
      <c r="N31" s="514">
        <f t="shared" si="4"/>
        <v>0</v>
      </c>
      <c r="O31" s="514">
        <f t="shared" si="5"/>
        <v>0</v>
      </c>
      <c r="P31" s="272"/>
    </row>
    <row r="32" spans="2:16">
      <c r="B32" s="195" t="str">
        <f t="shared" si="7"/>
        <v/>
      </c>
      <c r="C32" s="507">
        <f>IF(D11="","-",+C31+1)</f>
        <v>2031</v>
      </c>
      <c r="D32" s="523">
        <f>IF(F31+SUM(E$17:E31)=D$10,F31,D$10-SUM(E$17:E31))</f>
        <v>1035660.235008489</v>
      </c>
      <c r="E32" s="522">
        <f>IF(+I14&lt;F31,I14,D32)</f>
        <v>35413.195681818179</v>
      </c>
      <c r="F32" s="523">
        <f t="shared" si="15"/>
        <v>1000247.0393266708</v>
      </c>
      <c r="G32" s="524">
        <f t="shared" si="16"/>
        <v>157086.27408925173</v>
      </c>
      <c r="H32" s="491">
        <f t="shared" si="17"/>
        <v>157086.27408925173</v>
      </c>
      <c r="I32" s="511">
        <f t="shared" si="0"/>
        <v>0</v>
      </c>
      <c r="J32" s="511"/>
      <c r="K32" s="525"/>
      <c r="L32" s="514">
        <f t="shared" si="2"/>
        <v>0</v>
      </c>
      <c r="M32" s="525"/>
      <c r="N32" s="514">
        <f t="shared" si="4"/>
        <v>0</v>
      </c>
      <c r="O32" s="514">
        <f t="shared" si="5"/>
        <v>0</v>
      </c>
      <c r="P32" s="272"/>
    </row>
    <row r="33" spans="2:16">
      <c r="B33" s="195" t="str">
        <f t="shared" si="7"/>
        <v/>
      </c>
      <c r="C33" s="507">
        <f>IF(D11="","-",+C32+1)</f>
        <v>2032</v>
      </c>
      <c r="D33" s="523">
        <f>IF(F32+SUM(E$17:E32)=D$10,F32,D$10-SUM(E$17:E32))</f>
        <v>1000247.0393266708</v>
      </c>
      <c r="E33" s="522">
        <f>IF(+I14&lt;F32,I14,D33)</f>
        <v>35413.195681818179</v>
      </c>
      <c r="F33" s="523">
        <f t="shared" si="15"/>
        <v>964833.84364485263</v>
      </c>
      <c r="G33" s="524">
        <f t="shared" si="16"/>
        <v>152853.43638670092</v>
      </c>
      <c r="H33" s="491">
        <f t="shared" si="17"/>
        <v>152853.43638670092</v>
      </c>
      <c r="I33" s="511">
        <f t="shared" si="0"/>
        <v>0</v>
      </c>
      <c r="J33" s="511"/>
      <c r="K33" s="525"/>
      <c r="L33" s="514">
        <f t="shared" si="2"/>
        <v>0</v>
      </c>
      <c r="M33" s="525"/>
      <c r="N33" s="514">
        <f t="shared" si="4"/>
        <v>0</v>
      </c>
      <c r="O33" s="514">
        <f t="shared" si="5"/>
        <v>0</v>
      </c>
      <c r="P33" s="272"/>
    </row>
    <row r="34" spans="2:16">
      <c r="B34" s="195" t="str">
        <f t="shared" si="7"/>
        <v/>
      </c>
      <c r="C34" s="507">
        <f>IF(D11="","-",+C33+1)</f>
        <v>2033</v>
      </c>
      <c r="D34" s="523">
        <f>IF(F33+SUM(E$17:E33)=D$10,F33,D$10-SUM(E$17:E33))</f>
        <v>964833.84364485263</v>
      </c>
      <c r="E34" s="522">
        <f>IF(+I14&lt;F33,I14,D34)</f>
        <v>35413.195681818179</v>
      </c>
      <c r="F34" s="523">
        <f t="shared" si="15"/>
        <v>929420.64796303445</v>
      </c>
      <c r="G34" s="524">
        <f t="shared" si="16"/>
        <v>148620.59868415014</v>
      </c>
      <c r="H34" s="491">
        <f t="shared" si="17"/>
        <v>148620.59868415014</v>
      </c>
      <c r="I34" s="511">
        <f t="shared" si="0"/>
        <v>0</v>
      </c>
      <c r="J34" s="511"/>
      <c r="K34" s="525"/>
      <c r="L34" s="514">
        <f t="shared" si="2"/>
        <v>0</v>
      </c>
      <c r="M34" s="525"/>
      <c r="N34" s="514">
        <f t="shared" si="4"/>
        <v>0</v>
      </c>
      <c r="O34" s="514">
        <f t="shared" si="5"/>
        <v>0</v>
      </c>
      <c r="P34" s="272"/>
    </row>
    <row r="35" spans="2:16">
      <c r="B35" s="195" t="str">
        <f t="shared" si="7"/>
        <v/>
      </c>
      <c r="C35" s="507">
        <f>IF(D11="","-",+C34+1)</f>
        <v>2034</v>
      </c>
      <c r="D35" s="523">
        <f>IF(F34+SUM(E$17:E34)=D$10,F34,D$10-SUM(E$17:E34))</f>
        <v>929420.64796303445</v>
      </c>
      <c r="E35" s="522">
        <f>IF(+I14&lt;F34,I14,D35)</f>
        <v>35413.195681818179</v>
      </c>
      <c r="F35" s="523">
        <f t="shared" si="15"/>
        <v>894007.45228121628</v>
      </c>
      <c r="G35" s="524">
        <f t="shared" si="16"/>
        <v>144387.76098159933</v>
      </c>
      <c r="H35" s="491">
        <f t="shared" si="17"/>
        <v>144387.76098159933</v>
      </c>
      <c r="I35" s="511">
        <f t="shared" si="0"/>
        <v>0</v>
      </c>
      <c r="J35" s="511"/>
      <c r="K35" s="525"/>
      <c r="L35" s="514">
        <f t="shared" si="2"/>
        <v>0</v>
      </c>
      <c r="M35" s="525"/>
      <c r="N35" s="514">
        <f t="shared" si="4"/>
        <v>0</v>
      </c>
      <c r="O35" s="514">
        <f t="shared" si="5"/>
        <v>0</v>
      </c>
      <c r="P35" s="272"/>
    </row>
    <row r="36" spans="2:16">
      <c r="B36" s="195" t="str">
        <f t="shared" si="7"/>
        <v/>
      </c>
      <c r="C36" s="507">
        <f>IF(D11="","-",+C35+1)</f>
        <v>2035</v>
      </c>
      <c r="D36" s="523">
        <f>IF(F35+SUM(E$17:E35)=D$10,F35,D$10-SUM(E$17:E35))</f>
        <v>894007.45228121628</v>
      </c>
      <c r="E36" s="522">
        <f>IF(+I14&lt;F35,I14,D36)</f>
        <v>35413.195681818179</v>
      </c>
      <c r="F36" s="523">
        <f t="shared" si="15"/>
        <v>858594.2565993981</v>
      </c>
      <c r="G36" s="524">
        <f t="shared" si="16"/>
        <v>140154.92327904853</v>
      </c>
      <c r="H36" s="491">
        <f t="shared" si="17"/>
        <v>140154.92327904853</v>
      </c>
      <c r="I36" s="511">
        <f t="shared" si="0"/>
        <v>0</v>
      </c>
      <c r="J36" s="511"/>
      <c r="K36" s="525"/>
      <c r="L36" s="514">
        <f t="shared" si="2"/>
        <v>0</v>
      </c>
      <c r="M36" s="525"/>
      <c r="N36" s="514">
        <f t="shared" si="4"/>
        <v>0</v>
      </c>
      <c r="O36" s="514">
        <f t="shared" si="5"/>
        <v>0</v>
      </c>
      <c r="P36" s="272"/>
    </row>
    <row r="37" spans="2:16">
      <c r="B37" s="195" t="str">
        <f t="shared" si="7"/>
        <v/>
      </c>
      <c r="C37" s="507">
        <f>IF(D11="","-",+C36+1)</f>
        <v>2036</v>
      </c>
      <c r="D37" s="523">
        <f>IF(F36+SUM(E$17:E36)=D$10,F36,D$10-SUM(E$17:E36))</f>
        <v>858594.2565993981</v>
      </c>
      <c r="E37" s="522">
        <f>IF(+I14&lt;F36,I14,D37)</f>
        <v>35413.195681818179</v>
      </c>
      <c r="F37" s="523">
        <f t="shared" si="15"/>
        <v>823181.06091757992</v>
      </c>
      <c r="G37" s="524">
        <f t="shared" si="16"/>
        <v>135922.08557649772</v>
      </c>
      <c r="H37" s="491">
        <f t="shared" si="17"/>
        <v>135922.08557649772</v>
      </c>
      <c r="I37" s="511">
        <f t="shared" si="0"/>
        <v>0</v>
      </c>
      <c r="J37" s="511"/>
      <c r="K37" s="525"/>
      <c r="L37" s="514">
        <f t="shared" si="2"/>
        <v>0</v>
      </c>
      <c r="M37" s="525"/>
      <c r="N37" s="514">
        <f t="shared" si="4"/>
        <v>0</v>
      </c>
      <c r="O37" s="514">
        <f t="shared" si="5"/>
        <v>0</v>
      </c>
      <c r="P37" s="272"/>
    </row>
    <row r="38" spans="2:16">
      <c r="B38" s="195" t="str">
        <f t="shared" si="7"/>
        <v/>
      </c>
      <c r="C38" s="507">
        <f>IF(D11="","-",+C37+1)</f>
        <v>2037</v>
      </c>
      <c r="D38" s="523">
        <f>IF(F37+SUM(E$17:E37)=D$10,F37,D$10-SUM(E$17:E37))</f>
        <v>823181.06091757992</v>
      </c>
      <c r="E38" s="522">
        <f>IF(+I14&lt;F37,I14,D38)</f>
        <v>35413.195681818179</v>
      </c>
      <c r="F38" s="523">
        <f t="shared" si="15"/>
        <v>787767.86523576174</v>
      </c>
      <c r="G38" s="524">
        <f t="shared" si="16"/>
        <v>131689.24787394694</v>
      </c>
      <c r="H38" s="491">
        <f t="shared" si="17"/>
        <v>131689.24787394694</v>
      </c>
      <c r="I38" s="511">
        <f t="shared" si="0"/>
        <v>0</v>
      </c>
      <c r="J38" s="511"/>
      <c r="K38" s="525"/>
      <c r="L38" s="514">
        <f t="shared" si="2"/>
        <v>0</v>
      </c>
      <c r="M38" s="525"/>
      <c r="N38" s="514">
        <f t="shared" si="4"/>
        <v>0</v>
      </c>
      <c r="O38" s="514">
        <f t="shared" si="5"/>
        <v>0</v>
      </c>
      <c r="P38" s="272"/>
    </row>
    <row r="39" spans="2:16">
      <c r="B39" s="195" t="str">
        <f t="shared" si="7"/>
        <v/>
      </c>
      <c r="C39" s="507">
        <f>IF(D11="","-",+C38+1)</f>
        <v>2038</v>
      </c>
      <c r="D39" s="523">
        <f>IF(F38+SUM(E$17:E38)=D$10,F38,D$10-SUM(E$17:E38))</f>
        <v>787767.86523576174</v>
      </c>
      <c r="E39" s="522">
        <f>IF(+I14&lt;F38,I14,D39)</f>
        <v>35413.195681818179</v>
      </c>
      <c r="F39" s="523">
        <f t="shared" si="15"/>
        <v>752354.66955394356</v>
      </c>
      <c r="G39" s="524">
        <f t="shared" si="16"/>
        <v>127456.41017139611</v>
      </c>
      <c r="H39" s="491">
        <f t="shared" si="17"/>
        <v>127456.41017139611</v>
      </c>
      <c r="I39" s="511">
        <f t="shared" si="0"/>
        <v>0</v>
      </c>
      <c r="J39" s="511"/>
      <c r="K39" s="525"/>
      <c r="L39" s="514">
        <f t="shared" si="2"/>
        <v>0</v>
      </c>
      <c r="M39" s="525"/>
      <c r="N39" s="514">
        <f t="shared" si="4"/>
        <v>0</v>
      </c>
      <c r="O39" s="514">
        <f t="shared" si="5"/>
        <v>0</v>
      </c>
      <c r="P39" s="272"/>
    </row>
    <row r="40" spans="2:16">
      <c r="B40" s="195" t="str">
        <f t="shared" si="7"/>
        <v/>
      </c>
      <c r="C40" s="507">
        <f>IF(D11="","-",+C39+1)</f>
        <v>2039</v>
      </c>
      <c r="D40" s="523">
        <f>IF(F39+SUM(E$17:E39)=D$10,F39,D$10-SUM(E$17:E39))</f>
        <v>752354.66955394356</v>
      </c>
      <c r="E40" s="522">
        <f>IF(+I14&lt;F39,I14,D40)</f>
        <v>35413.195681818179</v>
      </c>
      <c r="F40" s="523">
        <f t="shared" si="15"/>
        <v>716941.47387212538</v>
      </c>
      <c r="G40" s="524">
        <f t="shared" si="16"/>
        <v>123223.57246884533</v>
      </c>
      <c r="H40" s="491">
        <f t="shared" si="17"/>
        <v>123223.57246884533</v>
      </c>
      <c r="I40" s="511">
        <f t="shared" si="0"/>
        <v>0</v>
      </c>
      <c r="J40" s="511"/>
      <c r="K40" s="525"/>
      <c r="L40" s="514">
        <f t="shared" si="2"/>
        <v>0</v>
      </c>
      <c r="M40" s="525"/>
      <c r="N40" s="514">
        <f t="shared" si="4"/>
        <v>0</v>
      </c>
      <c r="O40" s="514">
        <f t="shared" si="5"/>
        <v>0</v>
      </c>
      <c r="P40" s="272"/>
    </row>
    <row r="41" spans="2:16">
      <c r="B41" s="195" t="str">
        <f t="shared" si="7"/>
        <v/>
      </c>
      <c r="C41" s="507">
        <f>IF(D11="","-",+C40+1)</f>
        <v>2040</v>
      </c>
      <c r="D41" s="523">
        <f>IF(F40+SUM(E$17:E40)=D$10,F40,D$10-SUM(E$17:E40))</f>
        <v>716941.47387212538</v>
      </c>
      <c r="E41" s="522">
        <f>IF(+I14&lt;F40,I14,D41)</f>
        <v>35413.195681818179</v>
      </c>
      <c r="F41" s="523">
        <f t="shared" si="15"/>
        <v>681528.2781903072</v>
      </c>
      <c r="G41" s="524">
        <f t="shared" si="16"/>
        <v>118990.73476629451</v>
      </c>
      <c r="H41" s="491">
        <f t="shared" si="17"/>
        <v>118990.73476629451</v>
      </c>
      <c r="I41" s="511">
        <f t="shared" si="0"/>
        <v>0</v>
      </c>
      <c r="J41" s="511"/>
      <c r="K41" s="525"/>
      <c r="L41" s="514">
        <f t="shared" si="2"/>
        <v>0</v>
      </c>
      <c r="M41" s="525"/>
      <c r="N41" s="514">
        <f t="shared" si="4"/>
        <v>0</v>
      </c>
      <c r="O41" s="514">
        <f t="shared" si="5"/>
        <v>0</v>
      </c>
      <c r="P41" s="272"/>
    </row>
    <row r="42" spans="2:16">
      <c r="B42" s="195" t="str">
        <f t="shared" si="7"/>
        <v/>
      </c>
      <c r="C42" s="507">
        <f>IF(D11="","-",+C41+1)</f>
        <v>2041</v>
      </c>
      <c r="D42" s="523">
        <f>IF(F41+SUM(E$17:E41)=D$10,F41,D$10-SUM(E$17:E41))</f>
        <v>681528.2781903072</v>
      </c>
      <c r="E42" s="522">
        <f>IF(+I14&lt;F41,I14,D42)</f>
        <v>35413.195681818179</v>
      </c>
      <c r="F42" s="523">
        <f t="shared" si="15"/>
        <v>646115.08250848902</v>
      </c>
      <c r="G42" s="524">
        <f t="shared" si="16"/>
        <v>114757.89706374373</v>
      </c>
      <c r="H42" s="491">
        <f t="shared" si="17"/>
        <v>114757.89706374373</v>
      </c>
      <c r="I42" s="511">
        <f t="shared" si="0"/>
        <v>0</v>
      </c>
      <c r="J42" s="511"/>
      <c r="K42" s="525"/>
      <c r="L42" s="514">
        <f t="shared" si="2"/>
        <v>0</v>
      </c>
      <c r="M42" s="525"/>
      <c r="N42" s="514">
        <f t="shared" si="4"/>
        <v>0</v>
      </c>
      <c r="O42" s="514">
        <f t="shared" si="5"/>
        <v>0</v>
      </c>
      <c r="P42" s="272"/>
    </row>
    <row r="43" spans="2:16">
      <c r="B43" s="195" t="str">
        <f t="shared" si="7"/>
        <v/>
      </c>
      <c r="C43" s="507">
        <f>IF(D11="","-",+C42+1)</f>
        <v>2042</v>
      </c>
      <c r="D43" s="523">
        <f>IF(F42+SUM(E$17:E42)=D$10,F42,D$10-SUM(E$17:E42))</f>
        <v>646115.08250848902</v>
      </c>
      <c r="E43" s="522">
        <f>IF(+I14&lt;F42,I14,D43)</f>
        <v>35413.195681818179</v>
      </c>
      <c r="F43" s="523">
        <f t="shared" si="15"/>
        <v>610701.88682667085</v>
      </c>
      <c r="G43" s="524">
        <f t="shared" si="16"/>
        <v>110525.05936119291</v>
      </c>
      <c r="H43" s="491">
        <f t="shared" si="17"/>
        <v>110525.05936119291</v>
      </c>
      <c r="I43" s="511">
        <f t="shared" si="0"/>
        <v>0</v>
      </c>
      <c r="J43" s="511"/>
      <c r="K43" s="525"/>
      <c r="L43" s="514">
        <f t="shared" si="2"/>
        <v>0</v>
      </c>
      <c r="M43" s="525"/>
      <c r="N43" s="514">
        <f t="shared" si="4"/>
        <v>0</v>
      </c>
      <c r="O43" s="514">
        <f t="shared" si="5"/>
        <v>0</v>
      </c>
      <c r="P43" s="272"/>
    </row>
    <row r="44" spans="2:16">
      <c r="B44" s="195" t="str">
        <f t="shared" si="7"/>
        <v/>
      </c>
      <c r="C44" s="507">
        <f>IF(D11="","-",+C43+1)</f>
        <v>2043</v>
      </c>
      <c r="D44" s="523">
        <f>IF(F43+SUM(E$17:E43)=D$10,F43,D$10-SUM(E$17:E43))</f>
        <v>610701.88682667085</v>
      </c>
      <c r="E44" s="522">
        <f>IF(+I14&lt;F43,I14,D44)</f>
        <v>35413.195681818179</v>
      </c>
      <c r="F44" s="523">
        <f t="shared" si="15"/>
        <v>575288.69114485267</v>
      </c>
      <c r="G44" s="524">
        <f t="shared" si="16"/>
        <v>106292.22165864213</v>
      </c>
      <c r="H44" s="491">
        <f t="shared" si="17"/>
        <v>106292.22165864213</v>
      </c>
      <c r="I44" s="511">
        <f t="shared" si="0"/>
        <v>0</v>
      </c>
      <c r="J44" s="511"/>
      <c r="K44" s="525"/>
      <c r="L44" s="514">
        <f t="shared" si="2"/>
        <v>0</v>
      </c>
      <c r="M44" s="525"/>
      <c r="N44" s="514">
        <f t="shared" si="4"/>
        <v>0</v>
      </c>
      <c r="O44" s="514">
        <f t="shared" si="5"/>
        <v>0</v>
      </c>
      <c r="P44" s="272"/>
    </row>
    <row r="45" spans="2:16">
      <c r="B45" s="195" t="str">
        <f t="shared" si="7"/>
        <v/>
      </c>
      <c r="C45" s="507">
        <f>IF(D11="","-",+C44+1)</f>
        <v>2044</v>
      </c>
      <c r="D45" s="523">
        <f>IF(F44+SUM(E$17:E44)=D$10,F44,D$10-SUM(E$17:E44))</f>
        <v>575288.69114485267</v>
      </c>
      <c r="E45" s="522">
        <f>IF(+I14&lt;F44,I14,D45)</f>
        <v>35413.195681818179</v>
      </c>
      <c r="F45" s="523">
        <f t="shared" si="15"/>
        <v>539875.49546303449</v>
      </c>
      <c r="G45" s="524">
        <f t="shared" si="16"/>
        <v>102059.38395609132</v>
      </c>
      <c r="H45" s="491">
        <f t="shared" si="17"/>
        <v>102059.38395609132</v>
      </c>
      <c r="I45" s="511">
        <f t="shared" si="0"/>
        <v>0</v>
      </c>
      <c r="J45" s="511"/>
      <c r="K45" s="525"/>
      <c r="L45" s="514">
        <f t="shared" si="2"/>
        <v>0</v>
      </c>
      <c r="M45" s="525"/>
      <c r="N45" s="514">
        <f t="shared" si="4"/>
        <v>0</v>
      </c>
      <c r="O45" s="514">
        <f t="shared" si="5"/>
        <v>0</v>
      </c>
      <c r="P45" s="272"/>
    </row>
    <row r="46" spans="2:16">
      <c r="B46" s="195" t="str">
        <f t="shared" si="7"/>
        <v/>
      </c>
      <c r="C46" s="507">
        <f>IF(D11="","-",+C45+1)</f>
        <v>2045</v>
      </c>
      <c r="D46" s="523">
        <f>IF(F45+SUM(E$17:E45)=D$10,F45,D$10-SUM(E$17:E45))</f>
        <v>539875.49546303449</v>
      </c>
      <c r="E46" s="522">
        <f>IF(+I14&lt;F45,I14,D46)</f>
        <v>35413.195681818179</v>
      </c>
      <c r="F46" s="523">
        <f t="shared" si="15"/>
        <v>504462.29978121631</v>
      </c>
      <c r="G46" s="524">
        <f t="shared" si="16"/>
        <v>97826.546253540524</v>
      </c>
      <c r="H46" s="491">
        <f t="shared" si="17"/>
        <v>97826.546253540524</v>
      </c>
      <c r="I46" s="511">
        <f t="shared" si="0"/>
        <v>0</v>
      </c>
      <c r="J46" s="511"/>
      <c r="K46" s="525"/>
      <c r="L46" s="514">
        <f t="shared" si="2"/>
        <v>0</v>
      </c>
      <c r="M46" s="525"/>
      <c r="N46" s="514">
        <f t="shared" si="4"/>
        <v>0</v>
      </c>
      <c r="O46" s="514">
        <f t="shared" si="5"/>
        <v>0</v>
      </c>
      <c r="P46" s="272"/>
    </row>
    <row r="47" spans="2:16">
      <c r="B47" s="195" t="str">
        <f t="shared" si="7"/>
        <v/>
      </c>
      <c r="C47" s="507">
        <f>IF(D11="","-",+C46+1)</f>
        <v>2046</v>
      </c>
      <c r="D47" s="523">
        <f>IF(F46+SUM(E$17:E46)=D$10,F46,D$10-SUM(E$17:E46))</f>
        <v>504462.29978121631</v>
      </c>
      <c r="E47" s="522">
        <f>IF(+I14&lt;F46,I14,D47)</f>
        <v>35413.195681818179</v>
      </c>
      <c r="F47" s="523">
        <f t="shared" si="15"/>
        <v>469049.10409939813</v>
      </c>
      <c r="G47" s="524">
        <f t="shared" si="16"/>
        <v>93593.708550989715</v>
      </c>
      <c r="H47" s="491">
        <f t="shared" si="17"/>
        <v>93593.708550989715</v>
      </c>
      <c r="I47" s="511">
        <f t="shared" si="0"/>
        <v>0</v>
      </c>
      <c r="J47" s="511"/>
      <c r="K47" s="525"/>
      <c r="L47" s="514">
        <f t="shared" si="2"/>
        <v>0</v>
      </c>
      <c r="M47" s="525"/>
      <c r="N47" s="514">
        <f t="shared" si="4"/>
        <v>0</v>
      </c>
      <c r="O47" s="514">
        <f t="shared" si="5"/>
        <v>0</v>
      </c>
      <c r="P47" s="272"/>
    </row>
    <row r="48" spans="2:16">
      <c r="B48" s="195" t="str">
        <f t="shared" si="7"/>
        <v/>
      </c>
      <c r="C48" s="507">
        <f>IF(D11="","-",+C47+1)</f>
        <v>2047</v>
      </c>
      <c r="D48" s="523">
        <f>IF(F47+SUM(E$17:E47)=D$10,F47,D$10-SUM(E$17:E47))</f>
        <v>469049.10409939813</v>
      </c>
      <c r="E48" s="522">
        <f>IF(+I14&lt;F47,I14,D48)</f>
        <v>35413.195681818179</v>
      </c>
      <c r="F48" s="523">
        <f t="shared" si="15"/>
        <v>433635.90841757995</v>
      </c>
      <c r="G48" s="524">
        <f t="shared" si="16"/>
        <v>89360.870848438906</v>
      </c>
      <c r="H48" s="491">
        <f t="shared" si="17"/>
        <v>89360.870848438906</v>
      </c>
      <c r="I48" s="511">
        <f t="shared" si="0"/>
        <v>0</v>
      </c>
      <c r="J48" s="511"/>
      <c r="K48" s="525"/>
      <c r="L48" s="514">
        <f t="shared" si="2"/>
        <v>0</v>
      </c>
      <c r="M48" s="525"/>
      <c r="N48" s="514">
        <f t="shared" si="4"/>
        <v>0</v>
      </c>
      <c r="O48" s="514">
        <f t="shared" si="5"/>
        <v>0</v>
      </c>
      <c r="P48" s="272"/>
    </row>
    <row r="49" spans="2:16">
      <c r="B49" s="195" t="str">
        <f t="shared" si="7"/>
        <v/>
      </c>
      <c r="C49" s="507">
        <f>IF(D11="","-",+C48+1)</f>
        <v>2048</v>
      </c>
      <c r="D49" s="523">
        <f>IF(F48+SUM(E$17:E48)=D$10,F48,D$10-SUM(E$17:E48))</f>
        <v>433635.90841757995</v>
      </c>
      <c r="E49" s="522">
        <f>IF(+I14&lt;F48,I14,D49)</f>
        <v>35413.195681818179</v>
      </c>
      <c r="F49" s="523">
        <f t="shared" si="15"/>
        <v>398222.71273576177</v>
      </c>
      <c r="G49" s="524">
        <f t="shared" si="16"/>
        <v>85128.033145888112</v>
      </c>
      <c r="H49" s="491">
        <f t="shared" si="17"/>
        <v>85128.033145888112</v>
      </c>
      <c r="I49" s="511">
        <f t="shared" si="0"/>
        <v>0</v>
      </c>
      <c r="J49" s="511"/>
      <c r="K49" s="525"/>
      <c r="L49" s="514">
        <f t="shared" si="2"/>
        <v>0</v>
      </c>
      <c r="M49" s="525"/>
      <c r="N49" s="514">
        <f t="shared" si="4"/>
        <v>0</v>
      </c>
      <c r="O49" s="514">
        <f t="shared" si="5"/>
        <v>0</v>
      </c>
      <c r="P49" s="272"/>
    </row>
    <row r="50" spans="2:16">
      <c r="B50" s="195" t="str">
        <f t="shared" si="7"/>
        <v/>
      </c>
      <c r="C50" s="507">
        <f>IF(D11="","-",+C49+1)</f>
        <v>2049</v>
      </c>
      <c r="D50" s="523">
        <f>IF(F49+SUM(E$17:E49)=D$10,F49,D$10-SUM(E$17:E49))</f>
        <v>398222.71273576177</v>
      </c>
      <c r="E50" s="522">
        <f>IF(+I14&lt;F49,I14,D50)</f>
        <v>35413.195681818179</v>
      </c>
      <c r="F50" s="523">
        <f t="shared" si="15"/>
        <v>362809.51705394359</v>
      </c>
      <c r="G50" s="524">
        <f t="shared" ref="G50:G72" si="18">+I$12*((D50+F50)/2)+E50</f>
        <v>80895.195443337318</v>
      </c>
      <c r="H50" s="491">
        <f t="shared" ref="H50:H72" si="19">+I$13*((D50+F50)/2)+E50</f>
        <v>80895.195443337318</v>
      </c>
      <c r="I50" s="511">
        <f t="shared" si="0"/>
        <v>0</v>
      </c>
      <c r="J50" s="511"/>
      <c r="K50" s="525"/>
      <c r="L50" s="514">
        <f t="shared" si="2"/>
        <v>0</v>
      </c>
      <c r="M50" s="525"/>
      <c r="N50" s="514">
        <f t="shared" si="4"/>
        <v>0</v>
      </c>
      <c r="O50" s="514">
        <f t="shared" si="5"/>
        <v>0</v>
      </c>
      <c r="P50" s="272"/>
    </row>
    <row r="51" spans="2:16">
      <c r="B51" s="195" t="str">
        <f t="shared" si="7"/>
        <v/>
      </c>
      <c r="C51" s="507">
        <f>IF(D11="","-",+C50+1)</f>
        <v>2050</v>
      </c>
      <c r="D51" s="523">
        <f>IF(F50+SUM(E$17:E50)=D$10,F50,D$10-SUM(E$17:E50))</f>
        <v>362809.51705394359</v>
      </c>
      <c r="E51" s="522">
        <f>IF(+I14&lt;F50,I14,D51)</f>
        <v>35413.195681818179</v>
      </c>
      <c r="F51" s="523">
        <f t="shared" si="15"/>
        <v>327396.32137212541</v>
      </c>
      <c r="G51" s="524">
        <f t="shared" si="18"/>
        <v>76662.357740786509</v>
      </c>
      <c r="H51" s="491">
        <f t="shared" si="19"/>
        <v>76662.357740786509</v>
      </c>
      <c r="I51" s="511">
        <f t="shared" si="0"/>
        <v>0</v>
      </c>
      <c r="J51" s="511"/>
      <c r="K51" s="525"/>
      <c r="L51" s="514">
        <f t="shared" si="2"/>
        <v>0</v>
      </c>
      <c r="M51" s="525"/>
      <c r="N51" s="514">
        <f t="shared" si="4"/>
        <v>0</v>
      </c>
      <c r="O51" s="514">
        <f t="shared" si="5"/>
        <v>0</v>
      </c>
      <c r="P51" s="272"/>
    </row>
    <row r="52" spans="2:16">
      <c r="B52" s="195" t="str">
        <f t="shared" si="7"/>
        <v/>
      </c>
      <c r="C52" s="507">
        <f>IF(D11="","-",+C51+1)</f>
        <v>2051</v>
      </c>
      <c r="D52" s="523">
        <f>IF(F51+SUM(E$17:E51)=D$10,F51,D$10-SUM(E$17:E51))</f>
        <v>327396.32137212541</v>
      </c>
      <c r="E52" s="522">
        <f>IF(+I14&lt;F51,I14,D52)</f>
        <v>35413.195681818179</v>
      </c>
      <c r="F52" s="523">
        <f t="shared" si="15"/>
        <v>291983.12569030724</v>
      </c>
      <c r="G52" s="524">
        <f t="shared" si="18"/>
        <v>72429.520038235714</v>
      </c>
      <c r="H52" s="491">
        <f t="shared" si="19"/>
        <v>72429.520038235714</v>
      </c>
      <c r="I52" s="511">
        <f t="shared" si="0"/>
        <v>0</v>
      </c>
      <c r="J52" s="511"/>
      <c r="K52" s="525"/>
      <c r="L52" s="514">
        <f t="shared" si="2"/>
        <v>0</v>
      </c>
      <c r="M52" s="525"/>
      <c r="N52" s="514">
        <f t="shared" si="4"/>
        <v>0</v>
      </c>
      <c r="O52" s="514">
        <f t="shared" si="5"/>
        <v>0</v>
      </c>
      <c r="P52" s="272"/>
    </row>
    <row r="53" spans="2:16">
      <c r="B53" s="195" t="str">
        <f t="shared" si="7"/>
        <v/>
      </c>
      <c r="C53" s="507">
        <f>IF(D11="","-",+C52+1)</f>
        <v>2052</v>
      </c>
      <c r="D53" s="523">
        <f>IF(F52+SUM(E$17:E52)=D$10,F52,D$10-SUM(E$17:E52))</f>
        <v>291983.12569030724</v>
      </c>
      <c r="E53" s="522">
        <f>IF(+I14&lt;F52,I14,D53)</f>
        <v>35413.195681818179</v>
      </c>
      <c r="F53" s="523">
        <f t="shared" si="15"/>
        <v>256569.93000848906</v>
      </c>
      <c r="G53" s="524">
        <f t="shared" si="18"/>
        <v>68196.68233568492</v>
      </c>
      <c r="H53" s="491">
        <f t="shared" si="19"/>
        <v>68196.68233568492</v>
      </c>
      <c r="I53" s="511">
        <f t="shared" si="0"/>
        <v>0</v>
      </c>
      <c r="J53" s="511"/>
      <c r="K53" s="525"/>
      <c r="L53" s="514">
        <f t="shared" si="2"/>
        <v>0</v>
      </c>
      <c r="M53" s="525"/>
      <c r="N53" s="514">
        <f t="shared" si="4"/>
        <v>0</v>
      </c>
      <c r="O53" s="514">
        <f t="shared" si="5"/>
        <v>0</v>
      </c>
      <c r="P53" s="272"/>
    </row>
    <row r="54" spans="2:16">
      <c r="B54" s="195" t="str">
        <f t="shared" si="7"/>
        <v/>
      </c>
      <c r="C54" s="507">
        <f>IF(D11="","-",+C53+1)</f>
        <v>2053</v>
      </c>
      <c r="D54" s="523">
        <f>IF(F53+SUM(E$17:E53)=D$10,F53,D$10-SUM(E$17:E53))</f>
        <v>256569.93000848906</v>
      </c>
      <c r="E54" s="522">
        <f>IF(+I14&lt;F53,I14,D54)</f>
        <v>35413.195681818179</v>
      </c>
      <c r="F54" s="523">
        <f t="shared" si="15"/>
        <v>221156.73432667088</v>
      </c>
      <c r="G54" s="524">
        <f t="shared" si="18"/>
        <v>63963.844633134111</v>
      </c>
      <c r="H54" s="491">
        <f t="shared" si="19"/>
        <v>63963.844633134111</v>
      </c>
      <c r="I54" s="511">
        <f t="shared" si="0"/>
        <v>0</v>
      </c>
      <c r="J54" s="511"/>
      <c r="K54" s="525"/>
      <c r="L54" s="514">
        <f t="shared" si="2"/>
        <v>0</v>
      </c>
      <c r="M54" s="525"/>
      <c r="N54" s="514">
        <f t="shared" si="4"/>
        <v>0</v>
      </c>
      <c r="O54" s="514">
        <f t="shared" si="5"/>
        <v>0</v>
      </c>
      <c r="P54" s="272"/>
    </row>
    <row r="55" spans="2:16">
      <c r="B55" s="195" t="str">
        <f t="shared" si="7"/>
        <v/>
      </c>
      <c r="C55" s="507">
        <f>IF(D11="","-",+C54+1)</f>
        <v>2054</v>
      </c>
      <c r="D55" s="523">
        <f>IF(F54+SUM(E$17:E54)=D$10,F54,D$10-SUM(E$17:E54))</f>
        <v>221156.73432667088</v>
      </c>
      <c r="E55" s="522">
        <f>IF(+I14&lt;F54,I14,D55)</f>
        <v>35413.195681818179</v>
      </c>
      <c r="F55" s="523">
        <f t="shared" si="15"/>
        <v>185743.5386448527</v>
      </c>
      <c r="G55" s="524">
        <f t="shared" si="18"/>
        <v>59731.006930583309</v>
      </c>
      <c r="H55" s="491">
        <f t="shared" si="19"/>
        <v>59731.006930583309</v>
      </c>
      <c r="I55" s="511">
        <f t="shared" si="0"/>
        <v>0</v>
      </c>
      <c r="J55" s="511"/>
      <c r="K55" s="525"/>
      <c r="L55" s="514">
        <f t="shared" si="2"/>
        <v>0</v>
      </c>
      <c r="M55" s="525"/>
      <c r="N55" s="514">
        <f t="shared" si="4"/>
        <v>0</v>
      </c>
      <c r="O55" s="514">
        <f t="shared" si="5"/>
        <v>0</v>
      </c>
      <c r="P55" s="272"/>
    </row>
    <row r="56" spans="2:16">
      <c r="B56" s="195" t="str">
        <f t="shared" si="7"/>
        <v/>
      </c>
      <c r="C56" s="507">
        <f>IF(D11="","-",+C55+1)</f>
        <v>2055</v>
      </c>
      <c r="D56" s="523">
        <f>IF(F55+SUM(E$17:E55)=D$10,F55,D$10-SUM(E$17:E55))</f>
        <v>185743.5386448527</v>
      </c>
      <c r="E56" s="522">
        <f>IF(+I14&lt;F55,I14,D56)</f>
        <v>35413.195681818179</v>
      </c>
      <c r="F56" s="523">
        <f t="shared" si="15"/>
        <v>150330.34296303452</v>
      </c>
      <c r="G56" s="524">
        <f t="shared" si="18"/>
        <v>55498.169228032508</v>
      </c>
      <c r="H56" s="491">
        <f t="shared" si="19"/>
        <v>55498.169228032508</v>
      </c>
      <c r="I56" s="511">
        <f t="shared" si="0"/>
        <v>0</v>
      </c>
      <c r="J56" s="511"/>
      <c r="K56" s="525"/>
      <c r="L56" s="514">
        <f t="shared" si="2"/>
        <v>0</v>
      </c>
      <c r="M56" s="525"/>
      <c r="N56" s="514">
        <f t="shared" si="4"/>
        <v>0</v>
      </c>
      <c r="O56" s="514">
        <f t="shared" si="5"/>
        <v>0</v>
      </c>
      <c r="P56" s="272"/>
    </row>
    <row r="57" spans="2:16">
      <c r="B57" s="195" t="str">
        <f t="shared" si="7"/>
        <v/>
      </c>
      <c r="C57" s="507">
        <f>IF(D11="","-",+C56+1)</f>
        <v>2056</v>
      </c>
      <c r="D57" s="523">
        <f>IF(F56+SUM(E$17:E56)=D$10,F56,D$10-SUM(E$17:E56))</f>
        <v>150330.34296303452</v>
      </c>
      <c r="E57" s="522">
        <f>IF(+I14&lt;F56,I14,D57)</f>
        <v>35413.195681818179</v>
      </c>
      <c r="F57" s="523">
        <f t="shared" si="15"/>
        <v>114917.14728121634</v>
      </c>
      <c r="G57" s="524">
        <f t="shared" si="18"/>
        <v>51265.331525481706</v>
      </c>
      <c r="H57" s="491">
        <f t="shared" si="19"/>
        <v>51265.331525481706</v>
      </c>
      <c r="I57" s="511">
        <f t="shared" si="0"/>
        <v>0</v>
      </c>
      <c r="J57" s="511"/>
      <c r="K57" s="525"/>
      <c r="L57" s="514">
        <f t="shared" si="2"/>
        <v>0</v>
      </c>
      <c r="M57" s="525"/>
      <c r="N57" s="514">
        <f t="shared" si="4"/>
        <v>0</v>
      </c>
      <c r="O57" s="514">
        <f t="shared" si="5"/>
        <v>0</v>
      </c>
      <c r="P57" s="272"/>
    </row>
    <row r="58" spans="2:16">
      <c r="B58" s="195" t="str">
        <f t="shared" si="7"/>
        <v/>
      </c>
      <c r="C58" s="507">
        <f>IF(D11="","-",+C57+1)</f>
        <v>2057</v>
      </c>
      <c r="D58" s="523">
        <f>IF(F57+SUM(E$17:E57)=D$10,F57,D$10-SUM(E$17:E57))</f>
        <v>114917.14728121634</v>
      </c>
      <c r="E58" s="522">
        <f>IF(+I14&lt;F57,I14,D58)</f>
        <v>35413.195681818179</v>
      </c>
      <c r="F58" s="523">
        <f t="shared" si="15"/>
        <v>79503.951599398162</v>
      </c>
      <c r="G58" s="524">
        <f t="shared" si="18"/>
        <v>47032.493822930905</v>
      </c>
      <c r="H58" s="491">
        <f t="shared" si="19"/>
        <v>47032.493822930905</v>
      </c>
      <c r="I58" s="511">
        <f t="shared" si="0"/>
        <v>0</v>
      </c>
      <c r="J58" s="511"/>
      <c r="K58" s="525"/>
      <c r="L58" s="514">
        <f t="shared" si="2"/>
        <v>0</v>
      </c>
      <c r="M58" s="525"/>
      <c r="N58" s="514">
        <f t="shared" si="4"/>
        <v>0</v>
      </c>
      <c r="O58" s="514">
        <f t="shared" si="5"/>
        <v>0</v>
      </c>
      <c r="P58" s="272"/>
    </row>
    <row r="59" spans="2:16">
      <c r="B59" s="195" t="str">
        <f t="shared" si="7"/>
        <v/>
      </c>
      <c r="C59" s="507">
        <f>IF(D11="","-",+C58+1)</f>
        <v>2058</v>
      </c>
      <c r="D59" s="523">
        <f>IF(F58+SUM(E$17:E58)=D$10,F58,D$10-SUM(E$17:E58))</f>
        <v>79503.951599398162</v>
      </c>
      <c r="E59" s="522">
        <f>IF(+I14&lt;F58,I14,D59)</f>
        <v>35413.195681818179</v>
      </c>
      <c r="F59" s="523">
        <f t="shared" si="15"/>
        <v>44090.755917579983</v>
      </c>
      <c r="G59" s="524">
        <f t="shared" si="18"/>
        <v>42799.656120380103</v>
      </c>
      <c r="H59" s="491">
        <f t="shared" si="19"/>
        <v>42799.656120380103</v>
      </c>
      <c r="I59" s="511">
        <f t="shared" si="0"/>
        <v>0</v>
      </c>
      <c r="J59" s="511"/>
      <c r="K59" s="525"/>
      <c r="L59" s="514">
        <f t="shared" si="2"/>
        <v>0</v>
      </c>
      <c r="M59" s="525"/>
      <c r="N59" s="514">
        <f t="shared" si="4"/>
        <v>0</v>
      </c>
      <c r="O59" s="514">
        <f t="shared" si="5"/>
        <v>0</v>
      </c>
      <c r="P59" s="272"/>
    </row>
    <row r="60" spans="2:16">
      <c r="B60" s="195" t="str">
        <f t="shared" si="7"/>
        <v/>
      </c>
      <c r="C60" s="507">
        <f>IF(D11="","-",+C59+1)</f>
        <v>2059</v>
      </c>
      <c r="D60" s="523">
        <f>IF(F59+SUM(E$17:E59)=D$10,F59,D$10-SUM(E$17:E59))</f>
        <v>44090.755917579983</v>
      </c>
      <c r="E60" s="522">
        <f>IF(+I14&lt;F59,I14,D60)</f>
        <v>35413.195681818179</v>
      </c>
      <c r="F60" s="523">
        <f t="shared" si="15"/>
        <v>8677.5602357618045</v>
      </c>
      <c r="G60" s="524">
        <f t="shared" si="18"/>
        <v>38566.818417829301</v>
      </c>
      <c r="H60" s="491">
        <f t="shared" si="19"/>
        <v>38566.818417829301</v>
      </c>
      <c r="I60" s="511">
        <f t="shared" si="0"/>
        <v>0</v>
      </c>
      <c r="J60" s="511"/>
      <c r="K60" s="525"/>
      <c r="L60" s="514">
        <f t="shared" si="2"/>
        <v>0</v>
      </c>
      <c r="M60" s="525"/>
      <c r="N60" s="514">
        <f t="shared" si="4"/>
        <v>0</v>
      </c>
      <c r="O60" s="514">
        <f t="shared" si="5"/>
        <v>0</v>
      </c>
      <c r="P60" s="272"/>
    </row>
    <row r="61" spans="2:16">
      <c r="B61" s="195" t="str">
        <f t="shared" si="7"/>
        <v/>
      </c>
      <c r="C61" s="507">
        <f>IF(D11="","-",+C60+1)</f>
        <v>2060</v>
      </c>
      <c r="D61" s="523">
        <f>IF(F60+SUM(E$17:E60)=D$10,F60,D$10-SUM(E$17:E60))</f>
        <v>8677.5602357618045</v>
      </c>
      <c r="E61" s="522">
        <f>IF(+I14&lt;F60,I14,D61)</f>
        <v>8677.5602357618045</v>
      </c>
      <c r="F61" s="523">
        <f t="shared" si="15"/>
        <v>0</v>
      </c>
      <c r="G61" s="526">
        <f t="shared" si="18"/>
        <v>9196.1621781296672</v>
      </c>
      <c r="H61" s="491">
        <f t="shared" si="19"/>
        <v>9196.1621781296672</v>
      </c>
      <c r="I61" s="511">
        <f t="shared" si="0"/>
        <v>0</v>
      </c>
      <c r="J61" s="511"/>
      <c r="K61" s="525"/>
      <c r="L61" s="514">
        <f t="shared" si="2"/>
        <v>0</v>
      </c>
      <c r="M61" s="525"/>
      <c r="N61" s="514">
        <f t="shared" si="4"/>
        <v>0</v>
      </c>
      <c r="O61" s="514">
        <f t="shared" si="5"/>
        <v>0</v>
      </c>
      <c r="P61" s="272"/>
    </row>
    <row r="62" spans="2:16">
      <c r="B62" s="195" t="str">
        <f t="shared" si="7"/>
        <v/>
      </c>
      <c r="C62" s="507">
        <f>IF(D11="","-",+C61+1)</f>
        <v>2061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15"/>
        <v>0</v>
      </c>
      <c r="G62" s="526">
        <f t="shared" si="18"/>
        <v>0</v>
      </c>
      <c r="H62" s="491">
        <f t="shared" si="19"/>
        <v>0</v>
      </c>
      <c r="I62" s="511">
        <f t="shared" si="0"/>
        <v>0</v>
      </c>
      <c r="J62" s="511"/>
      <c r="K62" s="525"/>
      <c r="L62" s="514">
        <f t="shared" si="2"/>
        <v>0</v>
      </c>
      <c r="M62" s="525"/>
      <c r="N62" s="514">
        <f t="shared" si="4"/>
        <v>0</v>
      </c>
      <c r="O62" s="514">
        <f t="shared" si="5"/>
        <v>0</v>
      </c>
      <c r="P62" s="272"/>
    </row>
    <row r="63" spans="2:16">
      <c r="B63" s="195" t="str">
        <f t="shared" si="7"/>
        <v/>
      </c>
      <c r="C63" s="507">
        <f>IF(D11="","-",+C62+1)</f>
        <v>2062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15"/>
        <v>0</v>
      </c>
      <c r="G63" s="526">
        <f t="shared" si="18"/>
        <v>0</v>
      </c>
      <c r="H63" s="491">
        <f t="shared" si="19"/>
        <v>0</v>
      </c>
      <c r="I63" s="511">
        <f t="shared" si="0"/>
        <v>0</v>
      </c>
      <c r="J63" s="511"/>
      <c r="K63" s="525"/>
      <c r="L63" s="514">
        <f t="shared" si="2"/>
        <v>0</v>
      </c>
      <c r="M63" s="525"/>
      <c r="N63" s="514">
        <f t="shared" si="4"/>
        <v>0</v>
      </c>
      <c r="O63" s="514">
        <f t="shared" si="5"/>
        <v>0</v>
      </c>
      <c r="P63" s="272"/>
    </row>
    <row r="64" spans="2:16">
      <c r="B64" s="195" t="str">
        <f t="shared" si="7"/>
        <v/>
      </c>
      <c r="C64" s="507">
        <f>IF(D11="","-",+C63+1)</f>
        <v>2063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15"/>
        <v>0</v>
      </c>
      <c r="G64" s="526">
        <f t="shared" si="18"/>
        <v>0</v>
      </c>
      <c r="H64" s="491">
        <f t="shared" si="19"/>
        <v>0</v>
      </c>
      <c r="I64" s="511">
        <f t="shared" si="0"/>
        <v>0</v>
      </c>
      <c r="J64" s="511"/>
      <c r="K64" s="525"/>
      <c r="L64" s="514">
        <f t="shared" si="2"/>
        <v>0</v>
      </c>
      <c r="M64" s="525"/>
      <c r="N64" s="514">
        <f t="shared" si="4"/>
        <v>0</v>
      </c>
      <c r="O64" s="514">
        <f t="shared" si="5"/>
        <v>0</v>
      </c>
      <c r="P64" s="272"/>
    </row>
    <row r="65" spans="2:16">
      <c r="B65" s="195" t="str">
        <f t="shared" si="7"/>
        <v/>
      </c>
      <c r="C65" s="507">
        <f>IF(D11="","-",+C64+1)</f>
        <v>2064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15"/>
        <v>0</v>
      </c>
      <c r="G65" s="526">
        <f t="shared" si="18"/>
        <v>0</v>
      </c>
      <c r="H65" s="491">
        <f t="shared" si="19"/>
        <v>0</v>
      </c>
      <c r="I65" s="511">
        <f t="shared" si="0"/>
        <v>0</v>
      </c>
      <c r="J65" s="511"/>
      <c r="K65" s="525"/>
      <c r="L65" s="514">
        <f t="shared" si="2"/>
        <v>0</v>
      </c>
      <c r="M65" s="525"/>
      <c r="N65" s="514">
        <f t="shared" si="4"/>
        <v>0</v>
      </c>
      <c r="O65" s="514">
        <f t="shared" si="5"/>
        <v>0</v>
      </c>
      <c r="P65" s="272"/>
    </row>
    <row r="66" spans="2:16">
      <c r="B66" s="195" t="str">
        <f t="shared" si="7"/>
        <v/>
      </c>
      <c r="C66" s="507">
        <f>IF(D11="","-",+C65+1)</f>
        <v>2065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15"/>
        <v>0</v>
      </c>
      <c r="G66" s="526">
        <f t="shared" si="18"/>
        <v>0</v>
      </c>
      <c r="H66" s="491">
        <f t="shared" si="19"/>
        <v>0</v>
      </c>
      <c r="I66" s="511">
        <f t="shared" si="0"/>
        <v>0</v>
      </c>
      <c r="J66" s="511"/>
      <c r="K66" s="525"/>
      <c r="L66" s="514">
        <f t="shared" si="2"/>
        <v>0</v>
      </c>
      <c r="M66" s="525"/>
      <c r="N66" s="514">
        <f t="shared" si="4"/>
        <v>0</v>
      </c>
      <c r="O66" s="514">
        <f t="shared" si="5"/>
        <v>0</v>
      </c>
      <c r="P66" s="272"/>
    </row>
    <row r="67" spans="2:16">
      <c r="B67" s="195" t="str">
        <f t="shared" si="7"/>
        <v/>
      </c>
      <c r="C67" s="507">
        <f>IF(D11="","-",+C66+1)</f>
        <v>2066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15"/>
        <v>0</v>
      </c>
      <c r="G67" s="526">
        <f t="shared" si="18"/>
        <v>0</v>
      </c>
      <c r="H67" s="491">
        <f t="shared" si="19"/>
        <v>0</v>
      </c>
      <c r="I67" s="511">
        <f t="shared" si="0"/>
        <v>0</v>
      </c>
      <c r="J67" s="511"/>
      <c r="K67" s="525"/>
      <c r="L67" s="514">
        <f t="shared" si="2"/>
        <v>0</v>
      </c>
      <c r="M67" s="525"/>
      <c r="N67" s="514">
        <f t="shared" si="4"/>
        <v>0</v>
      </c>
      <c r="O67" s="514">
        <f t="shared" si="5"/>
        <v>0</v>
      </c>
      <c r="P67" s="272"/>
    </row>
    <row r="68" spans="2:16">
      <c r="B68" s="195" t="str">
        <f t="shared" si="7"/>
        <v/>
      </c>
      <c r="C68" s="507">
        <f>IF(D11="","-",+C67+1)</f>
        <v>2067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15"/>
        <v>0</v>
      </c>
      <c r="G68" s="526">
        <f t="shared" si="18"/>
        <v>0</v>
      </c>
      <c r="H68" s="491">
        <f t="shared" si="19"/>
        <v>0</v>
      </c>
      <c r="I68" s="511">
        <f t="shared" si="0"/>
        <v>0</v>
      </c>
      <c r="J68" s="511"/>
      <c r="K68" s="525"/>
      <c r="L68" s="514">
        <f t="shared" si="2"/>
        <v>0</v>
      </c>
      <c r="M68" s="525"/>
      <c r="N68" s="514">
        <f t="shared" si="4"/>
        <v>0</v>
      </c>
      <c r="O68" s="514">
        <f t="shared" si="5"/>
        <v>0</v>
      </c>
      <c r="P68" s="272"/>
    </row>
    <row r="69" spans="2:16">
      <c r="B69" s="195" t="str">
        <f t="shared" si="7"/>
        <v/>
      </c>
      <c r="C69" s="507">
        <f>IF(D11="","-",+C68+1)</f>
        <v>2068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15"/>
        <v>0</v>
      </c>
      <c r="G69" s="526">
        <f t="shared" si="18"/>
        <v>0</v>
      </c>
      <c r="H69" s="491">
        <f t="shared" si="19"/>
        <v>0</v>
      </c>
      <c r="I69" s="511">
        <f t="shared" si="0"/>
        <v>0</v>
      </c>
      <c r="J69" s="511"/>
      <c r="K69" s="525"/>
      <c r="L69" s="514">
        <f t="shared" si="2"/>
        <v>0</v>
      </c>
      <c r="M69" s="525"/>
      <c r="N69" s="514">
        <f t="shared" si="4"/>
        <v>0</v>
      </c>
      <c r="O69" s="514">
        <f t="shared" si="5"/>
        <v>0</v>
      </c>
      <c r="P69" s="272"/>
    </row>
    <row r="70" spans="2:16">
      <c r="B70" s="195" t="str">
        <f t="shared" si="7"/>
        <v/>
      </c>
      <c r="C70" s="507">
        <f>IF(D11="","-",+C69+1)</f>
        <v>2069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15"/>
        <v>0</v>
      </c>
      <c r="G70" s="526">
        <f t="shared" si="18"/>
        <v>0</v>
      </c>
      <c r="H70" s="491">
        <f t="shared" si="19"/>
        <v>0</v>
      </c>
      <c r="I70" s="511">
        <f t="shared" si="0"/>
        <v>0</v>
      </c>
      <c r="J70" s="511"/>
      <c r="K70" s="525"/>
      <c r="L70" s="514">
        <f t="shared" si="2"/>
        <v>0</v>
      </c>
      <c r="M70" s="525"/>
      <c r="N70" s="514">
        <f t="shared" si="4"/>
        <v>0</v>
      </c>
      <c r="O70" s="514">
        <f t="shared" si="5"/>
        <v>0</v>
      </c>
      <c r="P70" s="272"/>
    </row>
    <row r="71" spans="2:16">
      <c r="B71" s="195" t="str">
        <f t="shared" si="7"/>
        <v/>
      </c>
      <c r="C71" s="507">
        <f>IF(D11="","-",+C70+1)</f>
        <v>2070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15"/>
        <v>0</v>
      </c>
      <c r="G71" s="526">
        <f t="shared" si="18"/>
        <v>0</v>
      </c>
      <c r="H71" s="491">
        <f t="shared" si="19"/>
        <v>0</v>
      </c>
      <c r="I71" s="511">
        <f t="shared" si="0"/>
        <v>0</v>
      </c>
      <c r="J71" s="511"/>
      <c r="K71" s="525"/>
      <c r="L71" s="514">
        <f t="shared" si="2"/>
        <v>0</v>
      </c>
      <c r="M71" s="525"/>
      <c r="N71" s="514">
        <f t="shared" si="4"/>
        <v>0</v>
      </c>
      <c r="O71" s="514">
        <f t="shared" si="5"/>
        <v>0</v>
      </c>
      <c r="P71" s="272"/>
    </row>
    <row r="72" spans="2:16" ht="13.5" thickBot="1">
      <c r="B72" s="195" t="str">
        <f t="shared" si="7"/>
        <v/>
      </c>
      <c r="C72" s="527">
        <f>IF(D11="","-",+C71+1)</f>
        <v>2071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15"/>
        <v>0</v>
      </c>
      <c r="G72" s="530">
        <f t="shared" si="18"/>
        <v>0</v>
      </c>
      <c r="H72" s="471">
        <f t="shared" si="19"/>
        <v>0</v>
      </c>
      <c r="I72" s="531">
        <f t="shared" si="0"/>
        <v>0</v>
      </c>
      <c r="J72" s="511"/>
      <c r="K72" s="532"/>
      <c r="L72" s="533">
        <f t="shared" si="2"/>
        <v>0</v>
      </c>
      <c r="M72" s="532"/>
      <c r="N72" s="533">
        <f t="shared" si="4"/>
        <v>0</v>
      </c>
      <c r="O72" s="533">
        <f t="shared" si="5"/>
        <v>0</v>
      </c>
      <c r="P72" s="272"/>
    </row>
    <row r="73" spans="2:16">
      <c r="C73" s="374" t="s">
        <v>78</v>
      </c>
      <c r="D73" s="375"/>
      <c r="E73" s="375">
        <f>SUM(E17:E72)</f>
        <v>1558180.6100000006</v>
      </c>
      <c r="F73" s="375"/>
      <c r="G73" s="375">
        <f>SUM(G17:G72)</f>
        <v>5649869.2776083006</v>
      </c>
      <c r="H73" s="375">
        <f>SUM(H17:H72)</f>
        <v>5649869.2776083006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2:16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2:16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2:16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2:16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272"/>
      <c r="P77" s="272"/>
    </row>
    <row r="78" spans="2:16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2:16"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  <c r="O79" s="269"/>
      <c r="P79" s="269"/>
    </row>
    <row r="80" spans="2:16" ht="18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6">
      <c r="B81" s="269"/>
      <c r="C81" s="340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6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</row>
    <row r="83" spans="1:16" ht="20.25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451" t="str">
        <f ca="1">P1</f>
        <v>SWEPCO Project 56 of 75</v>
      </c>
    </row>
    <row r="84" spans="1:16" ht="18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538" t="s">
        <v>128</v>
      </c>
    </row>
    <row r="85" spans="1:16" ht="18.7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</row>
    <row r="86" spans="1:16" ht="15.75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2022</v>
      </c>
      <c r="M86" s="541" t="s">
        <v>9</v>
      </c>
      <c r="N86" s="542" t="s">
        <v>159</v>
      </c>
      <c r="O86" s="543" t="s">
        <v>11</v>
      </c>
      <c r="P86" s="269"/>
    </row>
    <row r="87" spans="1:16" ht="1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391</v>
      </c>
      <c r="M87" s="546">
        <f>IF(J92&lt;D11,0,VLOOKUP(J92,C17:O72,9))</f>
        <v>187684.94156484964</v>
      </c>
      <c r="N87" s="546">
        <f>IF(J92&lt;D11,0,VLOOKUP(J92,C17:O72,11))</f>
        <v>187684.94156484964</v>
      </c>
      <c r="O87" s="547">
        <f>+N87-M87</f>
        <v>0</v>
      </c>
      <c r="P87" s="269"/>
    </row>
    <row r="88" spans="1:16" ht="15.7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392</v>
      </c>
      <c r="M88" s="550">
        <f>IF(J92&lt;D11,0,VLOOKUP(J92,C99:P154,6))</f>
        <v>195085.19507269218</v>
      </c>
      <c r="N88" s="550">
        <f>IF(J92&lt;D11,0,VLOOKUP(J92,C99:P154,7))</f>
        <v>195085.19507269218</v>
      </c>
      <c r="O88" s="551">
        <f>+N88-M88</f>
        <v>0</v>
      </c>
      <c r="P88" s="269"/>
    </row>
    <row r="89" spans="1:16" ht="13.5" thickBot="1">
      <c r="C89" s="467" t="s">
        <v>84</v>
      </c>
      <c r="D89" s="552" t="str">
        <f>+D7</f>
        <v>Logansport 138 kv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7400.2535078425426</v>
      </c>
      <c r="N89" s="555">
        <f>+N88-N87</f>
        <v>7400.2535078425426</v>
      </c>
      <c r="O89" s="556">
        <f>+O88-O87</f>
        <v>0</v>
      </c>
      <c r="P89" s="269"/>
    </row>
    <row r="90" spans="1:16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</row>
    <row r="91" spans="1:16" ht="13.5" thickBot="1">
      <c r="A91" s="191"/>
      <c r="C91" s="558" t="s">
        <v>85</v>
      </c>
      <c r="D91" s="559" t="str">
        <f>+D9</f>
        <v>TP2011022</v>
      </c>
      <c r="E91" s="560"/>
      <c r="F91" s="560"/>
      <c r="G91" s="560"/>
      <c r="H91" s="560"/>
      <c r="I91" s="560"/>
      <c r="J91" s="560"/>
      <c r="K91" s="562"/>
      <c r="P91" s="481"/>
    </row>
    <row r="92" spans="1:16">
      <c r="C92" s="486" t="s">
        <v>51</v>
      </c>
      <c r="D92" s="483">
        <v>1558181</v>
      </c>
      <c r="E92" s="340" t="s">
        <v>86</v>
      </c>
      <c r="H92" s="484"/>
      <c r="I92" s="484"/>
      <c r="J92" s="485">
        <f>+'SWE.WS.G.BPU.ATRR.True-up'!M16</f>
        <v>2022</v>
      </c>
      <c r="K92" s="480"/>
      <c r="L92" s="375" t="s">
        <v>87</v>
      </c>
      <c r="P92" s="272"/>
    </row>
    <row r="93" spans="1:16">
      <c r="C93" s="486" t="s">
        <v>54</v>
      </c>
      <c r="D93" s="563">
        <f>IF(D11=I10,"",D11)</f>
        <v>2016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</row>
    <row r="94" spans="1:16">
      <c r="C94" s="486" t="s">
        <v>56</v>
      </c>
      <c r="D94" s="564">
        <f>IF(D11=I10,"",D12)</f>
        <v>9</v>
      </c>
      <c r="E94" s="486" t="s">
        <v>57</v>
      </c>
      <c r="F94" s="484"/>
      <c r="G94" s="484"/>
      <c r="J94" s="490">
        <f>'SWE.WS.G.BPU.ATRR.True-up'!$F$81</f>
        <v>0.11351422637179906</v>
      </c>
      <c r="K94" s="425"/>
      <c r="L94" s="183" t="s">
        <v>88</v>
      </c>
      <c r="P94" s="272"/>
    </row>
    <row r="95" spans="1:16">
      <c r="C95" s="486" t="s">
        <v>59</v>
      </c>
      <c r="D95" s="488">
        <f>'SWE.WS.G.BPU.ATRR.True-up'!F$93</f>
        <v>41</v>
      </c>
      <c r="E95" s="486" t="s">
        <v>60</v>
      </c>
      <c r="F95" s="484"/>
      <c r="G95" s="484"/>
      <c r="J95" s="490">
        <f>IF(H87="",J94,'SWE.WS.G.BPU.ATRR.True-up'!$F$80)</f>
        <v>0.11351422637179906</v>
      </c>
      <c r="K95" s="324"/>
      <c r="L95" s="375" t="s">
        <v>61</v>
      </c>
      <c r="M95" s="324"/>
      <c r="N95" s="324"/>
      <c r="O95" s="324"/>
      <c r="P95" s="272"/>
    </row>
    <row r="96" spans="1:16" ht="13.5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38004.414634146342</v>
      </c>
      <c r="K96" s="375"/>
      <c r="L96" s="375"/>
      <c r="M96" s="375"/>
      <c r="N96" s="375"/>
      <c r="O96" s="375"/>
      <c r="P96" s="272"/>
    </row>
    <row r="97" spans="1:16" ht="38.25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388</v>
      </c>
      <c r="I97" s="495" t="s">
        <v>389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</row>
    <row r="98" spans="1:16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602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</row>
    <row r="99" spans="1:16">
      <c r="C99" s="507">
        <f>IF(D93= "","-",D93)</f>
        <v>2016</v>
      </c>
      <c r="D99" s="649">
        <v>0</v>
      </c>
      <c r="E99" s="650">
        <v>9050.1220930232557</v>
      </c>
      <c r="F99" s="651">
        <v>1547570.8779069767</v>
      </c>
      <c r="G99" s="652">
        <v>773785.43895348837</v>
      </c>
      <c r="H99" s="653">
        <v>107282.1745058736</v>
      </c>
      <c r="I99" s="654">
        <v>107282.1745058736</v>
      </c>
      <c r="J99" s="514">
        <f t="shared" ref="J99:J130" si="20">+I99-H99</f>
        <v>0</v>
      </c>
      <c r="K99" s="514"/>
      <c r="L99" s="512">
        <f t="shared" ref="L99:L104" si="21">+H99</f>
        <v>107282.1745058736</v>
      </c>
      <c r="M99" s="513">
        <f t="shared" ref="M99:M130" si="22">IF(L99&lt;&gt;0,+H99-L99,0)</f>
        <v>0</v>
      </c>
      <c r="N99" s="512">
        <f t="shared" ref="N99:N104" si="23">+I99</f>
        <v>107282.1745058736</v>
      </c>
      <c r="O99" s="513">
        <f t="shared" ref="O99:O130" si="24">IF(N99&lt;&gt;0,+I99-N99,0)</f>
        <v>0</v>
      </c>
      <c r="P99" s="513">
        <f t="shared" ref="P99:P130" si="25">+O99-M99</f>
        <v>0</v>
      </c>
    </row>
    <row r="100" spans="1:16">
      <c r="B100" s="195" t="str">
        <f>IF(D100=F99,"","IU")</f>
        <v>IU</v>
      </c>
      <c r="C100" s="507">
        <f>IF(D93="","-",+C99+1)</f>
        <v>2017</v>
      </c>
      <c r="D100" s="629">
        <v>1549130.8779069767</v>
      </c>
      <c r="E100" s="630">
        <v>37099.547619047618</v>
      </c>
      <c r="F100" s="631">
        <v>1512031.3302879292</v>
      </c>
      <c r="G100" s="631">
        <v>1530581.1040974529</v>
      </c>
      <c r="H100" s="633">
        <v>223021.4654373239</v>
      </c>
      <c r="I100" s="634">
        <v>223021.4654373239</v>
      </c>
      <c r="J100" s="514">
        <f t="shared" si="20"/>
        <v>0</v>
      </c>
      <c r="K100" s="514"/>
      <c r="L100" s="655">
        <f t="shared" si="21"/>
        <v>223021.4654373239</v>
      </c>
      <c r="M100" s="514">
        <f t="shared" si="22"/>
        <v>0</v>
      </c>
      <c r="N100" s="655">
        <f t="shared" si="23"/>
        <v>223021.4654373239</v>
      </c>
      <c r="O100" s="514">
        <f t="shared" si="24"/>
        <v>0</v>
      </c>
      <c r="P100" s="514">
        <f t="shared" si="25"/>
        <v>0</v>
      </c>
    </row>
    <row r="101" spans="1:16">
      <c r="B101" s="195" t="str">
        <f t="shared" ref="B101:B154" si="26">IF(D101=F100,"","IU")</f>
        <v/>
      </c>
      <c r="C101" s="507">
        <f>IF(D93="","-",+C100+1)</f>
        <v>2018</v>
      </c>
      <c r="D101" s="629">
        <v>1512031.3302879292</v>
      </c>
      <c r="E101" s="630">
        <v>37099.547619047618</v>
      </c>
      <c r="F101" s="631">
        <v>1474931.7826688816</v>
      </c>
      <c r="G101" s="631">
        <v>1493481.5564784054</v>
      </c>
      <c r="H101" s="633">
        <v>194818.04882044392</v>
      </c>
      <c r="I101" s="634">
        <v>194818.04882044392</v>
      </c>
      <c r="J101" s="514">
        <f t="shared" si="20"/>
        <v>0</v>
      </c>
      <c r="K101" s="514"/>
      <c r="L101" s="655">
        <f t="shared" si="21"/>
        <v>194818.04882044392</v>
      </c>
      <c r="M101" s="514">
        <f t="shared" ref="M101" si="27">IF(L101&lt;&gt;0,+H101-L101,0)</f>
        <v>0</v>
      </c>
      <c r="N101" s="655">
        <f t="shared" si="23"/>
        <v>194818.04882044392</v>
      </c>
      <c r="O101" s="514">
        <f t="shared" ref="O101" si="28">IF(N101&lt;&gt;0,+I101-N101,0)</f>
        <v>0</v>
      </c>
      <c r="P101" s="514">
        <f t="shared" si="25"/>
        <v>0</v>
      </c>
    </row>
    <row r="102" spans="1:16">
      <c r="B102" s="195" t="str">
        <f t="shared" si="26"/>
        <v/>
      </c>
      <c r="C102" s="507">
        <f>IF(D93="","-",+C101+1)</f>
        <v>2019</v>
      </c>
      <c r="D102" s="629">
        <v>1474931.7826688816</v>
      </c>
      <c r="E102" s="630">
        <v>36236.767441860466</v>
      </c>
      <c r="F102" s="631">
        <v>1438695.0152270212</v>
      </c>
      <c r="G102" s="631">
        <v>1456813.3989479514</v>
      </c>
      <c r="H102" s="633">
        <v>192174.86987504771</v>
      </c>
      <c r="I102" s="634">
        <v>192174.86987504771</v>
      </c>
      <c r="J102" s="514">
        <f t="shared" si="20"/>
        <v>0</v>
      </c>
      <c r="K102" s="514"/>
      <c r="L102" s="655">
        <f t="shared" si="21"/>
        <v>192174.86987504771</v>
      </c>
      <c r="M102" s="514">
        <f t="shared" ref="M102:M103" si="29">IF(L102&lt;&gt;0,+H102-L102,0)</f>
        <v>0</v>
      </c>
      <c r="N102" s="655">
        <f t="shared" si="23"/>
        <v>192174.86987504771</v>
      </c>
      <c r="O102" s="514">
        <f t="shared" si="24"/>
        <v>0</v>
      </c>
      <c r="P102" s="514">
        <f t="shared" si="25"/>
        <v>0</v>
      </c>
    </row>
    <row r="103" spans="1:16">
      <c r="B103" s="195" t="str">
        <f t="shared" si="26"/>
        <v/>
      </c>
      <c r="C103" s="507">
        <f>IF(D93="","-",+C102+1)</f>
        <v>2020</v>
      </c>
      <c r="D103" s="629">
        <v>1438695.0152270212</v>
      </c>
      <c r="E103" s="630">
        <v>37099.547619047618</v>
      </c>
      <c r="F103" s="631">
        <v>1401595.4676079736</v>
      </c>
      <c r="G103" s="631">
        <v>1420145.2414174974</v>
      </c>
      <c r="H103" s="633">
        <v>189870.01394601294</v>
      </c>
      <c r="I103" s="634">
        <v>189870.01394601294</v>
      </c>
      <c r="J103" s="514">
        <f t="shared" si="20"/>
        <v>0</v>
      </c>
      <c r="K103" s="514"/>
      <c r="L103" s="655">
        <f t="shared" si="21"/>
        <v>189870.01394601294</v>
      </c>
      <c r="M103" s="514">
        <f t="shared" si="29"/>
        <v>0</v>
      </c>
      <c r="N103" s="655">
        <f t="shared" si="23"/>
        <v>189870.01394601294</v>
      </c>
      <c r="O103" s="514">
        <f t="shared" si="24"/>
        <v>0</v>
      </c>
      <c r="P103" s="514">
        <f t="shared" si="25"/>
        <v>0</v>
      </c>
    </row>
    <row r="104" spans="1:16">
      <c r="B104" s="195" t="str">
        <f t="shared" si="26"/>
        <v/>
      </c>
      <c r="C104" s="507">
        <f>IF(D93="","-",+C103+1)</f>
        <v>2021</v>
      </c>
      <c r="D104" s="629">
        <v>1401595.4676079736</v>
      </c>
      <c r="E104" s="630">
        <v>38004.414634146342</v>
      </c>
      <c r="F104" s="631">
        <v>1363591.0529738273</v>
      </c>
      <c r="G104" s="631">
        <v>1382593.2602909005</v>
      </c>
      <c r="H104" s="633">
        <v>194948.41896293132</v>
      </c>
      <c r="I104" s="634">
        <v>194948.41896293132</v>
      </c>
      <c r="J104" s="514">
        <f t="shared" si="20"/>
        <v>0</v>
      </c>
      <c r="K104" s="514"/>
      <c r="L104" s="655">
        <f t="shared" si="21"/>
        <v>194948.41896293132</v>
      </c>
      <c r="M104" s="514">
        <f t="shared" ref="M104" si="30">IF(L104&lt;&gt;0,+H104-L104,0)</f>
        <v>0</v>
      </c>
      <c r="N104" s="655">
        <f t="shared" si="23"/>
        <v>194948.41896293132</v>
      </c>
      <c r="O104" s="514">
        <f t="shared" ref="O104" si="31">IF(N104&lt;&gt;0,+I104-N104,0)</f>
        <v>0</v>
      </c>
      <c r="P104" s="514">
        <f t="shared" ref="P104" si="32">+O104-M104</f>
        <v>0</v>
      </c>
    </row>
    <row r="105" spans="1:16">
      <c r="B105" s="195" t="str">
        <f t="shared" si="26"/>
        <v/>
      </c>
      <c r="C105" s="673">
        <f>IF(D93="","-",+C104+1)</f>
        <v>2022</v>
      </c>
      <c r="D105" s="374">
        <v>1363591.0529738273</v>
      </c>
      <c r="E105" s="522">
        <v>37099.547619047618</v>
      </c>
      <c r="F105" s="523">
        <v>1326491.5053547798</v>
      </c>
      <c r="G105" s="523">
        <v>1345041.2791643036</v>
      </c>
      <c r="H105" s="526">
        <v>195085.19507269218</v>
      </c>
      <c r="I105" s="577">
        <v>195085.19507269218</v>
      </c>
      <c r="J105" s="514">
        <f t="shared" si="20"/>
        <v>0</v>
      </c>
      <c r="K105" s="514"/>
      <c r="L105" s="525"/>
      <c r="M105" s="514">
        <f t="shared" si="22"/>
        <v>0</v>
      </c>
      <c r="N105" s="525"/>
      <c r="O105" s="514">
        <f t="shared" si="24"/>
        <v>0</v>
      </c>
      <c r="P105" s="514">
        <f t="shared" si="25"/>
        <v>0</v>
      </c>
    </row>
    <row r="106" spans="1:16">
      <c r="B106" s="195" t="str">
        <f t="shared" si="26"/>
        <v/>
      </c>
      <c r="C106" s="507">
        <f>IF(D93="","-",+C105+1)</f>
        <v>2023</v>
      </c>
      <c r="D106" s="374">
        <f>IF(F105+SUM(E$99:E105)=D$92,F105,D$92-SUM(E$99:E105))</f>
        <v>1326491.5053547798</v>
      </c>
      <c r="E106" s="522">
        <f>IF(+J96&lt;F105,J96,D106)</f>
        <v>38004.414634146342</v>
      </c>
      <c r="F106" s="523">
        <f t="shared" ref="F106:F130" si="33">+D106-E106</f>
        <v>1288487.0907206335</v>
      </c>
      <c r="G106" s="523">
        <f t="shared" ref="G106:G130" si="34">+(F106+D106)/2</f>
        <v>1307489.2980377066</v>
      </c>
      <c r="H106" s="526">
        <f t="shared" ref="H106:H154" si="35">+J$94*G106+E106</f>
        <v>186423.05079030324</v>
      </c>
      <c r="I106" s="577">
        <f t="shared" ref="I106:I154" si="36">+J$95*G106+E106</f>
        <v>186423.05079030324</v>
      </c>
      <c r="J106" s="514">
        <f t="shared" si="20"/>
        <v>0</v>
      </c>
      <c r="K106" s="514"/>
      <c r="L106" s="525"/>
      <c r="M106" s="514">
        <f t="shared" si="22"/>
        <v>0</v>
      </c>
      <c r="N106" s="525"/>
      <c r="O106" s="514">
        <f t="shared" si="24"/>
        <v>0</v>
      </c>
      <c r="P106" s="514">
        <f t="shared" si="25"/>
        <v>0</v>
      </c>
    </row>
    <row r="107" spans="1:16">
      <c r="B107" s="195" t="str">
        <f t="shared" si="26"/>
        <v/>
      </c>
      <c r="C107" s="507">
        <f>IF(D93="","-",+C106+1)</f>
        <v>2024</v>
      </c>
      <c r="D107" s="374">
        <f>IF(F106+SUM(E$99:E106)=D$92,F106,D$92-SUM(E$99:E106))</f>
        <v>1288487.0907206335</v>
      </c>
      <c r="E107" s="522">
        <f>IF(+J96&lt;F106,J96,D107)</f>
        <v>38004.414634146342</v>
      </c>
      <c r="F107" s="523">
        <f t="shared" si="33"/>
        <v>1250482.6760864872</v>
      </c>
      <c r="G107" s="523">
        <f t="shared" si="34"/>
        <v>1269484.8834035604</v>
      </c>
      <c r="H107" s="526">
        <f t="shared" si="35"/>
        <v>182109.00906439504</v>
      </c>
      <c r="I107" s="577">
        <f t="shared" si="36"/>
        <v>182109.00906439504</v>
      </c>
      <c r="J107" s="514">
        <f t="shared" si="20"/>
        <v>0</v>
      </c>
      <c r="K107" s="514"/>
      <c r="L107" s="525"/>
      <c r="M107" s="514">
        <f t="shared" si="22"/>
        <v>0</v>
      </c>
      <c r="N107" s="525"/>
      <c r="O107" s="514">
        <f t="shared" si="24"/>
        <v>0</v>
      </c>
      <c r="P107" s="514">
        <f t="shared" si="25"/>
        <v>0</v>
      </c>
    </row>
    <row r="108" spans="1:16">
      <c r="B108" s="195" t="str">
        <f t="shared" si="26"/>
        <v/>
      </c>
      <c r="C108" s="507">
        <f>IF(D93="","-",+C107+1)</f>
        <v>2025</v>
      </c>
      <c r="D108" s="374">
        <f>IF(F107+SUM(E$99:E107)=D$92,F107,D$92-SUM(E$99:E107))</f>
        <v>1250482.6760864872</v>
      </c>
      <c r="E108" s="522">
        <f>IF(+J96&lt;F107,J96,D108)</f>
        <v>38004.414634146342</v>
      </c>
      <c r="F108" s="523">
        <f t="shared" si="33"/>
        <v>1212478.261452341</v>
      </c>
      <c r="G108" s="523">
        <f t="shared" si="34"/>
        <v>1231480.4687694141</v>
      </c>
      <c r="H108" s="526">
        <f t="shared" si="35"/>
        <v>177794.96733848684</v>
      </c>
      <c r="I108" s="577">
        <f t="shared" si="36"/>
        <v>177794.96733848684</v>
      </c>
      <c r="J108" s="514">
        <f t="shared" si="20"/>
        <v>0</v>
      </c>
      <c r="K108" s="514"/>
      <c r="L108" s="525"/>
      <c r="M108" s="514">
        <f t="shared" si="22"/>
        <v>0</v>
      </c>
      <c r="N108" s="525"/>
      <c r="O108" s="514">
        <f t="shared" si="24"/>
        <v>0</v>
      </c>
      <c r="P108" s="514">
        <f t="shared" si="25"/>
        <v>0</v>
      </c>
    </row>
    <row r="109" spans="1:16">
      <c r="B109" s="195" t="str">
        <f t="shared" si="26"/>
        <v/>
      </c>
      <c r="C109" s="507">
        <f>IF(D93="","-",+C108+1)</f>
        <v>2026</v>
      </c>
      <c r="D109" s="374">
        <f>IF(F108+SUM(E$99:E108)=D$92,F108,D$92-SUM(E$99:E108))</f>
        <v>1212478.261452341</v>
      </c>
      <c r="E109" s="522">
        <f>IF(+J96&lt;F108,J96,D109)</f>
        <v>38004.414634146342</v>
      </c>
      <c r="F109" s="523">
        <f t="shared" si="33"/>
        <v>1174473.8468181947</v>
      </c>
      <c r="G109" s="523">
        <f t="shared" si="34"/>
        <v>1193476.0541352679</v>
      </c>
      <c r="H109" s="526">
        <f t="shared" si="35"/>
        <v>173480.92561257866</v>
      </c>
      <c r="I109" s="577">
        <f t="shared" si="36"/>
        <v>173480.92561257866</v>
      </c>
      <c r="J109" s="514">
        <f t="shared" si="20"/>
        <v>0</v>
      </c>
      <c r="K109" s="514"/>
      <c r="L109" s="525"/>
      <c r="M109" s="514">
        <f t="shared" si="22"/>
        <v>0</v>
      </c>
      <c r="N109" s="525"/>
      <c r="O109" s="514">
        <f t="shared" si="24"/>
        <v>0</v>
      </c>
      <c r="P109" s="514">
        <f t="shared" si="25"/>
        <v>0</v>
      </c>
    </row>
    <row r="110" spans="1:16">
      <c r="B110" s="195" t="str">
        <f t="shared" si="26"/>
        <v/>
      </c>
      <c r="C110" s="507">
        <f>IF(D93="","-",+C109+1)</f>
        <v>2027</v>
      </c>
      <c r="D110" s="374">
        <f>IF(F109+SUM(E$99:E109)=D$92,F109,D$92-SUM(E$99:E109))</f>
        <v>1174473.8468181947</v>
      </c>
      <c r="E110" s="522">
        <f>IF(+J96&lt;F109,J96,D110)</f>
        <v>38004.414634146342</v>
      </c>
      <c r="F110" s="523">
        <f t="shared" si="33"/>
        <v>1136469.4321840485</v>
      </c>
      <c r="G110" s="523">
        <f t="shared" si="34"/>
        <v>1155471.6395011216</v>
      </c>
      <c r="H110" s="526">
        <f t="shared" si="35"/>
        <v>169166.88388667046</v>
      </c>
      <c r="I110" s="577">
        <f t="shared" si="36"/>
        <v>169166.88388667046</v>
      </c>
      <c r="J110" s="514">
        <f t="shared" si="20"/>
        <v>0</v>
      </c>
      <c r="K110" s="514"/>
      <c r="L110" s="525"/>
      <c r="M110" s="514">
        <f t="shared" si="22"/>
        <v>0</v>
      </c>
      <c r="N110" s="525"/>
      <c r="O110" s="514">
        <f t="shared" si="24"/>
        <v>0</v>
      </c>
      <c r="P110" s="514">
        <f t="shared" si="25"/>
        <v>0</v>
      </c>
    </row>
    <row r="111" spans="1:16">
      <c r="B111" s="195" t="str">
        <f t="shared" si="26"/>
        <v/>
      </c>
      <c r="C111" s="507">
        <f>IF(D93="","-",+C110+1)</f>
        <v>2028</v>
      </c>
      <c r="D111" s="374">
        <f>IF(F110+SUM(E$99:E110)=D$92,F110,D$92-SUM(E$99:E110))</f>
        <v>1136469.4321840485</v>
      </c>
      <c r="E111" s="522">
        <f>IF(+J96&lt;F110,J96,D111)</f>
        <v>38004.414634146342</v>
      </c>
      <c r="F111" s="523">
        <f t="shared" si="33"/>
        <v>1098465.0175499022</v>
      </c>
      <c r="G111" s="523">
        <f t="shared" si="34"/>
        <v>1117467.2248669753</v>
      </c>
      <c r="H111" s="526">
        <f t="shared" si="35"/>
        <v>164852.84216076226</v>
      </c>
      <c r="I111" s="577">
        <f t="shared" si="36"/>
        <v>164852.84216076226</v>
      </c>
      <c r="J111" s="514">
        <f t="shared" si="20"/>
        <v>0</v>
      </c>
      <c r="K111" s="514"/>
      <c r="L111" s="525"/>
      <c r="M111" s="514">
        <f t="shared" si="22"/>
        <v>0</v>
      </c>
      <c r="N111" s="525"/>
      <c r="O111" s="514">
        <f t="shared" si="24"/>
        <v>0</v>
      </c>
      <c r="P111" s="514">
        <f t="shared" si="25"/>
        <v>0</v>
      </c>
    </row>
    <row r="112" spans="1:16">
      <c r="B112" s="195" t="str">
        <f t="shared" si="26"/>
        <v/>
      </c>
      <c r="C112" s="507">
        <f>IF(D93="","-",+C111+1)</f>
        <v>2029</v>
      </c>
      <c r="D112" s="374">
        <f>IF(F111+SUM(E$99:E111)=D$92,F111,D$92-SUM(E$99:E111))</f>
        <v>1098465.0175499022</v>
      </c>
      <c r="E112" s="522">
        <f>IF(+J96&lt;F111,J96,D112)</f>
        <v>38004.414634146342</v>
      </c>
      <c r="F112" s="523">
        <f t="shared" si="33"/>
        <v>1060460.6029157559</v>
      </c>
      <c r="G112" s="523">
        <f t="shared" si="34"/>
        <v>1079462.8102328291</v>
      </c>
      <c r="H112" s="526">
        <f t="shared" si="35"/>
        <v>160538.80043485409</v>
      </c>
      <c r="I112" s="577">
        <f t="shared" si="36"/>
        <v>160538.80043485409</v>
      </c>
      <c r="J112" s="514">
        <f t="shared" si="20"/>
        <v>0</v>
      </c>
      <c r="K112" s="514"/>
      <c r="L112" s="525"/>
      <c r="M112" s="514">
        <f t="shared" si="22"/>
        <v>0</v>
      </c>
      <c r="N112" s="525"/>
      <c r="O112" s="514">
        <f t="shared" si="24"/>
        <v>0</v>
      </c>
      <c r="P112" s="514">
        <f t="shared" si="25"/>
        <v>0</v>
      </c>
    </row>
    <row r="113" spans="2:16">
      <c r="B113" s="195" t="str">
        <f t="shared" si="26"/>
        <v/>
      </c>
      <c r="C113" s="507">
        <f>IF(D93="","-",+C112+1)</f>
        <v>2030</v>
      </c>
      <c r="D113" s="374">
        <f>IF(F112+SUM(E$99:E112)=D$92,F112,D$92-SUM(E$99:E112))</f>
        <v>1060460.6029157559</v>
      </c>
      <c r="E113" s="522">
        <f>IF(+J96&lt;F112,J96,D113)</f>
        <v>38004.414634146342</v>
      </c>
      <c r="F113" s="523">
        <f t="shared" si="33"/>
        <v>1022456.1882816096</v>
      </c>
      <c r="G113" s="523">
        <f t="shared" si="34"/>
        <v>1041458.3955986828</v>
      </c>
      <c r="H113" s="526">
        <f t="shared" si="35"/>
        <v>156224.75870894588</v>
      </c>
      <c r="I113" s="577">
        <f t="shared" si="36"/>
        <v>156224.75870894588</v>
      </c>
      <c r="J113" s="514">
        <f t="shared" si="20"/>
        <v>0</v>
      </c>
      <c r="K113" s="514"/>
      <c r="L113" s="525"/>
      <c r="M113" s="514">
        <f t="shared" si="22"/>
        <v>0</v>
      </c>
      <c r="N113" s="525"/>
      <c r="O113" s="514">
        <f t="shared" si="24"/>
        <v>0</v>
      </c>
      <c r="P113" s="514">
        <f t="shared" si="25"/>
        <v>0</v>
      </c>
    </row>
    <row r="114" spans="2:16">
      <c r="B114" s="195" t="str">
        <f t="shared" si="26"/>
        <v/>
      </c>
      <c r="C114" s="507">
        <f>IF(D93="","-",+C113+1)</f>
        <v>2031</v>
      </c>
      <c r="D114" s="374">
        <f>IF(F113+SUM(E$99:E113)=D$92,F113,D$92-SUM(E$99:E113))</f>
        <v>1022456.1882816096</v>
      </c>
      <c r="E114" s="522">
        <f>IF(+J96&lt;F113,J96,D114)</f>
        <v>38004.414634146342</v>
      </c>
      <c r="F114" s="523">
        <f t="shared" si="33"/>
        <v>984451.77364746318</v>
      </c>
      <c r="G114" s="523">
        <f t="shared" si="34"/>
        <v>1003453.9809645363</v>
      </c>
      <c r="H114" s="526">
        <f t="shared" si="35"/>
        <v>151910.71698303765</v>
      </c>
      <c r="I114" s="577">
        <f t="shared" si="36"/>
        <v>151910.71698303765</v>
      </c>
      <c r="J114" s="514">
        <f t="shared" si="20"/>
        <v>0</v>
      </c>
      <c r="K114" s="514"/>
      <c r="L114" s="525"/>
      <c r="M114" s="514">
        <f t="shared" si="22"/>
        <v>0</v>
      </c>
      <c r="N114" s="525"/>
      <c r="O114" s="514">
        <f t="shared" si="24"/>
        <v>0</v>
      </c>
      <c r="P114" s="514">
        <f t="shared" si="25"/>
        <v>0</v>
      </c>
    </row>
    <row r="115" spans="2:16">
      <c r="B115" s="195" t="str">
        <f t="shared" si="26"/>
        <v/>
      </c>
      <c r="C115" s="507">
        <f>IF(D93="","-",+C114+1)</f>
        <v>2032</v>
      </c>
      <c r="D115" s="374">
        <f>IF(F114+SUM(E$99:E114)=D$92,F114,D$92-SUM(E$99:E114))</f>
        <v>984451.77364746318</v>
      </c>
      <c r="E115" s="522">
        <f>IF(+J96&lt;F114,J96,D115)</f>
        <v>38004.414634146342</v>
      </c>
      <c r="F115" s="523">
        <f t="shared" si="33"/>
        <v>946447.3590133168</v>
      </c>
      <c r="G115" s="523">
        <f t="shared" si="34"/>
        <v>965449.56633039005</v>
      </c>
      <c r="H115" s="526">
        <f t="shared" si="35"/>
        <v>147596.67525712948</v>
      </c>
      <c r="I115" s="577">
        <f t="shared" si="36"/>
        <v>147596.67525712948</v>
      </c>
      <c r="J115" s="514">
        <f t="shared" si="20"/>
        <v>0</v>
      </c>
      <c r="K115" s="514"/>
      <c r="L115" s="525"/>
      <c r="M115" s="514">
        <f t="shared" si="22"/>
        <v>0</v>
      </c>
      <c r="N115" s="525"/>
      <c r="O115" s="514">
        <f t="shared" si="24"/>
        <v>0</v>
      </c>
      <c r="P115" s="514">
        <f t="shared" si="25"/>
        <v>0</v>
      </c>
    </row>
    <row r="116" spans="2:16">
      <c r="B116" s="195" t="str">
        <f t="shared" si="26"/>
        <v/>
      </c>
      <c r="C116" s="507">
        <f>IF(D93="","-",+C115+1)</f>
        <v>2033</v>
      </c>
      <c r="D116" s="374">
        <f>IF(F115+SUM(E$99:E115)=D$92,F115,D$92-SUM(E$99:E115))</f>
        <v>946447.3590133168</v>
      </c>
      <c r="E116" s="522">
        <f>IF(+J96&lt;F115,J96,D116)</f>
        <v>38004.414634146342</v>
      </c>
      <c r="F116" s="523">
        <f t="shared" si="33"/>
        <v>908442.94437917043</v>
      </c>
      <c r="G116" s="523">
        <f t="shared" si="34"/>
        <v>927445.15169624356</v>
      </c>
      <c r="H116" s="526">
        <f t="shared" si="35"/>
        <v>143282.63353122125</v>
      </c>
      <c r="I116" s="577">
        <f t="shared" si="36"/>
        <v>143282.63353122125</v>
      </c>
      <c r="J116" s="514">
        <f t="shared" si="20"/>
        <v>0</v>
      </c>
      <c r="K116" s="514"/>
      <c r="L116" s="525"/>
      <c r="M116" s="514">
        <f t="shared" si="22"/>
        <v>0</v>
      </c>
      <c r="N116" s="525"/>
      <c r="O116" s="514">
        <f t="shared" si="24"/>
        <v>0</v>
      </c>
      <c r="P116" s="514">
        <f t="shared" si="25"/>
        <v>0</v>
      </c>
    </row>
    <row r="117" spans="2:16">
      <c r="B117" s="195" t="str">
        <f t="shared" si="26"/>
        <v/>
      </c>
      <c r="C117" s="507">
        <f>IF(D93="","-",+C116+1)</f>
        <v>2034</v>
      </c>
      <c r="D117" s="374">
        <f>IF(F116+SUM(E$99:E116)=D$92,F116,D$92-SUM(E$99:E116))</f>
        <v>908442.94437917043</v>
      </c>
      <c r="E117" s="522">
        <f>IF(+J96&lt;F116,J96,D117)</f>
        <v>38004.414634146342</v>
      </c>
      <c r="F117" s="523">
        <f t="shared" si="33"/>
        <v>870438.52974502405</v>
      </c>
      <c r="G117" s="523">
        <f t="shared" si="34"/>
        <v>889440.73706209729</v>
      </c>
      <c r="H117" s="526">
        <f t="shared" si="35"/>
        <v>138968.59180531307</v>
      </c>
      <c r="I117" s="577">
        <f t="shared" si="36"/>
        <v>138968.59180531307</v>
      </c>
      <c r="J117" s="514">
        <f t="shared" si="20"/>
        <v>0</v>
      </c>
      <c r="K117" s="514"/>
      <c r="L117" s="525"/>
      <c r="M117" s="514">
        <f t="shared" si="22"/>
        <v>0</v>
      </c>
      <c r="N117" s="525"/>
      <c r="O117" s="514">
        <f t="shared" si="24"/>
        <v>0</v>
      </c>
      <c r="P117" s="514">
        <f t="shared" si="25"/>
        <v>0</v>
      </c>
    </row>
    <row r="118" spans="2:16">
      <c r="B118" s="195" t="str">
        <f t="shared" si="26"/>
        <v/>
      </c>
      <c r="C118" s="507">
        <f>IF(D93="","-",+C117+1)</f>
        <v>2035</v>
      </c>
      <c r="D118" s="374">
        <f>IF(F117+SUM(E$99:E117)=D$92,F117,D$92-SUM(E$99:E117))</f>
        <v>870438.52974502405</v>
      </c>
      <c r="E118" s="522">
        <f>IF(+J96&lt;F117,J96,D118)</f>
        <v>38004.414634146342</v>
      </c>
      <c r="F118" s="523">
        <f t="shared" si="33"/>
        <v>832434.11511087767</v>
      </c>
      <c r="G118" s="523">
        <f t="shared" si="34"/>
        <v>851436.3224279508</v>
      </c>
      <c r="H118" s="526">
        <f t="shared" si="35"/>
        <v>134654.55007940484</v>
      </c>
      <c r="I118" s="577">
        <f t="shared" si="36"/>
        <v>134654.55007940484</v>
      </c>
      <c r="J118" s="514">
        <f t="shared" si="20"/>
        <v>0</v>
      </c>
      <c r="K118" s="514"/>
      <c r="L118" s="525"/>
      <c r="M118" s="514">
        <f t="shared" si="22"/>
        <v>0</v>
      </c>
      <c r="N118" s="525"/>
      <c r="O118" s="514">
        <f t="shared" si="24"/>
        <v>0</v>
      </c>
      <c r="P118" s="514">
        <f t="shared" si="25"/>
        <v>0</v>
      </c>
    </row>
    <row r="119" spans="2:16">
      <c r="B119" s="195" t="str">
        <f t="shared" si="26"/>
        <v/>
      </c>
      <c r="C119" s="507">
        <f>IF(D93="","-",+C118+1)</f>
        <v>2036</v>
      </c>
      <c r="D119" s="374">
        <f>IF(F118+SUM(E$99:E118)=D$92,F118,D$92-SUM(E$99:E118))</f>
        <v>832434.11511087767</v>
      </c>
      <c r="E119" s="522">
        <f>IF(+J96&lt;F118,J96,D119)</f>
        <v>38004.414634146342</v>
      </c>
      <c r="F119" s="523">
        <f t="shared" si="33"/>
        <v>794429.70047673129</v>
      </c>
      <c r="G119" s="523">
        <f t="shared" si="34"/>
        <v>813431.90779380454</v>
      </c>
      <c r="H119" s="526">
        <f t="shared" si="35"/>
        <v>130340.50835349664</v>
      </c>
      <c r="I119" s="577">
        <f t="shared" si="36"/>
        <v>130340.50835349664</v>
      </c>
      <c r="J119" s="514">
        <f t="shared" si="20"/>
        <v>0</v>
      </c>
      <c r="K119" s="514"/>
      <c r="L119" s="525"/>
      <c r="M119" s="514">
        <f t="shared" si="22"/>
        <v>0</v>
      </c>
      <c r="N119" s="525"/>
      <c r="O119" s="514">
        <f t="shared" si="24"/>
        <v>0</v>
      </c>
      <c r="P119" s="514">
        <f t="shared" si="25"/>
        <v>0</v>
      </c>
    </row>
    <row r="120" spans="2:16">
      <c r="B120" s="195" t="str">
        <f t="shared" si="26"/>
        <v/>
      </c>
      <c r="C120" s="507">
        <f>IF(D93="","-",+C119+1)</f>
        <v>2037</v>
      </c>
      <c r="D120" s="374">
        <f>IF(F119+SUM(E$99:E119)=D$92,F119,D$92-SUM(E$99:E119))</f>
        <v>794429.70047673129</v>
      </c>
      <c r="E120" s="522">
        <f>IF(+J96&lt;F119,J96,D120)</f>
        <v>38004.414634146342</v>
      </c>
      <c r="F120" s="523">
        <f t="shared" si="33"/>
        <v>756425.28584258491</v>
      </c>
      <c r="G120" s="523">
        <f t="shared" si="34"/>
        <v>775427.49315965804</v>
      </c>
      <c r="H120" s="526">
        <f t="shared" si="35"/>
        <v>126026.46662758844</v>
      </c>
      <c r="I120" s="577">
        <f t="shared" si="36"/>
        <v>126026.46662758844</v>
      </c>
      <c r="J120" s="514">
        <f t="shared" si="20"/>
        <v>0</v>
      </c>
      <c r="K120" s="514"/>
      <c r="L120" s="525"/>
      <c r="M120" s="514">
        <f t="shared" si="22"/>
        <v>0</v>
      </c>
      <c r="N120" s="525"/>
      <c r="O120" s="514">
        <f t="shared" si="24"/>
        <v>0</v>
      </c>
      <c r="P120" s="514">
        <f t="shared" si="25"/>
        <v>0</v>
      </c>
    </row>
    <row r="121" spans="2:16">
      <c r="B121" s="195" t="str">
        <f t="shared" si="26"/>
        <v/>
      </c>
      <c r="C121" s="507">
        <f>IF(D93="","-",+C120+1)</f>
        <v>2038</v>
      </c>
      <c r="D121" s="374">
        <f>IF(F120+SUM(E$99:E120)=D$92,F120,D$92-SUM(E$99:E120))</f>
        <v>756425.28584258491</v>
      </c>
      <c r="E121" s="522">
        <f>IF(+J96&lt;F120,J96,D121)</f>
        <v>38004.414634146342</v>
      </c>
      <c r="F121" s="523">
        <f t="shared" si="33"/>
        <v>718420.87120843853</v>
      </c>
      <c r="G121" s="523">
        <f t="shared" si="34"/>
        <v>737423.07852551178</v>
      </c>
      <c r="H121" s="526">
        <f t="shared" si="35"/>
        <v>121712.42490168024</v>
      </c>
      <c r="I121" s="577">
        <f t="shared" si="36"/>
        <v>121712.42490168024</v>
      </c>
      <c r="J121" s="514">
        <f t="shared" si="20"/>
        <v>0</v>
      </c>
      <c r="K121" s="514"/>
      <c r="L121" s="525"/>
      <c r="M121" s="514">
        <f t="shared" si="22"/>
        <v>0</v>
      </c>
      <c r="N121" s="525"/>
      <c r="O121" s="514">
        <f t="shared" si="24"/>
        <v>0</v>
      </c>
      <c r="P121" s="514">
        <f t="shared" si="25"/>
        <v>0</v>
      </c>
    </row>
    <row r="122" spans="2:16">
      <c r="B122" s="195" t="str">
        <f t="shared" si="26"/>
        <v/>
      </c>
      <c r="C122" s="507">
        <f>IF(D93="","-",+C121+1)</f>
        <v>2039</v>
      </c>
      <c r="D122" s="374">
        <f>IF(F121+SUM(E$99:E121)=D$92,F121,D$92-SUM(E$99:E121))</f>
        <v>718420.87120843853</v>
      </c>
      <c r="E122" s="522">
        <f>IF(+J96&lt;F121,J96,D122)</f>
        <v>38004.414634146342</v>
      </c>
      <c r="F122" s="523">
        <f t="shared" si="33"/>
        <v>680416.45657429215</v>
      </c>
      <c r="G122" s="523">
        <f t="shared" si="34"/>
        <v>699418.66389136529</v>
      </c>
      <c r="H122" s="526">
        <f t="shared" si="35"/>
        <v>117398.38317577203</v>
      </c>
      <c r="I122" s="577">
        <f t="shared" si="36"/>
        <v>117398.38317577203</v>
      </c>
      <c r="J122" s="514">
        <f t="shared" si="20"/>
        <v>0</v>
      </c>
      <c r="K122" s="514"/>
      <c r="L122" s="525"/>
      <c r="M122" s="514">
        <f t="shared" si="22"/>
        <v>0</v>
      </c>
      <c r="N122" s="525"/>
      <c r="O122" s="514">
        <f t="shared" si="24"/>
        <v>0</v>
      </c>
      <c r="P122" s="514">
        <f t="shared" si="25"/>
        <v>0</v>
      </c>
    </row>
    <row r="123" spans="2:16">
      <c r="B123" s="195" t="str">
        <f t="shared" si="26"/>
        <v/>
      </c>
      <c r="C123" s="507">
        <f>IF(D93="","-",+C122+1)</f>
        <v>2040</v>
      </c>
      <c r="D123" s="374">
        <f>IF(F122+SUM(E$99:E122)=D$92,F122,D$92-SUM(E$99:E122))</f>
        <v>680416.45657429215</v>
      </c>
      <c r="E123" s="522">
        <f>IF(+J96&lt;F122,J96,D123)</f>
        <v>38004.414634146342</v>
      </c>
      <c r="F123" s="523">
        <f t="shared" si="33"/>
        <v>642412.04194014578</v>
      </c>
      <c r="G123" s="523">
        <f t="shared" si="34"/>
        <v>661414.24925721902</v>
      </c>
      <c r="H123" s="526">
        <f t="shared" si="35"/>
        <v>113084.34144986383</v>
      </c>
      <c r="I123" s="577">
        <f t="shared" si="36"/>
        <v>113084.34144986383</v>
      </c>
      <c r="J123" s="514">
        <f t="shared" si="20"/>
        <v>0</v>
      </c>
      <c r="K123" s="514"/>
      <c r="L123" s="525"/>
      <c r="M123" s="514">
        <f t="shared" si="22"/>
        <v>0</v>
      </c>
      <c r="N123" s="525"/>
      <c r="O123" s="514">
        <f t="shared" si="24"/>
        <v>0</v>
      </c>
      <c r="P123" s="514">
        <f t="shared" si="25"/>
        <v>0</v>
      </c>
    </row>
    <row r="124" spans="2:16">
      <c r="B124" s="195" t="str">
        <f t="shared" si="26"/>
        <v/>
      </c>
      <c r="C124" s="507">
        <f>IF(D93="","-",+C123+1)</f>
        <v>2041</v>
      </c>
      <c r="D124" s="374">
        <f>IF(F123+SUM(E$99:E123)=D$92,F123,D$92-SUM(E$99:E123))</f>
        <v>642412.04194014578</v>
      </c>
      <c r="E124" s="522">
        <f>IF(+J96&lt;F123,J96,D124)</f>
        <v>38004.414634146342</v>
      </c>
      <c r="F124" s="523">
        <f t="shared" si="33"/>
        <v>604407.6273059994</v>
      </c>
      <c r="G124" s="523">
        <f t="shared" si="34"/>
        <v>623409.83462307253</v>
      </c>
      <c r="H124" s="526">
        <f t="shared" si="35"/>
        <v>108770.2997239556</v>
      </c>
      <c r="I124" s="577">
        <f t="shared" si="36"/>
        <v>108770.2997239556</v>
      </c>
      <c r="J124" s="514">
        <f t="shared" si="20"/>
        <v>0</v>
      </c>
      <c r="K124" s="514"/>
      <c r="L124" s="525"/>
      <c r="M124" s="514">
        <f t="shared" si="22"/>
        <v>0</v>
      </c>
      <c r="N124" s="525"/>
      <c r="O124" s="514">
        <f t="shared" si="24"/>
        <v>0</v>
      </c>
      <c r="P124" s="514">
        <f t="shared" si="25"/>
        <v>0</v>
      </c>
    </row>
    <row r="125" spans="2:16">
      <c r="B125" s="195" t="str">
        <f t="shared" si="26"/>
        <v/>
      </c>
      <c r="C125" s="507">
        <f>IF(D93="","-",+C124+1)</f>
        <v>2042</v>
      </c>
      <c r="D125" s="374">
        <f>IF(F124+SUM(E$99:E124)=D$92,F124,D$92-SUM(E$99:E124))</f>
        <v>604407.6273059994</v>
      </c>
      <c r="E125" s="522">
        <f>IF(+J96&lt;F124,J96,D125)</f>
        <v>38004.414634146342</v>
      </c>
      <c r="F125" s="523">
        <f t="shared" si="33"/>
        <v>566403.21267185302</v>
      </c>
      <c r="G125" s="523">
        <f t="shared" si="34"/>
        <v>585405.41998892627</v>
      </c>
      <c r="H125" s="526">
        <f t="shared" si="35"/>
        <v>104456.25799804743</v>
      </c>
      <c r="I125" s="577">
        <f t="shared" si="36"/>
        <v>104456.25799804743</v>
      </c>
      <c r="J125" s="514">
        <f t="shared" si="20"/>
        <v>0</v>
      </c>
      <c r="K125" s="514"/>
      <c r="L125" s="525"/>
      <c r="M125" s="514">
        <f t="shared" si="22"/>
        <v>0</v>
      </c>
      <c r="N125" s="525"/>
      <c r="O125" s="514">
        <f t="shared" si="24"/>
        <v>0</v>
      </c>
      <c r="P125" s="514">
        <f t="shared" si="25"/>
        <v>0</v>
      </c>
    </row>
    <row r="126" spans="2:16">
      <c r="B126" s="195" t="str">
        <f t="shared" si="26"/>
        <v/>
      </c>
      <c r="C126" s="507">
        <f>IF(D93="","-",+C125+1)</f>
        <v>2043</v>
      </c>
      <c r="D126" s="374">
        <f>IF(F125+SUM(E$99:E125)=D$92,F125,D$92-SUM(E$99:E125))</f>
        <v>566403.21267185302</v>
      </c>
      <c r="E126" s="522">
        <f>IF(+J96&lt;F125,J96,D126)</f>
        <v>38004.414634146342</v>
      </c>
      <c r="F126" s="523">
        <f t="shared" si="33"/>
        <v>528398.79803770664</v>
      </c>
      <c r="G126" s="523">
        <f t="shared" si="34"/>
        <v>547401.00535477977</v>
      </c>
      <c r="H126" s="526">
        <f t="shared" si="35"/>
        <v>100142.21627213919</v>
      </c>
      <c r="I126" s="577">
        <f t="shared" si="36"/>
        <v>100142.21627213919</v>
      </c>
      <c r="J126" s="514">
        <f t="shared" si="20"/>
        <v>0</v>
      </c>
      <c r="K126" s="514"/>
      <c r="L126" s="525"/>
      <c r="M126" s="514">
        <f t="shared" si="22"/>
        <v>0</v>
      </c>
      <c r="N126" s="525"/>
      <c r="O126" s="514">
        <f t="shared" si="24"/>
        <v>0</v>
      </c>
      <c r="P126" s="514">
        <f t="shared" si="25"/>
        <v>0</v>
      </c>
    </row>
    <row r="127" spans="2:16">
      <c r="B127" s="195" t="str">
        <f t="shared" si="26"/>
        <v/>
      </c>
      <c r="C127" s="507">
        <f>IF(D93="","-",+C126+1)</f>
        <v>2044</v>
      </c>
      <c r="D127" s="374">
        <f>IF(F126+SUM(E$99:E126)=D$92,F126,D$92-SUM(E$99:E126))</f>
        <v>528398.79803770664</v>
      </c>
      <c r="E127" s="522">
        <f>IF(+J96&lt;F126,J96,D127)</f>
        <v>38004.414634146342</v>
      </c>
      <c r="F127" s="523">
        <f t="shared" si="33"/>
        <v>490394.38340356032</v>
      </c>
      <c r="G127" s="523">
        <f t="shared" si="34"/>
        <v>509396.59072063351</v>
      </c>
      <c r="H127" s="526">
        <f t="shared" si="35"/>
        <v>95828.174546231021</v>
      </c>
      <c r="I127" s="577">
        <f t="shared" si="36"/>
        <v>95828.174546231021</v>
      </c>
      <c r="J127" s="514">
        <f t="shared" si="20"/>
        <v>0</v>
      </c>
      <c r="K127" s="514"/>
      <c r="L127" s="525"/>
      <c r="M127" s="514">
        <f t="shared" si="22"/>
        <v>0</v>
      </c>
      <c r="N127" s="525"/>
      <c r="O127" s="514">
        <f t="shared" si="24"/>
        <v>0</v>
      </c>
      <c r="P127" s="514">
        <f t="shared" si="25"/>
        <v>0</v>
      </c>
    </row>
    <row r="128" spans="2:16">
      <c r="B128" s="195" t="str">
        <f t="shared" si="26"/>
        <v/>
      </c>
      <c r="C128" s="507">
        <f>IF(D93="","-",+C127+1)</f>
        <v>2045</v>
      </c>
      <c r="D128" s="374">
        <f>IF(F127+SUM(E$99:E127)=D$92,F127,D$92-SUM(E$99:E127))</f>
        <v>490394.38340356032</v>
      </c>
      <c r="E128" s="522">
        <f>IF(+J96&lt;F127,J96,D128)</f>
        <v>38004.414634146342</v>
      </c>
      <c r="F128" s="523">
        <f t="shared" si="33"/>
        <v>452389.968769414</v>
      </c>
      <c r="G128" s="523">
        <f t="shared" si="34"/>
        <v>471392.17608648713</v>
      </c>
      <c r="H128" s="526">
        <f t="shared" si="35"/>
        <v>91514.132820322804</v>
      </c>
      <c r="I128" s="577">
        <f t="shared" si="36"/>
        <v>91514.132820322804</v>
      </c>
      <c r="J128" s="514">
        <f t="shared" si="20"/>
        <v>0</v>
      </c>
      <c r="K128" s="514"/>
      <c r="L128" s="525"/>
      <c r="M128" s="514">
        <f t="shared" si="22"/>
        <v>0</v>
      </c>
      <c r="N128" s="525"/>
      <c r="O128" s="514">
        <f t="shared" si="24"/>
        <v>0</v>
      </c>
      <c r="P128" s="514">
        <f t="shared" si="25"/>
        <v>0</v>
      </c>
    </row>
    <row r="129" spans="2:16">
      <c r="B129" s="195" t="str">
        <f t="shared" si="26"/>
        <v/>
      </c>
      <c r="C129" s="507">
        <f>IF(D93="","-",+C128+1)</f>
        <v>2046</v>
      </c>
      <c r="D129" s="374">
        <f>IF(F128+SUM(E$99:E128)=D$92,F128,D$92-SUM(E$99:E128))</f>
        <v>452389.968769414</v>
      </c>
      <c r="E129" s="522">
        <f>IF(+J96&lt;F128,J96,D129)</f>
        <v>38004.414634146342</v>
      </c>
      <c r="F129" s="523">
        <f t="shared" si="33"/>
        <v>414385.55413526768</v>
      </c>
      <c r="G129" s="523">
        <f t="shared" si="34"/>
        <v>433387.76145234087</v>
      </c>
      <c r="H129" s="526">
        <f t="shared" si="35"/>
        <v>87200.091094414616</v>
      </c>
      <c r="I129" s="577">
        <f t="shared" si="36"/>
        <v>87200.091094414616</v>
      </c>
      <c r="J129" s="514">
        <f t="shared" si="20"/>
        <v>0</v>
      </c>
      <c r="K129" s="514"/>
      <c r="L129" s="525"/>
      <c r="M129" s="514">
        <f t="shared" si="22"/>
        <v>0</v>
      </c>
      <c r="N129" s="525"/>
      <c r="O129" s="514">
        <f t="shared" si="24"/>
        <v>0</v>
      </c>
      <c r="P129" s="514">
        <f t="shared" si="25"/>
        <v>0</v>
      </c>
    </row>
    <row r="130" spans="2:16">
      <c r="B130" s="195" t="str">
        <f t="shared" si="26"/>
        <v/>
      </c>
      <c r="C130" s="507">
        <f>IF(D93="","-",+C129+1)</f>
        <v>2047</v>
      </c>
      <c r="D130" s="374">
        <f>IF(F129+SUM(E$99:E129)=D$92,F129,D$92-SUM(E$99:E129))</f>
        <v>414385.55413526768</v>
      </c>
      <c r="E130" s="522">
        <f>IF(+J96&lt;F129,J96,D130)</f>
        <v>38004.414634146342</v>
      </c>
      <c r="F130" s="523">
        <f t="shared" si="33"/>
        <v>376381.13950112136</v>
      </c>
      <c r="G130" s="523">
        <f t="shared" si="34"/>
        <v>395383.34681819449</v>
      </c>
      <c r="H130" s="526">
        <f t="shared" si="35"/>
        <v>82886.049368506414</v>
      </c>
      <c r="I130" s="577">
        <f t="shared" si="36"/>
        <v>82886.049368506414</v>
      </c>
      <c r="J130" s="514">
        <f t="shared" si="20"/>
        <v>0</v>
      </c>
      <c r="K130" s="514"/>
      <c r="L130" s="525"/>
      <c r="M130" s="514">
        <f t="shared" si="22"/>
        <v>0</v>
      </c>
      <c r="N130" s="525"/>
      <c r="O130" s="514">
        <f t="shared" si="24"/>
        <v>0</v>
      </c>
      <c r="P130" s="514">
        <f t="shared" si="25"/>
        <v>0</v>
      </c>
    </row>
    <row r="131" spans="2:16">
      <c r="B131" s="195" t="str">
        <f t="shared" si="26"/>
        <v/>
      </c>
      <c r="C131" s="507">
        <f>IF(D93="","-",+C130+1)</f>
        <v>2048</v>
      </c>
      <c r="D131" s="374">
        <f>IF(F130+SUM(E$99:E130)=D$92,F130,D$92-SUM(E$99:E130))</f>
        <v>376381.13950112136</v>
      </c>
      <c r="E131" s="522">
        <f>IF(+J96&lt;F130,J96,D131)</f>
        <v>38004.414634146342</v>
      </c>
      <c r="F131" s="523">
        <f t="shared" ref="F131:F154" si="37">+D131-E131</f>
        <v>338376.72486697504</v>
      </c>
      <c r="G131" s="523">
        <f t="shared" ref="G131:G154" si="38">+(F131+D131)/2</f>
        <v>357378.93218404823</v>
      </c>
      <c r="H131" s="526">
        <f t="shared" si="35"/>
        <v>78572.007642598212</v>
      </c>
      <c r="I131" s="577">
        <f t="shared" si="36"/>
        <v>78572.007642598212</v>
      </c>
      <c r="J131" s="514">
        <f t="shared" ref="J131:J154" si="39">+I541-H541</f>
        <v>0</v>
      </c>
      <c r="K131" s="514"/>
      <c r="L131" s="525"/>
      <c r="M131" s="514">
        <f t="shared" ref="M131:M154" si="40">IF(L541&lt;&gt;0,+H541-L541,0)</f>
        <v>0</v>
      </c>
      <c r="N131" s="525"/>
      <c r="O131" s="514">
        <f t="shared" ref="O131:O154" si="41">IF(N541&lt;&gt;0,+I541-N541,0)</f>
        <v>0</v>
      </c>
      <c r="P131" s="514">
        <f t="shared" ref="P131:P154" si="42">+O541-M541</f>
        <v>0</v>
      </c>
    </row>
    <row r="132" spans="2:16">
      <c r="B132" s="195" t="str">
        <f t="shared" si="26"/>
        <v/>
      </c>
      <c r="C132" s="507">
        <f>IF(D93="","-",+C131+1)</f>
        <v>2049</v>
      </c>
      <c r="D132" s="374">
        <f>IF(F131+SUM(E$99:E131)=D$92,F131,D$92-SUM(E$99:E131))</f>
        <v>338376.72486697504</v>
      </c>
      <c r="E132" s="522">
        <f>IF(+J96&lt;F131,J96,D132)</f>
        <v>38004.414634146342</v>
      </c>
      <c r="F132" s="523">
        <f t="shared" si="37"/>
        <v>300372.31023282872</v>
      </c>
      <c r="G132" s="523">
        <f t="shared" si="38"/>
        <v>319374.51754990185</v>
      </c>
      <c r="H132" s="526">
        <f t="shared" si="35"/>
        <v>74257.965916690009</v>
      </c>
      <c r="I132" s="577">
        <f t="shared" si="36"/>
        <v>74257.965916690009</v>
      </c>
      <c r="J132" s="514">
        <f t="shared" si="39"/>
        <v>0</v>
      </c>
      <c r="K132" s="514"/>
      <c r="L132" s="525"/>
      <c r="M132" s="514">
        <f t="shared" si="40"/>
        <v>0</v>
      </c>
      <c r="N132" s="525"/>
      <c r="O132" s="514">
        <f t="shared" si="41"/>
        <v>0</v>
      </c>
      <c r="P132" s="514">
        <f t="shared" si="42"/>
        <v>0</v>
      </c>
    </row>
    <row r="133" spans="2:16">
      <c r="B133" s="195" t="str">
        <f t="shared" si="26"/>
        <v/>
      </c>
      <c r="C133" s="507">
        <f>IF(D93="","-",+C132+1)</f>
        <v>2050</v>
      </c>
      <c r="D133" s="374">
        <f>IF(F132+SUM(E$99:E132)=D$92,F132,D$92-SUM(E$99:E132))</f>
        <v>300372.31023282872</v>
      </c>
      <c r="E133" s="522">
        <f>IF(+J96&lt;F132,J96,D133)</f>
        <v>38004.414634146342</v>
      </c>
      <c r="F133" s="523">
        <f t="shared" si="37"/>
        <v>262367.8955986824</v>
      </c>
      <c r="G133" s="523">
        <f t="shared" si="38"/>
        <v>281370.10291575559</v>
      </c>
      <c r="H133" s="526">
        <f t="shared" si="35"/>
        <v>69943.924190781821</v>
      </c>
      <c r="I133" s="577">
        <f t="shared" si="36"/>
        <v>69943.924190781821</v>
      </c>
      <c r="J133" s="514">
        <f t="shared" si="39"/>
        <v>0</v>
      </c>
      <c r="K133" s="514"/>
      <c r="L133" s="525"/>
      <c r="M133" s="514">
        <f t="shared" si="40"/>
        <v>0</v>
      </c>
      <c r="N133" s="525"/>
      <c r="O133" s="514">
        <f t="shared" si="41"/>
        <v>0</v>
      </c>
      <c r="P133" s="514">
        <f t="shared" si="42"/>
        <v>0</v>
      </c>
    </row>
    <row r="134" spans="2:16">
      <c r="B134" s="195" t="str">
        <f t="shared" si="26"/>
        <v/>
      </c>
      <c r="C134" s="507">
        <f>IF(D93="","-",+C133+1)</f>
        <v>2051</v>
      </c>
      <c r="D134" s="374">
        <f>IF(F133+SUM(E$99:E133)=D$92,F133,D$92-SUM(E$99:E133))</f>
        <v>262367.8955986824</v>
      </c>
      <c r="E134" s="522">
        <f>IF(+J96&lt;F133,J96,D134)</f>
        <v>38004.414634146342</v>
      </c>
      <c r="F134" s="523">
        <f t="shared" si="37"/>
        <v>224363.48096453605</v>
      </c>
      <c r="G134" s="523">
        <f t="shared" si="38"/>
        <v>243365.68828160921</v>
      </c>
      <c r="H134" s="526">
        <f t="shared" si="35"/>
        <v>65629.882464873619</v>
      </c>
      <c r="I134" s="577">
        <f t="shared" si="36"/>
        <v>65629.882464873619</v>
      </c>
      <c r="J134" s="514">
        <f t="shared" si="39"/>
        <v>0</v>
      </c>
      <c r="K134" s="514"/>
      <c r="L134" s="525"/>
      <c r="M134" s="514">
        <f t="shared" si="40"/>
        <v>0</v>
      </c>
      <c r="N134" s="525"/>
      <c r="O134" s="514">
        <f t="shared" si="41"/>
        <v>0</v>
      </c>
      <c r="P134" s="514">
        <f t="shared" si="42"/>
        <v>0</v>
      </c>
    </row>
    <row r="135" spans="2:16">
      <c r="B135" s="195" t="str">
        <f t="shared" si="26"/>
        <v/>
      </c>
      <c r="C135" s="507">
        <f>IF(D93="","-",+C134+1)</f>
        <v>2052</v>
      </c>
      <c r="D135" s="374">
        <f>IF(F134+SUM(E$99:E134)=D$92,F134,D$92-SUM(E$99:E134))</f>
        <v>224363.48096453605</v>
      </c>
      <c r="E135" s="522">
        <f>IF(+J96&lt;F134,J96,D135)</f>
        <v>38004.414634146342</v>
      </c>
      <c r="F135" s="523">
        <f t="shared" si="37"/>
        <v>186359.0663303897</v>
      </c>
      <c r="G135" s="523">
        <f t="shared" si="38"/>
        <v>205361.27364746289</v>
      </c>
      <c r="H135" s="526">
        <f t="shared" si="35"/>
        <v>61315.840738965417</v>
      </c>
      <c r="I135" s="577">
        <f t="shared" si="36"/>
        <v>61315.840738965417</v>
      </c>
      <c r="J135" s="514">
        <f t="shared" si="39"/>
        <v>0</v>
      </c>
      <c r="K135" s="514"/>
      <c r="L135" s="525"/>
      <c r="M135" s="514">
        <f t="shared" si="40"/>
        <v>0</v>
      </c>
      <c r="N135" s="525"/>
      <c r="O135" s="514">
        <f t="shared" si="41"/>
        <v>0</v>
      </c>
      <c r="P135" s="514">
        <f t="shared" si="42"/>
        <v>0</v>
      </c>
    </row>
    <row r="136" spans="2:16">
      <c r="B136" s="195" t="str">
        <f t="shared" si="26"/>
        <v/>
      </c>
      <c r="C136" s="507">
        <f>IF(D93="","-",+C135+1)</f>
        <v>2053</v>
      </c>
      <c r="D136" s="374">
        <f>IF(F135+SUM(E$99:E135)=D$92,F135,D$92-SUM(E$99:E135))</f>
        <v>186359.0663303897</v>
      </c>
      <c r="E136" s="522">
        <f>IF(+J96&lt;F135,J96,D136)</f>
        <v>38004.414634146342</v>
      </c>
      <c r="F136" s="523">
        <f t="shared" si="37"/>
        <v>148354.65169624335</v>
      </c>
      <c r="G136" s="523">
        <f t="shared" si="38"/>
        <v>167356.85901331651</v>
      </c>
      <c r="H136" s="526">
        <f t="shared" si="35"/>
        <v>57001.799013057214</v>
      </c>
      <c r="I136" s="577">
        <f t="shared" si="36"/>
        <v>57001.799013057214</v>
      </c>
      <c r="J136" s="514">
        <f t="shared" si="39"/>
        <v>0</v>
      </c>
      <c r="K136" s="514"/>
      <c r="L136" s="525"/>
      <c r="M136" s="514">
        <f t="shared" si="40"/>
        <v>0</v>
      </c>
      <c r="N136" s="525"/>
      <c r="O136" s="514">
        <f t="shared" si="41"/>
        <v>0</v>
      </c>
      <c r="P136" s="514">
        <f t="shared" si="42"/>
        <v>0</v>
      </c>
    </row>
    <row r="137" spans="2:16">
      <c r="B137" s="195" t="str">
        <f t="shared" si="26"/>
        <v/>
      </c>
      <c r="C137" s="507">
        <f>IF(D93="","-",+C136+1)</f>
        <v>2054</v>
      </c>
      <c r="D137" s="374">
        <f>IF(F136+SUM(E$99:E136)=D$92,F136,D$92-SUM(E$99:E136))</f>
        <v>148354.65169624335</v>
      </c>
      <c r="E137" s="522">
        <f>IF(+J96&lt;F136,J96,D137)</f>
        <v>38004.414634146342</v>
      </c>
      <c r="F137" s="523">
        <f t="shared" si="37"/>
        <v>110350.237062097</v>
      </c>
      <c r="G137" s="523">
        <f t="shared" si="38"/>
        <v>129352.44437917018</v>
      </c>
      <c r="H137" s="526">
        <f t="shared" si="35"/>
        <v>52687.757287149012</v>
      </c>
      <c r="I137" s="577">
        <f t="shared" si="36"/>
        <v>52687.757287149012</v>
      </c>
      <c r="J137" s="514">
        <f t="shared" si="39"/>
        <v>0</v>
      </c>
      <c r="K137" s="514"/>
      <c r="L137" s="525"/>
      <c r="M137" s="514">
        <f t="shared" si="40"/>
        <v>0</v>
      </c>
      <c r="N137" s="525"/>
      <c r="O137" s="514">
        <f t="shared" si="41"/>
        <v>0</v>
      </c>
      <c r="P137" s="514">
        <f t="shared" si="42"/>
        <v>0</v>
      </c>
    </row>
    <row r="138" spans="2:16">
      <c r="B138" s="195" t="str">
        <f t="shared" si="26"/>
        <v/>
      </c>
      <c r="C138" s="507">
        <f>IF(D93="","-",+C137+1)</f>
        <v>2055</v>
      </c>
      <c r="D138" s="374">
        <f>IF(F137+SUM(E$99:E137)=D$92,F137,D$92-SUM(E$99:E137))</f>
        <v>110350.237062097</v>
      </c>
      <c r="E138" s="522">
        <f>IF(+J96&lt;F137,J96,D138)</f>
        <v>38004.414634146342</v>
      </c>
      <c r="F138" s="523">
        <f t="shared" si="37"/>
        <v>72345.822427950654</v>
      </c>
      <c r="G138" s="523">
        <f t="shared" si="38"/>
        <v>91348.029745023829</v>
      </c>
      <c r="H138" s="526">
        <f t="shared" si="35"/>
        <v>48373.71556124081</v>
      </c>
      <c r="I138" s="577">
        <f t="shared" si="36"/>
        <v>48373.71556124081</v>
      </c>
      <c r="J138" s="514">
        <f t="shared" si="39"/>
        <v>0</v>
      </c>
      <c r="K138" s="514"/>
      <c r="L138" s="525"/>
      <c r="M138" s="514">
        <f t="shared" si="40"/>
        <v>0</v>
      </c>
      <c r="N138" s="525"/>
      <c r="O138" s="514">
        <f t="shared" si="41"/>
        <v>0</v>
      </c>
      <c r="P138" s="514">
        <f t="shared" si="42"/>
        <v>0</v>
      </c>
    </row>
    <row r="139" spans="2:16">
      <c r="B139" s="195" t="str">
        <f t="shared" si="26"/>
        <v/>
      </c>
      <c r="C139" s="507">
        <f>IF(D93="","-",+C138+1)</f>
        <v>2056</v>
      </c>
      <c r="D139" s="374">
        <f>IF(F138+SUM(E$99:E138)=D$92,F138,D$92-SUM(E$99:E138))</f>
        <v>72345.822427950654</v>
      </c>
      <c r="E139" s="522">
        <f>IF(+J96&lt;F138,J96,D139)</f>
        <v>38004.414634146342</v>
      </c>
      <c r="F139" s="523">
        <f t="shared" si="37"/>
        <v>34341.407793804312</v>
      </c>
      <c r="G139" s="523">
        <f t="shared" si="38"/>
        <v>53343.615110877479</v>
      </c>
      <c r="H139" s="526">
        <f t="shared" si="35"/>
        <v>44059.673835332607</v>
      </c>
      <c r="I139" s="577">
        <f t="shared" si="36"/>
        <v>44059.673835332607</v>
      </c>
      <c r="J139" s="514">
        <f t="shared" si="39"/>
        <v>0</v>
      </c>
      <c r="K139" s="514"/>
      <c r="L139" s="525"/>
      <c r="M139" s="514">
        <f t="shared" si="40"/>
        <v>0</v>
      </c>
      <c r="N139" s="525"/>
      <c r="O139" s="514">
        <f t="shared" si="41"/>
        <v>0</v>
      </c>
      <c r="P139" s="514">
        <f t="shared" si="42"/>
        <v>0</v>
      </c>
    </row>
    <row r="140" spans="2:16">
      <c r="B140" s="195" t="str">
        <f t="shared" si="26"/>
        <v/>
      </c>
      <c r="C140" s="507">
        <f>IF(D93="","-",+C139+1)</f>
        <v>2057</v>
      </c>
      <c r="D140" s="374">
        <f>IF(F139+SUM(E$99:E139)=D$92,F139,D$92-SUM(E$99:E139))</f>
        <v>34341.407793804312</v>
      </c>
      <c r="E140" s="522">
        <f>IF(+J96&lt;F139,J96,D140)</f>
        <v>34341.407793804312</v>
      </c>
      <c r="F140" s="523">
        <f t="shared" si="37"/>
        <v>0</v>
      </c>
      <c r="G140" s="523">
        <f t="shared" si="38"/>
        <v>17170.703896902156</v>
      </c>
      <c r="H140" s="526">
        <f t="shared" si="35"/>
        <v>36290.526962920398</v>
      </c>
      <c r="I140" s="577">
        <f t="shared" si="36"/>
        <v>36290.526962920398</v>
      </c>
      <c r="J140" s="514">
        <f t="shared" si="39"/>
        <v>0</v>
      </c>
      <c r="K140" s="514"/>
      <c r="L140" s="525"/>
      <c r="M140" s="514">
        <f t="shared" si="40"/>
        <v>0</v>
      </c>
      <c r="N140" s="525"/>
      <c r="O140" s="514">
        <f t="shared" si="41"/>
        <v>0</v>
      </c>
      <c r="P140" s="514">
        <f t="shared" si="42"/>
        <v>0</v>
      </c>
    </row>
    <row r="141" spans="2:16">
      <c r="B141" s="195" t="str">
        <f t="shared" si="26"/>
        <v/>
      </c>
      <c r="C141" s="507">
        <f>IF(D93="","-",+C140+1)</f>
        <v>2058</v>
      </c>
      <c r="D141" s="374">
        <f>IF(F140+SUM(E$99:E140)=D$92,F140,D$92-SUM(E$99:E140))</f>
        <v>0</v>
      </c>
      <c r="E141" s="522">
        <f>IF(+J96&lt;F140,J96,D141)</f>
        <v>0</v>
      </c>
      <c r="F141" s="523">
        <f t="shared" si="37"/>
        <v>0</v>
      </c>
      <c r="G141" s="523">
        <f t="shared" si="38"/>
        <v>0</v>
      </c>
      <c r="H141" s="526">
        <f t="shared" si="35"/>
        <v>0</v>
      </c>
      <c r="I141" s="577">
        <f t="shared" si="36"/>
        <v>0</v>
      </c>
      <c r="J141" s="514">
        <f t="shared" si="39"/>
        <v>0</v>
      </c>
      <c r="K141" s="514"/>
      <c r="L141" s="525"/>
      <c r="M141" s="514">
        <f t="shared" si="40"/>
        <v>0</v>
      </c>
      <c r="N141" s="525"/>
      <c r="O141" s="514">
        <f t="shared" si="41"/>
        <v>0</v>
      </c>
      <c r="P141" s="514">
        <f t="shared" si="42"/>
        <v>0</v>
      </c>
    </row>
    <row r="142" spans="2:16">
      <c r="B142" s="195" t="str">
        <f t="shared" si="26"/>
        <v/>
      </c>
      <c r="C142" s="507">
        <f>IF(D93="","-",+C141+1)</f>
        <v>2059</v>
      </c>
      <c r="D142" s="374">
        <f>IF(F141+SUM(E$99:E141)=D$92,F141,D$92-SUM(E$99:E141))</f>
        <v>0</v>
      </c>
      <c r="E142" s="522">
        <f>IF(+J96&lt;F141,J96,D142)</f>
        <v>0</v>
      </c>
      <c r="F142" s="523">
        <f t="shared" si="37"/>
        <v>0</v>
      </c>
      <c r="G142" s="523">
        <f t="shared" si="38"/>
        <v>0</v>
      </c>
      <c r="H142" s="526">
        <f t="shared" si="35"/>
        <v>0</v>
      </c>
      <c r="I142" s="577">
        <f t="shared" si="36"/>
        <v>0</v>
      </c>
      <c r="J142" s="514">
        <f t="shared" si="39"/>
        <v>0</v>
      </c>
      <c r="K142" s="514"/>
      <c r="L142" s="525"/>
      <c r="M142" s="514">
        <f t="shared" si="40"/>
        <v>0</v>
      </c>
      <c r="N142" s="525"/>
      <c r="O142" s="514">
        <f t="shared" si="41"/>
        <v>0</v>
      </c>
      <c r="P142" s="514">
        <f t="shared" si="42"/>
        <v>0</v>
      </c>
    </row>
    <row r="143" spans="2:16">
      <c r="B143" s="195" t="str">
        <f t="shared" si="26"/>
        <v/>
      </c>
      <c r="C143" s="507">
        <f>IF(D93="","-",+C142+1)</f>
        <v>2060</v>
      </c>
      <c r="D143" s="374">
        <f>IF(F142+SUM(E$99:E142)=D$92,F142,D$92-SUM(E$99:E142))</f>
        <v>0</v>
      </c>
      <c r="E143" s="522">
        <f>IF(+J96&lt;F142,J96,D143)</f>
        <v>0</v>
      </c>
      <c r="F143" s="523">
        <f t="shared" si="37"/>
        <v>0</v>
      </c>
      <c r="G143" s="523">
        <f t="shared" si="38"/>
        <v>0</v>
      </c>
      <c r="H143" s="526">
        <f t="shared" si="35"/>
        <v>0</v>
      </c>
      <c r="I143" s="577">
        <f t="shared" si="36"/>
        <v>0</v>
      </c>
      <c r="J143" s="514">
        <f t="shared" si="39"/>
        <v>0</v>
      </c>
      <c r="K143" s="514"/>
      <c r="L143" s="525"/>
      <c r="M143" s="514">
        <f t="shared" si="40"/>
        <v>0</v>
      </c>
      <c r="N143" s="525"/>
      <c r="O143" s="514">
        <f t="shared" si="41"/>
        <v>0</v>
      </c>
      <c r="P143" s="514">
        <f t="shared" si="42"/>
        <v>0</v>
      </c>
    </row>
    <row r="144" spans="2:16">
      <c r="B144" s="195" t="str">
        <f t="shared" si="26"/>
        <v/>
      </c>
      <c r="C144" s="507">
        <f>IF(D93="","-",+C143+1)</f>
        <v>2061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37"/>
        <v>0</v>
      </c>
      <c r="G144" s="523">
        <f t="shared" si="38"/>
        <v>0</v>
      </c>
      <c r="H144" s="526">
        <f t="shared" si="35"/>
        <v>0</v>
      </c>
      <c r="I144" s="577">
        <f t="shared" si="36"/>
        <v>0</v>
      </c>
      <c r="J144" s="514">
        <f t="shared" si="39"/>
        <v>0</v>
      </c>
      <c r="K144" s="514"/>
      <c r="L144" s="525"/>
      <c r="M144" s="514">
        <f t="shared" si="40"/>
        <v>0</v>
      </c>
      <c r="N144" s="525"/>
      <c r="O144" s="514">
        <f t="shared" si="41"/>
        <v>0</v>
      </c>
      <c r="P144" s="514">
        <f t="shared" si="42"/>
        <v>0</v>
      </c>
    </row>
    <row r="145" spans="2:16">
      <c r="B145" s="195" t="str">
        <f t="shared" si="26"/>
        <v/>
      </c>
      <c r="C145" s="507">
        <f>IF(D93="","-",+C144+1)</f>
        <v>2062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37"/>
        <v>0</v>
      </c>
      <c r="G145" s="523">
        <f t="shared" si="38"/>
        <v>0</v>
      </c>
      <c r="H145" s="526">
        <f t="shared" si="35"/>
        <v>0</v>
      </c>
      <c r="I145" s="577">
        <f t="shared" si="36"/>
        <v>0</v>
      </c>
      <c r="J145" s="514">
        <f t="shared" si="39"/>
        <v>0</v>
      </c>
      <c r="K145" s="514"/>
      <c r="L145" s="525"/>
      <c r="M145" s="514">
        <f t="shared" si="40"/>
        <v>0</v>
      </c>
      <c r="N145" s="525"/>
      <c r="O145" s="514">
        <f t="shared" si="41"/>
        <v>0</v>
      </c>
      <c r="P145" s="514">
        <f t="shared" si="42"/>
        <v>0</v>
      </c>
    </row>
    <row r="146" spans="2:16">
      <c r="B146" s="195" t="str">
        <f t="shared" si="26"/>
        <v/>
      </c>
      <c r="C146" s="507">
        <f>IF(D93="","-",+C145+1)</f>
        <v>2063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37"/>
        <v>0</v>
      </c>
      <c r="G146" s="523">
        <f t="shared" si="38"/>
        <v>0</v>
      </c>
      <c r="H146" s="526">
        <f t="shared" si="35"/>
        <v>0</v>
      </c>
      <c r="I146" s="577">
        <f t="shared" si="36"/>
        <v>0</v>
      </c>
      <c r="J146" s="514">
        <f t="shared" si="39"/>
        <v>0</v>
      </c>
      <c r="K146" s="514"/>
      <c r="L146" s="525"/>
      <c r="M146" s="514">
        <f t="shared" si="40"/>
        <v>0</v>
      </c>
      <c r="N146" s="525"/>
      <c r="O146" s="514">
        <f t="shared" si="41"/>
        <v>0</v>
      </c>
      <c r="P146" s="514">
        <f t="shared" si="42"/>
        <v>0</v>
      </c>
    </row>
    <row r="147" spans="2:16">
      <c r="B147" s="195" t="str">
        <f t="shared" si="26"/>
        <v/>
      </c>
      <c r="C147" s="507">
        <f>IF(D93="","-",+C146+1)</f>
        <v>2064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37"/>
        <v>0</v>
      </c>
      <c r="G147" s="523">
        <f t="shared" si="38"/>
        <v>0</v>
      </c>
      <c r="H147" s="526">
        <f t="shared" si="35"/>
        <v>0</v>
      </c>
      <c r="I147" s="577">
        <f t="shared" si="36"/>
        <v>0</v>
      </c>
      <c r="J147" s="514">
        <f t="shared" si="39"/>
        <v>0</v>
      </c>
      <c r="K147" s="514"/>
      <c r="L147" s="525"/>
      <c r="M147" s="514">
        <f t="shared" si="40"/>
        <v>0</v>
      </c>
      <c r="N147" s="525"/>
      <c r="O147" s="514">
        <f t="shared" si="41"/>
        <v>0</v>
      </c>
      <c r="P147" s="514">
        <f t="shared" si="42"/>
        <v>0</v>
      </c>
    </row>
    <row r="148" spans="2:16">
      <c r="B148" s="195" t="str">
        <f t="shared" si="26"/>
        <v/>
      </c>
      <c r="C148" s="507">
        <f>IF(D93="","-",+C147+1)</f>
        <v>2065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37"/>
        <v>0</v>
      </c>
      <c r="G148" s="523">
        <f t="shared" si="38"/>
        <v>0</v>
      </c>
      <c r="H148" s="526">
        <f t="shared" si="35"/>
        <v>0</v>
      </c>
      <c r="I148" s="577">
        <f t="shared" si="36"/>
        <v>0</v>
      </c>
      <c r="J148" s="514">
        <f t="shared" si="39"/>
        <v>0</v>
      </c>
      <c r="K148" s="514"/>
      <c r="L148" s="525"/>
      <c r="M148" s="514">
        <f t="shared" si="40"/>
        <v>0</v>
      </c>
      <c r="N148" s="525"/>
      <c r="O148" s="514">
        <f t="shared" si="41"/>
        <v>0</v>
      </c>
      <c r="P148" s="514">
        <f t="shared" si="42"/>
        <v>0</v>
      </c>
    </row>
    <row r="149" spans="2:16">
      <c r="B149" s="195" t="str">
        <f t="shared" si="26"/>
        <v/>
      </c>
      <c r="C149" s="507">
        <f>IF(D93="","-",+C148+1)</f>
        <v>2066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37"/>
        <v>0</v>
      </c>
      <c r="G149" s="523">
        <f t="shared" si="38"/>
        <v>0</v>
      </c>
      <c r="H149" s="526">
        <f t="shared" si="35"/>
        <v>0</v>
      </c>
      <c r="I149" s="577">
        <f t="shared" si="36"/>
        <v>0</v>
      </c>
      <c r="J149" s="514">
        <f t="shared" si="39"/>
        <v>0</v>
      </c>
      <c r="K149" s="514"/>
      <c r="L149" s="525"/>
      <c r="M149" s="514">
        <f t="shared" si="40"/>
        <v>0</v>
      </c>
      <c r="N149" s="525"/>
      <c r="O149" s="514">
        <f t="shared" si="41"/>
        <v>0</v>
      </c>
      <c r="P149" s="514">
        <f t="shared" si="42"/>
        <v>0</v>
      </c>
    </row>
    <row r="150" spans="2:16">
      <c r="B150" s="195" t="str">
        <f t="shared" si="26"/>
        <v/>
      </c>
      <c r="C150" s="507">
        <f>IF(D93="","-",+C149+1)</f>
        <v>2067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37"/>
        <v>0</v>
      </c>
      <c r="G150" s="523">
        <f t="shared" si="38"/>
        <v>0</v>
      </c>
      <c r="H150" s="526">
        <f t="shared" si="35"/>
        <v>0</v>
      </c>
      <c r="I150" s="577">
        <f t="shared" si="36"/>
        <v>0</v>
      </c>
      <c r="J150" s="514">
        <f t="shared" si="39"/>
        <v>0</v>
      </c>
      <c r="K150" s="514"/>
      <c r="L150" s="525"/>
      <c r="M150" s="514">
        <f t="shared" si="40"/>
        <v>0</v>
      </c>
      <c r="N150" s="525"/>
      <c r="O150" s="514">
        <f t="shared" si="41"/>
        <v>0</v>
      </c>
      <c r="P150" s="514">
        <f t="shared" si="42"/>
        <v>0</v>
      </c>
    </row>
    <row r="151" spans="2:16">
      <c r="B151" s="195" t="str">
        <f t="shared" si="26"/>
        <v/>
      </c>
      <c r="C151" s="507">
        <f>IF(D93="","-",+C150+1)</f>
        <v>2068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37"/>
        <v>0</v>
      </c>
      <c r="G151" s="523">
        <f t="shared" si="38"/>
        <v>0</v>
      </c>
      <c r="H151" s="526">
        <f t="shared" si="35"/>
        <v>0</v>
      </c>
      <c r="I151" s="577">
        <f t="shared" si="36"/>
        <v>0</v>
      </c>
      <c r="J151" s="514">
        <f t="shared" si="39"/>
        <v>0</v>
      </c>
      <c r="K151" s="514"/>
      <c r="L151" s="525"/>
      <c r="M151" s="514">
        <f t="shared" si="40"/>
        <v>0</v>
      </c>
      <c r="N151" s="525"/>
      <c r="O151" s="514">
        <f t="shared" si="41"/>
        <v>0</v>
      </c>
      <c r="P151" s="514">
        <f t="shared" si="42"/>
        <v>0</v>
      </c>
    </row>
    <row r="152" spans="2:16">
      <c r="B152" s="195" t="str">
        <f t="shared" si="26"/>
        <v/>
      </c>
      <c r="C152" s="507">
        <f>IF(D93="","-",+C151+1)</f>
        <v>2069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37"/>
        <v>0</v>
      </c>
      <c r="G152" s="523">
        <f t="shared" si="38"/>
        <v>0</v>
      </c>
      <c r="H152" s="526">
        <f t="shared" si="35"/>
        <v>0</v>
      </c>
      <c r="I152" s="577">
        <f t="shared" si="36"/>
        <v>0</v>
      </c>
      <c r="J152" s="514">
        <f t="shared" si="39"/>
        <v>0</v>
      </c>
      <c r="K152" s="514"/>
      <c r="L152" s="525"/>
      <c r="M152" s="514">
        <f t="shared" si="40"/>
        <v>0</v>
      </c>
      <c r="N152" s="525"/>
      <c r="O152" s="514">
        <f t="shared" si="41"/>
        <v>0</v>
      </c>
      <c r="P152" s="514">
        <f t="shared" si="42"/>
        <v>0</v>
      </c>
    </row>
    <row r="153" spans="2:16">
      <c r="B153" s="195" t="str">
        <f t="shared" si="26"/>
        <v/>
      </c>
      <c r="C153" s="507">
        <f>IF(D93="","-",+C152+1)</f>
        <v>2070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37"/>
        <v>0</v>
      </c>
      <c r="G153" s="523">
        <f t="shared" si="38"/>
        <v>0</v>
      </c>
      <c r="H153" s="526">
        <f t="shared" si="35"/>
        <v>0</v>
      </c>
      <c r="I153" s="577">
        <f t="shared" si="36"/>
        <v>0</v>
      </c>
      <c r="J153" s="514">
        <f t="shared" si="39"/>
        <v>0</v>
      </c>
      <c r="K153" s="514"/>
      <c r="L153" s="525"/>
      <c r="M153" s="514">
        <f t="shared" si="40"/>
        <v>0</v>
      </c>
      <c r="N153" s="525"/>
      <c r="O153" s="514">
        <f t="shared" si="41"/>
        <v>0</v>
      </c>
      <c r="P153" s="514">
        <f t="shared" si="42"/>
        <v>0</v>
      </c>
    </row>
    <row r="154" spans="2:16" ht="13.5" thickBot="1">
      <c r="B154" s="195" t="str">
        <f t="shared" si="26"/>
        <v/>
      </c>
      <c r="C154" s="527">
        <f>IF(D93="","-",+C153+1)</f>
        <v>2071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37"/>
        <v>0</v>
      </c>
      <c r="G154" s="528">
        <f t="shared" si="38"/>
        <v>0</v>
      </c>
      <c r="H154" s="530">
        <f t="shared" si="35"/>
        <v>0</v>
      </c>
      <c r="I154" s="579">
        <f t="shared" si="36"/>
        <v>0</v>
      </c>
      <c r="J154" s="533">
        <f t="shared" si="39"/>
        <v>0</v>
      </c>
      <c r="K154" s="514"/>
      <c r="L154" s="532"/>
      <c r="M154" s="533">
        <f t="shared" si="40"/>
        <v>0</v>
      </c>
      <c r="N154" s="532"/>
      <c r="O154" s="533">
        <f t="shared" si="41"/>
        <v>0</v>
      </c>
      <c r="P154" s="533">
        <f t="shared" si="42"/>
        <v>0</v>
      </c>
    </row>
    <row r="155" spans="2:16">
      <c r="C155" s="374" t="s">
        <v>78</v>
      </c>
      <c r="D155" s="375"/>
      <c r="E155" s="375">
        <f>SUM(E99:E154)</f>
        <v>1558180.9999999998</v>
      </c>
      <c r="F155" s="375"/>
      <c r="G155" s="375"/>
      <c r="H155" s="375">
        <f>SUM(H99:H154)</f>
        <v>5251697.0322190551</v>
      </c>
      <c r="I155" s="375">
        <f>SUM(I99:I154)</f>
        <v>5251697.0322190551</v>
      </c>
      <c r="J155" s="375">
        <f>SUM(J99:J154)</f>
        <v>0</v>
      </c>
      <c r="K155" s="375"/>
      <c r="L155" s="375"/>
      <c r="M155" s="375"/>
      <c r="N155" s="375"/>
      <c r="O155" s="375"/>
      <c r="P155" s="269"/>
    </row>
    <row r="156" spans="2:16">
      <c r="C156" s="183" t="s">
        <v>92</v>
      </c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</row>
    <row r="157" spans="2:16">
      <c r="C157" s="580"/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</row>
    <row r="158" spans="2:16">
      <c r="C158" s="614" t="s">
        <v>132</v>
      </c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</row>
    <row r="159" spans="2:16">
      <c r="C159" s="467" t="s">
        <v>79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</row>
    <row r="160" spans="2:16">
      <c r="C160" s="581" t="s">
        <v>80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</row>
    <row r="161" spans="3:16">
      <c r="C161" s="581"/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</row>
    <row r="162" spans="3:16" ht="18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635" t="s">
        <v>131</v>
      </c>
    </row>
  </sheetData>
  <conditionalFormatting sqref="C17:C72">
    <cfRule type="cellIs" dxfId="49" priority="1" stopIfTrue="1" operator="equal">
      <formula>$I$10</formula>
    </cfRule>
  </conditionalFormatting>
  <conditionalFormatting sqref="C99:C154">
    <cfRule type="cellIs" dxfId="48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51"/>
  <dimension ref="A1:Q162"/>
  <sheetViews>
    <sheetView topLeftCell="A95" zoomScaleNormal="100" zoomScaleSheetLayoutView="84" workbookViewId="0">
      <selection activeCell="D99" sqref="D99:I112"/>
    </sheetView>
  </sheetViews>
  <sheetFormatPr defaultColWidth="8.7109375" defaultRowHeight="12.75" customHeight="1"/>
  <cols>
    <col min="1" max="1" width="4.7109375" style="183" customWidth="1"/>
    <col min="2" max="2" width="6.7109375" style="183" customWidth="1"/>
    <col min="3" max="3" width="23.28515625" style="183" customWidth="1"/>
    <col min="4" max="8" width="17.7109375" style="183" customWidth="1"/>
    <col min="9" max="9" width="20.42578125" style="183" customWidth="1"/>
    <col min="10" max="10" width="16.42578125" style="183" customWidth="1"/>
    <col min="11" max="11" width="17.7109375" style="183" customWidth="1"/>
    <col min="12" max="12" width="16.140625" style="183" customWidth="1"/>
    <col min="13" max="13" width="17.7109375" style="183" customWidth="1"/>
    <col min="14" max="14" width="16.140625" style="183" customWidth="1"/>
    <col min="15" max="15" width="16.85546875" style="183" customWidth="1"/>
    <col min="16" max="16" width="24.42578125" style="183" customWidth="1"/>
    <col min="17" max="17" width="4.7109375" style="183" customWidth="1"/>
    <col min="18" max="22" width="8.7109375" style="183"/>
    <col min="23" max="23" width="9.140625" style="183" customWidth="1"/>
    <col min="24" max="16384" width="8.7109375" style="183"/>
  </cols>
  <sheetData>
    <row r="1" spans="1:17" ht="20.25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"&amp;RIGHT(MID(CELL("filename",$A$1),FIND("]",CELL("filename",$A$1))+1,256),1)&amp;" of "&amp;COUNT('S.001:S.xyz - blank'!$P$3)-1</f>
        <v>SWEPCO Project 3 of 75</v>
      </c>
      <c r="Q1" s="453"/>
    </row>
    <row r="2" spans="1:17" ht="18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454" t="s">
        <v>129</v>
      </c>
    </row>
    <row r="3" spans="1:17" ht="18.75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 t="str">
        <f>RIGHT(N3,3)</f>
        <v/>
      </c>
      <c r="P3" s="455">
        <v>1</v>
      </c>
    </row>
    <row r="4" spans="1:17" ht="15.75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7" ht="1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1378307.6805434467</v>
      </c>
      <c r="O5" s="249"/>
      <c r="P5" s="269"/>
    </row>
    <row r="6" spans="1:17" ht="15.7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1378307.6805434467</v>
      </c>
      <c r="O6" s="269"/>
      <c r="P6" s="269"/>
    </row>
    <row r="7" spans="1:17" ht="13.5" thickBot="1">
      <c r="C7" s="467" t="s">
        <v>48</v>
      </c>
      <c r="D7" s="468" t="s">
        <v>242</v>
      </c>
      <c r="E7" s="269"/>
      <c r="F7" s="269"/>
      <c r="G7" s="269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583"/>
      <c r="P7" s="269"/>
    </row>
    <row r="8" spans="1:17" ht="13.5" thickBot="1">
      <c r="C8" s="472"/>
      <c r="D8" s="473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584"/>
      <c r="O8" s="585"/>
      <c r="P8" s="396"/>
    </row>
    <row r="9" spans="1:17" ht="13.5" thickBot="1">
      <c r="A9" s="191"/>
      <c r="C9" s="476" t="s">
        <v>50</v>
      </c>
      <c r="D9" s="477" t="s">
        <v>142</v>
      </c>
      <c r="E9" s="666" t="s">
        <v>473</v>
      </c>
      <c r="F9" s="478"/>
      <c r="G9" s="478"/>
      <c r="H9" s="478"/>
      <c r="I9" s="479"/>
      <c r="J9" s="480"/>
      <c r="O9" s="481"/>
      <c r="P9" s="272"/>
    </row>
    <row r="10" spans="1:17">
      <c r="C10" s="482" t="s">
        <v>51</v>
      </c>
      <c r="D10" s="483">
        <v>13742804</v>
      </c>
      <c r="E10" s="353" t="s">
        <v>52</v>
      </c>
      <c r="F10" s="481"/>
      <c r="G10" s="484"/>
      <c r="H10" s="484"/>
      <c r="I10" s="485">
        <f>+'SWE.WS.F.BPU.ATRR.Projected'!L19</f>
        <v>2024</v>
      </c>
      <c r="J10" s="480"/>
      <c r="K10" s="375" t="s">
        <v>53</v>
      </c>
      <c r="O10" s="272"/>
      <c r="P10" s="272"/>
    </row>
    <row r="11" spans="1:17">
      <c r="C11" s="486" t="s">
        <v>54</v>
      </c>
      <c r="D11" s="487">
        <v>2009</v>
      </c>
      <c r="E11" s="486" t="s">
        <v>55</v>
      </c>
      <c r="F11" s="484"/>
      <c r="G11" s="233"/>
      <c r="H11" s="233"/>
      <c r="I11" s="488"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7">
      <c r="C12" s="486" t="s">
        <v>56</v>
      </c>
      <c r="D12" s="483">
        <v>6</v>
      </c>
      <c r="E12" s="486" t="s">
        <v>57</v>
      </c>
      <c r="F12" s="484"/>
      <c r="G12" s="233"/>
      <c r="H12" s="233"/>
      <c r="I12" s="490">
        <f>'SWE.WS.F.BPU.ATRR.Projected'!$F$81</f>
        <v>0.11952713165403545</v>
      </c>
      <c r="J12" s="425"/>
      <c r="K12" s="183" t="s">
        <v>58</v>
      </c>
      <c r="O12" s="272"/>
      <c r="P12" s="272"/>
    </row>
    <row r="13" spans="1:17">
      <c r="C13" s="486" t="s">
        <v>59</v>
      </c>
      <c r="D13" s="488">
        <f>+'SWE.WS.F.BPU.ATRR.Projected'!F$93</f>
        <v>44</v>
      </c>
      <c r="E13" s="486" t="s">
        <v>60</v>
      </c>
      <c r="F13" s="484"/>
      <c r="G13" s="233"/>
      <c r="H13" s="233"/>
      <c r="I13" s="490">
        <f>IF(G5="",I12,'SWE.WS.F.BPU.ATRR.Projected'!$F$80)</f>
        <v>0.11952713165403545</v>
      </c>
      <c r="J13" s="425"/>
      <c r="K13" s="375" t="s">
        <v>61</v>
      </c>
      <c r="L13" s="324"/>
      <c r="M13" s="324"/>
      <c r="N13" s="324"/>
      <c r="O13" s="272"/>
      <c r="P13" s="272"/>
    </row>
    <row r="14" spans="1:17" ht="13.5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312336.45454545453</v>
      </c>
      <c r="J14" s="375"/>
      <c r="K14" s="375"/>
      <c r="L14" s="375"/>
      <c r="M14" s="375"/>
      <c r="N14" s="375"/>
      <c r="O14" s="272"/>
      <c r="P14" s="272"/>
    </row>
    <row r="15" spans="1:17" ht="38.25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388</v>
      </c>
      <c r="H15" s="495" t="s">
        <v>389</v>
      </c>
      <c r="I15" s="496" t="s">
        <v>260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7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>
      <c r="C17" s="507">
        <f>IF(D11= "","-",D11)</f>
        <v>2009</v>
      </c>
      <c r="D17" s="508">
        <v>13558697</v>
      </c>
      <c r="E17" s="509">
        <v>0</v>
      </c>
      <c r="F17" s="508">
        <v>13558697</v>
      </c>
      <c r="G17" s="509">
        <v>173170</v>
      </c>
      <c r="H17" s="510">
        <v>173170</v>
      </c>
      <c r="I17" s="511">
        <f t="shared" ref="I17:I48" si="0">H17-G17</f>
        <v>0</v>
      </c>
      <c r="J17" s="511"/>
      <c r="K17" s="512">
        <v>173170</v>
      </c>
      <c r="L17" s="513">
        <f t="shared" ref="L17:L48" si="1">IF(K17&lt;&gt;0,+G17-K17,0)</f>
        <v>0</v>
      </c>
      <c r="M17" s="512">
        <v>173170</v>
      </c>
      <c r="N17" s="513">
        <f t="shared" ref="N17:N48" si="2">IF(M17&lt;&gt;0,+H17-M17,0)</f>
        <v>0</v>
      </c>
      <c r="O17" s="514">
        <f t="shared" ref="O17:O48" si="3">+N17-L17</f>
        <v>0</v>
      </c>
      <c r="P17" s="272"/>
    </row>
    <row r="18" spans="2:16">
      <c r="B18" s="195" t="str">
        <f>IF(D18=F17,"","IU")</f>
        <v>IU</v>
      </c>
      <c r="C18" s="507">
        <f>IF(D11="","-",+C17+1)</f>
        <v>2010</v>
      </c>
      <c r="D18" s="515">
        <v>14833730</v>
      </c>
      <c r="E18" s="516">
        <v>390361</v>
      </c>
      <c r="F18" s="515">
        <v>14443368</v>
      </c>
      <c r="G18" s="516">
        <v>2466812</v>
      </c>
      <c r="H18" s="510">
        <v>2466812</v>
      </c>
      <c r="I18" s="517">
        <v>0</v>
      </c>
      <c r="J18" s="511"/>
      <c r="K18" s="518">
        <f t="shared" ref="K18:K23" si="4">G18</f>
        <v>2466812</v>
      </c>
      <c r="L18" s="519">
        <f t="shared" si="1"/>
        <v>0</v>
      </c>
      <c r="M18" s="518">
        <f t="shared" ref="M18:M23" si="5">H18</f>
        <v>2466812</v>
      </c>
      <c r="N18" s="514">
        <f t="shared" si="2"/>
        <v>0</v>
      </c>
      <c r="O18" s="514">
        <f t="shared" si="3"/>
        <v>0</v>
      </c>
      <c r="P18" s="272"/>
    </row>
    <row r="19" spans="2:16">
      <c r="B19" s="195" t="str">
        <f>IF(D19=F18,"","IU")</f>
        <v>IU</v>
      </c>
      <c r="C19" s="507">
        <f>IF(D11="","-",+C18+1)</f>
        <v>2011</v>
      </c>
      <c r="D19" s="515">
        <v>13352442</v>
      </c>
      <c r="E19" s="516">
        <v>335190.31707317074</v>
      </c>
      <c r="F19" s="515">
        <v>13017251.68292683</v>
      </c>
      <c r="G19" s="516">
        <v>2368383.292220511</v>
      </c>
      <c r="H19" s="510">
        <v>2368383.292220511</v>
      </c>
      <c r="I19" s="517">
        <v>0</v>
      </c>
      <c r="J19" s="511"/>
      <c r="K19" s="518">
        <f t="shared" si="4"/>
        <v>2368383.292220511</v>
      </c>
      <c r="L19" s="519">
        <f t="shared" si="1"/>
        <v>0</v>
      </c>
      <c r="M19" s="518">
        <f t="shared" si="5"/>
        <v>2368383.292220511</v>
      </c>
      <c r="N19" s="514">
        <f t="shared" si="2"/>
        <v>0</v>
      </c>
      <c r="O19" s="514">
        <f t="shared" si="3"/>
        <v>0</v>
      </c>
      <c r="P19" s="272"/>
    </row>
    <row r="20" spans="2:16">
      <c r="B20" s="195" t="str">
        <f t="shared" ref="B20:B72" si="6">IF(D20=F19,"","IU")</f>
        <v/>
      </c>
      <c r="C20" s="507">
        <f>IF(D11="","-",+C19+1)</f>
        <v>2012</v>
      </c>
      <c r="D20" s="515">
        <v>13017251.68292683</v>
      </c>
      <c r="E20" s="520">
        <v>327209.59523809527</v>
      </c>
      <c r="F20" s="515">
        <v>12690042.087688735</v>
      </c>
      <c r="G20" s="516">
        <v>2214474.4319801349</v>
      </c>
      <c r="H20" s="510">
        <v>2214474.4319801349</v>
      </c>
      <c r="I20" s="517">
        <v>0</v>
      </c>
      <c r="J20" s="511"/>
      <c r="K20" s="518">
        <f t="shared" si="4"/>
        <v>2214474.4319801349</v>
      </c>
      <c r="L20" s="519">
        <f t="shared" si="1"/>
        <v>0</v>
      </c>
      <c r="M20" s="518">
        <f t="shared" si="5"/>
        <v>2214474.4319801349</v>
      </c>
      <c r="N20" s="514">
        <f t="shared" si="2"/>
        <v>0</v>
      </c>
      <c r="O20" s="514">
        <f t="shared" si="3"/>
        <v>0</v>
      </c>
      <c r="P20" s="272"/>
    </row>
    <row r="21" spans="2:16">
      <c r="B21" s="195" t="str">
        <f t="shared" si="6"/>
        <v/>
      </c>
      <c r="C21" s="507">
        <f>IF(D12="","-",+C20+1)</f>
        <v>2013</v>
      </c>
      <c r="D21" s="515">
        <v>12690042.087688735</v>
      </c>
      <c r="E21" s="520">
        <v>327209.59523809527</v>
      </c>
      <c r="F21" s="515">
        <v>12362832.49245064</v>
      </c>
      <c r="G21" s="516">
        <v>2057846.4420481771</v>
      </c>
      <c r="H21" s="510">
        <v>2057846.4420481771</v>
      </c>
      <c r="I21" s="511">
        <v>0</v>
      </c>
      <c r="J21" s="511"/>
      <c r="K21" s="518">
        <f t="shared" si="4"/>
        <v>2057846.4420481771</v>
      </c>
      <c r="L21" s="519">
        <f t="shared" ref="L21:L26" si="7">IF(K21&lt;&gt;0,+G21-K21,0)</f>
        <v>0</v>
      </c>
      <c r="M21" s="518">
        <f t="shared" si="5"/>
        <v>2057846.4420481771</v>
      </c>
      <c r="N21" s="514">
        <f t="shared" ref="N21:N26" si="8">IF(M21&lt;&gt;0,+H21-M21,0)</f>
        <v>0</v>
      </c>
      <c r="O21" s="514">
        <f t="shared" ref="O21:O26" si="9">+N21-L21</f>
        <v>0</v>
      </c>
      <c r="P21" s="272"/>
    </row>
    <row r="22" spans="2:16">
      <c r="B22" s="195" t="str">
        <f t="shared" si="6"/>
        <v/>
      </c>
      <c r="C22" s="507">
        <f>IF(D11="","-",+C21+1)</f>
        <v>2014</v>
      </c>
      <c r="D22" s="515">
        <v>12362832.49245064</v>
      </c>
      <c r="E22" s="520">
        <v>327209.59523809527</v>
      </c>
      <c r="F22" s="515">
        <v>12035622.897212544</v>
      </c>
      <c r="G22" s="516">
        <v>1950941.5974063124</v>
      </c>
      <c r="H22" s="510">
        <v>1950941.5974063124</v>
      </c>
      <c r="I22" s="511">
        <v>0</v>
      </c>
      <c r="J22" s="511"/>
      <c r="K22" s="518">
        <f t="shared" si="4"/>
        <v>1950941.5974063124</v>
      </c>
      <c r="L22" s="519">
        <f t="shared" si="7"/>
        <v>0</v>
      </c>
      <c r="M22" s="518">
        <f t="shared" si="5"/>
        <v>1950941.5974063124</v>
      </c>
      <c r="N22" s="514">
        <f t="shared" si="8"/>
        <v>0</v>
      </c>
      <c r="O22" s="514">
        <f t="shared" si="9"/>
        <v>0</v>
      </c>
      <c r="P22" s="272"/>
    </row>
    <row r="23" spans="2:16">
      <c r="B23" s="195" t="str">
        <f t="shared" si="6"/>
        <v/>
      </c>
      <c r="C23" s="507">
        <f>IF(D11="","-",+C22+1)</f>
        <v>2015</v>
      </c>
      <c r="D23" s="515">
        <v>12035622.897212544</v>
      </c>
      <c r="E23" s="520">
        <v>327209.59523809527</v>
      </c>
      <c r="F23" s="515">
        <v>11708413.301974449</v>
      </c>
      <c r="G23" s="516">
        <v>1869263.8389089857</v>
      </c>
      <c r="H23" s="510">
        <v>1869263.8389089857</v>
      </c>
      <c r="I23" s="511">
        <v>0</v>
      </c>
      <c r="J23" s="511"/>
      <c r="K23" s="518">
        <f t="shared" si="4"/>
        <v>1869263.8389089857</v>
      </c>
      <c r="L23" s="519">
        <f t="shared" si="7"/>
        <v>0</v>
      </c>
      <c r="M23" s="518">
        <f t="shared" si="5"/>
        <v>1869263.8389089857</v>
      </c>
      <c r="N23" s="514">
        <f t="shared" si="8"/>
        <v>0</v>
      </c>
      <c r="O23" s="514">
        <f t="shared" si="9"/>
        <v>0</v>
      </c>
      <c r="P23" s="272"/>
    </row>
    <row r="24" spans="2:16">
      <c r="B24" s="195" t="str">
        <f t="shared" si="6"/>
        <v>IU</v>
      </c>
      <c r="C24" s="507">
        <f>IF(D11="","-",+C23+1)</f>
        <v>2016</v>
      </c>
      <c r="D24" s="515">
        <v>11708414.301974449</v>
      </c>
      <c r="E24" s="520">
        <v>327209.61904761905</v>
      </c>
      <c r="F24" s="515">
        <v>11381204.68292683</v>
      </c>
      <c r="G24" s="516">
        <v>1807676.4398879381</v>
      </c>
      <c r="H24" s="510">
        <v>1807676.4398879381</v>
      </c>
      <c r="I24" s="511">
        <f t="shared" si="0"/>
        <v>0</v>
      </c>
      <c r="J24" s="511"/>
      <c r="K24" s="518">
        <f t="shared" ref="K24:K29" si="10">G24</f>
        <v>1807676.4398879381</v>
      </c>
      <c r="L24" s="519">
        <f t="shared" si="7"/>
        <v>0</v>
      </c>
      <c r="M24" s="518">
        <f t="shared" ref="M24:M29" si="11">H24</f>
        <v>1807676.4398879381</v>
      </c>
      <c r="N24" s="514">
        <f t="shared" si="8"/>
        <v>0</v>
      </c>
      <c r="O24" s="514">
        <f t="shared" si="9"/>
        <v>0</v>
      </c>
      <c r="P24" s="272"/>
    </row>
    <row r="25" spans="2:16">
      <c r="B25" s="195" t="str">
        <f t="shared" si="6"/>
        <v/>
      </c>
      <c r="C25" s="507">
        <f>IF(D11="","-",+C24+1)</f>
        <v>2017</v>
      </c>
      <c r="D25" s="515">
        <v>11381204.68292683</v>
      </c>
      <c r="E25" s="520">
        <v>319600.09302325582</v>
      </c>
      <c r="F25" s="515">
        <v>11061604.589903574</v>
      </c>
      <c r="G25" s="516">
        <v>1709848.34416372</v>
      </c>
      <c r="H25" s="510">
        <v>1709848.34416372</v>
      </c>
      <c r="I25" s="511">
        <f t="shared" si="0"/>
        <v>0</v>
      </c>
      <c r="J25" s="511"/>
      <c r="K25" s="518">
        <f t="shared" si="10"/>
        <v>1709848.34416372</v>
      </c>
      <c r="L25" s="519">
        <f t="shared" si="7"/>
        <v>0</v>
      </c>
      <c r="M25" s="518">
        <f t="shared" si="11"/>
        <v>1709848.34416372</v>
      </c>
      <c r="N25" s="514">
        <f t="shared" si="8"/>
        <v>0</v>
      </c>
      <c r="O25" s="514">
        <f t="shared" si="9"/>
        <v>0</v>
      </c>
      <c r="P25" s="272"/>
    </row>
    <row r="26" spans="2:16">
      <c r="B26" s="195" t="str">
        <f t="shared" si="6"/>
        <v/>
      </c>
      <c r="C26" s="507">
        <f>IF(D11="","-",+C25+1)</f>
        <v>2018</v>
      </c>
      <c r="D26" s="515">
        <v>11061604.589903574</v>
      </c>
      <c r="E26" s="520">
        <v>335190.34146341466</v>
      </c>
      <c r="F26" s="515">
        <v>10726414.248440159</v>
      </c>
      <c r="G26" s="516">
        <v>1719754.6523090333</v>
      </c>
      <c r="H26" s="510">
        <v>1719754.6523090333</v>
      </c>
      <c r="I26" s="511">
        <f t="shared" si="0"/>
        <v>0</v>
      </c>
      <c r="J26" s="511"/>
      <c r="K26" s="518">
        <f t="shared" si="10"/>
        <v>1719754.6523090333</v>
      </c>
      <c r="L26" s="519">
        <f t="shared" si="7"/>
        <v>0</v>
      </c>
      <c r="M26" s="518">
        <f t="shared" si="11"/>
        <v>1719754.6523090333</v>
      </c>
      <c r="N26" s="514">
        <f t="shared" si="8"/>
        <v>0</v>
      </c>
      <c r="O26" s="514">
        <f t="shared" si="9"/>
        <v>0</v>
      </c>
      <c r="P26" s="272"/>
    </row>
    <row r="27" spans="2:16">
      <c r="B27" s="195" t="str">
        <f t="shared" si="6"/>
        <v/>
      </c>
      <c r="C27" s="507">
        <f>IF(D11="","-",+C26+1)</f>
        <v>2019</v>
      </c>
      <c r="D27" s="515">
        <v>10726414.248440159</v>
      </c>
      <c r="E27" s="520">
        <v>335190.34146341466</v>
      </c>
      <c r="F27" s="515">
        <v>10391223.906976745</v>
      </c>
      <c r="G27" s="516">
        <v>1677153.9378912852</v>
      </c>
      <c r="H27" s="510">
        <v>1677153.9378912852</v>
      </c>
      <c r="I27" s="511">
        <f t="shared" si="0"/>
        <v>0</v>
      </c>
      <c r="J27" s="511"/>
      <c r="K27" s="518">
        <f t="shared" si="10"/>
        <v>1677153.9378912852</v>
      </c>
      <c r="L27" s="519">
        <f t="shared" ref="L27" si="12">IF(K27&lt;&gt;0,+G27-K27,0)</f>
        <v>0</v>
      </c>
      <c r="M27" s="518">
        <f t="shared" si="11"/>
        <v>1677153.9378912852</v>
      </c>
      <c r="N27" s="514">
        <f t="shared" si="2"/>
        <v>0</v>
      </c>
      <c r="O27" s="514">
        <f t="shared" si="3"/>
        <v>0</v>
      </c>
      <c r="P27" s="272"/>
    </row>
    <row r="28" spans="2:16">
      <c r="B28" s="195" t="str">
        <f t="shared" si="6"/>
        <v/>
      </c>
      <c r="C28" s="507">
        <f>IF(D11="","-",+C27+1)</f>
        <v>2020</v>
      </c>
      <c r="D28" s="515">
        <v>10391223.906976745</v>
      </c>
      <c r="E28" s="520">
        <v>335190.34146341466</v>
      </c>
      <c r="F28" s="515">
        <v>10056033.56551333</v>
      </c>
      <c r="G28" s="516">
        <v>1381430.0428702787</v>
      </c>
      <c r="H28" s="510">
        <v>1381430.0428702787</v>
      </c>
      <c r="I28" s="511">
        <f t="shared" si="0"/>
        <v>0</v>
      </c>
      <c r="J28" s="511"/>
      <c r="K28" s="518">
        <f t="shared" si="10"/>
        <v>1381430.0428702787</v>
      </c>
      <c r="L28" s="519">
        <f t="shared" ref="L28" si="13">IF(K28&lt;&gt;0,+G28-K28,0)</f>
        <v>0</v>
      </c>
      <c r="M28" s="518">
        <f t="shared" si="11"/>
        <v>1381430.0428702787</v>
      </c>
      <c r="N28" s="514">
        <f t="shared" si="2"/>
        <v>0</v>
      </c>
      <c r="O28" s="514">
        <f t="shared" si="3"/>
        <v>0</v>
      </c>
      <c r="P28" s="272"/>
    </row>
    <row r="29" spans="2:16">
      <c r="B29" s="195" t="str">
        <f t="shared" si="6"/>
        <v>IU</v>
      </c>
      <c r="C29" s="507">
        <f>IF(D11="","-",+C28+1)</f>
        <v>2021</v>
      </c>
      <c r="D29" s="515">
        <v>10071623.813953489</v>
      </c>
      <c r="E29" s="520">
        <v>327209.61904761905</v>
      </c>
      <c r="F29" s="515">
        <v>9744414.1949058697</v>
      </c>
      <c r="G29" s="516">
        <v>1377504.6658858405</v>
      </c>
      <c r="H29" s="510">
        <v>1377504.6658858405</v>
      </c>
      <c r="I29" s="511">
        <f t="shared" si="0"/>
        <v>0</v>
      </c>
      <c r="J29" s="511"/>
      <c r="K29" s="518">
        <f t="shared" si="10"/>
        <v>1377504.6658858405</v>
      </c>
      <c r="L29" s="519">
        <f t="shared" ref="L29" si="14">IF(K29&lt;&gt;0,+G29-K29,0)</f>
        <v>0</v>
      </c>
      <c r="M29" s="518">
        <f t="shared" si="11"/>
        <v>1377504.6658858405</v>
      </c>
      <c r="N29" s="514">
        <f t="shared" si="2"/>
        <v>0</v>
      </c>
      <c r="O29" s="514">
        <f t="shared" si="3"/>
        <v>0</v>
      </c>
      <c r="P29" s="272"/>
    </row>
    <row r="30" spans="2:16">
      <c r="B30" s="195" t="str">
        <f t="shared" si="6"/>
        <v>IU</v>
      </c>
      <c r="C30" s="507">
        <f>IF(D11="","-",+C29+1)</f>
        <v>2022</v>
      </c>
      <c r="D30" s="515">
        <v>9728823.946465712</v>
      </c>
      <c r="E30" s="520">
        <v>327209.61904761905</v>
      </c>
      <c r="F30" s="515">
        <v>9401614.3274180926</v>
      </c>
      <c r="G30" s="516">
        <v>1402762.0463897134</v>
      </c>
      <c r="H30" s="510">
        <v>1402762.0463897134</v>
      </c>
      <c r="I30" s="511">
        <f t="shared" si="0"/>
        <v>0</v>
      </c>
      <c r="J30" s="511"/>
      <c r="K30" s="518">
        <f t="shared" ref="K30" si="15">G30</f>
        <v>1402762.0463897134</v>
      </c>
      <c r="L30" s="519">
        <f t="shared" ref="L30" si="16">IF(K30&lt;&gt;0,+G30-K30,0)</f>
        <v>0</v>
      </c>
      <c r="M30" s="518">
        <f t="shared" ref="M30" si="17">H30</f>
        <v>1402762.0463897134</v>
      </c>
      <c r="N30" s="514">
        <f t="shared" si="2"/>
        <v>0</v>
      </c>
      <c r="O30" s="514">
        <f t="shared" si="3"/>
        <v>0</v>
      </c>
      <c r="P30" s="272"/>
    </row>
    <row r="31" spans="2:16">
      <c r="B31" s="195" t="str">
        <f t="shared" si="6"/>
        <v/>
      </c>
      <c r="C31" s="507">
        <f>IF(D11="","-",+C30+1)</f>
        <v>2023</v>
      </c>
      <c r="D31" s="515">
        <v>9401614.3274180926</v>
      </c>
      <c r="E31" s="520">
        <v>327209.61904761905</v>
      </c>
      <c r="F31" s="515">
        <v>9074404.7083704732</v>
      </c>
      <c r="G31" s="516">
        <v>1494217.6887684264</v>
      </c>
      <c r="H31" s="510">
        <v>1494217.6887684264</v>
      </c>
      <c r="I31" s="511">
        <f t="shared" si="0"/>
        <v>0</v>
      </c>
      <c r="J31" s="511"/>
      <c r="K31" s="518">
        <f t="shared" ref="K31" si="18">G31</f>
        <v>1494217.6887684264</v>
      </c>
      <c r="L31" s="519">
        <f t="shared" ref="L31" si="19">IF(K31&lt;&gt;0,+G31-K31,0)</f>
        <v>0</v>
      </c>
      <c r="M31" s="518">
        <f t="shared" ref="M31" si="20">H31</f>
        <v>1494217.6887684264</v>
      </c>
      <c r="N31" s="514">
        <f t="shared" ref="N31" si="21">IF(M31&lt;&gt;0,+H31-M31,0)</f>
        <v>0</v>
      </c>
      <c r="O31" s="514">
        <f t="shared" ref="O31" si="22">+N31-L31</f>
        <v>0</v>
      </c>
      <c r="P31" s="272"/>
    </row>
    <row r="32" spans="2:16">
      <c r="B32" s="195" t="str">
        <f t="shared" si="6"/>
        <v/>
      </c>
      <c r="C32" s="673">
        <f>IF(D11="","-",+C31+1)</f>
        <v>2024</v>
      </c>
      <c r="D32" s="523">
        <f>IF(F31+SUM(E$17:E31)=D$10,F31,D$10-SUM(E$17:E31))</f>
        <v>9074404.7083704732</v>
      </c>
      <c r="E32" s="522">
        <f>IF(+I14&lt;F31,I14,D32)</f>
        <v>312336.45454545453</v>
      </c>
      <c r="F32" s="523">
        <f t="shared" ref="F32:F48" si="23">+D32-E32</f>
        <v>8762068.2538250182</v>
      </c>
      <c r="G32" s="524">
        <f t="shared" ref="G32:G72" si="24">+I$12*((D32+F32)/2)+E32</f>
        <v>1378307.6805434467</v>
      </c>
      <c r="H32" s="491">
        <f t="shared" ref="H32:H72" si="25">+I$13*((D32+F32)/2)+E32</f>
        <v>1378307.6805434467</v>
      </c>
      <c r="I32" s="511">
        <f t="shared" si="0"/>
        <v>0</v>
      </c>
      <c r="J32" s="511"/>
      <c r="K32" s="525"/>
      <c r="L32" s="514">
        <f t="shared" si="1"/>
        <v>0</v>
      </c>
      <c r="M32" s="525"/>
      <c r="N32" s="514">
        <f t="shared" si="2"/>
        <v>0</v>
      </c>
      <c r="O32" s="514">
        <f t="shared" si="3"/>
        <v>0</v>
      </c>
      <c r="P32" s="272"/>
    </row>
    <row r="33" spans="2:16">
      <c r="B33" s="195" t="str">
        <f t="shared" si="6"/>
        <v/>
      </c>
      <c r="C33" s="507">
        <f>IF(D11="","-",+C32+1)</f>
        <v>2025</v>
      </c>
      <c r="D33" s="523">
        <f>IF(F32+SUM(E$17:E32)=D$10,F32,D$10-SUM(E$17:E32))</f>
        <v>8762068.2538250182</v>
      </c>
      <c r="E33" s="522">
        <f>IF(+I14&lt;F32,I14,D33)</f>
        <v>312336.45454545453</v>
      </c>
      <c r="F33" s="523">
        <f t="shared" si="23"/>
        <v>8449731.7992795631</v>
      </c>
      <c r="G33" s="524">
        <f t="shared" si="24"/>
        <v>1340975.0000206372</v>
      </c>
      <c r="H33" s="491">
        <f t="shared" si="25"/>
        <v>1340975.0000206372</v>
      </c>
      <c r="I33" s="511">
        <f t="shared" si="0"/>
        <v>0</v>
      </c>
      <c r="J33" s="511"/>
      <c r="K33" s="525"/>
      <c r="L33" s="514">
        <f t="shared" si="1"/>
        <v>0</v>
      </c>
      <c r="M33" s="525"/>
      <c r="N33" s="514">
        <f t="shared" si="2"/>
        <v>0</v>
      </c>
      <c r="O33" s="514">
        <f t="shared" si="3"/>
        <v>0</v>
      </c>
      <c r="P33" s="272"/>
    </row>
    <row r="34" spans="2:16">
      <c r="B34" s="195" t="str">
        <f t="shared" si="6"/>
        <v/>
      </c>
      <c r="C34" s="507">
        <f>IF(D11="","-",+C33+1)</f>
        <v>2026</v>
      </c>
      <c r="D34" s="523">
        <f>IF(F33+SUM(E$17:E33)=D$10,F33,D$10-SUM(E$17:E33))</f>
        <v>8449731.7992795631</v>
      </c>
      <c r="E34" s="522">
        <f>IF(+I14&lt;F33,I14,D34)</f>
        <v>312336.45454545453</v>
      </c>
      <c r="F34" s="523">
        <f t="shared" si="23"/>
        <v>8137395.344734109</v>
      </c>
      <c r="G34" s="524">
        <f t="shared" si="24"/>
        <v>1303642.3194978281</v>
      </c>
      <c r="H34" s="491">
        <f t="shared" si="25"/>
        <v>1303642.3194978281</v>
      </c>
      <c r="I34" s="511">
        <f t="shared" si="0"/>
        <v>0</v>
      </c>
      <c r="J34" s="511"/>
      <c r="K34" s="525"/>
      <c r="L34" s="514">
        <f t="shared" si="1"/>
        <v>0</v>
      </c>
      <c r="M34" s="525"/>
      <c r="N34" s="514">
        <f t="shared" si="2"/>
        <v>0</v>
      </c>
      <c r="O34" s="514">
        <f t="shared" si="3"/>
        <v>0</v>
      </c>
      <c r="P34" s="272"/>
    </row>
    <row r="35" spans="2:16">
      <c r="B35" s="195" t="str">
        <f t="shared" si="6"/>
        <v/>
      </c>
      <c r="C35" s="507">
        <f>IF(D11="","-",+C34+1)</f>
        <v>2027</v>
      </c>
      <c r="D35" s="523">
        <f>IF(F34+SUM(E$17:E34)=D$10,F34,D$10-SUM(E$17:E34))</f>
        <v>8137395.344734109</v>
      </c>
      <c r="E35" s="522">
        <f>IF(+I14&lt;F34,I14,D35)</f>
        <v>312336.45454545453</v>
      </c>
      <c r="F35" s="523">
        <f t="shared" si="23"/>
        <v>7825058.8901886549</v>
      </c>
      <c r="G35" s="524">
        <f t="shared" si="24"/>
        <v>1266309.6389750189</v>
      </c>
      <c r="H35" s="491">
        <f t="shared" si="25"/>
        <v>1266309.6389750189</v>
      </c>
      <c r="I35" s="511">
        <f t="shared" si="0"/>
        <v>0</v>
      </c>
      <c r="J35" s="511"/>
      <c r="K35" s="525"/>
      <c r="L35" s="514">
        <f t="shared" si="1"/>
        <v>0</v>
      </c>
      <c r="M35" s="525"/>
      <c r="N35" s="514">
        <f t="shared" si="2"/>
        <v>0</v>
      </c>
      <c r="O35" s="514">
        <f t="shared" si="3"/>
        <v>0</v>
      </c>
      <c r="P35" s="272"/>
    </row>
    <row r="36" spans="2:16">
      <c r="B36" s="195" t="str">
        <f t="shared" si="6"/>
        <v/>
      </c>
      <c r="C36" s="507">
        <f>IF(D11="","-",+C35+1)</f>
        <v>2028</v>
      </c>
      <c r="D36" s="523">
        <f>IF(F35+SUM(E$17:E35)=D$10,F35,D$10-SUM(E$17:E35))</f>
        <v>7825058.8901886549</v>
      </c>
      <c r="E36" s="522">
        <f>IF(+I14&lt;F35,I14,D36)</f>
        <v>312336.45454545453</v>
      </c>
      <c r="F36" s="523">
        <f t="shared" si="23"/>
        <v>7512722.4356432008</v>
      </c>
      <c r="G36" s="524">
        <f t="shared" si="24"/>
        <v>1228976.9584522098</v>
      </c>
      <c r="H36" s="491">
        <f t="shared" si="25"/>
        <v>1228976.9584522098</v>
      </c>
      <c r="I36" s="511">
        <f t="shared" si="0"/>
        <v>0</v>
      </c>
      <c r="J36" s="511"/>
      <c r="K36" s="525"/>
      <c r="L36" s="514">
        <f t="shared" si="1"/>
        <v>0</v>
      </c>
      <c r="M36" s="525"/>
      <c r="N36" s="514">
        <f t="shared" si="2"/>
        <v>0</v>
      </c>
      <c r="O36" s="514">
        <f t="shared" si="3"/>
        <v>0</v>
      </c>
      <c r="P36" s="272"/>
    </row>
    <row r="37" spans="2:16">
      <c r="B37" s="195" t="str">
        <f t="shared" si="6"/>
        <v/>
      </c>
      <c r="C37" s="507">
        <f>IF(D11="","-",+C36+1)</f>
        <v>2029</v>
      </c>
      <c r="D37" s="523">
        <f>IF(F36+SUM(E$17:E36)=D$10,F36,D$10-SUM(E$17:E36))</f>
        <v>7512722.4356432008</v>
      </c>
      <c r="E37" s="522">
        <f>IF(+I14&lt;F36,I14,D37)</f>
        <v>312336.45454545453</v>
      </c>
      <c r="F37" s="523">
        <f t="shared" si="23"/>
        <v>7200385.9810977466</v>
      </c>
      <c r="G37" s="524">
        <f t="shared" si="24"/>
        <v>1191644.2779294006</v>
      </c>
      <c r="H37" s="491">
        <f t="shared" si="25"/>
        <v>1191644.2779294006</v>
      </c>
      <c r="I37" s="511">
        <f t="shared" si="0"/>
        <v>0</v>
      </c>
      <c r="J37" s="511"/>
      <c r="K37" s="525"/>
      <c r="L37" s="514">
        <f t="shared" si="1"/>
        <v>0</v>
      </c>
      <c r="M37" s="525"/>
      <c r="N37" s="514">
        <f t="shared" si="2"/>
        <v>0</v>
      </c>
      <c r="O37" s="514">
        <f t="shared" si="3"/>
        <v>0</v>
      </c>
      <c r="P37" s="272"/>
    </row>
    <row r="38" spans="2:16">
      <c r="B38" s="195" t="str">
        <f t="shared" si="6"/>
        <v/>
      </c>
      <c r="C38" s="507">
        <f>IF(D11="","-",+C37+1)</f>
        <v>2030</v>
      </c>
      <c r="D38" s="523">
        <f>IF(F37+SUM(E$17:E37)=D$10,F37,D$10-SUM(E$17:E37))</f>
        <v>7200385.9810977466</v>
      </c>
      <c r="E38" s="522">
        <f>IF(+I14&lt;F37,I14,D38)</f>
        <v>312336.45454545453</v>
      </c>
      <c r="F38" s="523">
        <f t="shared" si="23"/>
        <v>6888049.5265522925</v>
      </c>
      <c r="G38" s="524">
        <f t="shared" si="24"/>
        <v>1154311.5974065915</v>
      </c>
      <c r="H38" s="491">
        <f t="shared" si="25"/>
        <v>1154311.5974065915</v>
      </c>
      <c r="I38" s="511">
        <f t="shared" si="0"/>
        <v>0</v>
      </c>
      <c r="J38" s="511"/>
      <c r="K38" s="525"/>
      <c r="L38" s="514">
        <f t="shared" si="1"/>
        <v>0</v>
      </c>
      <c r="M38" s="525"/>
      <c r="N38" s="514">
        <f t="shared" si="2"/>
        <v>0</v>
      </c>
      <c r="O38" s="514">
        <f t="shared" si="3"/>
        <v>0</v>
      </c>
      <c r="P38" s="272"/>
    </row>
    <row r="39" spans="2:16">
      <c r="B39" s="195" t="str">
        <f t="shared" si="6"/>
        <v/>
      </c>
      <c r="C39" s="507">
        <f>IF(D11="","-",+C38+1)</f>
        <v>2031</v>
      </c>
      <c r="D39" s="523">
        <f>IF(F38+SUM(E$17:E38)=D$10,F38,D$10-SUM(E$17:E38))</f>
        <v>6888049.5265522925</v>
      </c>
      <c r="E39" s="522">
        <f>IF(+I14&lt;F38,I14,D39)</f>
        <v>312336.45454545453</v>
      </c>
      <c r="F39" s="523">
        <f t="shared" si="23"/>
        <v>6575713.0720068384</v>
      </c>
      <c r="G39" s="524">
        <f t="shared" si="24"/>
        <v>1116978.9168837823</v>
      </c>
      <c r="H39" s="491">
        <f t="shared" si="25"/>
        <v>1116978.9168837823</v>
      </c>
      <c r="I39" s="511">
        <f t="shared" si="0"/>
        <v>0</v>
      </c>
      <c r="J39" s="511"/>
      <c r="K39" s="525"/>
      <c r="L39" s="514">
        <f t="shared" si="1"/>
        <v>0</v>
      </c>
      <c r="M39" s="525"/>
      <c r="N39" s="514">
        <f t="shared" si="2"/>
        <v>0</v>
      </c>
      <c r="O39" s="514">
        <f t="shared" si="3"/>
        <v>0</v>
      </c>
      <c r="P39" s="272"/>
    </row>
    <row r="40" spans="2:16">
      <c r="B40" s="195" t="str">
        <f t="shared" si="6"/>
        <v/>
      </c>
      <c r="C40" s="507">
        <f>IF(D11="","-",+C39+1)</f>
        <v>2032</v>
      </c>
      <c r="D40" s="523">
        <f>IF(F39+SUM(E$17:E39)=D$10,F39,D$10-SUM(E$17:E39))</f>
        <v>6575713.0720068384</v>
      </c>
      <c r="E40" s="522">
        <f>IF(+I14&lt;F39,I14,D40)</f>
        <v>312336.45454545453</v>
      </c>
      <c r="F40" s="523">
        <f t="shared" si="23"/>
        <v>6263376.6174613843</v>
      </c>
      <c r="G40" s="524">
        <f t="shared" si="24"/>
        <v>1079646.2363609732</v>
      </c>
      <c r="H40" s="491">
        <f t="shared" si="25"/>
        <v>1079646.2363609732</v>
      </c>
      <c r="I40" s="511">
        <f t="shared" si="0"/>
        <v>0</v>
      </c>
      <c r="J40" s="511"/>
      <c r="K40" s="525"/>
      <c r="L40" s="514">
        <f t="shared" si="1"/>
        <v>0</v>
      </c>
      <c r="M40" s="525"/>
      <c r="N40" s="514">
        <f t="shared" si="2"/>
        <v>0</v>
      </c>
      <c r="O40" s="514">
        <f t="shared" si="3"/>
        <v>0</v>
      </c>
      <c r="P40" s="272"/>
    </row>
    <row r="41" spans="2:16">
      <c r="B41" s="195" t="str">
        <f t="shared" si="6"/>
        <v/>
      </c>
      <c r="C41" s="507">
        <f>IF(D11="","-",+C40+1)</f>
        <v>2033</v>
      </c>
      <c r="D41" s="523">
        <f>IF(F40+SUM(E$17:E40)=D$10,F40,D$10-SUM(E$17:E40))</f>
        <v>6263376.6174613843</v>
      </c>
      <c r="E41" s="522">
        <f>IF(+I14&lt;F40,I14,D41)</f>
        <v>312336.45454545453</v>
      </c>
      <c r="F41" s="523">
        <f t="shared" si="23"/>
        <v>5951040.1629159302</v>
      </c>
      <c r="G41" s="524">
        <f t="shared" si="24"/>
        <v>1042313.5558381639</v>
      </c>
      <c r="H41" s="491">
        <f t="shared" si="25"/>
        <v>1042313.5558381639</v>
      </c>
      <c r="I41" s="511">
        <f t="shared" si="0"/>
        <v>0</v>
      </c>
      <c r="J41" s="511"/>
      <c r="K41" s="525"/>
      <c r="L41" s="514">
        <f t="shared" si="1"/>
        <v>0</v>
      </c>
      <c r="M41" s="525"/>
      <c r="N41" s="514">
        <f t="shared" si="2"/>
        <v>0</v>
      </c>
      <c r="O41" s="514">
        <f t="shared" si="3"/>
        <v>0</v>
      </c>
      <c r="P41" s="272"/>
    </row>
    <row r="42" spans="2:16">
      <c r="B42" s="195" t="str">
        <f t="shared" si="6"/>
        <v/>
      </c>
      <c r="C42" s="507">
        <f>IF(D11="","-",+C41+1)</f>
        <v>2034</v>
      </c>
      <c r="D42" s="523">
        <f>IF(F41+SUM(E$17:E41)=D$10,F41,D$10-SUM(E$17:E41))</f>
        <v>5951040.1629159302</v>
      </c>
      <c r="E42" s="522">
        <f>IF(+I14&lt;F41,I14,D42)</f>
        <v>312336.45454545453</v>
      </c>
      <c r="F42" s="523">
        <f t="shared" si="23"/>
        <v>5638703.708370476</v>
      </c>
      <c r="G42" s="524">
        <f t="shared" si="24"/>
        <v>1004980.8753153549</v>
      </c>
      <c r="H42" s="491">
        <f t="shared" si="25"/>
        <v>1004980.8753153549</v>
      </c>
      <c r="I42" s="511">
        <f t="shared" si="0"/>
        <v>0</v>
      </c>
      <c r="J42" s="511"/>
      <c r="K42" s="525"/>
      <c r="L42" s="514">
        <f t="shared" si="1"/>
        <v>0</v>
      </c>
      <c r="M42" s="525"/>
      <c r="N42" s="514">
        <f t="shared" si="2"/>
        <v>0</v>
      </c>
      <c r="O42" s="514">
        <f t="shared" si="3"/>
        <v>0</v>
      </c>
      <c r="P42" s="272"/>
    </row>
    <row r="43" spans="2:16">
      <c r="B43" s="195" t="str">
        <f t="shared" si="6"/>
        <v/>
      </c>
      <c r="C43" s="507">
        <f>IF(D11="","-",+C42+1)</f>
        <v>2035</v>
      </c>
      <c r="D43" s="523">
        <f>IF(F42+SUM(E$17:E42)=D$10,F42,D$10-SUM(E$17:E42))</f>
        <v>5638703.708370476</v>
      </c>
      <c r="E43" s="522">
        <f>IF(+I14&lt;F42,I14,D43)</f>
        <v>312336.45454545453</v>
      </c>
      <c r="F43" s="523">
        <f t="shared" si="23"/>
        <v>5326367.2538250219</v>
      </c>
      <c r="G43" s="524">
        <f t="shared" si="24"/>
        <v>967648.19479254563</v>
      </c>
      <c r="H43" s="491">
        <f t="shared" si="25"/>
        <v>967648.19479254563</v>
      </c>
      <c r="I43" s="511">
        <f t="shared" si="0"/>
        <v>0</v>
      </c>
      <c r="J43" s="511"/>
      <c r="K43" s="525"/>
      <c r="L43" s="514">
        <f t="shared" si="1"/>
        <v>0</v>
      </c>
      <c r="M43" s="525"/>
      <c r="N43" s="514">
        <f t="shared" si="2"/>
        <v>0</v>
      </c>
      <c r="O43" s="514">
        <f t="shared" si="3"/>
        <v>0</v>
      </c>
      <c r="P43" s="272"/>
    </row>
    <row r="44" spans="2:16">
      <c r="B44" s="195" t="str">
        <f t="shared" si="6"/>
        <v/>
      </c>
      <c r="C44" s="507">
        <f>IF(D11="","-",+C43+1)</f>
        <v>2036</v>
      </c>
      <c r="D44" s="523">
        <f>IF(F43+SUM(E$17:E43)=D$10,F43,D$10-SUM(E$17:E43))</f>
        <v>5326367.2538250219</v>
      </c>
      <c r="E44" s="522">
        <f>IF(+I14&lt;F43,I14,D44)</f>
        <v>312336.45454545453</v>
      </c>
      <c r="F44" s="523">
        <f t="shared" si="23"/>
        <v>5014030.7992795678</v>
      </c>
      <c r="G44" s="524">
        <f t="shared" si="24"/>
        <v>930315.5142697366</v>
      </c>
      <c r="H44" s="491">
        <f t="shared" si="25"/>
        <v>930315.5142697366</v>
      </c>
      <c r="I44" s="511">
        <f t="shared" si="0"/>
        <v>0</v>
      </c>
      <c r="J44" s="511"/>
      <c r="K44" s="525"/>
      <c r="L44" s="514">
        <f t="shared" si="1"/>
        <v>0</v>
      </c>
      <c r="M44" s="525"/>
      <c r="N44" s="514">
        <f t="shared" si="2"/>
        <v>0</v>
      </c>
      <c r="O44" s="514">
        <f t="shared" si="3"/>
        <v>0</v>
      </c>
      <c r="P44" s="272"/>
    </row>
    <row r="45" spans="2:16">
      <c r="B45" s="195" t="str">
        <f t="shared" si="6"/>
        <v/>
      </c>
      <c r="C45" s="507">
        <f>IF(D11="","-",+C44+1)</f>
        <v>2037</v>
      </c>
      <c r="D45" s="523">
        <f>IF(F44+SUM(E$17:E44)=D$10,F44,D$10-SUM(E$17:E44))</f>
        <v>5014030.7992795678</v>
      </c>
      <c r="E45" s="522">
        <f>IF(+I14&lt;F44,I14,D45)</f>
        <v>312336.45454545453</v>
      </c>
      <c r="F45" s="523">
        <f t="shared" si="23"/>
        <v>4701694.3447341137</v>
      </c>
      <c r="G45" s="524">
        <f t="shared" si="24"/>
        <v>892982.83374692732</v>
      </c>
      <c r="H45" s="491">
        <f t="shared" si="25"/>
        <v>892982.83374692732</v>
      </c>
      <c r="I45" s="511">
        <f t="shared" si="0"/>
        <v>0</v>
      </c>
      <c r="J45" s="511"/>
      <c r="K45" s="525"/>
      <c r="L45" s="514">
        <f t="shared" si="1"/>
        <v>0</v>
      </c>
      <c r="M45" s="525"/>
      <c r="N45" s="514">
        <f t="shared" si="2"/>
        <v>0</v>
      </c>
      <c r="O45" s="514">
        <f t="shared" si="3"/>
        <v>0</v>
      </c>
      <c r="P45" s="272"/>
    </row>
    <row r="46" spans="2:16">
      <c r="B46" s="195" t="str">
        <f t="shared" si="6"/>
        <v/>
      </c>
      <c r="C46" s="507">
        <f>IF(D11="","-",+C45+1)</f>
        <v>2038</v>
      </c>
      <c r="D46" s="523">
        <f>IF(F45+SUM(E$17:E45)=D$10,F45,D$10-SUM(E$17:E45))</f>
        <v>4701694.3447341137</v>
      </c>
      <c r="E46" s="522">
        <f>IF(+I14&lt;F45,I14,D46)</f>
        <v>312336.45454545453</v>
      </c>
      <c r="F46" s="523">
        <f t="shared" si="23"/>
        <v>4389357.8901886595</v>
      </c>
      <c r="G46" s="524">
        <f t="shared" si="24"/>
        <v>855650.15322411829</v>
      </c>
      <c r="H46" s="491">
        <f t="shared" si="25"/>
        <v>855650.15322411829</v>
      </c>
      <c r="I46" s="511">
        <f t="shared" si="0"/>
        <v>0</v>
      </c>
      <c r="J46" s="511"/>
      <c r="K46" s="525"/>
      <c r="L46" s="514">
        <f t="shared" si="1"/>
        <v>0</v>
      </c>
      <c r="M46" s="525"/>
      <c r="N46" s="514">
        <f t="shared" si="2"/>
        <v>0</v>
      </c>
      <c r="O46" s="514">
        <f t="shared" si="3"/>
        <v>0</v>
      </c>
      <c r="P46" s="272"/>
    </row>
    <row r="47" spans="2:16">
      <c r="B47" s="195" t="str">
        <f t="shared" si="6"/>
        <v/>
      </c>
      <c r="C47" s="507">
        <f>IF(D11="","-",+C46+1)</f>
        <v>2039</v>
      </c>
      <c r="D47" s="523">
        <f>IF(F46+SUM(E$17:E46)=D$10,F46,D$10-SUM(E$17:E46))</f>
        <v>4389357.8901886595</v>
      </c>
      <c r="E47" s="522">
        <f>IF(+I14&lt;F46,I14,D47)</f>
        <v>312336.45454545453</v>
      </c>
      <c r="F47" s="523">
        <f t="shared" si="23"/>
        <v>4077021.435643205</v>
      </c>
      <c r="G47" s="524">
        <f t="shared" si="24"/>
        <v>818317.47270130902</v>
      </c>
      <c r="H47" s="491">
        <f t="shared" si="25"/>
        <v>818317.47270130902</v>
      </c>
      <c r="I47" s="511">
        <f t="shared" si="0"/>
        <v>0</v>
      </c>
      <c r="J47" s="511"/>
      <c r="K47" s="525"/>
      <c r="L47" s="514">
        <f t="shared" si="1"/>
        <v>0</v>
      </c>
      <c r="M47" s="525"/>
      <c r="N47" s="514">
        <f t="shared" si="2"/>
        <v>0</v>
      </c>
      <c r="O47" s="514">
        <f t="shared" si="3"/>
        <v>0</v>
      </c>
      <c r="P47" s="272"/>
    </row>
    <row r="48" spans="2:16">
      <c r="B48" s="195" t="str">
        <f t="shared" si="6"/>
        <v/>
      </c>
      <c r="C48" s="507">
        <f>IF(D11="","-",+C47+1)</f>
        <v>2040</v>
      </c>
      <c r="D48" s="523">
        <f>IF(F47+SUM(E$17:E47)=D$10,F47,D$10-SUM(E$17:E47))</f>
        <v>4077021.435643205</v>
      </c>
      <c r="E48" s="522">
        <f>IF(+I14&lt;F47,I14,D48)</f>
        <v>312336.45454545453</v>
      </c>
      <c r="F48" s="523">
        <f t="shared" si="23"/>
        <v>3764684.9810977504</v>
      </c>
      <c r="G48" s="524">
        <f t="shared" si="24"/>
        <v>780984.79217849998</v>
      </c>
      <c r="H48" s="491">
        <f t="shared" si="25"/>
        <v>780984.79217849998</v>
      </c>
      <c r="I48" s="511">
        <f t="shared" si="0"/>
        <v>0</v>
      </c>
      <c r="J48" s="511"/>
      <c r="K48" s="525"/>
      <c r="L48" s="514">
        <f t="shared" si="1"/>
        <v>0</v>
      </c>
      <c r="M48" s="525"/>
      <c r="N48" s="514">
        <f t="shared" si="2"/>
        <v>0</v>
      </c>
      <c r="O48" s="514">
        <f t="shared" si="3"/>
        <v>0</v>
      </c>
      <c r="P48" s="272"/>
    </row>
    <row r="49" spans="2:17">
      <c r="B49" s="195" t="str">
        <f t="shared" si="6"/>
        <v/>
      </c>
      <c r="C49" s="507">
        <f>IF(D11="","-",+C48+1)</f>
        <v>2041</v>
      </c>
      <c r="D49" s="523">
        <f>IF(F48+SUM(E$17:E48)=D$10,F48,D$10-SUM(E$17:E48))</f>
        <v>3764684.9810977504</v>
      </c>
      <c r="E49" s="522">
        <f>IF(+I14&lt;F48,I14,D49)</f>
        <v>312336.45454545453</v>
      </c>
      <c r="F49" s="523">
        <f t="shared" ref="F49:F72" si="26">+D49-E49</f>
        <v>3452348.5265522958</v>
      </c>
      <c r="G49" s="524">
        <f t="shared" si="24"/>
        <v>743652.11165569071</v>
      </c>
      <c r="H49" s="491">
        <f t="shared" si="25"/>
        <v>743652.11165569071</v>
      </c>
      <c r="I49" s="511">
        <f t="shared" ref="I49:I72" si="27">H49-G49</f>
        <v>0</v>
      </c>
      <c r="J49" s="511"/>
      <c r="K49" s="525"/>
      <c r="L49" s="514">
        <f t="shared" ref="L49:L72" si="28">IF(K49&lt;&gt;0,+G49-K49,0)</f>
        <v>0</v>
      </c>
      <c r="M49" s="525"/>
      <c r="N49" s="514">
        <f t="shared" ref="N49:N72" si="29">IF(M49&lt;&gt;0,+H49-M49,0)</f>
        <v>0</v>
      </c>
      <c r="O49" s="514">
        <f t="shared" ref="O49:O72" si="30">+N49-L49</f>
        <v>0</v>
      </c>
      <c r="P49" s="272"/>
    </row>
    <row r="50" spans="2:17">
      <c r="B50" s="195" t="str">
        <f t="shared" si="6"/>
        <v/>
      </c>
      <c r="C50" s="507">
        <f>IF(D11="","-",+C49+1)</f>
        <v>2042</v>
      </c>
      <c r="D50" s="523">
        <f>IF(F49+SUM(E$17:E49)=D$10,F49,D$10-SUM(E$17:E49))</f>
        <v>3452348.5265522958</v>
      </c>
      <c r="E50" s="522">
        <f>IF(+I14&lt;F49,I14,D50)</f>
        <v>312336.45454545453</v>
      </c>
      <c r="F50" s="523">
        <f t="shared" si="26"/>
        <v>3140012.0720068412</v>
      </c>
      <c r="G50" s="524">
        <f t="shared" si="24"/>
        <v>706319.43113288144</v>
      </c>
      <c r="H50" s="491">
        <f t="shared" si="25"/>
        <v>706319.43113288144</v>
      </c>
      <c r="I50" s="511">
        <f t="shared" si="27"/>
        <v>0</v>
      </c>
      <c r="J50" s="511"/>
      <c r="K50" s="525"/>
      <c r="L50" s="514">
        <f t="shared" si="28"/>
        <v>0</v>
      </c>
      <c r="M50" s="525"/>
      <c r="N50" s="514">
        <f t="shared" si="29"/>
        <v>0</v>
      </c>
      <c r="O50" s="514">
        <f t="shared" si="30"/>
        <v>0</v>
      </c>
      <c r="P50" s="272"/>
    </row>
    <row r="51" spans="2:17">
      <c r="B51" s="195" t="str">
        <f t="shared" si="6"/>
        <v/>
      </c>
      <c r="C51" s="507">
        <f>IF(D11="","-",+C50+1)</f>
        <v>2043</v>
      </c>
      <c r="D51" s="523">
        <f>IF(F50+SUM(E$17:E50)=D$10,F50,D$10-SUM(E$17:E50))</f>
        <v>3140012.0720068412</v>
      </c>
      <c r="E51" s="522">
        <f>IF(+I14&lt;F50,I14,D51)</f>
        <v>312336.45454545453</v>
      </c>
      <c r="F51" s="523">
        <f t="shared" si="26"/>
        <v>2827675.6174613866</v>
      </c>
      <c r="G51" s="524">
        <f t="shared" si="24"/>
        <v>668986.75061007217</v>
      </c>
      <c r="H51" s="491">
        <f t="shared" si="25"/>
        <v>668986.75061007217</v>
      </c>
      <c r="I51" s="511">
        <f t="shared" si="27"/>
        <v>0</v>
      </c>
      <c r="J51" s="511"/>
      <c r="K51" s="525"/>
      <c r="L51" s="514">
        <f t="shared" si="28"/>
        <v>0</v>
      </c>
      <c r="M51" s="525"/>
      <c r="N51" s="514">
        <f t="shared" si="29"/>
        <v>0</v>
      </c>
      <c r="O51" s="514">
        <f t="shared" si="30"/>
        <v>0</v>
      </c>
      <c r="P51" s="272"/>
    </row>
    <row r="52" spans="2:17">
      <c r="B52" s="195" t="str">
        <f t="shared" si="6"/>
        <v/>
      </c>
      <c r="C52" s="507">
        <f>IF(D11="","-",+C51+1)</f>
        <v>2044</v>
      </c>
      <c r="D52" s="523">
        <f>IF(F51+SUM(E$17:E51)=D$10,F51,D$10-SUM(E$17:E51))</f>
        <v>2827675.6174613866</v>
      </c>
      <c r="E52" s="522">
        <f>IF(+I14&lt;F51,I14,D52)</f>
        <v>312336.45454545453</v>
      </c>
      <c r="F52" s="523">
        <f t="shared" si="26"/>
        <v>2515339.162915932</v>
      </c>
      <c r="G52" s="524">
        <f t="shared" si="24"/>
        <v>631654.07008726313</v>
      </c>
      <c r="H52" s="491">
        <f t="shared" si="25"/>
        <v>631654.07008726313</v>
      </c>
      <c r="I52" s="511">
        <f t="shared" si="27"/>
        <v>0</v>
      </c>
      <c r="J52" s="511"/>
      <c r="K52" s="525"/>
      <c r="L52" s="514">
        <f t="shared" si="28"/>
        <v>0</v>
      </c>
      <c r="M52" s="525"/>
      <c r="N52" s="514">
        <f t="shared" si="29"/>
        <v>0</v>
      </c>
      <c r="O52" s="514">
        <f t="shared" si="30"/>
        <v>0</v>
      </c>
      <c r="P52" s="272"/>
    </row>
    <row r="53" spans="2:17">
      <c r="B53" s="195" t="str">
        <f t="shared" si="6"/>
        <v/>
      </c>
      <c r="C53" s="507">
        <f>IF(D11="","-",+C52+1)</f>
        <v>2045</v>
      </c>
      <c r="D53" s="523">
        <f>IF(F52+SUM(E$17:E52)=D$10,F52,D$10-SUM(E$17:E52))</f>
        <v>2515339.162915932</v>
      </c>
      <c r="E53" s="522">
        <f>IF(+I14&lt;F52,I14,D53)</f>
        <v>312336.45454545453</v>
      </c>
      <c r="F53" s="523">
        <f t="shared" si="26"/>
        <v>2203002.7083704774</v>
      </c>
      <c r="G53" s="524">
        <f t="shared" si="24"/>
        <v>594321.38956445386</v>
      </c>
      <c r="H53" s="491">
        <f t="shared" si="25"/>
        <v>594321.38956445386</v>
      </c>
      <c r="I53" s="511">
        <f t="shared" si="27"/>
        <v>0</v>
      </c>
      <c r="J53" s="511"/>
      <c r="K53" s="525"/>
      <c r="L53" s="514">
        <f t="shared" si="28"/>
        <v>0</v>
      </c>
      <c r="M53" s="525"/>
      <c r="N53" s="514">
        <f t="shared" si="29"/>
        <v>0</v>
      </c>
      <c r="O53" s="514">
        <f t="shared" si="30"/>
        <v>0</v>
      </c>
      <c r="P53" s="272"/>
    </row>
    <row r="54" spans="2:17">
      <c r="B54" s="195" t="str">
        <f t="shared" si="6"/>
        <v/>
      </c>
      <c r="C54" s="507">
        <f>IF(D11="","-",+C53+1)</f>
        <v>2046</v>
      </c>
      <c r="D54" s="523">
        <f>IF(F53+SUM(E$17:E53)=D$10,F53,D$10-SUM(E$17:E53))</f>
        <v>2203002.7083704774</v>
      </c>
      <c r="E54" s="522">
        <f>IF(+I14&lt;F53,I14,D54)</f>
        <v>312336.45454545453</v>
      </c>
      <c r="F54" s="523">
        <f t="shared" si="26"/>
        <v>1890666.2538250228</v>
      </c>
      <c r="G54" s="524">
        <f t="shared" si="24"/>
        <v>556988.70904164459</v>
      </c>
      <c r="H54" s="491">
        <f t="shared" si="25"/>
        <v>556988.70904164459</v>
      </c>
      <c r="I54" s="511">
        <f t="shared" si="27"/>
        <v>0</v>
      </c>
      <c r="J54" s="511"/>
      <c r="K54" s="525"/>
      <c r="L54" s="514">
        <f t="shared" si="28"/>
        <v>0</v>
      </c>
      <c r="M54" s="525"/>
      <c r="N54" s="514">
        <f t="shared" si="29"/>
        <v>0</v>
      </c>
      <c r="O54" s="514">
        <f t="shared" si="30"/>
        <v>0</v>
      </c>
      <c r="P54" s="272"/>
    </row>
    <row r="55" spans="2:17">
      <c r="B55" s="195" t="str">
        <f t="shared" si="6"/>
        <v/>
      </c>
      <c r="C55" s="507">
        <f>IF(D11="","-",+C54+1)</f>
        <v>2047</v>
      </c>
      <c r="D55" s="523">
        <f>IF(F54+SUM(E$17:E54)=D$10,F54,D$10-SUM(E$17:E54))</f>
        <v>1890666.2538250228</v>
      </c>
      <c r="E55" s="522">
        <f>IF(+I14&lt;F54,I14,D55)</f>
        <v>312336.45454545453</v>
      </c>
      <c r="F55" s="523">
        <f t="shared" si="26"/>
        <v>1578329.7992795683</v>
      </c>
      <c r="G55" s="524">
        <f t="shared" si="24"/>
        <v>519656.02851883543</v>
      </c>
      <c r="H55" s="491">
        <f t="shared" si="25"/>
        <v>519656.02851883543</v>
      </c>
      <c r="I55" s="511">
        <f t="shared" si="27"/>
        <v>0</v>
      </c>
      <c r="J55" s="511"/>
      <c r="K55" s="525"/>
      <c r="L55" s="514">
        <f t="shared" si="28"/>
        <v>0</v>
      </c>
      <c r="M55" s="525"/>
      <c r="N55" s="514">
        <f t="shared" si="29"/>
        <v>0</v>
      </c>
      <c r="O55" s="514">
        <f t="shared" si="30"/>
        <v>0</v>
      </c>
      <c r="P55" s="272"/>
    </row>
    <row r="56" spans="2:17">
      <c r="B56" s="195" t="str">
        <f t="shared" si="6"/>
        <v/>
      </c>
      <c r="C56" s="507">
        <f>IF(D11="","-",+C55+1)</f>
        <v>2048</v>
      </c>
      <c r="D56" s="523">
        <f>IF(F55+SUM(E$17:E55)=D$10,F55,D$10-SUM(E$17:E55))</f>
        <v>1578329.7992795683</v>
      </c>
      <c r="E56" s="522">
        <f>IF(+I14&lt;F55,I14,D56)</f>
        <v>312336.45454545453</v>
      </c>
      <c r="F56" s="523">
        <f t="shared" si="26"/>
        <v>1265993.3447341137</v>
      </c>
      <c r="G56" s="524">
        <f t="shared" si="24"/>
        <v>482323.34799602622</v>
      </c>
      <c r="H56" s="491">
        <f t="shared" si="25"/>
        <v>482323.34799602622</v>
      </c>
      <c r="I56" s="511">
        <f t="shared" si="27"/>
        <v>0</v>
      </c>
      <c r="J56" s="511"/>
      <c r="K56" s="525"/>
      <c r="L56" s="514">
        <f t="shared" si="28"/>
        <v>0</v>
      </c>
      <c r="M56" s="525"/>
      <c r="N56" s="514">
        <f t="shared" si="29"/>
        <v>0</v>
      </c>
      <c r="O56" s="514">
        <f t="shared" si="30"/>
        <v>0</v>
      </c>
      <c r="P56" s="272"/>
    </row>
    <row r="57" spans="2:17">
      <c r="B57" s="195" t="str">
        <f t="shared" si="6"/>
        <v/>
      </c>
      <c r="C57" s="507">
        <f>IF(D11="","-",+C56+1)</f>
        <v>2049</v>
      </c>
      <c r="D57" s="523">
        <f>IF(F56+SUM(E$17:E56)=D$10,F56,D$10-SUM(E$17:E56))</f>
        <v>1265993.3447341137</v>
      </c>
      <c r="E57" s="522">
        <f>IF(+I14&lt;F56,I14,D57)</f>
        <v>312336.45454545453</v>
      </c>
      <c r="F57" s="523">
        <f t="shared" si="26"/>
        <v>953656.89018865908</v>
      </c>
      <c r="G57" s="524">
        <f t="shared" si="24"/>
        <v>444990.66747321701</v>
      </c>
      <c r="H57" s="491">
        <f t="shared" si="25"/>
        <v>444990.66747321701</v>
      </c>
      <c r="I57" s="511">
        <f t="shared" si="27"/>
        <v>0</v>
      </c>
      <c r="J57" s="511"/>
      <c r="K57" s="525"/>
      <c r="L57" s="514">
        <f t="shared" si="28"/>
        <v>0</v>
      </c>
      <c r="M57" s="525"/>
      <c r="N57" s="514">
        <f t="shared" si="29"/>
        <v>0</v>
      </c>
      <c r="O57" s="514">
        <f t="shared" si="30"/>
        <v>0</v>
      </c>
      <c r="P57" s="272"/>
    </row>
    <row r="58" spans="2:17">
      <c r="B58" s="195" t="str">
        <f t="shared" si="6"/>
        <v/>
      </c>
      <c r="C58" s="507">
        <f>IF(D11="","-",+C57+1)</f>
        <v>2050</v>
      </c>
      <c r="D58" s="523">
        <f>IF(F57+SUM(E$17:E57)=D$10,F57,D$10-SUM(E$17:E57))</f>
        <v>953656.89018865908</v>
      </c>
      <c r="E58" s="522">
        <f>IF(+I14&lt;F57,I14,D58)</f>
        <v>312336.45454545453</v>
      </c>
      <c r="F58" s="523">
        <f t="shared" si="26"/>
        <v>641320.43564320449</v>
      </c>
      <c r="G58" s="524">
        <f t="shared" si="24"/>
        <v>407657.98695040779</v>
      </c>
      <c r="H58" s="491">
        <f t="shared" si="25"/>
        <v>407657.98695040779</v>
      </c>
      <c r="I58" s="511">
        <f t="shared" si="27"/>
        <v>0</v>
      </c>
      <c r="J58" s="511"/>
      <c r="K58" s="525"/>
      <c r="L58" s="514">
        <f t="shared" si="28"/>
        <v>0</v>
      </c>
      <c r="M58" s="525"/>
      <c r="N58" s="514">
        <f t="shared" si="29"/>
        <v>0</v>
      </c>
      <c r="O58" s="514">
        <f t="shared" si="30"/>
        <v>0</v>
      </c>
      <c r="P58" s="272"/>
      <c r="Q58" s="183" t="str">
        <f>IF(ROUND(Q57,0)=ROUND(SUM(Q18:Q56),0),"","Error -- check allocations above).")</f>
        <v/>
      </c>
    </row>
    <row r="59" spans="2:17">
      <c r="B59" s="195" t="str">
        <f t="shared" si="6"/>
        <v/>
      </c>
      <c r="C59" s="507">
        <f>IF(D11="","-",+C58+1)</f>
        <v>2051</v>
      </c>
      <c r="D59" s="523">
        <f>IF(F58+SUM(E$17:E58)=D$10,F58,D$10-SUM(E$17:E58))</f>
        <v>641320.43564320449</v>
      </c>
      <c r="E59" s="522">
        <f>IF(+I14&lt;F58,I14,D59)</f>
        <v>312336.45454545453</v>
      </c>
      <c r="F59" s="523">
        <f t="shared" si="26"/>
        <v>328983.98109774996</v>
      </c>
      <c r="G59" s="524">
        <f t="shared" si="24"/>
        <v>370325.30642759858</v>
      </c>
      <c r="H59" s="491">
        <f t="shared" si="25"/>
        <v>370325.30642759858</v>
      </c>
      <c r="I59" s="511">
        <f t="shared" si="27"/>
        <v>0</v>
      </c>
      <c r="J59" s="511"/>
      <c r="K59" s="525"/>
      <c r="L59" s="514">
        <f t="shared" si="28"/>
        <v>0</v>
      </c>
      <c r="M59" s="525"/>
      <c r="N59" s="514">
        <f t="shared" si="29"/>
        <v>0</v>
      </c>
      <c r="O59" s="514">
        <f t="shared" si="30"/>
        <v>0</v>
      </c>
      <c r="P59" s="272"/>
    </row>
    <row r="60" spans="2:17">
      <c r="B60" s="195" t="str">
        <f t="shared" si="6"/>
        <v/>
      </c>
      <c r="C60" s="507">
        <f>IF(D11="","-",+C59+1)</f>
        <v>2052</v>
      </c>
      <c r="D60" s="523">
        <f>IF(F59+SUM(E$17:E59)=D$10,F59,D$10-SUM(E$17:E59))</f>
        <v>328983.98109774996</v>
      </c>
      <c r="E60" s="522">
        <f>IF(+I14&lt;F59,I14,D60)</f>
        <v>312336.45454545453</v>
      </c>
      <c r="F60" s="523">
        <f t="shared" si="26"/>
        <v>16647.526552295429</v>
      </c>
      <c r="G60" s="524">
        <f t="shared" si="24"/>
        <v>332992.62590478943</v>
      </c>
      <c r="H60" s="491">
        <f t="shared" si="25"/>
        <v>332992.62590478943</v>
      </c>
      <c r="I60" s="511">
        <f t="shared" si="27"/>
        <v>0</v>
      </c>
      <c r="J60" s="511"/>
      <c r="K60" s="525"/>
      <c r="L60" s="514">
        <f t="shared" si="28"/>
        <v>0</v>
      </c>
      <c r="M60" s="525"/>
      <c r="N60" s="514">
        <f t="shared" si="29"/>
        <v>0</v>
      </c>
      <c r="O60" s="514">
        <f t="shared" si="30"/>
        <v>0</v>
      </c>
      <c r="P60" s="272"/>
    </row>
    <row r="61" spans="2:17">
      <c r="B61" s="195" t="str">
        <f t="shared" si="6"/>
        <v/>
      </c>
      <c r="C61" s="507">
        <f>IF(D11="","-",+C60+1)</f>
        <v>2053</v>
      </c>
      <c r="D61" s="523">
        <f>IF(F60+SUM(E$17:E60)=D$10,F60,D$10-SUM(E$17:E60))</f>
        <v>16647.526552295429</v>
      </c>
      <c r="E61" s="522">
        <f>IF(+I14&lt;F60,I14,D61)</f>
        <v>16647.526552295429</v>
      </c>
      <c r="F61" s="523">
        <f t="shared" si="26"/>
        <v>0</v>
      </c>
      <c r="G61" s="526">
        <f t="shared" si="24"/>
        <v>17642.442101260564</v>
      </c>
      <c r="H61" s="491">
        <f t="shared" si="25"/>
        <v>17642.442101260564</v>
      </c>
      <c r="I61" s="511">
        <f t="shared" si="27"/>
        <v>0</v>
      </c>
      <c r="J61" s="511"/>
      <c r="K61" s="525"/>
      <c r="L61" s="514">
        <f t="shared" si="28"/>
        <v>0</v>
      </c>
      <c r="M61" s="525"/>
      <c r="N61" s="514">
        <f t="shared" si="29"/>
        <v>0</v>
      </c>
      <c r="O61" s="514">
        <f t="shared" si="30"/>
        <v>0</v>
      </c>
      <c r="P61" s="272"/>
    </row>
    <row r="62" spans="2:17">
      <c r="B62" s="195" t="str">
        <f t="shared" si="6"/>
        <v/>
      </c>
      <c r="C62" s="507">
        <f>IF(D11="","-",+C61+1)</f>
        <v>2054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26"/>
        <v>0</v>
      </c>
      <c r="G62" s="526">
        <f t="shared" si="24"/>
        <v>0</v>
      </c>
      <c r="H62" s="491">
        <f t="shared" si="25"/>
        <v>0</v>
      </c>
      <c r="I62" s="511">
        <f t="shared" si="27"/>
        <v>0</v>
      </c>
      <c r="J62" s="511"/>
      <c r="K62" s="525"/>
      <c r="L62" s="514">
        <f t="shared" si="28"/>
        <v>0</v>
      </c>
      <c r="M62" s="525"/>
      <c r="N62" s="514">
        <f t="shared" si="29"/>
        <v>0</v>
      </c>
      <c r="O62" s="514">
        <f t="shared" si="30"/>
        <v>0</v>
      </c>
      <c r="P62" s="272"/>
    </row>
    <row r="63" spans="2:17">
      <c r="B63" s="195" t="str">
        <f t="shared" si="6"/>
        <v/>
      </c>
      <c r="C63" s="507">
        <f>IF(D11="","-",+C62+1)</f>
        <v>2055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26"/>
        <v>0</v>
      </c>
      <c r="G63" s="526">
        <f t="shared" si="24"/>
        <v>0</v>
      </c>
      <c r="H63" s="491">
        <f t="shared" si="25"/>
        <v>0</v>
      </c>
      <c r="I63" s="511">
        <f t="shared" si="27"/>
        <v>0</v>
      </c>
      <c r="J63" s="511"/>
      <c r="K63" s="525"/>
      <c r="L63" s="514">
        <f t="shared" si="28"/>
        <v>0</v>
      </c>
      <c r="M63" s="525"/>
      <c r="N63" s="514">
        <f t="shared" si="29"/>
        <v>0</v>
      </c>
      <c r="O63" s="514">
        <f t="shared" si="30"/>
        <v>0</v>
      </c>
      <c r="P63" s="272"/>
    </row>
    <row r="64" spans="2:17">
      <c r="B64" s="195" t="str">
        <f t="shared" si="6"/>
        <v/>
      </c>
      <c r="C64" s="507">
        <f>IF(D11="","-",+C63+1)</f>
        <v>2056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26"/>
        <v>0</v>
      </c>
      <c r="G64" s="526">
        <f t="shared" si="24"/>
        <v>0</v>
      </c>
      <c r="H64" s="491">
        <f t="shared" si="25"/>
        <v>0</v>
      </c>
      <c r="I64" s="511">
        <f t="shared" si="27"/>
        <v>0</v>
      </c>
      <c r="J64" s="511"/>
      <c r="K64" s="525"/>
      <c r="L64" s="514">
        <f t="shared" si="28"/>
        <v>0</v>
      </c>
      <c r="M64" s="525"/>
      <c r="N64" s="514">
        <f t="shared" si="29"/>
        <v>0</v>
      </c>
      <c r="O64" s="514">
        <f t="shared" si="30"/>
        <v>0</v>
      </c>
      <c r="P64" s="272"/>
    </row>
    <row r="65" spans="1:16">
      <c r="B65" s="195" t="str">
        <f t="shared" si="6"/>
        <v/>
      </c>
      <c r="C65" s="507">
        <f>IF(D11="","-",+C64+1)</f>
        <v>2057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26"/>
        <v>0</v>
      </c>
      <c r="G65" s="526">
        <f t="shared" si="24"/>
        <v>0</v>
      </c>
      <c r="H65" s="491">
        <f t="shared" si="25"/>
        <v>0</v>
      </c>
      <c r="I65" s="511">
        <f t="shared" si="27"/>
        <v>0</v>
      </c>
      <c r="J65" s="511"/>
      <c r="K65" s="525"/>
      <c r="L65" s="514">
        <f t="shared" si="28"/>
        <v>0</v>
      </c>
      <c r="M65" s="525"/>
      <c r="N65" s="514">
        <f t="shared" si="29"/>
        <v>0</v>
      </c>
      <c r="O65" s="514">
        <f t="shared" si="30"/>
        <v>0</v>
      </c>
      <c r="P65" s="272"/>
    </row>
    <row r="66" spans="1:16">
      <c r="B66" s="195" t="str">
        <f t="shared" si="6"/>
        <v/>
      </c>
      <c r="C66" s="507">
        <f>IF(D11="","-",+C65+1)</f>
        <v>2058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26"/>
        <v>0</v>
      </c>
      <c r="G66" s="526">
        <f t="shared" si="24"/>
        <v>0</v>
      </c>
      <c r="H66" s="491">
        <f t="shared" si="25"/>
        <v>0</v>
      </c>
      <c r="I66" s="511">
        <f t="shared" si="27"/>
        <v>0</v>
      </c>
      <c r="J66" s="511"/>
      <c r="K66" s="525"/>
      <c r="L66" s="514">
        <f t="shared" si="28"/>
        <v>0</v>
      </c>
      <c r="M66" s="525"/>
      <c r="N66" s="514">
        <f t="shared" si="29"/>
        <v>0</v>
      </c>
      <c r="O66" s="514">
        <f t="shared" si="30"/>
        <v>0</v>
      </c>
      <c r="P66" s="272"/>
    </row>
    <row r="67" spans="1:16">
      <c r="B67" s="195" t="str">
        <f t="shared" si="6"/>
        <v/>
      </c>
      <c r="C67" s="507">
        <f>IF(D11="","-",+C66+1)</f>
        <v>2059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26"/>
        <v>0</v>
      </c>
      <c r="G67" s="526">
        <f t="shared" si="24"/>
        <v>0</v>
      </c>
      <c r="H67" s="491">
        <f t="shared" si="25"/>
        <v>0</v>
      </c>
      <c r="I67" s="511">
        <f t="shared" si="27"/>
        <v>0</v>
      </c>
      <c r="J67" s="511"/>
      <c r="K67" s="525"/>
      <c r="L67" s="514">
        <f t="shared" si="28"/>
        <v>0</v>
      </c>
      <c r="M67" s="525"/>
      <c r="N67" s="514">
        <f t="shared" si="29"/>
        <v>0</v>
      </c>
      <c r="O67" s="514">
        <f t="shared" si="30"/>
        <v>0</v>
      </c>
      <c r="P67" s="272"/>
    </row>
    <row r="68" spans="1:16">
      <c r="B68" s="195" t="str">
        <f t="shared" si="6"/>
        <v/>
      </c>
      <c r="C68" s="507">
        <f>IF(D11="","-",+C67+1)</f>
        <v>2060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26"/>
        <v>0</v>
      </c>
      <c r="G68" s="526">
        <f t="shared" si="24"/>
        <v>0</v>
      </c>
      <c r="H68" s="491">
        <f t="shared" si="25"/>
        <v>0</v>
      </c>
      <c r="I68" s="511">
        <f t="shared" si="27"/>
        <v>0</v>
      </c>
      <c r="J68" s="511"/>
      <c r="K68" s="525"/>
      <c r="L68" s="514">
        <f t="shared" si="28"/>
        <v>0</v>
      </c>
      <c r="M68" s="525"/>
      <c r="N68" s="514">
        <f t="shared" si="29"/>
        <v>0</v>
      </c>
      <c r="O68" s="514">
        <f t="shared" si="30"/>
        <v>0</v>
      </c>
      <c r="P68" s="272"/>
    </row>
    <row r="69" spans="1:16">
      <c r="B69" s="195" t="str">
        <f t="shared" si="6"/>
        <v/>
      </c>
      <c r="C69" s="507">
        <f>IF(D11="","-",+C68+1)</f>
        <v>2061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26"/>
        <v>0</v>
      </c>
      <c r="G69" s="526">
        <f t="shared" si="24"/>
        <v>0</v>
      </c>
      <c r="H69" s="491">
        <f t="shared" si="25"/>
        <v>0</v>
      </c>
      <c r="I69" s="511">
        <f t="shared" si="27"/>
        <v>0</v>
      </c>
      <c r="J69" s="511"/>
      <c r="K69" s="525"/>
      <c r="L69" s="514">
        <f t="shared" si="28"/>
        <v>0</v>
      </c>
      <c r="M69" s="525"/>
      <c r="N69" s="514">
        <f t="shared" si="29"/>
        <v>0</v>
      </c>
      <c r="O69" s="514">
        <f t="shared" si="30"/>
        <v>0</v>
      </c>
      <c r="P69" s="272"/>
    </row>
    <row r="70" spans="1:16">
      <c r="B70" s="195" t="str">
        <f t="shared" si="6"/>
        <v/>
      </c>
      <c r="C70" s="507">
        <f>IF(D11="","-",+C69+1)</f>
        <v>2062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26"/>
        <v>0</v>
      </c>
      <c r="G70" s="526">
        <f t="shared" si="24"/>
        <v>0</v>
      </c>
      <c r="H70" s="491">
        <f t="shared" si="25"/>
        <v>0</v>
      </c>
      <c r="I70" s="511">
        <f t="shared" si="27"/>
        <v>0</v>
      </c>
      <c r="J70" s="511"/>
      <c r="K70" s="525"/>
      <c r="L70" s="514">
        <f t="shared" si="28"/>
        <v>0</v>
      </c>
      <c r="M70" s="525"/>
      <c r="N70" s="514">
        <f t="shared" si="29"/>
        <v>0</v>
      </c>
      <c r="O70" s="514">
        <f t="shared" si="30"/>
        <v>0</v>
      </c>
      <c r="P70" s="272"/>
    </row>
    <row r="71" spans="1:16">
      <c r="B71" s="195" t="str">
        <f t="shared" si="6"/>
        <v/>
      </c>
      <c r="C71" s="507">
        <f>IF(D11="","-",+C70+1)</f>
        <v>2063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26"/>
        <v>0</v>
      </c>
      <c r="G71" s="526">
        <f t="shared" si="24"/>
        <v>0</v>
      </c>
      <c r="H71" s="491">
        <f t="shared" si="25"/>
        <v>0</v>
      </c>
      <c r="I71" s="511">
        <f t="shared" si="27"/>
        <v>0</v>
      </c>
      <c r="J71" s="511"/>
      <c r="K71" s="525"/>
      <c r="L71" s="514">
        <f t="shared" si="28"/>
        <v>0</v>
      </c>
      <c r="M71" s="525"/>
      <c r="N71" s="514">
        <f t="shared" si="29"/>
        <v>0</v>
      </c>
      <c r="O71" s="514">
        <f t="shared" si="30"/>
        <v>0</v>
      </c>
      <c r="P71" s="272"/>
    </row>
    <row r="72" spans="1:16" ht="13.5" thickBot="1">
      <c r="B72" s="195" t="str">
        <f t="shared" si="6"/>
        <v/>
      </c>
      <c r="C72" s="527">
        <f>IF(D11="","-",+C71+1)</f>
        <v>2064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26"/>
        <v>0</v>
      </c>
      <c r="G72" s="530">
        <f t="shared" si="24"/>
        <v>0</v>
      </c>
      <c r="H72" s="471">
        <f t="shared" si="25"/>
        <v>0</v>
      </c>
      <c r="I72" s="531">
        <f t="shared" si="27"/>
        <v>0</v>
      </c>
      <c r="J72" s="511"/>
      <c r="K72" s="532"/>
      <c r="L72" s="533">
        <f t="shared" si="28"/>
        <v>0</v>
      </c>
      <c r="M72" s="532"/>
      <c r="N72" s="533">
        <f t="shared" si="29"/>
        <v>0</v>
      </c>
      <c r="O72" s="533">
        <f t="shared" si="30"/>
        <v>0</v>
      </c>
      <c r="P72" s="272"/>
    </row>
    <row r="73" spans="1:16">
      <c r="C73" s="374" t="s">
        <v>78</v>
      </c>
      <c r="D73" s="375"/>
      <c r="E73" s="375">
        <f>SUM(E17:E72)</f>
        <v>13742804.000000009</v>
      </c>
      <c r="F73" s="375"/>
      <c r="G73" s="375">
        <f>SUM(G17:G72)</f>
        <v>50502736.306331046</v>
      </c>
      <c r="H73" s="375">
        <f>SUM(H17:H72)</f>
        <v>50502736.306331046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1:16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1:16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1:16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1:16" ht="18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535"/>
      <c r="P77" s="272"/>
    </row>
    <row r="78" spans="1:16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1:16" ht="15">
      <c r="A79" s="536"/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</row>
    <row r="80" spans="1:16" ht="18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7">
      <c r="B81" s="269"/>
      <c r="C81" s="537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7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  <c r="Q82" s="269"/>
    </row>
    <row r="83" spans="1:17" ht="20.25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535" t="str">
        <f ca="1">P1</f>
        <v>SWEPCO Project 3 of 75</v>
      </c>
      <c r="Q83" s="269"/>
    </row>
    <row r="84" spans="1:17" ht="18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454" t="s">
        <v>128</v>
      </c>
      <c r="Q84" s="269"/>
    </row>
    <row r="85" spans="1:17" ht="18.7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  <c r="Q85" s="269"/>
    </row>
    <row r="86" spans="1:17" ht="15.75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2022</v>
      </c>
      <c r="M86" s="541" t="s">
        <v>9</v>
      </c>
      <c r="N86" s="542" t="s">
        <v>159</v>
      </c>
      <c r="O86" s="543" t="s">
        <v>11</v>
      </c>
      <c r="P86" s="269"/>
      <c r="Q86" s="269"/>
    </row>
    <row r="87" spans="1:17" ht="1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391</v>
      </c>
      <c r="M87" s="546">
        <f>IF(J92&lt;D11,0,VLOOKUP(J92,C17:O72,9))</f>
        <v>1402762.0463897134</v>
      </c>
      <c r="N87" s="546">
        <f>IF(J92&lt;D11,0,VLOOKUP(J92,C17:O72,11))</f>
        <v>1402762.0463897134</v>
      </c>
      <c r="O87" s="547">
        <f>+N87-M87</f>
        <v>0</v>
      </c>
      <c r="P87" s="269"/>
      <c r="Q87" s="269"/>
    </row>
    <row r="88" spans="1:17" ht="15.7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392</v>
      </c>
      <c r="M88" s="550">
        <f>IF(J92&lt;D11,0,VLOOKUP(J92,C99:P154,6))</f>
        <v>1441765.6221326464</v>
      </c>
      <c r="N88" s="550">
        <f>IF(J92&lt;D11,0,VLOOKUP(J92,C99:P154,7))</f>
        <v>1441765.6221326464</v>
      </c>
      <c r="O88" s="551">
        <f>+N88-M88</f>
        <v>0</v>
      </c>
      <c r="P88" s="269"/>
      <c r="Q88" s="269"/>
    </row>
    <row r="89" spans="1:17" ht="13.5" thickBot="1">
      <c r="C89" s="467" t="s">
        <v>84</v>
      </c>
      <c r="D89" s="552" t="str">
        <f>+D7</f>
        <v>[NW Ark Area Improve - 2009]  E. Centerton-Flint Crk, E Rogers-N Rogers, Centerton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39003.575742932968</v>
      </c>
      <c r="N89" s="555">
        <f>+N88-N87</f>
        <v>39003.575742932968</v>
      </c>
      <c r="O89" s="556">
        <f>+O88-O87</f>
        <v>0</v>
      </c>
      <c r="P89" s="269"/>
      <c r="Q89" s="269"/>
    </row>
    <row r="90" spans="1:17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  <c r="Q90" s="269"/>
    </row>
    <row r="91" spans="1:17" ht="13.5" thickBot="1">
      <c r="A91" s="191"/>
      <c r="C91" s="558" t="s">
        <v>85</v>
      </c>
      <c r="D91" s="559" t="str">
        <f>+D9</f>
        <v>TP2007103</v>
      </c>
      <c r="E91" s="560"/>
      <c r="F91" s="560"/>
      <c r="G91" s="560"/>
      <c r="H91" s="560"/>
      <c r="I91" s="560"/>
      <c r="J91" s="561"/>
      <c r="K91" s="562"/>
      <c r="P91" s="481"/>
      <c r="Q91" s="269"/>
    </row>
    <row r="92" spans="1:17">
      <c r="C92" s="486" t="s">
        <v>51</v>
      </c>
      <c r="D92" s="483">
        <v>13742804</v>
      </c>
      <c r="E92" s="340" t="s">
        <v>86</v>
      </c>
      <c r="H92" s="484"/>
      <c r="I92" s="484"/>
      <c r="J92" s="485">
        <f>+'SWE.WS.G.BPU.ATRR.True-up'!M16</f>
        <v>2022</v>
      </c>
      <c r="K92" s="480"/>
      <c r="L92" s="375" t="s">
        <v>87</v>
      </c>
      <c r="P92" s="272"/>
      <c r="Q92" s="269"/>
    </row>
    <row r="93" spans="1:17">
      <c r="C93" s="486" t="s">
        <v>54</v>
      </c>
      <c r="D93" s="563">
        <f>IF(D11=I10,"",D11)</f>
        <v>2009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  <c r="Q93" s="269"/>
    </row>
    <row r="94" spans="1:17">
      <c r="C94" s="486" t="s">
        <v>56</v>
      </c>
      <c r="D94" s="564">
        <f>IF(D11=I10,"",D12)</f>
        <v>6</v>
      </c>
      <c r="E94" s="486" t="s">
        <v>57</v>
      </c>
      <c r="F94" s="484"/>
      <c r="G94" s="484"/>
      <c r="J94" s="490">
        <f>'SWE.WS.G.BPU.ATRR.True-up'!$F$81</f>
        <v>0.11351422637179906</v>
      </c>
      <c r="K94" s="425"/>
      <c r="L94" s="183" t="s">
        <v>88</v>
      </c>
      <c r="P94" s="272"/>
      <c r="Q94" s="269"/>
    </row>
    <row r="95" spans="1:17">
      <c r="C95" s="486" t="s">
        <v>59</v>
      </c>
      <c r="D95" s="488">
        <f>'SWE.WS.G.BPU.ATRR.True-up'!F$93</f>
        <v>41</v>
      </c>
      <c r="E95" s="486" t="s">
        <v>60</v>
      </c>
      <c r="F95" s="484"/>
      <c r="G95" s="484"/>
      <c r="J95" s="490">
        <f>IF(H87="",J94,'SWE.WS.G.BPU.ATRR.True-up'!$F$80)</f>
        <v>0.11351422637179906</v>
      </c>
      <c r="K95" s="324"/>
      <c r="L95" s="375" t="s">
        <v>61</v>
      </c>
      <c r="M95" s="324"/>
      <c r="N95" s="324"/>
      <c r="O95" s="324"/>
      <c r="P95" s="272"/>
      <c r="Q95" s="269"/>
    </row>
    <row r="96" spans="1:17" ht="13.5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335190.34146341466</v>
      </c>
      <c r="K96" s="375"/>
      <c r="L96" s="375"/>
      <c r="M96" s="375"/>
      <c r="N96" s="375"/>
      <c r="O96" s="375"/>
      <c r="P96" s="272"/>
      <c r="Q96" s="269"/>
    </row>
    <row r="97" spans="1:17" ht="38.25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388</v>
      </c>
      <c r="I97" s="495" t="s">
        <v>389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  <c r="Q97" s="269"/>
    </row>
    <row r="98" spans="1:17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  <c r="Q98" s="269"/>
    </row>
    <row r="99" spans="1:17">
      <c r="C99" s="507">
        <f>IF(D93= "","-",D93)</f>
        <v>2009</v>
      </c>
      <c r="D99" s="508">
        <v>0</v>
      </c>
      <c r="E99" s="516">
        <v>162954</v>
      </c>
      <c r="F99" s="515">
        <v>12221607</v>
      </c>
      <c r="G99" s="574">
        <v>6110803</v>
      </c>
      <c r="H99" s="575">
        <v>1047418</v>
      </c>
      <c r="I99" s="576">
        <v>1047418</v>
      </c>
      <c r="J99" s="514">
        <f t="shared" ref="J99:J130" si="31">+I99-H99</f>
        <v>0</v>
      </c>
      <c r="K99" s="514"/>
      <c r="L99" s="512">
        <f t="shared" ref="L99:L104" si="32">H99</f>
        <v>1047418</v>
      </c>
      <c r="M99" s="513">
        <f t="shared" ref="M99:M130" si="33">IF(L99&lt;&gt;0,+H99-L99,0)</f>
        <v>0</v>
      </c>
      <c r="N99" s="512">
        <f t="shared" ref="N99:N104" si="34">I99</f>
        <v>1047418</v>
      </c>
      <c r="O99" s="513">
        <f t="shared" ref="O99:O130" si="35">IF(N99&lt;&gt;0,+I99-N99,0)</f>
        <v>0</v>
      </c>
      <c r="P99" s="513">
        <f t="shared" ref="P99:P130" si="36">+O99-M99</f>
        <v>0</v>
      </c>
      <c r="Q99" s="269"/>
    </row>
    <row r="100" spans="1:17">
      <c r="B100" s="195" t="str">
        <f>IF(D100=F99,"","IU")</f>
        <v>IU</v>
      </c>
      <c r="C100" s="507">
        <f>IF(D93="","-",+C99+1)</f>
        <v>2010</v>
      </c>
      <c r="D100" s="508">
        <v>13579849</v>
      </c>
      <c r="E100" s="516">
        <v>335190.31707317074</v>
      </c>
      <c r="F100" s="515">
        <v>13244658.68292683</v>
      </c>
      <c r="G100" s="515">
        <v>13412253.841463415</v>
      </c>
      <c r="H100" s="516">
        <v>2549366.7560608997</v>
      </c>
      <c r="I100" s="510">
        <v>2549366.7560608997</v>
      </c>
      <c r="J100" s="514">
        <f t="shared" si="31"/>
        <v>0</v>
      </c>
      <c r="K100" s="514"/>
      <c r="L100" s="518">
        <f t="shared" si="32"/>
        <v>2549366.7560608997</v>
      </c>
      <c r="M100" s="519">
        <f t="shared" si="33"/>
        <v>0</v>
      </c>
      <c r="N100" s="518">
        <f t="shared" si="34"/>
        <v>2549366.7560608997</v>
      </c>
      <c r="O100" s="514">
        <f t="shared" si="35"/>
        <v>0</v>
      </c>
      <c r="P100" s="514">
        <f t="shared" si="36"/>
        <v>0</v>
      </c>
      <c r="Q100" s="269"/>
    </row>
    <row r="101" spans="1:17">
      <c r="B101" s="195" t="str">
        <f t="shared" ref="B101:B154" si="37">IF(D101=F100,"","IU")</f>
        <v/>
      </c>
      <c r="C101" s="507">
        <f>IF(D93="","-",+C100+1)</f>
        <v>2011</v>
      </c>
      <c r="D101" s="508">
        <v>13244658.68292683</v>
      </c>
      <c r="E101" s="520">
        <v>327209.59523809527</v>
      </c>
      <c r="F101" s="515">
        <v>12917449.087688735</v>
      </c>
      <c r="G101" s="515">
        <v>13081053.885307781</v>
      </c>
      <c r="H101" s="516">
        <v>2294337.1869887193</v>
      </c>
      <c r="I101" s="510">
        <v>2294337.1869887193</v>
      </c>
      <c r="J101" s="514">
        <f t="shared" si="31"/>
        <v>0</v>
      </c>
      <c r="K101" s="514"/>
      <c r="L101" s="518">
        <f t="shared" si="32"/>
        <v>2294337.1869887193</v>
      </c>
      <c r="M101" s="519">
        <f t="shared" si="33"/>
        <v>0</v>
      </c>
      <c r="N101" s="518">
        <f t="shared" si="34"/>
        <v>2294337.1869887193</v>
      </c>
      <c r="O101" s="514">
        <f t="shared" si="35"/>
        <v>0</v>
      </c>
      <c r="P101" s="514">
        <f t="shared" si="36"/>
        <v>0</v>
      </c>
      <c r="Q101" s="269"/>
    </row>
    <row r="102" spans="1:17">
      <c r="B102" s="195" t="str">
        <f t="shared" si="37"/>
        <v/>
      </c>
      <c r="C102" s="507">
        <f>IF(D93="","-",+C101+1)</f>
        <v>2012</v>
      </c>
      <c r="D102" s="508">
        <v>12917449.087688735</v>
      </c>
      <c r="E102" s="516">
        <v>327209.59523809527</v>
      </c>
      <c r="F102" s="515">
        <v>12590239.49245064</v>
      </c>
      <c r="G102" s="515">
        <v>12753844.290069688</v>
      </c>
      <c r="H102" s="516">
        <v>2203987.9280377463</v>
      </c>
      <c r="I102" s="510">
        <v>2203987.9280377463</v>
      </c>
      <c r="J102" s="514">
        <f t="shared" si="31"/>
        <v>0</v>
      </c>
      <c r="K102" s="514"/>
      <c r="L102" s="518">
        <f t="shared" si="32"/>
        <v>2203987.9280377463</v>
      </c>
      <c r="M102" s="519">
        <f t="shared" si="33"/>
        <v>0</v>
      </c>
      <c r="N102" s="518">
        <f t="shared" si="34"/>
        <v>2203987.9280377463</v>
      </c>
      <c r="O102" s="514">
        <f t="shared" si="35"/>
        <v>0</v>
      </c>
      <c r="P102" s="514">
        <f t="shared" si="36"/>
        <v>0</v>
      </c>
      <c r="Q102" s="269"/>
    </row>
    <row r="103" spans="1:17">
      <c r="B103" s="195" t="str">
        <f t="shared" si="37"/>
        <v/>
      </c>
      <c r="C103" s="507">
        <f>IF(D93="","-",+C102+1)</f>
        <v>2013</v>
      </c>
      <c r="D103" s="508">
        <v>12590239.49245064</v>
      </c>
      <c r="E103" s="516">
        <v>327209.59523809527</v>
      </c>
      <c r="F103" s="515">
        <v>12263029.897212544</v>
      </c>
      <c r="G103" s="515">
        <v>12426634.694831591</v>
      </c>
      <c r="H103" s="516">
        <v>2008430.1570795039</v>
      </c>
      <c r="I103" s="510">
        <v>2008430.1570795039</v>
      </c>
      <c r="J103" s="514">
        <v>0</v>
      </c>
      <c r="K103" s="514"/>
      <c r="L103" s="518">
        <f t="shared" si="32"/>
        <v>2008430.1570795039</v>
      </c>
      <c r="M103" s="519">
        <f t="shared" ref="M103:M108" si="38">IF(L103&lt;&gt;0,+H103-L103,0)</f>
        <v>0</v>
      </c>
      <c r="N103" s="518">
        <f t="shared" si="34"/>
        <v>2008430.1570795039</v>
      </c>
      <c r="O103" s="514">
        <f t="shared" ref="O103:O108" si="39">IF(N103&lt;&gt;0,+I103-N103,0)</f>
        <v>0</v>
      </c>
      <c r="P103" s="514">
        <f t="shared" ref="P103:P108" si="40">+O103-M103</f>
        <v>0</v>
      </c>
      <c r="Q103" s="269"/>
    </row>
    <row r="104" spans="1:17">
      <c r="B104" s="195" t="str">
        <f t="shared" si="37"/>
        <v/>
      </c>
      <c r="C104" s="507">
        <f>IF(D93="","-",+C103+1)</f>
        <v>2014</v>
      </c>
      <c r="D104" s="508">
        <v>12263029.897212544</v>
      </c>
      <c r="E104" s="516">
        <v>327209.59523809527</v>
      </c>
      <c r="F104" s="515">
        <v>11935820.301974449</v>
      </c>
      <c r="G104" s="515">
        <v>12099425.099593498</v>
      </c>
      <c r="H104" s="516">
        <v>1971805.3159359931</v>
      </c>
      <c r="I104" s="510">
        <v>1971805.3159359931</v>
      </c>
      <c r="J104" s="514">
        <v>0</v>
      </c>
      <c r="K104" s="514"/>
      <c r="L104" s="518">
        <f t="shared" si="32"/>
        <v>1971805.3159359931</v>
      </c>
      <c r="M104" s="519">
        <f t="shared" si="38"/>
        <v>0</v>
      </c>
      <c r="N104" s="518">
        <f t="shared" si="34"/>
        <v>1971805.3159359931</v>
      </c>
      <c r="O104" s="514">
        <f t="shared" si="39"/>
        <v>0</v>
      </c>
      <c r="P104" s="514">
        <f t="shared" si="40"/>
        <v>0</v>
      </c>
      <c r="Q104" s="269"/>
    </row>
    <row r="105" spans="1:17">
      <c r="B105" s="195" t="str">
        <f t="shared" si="37"/>
        <v>IU</v>
      </c>
      <c r="C105" s="507">
        <f>IF(D93="","-",+C104+1)</f>
        <v>2015</v>
      </c>
      <c r="D105" s="508">
        <v>11935821.301974449</v>
      </c>
      <c r="E105" s="516">
        <v>327209.61904761905</v>
      </c>
      <c r="F105" s="515">
        <v>11608611.68292683</v>
      </c>
      <c r="G105" s="515">
        <v>11772216.49245064</v>
      </c>
      <c r="H105" s="516">
        <v>1878421.3763593063</v>
      </c>
      <c r="I105" s="510">
        <v>1878421.3763593063</v>
      </c>
      <c r="J105" s="514">
        <f t="shared" si="31"/>
        <v>0</v>
      </c>
      <c r="K105" s="514"/>
      <c r="L105" s="518">
        <f t="shared" ref="L105:L110" si="41">H105</f>
        <v>1878421.3763593063</v>
      </c>
      <c r="M105" s="519">
        <f t="shared" si="38"/>
        <v>0</v>
      </c>
      <c r="N105" s="518">
        <f t="shared" ref="N105:N110" si="42">I105</f>
        <v>1878421.3763593063</v>
      </c>
      <c r="O105" s="514">
        <f t="shared" si="39"/>
        <v>0</v>
      </c>
      <c r="P105" s="514">
        <f t="shared" si="40"/>
        <v>0</v>
      </c>
      <c r="Q105" s="269"/>
    </row>
    <row r="106" spans="1:17">
      <c r="B106" s="195" t="str">
        <f t="shared" si="37"/>
        <v/>
      </c>
      <c r="C106" s="507">
        <f>IF(D93="","-",+C105+1)</f>
        <v>2016</v>
      </c>
      <c r="D106" s="508">
        <v>11608611.68292683</v>
      </c>
      <c r="E106" s="516">
        <v>319600.09302325582</v>
      </c>
      <c r="F106" s="515">
        <v>11289011.589903574</v>
      </c>
      <c r="G106" s="515">
        <v>11448811.636415202</v>
      </c>
      <c r="H106" s="516">
        <v>1773026.5961818276</v>
      </c>
      <c r="I106" s="510">
        <v>1773026.5961818276</v>
      </c>
      <c r="J106" s="514">
        <f t="shared" si="31"/>
        <v>0</v>
      </c>
      <c r="K106" s="514"/>
      <c r="L106" s="518">
        <f t="shared" si="41"/>
        <v>1773026.5961818276</v>
      </c>
      <c r="M106" s="519">
        <f t="shared" si="38"/>
        <v>0</v>
      </c>
      <c r="N106" s="518">
        <f t="shared" si="42"/>
        <v>1773026.5961818276</v>
      </c>
      <c r="O106" s="514">
        <f t="shared" si="39"/>
        <v>0</v>
      </c>
      <c r="P106" s="514">
        <f t="shared" si="40"/>
        <v>0</v>
      </c>
      <c r="Q106" s="269"/>
    </row>
    <row r="107" spans="1:17">
      <c r="B107" s="195" t="str">
        <f t="shared" si="37"/>
        <v/>
      </c>
      <c r="C107" s="507">
        <f>IF(D93="","-",+C106+1)</f>
        <v>2017</v>
      </c>
      <c r="D107" s="508">
        <v>11289011.589903574</v>
      </c>
      <c r="E107" s="516">
        <v>327209.61904761905</v>
      </c>
      <c r="F107" s="515">
        <v>10961801.970855955</v>
      </c>
      <c r="G107" s="515">
        <v>11125406.780379765</v>
      </c>
      <c r="H107" s="516">
        <v>1678628.9979876066</v>
      </c>
      <c r="I107" s="510">
        <v>1678628.9979876066</v>
      </c>
      <c r="J107" s="514">
        <f t="shared" si="31"/>
        <v>0</v>
      </c>
      <c r="K107" s="514"/>
      <c r="L107" s="518">
        <f t="shared" si="41"/>
        <v>1678628.9979876066</v>
      </c>
      <c r="M107" s="519">
        <f t="shared" si="38"/>
        <v>0</v>
      </c>
      <c r="N107" s="518">
        <f t="shared" si="42"/>
        <v>1678628.9979876066</v>
      </c>
      <c r="O107" s="514">
        <f t="shared" si="39"/>
        <v>0</v>
      </c>
      <c r="P107" s="514">
        <f t="shared" si="40"/>
        <v>0</v>
      </c>
      <c r="Q107" s="269"/>
    </row>
    <row r="108" spans="1:17">
      <c r="B108" s="195" t="str">
        <f t="shared" si="37"/>
        <v/>
      </c>
      <c r="C108" s="507">
        <f>IF(D93="","-",+C107+1)</f>
        <v>2018</v>
      </c>
      <c r="D108" s="508">
        <v>10961801.970855955</v>
      </c>
      <c r="E108" s="516">
        <v>327209.61904761905</v>
      </c>
      <c r="F108" s="515">
        <v>10634592.351808336</v>
      </c>
      <c r="G108" s="515">
        <v>10798197.161332145</v>
      </c>
      <c r="H108" s="516">
        <v>1467548.7578705251</v>
      </c>
      <c r="I108" s="510">
        <v>1467548.7578705251</v>
      </c>
      <c r="J108" s="514">
        <f t="shared" si="31"/>
        <v>0</v>
      </c>
      <c r="K108" s="514"/>
      <c r="L108" s="518">
        <f t="shared" si="41"/>
        <v>1467548.7578705251</v>
      </c>
      <c r="M108" s="519">
        <f t="shared" si="38"/>
        <v>0</v>
      </c>
      <c r="N108" s="518">
        <f t="shared" si="42"/>
        <v>1467548.7578705251</v>
      </c>
      <c r="O108" s="514">
        <f t="shared" si="39"/>
        <v>0</v>
      </c>
      <c r="P108" s="514">
        <f t="shared" si="40"/>
        <v>0</v>
      </c>
      <c r="Q108" s="269"/>
    </row>
    <row r="109" spans="1:17">
      <c r="B109" s="195" t="str">
        <f t="shared" si="37"/>
        <v/>
      </c>
      <c r="C109" s="507">
        <f>IF(D93="","-",+C108+1)</f>
        <v>2019</v>
      </c>
      <c r="D109" s="508">
        <v>10634592.351808336</v>
      </c>
      <c r="E109" s="516">
        <v>319600.09302325582</v>
      </c>
      <c r="F109" s="515">
        <v>10314992.25878508</v>
      </c>
      <c r="G109" s="515">
        <v>10474792.305296708</v>
      </c>
      <c r="H109" s="516">
        <v>1440827.5862967977</v>
      </c>
      <c r="I109" s="510">
        <v>1440827.5862967977</v>
      </c>
      <c r="J109" s="514">
        <f t="shared" si="31"/>
        <v>0</v>
      </c>
      <c r="K109" s="514"/>
      <c r="L109" s="518">
        <f t="shared" si="41"/>
        <v>1440827.5862967977</v>
      </c>
      <c r="M109" s="519">
        <f t="shared" ref="M109:M110" si="43">IF(L109&lt;&gt;0,+H109-L109,0)</f>
        <v>0</v>
      </c>
      <c r="N109" s="518">
        <f t="shared" si="42"/>
        <v>1440827.5862967977</v>
      </c>
      <c r="O109" s="514">
        <f t="shared" si="35"/>
        <v>0</v>
      </c>
      <c r="P109" s="514">
        <f t="shared" si="36"/>
        <v>0</v>
      </c>
      <c r="Q109" s="269"/>
    </row>
    <row r="110" spans="1:17">
      <c r="B110" s="195" t="str">
        <f t="shared" si="37"/>
        <v/>
      </c>
      <c r="C110" s="507">
        <f>IF(D93="","-",+C109+1)</f>
        <v>2020</v>
      </c>
      <c r="D110" s="508">
        <v>10314992.25878508</v>
      </c>
      <c r="E110" s="516">
        <v>327209.61904761905</v>
      </c>
      <c r="F110" s="515">
        <v>9987782.6397374608</v>
      </c>
      <c r="G110" s="515">
        <v>10151387.44926127</v>
      </c>
      <c r="H110" s="516">
        <v>1419233.2721645404</v>
      </c>
      <c r="I110" s="510">
        <v>1419233.2721645404</v>
      </c>
      <c r="J110" s="514">
        <f t="shared" si="31"/>
        <v>0</v>
      </c>
      <c r="K110" s="514"/>
      <c r="L110" s="518">
        <f t="shared" si="41"/>
        <v>1419233.2721645404</v>
      </c>
      <c r="M110" s="519">
        <f t="shared" si="43"/>
        <v>0</v>
      </c>
      <c r="N110" s="518">
        <f t="shared" si="42"/>
        <v>1419233.2721645404</v>
      </c>
      <c r="O110" s="514">
        <f t="shared" si="35"/>
        <v>0</v>
      </c>
      <c r="P110" s="514">
        <f t="shared" si="36"/>
        <v>0</v>
      </c>
      <c r="Q110" s="269"/>
    </row>
    <row r="111" spans="1:17">
      <c r="B111" s="195" t="str">
        <f t="shared" si="37"/>
        <v/>
      </c>
      <c r="C111" s="507">
        <f>IF(D93="","-",+C110+1)</f>
        <v>2021</v>
      </c>
      <c r="D111" s="508">
        <v>9987782.6397374608</v>
      </c>
      <c r="E111" s="516">
        <v>335190.34146341466</v>
      </c>
      <c r="F111" s="515">
        <v>9652592.2982740458</v>
      </c>
      <c r="G111" s="515">
        <v>9820187.4690057524</v>
      </c>
      <c r="H111" s="516">
        <v>1449921.3248336383</v>
      </c>
      <c r="I111" s="510">
        <v>1449921.3248336383</v>
      </c>
      <c r="J111" s="514">
        <f t="shared" si="31"/>
        <v>0</v>
      </c>
      <c r="K111" s="514"/>
      <c r="L111" s="518">
        <f t="shared" ref="L111" si="44">H111</f>
        <v>1449921.3248336383</v>
      </c>
      <c r="M111" s="519">
        <f t="shared" ref="M111" si="45">IF(L111&lt;&gt;0,+H111-L111,0)</f>
        <v>0</v>
      </c>
      <c r="N111" s="518">
        <f t="shared" ref="N111" si="46">I111</f>
        <v>1449921.3248336383</v>
      </c>
      <c r="O111" s="514">
        <f t="shared" ref="O111" si="47">IF(N111&lt;&gt;0,+I111-N111,0)</f>
        <v>0</v>
      </c>
      <c r="P111" s="514">
        <f t="shared" ref="P111" si="48">+O111-M111</f>
        <v>0</v>
      </c>
      <c r="Q111" s="269"/>
    </row>
    <row r="112" spans="1:17">
      <c r="B112" s="195" t="str">
        <f t="shared" si="37"/>
        <v/>
      </c>
      <c r="C112" s="673">
        <f>IF(D93="","-",+C111+1)</f>
        <v>2022</v>
      </c>
      <c r="D112" s="374">
        <v>9652592.2982740458</v>
      </c>
      <c r="E112" s="522">
        <v>327209.61904761905</v>
      </c>
      <c r="F112" s="523">
        <v>9325382.6792264264</v>
      </c>
      <c r="G112" s="523">
        <v>9488987.4887502361</v>
      </c>
      <c r="H112" s="526">
        <v>1441765.6221326464</v>
      </c>
      <c r="I112" s="577">
        <v>1441765.6221326464</v>
      </c>
      <c r="J112" s="514">
        <f t="shared" si="31"/>
        <v>0</v>
      </c>
      <c r="K112" s="514"/>
      <c r="L112" s="525"/>
      <c r="M112" s="514">
        <f t="shared" si="33"/>
        <v>0</v>
      </c>
      <c r="N112" s="525"/>
      <c r="O112" s="514">
        <f t="shared" si="35"/>
        <v>0</v>
      </c>
      <c r="P112" s="514">
        <f t="shared" si="36"/>
        <v>0</v>
      </c>
      <c r="Q112" s="269"/>
    </row>
    <row r="113" spans="2:17">
      <c r="B113" s="195" t="str">
        <f t="shared" si="37"/>
        <v/>
      </c>
      <c r="C113" s="507">
        <f>IF(D93="","-",+C112+1)</f>
        <v>2023</v>
      </c>
      <c r="D113" s="374">
        <f>IF(F112+SUM(E$99:E112)=D$92,F112,D$92-SUM(E$99:E112))</f>
        <v>9325382.6792264264</v>
      </c>
      <c r="E113" s="522">
        <f>IF(+J96&lt;F112,J96,D113)</f>
        <v>335190.34146341466</v>
      </c>
      <c r="F113" s="523">
        <f t="shared" ref="F113:F130" si="49">+D113-E113</f>
        <v>8990192.3377630115</v>
      </c>
      <c r="G113" s="523">
        <f t="shared" ref="G113:G130" si="50">+(F113+D113)/2</f>
        <v>9157787.5084947199</v>
      </c>
      <c r="H113" s="526">
        <f t="shared" ref="H113:H154" si="51">+J$94*G113+E113</f>
        <v>1374729.505767518</v>
      </c>
      <c r="I113" s="577">
        <f t="shared" ref="I113:I154" si="52">+J$95*G113+E113</f>
        <v>1374729.505767518</v>
      </c>
      <c r="J113" s="514">
        <f t="shared" si="31"/>
        <v>0</v>
      </c>
      <c r="K113" s="514"/>
      <c r="L113" s="525"/>
      <c r="M113" s="514">
        <f t="shared" si="33"/>
        <v>0</v>
      </c>
      <c r="N113" s="525"/>
      <c r="O113" s="514">
        <f t="shared" si="35"/>
        <v>0</v>
      </c>
      <c r="P113" s="514">
        <f t="shared" si="36"/>
        <v>0</v>
      </c>
      <c r="Q113" s="269"/>
    </row>
    <row r="114" spans="2:17">
      <c r="B114" s="195" t="str">
        <f t="shared" si="37"/>
        <v/>
      </c>
      <c r="C114" s="507">
        <f>IF(D93="","-",+C113+1)</f>
        <v>2024</v>
      </c>
      <c r="D114" s="374">
        <f>IF(F113+SUM(E$99:E113)=D$92,F113,D$92-SUM(E$99:E113))</f>
        <v>8990192.3377630115</v>
      </c>
      <c r="E114" s="522">
        <f>IF(+J96&lt;F113,J96,D114)</f>
        <v>335190.34146341466</v>
      </c>
      <c r="F114" s="523">
        <f t="shared" si="49"/>
        <v>8655001.9962995965</v>
      </c>
      <c r="G114" s="523">
        <f t="shared" si="50"/>
        <v>8822597.167031303</v>
      </c>
      <c r="H114" s="526">
        <f t="shared" si="51"/>
        <v>1336680.6334689991</v>
      </c>
      <c r="I114" s="577">
        <f t="shared" si="52"/>
        <v>1336680.6334689991</v>
      </c>
      <c r="J114" s="514">
        <f t="shared" si="31"/>
        <v>0</v>
      </c>
      <c r="K114" s="514"/>
      <c r="L114" s="525"/>
      <c r="M114" s="514">
        <f t="shared" si="33"/>
        <v>0</v>
      </c>
      <c r="N114" s="525"/>
      <c r="O114" s="514">
        <f t="shared" si="35"/>
        <v>0</v>
      </c>
      <c r="P114" s="514">
        <f t="shared" si="36"/>
        <v>0</v>
      </c>
      <c r="Q114" s="269"/>
    </row>
    <row r="115" spans="2:17">
      <c r="B115" s="195" t="str">
        <f t="shared" si="37"/>
        <v/>
      </c>
      <c r="C115" s="507">
        <f>IF(D93="","-",+C114+1)</f>
        <v>2025</v>
      </c>
      <c r="D115" s="374">
        <f>IF(F114+SUM(E$99:E114)=D$92,F114,D$92-SUM(E$99:E114))</f>
        <v>8655001.9962995965</v>
      </c>
      <c r="E115" s="522">
        <f>IF(+J96&lt;F114,J96,D115)</f>
        <v>335190.34146341466</v>
      </c>
      <c r="F115" s="523">
        <f t="shared" si="49"/>
        <v>8319811.6548361816</v>
      </c>
      <c r="G115" s="523">
        <f t="shared" si="50"/>
        <v>8487406.82556789</v>
      </c>
      <c r="H115" s="526">
        <f t="shared" si="51"/>
        <v>1298631.7611704806</v>
      </c>
      <c r="I115" s="577">
        <f t="shared" si="52"/>
        <v>1298631.7611704806</v>
      </c>
      <c r="J115" s="514">
        <f t="shared" si="31"/>
        <v>0</v>
      </c>
      <c r="K115" s="514"/>
      <c r="L115" s="525"/>
      <c r="M115" s="514">
        <f t="shared" si="33"/>
        <v>0</v>
      </c>
      <c r="N115" s="525"/>
      <c r="O115" s="514">
        <f t="shared" si="35"/>
        <v>0</v>
      </c>
      <c r="P115" s="514">
        <f t="shared" si="36"/>
        <v>0</v>
      </c>
      <c r="Q115" s="269"/>
    </row>
    <row r="116" spans="2:17">
      <c r="B116" s="195" t="str">
        <f t="shared" si="37"/>
        <v/>
      </c>
      <c r="C116" s="507">
        <f>IF(D93="","-",+C115+1)</f>
        <v>2026</v>
      </c>
      <c r="D116" s="374">
        <f>IF(F115+SUM(E$99:E115)=D$92,F115,D$92-SUM(E$99:E115))</f>
        <v>8319811.6548361816</v>
      </c>
      <c r="E116" s="522">
        <f>IF(+J96&lt;F115,J96,D116)</f>
        <v>335190.34146341466</v>
      </c>
      <c r="F116" s="523">
        <f t="shared" si="49"/>
        <v>7984621.3133727666</v>
      </c>
      <c r="G116" s="523">
        <f t="shared" si="50"/>
        <v>8152216.4841044741</v>
      </c>
      <c r="H116" s="526">
        <f t="shared" si="51"/>
        <v>1260582.8888719617</v>
      </c>
      <c r="I116" s="577">
        <f t="shared" si="52"/>
        <v>1260582.8888719617</v>
      </c>
      <c r="J116" s="514">
        <f t="shared" si="31"/>
        <v>0</v>
      </c>
      <c r="K116" s="514"/>
      <c r="L116" s="525"/>
      <c r="M116" s="514">
        <f t="shared" si="33"/>
        <v>0</v>
      </c>
      <c r="N116" s="525"/>
      <c r="O116" s="514">
        <f t="shared" si="35"/>
        <v>0</v>
      </c>
      <c r="P116" s="514">
        <f t="shared" si="36"/>
        <v>0</v>
      </c>
      <c r="Q116" s="269"/>
    </row>
    <row r="117" spans="2:17">
      <c r="B117" s="195" t="str">
        <f t="shared" si="37"/>
        <v/>
      </c>
      <c r="C117" s="507">
        <f>IF(D93="","-",+C116+1)</f>
        <v>2027</v>
      </c>
      <c r="D117" s="374">
        <f>IF(F116+SUM(E$99:E116)=D$92,F116,D$92-SUM(E$99:E116))</f>
        <v>7984621.3133727666</v>
      </c>
      <c r="E117" s="522">
        <f>IF(+J96&lt;F116,J96,D117)</f>
        <v>335190.34146341466</v>
      </c>
      <c r="F117" s="523">
        <f t="shared" si="49"/>
        <v>7649430.9719093516</v>
      </c>
      <c r="G117" s="523">
        <f t="shared" si="50"/>
        <v>7817026.1426410591</v>
      </c>
      <c r="H117" s="526">
        <f t="shared" si="51"/>
        <v>1222534.0165734431</v>
      </c>
      <c r="I117" s="577">
        <f t="shared" si="52"/>
        <v>1222534.0165734431</v>
      </c>
      <c r="J117" s="514">
        <f t="shared" si="31"/>
        <v>0</v>
      </c>
      <c r="K117" s="514"/>
      <c r="L117" s="525"/>
      <c r="M117" s="514">
        <f t="shared" si="33"/>
        <v>0</v>
      </c>
      <c r="N117" s="525"/>
      <c r="O117" s="514">
        <f t="shared" si="35"/>
        <v>0</v>
      </c>
      <c r="P117" s="514">
        <f t="shared" si="36"/>
        <v>0</v>
      </c>
      <c r="Q117" s="269"/>
    </row>
    <row r="118" spans="2:17">
      <c r="B118" s="195" t="str">
        <f t="shared" si="37"/>
        <v/>
      </c>
      <c r="C118" s="507">
        <f>IF(D93="","-",+C117+1)</f>
        <v>2028</v>
      </c>
      <c r="D118" s="374">
        <f>IF(F117+SUM(E$99:E117)=D$92,F117,D$92-SUM(E$99:E117))</f>
        <v>7649430.9719093516</v>
      </c>
      <c r="E118" s="522">
        <f>IF(+J96&lt;F117,J96,D118)</f>
        <v>335190.34146341466</v>
      </c>
      <c r="F118" s="523">
        <f t="shared" si="49"/>
        <v>7314240.6304459367</v>
      </c>
      <c r="G118" s="523">
        <f t="shared" si="50"/>
        <v>7481835.8011776442</v>
      </c>
      <c r="H118" s="526">
        <f t="shared" si="51"/>
        <v>1184485.1442749244</v>
      </c>
      <c r="I118" s="577">
        <f t="shared" si="52"/>
        <v>1184485.1442749244</v>
      </c>
      <c r="J118" s="514">
        <f t="shared" si="31"/>
        <v>0</v>
      </c>
      <c r="K118" s="514"/>
      <c r="L118" s="525"/>
      <c r="M118" s="514">
        <f t="shared" si="33"/>
        <v>0</v>
      </c>
      <c r="N118" s="525"/>
      <c r="O118" s="514">
        <f t="shared" si="35"/>
        <v>0</v>
      </c>
      <c r="P118" s="514">
        <f t="shared" si="36"/>
        <v>0</v>
      </c>
      <c r="Q118" s="269"/>
    </row>
    <row r="119" spans="2:17">
      <c r="B119" s="195" t="str">
        <f t="shared" si="37"/>
        <v/>
      </c>
      <c r="C119" s="507">
        <f>IF(D93="","-",+C118+1)</f>
        <v>2029</v>
      </c>
      <c r="D119" s="374">
        <f>IF(F118+SUM(E$99:E118)=D$92,F118,D$92-SUM(E$99:E118))</f>
        <v>7314240.6304459367</v>
      </c>
      <c r="E119" s="522">
        <f>IF(+J96&lt;F118,J96,D119)</f>
        <v>335190.34146341466</v>
      </c>
      <c r="F119" s="523">
        <f t="shared" si="49"/>
        <v>6979050.2889825217</v>
      </c>
      <c r="G119" s="523">
        <f t="shared" si="50"/>
        <v>7146645.4597142292</v>
      </c>
      <c r="H119" s="526">
        <f t="shared" si="51"/>
        <v>1146436.2719764055</v>
      </c>
      <c r="I119" s="577">
        <f t="shared" si="52"/>
        <v>1146436.2719764055</v>
      </c>
      <c r="J119" s="514">
        <f t="shared" si="31"/>
        <v>0</v>
      </c>
      <c r="K119" s="514"/>
      <c r="L119" s="525"/>
      <c r="M119" s="514">
        <f t="shared" si="33"/>
        <v>0</v>
      </c>
      <c r="N119" s="525"/>
      <c r="O119" s="514">
        <f t="shared" si="35"/>
        <v>0</v>
      </c>
      <c r="P119" s="514">
        <f t="shared" si="36"/>
        <v>0</v>
      </c>
      <c r="Q119" s="269"/>
    </row>
    <row r="120" spans="2:17">
      <c r="B120" s="195" t="str">
        <f t="shared" si="37"/>
        <v/>
      </c>
      <c r="C120" s="507">
        <f>IF(D93="","-",+C119+1)</f>
        <v>2030</v>
      </c>
      <c r="D120" s="374">
        <f>IF(F119+SUM(E$99:E119)=D$92,F119,D$92-SUM(E$99:E119))</f>
        <v>6979050.2889825217</v>
      </c>
      <c r="E120" s="522">
        <f>IF(+J96&lt;F119,J96,D120)</f>
        <v>335190.34146341466</v>
      </c>
      <c r="F120" s="523">
        <f t="shared" si="49"/>
        <v>6643859.9475191068</v>
      </c>
      <c r="G120" s="523">
        <f t="shared" si="50"/>
        <v>6811455.1182508143</v>
      </c>
      <c r="H120" s="526">
        <f t="shared" si="51"/>
        <v>1108387.3996778869</v>
      </c>
      <c r="I120" s="577">
        <f t="shared" si="52"/>
        <v>1108387.3996778869</v>
      </c>
      <c r="J120" s="514">
        <f t="shared" si="31"/>
        <v>0</v>
      </c>
      <c r="K120" s="514"/>
      <c r="L120" s="525"/>
      <c r="M120" s="514">
        <f t="shared" si="33"/>
        <v>0</v>
      </c>
      <c r="N120" s="525"/>
      <c r="O120" s="514">
        <f t="shared" si="35"/>
        <v>0</v>
      </c>
      <c r="P120" s="514">
        <f t="shared" si="36"/>
        <v>0</v>
      </c>
      <c r="Q120" s="269"/>
    </row>
    <row r="121" spans="2:17">
      <c r="B121" s="195" t="str">
        <f t="shared" si="37"/>
        <v/>
      </c>
      <c r="C121" s="507">
        <f>IF(D93="","-",+C120+1)</f>
        <v>2031</v>
      </c>
      <c r="D121" s="374">
        <f>IF(F120+SUM(E$99:E120)=D$92,F120,D$92-SUM(E$99:E120))</f>
        <v>6643859.9475191068</v>
      </c>
      <c r="E121" s="522">
        <f>IF(+J96&lt;F120,J96,D121)</f>
        <v>335190.34146341466</v>
      </c>
      <c r="F121" s="523">
        <f t="shared" si="49"/>
        <v>6308669.6060556918</v>
      </c>
      <c r="G121" s="523">
        <f t="shared" si="50"/>
        <v>6476264.7767873993</v>
      </c>
      <c r="H121" s="526">
        <f t="shared" si="51"/>
        <v>1070338.5273793682</v>
      </c>
      <c r="I121" s="577">
        <f t="shared" si="52"/>
        <v>1070338.5273793682</v>
      </c>
      <c r="J121" s="514">
        <f t="shared" si="31"/>
        <v>0</v>
      </c>
      <c r="K121" s="514"/>
      <c r="L121" s="525"/>
      <c r="M121" s="514">
        <f t="shared" si="33"/>
        <v>0</v>
      </c>
      <c r="N121" s="525"/>
      <c r="O121" s="514">
        <f t="shared" si="35"/>
        <v>0</v>
      </c>
      <c r="P121" s="514">
        <f t="shared" si="36"/>
        <v>0</v>
      </c>
      <c r="Q121" s="269"/>
    </row>
    <row r="122" spans="2:17">
      <c r="B122" s="195" t="str">
        <f t="shared" si="37"/>
        <v/>
      </c>
      <c r="C122" s="507">
        <f>IF(D93="","-",+C121+1)</f>
        <v>2032</v>
      </c>
      <c r="D122" s="374">
        <f>IF(F121+SUM(E$99:E121)=D$92,F121,D$92-SUM(E$99:E121))</f>
        <v>6308669.6060556918</v>
      </c>
      <c r="E122" s="522">
        <f>IF(+J96&lt;F121,J96,D122)</f>
        <v>335190.34146341466</v>
      </c>
      <c r="F122" s="523">
        <f t="shared" si="49"/>
        <v>5973479.2645922769</v>
      </c>
      <c r="G122" s="523">
        <f t="shared" si="50"/>
        <v>6141074.4353239844</v>
      </c>
      <c r="H122" s="526">
        <f t="shared" si="51"/>
        <v>1032289.6550808495</v>
      </c>
      <c r="I122" s="577">
        <f t="shared" si="52"/>
        <v>1032289.6550808495</v>
      </c>
      <c r="J122" s="514">
        <f t="shared" si="31"/>
        <v>0</v>
      </c>
      <c r="K122" s="514"/>
      <c r="L122" s="525"/>
      <c r="M122" s="514">
        <f t="shared" si="33"/>
        <v>0</v>
      </c>
      <c r="N122" s="525"/>
      <c r="O122" s="514">
        <f t="shared" si="35"/>
        <v>0</v>
      </c>
      <c r="P122" s="514">
        <f t="shared" si="36"/>
        <v>0</v>
      </c>
      <c r="Q122" s="269"/>
    </row>
    <row r="123" spans="2:17">
      <c r="B123" s="195" t="str">
        <f t="shared" si="37"/>
        <v/>
      </c>
      <c r="C123" s="507">
        <f>IF(D93="","-",+C122+1)</f>
        <v>2033</v>
      </c>
      <c r="D123" s="374">
        <f>IF(F122+SUM(E$99:E122)=D$92,F122,D$92-SUM(E$99:E122))</f>
        <v>5973479.2645922769</v>
      </c>
      <c r="E123" s="522">
        <f>IF(+J96&lt;F122,J96,D123)</f>
        <v>335190.34146341466</v>
      </c>
      <c r="F123" s="523">
        <f t="shared" si="49"/>
        <v>5638288.9231288619</v>
      </c>
      <c r="G123" s="523">
        <f t="shared" si="50"/>
        <v>5805884.0938605694</v>
      </c>
      <c r="H123" s="526">
        <f t="shared" si="51"/>
        <v>994240.78278233088</v>
      </c>
      <c r="I123" s="577">
        <f t="shared" si="52"/>
        <v>994240.78278233088</v>
      </c>
      <c r="J123" s="514">
        <f t="shared" si="31"/>
        <v>0</v>
      </c>
      <c r="K123" s="514"/>
      <c r="L123" s="525"/>
      <c r="M123" s="514">
        <f t="shared" si="33"/>
        <v>0</v>
      </c>
      <c r="N123" s="525"/>
      <c r="O123" s="514">
        <f t="shared" si="35"/>
        <v>0</v>
      </c>
      <c r="P123" s="514">
        <f t="shared" si="36"/>
        <v>0</v>
      </c>
      <c r="Q123" s="269"/>
    </row>
    <row r="124" spans="2:17">
      <c r="B124" s="195" t="str">
        <f t="shared" si="37"/>
        <v/>
      </c>
      <c r="C124" s="507">
        <f>IF(D93="","-",+C123+1)</f>
        <v>2034</v>
      </c>
      <c r="D124" s="374">
        <f>IF(F123+SUM(E$99:E123)=D$92,F123,D$92-SUM(E$99:E123))</f>
        <v>5638288.9231288619</v>
      </c>
      <c r="E124" s="522">
        <f>IF(+J96&lt;F123,J96,D124)</f>
        <v>335190.34146341466</v>
      </c>
      <c r="F124" s="523">
        <f t="shared" si="49"/>
        <v>5303098.581665447</v>
      </c>
      <c r="G124" s="523">
        <f t="shared" si="50"/>
        <v>5470693.7523971545</v>
      </c>
      <c r="H124" s="526">
        <f t="shared" si="51"/>
        <v>956191.91048381198</v>
      </c>
      <c r="I124" s="577">
        <f t="shared" si="52"/>
        <v>956191.91048381198</v>
      </c>
      <c r="J124" s="514">
        <f t="shared" si="31"/>
        <v>0</v>
      </c>
      <c r="K124" s="514"/>
      <c r="L124" s="525"/>
      <c r="M124" s="514">
        <f t="shared" si="33"/>
        <v>0</v>
      </c>
      <c r="N124" s="525"/>
      <c r="O124" s="514">
        <f t="shared" si="35"/>
        <v>0</v>
      </c>
      <c r="P124" s="514">
        <f t="shared" si="36"/>
        <v>0</v>
      </c>
      <c r="Q124" s="269"/>
    </row>
    <row r="125" spans="2:17">
      <c r="B125" s="195" t="str">
        <f t="shared" si="37"/>
        <v/>
      </c>
      <c r="C125" s="507">
        <f>IF(D93="","-",+C124+1)</f>
        <v>2035</v>
      </c>
      <c r="D125" s="374">
        <f>IF(F124+SUM(E$99:E124)=D$92,F124,D$92-SUM(E$99:E124))</f>
        <v>5303098.581665447</v>
      </c>
      <c r="E125" s="522">
        <f>IF(+J96&lt;F124,J96,D125)</f>
        <v>335190.34146341466</v>
      </c>
      <c r="F125" s="523">
        <f t="shared" si="49"/>
        <v>4967908.240202032</v>
      </c>
      <c r="G125" s="523">
        <f t="shared" si="50"/>
        <v>5135503.4109337395</v>
      </c>
      <c r="H125" s="526">
        <f t="shared" si="51"/>
        <v>918143.03818529332</v>
      </c>
      <c r="I125" s="577">
        <f t="shared" si="52"/>
        <v>918143.03818529332</v>
      </c>
      <c r="J125" s="514">
        <f t="shared" si="31"/>
        <v>0</v>
      </c>
      <c r="K125" s="514"/>
      <c r="L125" s="525"/>
      <c r="M125" s="514">
        <f t="shared" si="33"/>
        <v>0</v>
      </c>
      <c r="N125" s="525"/>
      <c r="O125" s="514">
        <f t="shared" si="35"/>
        <v>0</v>
      </c>
      <c r="P125" s="514">
        <f t="shared" si="36"/>
        <v>0</v>
      </c>
      <c r="Q125" s="269"/>
    </row>
    <row r="126" spans="2:17">
      <c r="B126" s="195" t="str">
        <f t="shared" si="37"/>
        <v/>
      </c>
      <c r="C126" s="507">
        <f>IF(D93="","-",+C125+1)</f>
        <v>2036</v>
      </c>
      <c r="D126" s="374">
        <f>IF(F125+SUM(E$99:E125)=D$92,F125,D$92-SUM(E$99:E125))</f>
        <v>4967908.240202032</v>
      </c>
      <c r="E126" s="522">
        <f>IF(+J96&lt;F125,J96,D126)</f>
        <v>335190.34146341466</v>
      </c>
      <c r="F126" s="523">
        <f t="shared" si="49"/>
        <v>4632717.8987386171</v>
      </c>
      <c r="G126" s="523">
        <f t="shared" si="50"/>
        <v>4800313.0694703246</v>
      </c>
      <c r="H126" s="526">
        <f t="shared" si="51"/>
        <v>880094.16588677466</v>
      </c>
      <c r="I126" s="577">
        <f t="shared" si="52"/>
        <v>880094.16588677466</v>
      </c>
      <c r="J126" s="514">
        <f t="shared" si="31"/>
        <v>0</v>
      </c>
      <c r="K126" s="514"/>
      <c r="L126" s="525"/>
      <c r="M126" s="514">
        <f t="shared" si="33"/>
        <v>0</v>
      </c>
      <c r="N126" s="525"/>
      <c r="O126" s="514">
        <f t="shared" si="35"/>
        <v>0</v>
      </c>
      <c r="P126" s="514">
        <f t="shared" si="36"/>
        <v>0</v>
      </c>
      <c r="Q126" s="269"/>
    </row>
    <row r="127" spans="2:17">
      <c r="B127" s="195" t="str">
        <f t="shared" si="37"/>
        <v/>
      </c>
      <c r="C127" s="507">
        <f>IF(D93="","-",+C126+1)</f>
        <v>2037</v>
      </c>
      <c r="D127" s="374">
        <f>IF(F126+SUM(E$99:E126)=D$92,F126,D$92-SUM(E$99:E126))</f>
        <v>4632717.8987386171</v>
      </c>
      <c r="E127" s="522">
        <f>IF(+J96&lt;F126,J96,D127)</f>
        <v>335190.34146341466</v>
      </c>
      <c r="F127" s="523">
        <f t="shared" si="49"/>
        <v>4297527.5572752021</v>
      </c>
      <c r="G127" s="523">
        <f t="shared" si="50"/>
        <v>4465122.7280069096</v>
      </c>
      <c r="H127" s="526">
        <f t="shared" si="51"/>
        <v>842045.293588256</v>
      </c>
      <c r="I127" s="577">
        <f t="shared" si="52"/>
        <v>842045.293588256</v>
      </c>
      <c r="J127" s="514">
        <f t="shared" si="31"/>
        <v>0</v>
      </c>
      <c r="K127" s="514"/>
      <c r="L127" s="525"/>
      <c r="M127" s="514">
        <f t="shared" si="33"/>
        <v>0</v>
      </c>
      <c r="N127" s="525"/>
      <c r="O127" s="514">
        <f t="shared" si="35"/>
        <v>0</v>
      </c>
      <c r="P127" s="514">
        <f t="shared" si="36"/>
        <v>0</v>
      </c>
      <c r="Q127" s="269"/>
    </row>
    <row r="128" spans="2:17">
      <c r="B128" s="195" t="str">
        <f t="shared" si="37"/>
        <v/>
      </c>
      <c r="C128" s="507">
        <f>IF(D93="","-",+C127+1)</f>
        <v>2038</v>
      </c>
      <c r="D128" s="374">
        <f>IF(F127+SUM(E$99:E127)=D$92,F127,D$92-SUM(E$99:E127))</f>
        <v>4297527.5572752021</v>
      </c>
      <c r="E128" s="522">
        <f>IF(+J96&lt;F127,J96,D128)</f>
        <v>335190.34146341466</v>
      </c>
      <c r="F128" s="523">
        <f t="shared" si="49"/>
        <v>3962337.2158117876</v>
      </c>
      <c r="G128" s="523">
        <f t="shared" si="50"/>
        <v>4129932.3865434946</v>
      </c>
      <c r="H128" s="526">
        <f t="shared" si="51"/>
        <v>803996.42128973734</v>
      </c>
      <c r="I128" s="577">
        <f t="shared" si="52"/>
        <v>803996.42128973734</v>
      </c>
      <c r="J128" s="514">
        <f t="shared" si="31"/>
        <v>0</v>
      </c>
      <c r="K128" s="514"/>
      <c r="L128" s="525"/>
      <c r="M128" s="514">
        <f t="shared" si="33"/>
        <v>0</v>
      </c>
      <c r="N128" s="525"/>
      <c r="O128" s="514">
        <f t="shared" si="35"/>
        <v>0</v>
      </c>
      <c r="P128" s="514">
        <f t="shared" si="36"/>
        <v>0</v>
      </c>
      <c r="Q128" s="269"/>
    </row>
    <row r="129" spans="2:17">
      <c r="B129" s="195" t="str">
        <f t="shared" si="37"/>
        <v/>
      </c>
      <c r="C129" s="507">
        <f>IF(D93="","-",+C128+1)</f>
        <v>2039</v>
      </c>
      <c r="D129" s="374">
        <f>IF(F128+SUM(E$99:E128)=D$92,F128,D$92-SUM(E$99:E128))</f>
        <v>3962337.2158117876</v>
      </c>
      <c r="E129" s="522">
        <f>IF(+J96&lt;F128,J96,D129)</f>
        <v>335190.34146341466</v>
      </c>
      <c r="F129" s="523">
        <f t="shared" si="49"/>
        <v>3627146.8743483732</v>
      </c>
      <c r="G129" s="523">
        <f t="shared" si="50"/>
        <v>3794742.0450800806</v>
      </c>
      <c r="H129" s="526">
        <f t="shared" si="51"/>
        <v>765947.54899121867</v>
      </c>
      <c r="I129" s="577">
        <f t="shared" si="52"/>
        <v>765947.54899121867</v>
      </c>
      <c r="J129" s="514">
        <f t="shared" si="31"/>
        <v>0</v>
      </c>
      <c r="K129" s="514"/>
      <c r="L129" s="525"/>
      <c r="M129" s="514">
        <f t="shared" si="33"/>
        <v>0</v>
      </c>
      <c r="N129" s="525"/>
      <c r="O129" s="514">
        <f t="shared" si="35"/>
        <v>0</v>
      </c>
      <c r="P129" s="514">
        <f t="shared" si="36"/>
        <v>0</v>
      </c>
      <c r="Q129" s="269"/>
    </row>
    <row r="130" spans="2:17">
      <c r="B130" s="195" t="str">
        <f t="shared" si="37"/>
        <v/>
      </c>
      <c r="C130" s="507">
        <f>IF(D93="","-",+C129+1)</f>
        <v>2040</v>
      </c>
      <c r="D130" s="374">
        <f>IF(F129+SUM(E$99:E129)=D$92,F129,D$92-SUM(E$99:E129))</f>
        <v>3627146.8743483732</v>
      </c>
      <c r="E130" s="522">
        <f>IF(+J96&lt;F129,J96,D130)</f>
        <v>335190.34146341466</v>
      </c>
      <c r="F130" s="523">
        <f t="shared" si="49"/>
        <v>3291956.5328849587</v>
      </c>
      <c r="G130" s="523">
        <f t="shared" si="50"/>
        <v>3459551.7036166657</v>
      </c>
      <c r="H130" s="526">
        <f t="shared" si="51"/>
        <v>727898.67669270001</v>
      </c>
      <c r="I130" s="577">
        <f t="shared" si="52"/>
        <v>727898.67669270001</v>
      </c>
      <c r="J130" s="514">
        <f t="shared" si="31"/>
        <v>0</v>
      </c>
      <c r="K130" s="514"/>
      <c r="L130" s="525"/>
      <c r="M130" s="514">
        <f t="shared" si="33"/>
        <v>0</v>
      </c>
      <c r="N130" s="525"/>
      <c r="O130" s="514">
        <f t="shared" si="35"/>
        <v>0</v>
      </c>
      <c r="P130" s="514">
        <f t="shared" si="36"/>
        <v>0</v>
      </c>
      <c r="Q130" s="269"/>
    </row>
    <row r="131" spans="2:17">
      <c r="B131" s="195" t="str">
        <f t="shared" si="37"/>
        <v/>
      </c>
      <c r="C131" s="507">
        <f>IF(D93="","-",+C130+1)</f>
        <v>2041</v>
      </c>
      <c r="D131" s="374">
        <f>IF(F130+SUM(E$99:E130)=D$92,F130,D$92-SUM(E$99:E130))</f>
        <v>3291956.5328849587</v>
      </c>
      <c r="E131" s="522">
        <f>IF(+J96&lt;F130,J96,D131)</f>
        <v>335190.34146341466</v>
      </c>
      <c r="F131" s="523">
        <f t="shared" ref="F131:F154" si="53">+D131-E131</f>
        <v>2956766.1914215442</v>
      </c>
      <c r="G131" s="523">
        <f t="shared" ref="G131:G154" si="54">+(F131+D131)/2</f>
        <v>3124361.3621532517</v>
      </c>
      <c r="H131" s="526">
        <f t="shared" si="51"/>
        <v>689849.80439418135</v>
      </c>
      <c r="I131" s="577">
        <f t="shared" si="52"/>
        <v>689849.80439418135</v>
      </c>
      <c r="J131" s="514">
        <f t="shared" ref="J131:J154" si="55">+I131-H131</f>
        <v>0</v>
      </c>
      <c r="K131" s="514"/>
      <c r="L131" s="525"/>
      <c r="M131" s="514">
        <f t="shared" ref="M131:M154" si="56">IF(L131&lt;&gt;0,+H131-L131,0)</f>
        <v>0</v>
      </c>
      <c r="N131" s="525"/>
      <c r="O131" s="514">
        <f t="shared" ref="O131:O154" si="57">IF(N131&lt;&gt;0,+I131-N131,0)</f>
        <v>0</v>
      </c>
      <c r="P131" s="514">
        <f t="shared" ref="P131:P154" si="58">+O131-M131</f>
        <v>0</v>
      </c>
      <c r="Q131" s="269"/>
    </row>
    <row r="132" spans="2:17">
      <c r="B132" s="195" t="str">
        <f t="shared" si="37"/>
        <v/>
      </c>
      <c r="C132" s="507">
        <f>IF(D93="","-",+C131+1)</f>
        <v>2042</v>
      </c>
      <c r="D132" s="374">
        <f>IF(F131+SUM(E$99:E131)=D$92,F131,D$92-SUM(E$99:E131))</f>
        <v>2956766.1914215442</v>
      </c>
      <c r="E132" s="522">
        <f>IF(+J96&lt;F131,J96,D132)</f>
        <v>335190.34146341466</v>
      </c>
      <c r="F132" s="523">
        <f t="shared" si="53"/>
        <v>2621575.8499581297</v>
      </c>
      <c r="G132" s="523">
        <f t="shared" si="54"/>
        <v>2789171.0206898367</v>
      </c>
      <c r="H132" s="526">
        <f t="shared" si="51"/>
        <v>651800.93209566269</v>
      </c>
      <c r="I132" s="577">
        <f t="shared" si="52"/>
        <v>651800.93209566269</v>
      </c>
      <c r="J132" s="514">
        <f t="shared" si="55"/>
        <v>0</v>
      </c>
      <c r="K132" s="514"/>
      <c r="L132" s="525"/>
      <c r="M132" s="514">
        <f t="shared" si="56"/>
        <v>0</v>
      </c>
      <c r="N132" s="525"/>
      <c r="O132" s="514">
        <f t="shared" si="57"/>
        <v>0</v>
      </c>
      <c r="P132" s="514">
        <f t="shared" si="58"/>
        <v>0</v>
      </c>
      <c r="Q132" s="269"/>
    </row>
    <row r="133" spans="2:17">
      <c r="B133" s="195" t="str">
        <f t="shared" si="37"/>
        <v/>
      </c>
      <c r="C133" s="507">
        <f>IF(D93="","-",+C132+1)</f>
        <v>2043</v>
      </c>
      <c r="D133" s="374">
        <f>IF(F132+SUM(E$99:E132)=D$92,F132,D$92-SUM(E$99:E132))</f>
        <v>2621575.8499581297</v>
      </c>
      <c r="E133" s="522">
        <f>IF(+J96&lt;F132,J96,D133)</f>
        <v>335190.34146341466</v>
      </c>
      <c r="F133" s="523">
        <f t="shared" si="53"/>
        <v>2286385.5084947152</v>
      </c>
      <c r="G133" s="523">
        <f t="shared" si="54"/>
        <v>2453980.6792264227</v>
      </c>
      <c r="H133" s="526">
        <f t="shared" si="51"/>
        <v>613752.05979714403</v>
      </c>
      <c r="I133" s="577">
        <f t="shared" si="52"/>
        <v>613752.05979714403</v>
      </c>
      <c r="J133" s="514">
        <f t="shared" si="55"/>
        <v>0</v>
      </c>
      <c r="K133" s="514"/>
      <c r="L133" s="525"/>
      <c r="M133" s="514">
        <f t="shared" si="56"/>
        <v>0</v>
      </c>
      <c r="N133" s="525"/>
      <c r="O133" s="514">
        <f t="shared" si="57"/>
        <v>0</v>
      </c>
      <c r="P133" s="514">
        <f t="shared" si="58"/>
        <v>0</v>
      </c>
      <c r="Q133" s="269"/>
    </row>
    <row r="134" spans="2:17">
      <c r="B134" s="195" t="str">
        <f t="shared" si="37"/>
        <v/>
      </c>
      <c r="C134" s="507">
        <f>IF(D93="","-",+C133+1)</f>
        <v>2044</v>
      </c>
      <c r="D134" s="374">
        <f>IF(F133+SUM(E$99:E133)=D$92,F133,D$92-SUM(E$99:E133))</f>
        <v>2286385.5084947152</v>
      </c>
      <c r="E134" s="522">
        <f>IF(+J96&lt;F133,J96,D134)</f>
        <v>335190.34146341466</v>
      </c>
      <c r="F134" s="523">
        <f t="shared" si="53"/>
        <v>1951195.1670313005</v>
      </c>
      <c r="G134" s="523">
        <f t="shared" si="54"/>
        <v>2118790.3377630077</v>
      </c>
      <c r="H134" s="526">
        <f t="shared" si="51"/>
        <v>575703.18749862537</v>
      </c>
      <c r="I134" s="577">
        <f t="shared" si="52"/>
        <v>575703.18749862537</v>
      </c>
      <c r="J134" s="514">
        <f t="shared" si="55"/>
        <v>0</v>
      </c>
      <c r="K134" s="514"/>
      <c r="L134" s="525"/>
      <c r="M134" s="514">
        <f t="shared" si="56"/>
        <v>0</v>
      </c>
      <c r="N134" s="525"/>
      <c r="O134" s="514">
        <f t="shared" si="57"/>
        <v>0</v>
      </c>
      <c r="P134" s="514">
        <f t="shared" si="58"/>
        <v>0</v>
      </c>
      <c r="Q134" s="269"/>
    </row>
    <row r="135" spans="2:17">
      <c r="B135" s="195" t="str">
        <f t="shared" si="37"/>
        <v/>
      </c>
      <c r="C135" s="507">
        <f>IF(D93="","-",+C134+1)</f>
        <v>2045</v>
      </c>
      <c r="D135" s="374">
        <f>IF(F134+SUM(E$99:E134)=D$92,F134,D$92-SUM(E$99:E134))</f>
        <v>1951195.1670313005</v>
      </c>
      <c r="E135" s="522">
        <f>IF(+J96&lt;F134,J96,D135)</f>
        <v>335190.34146341466</v>
      </c>
      <c r="F135" s="523">
        <f t="shared" si="53"/>
        <v>1616004.8255678858</v>
      </c>
      <c r="G135" s="523">
        <f t="shared" si="54"/>
        <v>1783599.9962995932</v>
      </c>
      <c r="H135" s="526">
        <f t="shared" si="51"/>
        <v>537654.31520010671</v>
      </c>
      <c r="I135" s="577">
        <f t="shared" si="52"/>
        <v>537654.31520010671</v>
      </c>
      <c r="J135" s="514">
        <f t="shared" si="55"/>
        <v>0</v>
      </c>
      <c r="K135" s="514"/>
      <c r="L135" s="525"/>
      <c r="M135" s="514">
        <f t="shared" si="56"/>
        <v>0</v>
      </c>
      <c r="N135" s="525"/>
      <c r="O135" s="514">
        <f t="shared" si="57"/>
        <v>0</v>
      </c>
      <c r="P135" s="514">
        <f t="shared" si="58"/>
        <v>0</v>
      </c>
      <c r="Q135" s="269"/>
    </row>
    <row r="136" spans="2:17">
      <c r="B136" s="195" t="str">
        <f t="shared" si="37"/>
        <v/>
      </c>
      <c r="C136" s="507">
        <f>IF(D93="","-",+C135+1)</f>
        <v>2046</v>
      </c>
      <c r="D136" s="374">
        <f>IF(F135+SUM(E$99:E135)=D$92,F135,D$92-SUM(E$99:E135))</f>
        <v>1616004.8255678858</v>
      </c>
      <c r="E136" s="522">
        <f>IF(+J96&lt;F135,J96,D136)</f>
        <v>335190.34146341466</v>
      </c>
      <c r="F136" s="523">
        <f t="shared" si="53"/>
        <v>1280814.484104471</v>
      </c>
      <c r="G136" s="523">
        <f t="shared" si="54"/>
        <v>1448409.6548361783</v>
      </c>
      <c r="H136" s="526">
        <f t="shared" si="51"/>
        <v>499605.44290158793</v>
      </c>
      <c r="I136" s="577">
        <f t="shared" si="52"/>
        <v>499605.44290158793</v>
      </c>
      <c r="J136" s="514">
        <f t="shared" si="55"/>
        <v>0</v>
      </c>
      <c r="K136" s="514"/>
      <c r="L136" s="525"/>
      <c r="M136" s="514">
        <f t="shared" si="56"/>
        <v>0</v>
      </c>
      <c r="N136" s="525"/>
      <c r="O136" s="514">
        <f t="shared" si="57"/>
        <v>0</v>
      </c>
      <c r="P136" s="514">
        <f t="shared" si="58"/>
        <v>0</v>
      </c>
      <c r="Q136" s="269"/>
    </row>
    <row r="137" spans="2:17">
      <c r="B137" s="195" t="str">
        <f t="shared" si="37"/>
        <v/>
      </c>
      <c r="C137" s="507">
        <f>IF(D93="","-",+C136+1)</f>
        <v>2047</v>
      </c>
      <c r="D137" s="374">
        <f>IF(F136+SUM(E$99:E136)=D$92,F136,D$92-SUM(E$99:E136))</f>
        <v>1280814.484104471</v>
      </c>
      <c r="E137" s="522">
        <f>IF(+J96&lt;F136,J96,D137)</f>
        <v>335190.34146341466</v>
      </c>
      <c r="F137" s="523">
        <f t="shared" si="53"/>
        <v>945624.14264105633</v>
      </c>
      <c r="G137" s="523">
        <f t="shared" si="54"/>
        <v>1113219.3133727638</v>
      </c>
      <c r="H137" s="526">
        <f t="shared" si="51"/>
        <v>461556.57060306927</v>
      </c>
      <c r="I137" s="577">
        <f t="shared" si="52"/>
        <v>461556.57060306927</v>
      </c>
      <c r="J137" s="514">
        <f t="shared" si="55"/>
        <v>0</v>
      </c>
      <c r="K137" s="514"/>
      <c r="L137" s="525"/>
      <c r="M137" s="514">
        <f t="shared" si="56"/>
        <v>0</v>
      </c>
      <c r="N137" s="525"/>
      <c r="O137" s="514">
        <f t="shared" si="57"/>
        <v>0</v>
      </c>
      <c r="P137" s="514">
        <f t="shared" si="58"/>
        <v>0</v>
      </c>
      <c r="Q137" s="269"/>
    </row>
    <row r="138" spans="2:17">
      <c r="B138" s="195" t="str">
        <f t="shared" si="37"/>
        <v/>
      </c>
      <c r="C138" s="507">
        <f>IF(D93="","-",+C137+1)</f>
        <v>2048</v>
      </c>
      <c r="D138" s="374">
        <f>IF(F137+SUM(E$99:E137)=D$92,F137,D$92-SUM(E$99:E137))</f>
        <v>945624.14264105633</v>
      </c>
      <c r="E138" s="522">
        <f>IF(+J96&lt;F137,J96,D138)</f>
        <v>335190.34146341466</v>
      </c>
      <c r="F138" s="523">
        <f t="shared" si="53"/>
        <v>610433.80117764161</v>
      </c>
      <c r="G138" s="523">
        <f t="shared" si="54"/>
        <v>778028.97190934897</v>
      </c>
      <c r="H138" s="526">
        <f t="shared" si="51"/>
        <v>423507.69830455061</v>
      </c>
      <c r="I138" s="577">
        <f t="shared" si="52"/>
        <v>423507.69830455061</v>
      </c>
      <c r="J138" s="514">
        <f t="shared" si="55"/>
        <v>0</v>
      </c>
      <c r="K138" s="514"/>
      <c r="L138" s="525"/>
      <c r="M138" s="514">
        <f t="shared" si="56"/>
        <v>0</v>
      </c>
      <c r="N138" s="525"/>
      <c r="O138" s="514">
        <f t="shared" si="57"/>
        <v>0</v>
      </c>
      <c r="P138" s="514">
        <f t="shared" si="58"/>
        <v>0</v>
      </c>
      <c r="Q138" s="269"/>
    </row>
    <row r="139" spans="2:17">
      <c r="B139" s="195" t="str">
        <f t="shared" si="37"/>
        <v/>
      </c>
      <c r="C139" s="507">
        <f>IF(D93="","-",+C138+1)</f>
        <v>2049</v>
      </c>
      <c r="D139" s="374">
        <f>IF(F138+SUM(E$99:E138)=D$92,F138,D$92-SUM(E$99:E138))</f>
        <v>610433.80117764161</v>
      </c>
      <c r="E139" s="522">
        <f>IF(+J96&lt;F138,J96,D139)</f>
        <v>335190.34146341466</v>
      </c>
      <c r="F139" s="523">
        <f t="shared" si="53"/>
        <v>275243.45971422695</v>
      </c>
      <c r="G139" s="523">
        <f t="shared" si="54"/>
        <v>442838.63044593425</v>
      </c>
      <c r="H139" s="526">
        <f t="shared" si="51"/>
        <v>385458.82600603189</v>
      </c>
      <c r="I139" s="577">
        <f t="shared" si="52"/>
        <v>385458.82600603189</v>
      </c>
      <c r="J139" s="514">
        <f t="shared" si="55"/>
        <v>0</v>
      </c>
      <c r="K139" s="514"/>
      <c r="L139" s="525"/>
      <c r="M139" s="514">
        <f t="shared" si="56"/>
        <v>0</v>
      </c>
      <c r="N139" s="525"/>
      <c r="O139" s="514">
        <f t="shared" si="57"/>
        <v>0</v>
      </c>
      <c r="P139" s="514">
        <f t="shared" si="58"/>
        <v>0</v>
      </c>
      <c r="Q139" s="269"/>
    </row>
    <row r="140" spans="2:17">
      <c r="B140" s="195" t="str">
        <f t="shared" si="37"/>
        <v/>
      </c>
      <c r="C140" s="507">
        <f>IF(D93="","-",+C139+1)</f>
        <v>2050</v>
      </c>
      <c r="D140" s="374">
        <f>IF(F139+SUM(E$99:E139)=D$92,F139,D$92-SUM(E$99:E139))</f>
        <v>275243.45971422695</v>
      </c>
      <c r="E140" s="522">
        <f>IF(+J96&lt;F139,J96,D140)</f>
        <v>275243.45971422695</v>
      </c>
      <c r="F140" s="523">
        <f t="shared" si="53"/>
        <v>0</v>
      </c>
      <c r="G140" s="523">
        <f t="shared" si="54"/>
        <v>137621.72985711347</v>
      </c>
      <c r="H140" s="526">
        <f t="shared" si="51"/>
        <v>290865.4839109059</v>
      </c>
      <c r="I140" s="577">
        <f t="shared" si="52"/>
        <v>290865.4839109059</v>
      </c>
      <c r="J140" s="514">
        <f t="shared" si="55"/>
        <v>0</v>
      </c>
      <c r="K140" s="514"/>
      <c r="L140" s="525"/>
      <c r="M140" s="514">
        <f t="shared" si="56"/>
        <v>0</v>
      </c>
      <c r="N140" s="525"/>
      <c r="O140" s="514">
        <f t="shared" si="57"/>
        <v>0</v>
      </c>
      <c r="P140" s="514">
        <f t="shared" si="58"/>
        <v>0</v>
      </c>
      <c r="Q140" s="269"/>
    </row>
    <row r="141" spans="2:17">
      <c r="B141" s="195" t="str">
        <f t="shared" si="37"/>
        <v/>
      </c>
      <c r="C141" s="507">
        <f>IF(D93="","-",+C140+1)</f>
        <v>2051</v>
      </c>
      <c r="D141" s="374">
        <f>IF(F140+SUM(E$99:E140)=D$92,F140,D$92-SUM(E$99:E140))</f>
        <v>0</v>
      </c>
      <c r="E141" s="522">
        <f>IF(+J96&lt;F140,J96,D141)</f>
        <v>0</v>
      </c>
      <c r="F141" s="523">
        <f t="shared" si="53"/>
        <v>0</v>
      </c>
      <c r="G141" s="523">
        <f t="shared" si="54"/>
        <v>0</v>
      </c>
      <c r="H141" s="526">
        <f t="shared" si="51"/>
        <v>0</v>
      </c>
      <c r="I141" s="577">
        <f t="shared" si="52"/>
        <v>0</v>
      </c>
      <c r="J141" s="514">
        <f t="shared" si="55"/>
        <v>0</v>
      </c>
      <c r="K141" s="514"/>
      <c r="L141" s="525"/>
      <c r="M141" s="514">
        <f t="shared" si="56"/>
        <v>0</v>
      </c>
      <c r="N141" s="525"/>
      <c r="O141" s="514">
        <f t="shared" si="57"/>
        <v>0</v>
      </c>
      <c r="P141" s="514">
        <f t="shared" si="58"/>
        <v>0</v>
      </c>
      <c r="Q141" s="269"/>
    </row>
    <row r="142" spans="2:17">
      <c r="B142" s="195" t="str">
        <f t="shared" si="37"/>
        <v/>
      </c>
      <c r="C142" s="507">
        <f>IF(D93="","-",+C141+1)</f>
        <v>2052</v>
      </c>
      <c r="D142" s="374">
        <f>IF(F141+SUM(E$99:E141)=D$92,F141,D$92-SUM(E$99:E141))</f>
        <v>0</v>
      </c>
      <c r="E142" s="522">
        <f>IF(+J96&lt;F141,J96,D142)</f>
        <v>0</v>
      </c>
      <c r="F142" s="523">
        <f t="shared" si="53"/>
        <v>0</v>
      </c>
      <c r="G142" s="523">
        <f t="shared" si="54"/>
        <v>0</v>
      </c>
      <c r="H142" s="526">
        <f t="shared" si="51"/>
        <v>0</v>
      </c>
      <c r="I142" s="577">
        <f t="shared" si="52"/>
        <v>0</v>
      </c>
      <c r="J142" s="514">
        <f t="shared" si="55"/>
        <v>0</v>
      </c>
      <c r="K142" s="514"/>
      <c r="L142" s="525"/>
      <c r="M142" s="514">
        <f t="shared" si="56"/>
        <v>0</v>
      </c>
      <c r="N142" s="525"/>
      <c r="O142" s="514">
        <f t="shared" si="57"/>
        <v>0</v>
      </c>
      <c r="P142" s="514">
        <f t="shared" si="58"/>
        <v>0</v>
      </c>
      <c r="Q142" s="269"/>
    </row>
    <row r="143" spans="2:17">
      <c r="B143" s="195" t="str">
        <f t="shared" si="37"/>
        <v/>
      </c>
      <c r="C143" s="507">
        <f>IF(D93="","-",+C142+1)</f>
        <v>2053</v>
      </c>
      <c r="D143" s="374">
        <f>IF(F142+SUM(E$99:E142)=D$92,F142,D$92-SUM(E$99:E142))</f>
        <v>0</v>
      </c>
      <c r="E143" s="522">
        <f>IF(+J96&lt;F142,J96,D143)</f>
        <v>0</v>
      </c>
      <c r="F143" s="523">
        <f t="shared" si="53"/>
        <v>0</v>
      </c>
      <c r="G143" s="523">
        <f t="shared" si="54"/>
        <v>0</v>
      </c>
      <c r="H143" s="526">
        <f t="shared" si="51"/>
        <v>0</v>
      </c>
      <c r="I143" s="577">
        <f t="shared" si="52"/>
        <v>0</v>
      </c>
      <c r="J143" s="514">
        <f t="shared" si="55"/>
        <v>0</v>
      </c>
      <c r="K143" s="514"/>
      <c r="L143" s="525"/>
      <c r="M143" s="514">
        <f t="shared" si="56"/>
        <v>0</v>
      </c>
      <c r="N143" s="525"/>
      <c r="O143" s="514">
        <f t="shared" si="57"/>
        <v>0</v>
      </c>
      <c r="P143" s="514">
        <f t="shared" si="58"/>
        <v>0</v>
      </c>
      <c r="Q143" s="269"/>
    </row>
    <row r="144" spans="2:17">
      <c r="B144" s="195" t="str">
        <f t="shared" si="37"/>
        <v/>
      </c>
      <c r="C144" s="507">
        <f>IF(D93="","-",+C143+1)</f>
        <v>2054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53"/>
        <v>0</v>
      </c>
      <c r="G144" s="523">
        <f t="shared" si="54"/>
        <v>0</v>
      </c>
      <c r="H144" s="526">
        <f t="shared" si="51"/>
        <v>0</v>
      </c>
      <c r="I144" s="577">
        <f t="shared" si="52"/>
        <v>0</v>
      </c>
      <c r="J144" s="514">
        <f t="shared" si="55"/>
        <v>0</v>
      </c>
      <c r="K144" s="514"/>
      <c r="L144" s="525"/>
      <c r="M144" s="514">
        <f t="shared" si="56"/>
        <v>0</v>
      </c>
      <c r="N144" s="525"/>
      <c r="O144" s="514">
        <f t="shared" si="57"/>
        <v>0</v>
      </c>
      <c r="P144" s="514">
        <f t="shared" si="58"/>
        <v>0</v>
      </c>
      <c r="Q144" s="269"/>
    </row>
    <row r="145" spans="2:17">
      <c r="B145" s="195" t="str">
        <f t="shared" si="37"/>
        <v/>
      </c>
      <c r="C145" s="507">
        <f>IF(D93="","-",+C144+1)</f>
        <v>2055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53"/>
        <v>0</v>
      </c>
      <c r="G145" s="523">
        <f t="shared" si="54"/>
        <v>0</v>
      </c>
      <c r="H145" s="526">
        <f t="shared" si="51"/>
        <v>0</v>
      </c>
      <c r="I145" s="577">
        <f t="shared" si="52"/>
        <v>0</v>
      </c>
      <c r="J145" s="514">
        <f t="shared" si="55"/>
        <v>0</v>
      </c>
      <c r="K145" s="514"/>
      <c r="L145" s="525"/>
      <c r="M145" s="514">
        <f t="shared" si="56"/>
        <v>0</v>
      </c>
      <c r="N145" s="525"/>
      <c r="O145" s="514">
        <f t="shared" si="57"/>
        <v>0</v>
      </c>
      <c r="P145" s="514">
        <f t="shared" si="58"/>
        <v>0</v>
      </c>
      <c r="Q145" s="269"/>
    </row>
    <row r="146" spans="2:17">
      <c r="B146" s="195" t="str">
        <f t="shared" si="37"/>
        <v/>
      </c>
      <c r="C146" s="507">
        <f>IF(D93="","-",+C145+1)</f>
        <v>2056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53"/>
        <v>0</v>
      </c>
      <c r="G146" s="523">
        <f t="shared" si="54"/>
        <v>0</v>
      </c>
      <c r="H146" s="526">
        <f t="shared" si="51"/>
        <v>0</v>
      </c>
      <c r="I146" s="577">
        <f t="shared" si="52"/>
        <v>0</v>
      </c>
      <c r="J146" s="514">
        <f t="shared" si="55"/>
        <v>0</v>
      </c>
      <c r="K146" s="514"/>
      <c r="L146" s="525"/>
      <c r="M146" s="514">
        <f t="shared" si="56"/>
        <v>0</v>
      </c>
      <c r="N146" s="525"/>
      <c r="O146" s="514">
        <f t="shared" si="57"/>
        <v>0</v>
      </c>
      <c r="P146" s="514">
        <f t="shared" si="58"/>
        <v>0</v>
      </c>
      <c r="Q146" s="269"/>
    </row>
    <row r="147" spans="2:17">
      <c r="B147" s="195" t="str">
        <f t="shared" si="37"/>
        <v/>
      </c>
      <c r="C147" s="507">
        <f>IF(D93="","-",+C146+1)</f>
        <v>2057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53"/>
        <v>0</v>
      </c>
      <c r="G147" s="523">
        <f t="shared" si="54"/>
        <v>0</v>
      </c>
      <c r="H147" s="526">
        <f t="shared" si="51"/>
        <v>0</v>
      </c>
      <c r="I147" s="577">
        <f t="shared" si="52"/>
        <v>0</v>
      </c>
      <c r="J147" s="514">
        <f t="shared" si="55"/>
        <v>0</v>
      </c>
      <c r="K147" s="514"/>
      <c r="L147" s="525"/>
      <c r="M147" s="514">
        <f t="shared" si="56"/>
        <v>0</v>
      </c>
      <c r="N147" s="525"/>
      <c r="O147" s="514">
        <f t="shared" si="57"/>
        <v>0</v>
      </c>
      <c r="P147" s="514">
        <f t="shared" si="58"/>
        <v>0</v>
      </c>
      <c r="Q147" s="269"/>
    </row>
    <row r="148" spans="2:17">
      <c r="B148" s="195" t="str">
        <f t="shared" si="37"/>
        <v/>
      </c>
      <c r="C148" s="507">
        <f>IF(D93="","-",+C147+1)</f>
        <v>2058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53"/>
        <v>0</v>
      </c>
      <c r="G148" s="523">
        <f t="shared" si="54"/>
        <v>0</v>
      </c>
      <c r="H148" s="526">
        <f t="shared" si="51"/>
        <v>0</v>
      </c>
      <c r="I148" s="577">
        <f t="shared" si="52"/>
        <v>0</v>
      </c>
      <c r="J148" s="514">
        <f t="shared" si="55"/>
        <v>0</v>
      </c>
      <c r="K148" s="514"/>
      <c r="L148" s="525"/>
      <c r="M148" s="514">
        <f t="shared" si="56"/>
        <v>0</v>
      </c>
      <c r="N148" s="525"/>
      <c r="O148" s="514">
        <f t="shared" si="57"/>
        <v>0</v>
      </c>
      <c r="P148" s="514">
        <f t="shared" si="58"/>
        <v>0</v>
      </c>
      <c r="Q148" s="269"/>
    </row>
    <row r="149" spans="2:17">
      <c r="B149" s="195" t="str">
        <f t="shared" si="37"/>
        <v/>
      </c>
      <c r="C149" s="507">
        <f>IF(D93="","-",+C148+1)</f>
        <v>2059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53"/>
        <v>0</v>
      </c>
      <c r="G149" s="523">
        <f t="shared" si="54"/>
        <v>0</v>
      </c>
      <c r="H149" s="526">
        <f t="shared" si="51"/>
        <v>0</v>
      </c>
      <c r="I149" s="577">
        <f t="shared" si="52"/>
        <v>0</v>
      </c>
      <c r="J149" s="514">
        <f t="shared" si="55"/>
        <v>0</v>
      </c>
      <c r="K149" s="514"/>
      <c r="L149" s="525"/>
      <c r="M149" s="514">
        <f t="shared" si="56"/>
        <v>0</v>
      </c>
      <c r="N149" s="525"/>
      <c r="O149" s="514">
        <f t="shared" si="57"/>
        <v>0</v>
      </c>
      <c r="P149" s="514">
        <f t="shared" si="58"/>
        <v>0</v>
      </c>
      <c r="Q149" s="269"/>
    </row>
    <row r="150" spans="2:17">
      <c r="B150" s="195" t="str">
        <f t="shared" si="37"/>
        <v/>
      </c>
      <c r="C150" s="507">
        <f>IF(D93="","-",+C149+1)</f>
        <v>2060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53"/>
        <v>0</v>
      </c>
      <c r="G150" s="523">
        <f t="shared" si="54"/>
        <v>0</v>
      </c>
      <c r="H150" s="526">
        <f t="shared" si="51"/>
        <v>0</v>
      </c>
      <c r="I150" s="577">
        <f t="shared" si="52"/>
        <v>0</v>
      </c>
      <c r="J150" s="514">
        <f t="shared" si="55"/>
        <v>0</v>
      </c>
      <c r="K150" s="514"/>
      <c r="L150" s="525"/>
      <c r="M150" s="514">
        <f t="shared" si="56"/>
        <v>0</v>
      </c>
      <c r="N150" s="525"/>
      <c r="O150" s="514">
        <f t="shared" si="57"/>
        <v>0</v>
      </c>
      <c r="P150" s="514">
        <f t="shared" si="58"/>
        <v>0</v>
      </c>
      <c r="Q150" s="269"/>
    </row>
    <row r="151" spans="2:17">
      <c r="B151" s="195" t="str">
        <f t="shared" si="37"/>
        <v/>
      </c>
      <c r="C151" s="507">
        <f>IF(D93="","-",+C150+1)</f>
        <v>2061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53"/>
        <v>0</v>
      </c>
      <c r="G151" s="523">
        <f t="shared" si="54"/>
        <v>0</v>
      </c>
      <c r="H151" s="526">
        <f t="shared" si="51"/>
        <v>0</v>
      </c>
      <c r="I151" s="577">
        <f t="shared" si="52"/>
        <v>0</v>
      </c>
      <c r="J151" s="514">
        <f t="shared" si="55"/>
        <v>0</v>
      </c>
      <c r="K151" s="514"/>
      <c r="L151" s="525"/>
      <c r="M151" s="514">
        <f t="shared" si="56"/>
        <v>0</v>
      </c>
      <c r="N151" s="525"/>
      <c r="O151" s="514">
        <f t="shared" si="57"/>
        <v>0</v>
      </c>
      <c r="P151" s="514">
        <f t="shared" si="58"/>
        <v>0</v>
      </c>
      <c r="Q151" s="269"/>
    </row>
    <row r="152" spans="2:17">
      <c r="B152" s="195" t="str">
        <f t="shared" si="37"/>
        <v/>
      </c>
      <c r="C152" s="507">
        <f>IF(D93="","-",+C151+1)</f>
        <v>2062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53"/>
        <v>0</v>
      </c>
      <c r="G152" s="523">
        <f t="shared" si="54"/>
        <v>0</v>
      </c>
      <c r="H152" s="526">
        <f t="shared" si="51"/>
        <v>0</v>
      </c>
      <c r="I152" s="577">
        <f t="shared" si="52"/>
        <v>0</v>
      </c>
      <c r="J152" s="514">
        <f t="shared" si="55"/>
        <v>0</v>
      </c>
      <c r="K152" s="514"/>
      <c r="L152" s="525"/>
      <c r="M152" s="514">
        <f t="shared" si="56"/>
        <v>0</v>
      </c>
      <c r="N152" s="525"/>
      <c r="O152" s="514">
        <f t="shared" si="57"/>
        <v>0</v>
      </c>
      <c r="P152" s="514">
        <f t="shared" si="58"/>
        <v>0</v>
      </c>
      <c r="Q152" s="269"/>
    </row>
    <row r="153" spans="2:17">
      <c r="B153" s="195" t="str">
        <f t="shared" si="37"/>
        <v/>
      </c>
      <c r="C153" s="507">
        <f>IF(D93="","-",+C152+1)</f>
        <v>2063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53"/>
        <v>0</v>
      </c>
      <c r="G153" s="523">
        <f t="shared" si="54"/>
        <v>0</v>
      </c>
      <c r="H153" s="526">
        <f t="shared" si="51"/>
        <v>0</v>
      </c>
      <c r="I153" s="577">
        <f t="shared" si="52"/>
        <v>0</v>
      </c>
      <c r="J153" s="514">
        <f t="shared" si="55"/>
        <v>0</v>
      </c>
      <c r="K153" s="514"/>
      <c r="L153" s="525"/>
      <c r="M153" s="514">
        <f t="shared" si="56"/>
        <v>0</v>
      </c>
      <c r="N153" s="525"/>
      <c r="O153" s="514">
        <f t="shared" si="57"/>
        <v>0</v>
      </c>
      <c r="P153" s="514">
        <f t="shared" si="58"/>
        <v>0</v>
      </c>
      <c r="Q153" s="269"/>
    </row>
    <row r="154" spans="2:17" ht="13.5" thickBot="1">
      <c r="B154" s="195" t="str">
        <f t="shared" si="37"/>
        <v/>
      </c>
      <c r="C154" s="527">
        <f>IF(D93="","-",+C153+1)</f>
        <v>2064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53"/>
        <v>0</v>
      </c>
      <c r="G154" s="528">
        <f t="shared" si="54"/>
        <v>0</v>
      </c>
      <c r="H154" s="530">
        <f t="shared" si="51"/>
        <v>0</v>
      </c>
      <c r="I154" s="579">
        <f t="shared" si="52"/>
        <v>0</v>
      </c>
      <c r="J154" s="533">
        <f t="shared" si="55"/>
        <v>0</v>
      </c>
      <c r="K154" s="514"/>
      <c r="L154" s="532"/>
      <c r="M154" s="533">
        <f t="shared" si="56"/>
        <v>0</v>
      </c>
      <c r="N154" s="532"/>
      <c r="O154" s="533">
        <f t="shared" si="57"/>
        <v>0</v>
      </c>
      <c r="P154" s="533">
        <f t="shared" si="58"/>
        <v>0</v>
      </c>
      <c r="Q154" s="269"/>
    </row>
    <row r="155" spans="2:17">
      <c r="C155" s="374" t="s">
        <v>78</v>
      </c>
      <c r="D155" s="375"/>
      <c r="E155" s="375">
        <f>SUM(E99:E154)</f>
        <v>13742804.000000002</v>
      </c>
      <c r="F155" s="375"/>
      <c r="G155" s="375"/>
      <c r="H155" s="375">
        <f>SUM(H99:H154)</f>
        <v>48678126.840783566</v>
      </c>
      <c r="I155" s="375">
        <f>SUM(I99:I154)</f>
        <v>48678126.840783566</v>
      </c>
      <c r="J155" s="375">
        <f>SUM(J99:J154)</f>
        <v>0</v>
      </c>
      <c r="K155" s="375"/>
      <c r="L155" s="375"/>
      <c r="M155" s="375"/>
      <c r="N155" s="375"/>
      <c r="O155" s="375"/>
      <c r="P155" s="269"/>
      <c r="Q155" s="269"/>
    </row>
    <row r="156" spans="2:17"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  <c r="Q156" s="269"/>
    </row>
    <row r="157" spans="2:17">
      <c r="C157" s="580" t="s">
        <v>92</v>
      </c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  <c r="Q157" s="269"/>
    </row>
    <row r="158" spans="2:17"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  <c r="Q158" s="269"/>
    </row>
    <row r="159" spans="2:17">
      <c r="C159" s="534" t="s">
        <v>97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  <c r="Q159" s="269"/>
    </row>
    <row r="160" spans="2:17">
      <c r="C160" s="581" t="s">
        <v>79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  <c r="Q160" s="269"/>
    </row>
    <row r="161" spans="3:17">
      <c r="C161" s="581" t="s">
        <v>80</v>
      </c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  <c r="Q161" s="269"/>
    </row>
    <row r="162" spans="3:17" ht="18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454" t="s">
        <v>131</v>
      </c>
      <c r="Q162" s="269"/>
    </row>
  </sheetData>
  <phoneticPr fontId="0" type="noConversion"/>
  <conditionalFormatting sqref="C17:C72">
    <cfRule type="cellIs" dxfId="157" priority="1" stopIfTrue="1" operator="equal">
      <formula>$I$10</formula>
    </cfRule>
  </conditionalFormatting>
  <conditionalFormatting sqref="C99:C154">
    <cfRule type="cellIs" dxfId="156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  <legacyDrawing r:id="rId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Sheet106"/>
  <dimension ref="A1:P162"/>
  <sheetViews>
    <sheetView topLeftCell="A93" zoomScaleNormal="100" zoomScaleSheetLayoutView="80" workbookViewId="0">
      <selection activeCell="D99" sqref="D99:I105"/>
    </sheetView>
  </sheetViews>
  <sheetFormatPr defaultColWidth="8.7109375" defaultRowHeight="12.75" customHeight="1"/>
  <cols>
    <col min="1" max="1" width="4.7109375" style="183" customWidth="1"/>
    <col min="2" max="2" width="6.7109375" style="183" customWidth="1"/>
    <col min="3" max="3" width="23.28515625" style="183" customWidth="1"/>
    <col min="4" max="8" width="17.7109375" style="183" customWidth="1"/>
    <col min="9" max="9" width="20.42578125" style="183" customWidth="1"/>
    <col min="10" max="10" width="16.42578125" style="183" customWidth="1"/>
    <col min="11" max="11" width="17.7109375" style="183" customWidth="1"/>
    <col min="12" max="12" width="16.140625" style="183" customWidth="1"/>
    <col min="13" max="13" width="17.7109375" style="183" customWidth="1"/>
    <col min="14" max="14" width="16.7109375" style="183" customWidth="1"/>
    <col min="15" max="15" width="16.85546875" style="183" customWidth="1"/>
    <col min="16" max="16" width="24.42578125" style="183" customWidth="1"/>
    <col min="17" max="17" width="9.140625" style="183" customWidth="1"/>
    <col min="18" max="22" width="8.7109375" style="183"/>
    <col min="23" max="23" width="9.140625" style="183" customWidth="1"/>
    <col min="24" max="16384" width="8.7109375" style="183"/>
  </cols>
  <sheetData>
    <row r="1" spans="1:16" ht="20.25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57 of 75</v>
      </c>
    </row>
    <row r="2" spans="1:16" ht="18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538" t="s">
        <v>129</v>
      </c>
    </row>
    <row r="3" spans="1:16" ht="18.75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/>
      <c r="P3" s="623">
        <v>1</v>
      </c>
    </row>
    <row r="4" spans="1:16" ht="15.75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6" ht="1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147171.82578238277</v>
      </c>
      <c r="P5" s="269"/>
    </row>
    <row r="6" spans="1:16" ht="15.7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147171.82578238277</v>
      </c>
      <c r="O6" s="269"/>
      <c r="P6" s="269"/>
    </row>
    <row r="7" spans="1:16" ht="13.5" thickBot="1">
      <c r="C7" s="467" t="s">
        <v>48</v>
      </c>
      <c r="D7" s="624" t="s">
        <v>359</v>
      </c>
      <c r="E7" s="269"/>
      <c r="F7" s="269"/>
      <c r="G7" s="269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6" ht="13.5" thickBot="1">
      <c r="C8" s="472"/>
      <c r="D8" s="625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6" ht="13.5" thickBot="1">
      <c r="C9" s="476" t="s">
        <v>50</v>
      </c>
      <c r="D9" s="477" t="s">
        <v>360</v>
      </c>
      <c r="E9" s="637" t="s">
        <v>402</v>
      </c>
      <c r="F9" s="478"/>
      <c r="G9" s="478"/>
      <c r="H9" s="478"/>
      <c r="I9" s="479"/>
      <c r="J9" s="480"/>
      <c r="O9" s="481"/>
      <c r="P9" s="272"/>
    </row>
    <row r="10" spans="1:16">
      <c r="C10" s="482" t="s">
        <v>51</v>
      </c>
      <c r="D10" s="483">
        <v>1231360.51</v>
      </c>
      <c r="E10" s="353" t="s">
        <v>52</v>
      </c>
      <c r="F10" s="481"/>
      <c r="G10" s="484"/>
      <c r="H10" s="484"/>
      <c r="I10" s="485">
        <f>+'SWE.WS.F.BPU.ATRR.Projected'!L19</f>
        <v>2024</v>
      </c>
      <c r="J10" s="480"/>
      <c r="K10" s="375" t="s">
        <v>53</v>
      </c>
      <c r="O10" s="272"/>
      <c r="P10" s="272"/>
    </row>
    <row r="11" spans="1:16">
      <c r="C11" s="486" t="s">
        <v>54</v>
      </c>
      <c r="D11" s="487">
        <v>2016</v>
      </c>
      <c r="E11" s="486" t="s">
        <v>55</v>
      </c>
      <c r="F11" s="484"/>
      <c r="G11" s="233"/>
      <c r="H11" s="233"/>
      <c r="I11" s="488">
        <f>IF(G5="",0,'SWE.WS.F.BPU.ATRR.Projected'!F$13)</f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6">
      <c r="C12" s="486" t="s">
        <v>56</v>
      </c>
      <c r="D12" s="483">
        <v>4</v>
      </c>
      <c r="E12" s="486" t="s">
        <v>57</v>
      </c>
      <c r="F12" s="484"/>
      <c r="G12" s="233"/>
      <c r="H12" s="233"/>
      <c r="I12" s="490">
        <f>'SWE.WS.F.BPU.ATRR.Projected'!$F$81</f>
        <v>0.11952713165403545</v>
      </c>
      <c r="J12" s="425"/>
      <c r="K12" s="183" t="s">
        <v>58</v>
      </c>
      <c r="O12" s="272"/>
      <c r="P12" s="272"/>
    </row>
    <row r="13" spans="1:16">
      <c r="C13" s="486" t="s">
        <v>59</v>
      </c>
      <c r="D13" s="488">
        <f>+'SWE.WS.F.BPU.ATRR.Projected'!F$93</f>
        <v>44</v>
      </c>
      <c r="E13" s="486" t="s">
        <v>60</v>
      </c>
      <c r="F13" s="484"/>
      <c r="G13" s="233"/>
      <c r="H13" s="233"/>
      <c r="I13" s="490">
        <f>IF(G5="",I12,'SWE.WS.F.BPU.ATRR.Projected'!$F$80)</f>
        <v>0.11952713165403545</v>
      </c>
      <c r="J13" s="425"/>
      <c r="K13" s="375" t="s">
        <v>61</v>
      </c>
      <c r="L13" s="324"/>
      <c r="M13" s="324"/>
      <c r="N13" s="324"/>
      <c r="O13" s="272"/>
      <c r="P13" s="272"/>
    </row>
    <row r="14" spans="1:16" ht="13.5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27985.466136363637</v>
      </c>
      <c r="J14" s="375"/>
      <c r="K14" s="375"/>
      <c r="L14" s="375"/>
      <c r="M14" s="375"/>
      <c r="N14" s="375"/>
      <c r="O14" s="272"/>
      <c r="P14" s="272"/>
    </row>
    <row r="15" spans="1:16" ht="38.25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388</v>
      </c>
      <c r="H15" s="495" t="s">
        <v>389</v>
      </c>
      <c r="I15" s="492" t="s">
        <v>68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6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600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>
      <c r="C17" s="507">
        <f>IF(D11= "","-",D11)</f>
        <v>2016</v>
      </c>
      <c r="D17" s="631">
        <v>1140472</v>
      </c>
      <c r="E17" s="630">
        <v>13577.047619047618</v>
      </c>
      <c r="F17" s="631">
        <v>1126894.9523809524</v>
      </c>
      <c r="G17" s="630">
        <v>160163.51487370714</v>
      </c>
      <c r="H17" s="639">
        <v>160163.51487370714</v>
      </c>
      <c r="I17" s="511">
        <f t="shared" ref="I17:I72" si="0">H17-G17</f>
        <v>0</v>
      </c>
      <c r="J17" s="511"/>
      <c r="K17" s="512">
        <f t="shared" ref="K17:K22" si="1">+G17</f>
        <v>160163.51487370714</v>
      </c>
      <c r="L17" s="513">
        <f t="shared" ref="L17:L72" si="2">IF(K17&lt;&gt;0,+G17-K17,0)</f>
        <v>0</v>
      </c>
      <c r="M17" s="512">
        <f t="shared" ref="M17:M22" si="3">+H17</f>
        <v>160163.51487370714</v>
      </c>
      <c r="N17" s="513">
        <f t="shared" ref="N17:N72" si="4">IF(M17&lt;&gt;0,+H17-M17,0)</f>
        <v>0</v>
      </c>
      <c r="O17" s="514">
        <f t="shared" ref="O17:O72" si="5">+N17-L17</f>
        <v>0</v>
      </c>
      <c r="P17" s="272"/>
    </row>
    <row r="18" spans="2:16">
      <c r="B18" s="195" t="str">
        <f>IF(D18=F17,"","IU")</f>
        <v>IU</v>
      </c>
      <c r="C18" s="507">
        <f>IF(D11="","-",+C17+1)</f>
        <v>2017</v>
      </c>
      <c r="D18" s="651">
        <v>1217280.9523809524</v>
      </c>
      <c r="E18" s="656">
        <v>28624.60465116279</v>
      </c>
      <c r="F18" s="651">
        <v>1188656.3477297896</v>
      </c>
      <c r="G18" s="650">
        <v>177663.43856764107</v>
      </c>
      <c r="H18" s="657">
        <v>177663.43856764107</v>
      </c>
      <c r="I18" s="511">
        <f t="shared" si="0"/>
        <v>0</v>
      </c>
      <c r="J18" s="511"/>
      <c r="K18" s="518">
        <f t="shared" si="1"/>
        <v>177663.43856764107</v>
      </c>
      <c r="L18" s="519">
        <f t="shared" ref="L18:L23" si="6">IF(K18&lt;&gt;0,+G18-K18,0)</f>
        <v>0</v>
      </c>
      <c r="M18" s="518">
        <f t="shared" si="3"/>
        <v>177663.43856764107</v>
      </c>
      <c r="N18" s="514">
        <f>IF(M18&lt;&gt;0,+H18-M18,0)</f>
        <v>0</v>
      </c>
      <c r="O18" s="514">
        <f>+N18-L18</f>
        <v>0</v>
      </c>
      <c r="P18" s="272"/>
    </row>
    <row r="19" spans="2:16">
      <c r="B19" s="195" t="str">
        <f>IF(D19=F18,"","IU")</f>
        <v/>
      </c>
      <c r="C19" s="507">
        <f>IF(D11="","-",+C18+1)</f>
        <v>2018</v>
      </c>
      <c r="D19" s="651">
        <v>1188656.3477297896</v>
      </c>
      <c r="E19" s="656">
        <v>30020.926829268294</v>
      </c>
      <c r="F19" s="651">
        <v>1158635.4209005213</v>
      </c>
      <c r="G19" s="650">
        <v>179184.3929571631</v>
      </c>
      <c r="H19" s="657">
        <v>179184.3929571631</v>
      </c>
      <c r="I19" s="511">
        <f t="shared" si="0"/>
        <v>0</v>
      </c>
      <c r="J19" s="511"/>
      <c r="K19" s="518">
        <f t="shared" si="1"/>
        <v>179184.3929571631</v>
      </c>
      <c r="L19" s="519">
        <f t="shared" si="6"/>
        <v>0</v>
      </c>
      <c r="M19" s="518">
        <f t="shared" si="3"/>
        <v>179184.3929571631</v>
      </c>
      <c r="N19" s="514">
        <f>IF(M19&lt;&gt;0,+H19-M19,0)</f>
        <v>0</v>
      </c>
      <c r="O19" s="514">
        <f>+N19-L19</f>
        <v>0</v>
      </c>
      <c r="P19" s="272"/>
    </row>
    <row r="20" spans="2:16">
      <c r="B20" s="195" t="str">
        <f t="shared" ref="B20:B72" si="7">IF(D20=F19,"","IU")</f>
        <v/>
      </c>
      <c r="C20" s="507">
        <f>IF(D11="","-",+C19+1)</f>
        <v>2019</v>
      </c>
      <c r="D20" s="651">
        <v>1158635.4209005213</v>
      </c>
      <c r="E20" s="656">
        <v>30020.926829268294</v>
      </c>
      <c r="F20" s="651">
        <v>1128614.4940712531</v>
      </c>
      <c r="G20" s="650">
        <v>175368.91031280605</v>
      </c>
      <c r="H20" s="657">
        <v>175368.91031280605</v>
      </c>
      <c r="I20" s="511">
        <f t="shared" si="0"/>
        <v>0</v>
      </c>
      <c r="J20" s="511"/>
      <c r="K20" s="518">
        <f t="shared" si="1"/>
        <v>175368.91031280605</v>
      </c>
      <c r="L20" s="519">
        <f t="shared" si="6"/>
        <v>0</v>
      </c>
      <c r="M20" s="518">
        <f t="shared" si="3"/>
        <v>175368.91031280605</v>
      </c>
      <c r="N20" s="514">
        <f t="shared" si="4"/>
        <v>0</v>
      </c>
      <c r="O20" s="514">
        <f t="shared" si="5"/>
        <v>0</v>
      </c>
      <c r="P20" s="272"/>
    </row>
    <row r="21" spans="2:16">
      <c r="B21" s="195" t="str">
        <f t="shared" si="7"/>
        <v/>
      </c>
      <c r="C21" s="507">
        <f>IF(D11="","-",+C20+1)</f>
        <v>2020</v>
      </c>
      <c r="D21" s="651">
        <v>1128614.4940712531</v>
      </c>
      <c r="E21" s="656">
        <v>30020.926829268294</v>
      </c>
      <c r="F21" s="651">
        <v>1098593.5672419849</v>
      </c>
      <c r="G21" s="650">
        <v>143982.10231573079</v>
      </c>
      <c r="H21" s="657">
        <v>143982.10231573079</v>
      </c>
      <c r="I21" s="511">
        <f t="shared" si="0"/>
        <v>0</v>
      </c>
      <c r="J21" s="511"/>
      <c r="K21" s="518">
        <f t="shared" si="1"/>
        <v>143982.10231573079</v>
      </c>
      <c r="L21" s="519">
        <f t="shared" si="6"/>
        <v>0</v>
      </c>
      <c r="M21" s="518">
        <f t="shared" si="3"/>
        <v>143982.10231573079</v>
      </c>
      <c r="N21" s="514">
        <f t="shared" si="4"/>
        <v>0</v>
      </c>
      <c r="O21" s="514">
        <f t="shared" si="5"/>
        <v>0</v>
      </c>
      <c r="P21" s="272"/>
    </row>
    <row r="22" spans="2:16">
      <c r="B22" s="195" t="str">
        <f t="shared" si="7"/>
        <v>IU</v>
      </c>
      <c r="C22" s="507">
        <f>IF(D11="","-",+C21+1)</f>
        <v>2021</v>
      </c>
      <c r="D22" s="651">
        <v>1100492.8894200902</v>
      </c>
      <c r="E22" s="656">
        <v>29318.119047619046</v>
      </c>
      <c r="F22" s="651">
        <v>1071174.7703724713</v>
      </c>
      <c r="G22" s="650">
        <v>144421.44017766218</v>
      </c>
      <c r="H22" s="657">
        <v>144421.44017766218</v>
      </c>
      <c r="I22" s="511">
        <f t="shared" si="0"/>
        <v>0</v>
      </c>
      <c r="J22" s="511"/>
      <c r="K22" s="518">
        <f t="shared" si="1"/>
        <v>144421.44017766218</v>
      </c>
      <c r="L22" s="519">
        <f t="shared" si="6"/>
        <v>0</v>
      </c>
      <c r="M22" s="518">
        <f t="shared" si="3"/>
        <v>144421.44017766218</v>
      </c>
      <c r="N22" s="514">
        <f t="shared" si="4"/>
        <v>0</v>
      </c>
      <c r="O22" s="514">
        <f t="shared" si="5"/>
        <v>0</v>
      </c>
      <c r="P22" s="272"/>
    </row>
    <row r="23" spans="2:16">
      <c r="B23" s="195" t="str">
        <f t="shared" si="7"/>
        <v>IU</v>
      </c>
      <c r="C23" s="507">
        <f>IF(D11="","-",+C22+1)</f>
        <v>2022</v>
      </c>
      <c r="D23" s="651">
        <v>1069778.4481943657</v>
      </c>
      <c r="E23" s="656">
        <v>29318.119047619046</v>
      </c>
      <c r="F23" s="651">
        <v>1040460.3291467467</v>
      </c>
      <c r="G23" s="650">
        <v>147960.06581049709</v>
      </c>
      <c r="H23" s="657">
        <v>147960.06581049709</v>
      </c>
      <c r="I23" s="511">
        <f t="shared" si="0"/>
        <v>0</v>
      </c>
      <c r="J23" s="511"/>
      <c r="K23" s="518">
        <f t="shared" ref="K23" si="8">+G23</f>
        <v>147960.06581049709</v>
      </c>
      <c r="L23" s="519">
        <f t="shared" si="6"/>
        <v>0</v>
      </c>
      <c r="M23" s="518">
        <f t="shared" ref="M23" si="9">+H23</f>
        <v>147960.06581049709</v>
      </c>
      <c r="N23" s="514">
        <f t="shared" si="4"/>
        <v>0</v>
      </c>
      <c r="O23" s="514">
        <f t="shared" si="5"/>
        <v>0</v>
      </c>
      <c r="P23" s="272"/>
    </row>
    <row r="24" spans="2:16">
      <c r="B24" s="195" t="str">
        <f t="shared" si="7"/>
        <v>IU</v>
      </c>
      <c r="C24" s="507">
        <f>IF(D11="","-",+C23+1)</f>
        <v>2023</v>
      </c>
      <c r="D24" s="651">
        <v>1040459.8391467466</v>
      </c>
      <c r="E24" s="656">
        <v>29318.10738095238</v>
      </c>
      <c r="F24" s="651">
        <v>1011141.7317657942</v>
      </c>
      <c r="G24" s="650">
        <v>158904.22571462151</v>
      </c>
      <c r="H24" s="657">
        <v>158904.22571462151</v>
      </c>
      <c r="I24" s="511">
        <f t="shared" si="0"/>
        <v>0</v>
      </c>
      <c r="J24" s="511"/>
      <c r="K24" s="518">
        <f t="shared" ref="K24" si="10">+G24</f>
        <v>158904.22571462151</v>
      </c>
      <c r="L24" s="519">
        <f t="shared" ref="L24" si="11">IF(K24&lt;&gt;0,+G24-K24,0)</f>
        <v>0</v>
      </c>
      <c r="M24" s="518">
        <f t="shared" ref="M24" si="12">+H24</f>
        <v>158904.22571462151</v>
      </c>
      <c r="N24" s="514">
        <f t="shared" ref="N24" si="13">IF(M24&lt;&gt;0,+H24-M24,0)</f>
        <v>0</v>
      </c>
      <c r="O24" s="514">
        <f t="shared" ref="O24" si="14">+N24-L24</f>
        <v>0</v>
      </c>
      <c r="P24" s="272"/>
    </row>
    <row r="25" spans="2:16">
      <c r="B25" s="195" t="str">
        <f t="shared" si="7"/>
        <v/>
      </c>
      <c r="C25" s="673">
        <f>IF(D11="","-",+C24+1)</f>
        <v>2024</v>
      </c>
      <c r="D25" s="523">
        <f>IF(F24+SUM(E$17:E24)=D$10,F24,D$10-SUM(E$17:E24))</f>
        <v>1011141.7317657942</v>
      </c>
      <c r="E25" s="522">
        <f>IF(+I14&lt;F24,I14,D25)</f>
        <v>27985.466136363637</v>
      </c>
      <c r="F25" s="523">
        <f t="shared" ref="F25:F72" si="15">+D25-E25</f>
        <v>983156.26562943053</v>
      </c>
      <c r="G25" s="524">
        <f t="shared" ref="G25:G49" si="16">+I$12*((D25+F25)/2)+E25</f>
        <v>147171.82578238277</v>
      </c>
      <c r="H25" s="491">
        <f t="shared" ref="H25:H49" si="17">+I$13*((D25+F25)/2)+E25</f>
        <v>147171.82578238277</v>
      </c>
      <c r="I25" s="511">
        <f t="shared" si="0"/>
        <v>0</v>
      </c>
      <c r="J25" s="511"/>
      <c r="K25" s="525"/>
      <c r="L25" s="514">
        <f t="shared" si="2"/>
        <v>0</v>
      </c>
      <c r="M25" s="525"/>
      <c r="N25" s="514">
        <f t="shared" si="4"/>
        <v>0</v>
      </c>
      <c r="O25" s="514">
        <f t="shared" si="5"/>
        <v>0</v>
      </c>
      <c r="P25" s="272"/>
    </row>
    <row r="26" spans="2:16">
      <c r="B26" s="195" t="str">
        <f t="shared" si="7"/>
        <v/>
      </c>
      <c r="C26" s="507">
        <f>IF(D11="","-",+C25+1)</f>
        <v>2025</v>
      </c>
      <c r="D26" s="523">
        <f>IF(F25+SUM(E$17:E25)=D$10,F25,D$10-SUM(E$17:E25))</f>
        <v>983156.26562943053</v>
      </c>
      <c r="E26" s="522">
        <f>IF(+I14&lt;F25,I14,D26)</f>
        <v>27985.466136363637</v>
      </c>
      <c r="F26" s="523">
        <f t="shared" si="15"/>
        <v>955170.79949306685</v>
      </c>
      <c r="G26" s="524">
        <f t="shared" si="16"/>
        <v>143826.80328710206</v>
      </c>
      <c r="H26" s="491">
        <f t="shared" si="17"/>
        <v>143826.80328710206</v>
      </c>
      <c r="I26" s="511">
        <f t="shared" si="0"/>
        <v>0</v>
      </c>
      <c r="J26" s="511"/>
      <c r="K26" s="525"/>
      <c r="L26" s="514">
        <f t="shared" si="2"/>
        <v>0</v>
      </c>
      <c r="M26" s="525"/>
      <c r="N26" s="514">
        <f t="shared" si="4"/>
        <v>0</v>
      </c>
      <c r="O26" s="514">
        <f t="shared" si="5"/>
        <v>0</v>
      </c>
      <c r="P26" s="272"/>
    </row>
    <row r="27" spans="2:16">
      <c r="B27" s="195" t="str">
        <f t="shared" si="7"/>
        <v/>
      </c>
      <c r="C27" s="507">
        <f>IF(D11="","-",+C26+1)</f>
        <v>2026</v>
      </c>
      <c r="D27" s="523">
        <f>IF(F26+SUM(E$17:E26)=D$10,F26,D$10-SUM(E$17:E26))</f>
        <v>955170.79949306685</v>
      </c>
      <c r="E27" s="522">
        <f>IF(+I14&lt;F26,I14,D27)</f>
        <v>27985.466136363637</v>
      </c>
      <c r="F27" s="523">
        <f t="shared" si="15"/>
        <v>927185.33335670317</v>
      </c>
      <c r="G27" s="524">
        <f t="shared" si="16"/>
        <v>140481.78079182139</v>
      </c>
      <c r="H27" s="491">
        <f t="shared" si="17"/>
        <v>140481.78079182139</v>
      </c>
      <c r="I27" s="511">
        <f t="shared" si="0"/>
        <v>0</v>
      </c>
      <c r="J27" s="511"/>
      <c r="K27" s="525"/>
      <c r="L27" s="514">
        <f t="shared" si="2"/>
        <v>0</v>
      </c>
      <c r="M27" s="525"/>
      <c r="N27" s="514">
        <f t="shared" si="4"/>
        <v>0</v>
      </c>
      <c r="O27" s="514">
        <f t="shared" si="5"/>
        <v>0</v>
      </c>
      <c r="P27" s="272"/>
    </row>
    <row r="28" spans="2:16">
      <c r="B28" s="195" t="str">
        <f t="shared" si="7"/>
        <v/>
      </c>
      <c r="C28" s="507">
        <f>IF(D11="","-",+C27+1)</f>
        <v>2027</v>
      </c>
      <c r="D28" s="523">
        <f>IF(F27+SUM(E$17:E27)=D$10,F27,D$10-SUM(E$17:E27))</f>
        <v>927185.33335670317</v>
      </c>
      <c r="E28" s="522">
        <f>IF(+I14&lt;F27,I14,D28)</f>
        <v>27985.466136363637</v>
      </c>
      <c r="F28" s="523">
        <f t="shared" si="15"/>
        <v>899199.86722033948</v>
      </c>
      <c r="G28" s="524">
        <f t="shared" si="16"/>
        <v>137136.75829654068</v>
      </c>
      <c r="H28" s="491">
        <f t="shared" si="17"/>
        <v>137136.75829654068</v>
      </c>
      <c r="I28" s="511">
        <f t="shared" si="0"/>
        <v>0</v>
      </c>
      <c r="J28" s="511"/>
      <c r="K28" s="525"/>
      <c r="L28" s="514">
        <f t="shared" si="2"/>
        <v>0</v>
      </c>
      <c r="M28" s="525"/>
      <c r="N28" s="514">
        <f t="shared" si="4"/>
        <v>0</v>
      </c>
      <c r="O28" s="514">
        <f t="shared" si="5"/>
        <v>0</v>
      </c>
      <c r="P28" s="272"/>
    </row>
    <row r="29" spans="2:16">
      <c r="B29" s="195" t="str">
        <f t="shared" si="7"/>
        <v/>
      </c>
      <c r="C29" s="507">
        <f>IF(D11="","-",+C28+1)</f>
        <v>2028</v>
      </c>
      <c r="D29" s="523">
        <f>IF(F28+SUM(E$17:E28)=D$10,F28,D$10-SUM(E$17:E28))</f>
        <v>899199.86722033948</v>
      </c>
      <c r="E29" s="522">
        <f>IF(+I14&lt;F28,I14,D29)</f>
        <v>27985.466136363637</v>
      </c>
      <c r="F29" s="523">
        <f t="shared" si="15"/>
        <v>871214.4010839758</v>
      </c>
      <c r="G29" s="524">
        <f t="shared" si="16"/>
        <v>133791.73580126002</v>
      </c>
      <c r="H29" s="491">
        <f t="shared" si="17"/>
        <v>133791.73580126002</v>
      </c>
      <c r="I29" s="511">
        <f t="shared" si="0"/>
        <v>0</v>
      </c>
      <c r="J29" s="511"/>
      <c r="K29" s="525"/>
      <c r="L29" s="514">
        <f t="shared" si="2"/>
        <v>0</v>
      </c>
      <c r="M29" s="525"/>
      <c r="N29" s="514">
        <f t="shared" si="4"/>
        <v>0</v>
      </c>
      <c r="O29" s="514">
        <f t="shared" si="5"/>
        <v>0</v>
      </c>
      <c r="P29" s="272"/>
    </row>
    <row r="30" spans="2:16">
      <c r="B30" s="195" t="str">
        <f t="shared" si="7"/>
        <v/>
      </c>
      <c r="C30" s="507">
        <f>IF(D11="","-",+C29+1)</f>
        <v>2029</v>
      </c>
      <c r="D30" s="523">
        <f>IF(F29+SUM(E$17:E29)=D$10,F29,D$10-SUM(E$17:E29))</f>
        <v>871214.4010839758</v>
      </c>
      <c r="E30" s="522">
        <f>IF(+I14&lt;F29,I14,D30)</f>
        <v>27985.466136363637</v>
      </c>
      <c r="F30" s="523">
        <f t="shared" si="15"/>
        <v>843228.93494761211</v>
      </c>
      <c r="G30" s="524">
        <f t="shared" si="16"/>
        <v>130446.7133059793</v>
      </c>
      <c r="H30" s="491">
        <f t="shared" si="17"/>
        <v>130446.7133059793</v>
      </c>
      <c r="I30" s="511">
        <f t="shared" si="0"/>
        <v>0</v>
      </c>
      <c r="J30" s="511"/>
      <c r="K30" s="525"/>
      <c r="L30" s="514">
        <f t="shared" si="2"/>
        <v>0</v>
      </c>
      <c r="M30" s="525"/>
      <c r="N30" s="514">
        <f t="shared" si="4"/>
        <v>0</v>
      </c>
      <c r="O30" s="514">
        <f t="shared" si="5"/>
        <v>0</v>
      </c>
      <c r="P30" s="272"/>
    </row>
    <row r="31" spans="2:16">
      <c r="B31" s="195" t="str">
        <f t="shared" si="7"/>
        <v/>
      </c>
      <c r="C31" s="507">
        <f>IF(D11="","-",+C30+1)</f>
        <v>2030</v>
      </c>
      <c r="D31" s="523">
        <f>IF(F30+SUM(E$17:E30)=D$10,F30,D$10-SUM(E$17:E30))</f>
        <v>843228.93494761211</v>
      </c>
      <c r="E31" s="522">
        <f>IF(+I14&lt;F30,I14,D31)</f>
        <v>27985.466136363637</v>
      </c>
      <c r="F31" s="523">
        <f t="shared" si="15"/>
        <v>815243.46881124843</v>
      </c>
      <c r="G31" s="524">
        <f t="shared" si="16"/>
        <v>127101.69081069862</v>
      </c>
      <c r="H31" s="491">
        <f t="shared" si="17"/>
        <v>127101.69081069862</v>
      </c>
      <c r="I31" s="511">
        <f t="shared" si="0"/>
        <v>0</v>
      </c>
      <c r="J31" s="511"/>
      <c r="K31" s="525"/>
      <c r="L31" s="514">
        <f t="shared" si="2"/>
        <v>0</v>
      </c>
      <c r="M31" s="525"/>
      <c r="N31" s="514">
        <f t="shared" si="4"/>
        <v>0</v>
      </c>
      <c r="O31" s="514">
        <f t="shared" si="5"/>
        <v>0</v>
      </c>
      <c r="P31" s="272"/>
    </row>
    <row r="32" spans="2:16">
      <c r="B32" s="195" t="str">
        <f t="shared" si="7"/>
        <v/>
      </c>
      <c r="C32" s="507">
        <f>IF(D11="","-",+C31+1)</f>
        <v>2031</v>
      </c>
      <c r="D32" s="523">
        <f>IF(F31+SUM(E$17:E31)=D$10,F31,D$10-SUM(E$17:E31))</f>
        <v>815243.46881124843</v>
      </c>
      <c r="E32" s="522">
        <f>IF(+I14&lt;F31,I14,D32)</f>
        <v>27985.466136363637</v>
      </c>
      <c r="F32" s="523">
        <f t="shared" si="15"/>
        <v>787258.00267488474</v>
      </c>
      <c r="G32" s="524">
        <f t="shared" si="16"/>
        <v>123756.66831541792</v>
      </c>
      <c r="H32" s="491">
        <f t="shared" si="17"/>
        <v>123756.66831541792</v>
      </c>
      <c r="I32" s="511">
        <f t="shared" si="0"/>
        <v>0</v>
      </c>
      <c r="J32" s="511"/>
      <c r="K32" s="525"/>
      <c r="L32" s="514">
        <f t="shared" si="2"/>
        <v>0</v>
      </c>
      <c r="M32" s="525"/>
      <c r="N32" s="514">
        <f t="shared" si="4"/>
        <v>0</v>
      </c>
      <c r="O32" s="514">
        <f t="shared" si="5"/>
        <v>0</v>
      </c>
      <c r="P32" s="272"/>
    </row>
    <row r="33" spans="2:16">
      <c r="B33" s="195" t="str">
        <f t="shared" si="7"/>
        <v/>
      </c>
      <c r="C33" s="507">
        <f>IF(D11="","-",+C32+1)</f>
        <v>2032</v>
      </c>
      <c r="D33" s="523">
        <f>IF(F32+SUM(E$17:E32)=D$10,F32,D$10-SUM(E$17:E32))</f>
        <v>787258.00267488474</v>
      </c>
      <c r="E33" s="522">
        <f>IF(+I14&lt;F32,I14,D33)</f>
        <v>27985.466136363637</v>
      </c>
      <c r="F33" s="523">
        <f t="shared" si="15"/>
        <v>759272.53653852106</v>
      </c>
      <c r="G33" s="524">
        <f t="shared" si="16"/>
        <v>120411.64582013724</v>
      </c>
      <c r="H33" s="491">
        <f t="shared" si="17"/>
        <v>120411.64582013724</v>
      </c>
      <c r="I33" s="511">
        <f t="shared" si="0"/>
        <v>0</v>
      </c>
      <c r="J33" s="511"/>
      <c r="K33" s="525"/>
      <c r="L33" s="514">
        <f t="shared" si="2"/>
        <v>0</v>
      </c>
      <c r="M33" s="525"/>
      <c r="N33" s="514">
        <f t="shared" si="4"/>
        <v>0</v>
      </c>
      <c r="O33" s="514">
        <f t="shared" si="5"/>
        <v>0</v>
      </c>
      <c r="P33" s="272"/>
    </row>
    <row r="34" spans="2:16">
      <c r="B34" s="195" t="str">
        <f t="shared" si="7"/>
        <v/>
      </c>
      <c r="C34" s="507">
        <f>IF(D11="","-",+C33+1)</f>
        <v>2033</v>
      </c>
      <c r="D34" s="523">
        <f>IF(F33+SUM(E$17:E33)=D$10,F33,D$10-SUM(E$17:E33))</f>
        <v>759272.53653852106</v>
      </c>
      <c r="E34" s="522">
        <f>IF(+I14&lt;F33,I14,D34)</f>
        <v>27985.466136363637</v>
      </c>
      <c r="F34" s="523">
        <f t="shared" si="15"/>
        <v>731287.07040215738</v>
      </c>
      <c r="G34" s="524">
        <f t="shared" si="16"/>
        <v>117066.62332485653</v>
      </c>
      <c r="H34" s="491">
        <f t="shared" si="17"/>
        <v>117066.62332485653</v>
      </c>
      <c r="I34" s="511">
        <f t="shared" si="0"/>
        <v>0</v>
      </c>
      <c r="J34" s="511"/>
      <c r="K34" s="525"/>
      <c r="L34" s="514">
        <f t="shared" si="2"/>
        <v>0</v>
      </c>
      <c r="M34" s="525"/>
      <c r="N34" s="514">
        <f t="shared" si="4"/>
        <v>0</v>
      </c>
      <c r="O34" s="514">
        <f t="shared" si="5"/>
        <v>0</v>
      </c>
      <c r="P34" s="272"/>
    </row>
    <row r="35" spans="2:16">
      <c r="B35" s="195" t="str">
        <f t="shared" si="7"/>
        <v/>
      </c>
      <c r="C35" s="507">
        <f>IF(D11="","-",+C34+1)</f>
        <v>2034</v>
      </c>
      <c r="D35" s="523">
        <f>IF(F34+SUM(E$17:E34)=D$10,F34,D$10-SUM(E$17:E34))</f>
        <v>731287.07040215738</v>
      </c>
      <c r="E35" s="522">
        <f>IF(+I14&lt;F34,I14,D35)</f>
        <v>27985.466136363637</v>
      </c>
      <c r="F35" s="523">
        <f t="shared" si="15"/>
        <v>703301.60426579369</v>
      </c>
      <c r="G35" s="524">
        <f t="shared" si="16"/>
        <v>113721.60082957585</v>
      </c>
      <c r="H35" s="491">
        <f t="shared" si="17"/>
        <v>113721.60082957585</v>
      </c>
      <c r="I35" s="511">
        <f t="shared" si="0"/>
        <v>0</v>
      </c>
      <c r="J35" s="511"/>
      <c r="K35" s="525"/>
      <c r="L35" s="514">
        <f t="shared" si="2"/>
        <v>0</v>
      </c>
      <c r="M35" s="525"/>
      <c r="N35" s="514">
        <f t="shared" si="4"/>
        <v>0</v>
      </c>
      <c r="O35" s="514">
        <f t="shared" si="5"/>
        <v>0</v>
      </c>
      <c r="P35" s="272"/>
    </row>
    <row r="36" spans="2:16">
      <c r="B36" s="195" t="str">
        <f t="shared" si="7"/>
        <v/>
      </c>
      <c r="C36" s="507">
        <f>IF(D11="","-",+C35+1)</f>
        <v>2035</v>
      </c>
      <c r="D36" s="523">
        <f>IF(F35+SUM(E$17:E35)=D$10,F35,D$10-SUM(E$17:E35))</f>
        <v>703301.60426579369</v>
      </c>
      <c r="E36" s="522">
        <f>IF(+I14&lt;F35,I14,D36)</f>
        <v>27985.466136363637</v>
      </c>
      <c r="F36" s="523">
        <f t="shared" si="15"/>
        <v>675316.13812943001</v>
      </c>
      <c r="G36" s="524">
        <f t="shared" si="16"/>
        <v>110376.57833429515</v>
      </c>
      <c r="H36" s="491">
        <f t="shared" si="17"/>
        <v>110376.57833429515</v>
      </c>
      <c r="I36" s="511">
        <f t="shared" si="0"/>
        <v>0</v>
      </c>
      <c r="J36" s="511"/>
      <c r="K36" s="525"/>
      <c r="L36" s="514">
        <f t="shared" si="2"/>
        <v>0</v>
      </c>
      <c r="M36" s="525"/>
      <c r="N36" s="514">
        <f t="shared" si="4"/>
        <v>0</v>
      </c>
      <c r="O36" s="514">
        <f t="shared" si="5"/>
        <v>0</v>
      </c>
      <c r="P36" s="272"/>
    </row>
    <row r="37" spans="2:16">
      <c r="B37" s="195" t="str">
        <f t="shared" si="7"/>
        <v/>
      </c>
      <c r="C37" s="507">
        <f>IF(D11="","-",+C36+1)</f>
        <v>2036</v>
      </c>
      <c r="D37" s="523">
        <f>IF(F36+SUM(E$17:E36)=D$10,F36,D$10-SUM(E$17:E36))</f>
        <v>675316.13812943001</v>
      </c>
      <c r="E37" s="522">
        <f>IF(+I14&lt;F36,I14,D37)</f>
        <v>27985.466136363637</v>
      </c>
      <c r="F37" s="523">
        <f t="shared" si="15"/>
        <v>647330.67199306632</v>
      </c>
      <c r="G37" s="524">
        <f t="shared" si="16"/>
        <v>107031.55583901447</v>
      </c>
      <c r="H37" s="491">
        <f t="shared" si="17"/>
        <v>107031.55583901447</v>
      </c>
      <c r="I37" s="511">
        <f t="shared" si="0"/>
        <v>0</v>
      </c>
      <c r="J37" s="511"/>
      <c r="K37" s="525"/>
      <c r="L37" s="514">
        <f t="shared" si="2"/>
        <v>0</v>
      </c>
      <c r="M37" s="525"/>
      <c r="N37" s="514">
        <f t="shared" si="4"/>
        <v>0</v>
      </c>
      <c r="O37" s="514">
        <f t="shared" si="5"/>
        <v>0</v>
      </c>
      <c r="P37" s="272"/>
    </row>
    <row r="38" spans="2:16">
      <c r="B38" s="195" t="str">
        <f t="shared" si="7"/>
        <v/>
      </c>
      <c r="C38" s="507">
        <f>IF(D11="","-",+C37+1)</f>
        <v>2037</v>
      </c>
      <c r="D38" s="523">
        <f>IF(F37+SUM(E$17:E37)=D$10,F37,D$10-SUM(E$17:E37))</f>
        <v>647330.67199306632</v>
      </c>
      <c r="E38" s="522">
        <f>IF(+I14&lt;F37,I14,D38)</f>
        <v>27985.466136363637</v>
      </c>
      <c r="F38" s="523">
        <f t="shared" si="15"/>
        <v>619345.20585670264</v>
      </c>
      <c r="G38" s="524">
        <f t="shared" si="16"/>
        <v>103686.53334373377</v>
      </c>
      <c r="H38" s="491">
        <f t="shared" si="17"/>
        <v>103686.53334373377</v>
      </c>
      <c r="I38" s="511">
        <f t="shared" si="0"/>
        <v>0</v>
      </c>
      <c r="J38" s="511"/>
      <c r="K38" s="525"/>
      <c r="L38" s="514">
        <f t="shared" si="2"/>
        <v>0</v>
      </c>
      <c r="M38" s="525"/>
      <c r="N38" s="514">
        <f t="shared" si="4"/>
        <v>0</v>
      </c>
      <c r="O38" s="514">
        <f t="shared" si="5"/>
        <v>0</v>
      </c>
      <c r="P38" s="272"/>
    </row>
    <row r="39" spans="2:16">
      <c r="B39" s="195" t="str">
        <f t="shared" si="7"/>
        <v/>
      </c>
      <c r="C39" s="507">
        <f>IF(D11="","-",+C38+1)</f>
        <v>2038</v>
      </c>
      <c r="D39" s="523">
        <f>IF(F38+SUM(E$17:E38)=D$10,F38,D$10-SUM(E$17:E38))</f>
        <v>619345.20585670264</v>
      </c>
      <c r="E39" s="522">
        <f>IF(+I14&lt;F38,I14,D39)</f>
        <v>27985.466136363637</v>
      </c>
      <c r="F39" s="523">
        <f t="shared" si="15"/>
        <v>591359.73972033896</v>
      </c>
      <c r="G39" s="524">
        <f t="shared" si="16"/>
        <v>100341.51084845308</v>
      </c>
      <c r="H39" s="491">
        <f t="shared" si="17"/>
        <v>100341.51084845308</v>
      </c>
      <c r="I39" s="511">
        <f t="shared" si="0"/>
        <v>0</v>
      </c>
      <c r="J39" s="511"/>
      <c r="K39" s="525"/>
      <c r="L39" s="514">
        <f t="shared" si="2"/>
        <v>0</v>
      </c>
      <c r="M39" s="525"/>
      <c r="N39" s="514">
        <f t="shared" si="4"/>
        <v>0</v>
      </c>
      <c r="O39" s="514">
        <f t="shared" si="5"/>
        <v>0</v>
      </c>
      <c r="P39" s="272"/>
    </row>
    <row r="40" spans="2:16">
      <c r="B40" s="195" t="str">
        <f t="shared" si="7"/>
        <v/>
      </c>
      <c r="C40" s="507">
        <f>IF(D11="","-",+C39+1)</f>
        <v>2039</v>
      </c>
      <c r="D40" s="523">
        <f>IF(F39+SUM(E$17:E39)=D$10,F39,D$10-SUM(E$17:E39))</f>
        <v>591359.73972033896</v>
      </c>
      <c r="E40" s="522">
        <f>IF(+I14&lt;F39,I14,D40)</f>
        <v>27985.466136363637</v>
      </c>
      <c r="F40" s="523">
        <f t="shared" si="15"/>
        <v>563374.27358397527</v>
      </c>
      <c r="G40" s="524">
        <f t="shared" si="16"/>
        <v>96996.488353172375</v>
      </c>
      <c r="H40" s="491">
        <f t="shared" si="17"/>
        <v>96996.488353172375</v>
      </c>
      <c r="I40" s="511">
        <f t="shared" si="0"/>
        <v>0</v>
      </c>
      <c r="J40" s="511"/>
      <c r="K40" s="525"/>
      <c r="L40" s="514">
        <f t="shared" si="2"/>
        <v>0</v>
      </c>
      <c r="M40" s="525"/>
      <c r="N40" s="514">
        <f t="shared" si="4"/>
        <v>0</v>
      </c>
      <c r="O40" s="514">
        <f t="shared" si="5"/>
        <v>0</v>
      </c>
      <c r="P40" s="272"/>
    </row>
    <row r="41" spans="2:16">
      <c r="B41" s="195" t="str">
        <f t="shared" si="7"/>
        <v/>
      </c>
      <c r="C41" s="507">
        <f>IF(D11="","-",+C40+1)</f>
        <v>2040</v>
      </c>
      <c r="D41" s="523">
        <f>IF(F40+SUM(E$17:E40)=D$10,F40,D$10-SUM(E$17:E40))</f>
        <v>563374.27358397527</v>
      </c>
      <c r="E41" s="522">
        <f>IF(+I14&lt;F40,I14,D41)</f>
        <v>27985.466136363637</v>
      </c>
      <c r="F41" s="523">
        <f t="shared" si="15"/>
        <v>535388.80744761159</v>
      </c>
      <c r="G41" s="524">
        <f t="shared" si="16"/>
        <v>93651.465857891701</v>
      </c>
      <c r="H41" s="491">
        <f t="shared" si="17"/>
        <v>93651.465857891701</v>
      </c>
      <c r="I41" s="511">
        <f t="shared" si="0"/>
        <v>0</v>
      </c>
      <c r="J41" s="511"/>
      <c r="K41" s="525"/>
      <c r="L41" s="514">
        <f t="shared" si="2"/>
        <v>0</v>
      </c>
      <c r="M41" s="525"/>
      <c r="N41" s="514">
        <f t="shared" si="4"/>
        <v>0</v>
      </c>
      <c r="O41" s="514">
        <f t="shared" si="5"/>
        <v>0</v>
      </c>
      <c r="P41" s="272"/>
    </row>
    <row r="42" spans="2:16">
      <c r="B42" s="195" t="str">
        <f t="shared" si="7"/>
        <v/>
      </c>
      <c r="C42" s="507">
        <f>IF(D11="","-",+C41+1)</f>
        <v>2041</v>
      </c>
      <c r="D42" s="523">
        <f>IF(F41+SUM(E$17:E41)=D$10,F41,D$10-SUM(E$17:E41))</f>
        <v>535388.80744761159</v>
      </c>
      <c r="E42" s="522">
        <f>IF(+I14&lt;F41,I14,D42)</f>
        <v>27985.466136363637</v>
      </c>
      <c r="F42" s="523">
        <f t="shared" si="15"/>
        <v>507403.34131124796</v>
      </c>
      <c r="G42" s="524">
        <f t="shared" si="16"/>
        <v>90306.443362610997</v>
      </c>
      <c r="H42" s="491">
        <f t="shared" si="17"/>
        <v>90306.443362610997</v>
      </c>
      <c r="I42" s="511">
        <f t="shared" si="0"/>
        <v>0</v>
      </c>
      <c r="J42" s="511"/>
      <c r="K42" s="525"/>
      <c r="L42" s="514">
        <f t="shared" si="2"/>
        <v>0</v>
      </c>
      <c r="M42" s="525"/>
      <c r="N42" s="514">
        <f t="shared" si="4"/>
        <v>0</v>
      </c>
      <c r="O42" s="514">
        <f t="shared" si="5"/>
        <v>0</v>
      </c>
      <c r="P42" s="272"/>
    </row>
    <row r="43" spans="2:16">
      <c r="B43" s="195" t="str">
        <f t="shared" si="7"/>
        <v/>
      </c>
      <c r="C43" s="507">
        <f>IF(D11="","-",+C42+1)</f>
        <v>2042</v>
      </c>
      <c r="D43" s="523">
        <f>IF(F42+SUM(E$17:E42)=D$10,F42,D$10-SUM(E$17:E42))</f>
        <v>507403.34131124796</v>
      </c>
      <c r="E43" s="522">
        <f>IF(+I14&lt;F42,I14,D43)</f>
        <v>27985.466136363637</v>
      </c>
      <c r="F43" s="523">
        <f t="shared" si="15"/>
        <v>479417.87517488434</v>
      </c>
      <c r="G43" s="524">
        <f t="shared" si="16"/>
        <v>86961.420867330307</v>
      </c>
      <c r="H43" s="491">
        <f t="shared" si="17"/>
        <v>86961.420867330307</v>
      </c>
      <c r="I43" s="511">
        <f t="shared" si="0"/>
        <v>0</v>
      </c>
      <c r="J43" s="511"/>
      <c r="K43" s="525"/>
      <c r="L43" s="514">
        <f t="shared" si="2"/>
        <v>0</v>
      </c>
      <c r="M43" s="525"/>
      <c r="N43" s="514">
        <f t="shared" si="4"/>
        <v>0</v>
      </c>
      <c r="O43" s="514">
        <f t="shared" si="5"/>
        <v>0</v>
      </c>
      <c r="P43" s="272"/>
    </row>
    <row r="44" spans="2:16">
      <c r="B44" s="195" t="str">
        <f t="shared" si="7"/>
        <v/>
      </c>
      <c r="C44" s="507">
        <f>IF(D11="","-",+C43+1)</f>
        <v>2043</v>
      </c>
      <c r="D44" s="523">
        <f>IF(F43+SUM(E$17:E43)=D$10,F43,D$10-SUM(E$17:E43))</f>
        <v>479417.87517488434</v>
      </c>
      <c r="E44" s="522">
        <f>IF(+I14&lt;F43,I14,D44)</f>
        <v>27985.466136363637</v>
      </c>
      <c r="F44" s="523">
        <f t="shared" si="15"/>
        <v>451432.40903852071</v>
      </c>
      <c r="G44" s="524">
        <f t="shared" si="16"/>
        <v>83616.398372049633</v>
      </c>
      <c r="H44" s="491">
        <f t="shared" si="17"/>
        <v>83616.398372049633</v>
      </c>
      <c r="I44" s="511">
        <f t="shared" si="0"/>
        <v>0</v>
      </c>
      <c r="J44" s="511"/>
      <c r="K44" s="525"/>
      <c r="L44" s="514">
        <f t="shared" si="2"/>
        <v>0</v>
      </c>
      <c r="M44" s="525"/>
      <c r="N44" s="514">
        <f t="shared" si="4"/>
        <v>0</v>
      </c>
      <c r="O44" s="514">
        <f t="shared" si="5"/>
        <v>0</v>
      </c>
      <c r="P44" s="272"/>
    </row>
    <row r="45" spans="2:16">
      <c r="B45" s="195" t="str">
        <f t="shared" si="7"/>
        <v/>
      </c>
      <c r="C45" s="507">
        <f>IF(D11="","-",+C44+1)</f>
        <v>2044</v>
      </c>
      <c r="D45" s="523">
        <f>IF(F44+SUM(E$17:E44)=D$10,F44,D$10-SUM(E$17:E44))</f>
        <v>451432.40903852071</v>
      </c>
      <c r="E45" s="522">
        <f>IF(+I14&lt;F44,I14,D45)</f>
        <v>27985.466136363637</v>
      </c>
      <c r="F45" s="523">
        <f t="shared" si="15"/>
        <v>423446.94290215708</v>
      </c>
      <c r="G45" s="524">
        <f t="shared" si="16"/>
        <v>80271.375876768943</v>
      </c>
      <c r="H45" s="491">
        <f t="shared" si="17"/>
        <v>80271.375876768943</v>
      </c>
      <c r="I45" s="511">
        <f t="shared" si="0"/>
        <v>0</v>
      </c>
      <c r="J45" s="511"/>
      <c r="K45" s="525"/>
      <c r="L45" s="514">
        <f t="shared" si="2"/>
        <v>0</v>
      </c>
      <c r="M45" s="525"/>
      <c r="N45" s="514">
        <f t="shared" si="4"/>
        <v>0</v>
      </c>
      <c r="O45" s="514">
        <f t="shared" si="5"/>
        <v>0</v>
      </c>
      <c r="P45" s="272"/>
    </row>
    <row r="46" spans="2:16">
      <c r="B46" s="195" t="str">
        <f t="shared" si="7"/>
        <v/>
      </c>
      <c r="C46" s="507">
        <f>IF(D11="","-",+C45+1)</f>
        <v>2045</v>
      </c>
      <c r="D46" s="523">
        <f>IF(F45+SUM(E$17:E45)=D$10,F45,D$10-SUM(E$17:E45))</f>
        <v>423446.94290215708</v>
      </c>
      <c r="E46" s="522">
        <f>IF(+I14&lt;F45,I14,D46)</f>
        <v>27985.466136363637</v>
      </c>
      <c r="F46" s="523">
        <f t="shared" si="15"/>
        <v>395461.47676579346</v>
      </c>
      <c r="G46" s="524">
        <f t="shared" si="16"/>
        <v>76926.353381488254</v>
      </c>
      <c r="H46" s="491">
        <f t="shared" si="17"/>
        <v>76926.353381488254</v>
      </c>
      <c r="I46" s="511">
        <f t="shared" si="0"/>
        <v>0</v>
      </c>
      <c r="J46" s="511"/>
      <c r="K46" s="525"/>
      <c r="L46" s="514">
        <f t="shared" si="2"/>
        <v>0</v>
      </c>
      <c r="M46" s="525"/>
      <c r="N46" s="514">
        <f t="shared" si="4"/>
        <v>0</v>
      </c>
      <c r="O46" s="514">
        <f t="shared" si="5"/>
        <v>0</v>
      </c>
      <c r="P46" s="272"/>
    </row>
    <row r="47" spans="2:16">
      <c r="B47" s="195" t="str">
        <f t="shared" si="7"/>
        <v/>
      </c>
      <c r="C47" s="507">
        <f>IF(D11="","-",+C46+1)</f>
        <v>2046</v>
      </c>
      <c r="D47" s="523">
        <f>IF(F46+SUM(E$17:E46)=D$10,F46,D$10-SUM(E$17:E46))</f>
        <v>395461.47676579346</v>
      </c>
      <c r="E47" s="522">
        <f>IF(+I14&lt;F46,I14,D47)</f>
        <v>27985.466136363637</v>
      </c>
      <c r="F47" s="523">
        <f t="shared" si="15"/>
        <v>367476.01062942983</v>
      </c>
      <c r="G47" s="524">
        <f t="shared" si="16"/>
        <v>73581.330886207565</v>
      </c>
      <c r="H47" s="491">
        <f t="shared" si="17"/>
        <v>73581.330886207565</v>
      </c>
      <c r="I47" s="511">
        <f t="shared" si="0"/>
        <v>0</v>
      </c>
      <c r="J47" s="511"/>
      <c r="K47" s="525"/>
      <c r="L47" s="514">
        <f t="shared" si="2"/>
        <v>0</v>
      </c>
      <c r="M47" s="525"/>
      <c r="N47" s="514">
        <f t="shared" si="4"/>
        <v>0</v>
      </c>
      <c r="O47" s="514">
        <f t="shared" si="5"/>
        <v>0</v>
      </c>
      <c r="P47" s="272"/>
    </row>
    <row r="48" spans="2:16">
      <c r="B48" s="195" t="str">
        <f t="shared" si="7"/>
        <v/>
      </c>
      <c r="C48" s="507">
        <f>IF(D11="","-",+C47+1)</f>
        <v>2047</v>
      </c>
      <c r="D48" s="523">
        <f>IF(F47+SUM(E$17:E47)=D$10,F47,D$10-SUM(E$17:E47))</f>
        <v>367476.01062942983</v>
      </c>
      <c r="E48" s="522">
        <f>IF(+I14&lt;F47,I14,D48)</f>
        <v>27985.466136363637</v>
      </c>
      <c r="F48" s="523">
        <f t="shared" si="15"/>
        <v>339490.54449306621</v>
      </c>
      <c r="G48" s="524">
        <f t="shared" si="16"/>
        <v>70236.30839092689</v>
      </c>
      <c r="H48" s="491">
        <f t="shared" si="17"/>
        <v>70236.30839092689</v>
      </c>
      <c r="I48" s="511">
        <f t="shared" si="0"/>
        <v>0</v>
      </c>
      <c r="J48" s="511"/>
      <c r="K48" s="525"/>
      <c r="L48" s="514">
        <f t="shared" si="2"/>
        <v>0</v>
      </c>
      <c r="M48" s="525"/>
      <c r="N48" s="514">
        <f t="shared" si="4"/>
        <v>0</v>
      </c>
      <c r="O48" s="514">
        <f t="shared" si="5"/>
        <v>0</v>
      </c>
      <c r="P48" s="272"/>
    </row>
    <row r="49" spans="2:16">
      <c r="B49" s="195" t="str">
        <f t="shared" si="7"/>
        <v/>
      </c>
      <c r="C49" s="507">
        <f>IF(D11="","-",+C48+1)</f>
        <v>2048</v>
      </c>
      <c r="D49" s="523">
        <f>IF(F48+SUM(E$17:E48)=D$10,F48,D$10-SUM(E$17:E48))</f>
        <v>339490.54449306621</v>
      </c>
      <c r="E49" s="522">
        <f>IF(+I14&lt;F48,I14,D49)</f>
        <v>27985.466136363637</v>
      </c>
      <c r="F49" s="523">
        <f t="shared" si="15"/>
        <v>311505.07835670258</v>
      </c>
      <c r="G49" s="524">
        <f t="shared" si="16"/>
        <v>66891.285895646186</v>
      </c>
      <c r="H49" s="491">
        <f t="shared" si="17"/>
        <v>66891.285895646186</v>
      </c>
      <c r="I49" s="511">
        <f t="shared" si="0"/>
        <v>0</v>
      </c>
      <c r="J49" s="511"/>
      <c r="K49" s="525"/>
      <c r="L49" s="514">
        <f t="shared" si="2"/>
        <v>0</v>
      </c>
      <c r="M49" s="525"/>
      <c r="N49" s="514">
        <f t="shared" si="4"/>
        <v>0</v>
      </c>
      <c r="O49" s="514">
        <f t="shared" si="5"/>
        <v>0</v>
      </c>
      <c r="P49" s="272"/>
    </row>
    <row r="50" spans="2:16">
      <c r="B50" s="195" t="str">
        <f t="shared" si="7"/>
        <v/>
      </c>
      <c r="C50" s="507">
        <f>IF(D11="","-",+C49+1)</f>
        <v>2049</v>
      </c>
      <c r="D50" s="523">
        <f>IF(F49+SUM(E$17:E49)=D$10,F49,D$10-SUM(E$17:E49))</f>
        <v>311505.07835670258</v>
      </c>
      <c r="E50" s="522">
        <f>IF(+I14&lt;F49,I14,D50)</f>
        <v>27985.466136363637</v>
      </c>
      <c r="F50" s="523">
        <f t="shared" si="15"/>
        <v>283519.61222033895</v>
      </c>
      <c r="G50" s="524">
        <f t="shared" ref="G50:G72" si="18">+I$12*((D50+F50)/2)+E50</f>
        <v>63546.263400365511</v>
      </c>
      <c r="H50" s="491">
        <f t="shared" ref="H50:H72" si="19">+I$13*((D50+F50)/2)+E50</f>
        <v>63546.263400365511</v>
      </c>
      <c r="I50" s="511">
        <f t="shared" si="0"/>
        <v>0</v>
      </c>
      <c r="J50" s="511"/>
      <c r="K50" s="525"/>
      <c r="L50" s="514">
        <f t="shared" si="2"/>
        <v>0</v>
      </c>
      <c r="M50" s="525"/>
      <c r="N50" s="514">
        <f t="shared" si="4"/>
        <v>0</v>
      </c>
      <c r="O50" s="514">
        <f t="shared" si="5"/>
        <v>0</v>
      </c>
      <c r="P50" s="272"/>
    </row>
    <row r="51" spans="2:16">
      <c r="B51" s="195" t="str">
        <f t="shared" si="7"/>
        <v/>
      </c>
      <c r="C51" s="507">
        <f>IF(D11="","-",+C50+1)</f>
        <v>2050</v>
      </c>
      <c r="D51" s="523">
        <f>IF(F50+SUM(E$17:E50)=D$10,F50,D$10-SUM(E$17:E50))</f>
        <v>283519.61222033895</v>
      </c>
      <c r="E51" s="522">
        <f>IF(+I14&lt;F50,I14,D51)</f>
        <v>27985.466136363637</v>
      </c>
      <c r="F51" s="523">
        <f t="shared" si="15"/>
        <v>255534.14608397533</v>
      </c>
      <c r="G51" s="524">
        <f t="shared" si="18"/>
        <v>60201.240905084822</v>
      </c>
      <c r="H51" s="491">
        <f t="shared" si="19"/>
        <v>60201.240905084822</v>
      </c>
      <c r="I51" s="511">
        <f t="shared" si="0"/>
        <v>0</v>
      </c>
      <c r="J51" s="511"/>
      <c r="K51" s="525"/>
      <c r="L51" s="514">
        <f t="shared" si="2"/>
        <v>0</v>
      </c>
      <c r="M51" s="525"/>
      <c r="N51" s="514">
        <f t="shared" si="4"/>
        <v>0</v>
      </c>
      <c r="O51" s="514">
        <f t="shared" si="5"/>
        <v>0</v>
      </c>
      <c r="P51" s="272"/>
    </row>
    <row r="52" spans="2:16">
      <c r="B52" s="195" t="str">
        <f t="shared" si="7"/>
        <v/>
      </c>
      <c r="C52" s="507">
        <f>IF(D11="","-",+C51+1)</f>
        <v>2051</v>
      </c>
      <c r="D52" s="523">
        <f>IF(F51+SUM(E$17:E51)=D$10,F51,D$10-SUM(E$17:E51))</f>
        <v>255534.14608397533</v>
      </c>
      <c r="E52" s="522">
        <f>IF(+I14&lt;F51,I14,D52)</f>
        <v>27985.466136363637</v>
      </c>
      <c r="F52" s="523">
        <f t="shared" si="15"/>
        <v>227548.6799476117</v>
      </c>
      <c r="G52" s="524">
        <f t="shared" si="18"/>
        <v>56856.21840980414</v>
      </c>
      <c r="H52" s="491">
        <f t="shared" si="19"/>
        <v>56856.21840980414</v>
      </c>
      <c r="I52" s="511">
        <f t="shared" si="0"/>
        <v>0</v>
      </c>
      <c r="J52" s="511"/>
      <c r="K52" s="525"/>
      <c r="L52" s="514">
        <f t="shared" si="2"/>
        <v>0</v>
      </c>
      <c r="M52" s="525"/>
      <c r="N52" s="514">
        <f t="shared" si="4"/>
        <v>0</v>
      </c>
      <c r="O52" s="514">
        <f t="shared" si="5"/>
        <v>0</v>
      </c>
      <c r="P52" s="272"/>
    </row>
    <row r="53" spans="2:16">
      <c r="B53" s="195" t="str">
        <f t="shared" si="7"/>
        <v/>
      </c>
      <c r="C53" s="507">
        <f>IF(D11="","-",+C52+1)</f>
        <v>2052</v>
      </c>
      <c r="D53" s="523">
        <f>IF(F52+SUM(E$17:E52)=D$10,F52,D$10-SUM(E$17:E52))</f>
        <v>227548.6799476117</v>
      </c>
      <c r="E53" s="522">
        <f>IF(+I14&lt;F52,I14,D53)</f>
        <v>27985.466136363637</v>
      </c>
      <c r="F53" s="523">
        <f t="shared" si="15"/>
        <v>199563.21381124808</v>
      </c>
      <c r="G53" s="524">
        <f t="shared" si="18"/>
        <v>53511.195914523458</v>
      </c>
      <c r="H53" s="491">
        <f t="shared" si="19"/>
        <v>53511.195914523458</v>
      </c>
      <c r="I53" s="511">
        <f t="shared" si="0"/>
        <v>0</v>
      </c>
      <c r="J53" s="511"/>
      <c r="K53" s="525"/>
      <c r="L53" s="514">
        <f t="shared" si="2"/>
        <v>0</v>
      </c>
      <c r="M53" s="525"/>
      <c r="N53" s="514">
        <f t="shared" si="4"/>
        <v>0</v>
      </c>
      <c r="O53" s="514">
        <f t="shared" si="5"/>
        <v>0</v>
      </c>
      <c r="P53" s="272"/>
    </row>
    <row r="54" spans="2:16">
      <c r="B54" s="195" t="str">
        <f t="shared" si="7"/>
        <v/>
      </c>
      <c r="C54" s="507">
        <f>IF(D11="","-",+C53+1)</f>
        <v>2053</v>
      </c>
      <c r="D54" s="523">
        <f>IF(F53+SUM(E$17:E53)=D$10,F53,D$10-SUM(E$17:E53))</f>
        <v>199563.21381124808</v>
      </c>
      <c r="E54" s="522">
        <f>IF(+I14&lt;F53,I14,D54)</f>
        <v>27985.466136363637</v>
      </c>
      <c r="F54" s="523">
        <f t="shared" si="15"/>
        <v>171577.74767488445</v>
      </c>
      <c r="G54" s="524">
        <f t="shared" si="18"/>
        <v>50166.173419242768</v>
      </c>
      <c r="H54" s="491">
        <f t="shared" si="19"/>
        <v>50166.173419242768</v>
      </c>
      <c r="I54" s="511">
        <f t="shared" si="0"/>
        <v>0</v>
      </c>
      <c r="J54" s="511"/>
      <c r="K54" s="525"/>
      <c r="L54" s="514">
        <f t="shared" si="2"/>
        <v>0</v>
      </c>
      <c r="M54" s="525"/>
      <c r="N54" s="514">
        <f t="shared" si="4"/>
        <v>0</v>
      </c>
      <c r="O54" s="514">
        <f t="shared" si="5"/>
        <v>0</v>
      </c>
      <c r="P54" s="272"/>
    </row>
    <row r="55" spans="2:16">
      <c r="B55" s="195" t="str">
        <f t="shared" si="7"/>
        <v/>
      </c>
      <c r="C55" s="507">
        <f>IF(D11="","-",+C54+1)</f>
        <v>2054</v>
      </c>
      <c r="D55" s="523">
        <f>IF(F54+SUM(E$17:E54)=D$10,F54,D$10-SUM(E$17:E54))</f>
        <v>171577.74767488445</v>
      </c>
      <c r="E55" s="522">
        <f>IF(+I14&lt;F54,I14,D55)</f>
        <v>27985.466136363637</v>
      </c>
      <c r="F55" s="523">
        <f t="shared" si="15"/>
        <v>143592.28153852082</v>
      </c>
      <c r="G55" s="524">
        <f t="shared" si="18"/>
        <v>46821.150923962079</v>
      </c>
      <c r="H55" s="491">
        <f t="shared" si="19"/>
        <v>46821.150923962079</v>
      </c>
      <c r="I55" s="511">
        <f t="shared" si="0"/>
        <v>0</v>
      </c>
      <c r="J55" s="511"/>
      <c r="K55" s="525"/>
      <c r="L55" s="514">
        <f t="shared" si="2"/>
        <v>0</v>
      </c>
      <c r="M55" s="525"/>
      <c r="N55" s="514">
        <f t="shared" si="4"/>
        <v>0</v>
      </c>
      <c r="O55" s="514">
        <f t="shared" si="5"/>
        <v>0</v>
      </c>
      <c r="P55" s="272"/>
    </row>
    <row r="56" spans="2:16">
      <c r="B56" s="195" t="str">
        <f t="shared" si="7"/>
        <v/>
      </c>
      <c r="C56" s="507">
        <f>IF(D11="","-",+C55+1)</f>
        <v>2055</v>
      </c>
      <c r="D56" s="523">
        <f>IF(F55+SUM(E$17:E55)=D$10,F55,D$10-SUM(E$17:E55))</f>
        <v>143592.28153852082</v>
      </c>
      <c r="E56" s="522">
        <f>IF(+I14&lt;F55,I14,D56)</f>
        <v>27985.466136363637</v>
      </c>
      <c r="F56" s="523">
        <f t="shared" si="15"/>
        <v>115606.81540215718</v>
      </c>
      <c r="G56" s="524">
        <f t="shared" si="18"/>
        <v>43476.128428681397</v>
      </c>
      <c r="H56" s="491">
        <f t="shared" si="19"/>
        <v>43476.128428681397</v>
      </c>
      <c r="I56" s="511">
        <f t="shared" si="0"/>
        <v>0</v>
      </c>
      <c r="J56" s="511"/>
      <c r="K56" s="525"/>
      <c r="L56" s="514">
        <f t="shared" si="2"/>
        <v>0</v>
      </c>
      <c r="M56" s="525"/>
      <c r="N56" s="514">
        <f t="shared" si="4"/>
        <v>0</v>
      </c>
      <c r="O56" s="514">
        <f t="shared" si="5"/>
        <v>0</v>
      </c>
      <c r="P56" s="272"/>
    </row>
    <row r="57" spans="2:16">
      <c r="B57" s="195" t="str">
        <f t="shared" si="7"/>
        <v/>
      </c>
      <c r="C57" s="507">
        <f>IF(D11="","-",+C56+1)</f>
        <v>2056</v>
      </c>
      <c r="D57" s="523">
        <f>IF(F56+SUM(E$17:E56)=D$10,F56,D$10-SUM(E$17:E56))</f>
        <v>115606.81540215718</v>
      </c>
      <c r="E57" s="522">
        <f>IF(+I14&lt;F56,I14,D57)</f>
        <v>27985.466136363637</v>
      </c>
      <c r="F57" s="523">
        <f t="shared" si="15"/>
        <v>87621.349265793542</v>
      </c>
      <c r="G57" s="524">
        <f t="shared" si="18"/>
        <v>40131.105933400708</v>
      </c>
      <c r="H57" s="491">
        <f t="shared" si="19"/>
        <v>40131.105933400708</v>
      </c>
      <c r="I57" s="511">
        <f t="shared" si="0"/>
        <v>0</v>
      </c>
      <c r="J57" s="511"/>
      <c r="K57" s="525"/>
      <c r="L57" s="514">
        <f t="shared" si="2"/>
        <v>0</v>
      </c>
      <c r="M57" s="525"/>
      <c r="N57" s="514">
        <f t="shared" si="4"/>
        <v>0</v>
      </c>
      <c r="O57" s="514">
        <f t="shared" si="5"/>
        <v>0</v>
      </c>
      <c r="P57" s="272"/>
    </row>
    <row r="58" spans="2:16">
      <c r="B58" s="195" t="str">
        <f t="shared" si="7"/>
        <v/>
      </c>
      <c r="C58" s="507">
        <f>IF(D11="","-",+C57+1)</f>
        <v>2057</v>
      </c>
      <c r="D58" s="523">
        <f>IF(F57+SUM(E$17:E57)=D$10,F57,D$10-SUM(E$17:E57))</f>
        <v>87621.349265793542</v>
      </c>
      <c r="E58" s="522">
        <f>IF(+I14&lt;F57,I14,D58)</f>
        <v>27985.466136363637</v>
      </c>
      <c r="F58" s="523">
        <f t="shared" si="15"/>
        <v>59635.883129429902</v>
      </c>
      <c r="G58" s="524">
        <f t="shared" si="18"/>
        <v>36786.083438120018</v>
      </c>
      <c r="H58" s="491">
        <f t="shared" si="19"/>
        <v>36786.083438120018</v>
      </c>
      <c r="I58" s="511">
        <f t="shared" si="0"/>
        <v>0</v>
      </c>
      <c r="J58" s="511"/>
      <c r="K58" s="525"/>
      <c r="L58" s="514">
        <f t="shared" si="2"/>
        <v>0</v>
      </c>
      <c r="M58" s="525"/>
      <c r="N58" s="514">
        <f t="shared" si="4"/>
        <v>0</v>
      </c>
      <c r="O58" s="514">
        <f t="shared" si="5"/>
        <v>0</v>
      </c>
      <c r="P58" s="272"/>
    </row>
    <row r="59" spans="2:16">
      <c r="B59" s="195" t="str">
        <f t="shared" si="7"/>
        <v/>
      </c>
      <c r="C59" s="507">
        <f>IF(D11="","-",+C58+1)</f>
        <v>2058</v>
      </c>
      <c r="D59" s="523">
        <f>IF(F58+SUM(E$17:E58)=D$10,F58,D$10-SUM(E$17:E58))</f>
        <v>59635.883129429902</v>
      </c>
      <c r="E59" s="522">
        <f>IF(+I14&lt;F58,I14,D59)</f>
        <v>27985.466136363637</v>
      </c>
      <c r="F59" s="523">
        <f t="shared" si="15"/>
        <v>31650.416993066265</v>
      </c>
      <c r="G59" s="524">
        <f t="shared" si="18"/>
        <v>33441.060942839336</v>
      </c>
      <c r="H59" s="491">
        <f t="shared" si="19"/>
        <v>33441.060942839336</v>
      </c>
      <c r="I59" s="511">
        <f t="shared" si="0"/>
        <v>0</v>
      </c>
      <c r="J59" s="511"/>
      <c r="K59" s="525"/>
      <c r="L59" s="514">
        <f t="shared" si="2"/>
        <v>0</v>
      </c>
      <c r="M59" s="525"/>
      <c r="N59" s="514">
        <f t="shared" si="4"/>
        <v>0</v>
      </c>
      <c r="O59" s="514">
        <f t="shared" si="5"/>
        <v>0</v>
      </c>
      <c r="P59" s="272"/>
    </row>
    <row r="60" spans="2:16">
      <c r="B60" s="195" t="str">
        <f t="shared" si="7"/>
        <v/>
      </c>
      <c r="C60" s="507">
        <f>IF(D11="","-",+C59+1)</f>
        <v>2059</v>
      </c>
      <c r="D60" s="523">
        <f>IF(F59+SUM(E$17:E59)=D$10,F59,D$10-SUM(E$17:E59))</f>
        <v>31650.416993066265</v>
      </c>
      <c r="E60" s="522">
        <f>IF(+I14&lt;F59,I14,D60)</f>
        <v>27985.466136363637</v>
      </c>
      <c r="F60" s="523">
        <f t="shared" si="15"/>
        <v>3664.9508567026278</v>
      </c>
      <c r="G60" s="524">
        <f t="shared" si="18"/>
        <v>30096.038447558647</v>
      </c>
      <c r="H60" s="491">
        <f t="shared" si="19"/>
        <v>30096.038447558647</v>
      </c>
      <c r="I60" s="511">
        <f t="shared" si="0"/>
        <v>0</v>
      </c>
      <c r="J60" s="511"/>
      <c r="K60" s="525"/>
      <c r="L60" s="514">
        <f t="shared" si="2"/>
        <v>0</v>
      </c>
      <c r="M60" s="525"/>
      <c r="N60" s="514">
        <f t="shared" si="4"/>
        <v>0</v>
      </c>
      <c r="O60" s="514">
        <f t="shared" si="5"/>
        <v>0</v>
      </c>
      <c r="P60" s="272"/>
    </row>
    <row r="61" spans="2:16">
      <c r="B61" s="195" t="str">
        <f t="shared" si="7"/>
        <v/>
      </c>
      <c r="C61" s="507">
        <f>IF(D11="","-",+C60+1)</f>
        <v>2060</v>
      </c>
      <c r="D61" s="523">
        <f>IF(F60+SUM(E$17:E60)=D$10,F60,D$10-SUM(E$17:E60))</f>
        <v>3664.9508567026278</v>
      </c>
      <c r="E61" s="522">
        <f>IF(+I14&lt;F60,I14,D61)</f>
        <v>3664.9508567026278</v>
      </c>
      <c r="F61" s="523">
        <f t="shared" si="15"/>
        <v>0</v>
      </c>
      <c r="G61" s="526">
        <f t="shared" si="18"/>
        <v>3883.9813884799605</v>
      </c>
      <c r="H61" s="491">
        <f t="shared" si="19"/>
        <v>3883.9813884799605</v>
      </c>
      <c r="I61" s="511">
        <f t="shared" si="0"/>
        <v>0</v>
      </c>
      <c r="J61" s="511"/>
      <c r="K61" s="525"/>
      <c r="L61" s="514">
        <f t="shared" si="2"/>
        <v>0</v>
      </c>
      <c r="M61" s="525"/>
      <c r="N61" s="514">
        <f t="shared" si="4"/>
        <v>0</v>
      </c>
      <c r="O61" s="514">
        <f t="shared" si="5"/>
        <v>0</v>
      </c>
      <c r="P61" s="272"/>
    </row>
    <row r="62" spans="2:16">
      <c r="B62" s="195" t="str">
        <f t="shared" si="7"/>
        <v/>
      </c>
      <c r="C62" s="507">
        <f>IF(D11="","-",+C61+1)</f>
        <v>2061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15"/>
        <v>0</v>
      </c>
      <c r="G62" s="526">
        <f t="shared" si="18"/>
        <v>0</v>
      </c>
      <c r="H62" s="491">
        <f t="shared" si="19"/>
        <v>0</v>
      </c>
      <c r="I62" s="511">
        <f t="shared" si="0"/>
        <v>0</v>
      </c>
      <c r="J62" s="511"/>
      <c r="K62" s="525"/>
      <c r="L62" s="514">
        <f t="shared" si="2"/>
        <v>0</v>
      </c>
      <c r="M62" s="525"/>
      <c r="N62" s="514">
        <f t="shared" si="4"/>
        <v>0</v>
      </c>
      <c r="O62" s="514">
        <f t="shared" si="5"/>
        <v>0</v>
      </c>
      <c r="P62" s="272"/>
    </row>
    <row r="63" spans="2:16">
      <c r="B63" s="195" t="str">
        <f t="shared" si="7"/>
        <v/>
      </c>
      <c r="C63" s="507">
        <f>IF(D11="","-",+C62+1)</f>
        <v>2062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15"/>
        <v>0</v>
      </c>
      <c r="G63" s="526">
        <f t="shared" si="18"/>
        <v>0</v>
      </c>
      <c r="H63" s="491">
        <f t="shared" si="19"/>
        <v>0</v>
      </c>
      <c r="I63" s="511">
        <f t="shared" si="0"/>
        <v>0</v>
      </c>
      <c r="J63" s="511"/>
      <c r="K63" s="525"/>
      <c r="L63" s="514">
        <f t="shared" si="2"/>
        <v>0</v>
      </c>
      <c r="M63" s="525"/>
      <c r="N63" s="514">
        <f t="shared" si="4"/>
        <v>0</v>
      </c>
      <c r="O63" s="514">
        <f t="shared" si="5"/>
        <v>0</v>
      </c>
      <c r="P63" s="272"/>
    </row>
    <row r="64" spans="2:16">
      <c r="B64" s="195" t="str">
        <f t="shared" si="7"/>
        <v/>
      </c>
      <c r="C64" s="507">
        <f>IF(D11="","-",+C63+1)</f>
        <v>2063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15"/>
        <v>0</v>
      </c>
      <c r="G64" s="526">
        <f t="shared" si="18"/>
        <v>0</v>
      </c>
      <c r="H64" s="491">
        <f t="shared" si="19"/>
        <v>0</v>
      </c>
      <c r="I64" s="511">
        <f t="shared" si="0"/>
        <v>0</v>
      </c>
      <c r="J64" s="511"/>
      <c r="K64" s="525"/>
      <c r="L64" s="514">
        <f t="shared" si="2"/>
        <v>0</v>
      </c>
      <c r="M64" s="525"/>
      <c r="N64" s="514">
        <f t="shared" si="4"/>
        <v>0</v>
      </c>
      <c r="O64" s="514">
        <f t="shared" si="5"/>
        <v>0</v>
      </c>
      <c r="P64" s="272"/>
    </row>
    <row r="65" spans="2:16">
      <c r="B65" s="195" t="str">
        <f t="shared" si="7"/>
        <v/>
      </c>
      <c r="C65" s="507">
        <f>IF(D11="","-",+C64+1)</f>
        <v>2064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15"/>
        <v>0</v>
      </c>
      <c r="G65" s="526">
        <f t="shared" si="18"/>
        <v>0</v>
      </c>
      <c r="H65" s="491">
        <f t="shared" si="19"/>
        <v>0</v>
      </c>
      <c r="I65" s="511">
        <f t="shared" si="0"/>
        <v>0</v>
      </c>
      <c r="J65" s="511"/>
      <c r="K65" s="525"/>
      <c r="L65" s="514">
        <f t="shared" si="2"/>
        <v>0</v>
      </c>
      <c r="M65" s="525"/>
      <c r="N65" s="514">
        <f t="shared" si="4"/>
        <v>0</v>
      </c>
      <c r="O65" s="514">
        <f t="shared" si="5"/>
        <v>0</v>
      </c>
      <c r="P65" s="272"/>
    </row>
    <row r="66" spans="2:16">
      <c r="B66" s="195" t="str">
        <f t="shared" si="7"/>
        <v/>
      </c>
      <c r="C66" s="507">
        <f>IF(D11="","-",+C65+1)</f>
        <v>2065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15"/>
        <v>0</v>
      </c>
      <c r="G66" s="526">
        <f t="shared" si="18"/>
        <v>0</v>
      </c>
      <c r="H66" s="491">
        <f t="shared" si="19"/>
        <v>0</v>
      </c>
      <c r="I66" s="511">
        <f t="shared" si="0"/>
        <v>0</v>
      </c>
      <c r="J66" s="511"/>
      <c r="K66" s="525"/>
      <c r="L66" s="514">
        <f t="shared" si="2"/>
        <v>0</v>
      </c>
      <c r="M66" s="525"/>
      <c r="N66" s="514">
        <f t="shared" si="4"/>
        <v>0</v>
      </c>
      <c r="O66" s="514">
        <f t="shared" si="5"/>
        <v>0</v>
      </c>
      <c r="P66" s="272"/>
    </row>
    <row r="67" spans="2:16">
      <c r="B67" s="195" t="str">
        <f t="shared" si="7"/>
        <v/>
      </c>
      <c r="C67" s="507">
        <f>IF(D11="","-",+C66+1)</f>
        <v>2066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15"/>
        <v>0</v>
      </c>
      <c r="G67" s="526">
        <f t="shared" si="18"/>
        <v>0</v>
      </c>
      <c r="H67" s="491">
        <f t="shared" si="19"/>
        <v>0</v>
      </c>
      <c r="I67" s="511">
        <f t="shared" si="0"/>
        <v>0</v>
      </c>
      <c r="J67" s="511"/>
      <c r="K67" s="525"/>
      <c r="L67" s="514">
        <f t="shared" si="2"/>
        <v>0</v>
      </c>
      <c r="M67" s="525"/>
      <c r="N67" s="514">
        <f t="shared" si="4"/>
        <v>0</v>
      </c>
      <c r="O67" s="514">
        <f t="shared" si="5"/>
        <v>0</v>
      </c>
      <c r="P67" s="272"/>
    </row>
    <row r="68" spans="2:16">
      <c r="B68" s="195" t="str">
        <f t="shared" si="7"/>
        <v/>
      </c>
      <c r="C68" s="507">
        <f>IF(D11="","-",+C67+1)</f>
        <v>2067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15"/>
        <v>0</v>
      </c>
      <c r="G68" s="526">
        <f t="shared" si="18"/>
        <v>0</v>
      </c>
      <c r="H68" s="491">
        <f t="shared" si="19"/>
        <v>0</v>
      </c>
      <c r="I68" s="511">
        <f t="shared" si="0"/>
        <v>0</v>
      </c>
      <c r="J68" s="511"/>
      <c r="K68" s="525"/>
      <c r="L68" s="514">
        <f t="shared" si="2"/>
        <v>0</v>
      </c>
      <c r="M68" s="525"/>
      <c r="N68" s="514">
        <f t="shared" si="4"/>
        <v>0</v>
      </c>
      <c r="O68" s="514">
        <f t="shared" si="5"/>
        <v>0</v>
      </c>
      <c r="P68" s="272"/>
    </row>
    <row r="69" spans="2:16">
      <c r="B69" s="195" t="str">
        <f t="shared" si="7"/>
        <v/>
      </c>
      <c r="C69" s="507">
        <f>IF(D11="","-",+C68+1)</f>
        <v>2068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15"/>
        <v>0</v>
      </c>
      <c r="G69" s="526">
        <f t="shared" si="18"/>
        <v>0</v>
      </c>
      <c r="H69" s="491">
        <f t="shared" si="19"/>
        <v>0</v>
      </c>
      <c r="I69" s="511">
        <f t="shared" si="0"/>
        <v>0</v>
      </c>
      <c r="J69" s="511"/>
      <c r="K69" s="525"/>
      <c r="L69" s="514">
        <f t="shared" si="2"/>
        <v>0</v>
      </c>
      <c r="M69" s="525"/>
      <c r="N69" s="514">
        <f t="shared" si="4"/>
        <v>0</v>
      </c>
      <c r="O69" s="514">
        <f t="shared" si="5"/>
        <v>0</v>
      </c>
      <c r="P69" s="272"/>
    </row>
    <row r="70" spans="2:16">
      <c r="B70" s="195" t="str">
        <f t="shared" si="7"/>
        <v/>
      </c>
      <c r="C70" s="507">
        <f>IF(D11="","-",+C69+1)</f>
        <v>2069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15"/>
        <v>0</v>
      </c>
      <c r="G70" s="526">
        <f t="shared" si="18"/>
        <v>0</v>
      </c>
      <c r="H70" s="491">
        <f t="shared" si="19"/>
        <v>0</v>
      </c>
      <c r="I70" s="511">
        <f t="shared" si="0"/>
        <v>0</v>
      </c>
      <c r="J70" s="511"/>
      <c r="K70" s="525"/>
      <c r="L70" s="514">
        <f t="shared" si="2"/>
        <v>0</v>
      </c>
      <c r="M70" s="525"/>
      <c r="N70" s="514">
        <f t="shared" si="4"/>
        <v>0</v>
      </c>
      <c r="O70" s="514">
        <f t="shared" si="5"/>
        <v>0</v>
      </c>
      <c r="P70" s="272"/>
    </row>
    <row r="71" spans="2:16">
      <c r="B71" s="195" t="str">
        <f t="shared" si="7"/>
        <v/>
      </c>
      <c r="C71" s="507">
        <f>IF(D11="","-",+C70+1)</f>
        <v>2070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15"/>
        <v>0</v>
      </c>
      <c r="G71" s="526">
        <f t="shared" si="18"/>
        <v>0</v>
      </c>
      <c r="H71" s="491">
        <f t="shared" si="19"/>
        <v>0</v>
      </c>
      <c r="I71" s="511">
        <f t="shared" si="0"/>
        <v>0</v>
      </c>
      <c r="J71" s="511"/>
      <c r="K71" s="525"/>
      <c r="L71" s="514">
        <f t="shared" si="2"/>
        <v>0</v>
      </c>
      <c r="M71" s="525"/>
      <c r="N71" s="514">
        <f t="shared" si="4"/>
        <v>0</v>
      </c>
      <c r="O71" s="514">
        <f t="shared" si="5"/>
        <v>0</v>
      </c>
      <c r="P71" s="272"/>
    </row>
    <row r="72" spans="2:16" ht="13.5" thickBot="1">
      <c r="B72" s="195" t="str">
        <f t="shared" si="7"/>
        <v/>
      </c>
      <c r="C72" s="527">
        <f>IF(D11="","-",+C71+1)</f>
        <v>2071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15"/>
        <v>0</v>
      </c>
      <c r="G72" s="530">
        <f t="shared" si="18"/>
        <v>0</v>
      </c>
      <c r="H72" s="471">
        <f t="shared" si="19"/>
        <v>0</v>
      </c>
      <c r="I72" s="531">
        <f t="shared" si="0"/>
        <v>0</v>
      </c>
      <c r="J72" s="511"/>
      <c r="K72" s="532"/>
      <c r="L72" s="533">
        <f t="shared" si="2"/>
        <v>0</v>
      </c>
      <c r="M72" s="532"/>
      <c r="N72" s="533">
        <f t="shared" si="4"/>
        <v>0</v>
      </c>
      <c r="O72" s="533">
        <f t="shared" si="5"/>
        <v>0</v>
      </c>
      <c r="P72" s="272"/>
    </row>
    <row r="73" spans="2:16">
      <c r="C73" s="374" t="s">
        <v>78</v>
      </c>
      <c r="D73" s="375"/>
      <c r="E73" s="375">
        <f>SUM(E17:E72)</f>
        <v>1231360.5099999998</v>
      </c>
      <c r="F73" s="375"/>
      <c r="G73" s="375">
        <f>SUM(G17:G72)</f>
        <v>4482353.6282572541</v>
      </c>
      <c r="H73" s="375">
        <f>SUM(H17:H72)</f>
        <v>4482353.6282572541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2:16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2:16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2:16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2:16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272"/>
      <c r="P77" s="272"/>
    </row>
    <row r="78" spans="2:16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2:16"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  <c r="O79" s="269"/>
      <c r="P79" s="269"/>
    </row>
    <row r="80" spans="2:16" ht="18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6">
      <c r="B81" s="269"/>
      <c r="C81" s="340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6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</row>
    <row r="83" spans="1:16" ht="20.25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451" t="str">
        <f ca="1">P1</f>
        <v>SWEPCO Project 57 of 75</v>
      </c>
    </row>
    <row r="84" spans="1:16" ht="18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538" t="s">
        <v>128</v>
      </c>
    </row>
    <row r="85" spans="1:16" ht="18.7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</row>
    <row r="86" spans="1:16" ht="15.75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2022</v>
      </c>
      <c r="M86" s="541" t="s">
        <v>9</v>
      </c>
      <c r="N86" s="542" t="s">
        <v>159</v>
      </c>
      <c r="O86" s="543" t="s">
        <v>11</v>
      </c>
      <c r="P86" s="269"/>
    </row>
    <row r="87" spans="1:16" ht="1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391</v>
      </c>
      <c r="M87" s="546">
        <f>IF(J92&lt;D11,0,VLOOKUP(J92,C17:O72,9))</f>
        <v>147960.06581049709</v>
      </c>
      <c r="N87" s="546">
        <f>IF(J92&lt;D11,0,VLOOKUP(J92,C17:O72,11))</f>
        <v>147960.06581049709</v>
      </c>
      <c r="O87" s="547">
        <f>+N87-M87</f>
        <v>0</v>
      </c>
      <c r="P87" s="269"/>
    </row>
    <row r="88" spans="1:16" ht="15.7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392</v>
      </c>
      <c r="M88" s="550">
        <f>IF(J92&lt;D11,0,VLOOKUP(J92,C99:P154,6))</f>
        <v>152765.72668920556</v>
      </c>
      <c r="N88" s="550">
        <f>IF(J92&lt;D11,0,VLOOKUP(J92,C99:P154,7))</f>
        <v>152765.72668920556</v>
      </c>
      <c r="O88" s="551">
        <f>+N88-M88</f>
        <v>0</v>
      </c>
      <c r="P88" s="269"/>
    </row>
    <row r="89" spans="1:16" ht="13.5" thickBot="1">
      <c r="C89" s="467" t="s">
        <v>84</v>
      </c>
      <c r="D89" s="552" t="str">
        <f>+D7</f>
        <v>Winnsboro 138 kw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4805.6608787084697</v>
      </c>
      <c r="N89" s="555">
        <f>+N88-N87</f>
        <v>4805.6608787084697</v>
      </c>
      <c r="O89" s="556">
        <f>+O88-O87</f>
        <v>0</v>
      </c>
      <c r="P89" s="269"/>
    </row>
    <row r="90" spans="1:16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</row>
    <row r="91" spans="1:16" ht="13.5" thickBot="1">
      <c r="A91" s="191"/>
      <c r="C91" s="558" t="s">
        <v>85</v>
      </c>
      <c r="D91" s="559" t="str">
        <f>+D9</f>
        <v>TP2013122</v>
      </c>
      <c r="E91" s="560"/>
      <c r="F91" s="560"/>
      <c r="G91" s="560"/>
      <c r="H91" s="560"/>
      <c r="I91" s="560"/>
      <c r="J91" s="560"/>
      <c r="K91" s="562"/>
      <c r="P91" s="481"/>
    </row>
    <row r="92" spans="1:16">
      <c r="C92" s="486" t="s">
        <v>51</v>
      </c>
      <c r="D92" s="483">
        <v>1231361</v>
      </c>
      <c r="E92" s="340" t="s">
        <v>86</v>
      </c>
      <c r="H92" s="484"/>
      <c r="I92" s="484"/>
      <c r="J92" s="485">
        <f>+'SWE.WS.G.BPU.ATRR.True-up'!M16</f>
        <v>2022</v>
      </c>
      <c r="K92" s="480"/>
      <c r="L92" s="375" t="s">
        <v>87</v>
      </c>
      <c r="P92" s="272"/>
    </row>
    <row r="93" spans="1:16">
      <c r="C93" s="486" t="s">
        <v>54</v>
      </c>
      <c r="D93" s="563">
        <f>IF(D11=I10,"",D11)</f>
        <v>2016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</row>
    <row r="94" spans="1:16">
      <c r="C94" s="486" t="s">
        <v>56</v>
      </c>
      <c r="D94" s="564">
        <f>IF(D11=I10,"",D12)</f>
        <v>4</v>
      </c>
      <c r="E94" s="486" t="s">
        <v>57</v>
      </c>
      <c r="F94" s="484"/>
      <c r="G94" s="484"/>
      <c r="J94" s="490">
        <f>'SWE.WS.G.BPU.ATRR.True-up'!$F$81</f>
        <v>0.11351422637179906</v>
      </c>
      <c r="K94" s="425"/>
      <c r="L94" s="183" t="s">
        <v>88</v>
      </c>
      <c r="P94" s="272"/>
    </row>
    <row r="95" spans="1:16">
      <c r="C95" s="486" t="s">
        <v>59</v>
      </c>
      <c r="D95" s="488">
        <f>'SWE.WS.G.BPU.ATRR.True-up'!F$93</f>
        <v>41</v>
      </c>
      <c r="E95" s="486" t="s">
        <v>60</v>
      </c>
      <c r="F95" s="484"/>
      <c r="G95" s="484"/>
      <c r="J95" s="490">
        <f>IF(H87="",J94,'SWE.WS.G.BPU.ATRR.True-up'!$F$80)</f>
        <v>0.11351422637179906</v>
      </c>
      <c r="K95" s="324"/>
      <c r="L95" s="375" t="s">
        <v>61</v>
      </c>
      <c r="M95" s="324"/>
      <c r="N95" s="324"/>
      <c r="O95" s="324"/>
      <c r="P95" s="272"/>
    </row>
    <row r="96" spans="1:16" ht="13.5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30033.195121951219</v>
      </c>
      <c r="K96" s="375"/>
      <c r="L96" s="375"/>
      <c r="M96" s="375"/>
      <c r="N96" s="375"/>
      <c r="O96" s="375"/>
      <c r="P96" s="272"/>
    </row>
    <row r="97" spans="1:16" ht="38.25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388</v>
      </c>
      <c r="I97" s="495" t="s">
        <v>389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</row>
    <row r="98" spans="1:16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602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</row>
    <row r="99" spans="1:16">
      <c r="C99" s="507">
        <f>IF(D93= "","-",D93)</f>
        <v>2016</v>
      </c>
      <c r="D99" s="649">
        <v>0</v>
      </c>
      <c r="E99" s="650">
        <v>19083.069767441859</v>
      </c>
      <c r="F99" s="651">
        <v>1211774.9302325582</v>
      </c>
      <c r="G99" s="652">
        <v>605887.46511627908</v>
      </c>
      <c r="H99" s="653">
        <v>96000.47636801879</v>
      </c>
      <c r="I99" s="654">
        <v>96000.47636801879</v>
      </c>
      <c r="J99" s="514">
        <f t="shared" ref="J99:J130" si="20">+I99-H99</f>
        <v>0</v>
      </c>
      <c r="K99" s="514"/>
      <c r="L99" s="512">
        <f t="shared" ref="L99:L104" si="21">+H99</f>
        <v>96000.47636801879</v>
      </c>
      <c r="M99" s="513">
        <f t="shared" ref="M99:M130" si="22">IF(L99&lt;&gt;0,+H99-L99,0)</f>
        <v>0</v>
      </c>
      <c r="N99" s="512">
        <f t="shared" ref="N99:N104" si="23">+I99</f>
        <v>96000.47636801879</v>
      </c>
      <c r="O99" s="513">
        <f t="shared" ref="O99:O130" si="24">IF(N99&lt;&gt;0,+I99-N99,0)</f>
        <v>0</v>
      </c>
      <c r="P99" s="513">
        <f t="shared" ref="P99:P130" si="25">+O99-M99</f>
        <v>0</v>
      </c>
    </row>
    <row r="100" spans="1:16">
      <c r="B100" s="195" t="str">
        <f>IF(D100=F99,"","IU")</f>
        <v>IU</v>
      </c>
      <c r="C100" s="507">
        <f>IF(D93="","-",+C99+1)</f>
        <v>2017</v>
      </c>
      <c r="D100" s="629">
        <v>1212277.9302325582</v>
      </c>
      <c r="E100" s="630">
        <v>29318.119047619046</v>
      </c>
      <c r="F100" s="631">
        <v>1182959.8111849392</v>
      </c>
      <c r="G100" s="631">
        <v>1197618.8707087487</v>
      </c>
      <c r="H100" s="633">
        <v>174794.62902245519</v>
      </c>
      <c r="I100" s="634">
        <v>174794.62902245519</v>
      </c>
      <c r="J100" s="514">
        <f t="shared" si="20"/>
        <v>0</v>
      </c>
      <c r="K100" s="514"/>
      <c r="L100" s="655">
        <f t="shared" si="21"/>
        <v>174794.62902245519</v>
      </c>
      <c r="M100" s="514">
        <f t="shared" si="22"/>
        <v>0</v>
      </c>
      <c r="N100" s="655">
        <f t="shared" si="23"/>
        <v>174794.62902245519</v>
      </c>
      <c r="O100" s="514">
        <f t="shared" si="24"/>
        <v>0</v>
      </c>
      <c r="P100" s="514">
        <f t="shared" si="25"/>
        <v>0</v>
      </c>
    </row>
    <row r="101" spans="1:16">
      <c r="B101" s="195" t="str">
        <f t="shared" ref="B101:B154" si="26">IF(D101=F100,"","IU")</f>
        <v/>
      </c>
      <c r="C101" s="507">
        <f>IF(D93="","-",+C100+1)</f>
        <v>2018</v>
      </c>
      <c r="D101" s="629">
        <v>1182959.8111849392</v>
      </c>
      <c r="E101" s="630">
        <v>29318.119047619046</v>
      </c>
      <c r="F101" s="631">
        <v>1153641.6921373203</v>
      </c>
      <c r="G101" s="631">
        <v>1168300.7516611298</v>
      </c>
      <c r="H101" s="633">
        <v>152696.03603974119</v>
      </c>
      <c r="I101" s="634">
        <v>152696.03603974119</v>
      </c>
      <c r="J101" s="514">
        <f t="shared" si="20"/>
        <v>0</v>
      </c>
      <c r="K101" s="514"/>
      <c r="L101" s="655">
        <f t="shared" si="21"/>
        <v>152696.03603974119</v>
      </c>
      <c r="M101" s="514">
        <f t="shared" ref="M101" si="27">IF(L101&lt;&gt;0,+H101-L101,0)</f>
        <v>0</v>
      </c>
      <c r="N101" s="655">
        <f t="shared" si="23"/>
        <v>152696.03603974119</v>
      </c>
      <c r="O101" s="514">
        <f t="shared" ref="O101" si="28">IF(N101&lt;&gt;0,+I101-N101,0)</f>
        <v>0</v>
      </c>
      <c r="P101" s="514">
        <f t="shared" ref="P101" si="29">+O101-M101</f>
        <v>0</v>
      </c>
    </row>
    <row r="102" spans="1:16">
      <c r="B102" s="195" t="str">
        <f t="shared" si="26"/>
        <v/>
      </c>
      <c r="C102" s="507">
        <f>IF(D93="","-",+C101+1)</f>
        <v>2019</v>
      </c>
      <c r="D102" s="629">
        <v>1153641.6921373203</v>
      </c>
      <c r="E102" s="630">
        <v>28636.302325581397</v>
      </c>
      <c r="F102" s="631">
        <v>1125005.3898117389</v>
      </c>
      <c r="G102" s="631">
        <v>1139323.5409745295</v>
      </c>
      <c r="H102" s="633">
        <v>150590.11683973201</v>
      </c>
      <c r="I102" s="634">
        <v>150590.11683973201</v>
      </c>
      <c r="J102" s="514">
        <f t="shared" si="20"/>
        <v>0</v>
      </c>
      <c r="K102" s="514"/>
      <c r="L102" s="655">
        <f t="shared" si="21"/>
        <v>150590.11683973201</v>
      </c>
      <c r="M102" s="514">
        <f t="shared" ref="M102:M103" si="30">IF(L102&lt;&gt;0,+H102-L102,0)</f>
        <v>0</v>
      </c>
      <c r="N102" s="655">
        <f t="shared" si="23"/>
        <v>150590.11683973201</v>
      </c>
      <c r="O102" s="514">
        <f t="shared" si="24"/>
        <v>0</v>
      </c>
      <c r="P102" s="514">
        <f t="shared" si="25"/>
        <v>0</v>
      </c>
    </row>
    <row r="103" spans="1:16">
      <c r="B103" s="195" t="str">
        <f t="shared" si="26"/>
        <v/>
      </c>
      <c r="C103" s="507">
        <f>IF(D93="","-",+C102+1)</f>
        <v>2020</v>
      </c>
      <c r="D103" s="629">
        <v>1125005.3898117389</v>
      </c>
      <c r="E103" s="630">
        <v>29318.119047619046</v>
      </c>
      <c r="F103" s="631">
        <v>1095687.2707641199</v>
      </c>
      <c r="G103" s="631">
        <v>1110346.3302879294</v>
      </c>
      <c r="H103" s="633">
        <v>148762.32919982137</v>
      </c>
      <c r="I103" s="634">
        <v>148762.32919982137</v>
      </c>
      <c r="J103" s="514">
        <f t="shared" si="20"/>
        <v>0</v>
      </c>
      <c r="K103" s="514"/>
      <c r="L103" s="655">
        <f t="shared" si="21"/>
        <v>148762.32919982137</v>
      </c>
      <c r="M103" s="514">
        <f t="shared" si="30"/>
        <v>0</v>
      </c>
      <c r="N103" s="655">
        <f t="shared" si="23"/>
        <v>148762.32919982137</v>
      </c>
      <c r="O103" s="514">
        <f t="shared" si="24"/>
        <v>0</v>
      </c>
      <c r="P103" s="514">
        <f t="shared" si="25"/>
        <v>0</v>
      </c>
    </row>
    <row r="104" spans="1:16">
      <c r="B104" s="195" t="str">
        <f t="shared" si="26"/>
        <v/>
      </c>
      <c r="C104" s="507">
        <f>IF(D93="","-",+C103+1)</f>
        <v>2021</v>
      </c>
      <c r="D104" s="629">
        <v>1095687.2707641199</v>
      </c>
      <c r="E104" s="630">
        <v>30033.195121951219</v>
      </c>
      <c r="F104" s="631">
        <v>1065654.0756421688</v>
      </c>
      <c r="G104" s="631">
        <v>1080670.6732031442</v>
      </c>
      <c r="H104" s="633">
        <v>152704.69055329741</v>
      </c>
      <c r="I104" s="634">
        <v>152704.69055329741</v>
      </c>
      <c r="J104" s="514">
        <f t="shared" si="20"/>
        <v>0</v>
      </c>
      <c r="K104" s="514"/>
      <c r="L104" s="655">
        <f t="shared" si="21"/>
        <v>152704.69055329741</v>
      </c>
      <c r="M104" s="514">
        <f t="shared" ref="M104" si="31">IF(L104&lt;&gt;0,+H104-L104,0)</f>
        <v>0</v>
      </c>
      <c r="N104" s="655">
        <f t="shared" si="23"/>
        <v>152704.69055329741</v>
      </c>
      <c r="O104" s="514">
        <f t="shared" ref="O104" si="32">IF(N104&lt;&gt;0,+I104-N104,0)</f>
        <v>0</v>
      </c>
      <c r="P104" s="514">
        <f t="shared" ref="P104" si="33">+O104-M104</f>
        <v>0</v>
      </c>
    </row>
    <row r="105" spans="1:16">
      <c r="B105" s="195" t="str">
        <f t="shared" si="26"/>
        <v/>
      </c>
      <c r="C105" s="673">
        <f>IF(D93="","-",+C104+1)</f>
        <v>2022</v>
      </c>
      <c r="D105" s="374">
        <v>1065654.0756421688</v>
      </c>
      <c r="E105" s="522">
        <v>29318.119047619046</v>
      </c>
      <c r="F105" s="523">
        <v>1036335.9565945497</v>
      </c>
      <c r="G105" s="523">
        <v>1050995.0161183593</v>
      </c>
      <c r="H105" s="526">
        <v>152765.72668920556</v>
      </c>
      <c r="I105" s="577">
        <v>152765.72668920556</v>
      </c>
      <c r="J105" s="514">
        <f t="shared" si="20"/>
        <v>0</v>
      </c>
      <c r="K105" s="514"/>
      <c r="L105" s="525"/>
      <c r="M105" s="514">
        <f t="shared" si="22"/>
        <v>0</v>
      </c>
      <c r="N105" s="525"/>
      <c r="O105" s="514">
        <f t="shared" si="24"/>
        <v>0</v>
      </c>
      <c r="P105" s="514">
        <f t="shared" si="25"/>
        <v>0</v>
      </c>
    </row>
    <row r="106" spans="1:16">
      <c r="B106" s="195" t="str">
        <f t="shared" si="26"/>
        <v/>
      </c>
      <c r="C106" s="507">
        <f>IF(D93="","-",+C105+1)</f>
        <v>2023</v>
      </c>
      <c r="D106" s="374">
        <f>IF(F105+SUM(E$99:E105)=D$92,F105,D$92-SUM(E$99:E105))</f>
        <v>1036335.9565945497</v>
      </c>
      <c r="E106" s="522">
        <f>IF(+J96&lt;F105,J96,D106)</f>
        <v>30033.195121951219</v>
      </c>
      <c r="F106" s="523">
        <f t="shared" ref="F106:F130" si="34">+D106-E106</f>
        <v>1006302.7614725985</v>
      </c>
      <c r="G106" s="523">
        <f t="shared" ref="G106:G130" si="35">+(F106+D106)/2</f>
        <v>1021319.3590335741</v>
      </c>
      <c r="H106" s="526">
        <f t="shared" ref="H106:H154" si="36">+J$94*G106+E106</f>
        <v>145967.47204118906</v>
      </c>
      <c r="I106" s="577">
        <f t="shared" ref="I106:I154" si="37">+J$95*G106+E106</f>
        <v>145967.47204118906</v>
      </c>
      <c r="J106" s="514">
        <f t="shared" si="20"/>
        <v>0</v>
      </c>
      <c r="K106" s="514"/>
      <c r="L106" s="525"/>
      <c r="M106" s="514">
        <f t="shared" si="22"/>
        <v>0</v>
      </c>
      <c r="N106" s="525"/>
      <c r="O106" s="514">
        <f t="shared" si="24"/>
        <v>0</v>
      </c>
      <c r="P106" s="514">
        <f t="shared" si="25"/>
        <v>0</v>
      </c>
    </row>
    <row r="107" spans="1:16">
      <c r="B107" s="195" t="str">
        <f t="shared" si="26"/>
        <v/>
      </c>
      <c r="C107" s="507">
        <f>IF(D93="","-",+C106+1)</f>
        <v>2024</v>
      </c>
      <c r="D107" s="374">
        <f>IF(F106+SUM(E$99:E106)=D$92,F106,D$92-SUM(E$99:E106))</f>
        <v>1006302.7614725985</v>
      </c>
      <c r="E107" s="522">
        <f>IF(+J96&lt;F106,J96,D107)</f>
        <v>30033.195121951219</v>
      </c>
      <c r="F107" s="523">
        <f t="shared" si="34"/>
        <v>976269.56635064736</v>
      </c>
      <c r="G107" s="523">
        <f t="shared" si="35"/>
        <v>991286.16391162295</v>
      </c>
      <c r="H107" s="526">
        <f t="shared" si="36"/>
        <v>142558.27713144748</v>
      </c>
      <c r="I107" s="577">
        <f t="shared" si="37"/>
        <v>142558.27713144748</v>
      </c>
      <c r="J107" s="514">
        <f t="shared" si="20"/>
        <v>0</v>
      </c>
      <c r="K107" s="514"/>
      <c r="L107" s="525"/>
      <c r="M107" s="514">
        <f t="shared" si="22"/>
        <v>0</v>
      </c>
      <c r="N107" s="525"/>
      <c r="O107" s="514">
        <f t="shared" si="24"/>
        <v>0</v>
      </c>
      <c r="P107" s="514">
        <f t="shared" si="25"/>
        <v>0</v>
      </c>
    </row>
    <row r="108" spans="1:16">
      <c r="B108" s="195" t="str">
        <f t="shared" si="26"/>
        <v/>
      </c>
      <c r="C108" s="507">
        <f>IF(D93="","-",+C107+1)</f>
        <v>2025</v>
      </c>
      <c r="D108" s="374">
        <f>IF(F107+SUM(E$99:E107)=D$92,F107,D$92-SUM(E$99:E107))</f>
        <v>976269.56635064736</v>
      </c>
      <c r="E108" s="522">
        <f>IF(+J96&lt;F107,J96,D108)</f>
        <v>30033.195121951219</v>
      </c>
      <c r="F108" s="523">
        <f t="shared" si="34"/>
        <v>946236.3712286962</v>
      </c>
      <c r="G108" s="523">
        <f t="shared" si="35"/>
        <v>961252.96878967178</v>
      </c>
      <c r="H108" s="526">
        <f t="shared" si="36"/>
        <v>139149.08222170593</v>
      </c>
      <c r="I108" s="577">
        <f t="shared" si="37"/>
        <v>139149.08222170593</v>
      </c>
      <c r="J108" s="514">
        <f t="shared" si="20"/>
        <v>0</v>
      </c>
      <c r="K108" s="514"/>
      <c r="L108" s="525"/>
      <c r="M108" s="514">
        <f t="shared" si="22"/>
        <v>0</v>
      </c>
      <c r="N108" s="525"/>
      <c r="O108" s="514">
        <f t="shared" si="24"/>
        <v>0</v>
      </c>
      <c r="P108" s="514">
        <f t="shared" si="25"/>
        <v>0</v>
      </c>
    </row>
    <row r="109" spans="1:16">
      <c r="B109" s="195" t="str">
        <f t="shared" si="26"/>
        <v/>
      </c>
      <c r="C109" s="507">
        <f>IF(D93="","-",+C108+1)</f>
        <v>2026</v>
      </c>
      <c r="D109" s="374">
        <f>IF(F108+SUM(E$99:E108)=D$92,F108,D$92-SUM(E$99:E108))</f>
        <v>946236.3712286962</v>
      </c>
      <c r="E109" s="522">
        <f>IF(+J96&lt;F108,J96,D109)</f>
        <v>30033.195121951219</v>
      </c>
      <c r="F109" s="523">
        <f t="shared" si="34"/>
        <v>916203.17610674503</v>
      </c>
      <c r="G109" s="523">
        <f t="shared" si="35"/>
        <v>931219.77366772061</v>
      </c>
      <c r="H109" s="526">
        <f t="shared" si="36"/>
        <v>135739.88731196435</v>
      </c>
      <c r="I109" s="577">
        <f t="shared" si="37"/>
        <v>135739.88731196435</v>
      </c>
      <c r="J109" s="514">
        <f t="shared" si="20"/>
        <v>0</v>
      </c>
      <c r="K109" s="514"/>
      <c r="L109" s="525"/>
      <c r="M109" s="514">
        <f t="shared" si="22"/>
        <v>0</v>
      </c>
      <c r="N109" s="525"/>
      <c r="O109" s="514">
        <f t="shared" si="24"/>
        <v>0</v>
      </c>
      <c r="P109" s="514">
        <f t="shared" si="25"/>
        <v>0</v>
      </c>
    </row>
    <row r="110" spans="1:16">
      <c r="B110" s="195" t="str">
        <f t="shared" si="26"/>
        <v/>
      </c>
      <c r="C110" s="507">
        <f>IF(D93="","-",+C109+1)</f>
        <v>2027</v>
      </c>
      <c r="D110" s="374">
        <f>IF(F109+SUM(E$99:E109)=D$92,F109,D$92-SUM(E$99:E109))</f>
        <v>916203.17610674503</v>
      </c>
      <c r="E110" s="522">
        <f>IF(+J96&lt;F109,J96,D110)</f>
        <v>30033.195121951219</v>
      </c>
      <c r="F110" s="523">
        <f t="shared" si="34"/>
        <v>886169.98098479386</v>
      </c>
      <c r="G110" s="523">
        <f t="shared" si="35"/>
        <v>901186.57854576944</v>
      </c>
      <c r="H110" s="526">
        <f t="shared" si="36"/>
        <v>132330.69240222278</v>
      </c>
      <c r="I110" s="577">
        <f t="shared" si="37"/>
        <v>132330.69240222278</v>
      </c>
      <c r="J110" s="514">
        <f t="shared" si="20"/>
        <v>0</v>
      </c>
      <c r="K110" s="514"/>
      <c r="L110" s="525"/>
      <c r="M110" s="514">
        <f t="shared" si="22"/>
        <v>0</v>
      </c>
      <c r="N110" s="525"/>
      <c r="O110" s="514">
        <f t="shared" si="24"/>
        <v>0</v>
      </c>
      <c r="P110" s="514">
        <f t="shared" si="25"/>
        <v>0</v>
      </c>
    </row>
    <row r="111" spans="1:16">
      <c r="B111" s="195" t="str">
        <f t="shared" si="26"/>
        <v/>
      </c>
      <c r="C111" s="507">
        <f>IF(D93="","-",+C110+1)</f>
        <v>2028</v>
      </c>
      <c r="D111" s="374">
        <f>IF(F110+SUM(E$99:E110)=D$92,F110,D$92-SUM(E$99:E110))</f>
        <v>886169.98098479386</v>
      </c>
      <c r="E111" s="522">
        <f>IF(+J96&lt;F110,J96,D111)</f>
        <v>30033.195121951219</v>
      </c>
      <c r="F111" s="523">
        <f t="shared" si="34"/>
        <v>856136.78586284269</v>
      </c>
      <c r="G111" s="523">
        <f t="shared" si="35"/>
        <v>871153.38342381828</v>
      </c>
      <c r="H111" s="526">
        <f t="shared" si="36"/>
        <v>128921.4974924812</v>
      </c>
      <c r="I111" s="577">
        <f t="shared" si="37"/>
        <v>128921.4974924812</v>
      </c>
      <c r="J111" s="514">
        <f t="shared" si="20"/>
        <v>0</v>
      </c>
      <c r="K111" s="514"/>
      <c r="L111" s="525"/>
      <c r="M111" s="514">
        <f t="shared" si="22"/>
        <v>0</v>
      </c>
      <c r="N111" s="525"/>
      <c r="O111" s="514">
        <f t="shared" si="24"/>
        <v>0</v>
      </c>
      <c r="P111" s="514">
        <f t="shared" si="25"/>
        <v>0</v>
      </c>
    </row>
    <row r="112" spans="1:16">
      <c r="B112" s="195" t="str">
        <f t="shared" si="26"/>
        <v/>
      </c>
      <c r="C112" s="507">
        <f>IF(D93="","-",+C111+1)</f>
        <v>2029</v>
      </c>
      <c r="D112" s="374">
        <f>IF(F111+SUM(E$99:E111)=D$92,F111,D$92-SUM(E$99:E111))</f>
        <v>856136.78586284269</v>
      </c>
      <c r="E112" s="522">
        <f>IF(+J96&lt;F111,J96,D112)</f>
        <v>30033.195121951219</v>
      </c>
      <c r="F112" s="523">
        <f t="shared" si="34"/>
        <v>826103.59074089152</v>
      </c>
      <c r="G112" s="523">
        <f t="shared" si="35"/>
        <v>841120.18830186711</v>
      </c>
      <c r="H112" s="526">
        <f t="shared" si="36"/>
        <v>125512.30258273962</v>
      </c>
      <c r="I112" s="577">
        <f t="shared" si="37"/>
        <v>125512.30258273962</v>
      </c>
      <c r="J112" s="514">
        <f t="shared" si="20"/>
        <v>0</v>
      </c>
      <c r="K112" s="514"/>
      <c r="L112" s="525"/>
      <c r="M112" s="514">
        <f t="shared" si="22"/>
        <v>0</v>
      </c>
      <c r="N112" s="525"/>
      <c r="O112" s="514">
        <f t="shared" si="24"/>
        <v>0</v>
      </c>
      <c r="P112" s="514">
        <f t="shared" si="25"/>
        <v>0</v>
      </c>
    </row>
    <row r="113" spans="2:16">
      <c r="B113" s="195" t="str">
        <f t="shared" si="26"/>
        <v/>
      </c>
      <c r="C113" s="507">
        <f>IF(D93="","-",+C112+1)</f>
        <v>2030</v>
      </c>
      <c r="D113" s="374">
        <f>IF(F112+SUM(E$99:E112)=D$92,F112,D$92-SUM(E$99:E112))</f>
        <v>826103.59074089152</v>
      </c>
      <c r="E113" s="522">
        <f>IF(+J96&lt;F112,J96,D113)</f>
        <v>30033.195121951219</v>
      </c>
      <c r="F113" s="523">
        <f t="shared" si="34"/>
        <v>796070.39561894035</v>
      </c>
      <c r="G113" s="523">
        <f t="shared" si="35"/>
        <v>811086.99317991594</v>
      </c>
      <c r="H113" s="526">
        <f t="shared" si="36"/>
        <v>122103.10767299804</v>
      </c>
      <c r="I113" s="577">
        <f t="shared" si="37"/>
        <v>122103.10767299804</v>
      </c>
      <c r="J113" s="514">
        <f t="shared" si="20"/>
        <v>0</v>
      </c>
      <c r="K113" s="514"/>
      <c r="L113" s="525"/>
      <c r="M113" s="514">
        <f t="shared" si="22"/>
        <v>0</v>
      </c>
      <c r="N113" s="525"/>
      <c r="O113" s="514">
        <f t="shared" si="24"/>
        <v>0</v>
      </c>
      <c r="P113" s="514">
        <f t="shared" si="25"/>
        <v>0</v>
      </c>
    </row>
    <row r="114" spans="2:16">
      <c r="B114" s="195" t="str">
        <f t="shared" si="26"/>
        <v/>
      </c>
      <c r="C114" s="507">
        <f>IF(D93="","-",+C113+1)</f>
        <v>2031</v>
      </c>
      <c r="D114" s="374">
        <f>IF(F113+SUM(E$99:E113)=D$92,F113,D$92-SUM(E$99:E113))</f>
        <v>796070.39561894035</v>
      </c>
      <c r="E114" s="522">
        <f>IF(+J96&lt;F113,J96,D114)</f>
        <v>30033.195121951219</v>
      </c>
      <c r="F114" s="523">
        <f t="shared" si="34"/>
        <v>766037.20049698919</v>
      </c>
      <c r="G114" s="523">
        <f t="shared" si="35"/>
        <v>781053.79805796477</v>
      </c>
      <c r="H114" s="526">
        <f t="shared" si="36"/>
        <v>118693.91276325646</v>
      </c>
      <c r="I114" s="577">
        <f t="shared" si="37"/>
        <v>118693.91276325646</v>
      </c>
      <c r="J114" s="514">
        <f t="shared" si="20"/>
        <v>0</v>
      </c>
      <c r="K114" s="514"/>
      <c r="L114" s="525"/>
      <c r="M114" s="514">
        <f t="shared" si="22"/>
        <v>0</v>
      </c>
      <c r="N114" s="525"/>
      <c r="O114" s="514">
        <f t="shared" si="24"/>
        <v>0</v>
      </c>
      <c r="P114" s="514">
        <f t="shared" si="25"/>
        <v>0</v>
      </c>
    </row>
    <row r="115" spans="2:16">
      <c r="B115" s="195" t="str">
        <f t="shared" si="26"/>
        <v/>
      </c>
      <c r="C115" s="507">
        <f>IF(D93="","-",+C114+1)</f>
        <v>2032</v>
      </c>
      <c r="D115" s="374">
        <f>IF(F114+SUM(E$99:E114)=D$92,F114,D$92-SUM(E$99:E114))</f>
        <v>766037.20049698919</v>
      </c>
      <c r="E115" s="522">
        <f>IF(+J96&lt;F114,J96,D115)</f>
        <v>30033.195121951219</v>
      </c>
      <c r="F115" s="523">
        <f t="shared" si="34"/>
        <v>736004.00537503802</v>
      </c>
      <c r="G115" s="523">
        <f t="shared" si="35"/>
        <v>751020.6029360136</v>
      </c>
      <c r="H115" s="526">
        <f t="shared" si="36"/>
        <v>115284.71785351489</v>
      </c>
      <c r="I115" s="577">
        <f t="shared" si="37"/>
        <v>115284.71785351489</v>
      </c>
      <c r="J115" s="514">
        <f t="shared" si="20"/>
        <v>0</v>
      </c>
      <c r="K115" s="514"/>
      <c r="L115" s="525"/>
      <c r="M115" s="514">
        <f t="shared" si="22"/>
        <v>0</v>
      </c>
      <c r="N115" s="525"/>
      <c r="O115" s="514">
        <f t="shared" si="24"/>
        <v>0</v>
      </c>
      <c r="P115" s="514">
        <f t="shared" si="25"/>
        <v>0</v>
      </c>
    </row>
    <row r="116" spans="2:16">
      <c r="B116" s="195" t="str">
        <f t="shared" si="26"/>
        <v/>
      </c>
      <c r="C116" s="507">
        <f>IF(D93="","-",+C115+1)</f>
        <v>2033</v>
      </c>
      <c r="D116" s="374">
        <f>IF(F115+SUM(E$99:E115)=D$92,F115,D$92-SUM(E$99:E115))</f>
        <v>736004.00537503802</v>
      </c>
      <c r="E116" s="522">
        <f>IF(+J96&lt;F115,J96,D116)</f>
        <v>30033.195121951219</v>
      </c>
      <c r="F116" s="523">
        <f t="shared" si="34"/>
        <v>705970.81025308685</v>
      </c>
      <c r="G116" s="523">
        <f t="shared" si="35"/>
        <v>720987.40781406243</v>
      </c>
      <c r="H116" s="526">
        <f t="shared" si="36"/>
        <v>111875.52294377331</v>
      </c>
      <c r="I116" s="577">
        <f t="shared" si="37"/>
        <v>111875.52294377331</v>
      </c>
      <c r="J116" s="514">
        <f t="shared" si="20"/>
        <v>0</v>
      </c>
      <c r="K116" s="514"/>
      <c r="L116" s="525"/>
      <c r="M116" s="514">
        <f t="shared" si="22"/>
        <v>0</v>
      </c>
      <c r="N116" s="525"/>
      <c r="O116" s="514">
        <f t="shared" si="24"/>
        <v>0</v>
      </c>
      <c r="P116" s="514">
        <f t="shared" si="25"/>
        <v>0</v>
      </c>
    </row>
    <row r="117" spans="2:16">
      <c r="B117" s="195" t="str">
        <f t="shared" si="26"/>
        <v/>
      </c>
      <c r="C117" s="507">
        <f>IF(D93="","-",+C116+1)</f>
        <v>2034</v>
      </c>
      <c r="D117" s="374">
        <f>IF(F116+SUM(E$99:E116)=D$92,F116,D$92-SUM(E$99:E116))</f>
        <v>705970.81025308685</v>
      </c>
      <c r="E117" s="522">
        <f>IF(+J96&lt;F116,J96,D117)</f>
        <v>30033.195121951219</v>
      </c>
      <c r="F117" s="523">
        <f t="shared" si="34"/>
        <v>675937.61513113568</v>
      </c>
      <c r="G117" s="523">
        <f t="shared" si="35"/>
        <v>690954.21269211126</v>
      </c>
      <c r="H117" s="526">
        <f t="shared" si="36"/>
        <v>108466.32803403173</v>
      </c>
      <c r="I117" s="577">
        <f t="shared" si="37"/>
        <v>108466.32803403173</v>
      </c>
      <c r="J117" s="514">
        <f t="shared" si="20"/>
        <v>0</v>
      </c>
      <c r="K117" s="514"/>
      <c r="L117" s="525"/>
      <c r="M117" s="514">
        <f t="shared" si="22"/>
        <v>0</v>
      </c>
      <c r="N117" s="525"/>
      <c r="O117" s="514">
        <f t="shared" si="24"/>
        <v>0</v>
      </c>
      <c r="P117" s="514">
        <f t="shared" si="25"/>
        <v>0</v>
      </c>
    </row>
    <row r="118" spans="2:16">
      <c r="B118" s="195" t="str">
        <f t="shared" si="26"/>
        <v/>
      </c>
      <c r="C118" s="507">
        <f>IF(D93="","-",+C117+1)</f>
        <v>2035</v>
      </c>
      <c r="D118" s="374">
        <f>IF(F117+SUM(E$99:E117)=D$92,F117,D$92-SUM(E$99:E117))</f>
        <v>675937.61513113568</v>
      </c>
      <c r="E118" s="522">
        <f>IF(+J96&lt;F117,J96,D118)</f>
        <v>30033.195121951219</v>
      </c>
      <c r="F118" s="523">
        <f t="shared" si="34"/>
        <v>645904.42000918451</v>
      </c>
      <c r="G118" s="523">
        <f t="shared" si="35"/>
        <v>660921.0175701601</v>
      </c>
      <c r="H118" s="526">
        <f t="shared" si="36"/>
        <v>105057.13312429015</v>
      </c>
      <c r="I118" s="577">
        <f t="shared" si="37"/>
        <v>105057.13312429015</v>
      </c>
      <c r="J118" s="514">
        <f t="shared" si="20"/>
        <v>0</v>
      </c>
      <c r="K118" s="514"/>
      <c r="L118" s="525"/>
      <c r="M118" s="514">
        <f t="shared" si="22"/>
        <v>0</v>
      </c>
      <c r="N118" s="525"/>
      <c r="O118" s="514">
        <f t="shared" si="24"/>
        <v>0</v>
      </c>
      <c r="P118" s="514">
        <f t="shared" si="25"/>
        <v>0</v>
      </c>
    </row>
    <row r="119" spans="2:16">
      <c r="B119" s="195" t="str">
        <f t="shared" si="26"/>
        <v/>
      </c>
      <c r="C119" s="507">
        <f>IF(D93="","-",+C118+1)</f>
        <v>2036</v>
      </c>
      <c r="D119" s="374">
        <f>IF(F118+SUM(E$99:E118)=D$92,F118,D$92-SUM(E$99:E118))</f>
        <v>645904.42000918451</v>
      </c>
      <c r="E119" s="522">
        <f>IF(+J96&lt;F118,J96,D119)</f>
        <v>30033.195121951219</v>
      </c>
      <c r="F119" s="523">
        <f t="shared" si="34"/>
        <v>615871.22488723334</v>
      </c>
      <c r="G119" s="523">
        <f t="shared" si="35"/>
        <v>630887.82244820893</v>
      </c>
      <c r="H119" s="526">
        <f t="shared" si="36"/>
        <v>101647.93821454857</v>
      </c>
      <c r="I119" s="577">
        <f t="shared" si="37"/>
        <v>101647.93821454857</v>
      </c>
      <c r="J119" s="514">
        <f t="shared" si="20"/>
        <v>0</v>
      </c>
      <c r="K119" s="514"/>
      <c r="L119" s="525"/>
      <c r="M119" s="514">
        <f t="shared" si="22"/>
        <v>0</v>
      </c>
      <c r="N119" s="525"/>
      <c r="O119" s="514">
        <f t="shared" si="24"/>
        <v>0</v>
      </c>
      <c r="P119" s="514">
        <f t="shared" si="25"/>
        <v>0</v>
      </c>
    </row>
    <row r="120" spans="2:16">
      <c r="B120" s="195" t="str">
        <f t="shared" si="26"/>
        <v/>
      </c>
      <c r="C120" s="507">
        <f>IF(D93="","-",+C119+1)</f>
        <v>2037</v>
      </c>
      <c r="D120" s="374">
        <f>IF(F119+SUM(E$99:E119)=D$92,F119,D$92-SUM(E$99:E119))</f>
        <v>615871.22488723334</v>
      </c>
      <c r="E120" s="522">
        <f>IF(+J96&lt;F119,J96,D120)</f>
        <v>30033.195121951219</v>
      </c>
      <c r="F120" s="523">
        <f t="shared" si="34"/>
        <v>585838.02976528218</v>
      </c>
      <c r="G120" s="523">
        <f t="shared" si="35"/>
        <v>600854.62732625776</v>
      </c>
      <c r="H120" s="526">
        <f t="shared" si="36"/>
        <v>98238.743304806994</v>
      </c>
      <c r="I120" s="577">
        <f t="shared" si="37"/>
        <v>98238.743304806994</v>
      </c>
      <c r="J120" s="514">
        <f t="shared" si="20"/>
        <v>0</v>
      </c>
      <c r="K120" s="514"/>
      <c r="L120" s="525"/>
      <c r="M120" s="514">
        <f t="shared" si="22"/>
        <v>0</v>
      </c>
      <c r="N120" s="525"/>
      <c r="O120" s="514">
        <f t="shared" si="24"/>
        <v>0</v>
      </c>
      <c r="P120" s="514">
        <f t="shared" si="25"/>
        <v>0</v>
      </c>
    </row>
    <row r="121" spans="2:16">
      <c r="B121" s="195" t="str">
        <f t="shared" si="26"/>
        <v/>
      </c>
      <c r="C121" s="507">
        <f>IF(D93="","-",+C120+1)</f>
        <v>2038</v>
      </c>
      <c r="D121" s="374">
        <f>IF(F120+SUM(E$99:E120)=D$92,F120,D$92-SUM(E$99:E120))</f>
        <v>585838.02976528218</v>
      </c>
      <c r="E121" s="522">
        <f>IF(+J96&lt;F120,J96,D121)</f>
        <v>30033.195121951219</v>
      </c>
      <c r="F121" s="523">
        <f t="shared" si="34"/>
        <v>555804.83464333101</v>
      </c>
      <c r="G121" s="523">
        <f t="shared" si="35"/>
        <v>570821.43220430659</v>
      </c>
      <c r="H121" s="526">
        <f t="shared" si="36"/>
        <v>94829.548395065431</v>
      </c>
      <c r="I121" s="577">
        <f t="shared" si="37"/>
        <v>94829.548395065431</v>
      </c>
      <c r="J121" s="514">
        <f t="shared" si="20"/>
        <v>0</v>
      </c>
      <c r="K121" s="514"/>
      <c r="L121" s="525"/>
      <c r="M121" s="514">
        <f t="shared" si="22"/>
        <v>0</v>
      </c>
      <c r="N121" s="525"/>
      <c r="O121" s="514">
        <f t="shared" si="24"/>
        <v>0</v>
      </c>
      <c r="P121" s="514">
        <f t="shared" si="25"/>
        <v>0</v>
      </c>
    </row>
    <row r="122" spans="2:16">
      <c r="B122" s="195" t="str">
        <f t="shared" si="26"/>
        <v/>
      </c>
      <c r="C122" s="507">
        <f>IF(D93="","-",+C121+1)</f>
        <v>2039</v>
      </c>
      <c r="D122" s="374">
        <f>IF(F121+SUM(E$99:E121)=D$92,F121,D$92-SUM(E$99:E121))</f>
        <v>555804.83464333101</v>
      </c>
      <c r="E122" s="522">
        <f>IF(+J96&lt;F121,J96,D122)</f>
        <v>30033.195121951219</v>
      </c>
      <c r="F122" s="523">
        <f t="shared" si="34"/>
        <v>525771.63952137984</v>
      </c>
      <c r="G122" s="523">
        <f t="shared" si="35"/>
        <v>540788.23708235542</v>
      </c>
      <c r="H122" s="526">
        <f t="shared" si="36"/>
        <v>91420.353485323853</v>
      </c>
      <c r="I122" s="577">
        <f t="shared" si="37"/>
        <v>91420.353485323853</v>
      </c>
      <c r="J122" s="514">
        <f t="shared" si="20"/>
        <v>0</v>
      </c>
      <c r="K122" s="514"/>
      <c r="L122" s="525"/>
      <c r="M122" s="514">
        <f t="shared" si="22"/>
        <v>0</v>
      </c>
      <c r="N122" s="525"/>
      <c r="O122" s="514">
        <f t="shared" si="24"/>
        <v>0</v>
      </c>
      <c r="P122" s="514">
        <f t="shared" si="25"/>
        <v>0</v>
      </c>
    </row>
    <row r="123" spans="2:16">
      <c r="B123" s="195" t="str">
        <f t="shared" si="26"/>
        <v/>
      </c>
      <c r="C123" s="507">
        <f>IF(D93="","-",+C122+1)</f>
        <v>2040</v>
      </c>
      <c r="D123" s="374">
        <f>IF(F122+SUM(E$99:E122)=D$92,F122,D$92-SUM(E$99:E122))</f>
        <v>525771.63952137984</v>
      </c>
      <c r="E123" s="522">
        <f>IF(+J96&lt;F122,J96,D123)</f>
        <v>30033.195121951219</v>
      </c>
      <c r="F123" s="523">
        <f t="shared" si="34"/>
        <v>495738.44439942861</v>
      </c>
      <c r="G123" s="523">
        <f t="shared" si="35"/>
        <v>510755.04196040425</v>
      </c>
      <c r="H123" s="526">
        <f t="shared" si="36"/>
        <v>88011.158575582274</v>
      </c>
      <c r="I123" s="577">
        <f t="shared" si="37"/>
        <v>88011.158575582274</v>
      </c>
      <c r="J123" s="514">
        <f t="shared" si="20"/>
        <v>0</v>
      </c>
      <c r="K123" s="514"/>
      <c r="L123" s="525"/>
      <c r="M123" s="514">
        <f t="shared" si="22"/>
        <v>0</v>
      </c>
      <c r="N123" s="525"/>
      <c r="O123" s="514">
        <f t="shared" si="24"/>
        <v>0</v>
      </c>
      <c r="P123" s="514">
        <f t="shared" si="25"/>
        <v>0</v>
      </c>
    </row>
    <row r="124" spans="2:16">
      <c r="B124" s="195" t="str">
        <f t="shared" si="26"/>
        <v/>
      </c>
      <c r="C124" s="507">
        <f>IF(D93="","-",+C123+1)</f>
        <v>2041</v>
      </c>
      <c r="D124" s="374">
        <f>IF(F123+SUM(E$99:E123)=D$92,F123,D$92-SUM(E$99:E123))</f>
        <v>495738.44439942861</v>
      </c>
      <c r="E124" s="522">
        <f>IF(+J96&lt;F123,J96,D124)</f>
        <v>30033.195121951219</v>
      </c>
      <c r="F124" s="523">
        <f t="shared" si="34"/>
        <v>465705.24927747739</v>
      </c>
      <c r="G124" s="523">
        <f t="shared" si="35"/>
        <v>480721.84683845297</v>
      </c>
      <c r="H124" s="526">
        <f t="shared" si="36"/>
        <v>84601.963665840682</v>
      </c>
      <c r="I124" s="577">
        <f t="shared" si="37"/>
        <v>84601.963665840682</v>
      </c>
      <c r="J124" s="514">
        <f t="shared" si="20"/>
        <v>0</v>
      </c>
      <c r="K124" s="514"/>
      <c r="L124" s="525"/>
      <c r="M124" s="514">
        <f t="shared" si="22"/>
        <v>0</v>
      </c>
      <c r="N124" s="525"/>
      <c r="O124" s="514">
        <f t="shared" si="24"/>
        <v>0</v>
      </c>
      <c r="P124" s="514">
        <f t="shared" si="25"/>
        <v>0</v>
      </c>
    </row>
    <row r="125" spans="2:16">
      <c r="B125" s="195" t="str">
        <f t="shared" si="26"/>
        <v/>
      </c>
      <c r="C125" s="507">
        <f>IF(D93="","-",+C124+1)</f>
        <v>2042</v>
      </c>
      <c r="D125" s="374">
        <f>IF(F124+SUM(E$99:E124)=D$92,F124,D$92-SUM(E$99:E124))</f>
        <v>465705.24927747739</v>
      </c>
      <c r="E125" s="522">
        <f>IF(+J96&lt;F124,J96,D125)</f>
        <v>30033.195121951219</v>
      </c>
      <c r="F125" s="523">
        <f t="shared" si="34"/>
        <v>435672.05415552616</v>
      </c>
      <c r="G125" s="523">
        <f t="shared" si="35"/>
        <v>450688.6517165018</v>
      </c>
      <c r="H125" s="526">
        <f t="shared" si="36"/>
        <v>81192.768756099103</v>
      </c>
      <c r="I125" s="577">
        <f t="shared" si="37"/>
        <v>81192.768756099103</v>
      </c>
      <c r="J125" s="514">
        <f t="shared" si="20"/>
        <v>0</v>
      </c>
      <c r="K125" s="514"/>
      <c r="L125" s="525"/>
      <c r="M125" s="514">
        <f t="shared" si="22"/>
        <v>0</v>
      </c>
      <c r="N125" s="525"/>
      <c r="O125" s="514">
        <f t="shared" si="24"/>
        <v>0</v>
      </c>
      <c r="P125" s="514">
        <f t="shared" si="25"/>
        <v>0</v>
      </c>
    </row>
    <row r="126" spans="2:16">
      <c r="B126" s="195" t="str">
        <f t="shared" si="26"/>
        <v/>
      </c>
      <c r="C126" s="507">
        <f>IF(D93="","-",+C125+1)</f>
        <v>2043</v>
      </c>
      <c r="D126" s="374">
        <f>IF(F125+SUM(E$99:E125)=D$92,F125,D$92-SUM(E$99:E125))</f>
        <v>435672.05415552616</v>
      </c>
      <c r="E126" s="522">
        <f>IF(+J96&lt;F125,J96,D126)</f>
        <v>30033.195121951219</v>
      </c>
      <c r="F126" s="523">
        <f t="shared" si="34"/>
        <v>405638.85903357493</v>
      </c>
      <c r="G126" s="523">
        <f t="shared" si="35"/>
        <v>420655.45659455052</v>
      </c>
      <c r="H126" s="526">
        <f t="shared" si="36"/>
        <v>77783.573846357525</v>
      </c>
      <c r="I126" s="577">
        <f t="shared" si="37"/>
        <v>77783.573846357525</v>
      </c>
      <c r="J126" s="514">
        <f t="shared" si="20"/>
        <v>0</v>
      </c>
      <c r="K126" s="514"/>
      <c r="L126" s="525"/>
      <c r="M126" s="514">
        <f t="shared" si="22"/>
        <v>0</v>
      </c>
      <c r="N126" s="525"/>
      <c r="O126" s="514">
        <f t="shared" si="24"/>
        <v>0</v>
      </c>
      <c r="P126" s="514">
        <f t="shared" si="25"/>
        <v>0</v>
      </c>
    </row>
    <row r="127" spans="2:16">
      <c r="B127" s="195" t="str">
        <f t="shared" si="26"/>
        <v/>
      </c>
      <c r="C127" s="507">
        <f>IF(D93="","-",+C126+1)</f>
        <v>2044</v>
      </c>
      <c r="D127" s="374">
        <f>IF(F126+SUM(E$99:E126)=D$92,F126,D$92-SUM(E$99:E126))</f>
        <v>405638.85903357493</v>
      </c>
      <c r="E127" s="522">
        <f>IF(+J96&lt;F126,J96,D127)</f>
        <v>30033.195121951219</v>
      </c>
      <c r="F127" s="523">
        <f t="shared" si="34"/>
        <v>375605.66391162371</v>
      </c>
      <c r="G127" s="523">
        <f t="shared" si="35"/>
        <v>390622.26147259935</v>
      </c>
      <c r="H127" s="526">
        <f t="shared" si="36"/>
        <v>74374.378936615947</v>
      </c>
      <c r="I127" s="577">
        <f t="shared" si="37"/>
        <v>74374.378936615947</v>
      </c>
      <c r="J127" s="514">
        <f t="shared" si="20"/>
        <v>0</v>
      </c>
      <c r="K127" s="514"/>
      <c r="L127" s="525"/>
      <c r="M127" s="514">
        <f t="shared" si="22"/>
        <v>0</v>
      </c>
      <c r="N127" s="525"/>
      <c r="O127" s="514">
        <f t="shared" si="24"/>
        <v>0</v>
      </c>
      <c r="P127" s="514">
        <f t="shared" si="25"/>
        <v>0</v>
      </c>
    </row>
    <row r="128" spans="2:16">
      <c r="B128" s="195" t="str">
        <f t="shared" si="26"/>
        <v/>
      </c>
      <c r="C128" s="507">
        <f>IF(D93="","-",+C127+1)</f>
        <v>2045</v>
      </c>
      <c r="D128" s="374">
        <f>IF(F127+SUM(E$99:E127)=D$92,F127,D$92-SUM(E$99:E127))</f>
        <v>375605.66391162371</v>
      </c>
      <c r="E128" s="522">
        <f>IF(+J96&lt;F127,J96,D128)</f>
        <v>30033.195121951219</v>
      </c>
      <c r="F128" s="523">
        <f t="shared" si="34"/>
        <v>345572.46878967248</v>
      </c>
      <c r="G128" s="523">
        <f t="shared" si="35"/>
        <v>360589.06635064806</v>
      </c>
      <c r="H128" s="526">
        <f t="shared" si="36"/>
        <v>70965.184026874354</v>
      </c>
      <c r="I128" s="577">
        <f t="shared" si="37"/>
        <v>70965.184026874354</v>
      </c>
      <c r="J128" s="514">
        <f t="shared" si="20"/>
        <v>0</v>
      </c>
      <c r="K128" s="514"/>
      <c r="L128" s="525"/>
      <c r="M128" s="514">
        <f t="shared" si="22"/>
        <v>0</v>
      </c>
      <c r="N128" s="525"/>
      <c r="O128" s="514">
        <f t="shared" si="24"/>
        <v>0</v>
      </c>
      <c r="P128" s="514">
        <f t="shared" si="25"/>
        <v>0</v>
      </c>
    </row>
    <row r="129" spans="2:16">
      <c r="B129" s="195" t="str">
        <f t="shared" si="26"/>
        <v/>
      </c>
      <c r="C129" s="507">
        <f>IF(D93="","-",+C128+1)</f>
        <v>2046</v>
      </c>
      <c r="D129" s="374">
        <f>IF(F128+SUM(E$99:E128)=D$92,F128,D$92-SUM(E$99:E128))</f>
        <v>345572.46878967248</v>
      </c>
      <c r="E129" s="522">
        <f>IF(+J96&lt;F128,J96,D129)</f>
        <v>30033.195121951219</v>
      </c>
      <c r="F129" s="523">
        <f t="shared" si="34"/>
        <v>315539.27366772125</v>
      </c>
      <c r="G129" s="523">
        <f t="shared" si="35"/>
        <v>330555.87122869689</v>
      </c>
      <c r="H129" s="526">
        <f t="shared" si="36"/>
        <v>67555.989117132776</v>
      </c>
      <c r="I129" s="577">
        <f t="shared" si="37"/>
        <v>67555.989117132776</v>
      </c>
      <c r="J129" s="514">
        <f t="shared" si="20"/>
        <v>0</v>
      </c>
      <c r="K129" s="514"/>
      <c r="L129" s="525"/>
      <c r="M129" s="514">
        <f t="shared" si="22"/>
        <v>0</v>
      </c>
      <c r="N129" s="525"/>
      <c r="O129" s="514">
        <f t="shared" si="24"/>
        <v>0</v>
      </c>
      <c r="P129" s="514">
        <f t="shared" si="25"/>
        <v>0</v>
      </c>
    </row>
    <row r="130" spans="2:16">
      <c r="B130" s="195" t="str">
        <f t="shared" si="26"/>
        <v/>
      </c>
      <c r="C130" s="507">
        <f>IF(D93="","-",+C129+1)</f>
        <v>2047</v>
      </c>
      <c r="D130" s="374">
        <f>IF(F129+SUM(E$99:E129)=D$92,F129,D$92-SUM(E$99:E129))</f>
        <v>315539.27366772125</v>
      </c>
      <c r="E130" s="522">
        <f>IF(+J96&lt;F129,J96,D130)</f>
        <v>30033.195121951219</v>
      </c>
      <c r="F130" s="523">
        <f t="shared" si="34"/>
        <v>285506.07854577003</v>
      </c>
      <c r="G130" s="523">
        <f t="shared" si="35"/>
        <v>300522.67610674561</v>
      </c>
      <c r="H130" s="526">
        <f t="shared" si="36"/>
        <v>64146.794207391191</v>
      </c>
      <c r="I130" s="577">
        <f t="shared" si="37"/>
        <v>64146.794207391191</v>
      </c>
      <c r="J130" s="514">
        <f t="shared" si="20"/>
        <v>0</v>
      </c>
      <c r="K130" s="514"/>
      <c r="L130" s="525"/>
      <c r="M130" s="514">
        <f t="shared" si="22"/>
        <v>0</v>
      </c>
      <c r="N130" s="525"/>
      <c r="O130" s="514">
        <f t="shared" si="24"/>
        <v>0</v>
      </c>
      <c r="P130" s="514">
        <f t="shared" si="25"/>
        <v>0</v>
      </c>
    </row>
    <row r="131" spans="2:16">
      <c r="B131" s="195" t="str">
        <f t="shared" si="26"/>
        <v/>
      </c>
      <c r="C131" s="507">
        <f>IF(D93="","-",+C130+1)</f>
        <v>2048</v>
      </c>
      <c r="D131" s="374">
        <f>IF(F130+SUM(E$99:E130)=D$92,F130,D$92-SUM(E$99:E130))</f>
        <v>285506.07854577003</v>
      </c>
      <c r="E131" s="522">
        <f>IF(+J96&lt;F130,J96,D131)</f>
        <v>30033.195121951219</v>
      </c>
      <c r="F131" s="523">
        <f t="shared" ref="F131:F154" si="38">+D131-E131</f>
        <v>255472.8834238188</v>
      </c>
      <c r="G131" s="523">
        <f t="shared" ref="G131:G154" si="39">+(F131+D131)/2</f>
        <v>270489.48098479444</v>
      </c>
      <c r="H131" s="526">
        <f t="shared" si="36"/>
        <v>60737.599297649613</v>
      </c>
      <c r="I131" s="577">
        <f t="shared" si="37"/>
        <v>60737.599297649613</v>
      </c>
      <c r="J131" s="514">
        <f t="shared" ref="J131:J154" si="40">+I541-H541</f>
        <v>0</v>
      </c>
      <c r="K131" s="514"/>
      <c r="L131" s="525"/>
      <c r="M131" s="514">
        <f t="shared" ref="M131:M154" si="41">IF(L541&lt;&gt;0,+H541-L541,0)</f>
        <v>0</v>
      </c>
      <c r="N131" s="525"/>
      <c r="O131" s="514">
        <f t="shared" ref="O131:O154" si="42">IF(N541&lt;&gt;0,+I541-N541,0)</f>
        <v>0</v>
      </c>
      <c r="P131" s="514">
        <f t="shared" ref="P131:P154" si="43">+O541-M541</f>
        <v>0</v>
      </c>
    </row>
    <row r="132" spans="2:16">
      <c r="B132" s="195" t="str">
        <f t="shared" si="26"/>
        <v/>
      </c>
      <c r="C132" s="507">
        <f>IF(D93="","-",+C131+1)</f>
        <v>2049</v>
      </c>
      <c r="D132" s="374">
        <f>IF(F131+SUM(E$99:E131)=D$92,F131,D$92-SUM(E$99:E131))</f>
        <v>255472.8834238188</v>
      </c>
      <c r="E132" s="522">
        <f>IF(+J96&lt;F131,J96,D132)</f>
        <v>30033.195121951219</v>
      </c>
      <c r="F132" s="523">
        <f t="shared" si="38"/>
        <v>225439.68830186757</v>
      </c>
      <c r="G132" s="523">
        <f t="shared" si="39"/>
        <v>240456.28586284319</v>
      </c>
      <c r="H132" s="526">
        <f t="shared" si="36"/>
        <v>57328.404387908027</v>
      </c>
      <c r="I132" s="577">
        <f t="shared" si="37"/>
        <v>57328.404387908027</v>
      </c>
      <c r="J132" s="514">
        <f t="shared" si="40"/>
        <v>0</v>
      </c>
      <c r="K132" s="514"/>
      <c r="L132" s="525"/>
      <c r="M132" s="514">
        <f t="shared" si="41"/>
        <v>0</v>
      </c>
      <c r="N132" s="525"/>
      <c r="O132" s="514">
        <f t="shared" si="42"/>
        <v>0</v>
      </c>
      <c r="P132" s="514">
        <f t="shared" si="43"/>
        <v>0</v>
      </c>
    </row>
    <row r="133" spans="2:16">
      <c r="B133" s="195" t="str">
        <f t="shared" si="26"/>
        <v/>
      </c>
      <c r="C133" s="507">
        <f>IF(D93="","-",+C132+1)</f>
        <v>2050</v>
      </c>
      <c r="D133" s="374">
        <f>IF(F132+SUM(E$99:E132)=D$92,F132,D$92-SUM(E$99:E132))</f>
        <v>225439.68830186757</v>
      </c>
      <c r="E133" s="522">
        <f>IF(+J96&lt;F132,J96,D133)</f>
        <v>30033.195121951219</v>
      </c>
      <c r="F133" s="523">
        <f t="shared" si="38"/>
        <v>195406.49317991635</v>
      </c>
      <c r="G133" s="523">
        <f t="shared" si="39"/>
        <v>210423.09074089196</v>
      </c>
      <c r="H133" s="526">
        <f t="shared" si="36"/>
        <v>53919.209478166449</v>
      </c>
      <c r="I133" s="577">
        <f t="shared" si="37"/>
        <v>53919.209478166449</v>
      </c>
      <c r="J133" s="514">
        <f t="shared" si="40"/>
        <v>0</v>
      </c>
      <c r="K133" s="514"/>
      <c r="L133" s="525"/>
      <c r="M133" s="514">
        <f t="shared" si="41"/>
        <v>0</v>
      </c>
      <c r="N133" s="525"/>
      <c r="O133" s="514">
        <f t="shared" si="42"/>
        <v>0</v>
      </c>
      <c r="P133" s="514">
        <f t="shared" si="43"/>
        <v>0</v>
      </c>
    </row>
    <row r="134" spans="2:16">
      <c r="B134" s="195" t="str">
        <f t="shared" si="26"/>
        <v/>
      </c>
      <c r="C134" s="507">
        <f>IF(D93="","-",+C133+1)</f>
        <v>2051</v>
      </c>
      <c r="D134" s="374">
        <f>IF(F133+SUM(E$99:E133)=D$92,F133,D$92-SUM(E$99:E133))</f>
        <v>195406.49317991635</v>
      </c>
      <c r="E134" s="522">
        <f>IF(+J96&lt;F133,J96,D134)</f>
        <v>30033.195121951219</v>
      </c>
      <c r="F134" s="523">
        <f t="shared" si="38"/>
        <v>165373.29805796512</v>
      </c>
      <c r="G134" s="523">
        <f t="shared" si="39"/>
        <v>180389.89561894073</v>
      </c>
      <c r="H134" s="526">
        <f t="shared" si="36"/>
        <v>50510.014568424856</v>
      </c>
      <c r="I134" s="577">
        <f t="shared" si="37"/>
        <v>50510.014568424856</v>
      </c>
      <c r="J134" s="514">
        <f t="shared" si="40"/>
        <v>0</v>
      </c>
      <c r="K134" s="514"/>
      <c r="L134" s="525"/>
      <c r="M134" s="514">
        <f t="shared" si="41"/>
        <v>0</v>
      </c>
      <c r="N134" s="525"/>
      <c r="O134" s="514">
        <f t="shared" si="42"/>
        <v>0</v>
      </c>
      <c r="P134" s="514">
        <f t="shared" si="43"/>
        <v>0</v>
      </c>
    </row>
    <row r="135" spans="2:16">
      <c r="B135" s="195" t="str">
        <f t="shared" si="26"/>
        <v/>
      </c>
      <c r="C135" s="507">
        <f>IF(D93="","-",+C134+1)</f>
        <v>2052</v>
      </c>
      <c r="D135" s="374">
        <f>IF(F134+SUM(E$99:E134)=D$92,F134,D$92-SUM(E$99:E134))</f>
        <v>165373.29805796512</v>
      </c>
      <c r="E135" s="522">
        <f>IF(+J96&lt;F134,J96,D135)</f>
        <v>30033.195121951219</v>
      </c>
      <c r="F135" s="523">
        <f t="shared" si="38"/>
        <v>135340.10293601389</v>
      </c>
      <c r="G135" s="523">
        <f t="shared" si="39"/>
        <v>150356.70049698951</v>
      </c>
      <c r="H135" s="526">
        <f t="shared" si="36"/>
        <v>47100.819658683278</v>
      </c>
      <c r="I135" s="577">
        <f t="shared" si="37"/>
        <v>47100.819658683278</v>
      </c>
      <c r="J135" s="514">
        <f t="shared" si="40"/>
        <v>0</v>
      </c>
      <c r="K135" s="514"/>
      <c r="L135" s="525"/>
      <c r="M135" s="514">
        <f t="shared" si="41"/>
        <v>0</v>
      </c>
      <c r="N135" s="525"/>
      <c r="O135" s="514">
        <f t="shared" si="42"/>
        <v>0</v>
      </c>
      <c r="P135" s="514">
        <f t="shared" si="43"/>
        <v>0</v>
      </c>
    </row>
    <row r="136" spans="2:16">
      <c r="B136" s="195" t="str">
        <f t="shared" si="26"/>
        <v/>
      </c>
      <c r="C136" s="507">
        <f>IF(D93="","-",+C135+1)</f>
        <v>2053</v>
      </c>
      <c r="D136" s="374">
        <f>IF(F135+SUM(E$99:E135)=D$92,F135,D$92-SUM(E$99:E135))</f>
        <v>135340.10293601389</v>
      </c>
      <c r="E136" s="522">
        <f>IF(+J96&lt;F135,J96,D136)</f>
        <v>30033.195121951219</v>
      </c>
      <c r="F136" s="523">
        <f t="shared" si="38"/>
        <v>105306.90781406267</v>
      </c>
      <c r="G136" s="523">
        <f t="shared" si="39"/>
        <v>120323.50537503828</v>
      </c>
      <c r="H136" s="526">
        <f t="shared" si="36"/>
        <v>43691.624748941693</v>
      </c>
      <c r="I136" s="577">
        <f t="shared" si="37"/>
        <v>43691.624748941693</v>
      </c>
      <c r="J136" s="514">
        <f t="shared" si="40"/>
        <v>0</v>
      </c>
      <c r="K136" s="514"/>
      <c r="L136" s="525"/>
      <c r="M136" s="514">
        <f t="shared" si="41"/>
        <v>0</v>
      </c>
      <c r="N136" s="525"/>
      <c r="O136" s="514">
        <f t="shared" si="42"/>
        <v>0</v>
      </c>
      <c r="P136" s="514">
        <f t="shared" si="43"/>
        <v>0</v>
      </c>
    </row>
    <row r="137" spans="2:16">
      <c r="B137" s="195" t="str">
        <f t="shared" si="26"/>
        <v/>
      </c>
      <c r="C137" s="507">
        <f>IF(D93="","-",+C136+1)</f>
        <v>2054</v>
      </c>
      <c r="D137" s="374">
        <f>IF(F136+SUM(E$99:E136)=D$92,F136,D$92-SUM(E$99:E136))</f>
        <v>105306.90781406267</v>
      </c>
      <c r="E137" s="522">
        <f>IF(+J96&lt;F136,J96,D137)</f>
        <v>30033.195121951219</v>
      </c>
      <c r="F137" s="523">
        <f t="shared" si="38"/>
        <v>75273.71269211144</v>
      </c>
      <c r="G137" s="523">
        <f t="shared" si="39"/>
        <v>90290.310253087053</v>
      </c>
      <c r="H137" s="526">
        <f t="shared" si="36"/>
        <v>40282.429839200115</v>
      </c>
      <c r="I137" s="577">
        <f t="shared" si="37"/>
        <v>40282.429839200115</v>
      </c>
      <c r="J137" s="514">
        <f t="shared" si="40"/>
        <v>0</v>
      </c>
      <c r="K137" s="514"/>
      <c r="L137" s="525"/>
      <c r="M137" s="514">
        <f t="shared" si="41"/>
        <v>0</v>
      </c>
      <c r="N137" s="525"/>
      <c r="O137" s="514">
        <f t="shared" si="42"/>
        <v>0</v>
      </c>
      <c r="P137" s="514">
        <f t="shared" si="43"/>
        <v>0</v>
      </c>
    </row>
    <row r="138" spans="2:16">
      <c r="B138" s="195" t="str">
        <f t="shared" si="26"/>
        <v/>
      </c>
      <c r="C138" s="507">
        <f>IF(D93="","-",+C137+1)</f>
        <v>2055</v>
      </c>
      <c r="D138" s="374">
        <f>IF(F137+SUM(E$99:E137)=D$92,F137,D$92-SUM(E$99:E137))</f>
        <v>75273.71269211144</v>
      </c>
      <c r="E138" s="522">
        <f>IF(+J96&lt;F137,J96,D138)</f>
        <v>30033.195121951219</v>
      </c>
      <c r="F138" s="523">
        <f t="shared" si="38"/>
        <v>45240.51757016022</v>
      </c>
      <c r="G138" s="523">
        <f t="shared" si="39"/>
        <v>60257.115131135826</v>
      </c>
      <c r="H138" s="526">
        <f t="shared" si="36"/>
        <v>36873.234929458529</v>
      </c>
      <c r="I138" s="577">
        <f t="shared" si="37"/>
        <v>36873.234929458529</v>
      </c>
      <c r="J138" s="514">
        <f t="shared" si="40"/>
        <v>0</v>
      </c>
      <c r="K138" s="514"/>
      <c r="L138" s="525"/>
      <c r="M138" s="514">
        <f t="shared" si="41"/>
        <v>0</v>
      </c>
      <c r="N138" s="525"/>
      <c r="O138" s="514">
        <f t="shared" si="42"/>
        <v>0</v>
      </c>
      <c r="P138" s="514">
        <f t="shared" si="43"/>
        <v>0</v>
      </c>
    </row>
    <row r="139" spans="2:16">
      <c r="B139" s="195" t="str">
        <f t="shared" si="26"/>
        <v/>
      </c>
      <c r="C139" s="507">
        <f>IF(D93="","-",+C138+1)</f>
        <v>2056</v>
      </c>
      <c r="D139" s="374">
        <f>IF(F138+SUM(E$99:E138)=D$92,F138,D$92-SUM(E$99:E138))</f>
        <v>45240.51757016022</v>
      </c>
      <c r="E139" s="522">
        <f>IF(+J96&lt;F138,J96,D139)</f>
        <v>30033.195121951219</v>
      </c>
      <c r="F139" s="523">
        <f t="shared" si="38"/>
        <v>15207.322448209001</v>
      </c>
      <c r="G139" s="523">
        <f t="shared" si="39"/>
        <v>30223.920009184611</v>
      </c>
      <c r="H139" s="526">
        <f t="shared" si="36"/>
        <v>33464.040019716951</v>
      </c>
      <c r="I139" s="577">
        <f t="shared" si="37"/>
        <v>33464.040019716951</v>
      </c>
      <c r="J139" s="514">
        <f t="shared" si="40"/>
        <v>0</v>
      </c>
      <c r="K139" s="514"/>
      <c r="L139" s="525"/>
      <c r="M139" s="514">
        <f t="shared" si="41"/>
        <v>0</v>
      </c>
      <c r="N139" s="525"/>
      <c r="O139" s="514">
        <f t="shared" si="42"/>
        <v>0</v>
      </c>
      <c r="P139" s="514">
        <f t="shared" si="43"/>
        <v>0</v>
      </c>
    </row>
    <row r="140" spans="2:16">
      <c r="B140" s="195" t="str">
        <f t="shared" si="26"/>
        <v/>
      </c>
      <c r="C140" s="507">
        <f>IF(D93="","-",+C139+1)</f>
        <v>2057</v>
      </c>
      <c r="D140" s="374">
        <f>IF(F139+SUM(E$99:E139)=D$92,F139,D$92-SUM(E$99:E139))</f>
        <v>15207.322448209001</v>
      </c>
      <c r="E140" s="522">
        <f>IF(+J96&lt;F139,J96,D140)</f>
        <v>15207.322448209001</v>
      </c>
      <c r="F140" s="523">
        <f t="shared" si="38"/>
        <v>0</v>
      </c>
      <c r="G140" s="523">
        <f t="shared" si="39"/>
        <v>7603.6612241045004</v>
      </c>
      <c r="H140" s="526">
        <f t="shared" si="36"/>
        <v>16070.44616965647</v>
      </c>
      <c r="I140" s="577">
        <f t="shared" si="37"/>
        <v>16070.44616965647</v>
      </c>
      <c r="J140" s="514">
        <f t="shared" si="40"/>
        <v>0</v>
      </c>
      <c r="K140" s="514"/>
      <c r="L140" s="525"/>
      <c r="M140" s="514">
        <f t="shared" si="41"/>
        <v>0</v>
      </c>
      <c r="N140" s="525"/>
      <c r="O140" s="514">
        <f t="shared" si="42"/>
        <v>0</v>
      </c>
      <c r="P140" s="514">
        <f t="shared" si="43"/>
        <v>0</v>
      </c>
    </row>
    <row r="141" spans="2:16">
      <c r="B141" s="195" t="str">
        <f t="shared" si="26"/>
        <v/>
      </c>
      <c r="C141" s="507">
        <f>IF(D93="","-",+C140+1)</f>
        <v>2058</v>
      </c>
      <c r="D141" s="374">
        <f>IF(F140+SUM(E$99:E140)=D$92,F140,D$92-SUM(E$99:E140))</f>
        <v>0</v>
      </c>
      <c r="E141" s="522">
        <f>IF(+J96&lt;F140,J96,D141)</f>
        <v>0</v>
      </c>
      <c r="F141" s="523">
        <f t="shared" si="38"/>
        <v>0</v>
      </c>
      <c r="G141" s="523">
        <f t="shared" si="39"/>
        <v>0</v>
      </c>
      <c r="H141" s="526">
        <f t="shared" si="36"/>
        <v>0</v>
      </c>
      <c r="I141" s="577">
        <f t="shared" si="37"/>
        <v>0</v>
      </c>
      <c r="J141" s="514">
        <f t="shared" si="40"/>
        <v>0</v>
      </c>
      <c r="K141" s="514"/>
      <c r="L141" s="525"/>
      <c r="M141" s="514">
        <f t="shared" si="41"/>
        <v>0</v>
      </c>
      <c r="N141" s="525"/>
      <c r="O141" s="514">
        <f t="shared" si="42"/>
        <v>0</v>
      </c>
      <c r="P141" s="514">
        <f t="shared" si="43"/>
        <v>0</v>
      </c>
    </row>
    <row r="142" spans="2:16">
      <c r="B142" s="195" t="str">
        <f t="shared" si="26"/>
        <v/>
      </c>
      <c r="C142" s="507">
        <f>IF(D93="","-",+C141+1)</f>
        <v>2059</v>
      </c>
      <c r="D142" s="374">
        <f>IF(F141+SUM(E$99:E141)=D$92,F141,D$92-SUM(E$99:E141))</f>
        <v>0</v>
      </c>
      <c r="E142" s="522">
        <f>IF(+J96&lt;F141,J96,D142)</f>
        <v>0</v>
      </c>
      <c r="F142" s="523">
        <f t="shared" si="38"/>
        <v>0</v>
      </c>
      <c r="G142" s="523">
        <f t="shared" si="39"/>
        <v>0</v>
      </c>
      <c r="H142" s="526">
        <f t="shared" si="36"/>
        <v>0</v>
      </c>
      <c r="I142" s="577">
        <f t="shared" si="37"/>
        <v>0</v>
      </c>
      <c r="J142" s="514">
        <f t="shared" si="40"/>
        <v>0</v>
      </c>
      <c r="K142" s="514"/>
      <c r="L142" s="525"/>
      <c r="M142" s="514">
        <f t="shared" si="41"/>
        <v>0</v>
      </c>
      <c r="N142" s="525"/>
      <c r="O142" s="514">
        <f t="shared" si="42"/>
        <v>0</v>
      </c>
      <c r="P142" s="514">
        <f t="shared" si="43"/>
        <v>0</v>
      </c>
    </row>
    <row r="143" spans="2:16">
      <c r="B143" s="195" t="str">
        <f t="shared" si="26"/>
        <v/>
      </c>
      <c r="C143" s="507">
        <f>IF(D93="","-",+C142+1)</f>
        <v>2060</v>
      </c>
      <c r="D143" s="374">
        <f>IF(F142+SUM(E$99:E142)=D$92,F142,D$92-SUM(E$99:E142))</f>
        <v>0</v>
      </c>
      <c r="E143" s="522">
        <f>IF(+J96&lt;F142,J96,D143)</f>
        <v>0</v>
      </c>
      <c r="F143" s="523">
        <f t="shared" si="38"/>
        <v>0</v>
      </c>
      <c r="G143" s="523">
        <f t="shared" si="39"/>
        <v>0</v>
      </c>
      <c r="H143" s="526">
        <f t="shared" si="36"/>
        <v>0</v>
      </c>
      <c r="I143" s="577">
        <f t="shared" si="37"/>
        <v>0</v>
      </c>
      <c r="J143" s="514">
        <f t="shared" si="40"/>
        <v>0</v>
      </c>
      <c r="K143" s="514"/>
      <c r="L143" s="525"/>
      <c r="M143" s="514">
        <f t="shared" si="41"/>
        <v>0</v>
      </c>
      <c r="N143" s="525"/>
      <c r="O143" s="514">
        <f t="shared" si="42"/>
        <v>0</v>
      </c>
      <c r="P143" s="514">
        <f t="shared" si="43"/>
        <v>0</v>
      </c>
    </row>
    <row r="144" spans="2:16">
      <c r="B144" s="195" t="str">
        <f t="shared" si="26"/>
        <v/>
      </c>
      <c r="C144" s="507">
        <f>IF(D93="","-",+C143+1)</f>
        <v>2061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38"/>
        <v>0</v>
      </c>
      <c r="G144" s="523">
        <f t="shared" si="39"/>
        <v>0</v>
      </c>
      <c r="H144" s="526">
        <f t="shared" si="36"/>
        <v>0</v>
      </c>
      <c r="I144" s="577">
        <f t="shared" si="37"/>
        <v>0</v>
      </c>
      <c r="J144" s="514">
        <f t="shared" si="40"/>
        <v>0</v>
      </c>
      <c r="K144" s="514"/>
      <c r="L144" s="525"/>
      <c r="M144" s="514">
        <f t="shared" si="41"/>
        <v>0</v>
      </c>
      <c r="N144" s="525"/>
      <c r="O144" s="514">
        <f t="shared" si="42"/>
        <v>0</v>
      </c>
      <c r="P144" s="514">
        <f t="shared" si="43"/>
        <v>0</v>
      </c>
    </row>
    <row r="145" spans="2:16">
      <c r="B145" s="195" t="str">
        <f t="shared" si="26"/>
        <v/>
      </c>
      <c r="C145" s="507">
        <f>IF(D93="","-",+C144+1)</f>
        <v>2062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38"/>
        <v>0</v>
      </c>
      <c r="G145" s="523">
        <f t="shared" si="39"/>
        <v>0</v>
      </c>
      <c r="H145" s="526">
        <f t="shared" si="36"/>
        <v>0</v>
      </c>
      <c r="I145" s="577">
        <f t="shared" si="37"/>
        <v>0</v>
      </c>
      <c r="J145" s="514">
        <f t="shared" si="40"/>
        <v>0</v>
      </c>
      <c r="K145" s="514"/>
      <c r="L145" s="525"/>
      <c r="M145" s="514">
        <f t="shared" si="41"/>
        <v>0</v>
      </c>
      <c r="N145" s="525"/>
      <c r="O145" s="514">
        <f t="shared" si="42"/>
        <v>0</v>
      </c>
      <c r="P145" s="514">
        <f t="shared" si="43"/>
        <v>0</v>
      </c>
    </row>
    <row r="146" spans="2:16">
      <c r="B146" s="195" t="str">
        <f t="shared" si="26"/>
        <v/>
      </c>
      <c r="C146" s="507">
        <f>IF(D93="","-",+C145+1)</f>
        <v>2063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38"/>
        <v>0</v>
      </c>
      <c r="G146" s="523">
        <f t="shared" si="39"/>
        <v>0</v>
      </c>
      <c r="H146" s="526">
        <f t="shared" si="36"/>
        <v>0</v>
      </c>
      <c r="I146" s="577">
        <f t="shared" si="37"/>
        <v>0</v>
      </c>
      <c r="J146" s="514">
        <f t="shared" si="40"/>
        <v>0</v>
      </c>
      <c r="K146" s="514"/>
      <c r="L146" s="525"/>
      <c r="M146" s="514">
        <f t="shared" si="41"/>
        <v>0</v>
      </c>
      <c r="N146" s="525"/>
      <c r="O146" s="514">
        <f t="shared" si="42"/>
        <v>0</v>
      </c>
      <c r="P146" s="514">
        <f t="shared" si="43"/>
        <v>0</v>
      </c>
    </row>
    <row r="147" spans="2:16">
      <c r="B147" s="195" t="str">
        <f t="shared" si="26"/>
        <v/>
      </c>
      <c r="C147" s="507">
        <f>IF(D93="","-",+C146+1)</f>
        <v>2064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38"/>
        <v>0</v>
      </c>
      <c r="G147" s="523">
        <f t="shared" si="39"/>
        <v>0</v>
      </c>
      <c r="H147" s="526">
        <f t="shared" si="36"/>
        <v>0</v>
      </c>
      <c r="I147" s="577">
        <f t="shared" si="37"/>
        <v>0</v>
      </c>
      <c r="J147" s="514">
        <f t="shared" si="40"/>
        <v>0</v>
      </c>
      <c r="K147" s="514"/>
      <c r="L147" s="525"/>
      <c r="M147" s="514">
        <f t="shared" si="41"/>
        <v>0</v>
      </c>
      <c r="N147" s="525"/>
      <c r="O147" s="514">
        <f t="shared" si="42"/>
        <v>0</v>
      </c>
      <c r="P147" s="514">
        <f t="shared" si="43"/>
        <v>0</v>
      </c>
    </row>
    <row r="148" spans="2:16">
      <c r="B148" s="195" t="str">
        <f t="shared" si="26"/>
        <v/>
      </c>
      <c r="C148" s="507">
        <f>IF(D93="","-",+C147+1)</f>
        <v>2065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38"/>
        <v>0</v>
      </c>
      <c r="G148" s="523">
        <f t="shared" si="39"/>
        <v>0</v>
      </c>
      <c r="H148" s="526">
        <f t="shared" si="36"/>
        <v>0</v>
      </c>
      <c r="I148" s="577">
        <f t="shared" si="37"/>
        <v>0</v>
      </c>
      <c r="J148" s="514">
        <f t="shared" si="40"/>
        <v>0</v>
      </c>
      <c r="K148" s="514"/>
      <c r="L148" s="525"/>
      <c r="M148" s="514">
        <f t="shared" si="41"/>
        <v>0</v>
      </c>
      <c r="N148" s="525"/>
      <c r="O148" s="514">
        <f t="shared" si="42"/>
        <v>0</v>
      </c>
      <c r="P148" s="514">
        <f t="shared" si="43"/>
        <v>0</v>
      </c>
    </row>
    <row r="149" spans="2:16">
      <c r="B149" s="195" t="str">
        <f t="shared" si="26"/>
        <v/>
      </c>
      <c r="C149" s="507">
        <f>IF(D93="","-",+C148+1)</f>
        <v>2066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38"/>
        <v>0</v>
      </c>
      <c r="G149" s="523">
        <f t="shared" si="39"/>
        <v>0</v>
      </c>
      <c r="H149" s="526">
        <f t="shared" si="36"/>
        <v>0</v>
      </c>
      <c r="I149" s="577">
        <f t="shared" si="37"/>
        <v>0</v>
      </c>
      <c r="J149" s="514">
        <f t="shared" si="40"/>
        <v>0</v>
      </c>
      <c r="K149" s="514"/>
      <c r="L149" s="525"/>
      <c r="M149" s="514">
        <f t="shared" si="41"/>
        <v>0</v>
      </c>
      <c r="N149" s="525"/>
      <c r="O149" s="514">
        <f t="shared" si="42"/>
        <v>0</v>
      </c>
      <c r="P149" s="514">
        <f t="shared" si="43"/>
        <v>0</v>
      </c>
    </row>
    <row r="150" spans="2:16">
      <c r="B150" s="195" t="str">
        <f t="shared" si="26"/>
        <v/>
      </c>
      <c r="C150" s="507">
        <f>IF(D93="","-",+C149+1)</f>
        <v>2067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38"/>
        <v>0</v>
      </c>
      <c r="G150" s="523">
        <f t="shared" si="39"/>
        <v>0</v>
      </c>
      <c r="H150" s="526">
        <f t="shared" si="36"/>
        <v>0</v>
      </c>
      <c r="I150" s="577">
        <f t="shared" si="37"/>
        <v>0</v>
      </c>
      <c r="J150" s="514">
        <f t="shared" si="40"/>
        <v>0</v>
      </c>
      <c r="K150" s="514"/>
      <c r="L150" s="525"/>
      <c r="M150" s="514">
        <f t="shared" si="41"/>
        <v>0</v>
      </c>
      <c r="N150" s="525"/>
      <c r="O150" s="514">
        <f t="shared" si="42"/>
        <v>0</v>
      </c>
      <c r="P150" s="514">
        <f t="shared" si="43"/>
        <v>0</v>
      </c>
    </row>
    <row r="151" spans="2:16">
      <c r="B151" s="195" t="str">
        <f t="shared" si="26"/>
        <v/>
      </c>
      <c r="C151" s="507">
        <f>IF(D93="","-",+C150+1)</f>
        <v>2068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38"/>
        <v>0</v>
      </c>
      <c r="G151" s="523">
        <f t="shared" si="39"/>
        <v>0</v>
      </c>
      <c r="H151" s="526">
        <f t="shared" si="36"/>
        <v>0</v>
      </c>
      <c r="I151" s="577">
        <f t="shared" si="37"/>
        <v>0</v>
      </c>
      <c r="J151" s="514">
        <f t="shared" si="40"/>
        <v>0</v>
      </c>
      <c r="K151" s="514"/>
      <c r="L151" s="525"/>
      <c r="M151" s="514">
        <f t="shared" si="41"/>
        <v>0</v>
      </c>
      <c r="N151" s="525"/>
      <c r="O151" s="514">
        <f t="shared" si="42"/>
        <v>0</v>
      </c>
      <c r="P151" s="514">
        <f t="shared" si="43"/>
        <v>0</v>
      </c>
    </row>
    <row r="152" spans="2:16">
      <c r="B152" s="195" t="str">
        <f t="shared" si="26"/>
        <v/>
      </c>
      <c r="C152" s="507">
        <f>IF(D93="","-",+C151+1)</f>
        <v>2069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38"/>
        <v>0</v>
      </c>
      <c r="G152" s="523">
        <f t="shared" si="39"/>
        <v>0</v>
      </c>
      <c r="H152" s="526">
        <f t="shared" si="36"/>
        <v>0</v>
      </c>
      <c r="I152" s="577">
        <f t="shared" si="37"/>
        <v>0</v>
      </c>
      <c r="J152" s="514">
        <f t="shared" si="40"/>
        <v>0</v>
      </c>
      <c r="K152" s="514"/>
      <c r="L152" s="525"/>
      <c r="M152" s="514">
        <f t="shared" si="41"/>
        <v>0</v>
      </c>
      <c r="N152" s="525"/>
      <c r="O152" s="514">
        <f t="shared" si="42"/>
        <v>0</v>
      </c>
      <c r="P152" s="514">
        <f t="shared" si="43"/>
        <v>0</v>
      </c>
    </row>
    <row r="153" spans="2:16">
      <c r="B153" s="195" t="str">
        <f t="shared" si="26"/>
        <v/>
      </c>
      <c r="C153" s="507">
        <f>IF(D93="","-",+C152+1)</f>
        <v>2070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38"/>
        <v>0</v>
      </c>
      <c r="G153" s="523">
        <f t="shared" si="39"/>
        <v>0</v>
      </c>
      <c r="H153" s="526">
        <f t="shared" si="36"/>
        <v>0</v>
      </c>
      <c r="I153" s="577">
        <f t="shared" si="37"/>
        <v>0</v>
      </c>
      <c r="J153" s="514">
        <f t="shared" si="40"/>
        <v>0</v>
      </c>
      <c r="K153" s="514"/>
      <c r="L153" s="525"/>
      <c r="M153" s="514">
        <f t="shared" si="41"/>
        <v>0</v>
      </c>
      <c r="N153" s="525"/>
      <c r="O153" s="514">
        <f t="shared" si="42"/>
        <v>0</v>
      </c>
      <c r="P153" s="514">
        <f t="shared" si="43"/>
        <v>0</v>
      </c>
    </row>
    <row r="154" spans="2:16" ht="13.5" thickBot="1">
      <c r="B154" s="195" t="str">
        <f t="shared" si="26"/>
        <v/>
      </c>
      <c r="C154" s="527">
        <f>IF(D93="","-",+C153+1)</f>
        <v>2071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38"/>
        <v>0</v>
      </c>
      <c r="G154" s="528">
        <f t="shared" si="39"/>
        <v>0</v>
      </c>
      <c r="H154" s="530">
        <f t="shared" si="36"/>
        <v>0</v>
      </c>
      <c r="I154" s="579">
        <f t="shared" si="37"/>
        <v>0</v>
      </c>
      <c r="J154" s="533">
        <f t="shared" si="40"/>
        <v>0</v>
      </c>
      <c r="K154" s="514"/>
      <c r="L154" s="532"/>
      <c r="M154" s="533">
        <f t="shared" si="41"/>
        <v>0</v>
      </c>
      <c r="N154" s="532"/>
      <c r="O154" s="533">
        <f t="shared" si="42"/>
        <v>0</v>
      </c>
      <c r="P154" s="533">
        <f t="shared" si="43"/>
        <v>0</v>
      </c>
    </row>
    <row r="155" spans="2:16">
      <c r="C155" s="374" t="s">
        <v>78</v>
      </c>
      <c r="D155" s="375"/>
      <c r="E155" s="375">
        <f>SUM(E99:E154)</f>
        <v>1231361</v>
      </c>
      <c r="F155" s="375"/>
      <c r="G155" s="375"/>
      <c r="H155" s="375">
        <f>SUM(H99:H154)</f>
        <v>4094720.155917332</v>
      </c>
      <c r="I155" s="375">
        <f>SUM(I99:I154)</f>
        <v>4094720.155917332</v>
      </c>
      <c r="J155" s="375">
        <f>SUM(J99:J154)</f>
        <v>0</v>
      </c>
      <c r="K155" s="375"/>
      <c r="L155" s="375"/>
      <c r="M155" s="375"/>
      <c r="N155" s="375"/>
      <c r="O155" s="375"/>
      <c r="P155" s="269"/>
    </row>
    <row r="156" spans="2:16">
      <c r="C156" s="183" t="s">
        <v>92</v>
      </c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</row>
    <row r="157" spans="2:16">
      <c r="C157" s="580"/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</row>
    <row r="158" spans="2:16">
      <c r="C158" s="614" t="s">
        <v>132</v>
      </c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</row>
    <row r="159" spans="2:16">
      <c r="C159" s="467" t="s">
        <v>79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</row>
    <row r="160" spans="2:16">
      <c r="C160" s="581" t="s">
        <v>80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</row>
    <row r="161" spans="3:16">
      <c r="C161" s="581"/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</row>
    <row r="162" spans="3:16" ht="18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635" t="s">
        <v>131</v>
      </c>
    </row>
  </sheetData>
  <conditionalFormatting sqref="C17:C72">
    <cfRule type="cellIs" dxfId="47" priority="1" stopIfTrue="1" operator="equal">
      <formula>$I$10</formula>
    </cfRule>
  </conditionalFormatting>
  <conditionalFormatting sqref="C99:C154">
    <cfRule type="cellIs" dxfId="46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Sheet107"/>
  <dimension ref="A1:P162"/>
  <sheetViews>
    <sheetView topLeftCell="A85" zoomScaleNormal="100" zoomScaleSheetLayoutView="80" workbookViewId="0">
      <selection activeCell="D99" sqref="D99:I105"/>
    </sheetView>
  </sheetViews>
  <sheetFormatPr defaultColWidth="8.7109375" defaultRowHeight="12.75" customHeight="1"/>
  <cols>
    <col min="1" max="1" width="4.7109375" style="183" customWidth="1"/>
    <col min="2" max="2" width="6.7109375" style="183" customWidth="1"/>
    <col min="3" max="3" width="23.28515625" style="183" customWidth="1"/>
    <col min="4" max="8" width="17.7109375" style="183" customWidth="1"/>
    <col min="9" max="9" width="20.42578125" style="183" customWidth="1"/>
    <col min="10" max="10" width="16.42578125" style="183" customWidth="1"/>
    <col min="11" max="11" width="17.7109375" style="183" customWidth="1"/>
    <col min="12" max="12" width="16.140625" style="183" customWidth="1"/>
    <col min="13" max="13" width="17.7109375" style="183" customWidth="1"/>
    <col min="14" max="14" width="16.7109375" style="183" customWidth="1"/>
    <col min="15" max="15" width="16.85546875" style="183" customWidth="1"/>
    <col min="16" max="16" width="24.42578125" style="183" customWidth="1"/>
    <col min="17" max="17" width="9.140625" style="183" customWidth="1"/>
    <col min="18" max="22" width="8.7109375" style="183"/>
    <col min="23" max="23" width="9.140625" style="183" customWidth="1"/>
    <col min="24" max="16384" width="8.7109375" style="183"/>
  </cols>
  <sheetData>
    <row r="1" spans="1:16" ht="20.25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58 of 75</v>
      </c>
    </row>
    <row r="2" spans="1:16" ht="18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538" t="s">
        <v>129</v>
      </c>
    </row>
    <row r="3" spans="1:16" ht="18.75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/>
      <c r="P3" s="623">
        <v>1</v>
      </c>
    </row>
    <row r="4" spans="1:16" ht="15.75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6" ht="1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3029068.3185003367</v>
      </c>
      <c r="P5" s="269"/>
    </row>
    <row r="6" spans="1:16" ht="15.7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3029068.3185003367</v>
      </c>
      <c r="O6" s="269"/>
      <c r="P6" s="269"/>
    </row>
    <row r="7" spans="1:16" ht="13.5" thickBot="1">
      <c r="C7" s="467" t="s">
        <v>48</v>
      </c>
      <c r="D7" s="624" t="s">
        <v>361</v>
      </c>
      <c r="E7" s="587"/>
      <c r="F7" s="587"/>
      <c r="G7" s="269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6" ht="13.5" thickBot="1">
      <c r="C8" s="472"/>
      <c r="D8" s="625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6" ht="13.5" thickBot="1">
      <c r="C9" s="476" t="s">
        <v>50</v>
      </c>
      <c r="D9" s="477" t="s">
        <v>403</v>
      </c>
      <c r="E9" s="637" t="s">
        <v>404</v>
      </c>
      <c r="F9" s="478"/>
      <c r="G9" s="478"/>
      <c r="H9" s="478"/>
      <c r="I9" s="479"/>
      <c r="J9" s="480"/>
      <c r="O9" s="481"/>
      <c r="P9" s="272"/>
    </row>
    <row r="10" spans="1:16">
      <c r="C10" s="482" t="s">
        <v>51</v>
      </c>
      <c r="D10" s="483">
        <v>25330929.210000001</v>
      </c>
      <c r="E10" s="353" t="s">
        <v>52</v>
      </c>
      <c r="F10" s="481"/>
      <c r="G10" s="484"/>
      <c r="H10" s="484"/>
      <c r="I10" s="485">
        <f>+'SWE.WS.F.BPU.ATRR.Projected'!L19</f>
        <v>2024</v>
      </c>
      <c r="J10" s="480"/>
      <c r="K10" s="375" t="s">
        <v>53</v>
      </c>
      <c r="O10" s="272"/>
      <c r="P10" s="272"/>
    </row>
    <row r="11" spans="1:16">
      <c r="C11" s="486" t="s">
        <v>54</v>
      </c>
      <c r="D11" s="487">
        <v>2016</v>
      </c>
      <c r="E11" s="486" t="s">
        <v>55</v>
      </c>
      <c r="F11" s="484"/>
      <c r="G11" s="233"/>
      <c r="H11" s="233"/>
      <c r="I11" s="488">
        <f>IF(G5="",0,'SWE.WS.F.BPU.ATRR.Projected'!F$13)</f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6">
      <c r="C12" s="486" t="s">
        <v>56</v>
      </c>
      <c r="D12" s="483">
        <v>4</v>
      </c>
      <c r="E12" s="486" t="s">
        <v>57</v>
      </c>
      <c r="F12" s="484"/>
      <c r="G12" s="233"/>
      <c r="H12" s="233"/>
      <c r="I12" s="490">
        <f>'SWE.WS.F.BPU.ATRR.Projected'!$F$81</f>
        <v>0.11952713165403545</v>
      </c>
      <c r="J12" s="425"/>
      <c r="K12" s="183" t="s">
        <v>58</v>
      </c>
      <c r="O12" s="272"/>
      <c r="P12" s="272"/>
    </row>
    <row r="13" spans="1:16">
      <c r="C13" s="486" t="s">
        <v>59</v>
      </c>
      <c r="D13" s="488">
        <f>+'SWE.WS.F.BPU.ATRR.Projected'!F$93</f>
        <v>44</v>
      </c>
      <c r="E13" s="486" t="s">
        <v>60</v>
      </c>
      <c r="F13" s="484"/>
      <c r="G13" s="233"/>
      <c r="H13" s="233"/>
      <c r="I13" s="490">
        <f>IF(G5="",I12,'SWE.WS.F.BPU.ATRR.Projected'!$F$80)</f>
        <v>0.11952713165403545</v>
      </c>
      <c r="J13" s="425"/>
      <c r="K13" s="375" t="s">
        <v>61</v>
      </c>
      <c r="L13" s="324"/>
      <c r="M13" s="324"/>
      <c r="N13" s="324"/>
      <c r="O13" s="272"/>
      <c r="P13" s="272"/>
    </row>
    <row r="14" spans="1:16" ht="13.5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575702.93659090914</v>
      </c>
      <c r="J14" s="375"/>
      <c r="K14" s="375"/>
      <c r="L14" s="375"/>
      <c r="M14" s="375"/>
      <c r="N14" s="375"/>
      <c r="O14" s="272"/>
      <c r="P14" s="272"/>
    </row>
    <row r="15" spans="1:16" ht="38.25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388</v>
      </c>
      <c r="H15" s="495" t="s">
        <v>389</v>
      </c>
      <c r="I15" s="492" t="s">
        <v>68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6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>
      <c r="C17" s="507">
        <f>IF(D11= "","-",D11)</f>
        <v>2016</v>
      </c>
      <c r="D17" s="631">
        <v>23229161</v>
      </c>
      <c r="E17" s="630">
        <v>276537.63095238095</v>
      </c>
      <c r="F17" s="631">
        <v>22952623.369047619</v>
      </c>
      <c r="G17" s="630">
        <v>3262214.3054167381</v>
      </c>
      <c r="H17" s="639">
        <v>3262214.3054167381</v>
      </c>
      <c r="I17" s="511">
        <f t="shared" ref="I17:I72" si="0">H17-G17</f>
        <v>0</v>
      </c>
      <c r="J17" s="511"/>
      <c r="K17" s="512">
        <f t="shared" ref="K17:K22" si="1">+G17</f>
        <v>3262214.3054167381</v>
      </c>
      <c r="L17" s="513">
        <f t="shared" ref="L17:L72" si="2">IF(K17&lt;&gt;0,+G17-K17,0)</f>
        <v>0</v>
      </c>
      <c r="M17" s="512">
        <f t="shared" ref="M17:M22" si="3">+H17</f>
        <v>3262214.3054167381</v>
      </c>
      <c r="N17" s="513">
        <f t="shared" ref="N17:N72" si="4">IF(M17&lt;&gt;0,+H17-M17,0)</f>
        <v>0</v>
      </c>
      <c r="O17" s="514">
        <f t="shared" ref="O17:O72" si="5">+N17-L17</f>
        <v>0</v>
      </c>
      <c r="P17" s="272"/>
    </row>
    <row r="18" spans="2:16">
      <c r="B18" s="195" t="str">
        <f>IF(D18=F17,"","IU")</f>
        <v>IU</v>
      </c>
      <c r="C18" s="507">
        <f>IF(D11="","-",+C17+1)</f>
        <v>2017</v>
      </c>
      <c r="D18" s="651">
        <v>24940522.369047619</v>
      </c>
      <c r="E18" s="656">
        <v>586443.25581395347</v>
      </c>
      <c r="F18" s="651">
        <v>24354079.113233667</v>
      </c>
      <c r="G18" s="650">
        <v>3640059.7914396082</v>
      </c>
      <c r="H18" s="657">
        <v>3640059.7914396082</v>
      </c>
      <c r="I18" s="511">
        <f t="shared" si="0"/>
        <v>0</v>
      </c>
      <c r="J18" s="511"/>
      <c r="K18" s="518">
        <f t="shared" si="1"/>
        <v>3640059.7914396082</v>
      </c>
      <c r="L18" s="519">
        <f t="shared" ref="L18:L23" si="6">IF(K18&lt;&gt;0,+G18-K18,0)</f>
        <v>0</v>
      </c>
      <c r="M18" s="518">
        <f t="shared" si="3"/>
        <v>3640059.7914396082</v>
      </c>
      <c r="N18" s="514">
        <f>IF(M18&lt;&gt;0,+H18-M18,0)</f>
        <v>0</v>
      </c>
      <c r="O18" s="514">
        <f>+N18-L18</f>
        <v>0</v>
      </c>
      <c r="P18" s="272"/>
    </row>
    <row r="19" spans="2:16">
      <c r="B19" s="195" t="str">
        <f>IF(D19=F18,"","IU")</f>
        <v/>
      </c>
      <c r="C19" s="507">
        <f>IF(D11="","-",+C18+1)</f>
        <v>2018</v>
      </c>
      <c r="D19" s="651">
        <v>24354079.113233667</v>
      </c>
      <c r="E19" s="656">
        <v>615050.24390243902</v>
      </c>
      <c r="F19" s="651">
        <v>23739028.869331229</v>
      </c>
      <c r="G19" s="650">
        <v>3671225.3557542209</v>
      </c>
      <c r="H19" s="657">
        <v>3671225.3557542209</v>
      </c>
      <c r="I19" s="511">
        <f t="shared" si="0"/>
        <v>0</v>
      </c>
      <c r="J19" s="511"/>
      <c r="K19" s="518">
        <f t="shared" si="1"/>
        <v>3671225.3557542209</v>
      </c>
      <c r="L19" s="519">
        <f t="shared" si="6"/>
        <v>0</v>
      </c>
      <c r="M19" s="518">
        <f t="shared" si="3"/>
        <v>3671225.3557542209</v>
      </c>
      <c r="N19" s="514">
        <f>IF(M19&lt;&gt;0,+H19-M19,0)</f>
        <v>0</v>
      </c>
      <c r="O19" s="514">
        <f>+N19-L19</f>
        <v>0</v>
      </c>
      <c r="P19" s="272"/>
    </row>
    <row r="20" spans="2:16">
      <c r="B20" s="195" t="str">
        <f t="shared" ref="B20:B72" si="7">IF(D20=F19,"","IU")</f>
        <v/>
      </c>
      <c r="C20" s="507">
        <f>IF(D11="","-",+C19+1)</f>
        <v>2019</v>
      </c>
      <c r="D20" s="651">
        <v>23739028.869331229</v>
      </c>
      <c r="E20" s="656">
        <v>615050.24390243902</v>
      </c>
      <c r="F20" s="651">
        <v>23123978.625428792</v>
      </c>
      <c r="G20" s="650">
        <v>3593056.0992098348</v>
      </c>
      <c r="H20" s="657">
        <v>3593056.0992098348</v>
      </c>
      <c r="I20" s="511">
        <f t="shared" si="0"/>
        <v>0</v>
      </c>
      <c r="J20" s="511"/>
      <c r="K20" s="518">
        <f t="shared" si="1"/>
        <v>3593056.0992098348</v>
      </c>
      <c r="L20" s="519">
        <f t="shared" si="6"/>
        <v>0</v>
      </c>
      <c r="M20" s="518">
        <f t="shared" si="3"/>
        <v>3593056.0992098348</v>
      </c>
      <c r="N20" s="514">
        <f t="shared" si="4"/>
        <v>0</v>
      </c>
      <c r="O20" s="514">
        <f t="shared" si="5"/>
        <v>0</v>
      </c>
      <c r="P20" s="272"/>
    </row>
    <row r="21" spans="2:16">
      <c r="B21" s="195" t="str">
        <f t="shared" si="7"/>
        <v/>
      </c>
      <c r="C21" s="507">
        <f>IF(D11="","-",+C20+1)</f>
        <v>2020</v>
      </c>
      <c r="D21" s="651">
        <v>23123978.625428792</v>
      </c>
      <c r="E21" s="656">
        <v>615050.24390243902</v>
      </c>
      <c r="F21" s="651">
        <v>22508928.381526355</v>
      </c>
      <c r="G21" s="650">
        <v>2949982.4012109563</v>
      </c>
      <c r="H21" s="657">
        <v>2949982.4012109563</v>
      </c>
      <c r="I21" s="511">
        <f t="shared" si="0"/>
        <v>0</v>
      </c>
      <c r="J21" s="511"/>
      <c r="K21" s="518">
        <f t="shared" si="1"/>
        <v>2949982.4012109563</v>
      </c>
      <c r="L21" s="519">
        <f t="shared" si="6"/>
        <v>0</v>
      </c>
      <c r="M21" s="518">
        <f t="shared" si="3"/>
        <v>2949982.4012109563</v>
      </c>
      <c r="N21" s="514">
        <f t="shared" si="4"/>
        <v>0</v>
      </c>
      <c r="O21" s="514">
        <f t="shared" si="5"/>
        <v>0</v>
      </c>
      <c r="P21" s="272"/>
    </row>
    <row r="22" spans="2:16">
      <c r="B22" s="195" t="str">
        <f t="shared" si="7"/>
        <v>IU</v>
      </c>
      <c r="C22" s="507">
        <f>IF(D11="","-",+C21+1)</f>
        <v>2021</v>
      </c>
      <c r="D22" s="651">
        <v>22651404.369614832</v>
      </c>
      <c r="E22" s="656">
        <v>603117.35714285716</v>
      </c>
      <c r="F22" s="651">
        <v>22048287.012471974</v>
      </c>
      <c r="G22" s="650">
        <v>2972302.5813947208</v>
      </c>
      <c r="H22" s="657">
        <v>2972302.5813947208</v>
      </c>
      <c r="I22" s="511">
        <f t="shared" si="0"/>
        <v>0</v>
      </c>
      <c r="J22" s="511"/>
      <c r="K22" s="518">
        <f t="shared" si="1"/>
        <v>2972302.5813947208</v>
      </c>
      <c r="L22" s="519">
        <f t="shared" si="6"/>
        <v>0</v>
      </c>
      <c r="M22" s="518">
        <f t="shared" si="3"/>
        <v>2972302.5813947208</v>
      </c>
      <c r="N22" s="514">
        <f t="shared" si="4"/>
        <v>0</v>
      </c>
      <c r="O22" s="514">
        <f t="shared" si="5"/>
        <v>0</v>
      </c>
      <c r="P22" s="272"/>
    </row>
    <row r="23" spans="2:16">
      <c r="B23" s="195" t="str">
        <f t="shared" si="7"/>
        <v>IU</v>
      </c>
      <c r="C23" s="507">
        <f>IF(D11="","-",+C22+1)</f>
        <v>2022</v>
      </c>
      <c r="D23" s="651">
        <v>22019680.024383493</v>
      </c>
      <c r="E23" s="656">
        <v>603117.35714285716</v>
      </c>
      <c r="F23" s="651">
        <v>21416562.667240635</v>
      </c>
      <c r="G23" s="650">
        <v>3045191.8978696284</v>
      </c>
      <c r="H23" s="657">
        <v>3045191.8978696284</v>
      </c>
      <c r="I23" s="511">
        <f t="shared" si="0"/>
        <v>0</v>
      </c>
      <c r="J23" s="511"/>
      <c r="K23" s="518">
        <f t="shared" ref="K23" si="8">+G23</f>
        <v>3045191.8978696284</v>
      </c>
      <c r="L23" s="519">
        <f t="shared" si="6"/>
        <v>0</v>
      </c>
      <c r="M23" s="518">
        <f t="shared" ref="M23" si="9">+H23</f>
        <v>3045191.8978696284</v>
      </c>
      <c r="N23" s="514">
        <f t="shared" si="4"/>
        <v>0</v>
      </c>
      <c r="O23" s="514">
        <f t="shared" si="5"/>
        <v>0</v>
      </c>
      <c r="P23" s="272"/>
    </row>
    <row r="24" spans="2:16">
      <c r="B24" s="195" t="str">
        <f t="shared" si="7"/>
        <v>IU</v>
      </c>
      <c r="C24" s="507">
        <f>IF(D11="","-",+C23+1)</f>
        <v>2023</v>
      </c>
      <c r="D24" s="651">
        <v>21416562.877240635</v>
      </c>
      <c r="E24" s="656">
        <v>603117.36214285716</v>
      </c>
      <c r="F24" s="651">
        <v>20813445.515097778</v>
      </c>
      <c r="G24" s="650">
        <v>3270508.0204212591</v>
      </c>
      <c r="H24" s="657">
        <v>3270508.0204212591</v>
      </c>
      <c r="I24" s="511">
        <f t="shared" si="0"/>
        <v>0</v>
      </c>
      <c r="J24" s="511"/>
      <c r="K24" s="518">
        <f t="shared" ref="K24" si="10">+G24</f>
        <v>3270508.0204212591</v>
      </c>
      <c r="L24" s="519">
        <f t="shared" ref="L24" si="11">IF(K24&lt;&gt;0,+G24-K24,0)</f>
        <v>0</v>
      </c>
      <c r="M24" s="518">
        <f t="shared" ref="M24" si="12">+H24</f>
        <v>3270508.0204212591</v>
      </c>
      <c r="N24" s="514">
        <f t="shared" ref="N24" si="13">IF(M24&lt;&gt;0,+H24-M24,0)</f>
        <v>0</v>
      </c>
      <c r="O24" s="514">
        <f t="shared" ref="O24" si="14">+N24-L24</f>
        <v>0</v>
      </c>
      <c r="P24" s="272"/>
    </row>
    <row r="25" spans="2:16">
      <c r="B25" s="195" t="str">
        <f t="shared" si="7"/>
        <v/>
      </c>
      <c r="C25" s="673">
        <f>IF(D11="","-",+C24+1)</f>
        <v>2024</v>
      </c>
      <c r="D25" s="523">
        <f>IF(F24+SUM(E$17:E24)=D$10,F24,D$10-SUM(E$17:E24))</f>
        <v>20813445.515097778</v>
      </c>
      <c r="E25" s="522">
        <f>IF(+I14&lt;F24,I14,D25)</f>
        <v>575702.93659090914</v>
      </c>
      <c r="F25" s="523">
        <f t="shared" ref="F25:F72" si="15">+D25-E25</f>
        <v>20237742.578506868</v>
      </c>
      <c r="G25" s="524">
        <f t="shared" ref="G25:G49" si="16">+I$12*((D25+F25)/2)+E25</f>
        <v>3029068.3185003367</v>
      </c>
      <c r="H25" s="491">
        <f t="shared" ref="H25:H49" si="17">+I$13*((D25+F25)/2)+E25</f>
        <v>3029068.3185003367</v>
      </c>
      <c r="I25" s="511">
        <f t="shared" si="0"/>
        <v>0</v>
      </c>
      <c r="J25" s="511"/>
      <c r="K25" s="525"/>
      <c r="L25" s="514">
        <f t="shared" si="2"/>
        <v>0</v>
      </c>
      <c r="M25" s="525"/>
      <c r="N25" s="514">
        <f t="shared" si="4"/>
        <v>0</v>
      </c>
      <c r="O25" s="514">
        <f t="shared" si="5"/>
        <v>0</v>
      </c>
      <c r="P25" s="272"/>
    </row>
    <row r="26" spans="2:16">
      <c r="B26" s="195" t="str">
        <f t="shared" si="7"/>
        <v/>
      </c>
      <c r="C26" s="507">
        <f>IF(D11="","-",+C25+1)</f>
        <v>2025</v>
      </c>
      <c r="D26" s="523">
        <f>IF(F25+SUM(E$17:E25)=D$10,F25,D$10-SUM(E$17:E25))</f>
        <v>20237742.578506868</v>
      </c>
      <c r="E26" s="522">
        <f>IF(+I14&lt;F25,I14,D26)</f>
        <v>575702.93659090914</v>
      </c>
      <c r="F26" s="523">
        <f t="shared" si="15"/>
        <v>19662039.641915958</v>
      </c>
      <c r="G26" s="524">
        <f t="shared" si="16"/>
        <v>2960256.1978048198</v>
      </c>
      <c r="H26" s="491">
        <f t="shared" si="17"/>
        <v>2960256.1978048198</v>
      </c>
      <c r="I26" s="511">
        <f t="shared" si="0"/>
        <v>0</v>
      </c>
      <c r="J26" s="511"/>
      <c r="K26" s="525"/>
      <c r="L26" s="514">
        <f t="shared" si="2"/>
        <v>0</v>
      </c>
      <c r="M26" s="525"/>
      <c r="N26" s="514">
        <f t="shared" si="4"/>
        <v>0</v>
      </c>
      <c r="O26" s="514">
        <f t="shared" si="5"/>
        <v>0</v>
      </c>
      <c r="P26" s="272"/>
    </row>
    <row r="27" spans="2:16">
      <c r="B27" s="195" t="str">
        <f t="shared" si="7"/>
        <v/>
      </c>
      <c r="C27" s="507">
        <f>IF(D11="","-",+C26+1)</f>
        <v>2026</v>
      </c>
      <c r="D27" s="523">
        <f>IF(F26+SUM(E$17:E26)=D$10,F26,D$10-SUM(E$17:E26))</f>
        <v>19662039.641915958</v>
      </c>
      <c r="E27" s="522">
        <f>IF(+I14&lt;F26,I14,D27)</f>
        <v>575702.93659090914</v>
      </c>
      <c r="F27" s="523">
        <f t="shared" si="15"/>
        <v>19086336.705325048</v>
      </c>
      <c r="G27" s="524">
        <f t="shared" si="16"/>
        <v>2891444.0771093033</v>
      </c>
      <c r="H27" s="491">
        <f t="shared" si="17"/>
        <v>2891444.0771093033</v>
      </c>
      <c r="I27" s="511">
        <f t="shared" si="0"/>
        <v>0</v>
      </c>
      <c r="J27" s="511"/>
      <c r="K27" s="525"/>
      <c r="L27" s="514">
        <f t="shared" si="2"/>
        <v>0</v>
      </c>
      <c r="M27" s="525"/>
      <c r="N27" s="514">
        <f t="shared" si="4"/>
        <v>0</v>
      </c>
      <c r="O27" s="514">
        <f t="shared" si="5"/>
        <v>0</v>
      </c>
      <c r="P27" s="272"/>
    </row>
    <row r="28" spans="2:16">
      <c r="B28" s="195" t="str">
        <f t="shared" si="7"/>
        <v/>
      </c>
      <c r="C28" s="507">
        <f>IF(D11="","-",+C27+1)</f>
        <v>2027</v>
      </c>
      <c r="D28" s="523">
        <f>IF(F27+SUM(E$17:E27)=D$10,F27,D$10-SUM(E$17:E27))</f>
        <v>19086336.705325048</v>
      </c>
      <c r="E28" s="522">
        <f>IF(+I14&lt;F27,I14,D28)</f>
        <v>575702.93659090914</v>
      </c>
      <c r="F28" s="523">
        <f t="shared" si="15"/>
        <v>18510633.768734138</v>
      </c>
      <c r="G28" s="524">
        <f t="shared" si="16"/>
        <v>2822631.9564137869</v>
      </c>
      <c r="H28" s="491">
        <f t="shared" si="17"/>
        <v>2822631.9564137869</v>
      </c>
      <c r="I28" s="511">
        <f t="shared" si="0"/>
        <v>0</v>
      </c>
      <c r="J28" s="511"/>
      <c r="K28" s="525"/>
      <c r="L28" s="514">
        <f t="shared" si="2"/>
        <v>0</v>
      </c>
      <c r="M28" s="525"/>
      <c r="N28" s="514">
        <f t="shared" si="4"/>
        <v>0</v>
      </c>
      <c r="O28" s="514">
        <f t="shared" si="5"/>
        <v>0</v>
      </c>
      <c r="P28" s="272"/>
    </row>
    <row r="29" spans="2:16">
      <c r="B29" s="195" t="str">
        <f t="shared" si="7"/>
        <v/>
      </c>
      <c r="C29" s="507">
        <f>IF(D11="","-",+C28+1)</f>
        <v>2028</v>
      </c>
      <c r="D29" s="523">
        <f>IF(F28+SUM(E$17:E28)=D$10,F28,D$10-SUM(E$17:E28))</f>
        <v>18510633.768734138</v>
      </c>
      <c r="E29" s="522">
        <f>IF(+I14&lt;F28,I14,D29)</f>
        <v>575702.93659090914</v>
      </c>
      <c r="F29" s="523">
        <f t="shared" si="15"/>
        <v>17934930.832143229</v>
      </c>
      <c r="G29" s="524">
        <f t="shared" si="16"/>
        <v>2753819.8357182704</v>
      </c>
      <c r="H29" s="491">
        <f t="shared" si="17"/>
        <v>2753819.8357182704</v>
      </c>
      <c r="I29" s="511">
        <f t="shared" si="0"/>
        <v>0</v>
      </c>
      <c r="J29" s="511"/>
      <c r="K29" s="525"/>
      <c r="L29" s="514">
        <f t="shared" si="2"/>
        <v>0</v>
      </c>
      <c r="M29" s="525"/>
      <c r="N29" s="514">
        <f t="shared" si="4"/>
        <v>0</v>
      </c>
      <c r="O29" s="514">
        <f t="shared" si="5"/>
        <v>0</v>
      </c>
      <c r="P29" s="272"/>
    </row>
    <row r="30" spans="2:16">
      <c r="B30" s="195" t="str">
        <f t="shared" si="7"/>
        <v/>
      </c>
      <c r="C30" s="507">
        <f>IF(D11="","-",+C29+1)</f>
        <v>2029</v>
      </c>
      <c r="D30" s="523">
        <f>IF(F29+SUM(E$17:E29)=D$10,F29,D$10-SUM(E$17:E29))</f>
        <v>17934930.832143229</v>
      </c>
      <c r="E30" s="522">
        <f>IF(+I14&lt;F29,I14,D30)</f>
        <v>575702.93659090914</v>
      </c>
      <c r="F30" s="523">
        <f t="shared" si="15"/>
        <v>17359227.895552319</v>
      </c>
      <c r="G30" s="524">
        <f t="shared" si="16"/>
        <v>2685007.7150227539</v>
      </c>
      <c r="H30" s="491">
        <f t="shared" si="17"/>
        <v>2685007.7150227539</v>
      </c>
      <c r="I30" s="511">
        <f t="shared" si="0"/>
        <v>0</v>
      </c>
      <c r="J30" s="511"/>
      <c r="K30" s="525"/>
      <c r="L30" s="514">
        <f t="shared" si="2"/>
        <v>0</v>
      </c>
      <c r="M30" s="525"/>
      <c r="N30" s="514">
        <f t="shared" si="4"/>
        <v>0</v>
      </c>
      <c r="O30" s="514">
        <f t="shared" si="5"/>
        <v>0</v>
      </c>
      <c r="P30" s="272"/>
    </row>
    <row r="31" spans="2:16">
      <c r="B31" s="195" t="str">
        <f t="shared" si="7"/>
        <v/>
      </c>
      <c r="C31" s="507">
        <f>IF(D11="","-",+C30+1)</f>
        <v>2030</v>
      </c>
      <c r="D31" s="523">
        <f>IF(F30+SUM(E$17:E30)=D$10,F30,D$10-SUM(E$17:E30))</f>
        <v>17359227.895552319</v>
      </c>
      <c r="E31" s="522">
        <f>IF(+I14&lt;F30,I14,D31)</f>
        <v>575702.93659090914</v>
      </c>
      <c r="F31" s="523">
        <f t="shared" si="15"/>
        <v>16783524.958961409</v>
      </c>
      <c r="G31" s="524">
        <f t="shared" si="16"/>
        <v>2616195.5943272375</v>
      </c>
      <c r="H31" s="491">
        <f t="shared" si="17"/>
        <v>2616195.5943272375</v>
      </c>
      <c r="I31" s="511">
        <f t="shared" si="0"/>
        <v>0</v>
      </c>
      <c r="J31" s="511"/>
      <c r="K31" s="525"/>
      <c r="L31" s="514">
        <f t="shared" si="2"/>
        <v>0</v>
      </c>
      <c r="M31" s="525"/>
      <c r="N31" s="514">
        <f t="shared" si="4"/>
        <v>0</v>
      </c>
      <c r="O31" s="514">
        <f t="shared" si="5"/>
        <v>0</v>
      </c>
      <c r="P31" s="272"/>
    </row>
    <row r="32" spans="2:16">
      <c r="B32" s="195" t="str">
        <f t="shared" si="7"/>
        <v/>
      </c>
      <c r="C32" s="507">
        <f>IF(D11="","-",+C31+1)</f>
        <v>2031</v>
      </c>
      <c r="D32" s="523">
        <f>IF(F31+SUM(E$17:E31)=D$10,F31,D$10-SUM(E$17:E31))</f>
        <v>16783524.958961409</v>
      </c>
      <c r="E32" s="522">
        <f>IF(+I14&lt;F31,I14,D32)</f>
        <v>575702.93659090914</v>
      </c>
      <c r="F32" s="523">
        <f t="shared" si="15"/>
        <v>16207822.022370499</v>
      </c>
      <c r="G32" s="524">
        <f t="shared" si="16"/>
        <v>2547383.473631721</v>
      </c>
      <c r="H32" s="491">
        <f t="shared" si="17"/>
        <v>2547383.473631721</v>
      </c>
      <c r="I32" s="511">
        <f t="shared" si="0"/>
        <v>0</v>
      </c>
      <c r="J32" s="511"/>
      <c r="K32" s="525"/>
      <c r="L32" s="514">
        <f t="shared" si="2"/>
        <v>0</v>
      </c>
      <c r="M32" s="525"/>
      <c r="N32" s="514">
        <f t="shared" si="4"/>
        <v>0</v>
      </c>
      <c r="O32" s="514">
        <f t="shared" si="5"/>
        <v>0</v>
      </c>
      <c r="P32" s="272"/>
    </row>
    <row r="33" spans="2:16">
      <c r="B33" s="195" t="str">
        <f t="shared" si="7"/>
        <v/>
      </c>
      <c r="C33" s="507">
        <f>IF(D11="","-",+C32+1)</f>
        <v>2032</v>
      </c>
      <c r="D33" s="523">
        <f>IF(F32+SUM(E$17:E32)=D$10,F32,D$10-SUM(E$17:E32))</f>
        <v>16207822.022370499</v>
      </c>
      <c r="E33" s="522">
        <f>IF(+I14&lt;F32,I14,D33)</f>
        <v>575702.93659090914</v>
      </c>
      <c r="F33" s="523">
        <f t="shared" si="15"/>
        <v>15632119.085779589</v>
      </c>
      <c r="G33" s="524">
        <f t="shared" si="16"/>
        <v>2478571.3529362045</v>
      </c>
      <c r="H33" s="491">
        <f t="shared" si="17"/>
        <v>2478571.3529362045</v>
      </c>
      <c r="I33" s="511">
        <f t="shared" si="0"/>
        <v>0</v>
      </c>
      <c r="J33" s="511"/>
      <c r="K33" s="525"/>
      <c r="L33" s="514">
        <f t="shared" si="2"/>
        <v>0</v>
      </c>
      <c r="M33" s="525"/>
      <c r="N33" s="514">
        <f t="shared" si="4"/>
        <v>0</v>
      </c>
      <c r="O33" s="514">
        <f t="shared" si="5"/>
        <v>0</v>
      </c>
      <c r="P33" s="272"/>
    </row>
    <row r="34" spans="2:16">
      <c r="B34" s="195" t="str">
        <f t="shared" si="7"/>
        <v/>
      </c>
      <c r="C34" s="507">
        <f>IF(D11="","-",+C33+1)</f>
        <v>2033</v>
      </c>
      <c r="D34" s="523">
        <f>IF(F33+SUM(E$17:E33)=D$10,F33,D$10-SUM(E$17:E33))</f>
        <v>15632119.085779589</v>
      </c>
      <c r="E34" s="522">
        <f>IF(+I14&lt;F33,I14,D34)</f>
        <v>575702.93659090914</v>
      </c>
      <c r="F34" s="523">
        <f t="shared" si="15"/>
        <v>15056416.149188679</v>
      </c>
      <c r="G34" s="524">
        <f t="shared" si="16"/>
        <v>2409759.2322406881</v>
      </c>
      <c r="H34" s="491">
        <f t="shared" si="17"/>
        <v>2409759.2322406881</v>
      </c>
      <c r="I34" s="511">
        <f t="shared" si="0"/>
        <v>0</v>
      </c>
      <c r="J34" s="511"/>
      <c r="K34" s="525"/>
      <c r="L34" s="514">
        <f t="shared" si="2"/>
        <v>0</v>
      </c>
      <c r="M34" s="525"/>
      <c r="N34" s="514">
        <f t="shared" si="4"/>
        <v>0</v>
      </c>
      <c r="O34" s="514">
        <f t="shared" si="5"/>
        <v>0</v>
      </c>
      <c r="P34" s="272"/>
    </row>
    <row r="35" spans="2:16">
      <c r="B35" s="195" t="str">
        <f t="shared" si="7"/>
        <v/>
      </c>
      <c r="C35" s="507">
        <f>IF(D11="","-",+C34+1)</f>
        <v>2034</v>
      </c>
      <c r="D35" s="523">
        <f>IF(F34+SUM(E$17:E34)=D$10,F34,D$10-SUM(E$17:E34))</f>
        <v>15056416.149188679</v>
      </c>
      <c r="E35" s="522">
        <f>IF(+I14&lt;F34,I14,D35)</f>
        <v>575702.93659090914</v>
      </c>
      <c r="F35" s="523">
        <f t="shared" si="15"/>
        <v>14480713.212597769</v>
      </c>
      <c r="G35" s="524">
        <f t="shared" si="16"/>
        <v>2340947.1115451716</v>
      </c>
      <c r="H35" s="491">
        <f t="shared" si="17"/>
        <v>2340947.1115451716</v>
      </c>
      <c r="I35" s="511">
        <f t="shared" si="0"/>
        <v>0</v>
      </c>
      <c r="J35" s="511"/>
      <c r="K35" s="525"/>
      <c r="L35" s="514">
        <f t="shared" si="2"/>
        <v>0</v>
      </c>
      <c r="M35" s="525"/>
      <c r="N35" s="514">
        <f t="shared" si="4"/>
        <v>0</v>
      </c>
      <c r="O35" s="514">
        <f t="shared" si="5"/>
        <v>0</v>
      </c>
      <c r="P35" s="272"/>
    </row>
    <row r="36" spans="2:16">
      <c r="B36" s="195" t="str">
        <f t="shared" si="7"/>
        <v/>
      </c>
      <c r="C36" s="507">
        <f>IF(D11="","-",+C35+1)</f>
        <v>2035</v>
      </c>
      <c r="D36" s="523">
        <f>IF(F35+SUM(E$17:E35)=D$10,F35,D$10-SUM(E$17:E35))</f>
        <v>14480713.212597769</v>
      </c>
      <c r="E36" s="522">
        <f>IF(+I14&lt;F35,I14,D36)</f>
        <v>575702.93659090914</v>
      </c>
      <c r="F36" s="523">
        <f t="shared" si="15"/>
        <v>13905010.276006859</v>
      </c>
      <c r="G36" s="524">
        <f t="shared" si="16"/>
        <v>2272134.9908496551</v>
      </c>
      <c r="H36" s="491">
        <f t="shared" si="17"/>
        <v>2272134.9908496551</v>
      </c>
      <c r="I36" s="511">
        <f t="shared" si="0"/>
        <v>0</v>
      </c>
      <c r="J36" s="511"/>
      <c r="K36" s="525"/>
      <c r="L36" s="514">
        <f t="shared" si="2"/>
        <v>0</v>
      </c>
      <c r="M36" s="525"/>
      <c r="N36" s="514">
        <f t="shared" si="4"/>
        <v>0</v>
      </c>
      <c r="O36" s="514">
        <f t="shared" si="5"/>
        <v>0</v>
      </c>
      <c r="P36" s="272"/>
    </row>
    <row r="37" spans="2:16">
      <c r="B37" s="195" t="str">
        <f t="shared" si="7"/>
        <v/>
      </c>
      <c r="C37" s="507">
        <f>IF(D11="","-",+C36+1)</f>
        <v>2036</v>
      </c>
      <c r="D37" s="523">
        <f>IF(F36+SUM(E$17:E36)=D$10,F36,D$10-SUM(E$17:E36))</f>
        <v>13905010.276006859</v>
      </c>
      <c r="E37" s="522">
        <f>IF(+I14&lt;F36,I14,D37)</f>
        <v>575702.93659090914</v>
      </c>
      <c r="F37" s="523">
        <f t="shared" si="15"/>
        <v>13329307.339415949</v>
      </c>
      <c r="G37" s="524">
        <f t="shared" si="16"/>
        <v>2203322.8701541387</v>
      </c>
      <c r="H37" s="491">
        <f t="shared" si="17"/>
        <v>2203322.8701541387</v>
      </c>
      <c r="I37" s="511">
        <f t="shared" si="0"/>
        <v>0</v>
      </c>
      <c r="J37" s="511"/>
      <c r="K37" s="525"/>
      <c r="L37" s="514">
        <f t="shared" si="2"/>
        <v>0</v>
      </c>
      <c r="M37" s="525"/>
      <c r="N37" s="514">
        <f t="shared" si="4"/>
        <v>0</v>
      </c>
      <c r="O37" s="514">
        <f t="shared" si="5"/>
        <v>0</v>
      </c>
      <c r="P37" s="272"/>
    </row>
    <row r="38" spans="2:16">
      <c r="B38" s="195" t="str">
        <f t="shared" si="7"/>
        <v/>
      </c>
      <c r="C38" s="507">
        <f>IF(D11="","-",+C37+1)</f>
        <v>2037</v>
      </c>
      <c r="D38" s="523">
        <f>IF(F37+SUM(E$17:E37)=D$10,F37,D$10-SUM(E$17:E37))</f>
        <v>13329307.339415949</v>
      </c>
      <c r="E38" s="522">
        <f>IF(+I14&lt;F37,I14,D38)</f>
        <v>575702.93659090914</v>
      </c>
      <c r="F38" s="523">
        <f t="shared" si="15"/>
        <v>12753604.402825039</v>
      </c>
      <c r="G38" s="524">
        <f t="shared" si="16"/>
        <v>2134510.7494586217</v>
      </c>
      <c r="H38" s="491">
        <f t="shared" si="17"/>
        <v>2134510.7494586217</v>
      </c>
      <c r="I38" s="511">
        <f t="shared" si="0"/>
        <v>0</v>
      </c>
      <c r="J38" s="511"/>
      <c r="K38" s="525"/>
      <c r="L38" s="514">
        <f t="shared" si="2"/>
        <v>0</v>
      </c>
      <c r="M38" s="525"/>
      <c r="N38" s="514">
        <f t="shared" si="4"/>
        <v>0</v>
      </c>
      <c r="O38" s="514">
        <f t="shared" si="5"/>
        <v>0</v>
      </c>
      <c r="P38" s="272"/>
    </row>
    <row r="39" spans="2:16">
      <c r="B39" s="195" t="str">
        <f t="shared" si="7"/>
        <v/>
      </c>
      <c r="C39" s="507">
        <f>IF(D11="","-",+C38+1)</f>
        <v>2038</v>
      </c>
      <c r="D39" s="523">
        <f>IF(F38+SUM(E$17:E38)=D$10,F38,D$10-SUM(E$17:E38))</f>
        <v>12753604.402825039</v>
      </c>
      <c r="E39" s="522">
        <f>IF(+I14&lt;F38,I14,D39)</f>
        <v>575702.93659090914</v>
      </c>
      <c r="F39" s="523">
        <f t="shared" si="15"/>
        <v>12177901.466234129</v>
      </c>
      <c r="G39" s="524">
        <f t="shared" si="16"/>
        <v>2065698.6287631053</v>
      </c>
      <c r="H39" s="491">
        <f t="shared" si="17"/>
        <v>2065698.6287631053</v>
      </c>
      <c r="I39" s="511">
        <f t="shared" si="0"/>
        <v>0</v>
      </c>
      <c r="J39" s="511"/>
      <c r="K39" s="525"/>
      <c r="L39" s="514">
        <f t="shared" si="2"/>
        <v>0</v>
      </c>
      <c r="M39" s="525"/>
      <c r="N39" s="514">
        <f t="shared" si="4"/>
        <v>0</v>
      </c>
      <c r="O39" s="514">
        <f t="shared" si="5"/>
        <v>0</v>
      </c>
      <c r="P39" s="272"/>
    </row>
    <row r="40" spans="2:16">
      <c r="B40" s="195" t="str">
        <f t="shared" si="7"/>
        <v/>
      </c>
      <c r="C40" s="507">
        <f>IF(D11="","-",+C39+1)</f>
        <v>2039</v>
      </c>
      <c r="D40" s="523">
        <f>IF(F39+SUM(E$17:E39)=D$10,F39,D$10-SUM(E$17:E39))</f>
        <v>12177901.466234129</v>
      </c>
      <c r="E40" s="522">
        <f>IF(+I14&lt;F39,I14,D40)</f>
        <v>575702.93659090914</v>
      </c>
      <c r="F40" s="523">
        <f t="shared" si="15"/>
        <v>11602198.529643219</v>
      </c>
      <c r="G40" s="524">
        <f t="shared" si="16"/>
        <v>1996886.5080675888</v>
      </c>
      <c r="H40" s="491">
        <f t="shared" si="17"/>
        <v>1996886.5080675888</v>
      </c>
      <c r="I40" s="511">
        <f t="shared" si="0"/>
        <v>0</v>
      </c>
      <c r="J40" s="511"/>
      <c r="K40" s="525"/>
      <c r="L40" s="514">
        <f t="shared" si="2"/>
        <v>0</v>
      </c>
      <c r="M40" s="525"/>
      <c r="N40" s="514">
        <f t="shared" si="4"/>
        <v>0</v>
      </c>
      <c r="O40" s="514">
        <f t="shared" si="5"/>
        <v>0</v>
      </c>
      <c r="P40" s="272"/>
    </row>
    <row r="41" spans="2:16">
      <c r="B41" s="195" t="str">
        <f t="shared" si="7"/>
        <v/>
      </c>
      <c r="C41" s="507">
        <f>IF(D11="","-",+C40+1)</f>
        <v>2040</v>
      </c>
      <c r="D41" s="523">
        <f>IF(F40+SUM(E$17:E40)=D$10,F40,D$10-SUM(E$17:E40))</f>
        <v>11602198.529643219</v>
      </c>
      <c r="E41" s="522">
        <f>IF(+I14&lt;F40,I14,D41)</f>
        <v>575702.93659090914</v>
      </c>
      <c r="F41" s="523">
        <f t="shared" si="15"/>
        <v>11026495.593052309</v>
      </c>
      <c r="G41" s="524">
        <f t="shared" si="16"/>
        <v>1928074.3873720723</v>
      </c>
      <c r="H41" s="491">
        <f t="shared" si="17"/>
        <v>1928074.3873720723</v>
      </c>
      <c r="I41" s="511">
        <f t="shared" si="0"/>
        <v>0</v>
      </c>
      <c r="J41" s="511"/>
      <c r="K41" s="525"/>
      <c r="L41" s="514">
        <f t="shared" si="2"/>
        <v>0</v>
      </c>
      <c r="M41" s="525"/>
      <c r="N41" s="514">
        <f t="shared" si="4"/>
        <v>0</v>
      </c>
      <c r="O41" s="514">
        <f t="shared" si="5"/>
        <v>0</v>
      </c>
      <c r="P41" s="272"/>
    </row>
    <row r="42" spans="2:16">
      <c r="B42" s="195" t="str">
        <f t="shared" si="7"/>
        <v/>
      </c>
      <c r="C42" s="507">
        <f>IF(D11="","-",+C41+1)</f>
        <v>2041</v>
      </c>
      <c r="D42" s="523">
        <f>IF(F41+SUM(E$17:E41)=D$10,F41,D$10-SUM(E$17:E41))</f>
        <v>11026495.593052309</v>
      </c>
      <c r="E42" s="522">
        <f>IF(+I14&lt;F41,I14,D42)</f>
        <v>575702.93659090914</v>
      </c>
      <c r="F42" s="523">
        <f t="shared" si="15"/>
        <v>10450792.656461399</v>
      </c>
      <c r="G42" s="524">
        <f t="shared" si="16"/>
        <v>1859262.2666765559</v>
      </c>
      <c r="H42" s="491">
        <f t="shared" si="17"/>
        <v>1859262.2666765559</v>
      </c>
      <c r="I42" s="511">
        <f t="shared" si="0"/>
        <v>0</v>
      </c>
      <c r="J42" s="511"/>
      <c r="K42" s="525"/>
      <c r="L42" s="514">
        <f t="shared" si="2"/>
        <v>0</v>
      </c>
      <c r="M42" s="525"/>
      <c r="N42" s="514">
        <f t="shared" si="4"/>
        <v>0</v>
      </c>
      <c r="O42" s="514">
        <f t="shared" si="5"/>
        <v>0</v>
      </c>
      <c r="P42" s="272"/>
    </row>
    <row r="43" spans="2:16">
      <c r="B43" s="195" t="str">
        <f t="shared" si="7"/>
        <v/>
      </c>
      <c r="C43" s="507">
        <f>IF(D11="","-",+C42+1)</f>
        <v>2042</v>
      </c>
      <c r="D43" s="523">
        <f>IF(F42+SUM(E$17:E42)=D$10,F42,D$10-SUM(E$17:E42))</f>
        <v>10450792.656461399</v>
      </c>
      <c r="E43" s="522">
        <f>IF(+I14&lt;F42,I14,D43)</f>
        <v>575702.93659090914</v>
      </c>
      <c r="F43" s="523">
        <f t="shared" si="15"/>
        <v>9875089.7198704891</v>
      </c>
      <c r="G43" s="524">
        <f t="shared" si="16"/>
        <v>1790450.1459810394</v>
      </c>
      <c r="H43" s="491">
        <f t="shared" si="17"/>
        <v>1790450.1459810394</v>
      </c>
      <c r="I43" s="511">
        <f t="shared" si="0"/>
        <v>0</v>
      </c>
      <c r="J43" s="511"/>
      <c r="K43" s="525"/>
      <c r="L43" s="514">
        <f t="shared" si="2"/>
        <v>0</v>
      </c>
      <c r="M43" s="525"/>
      <c r="N43" s="514">
        <f t="shared" si="4"/>
        <v>0</v>
      </c>
      <c r="O43" s="514">
        <f t="shared" si="5"/>
        <v>0</v>
      </c>
      <c r="P43" s="272"/>
    </row>
    <row r="44" spans="2:16">
      <c r="B44" s="195" t="str">
        <f t="shared" si="7"/>
        <v/>
      </c>
      <c r="C44" s="507">
        <f>IF(D11="","-",+C43+1)</f>
        <v>2043</v>
      </c>
      <c r="D44" s="523">
        <f>IF(F43+SUM(E$17:E43)=D$10,F43,D$10-SUM(E$17:E43))</f>
        <v>9875089.7198704891</v>
      </c>
      <c r="E44" s="522">
        <f>IF(+I14&lt;F43,I14,D44)</f>
        <v>575702.93659090914</v>
      </c>
      <c r="F44" s="523">
        <f t="shared" si="15"/>
        <v>9299386.7832795791</v>
      </c>
      <c r="G44" s="524">
        <f t="shared" si="16"/>
        <v>1721638.0252855229</v>
      </c>
      <c r="H44" s="491">
        <f t="shared" si="17"/>
        <v>1721638.0252855229</v>
      </c>
      <c r="I44" s="511">
        <f t="shared" si="0"/>
        <v>0</v>
      </c>
      <c r="J44" s="511"/>
      <c r="K44" s="525"/>
      <c r="L44" s="514">
        <f t="shared" si="2"/>
        <v>0</v>
      </c>
      <c r="M44" s="525"/>
      <c r="N44" s="514">
        <f t="shared" si="4"/>
        <v>0</v>
      </c>
      <c r="O44" s="514">
        <f t="shared" si="5"/>
        <v>0</v>
      </c>
      <c r="P44" s="272"/>
    </row>
    <row r="45" spans="2:16">
      <c r="B45" s="195" t="str">
        <f t="shared" si="7"/>
        <v/>
      </c>
      <c r="C45" s="507">
        <f>IF(D11="","-",+C44+1)</f>
        <v>2044</v>
      </c>
      <c r="D45" s="523">
        <f>IF(F44+SUM(E$17:E44)=D$10,F44,D$10-SUM(E$17:E44))</f>
        <v>9299386.7832795791</v>
      </c>
      <c r="E45" s="522">
        <f>IF(+I14&lt;F44,I14,D45)</f>
        <v>575702.93659090914</v>
      </c>
      <c r="F45" s="523">
        <f t="shared" si="15"/>
        <v>8723683.8466886692</v>
      </c>
      <c r="G45" s="524">
        <f t="shared" si="16"/>
        <v>1652825.9045900065</v>
      </c>
      <c r="H45" s="491">
        <f t="shared" si="17"/>
        <v>1652825.9045900065</v>
      </c>
      <c r="I45" s="511">
        <f t="shared" si="0"/>
        <v>0</v>
      </c>
      <c r="J45" s="511"/>
      <c r="K45" s="525"/>
      <c r="L45" s="514">
        <f t="shared" si="2"/>
        <v>0</v>
      </c>
      <c r="M45" s="525"/>
      <c r="N45" s="514">
        <f t="shared" si="4"/>
        <v>0</v>
      </c>
      <c r="O45" s="514">
        <f t="shared" si="5"/>
        <v>0</v>
      </c>
      <c r="P45" s="272"/>
    </row>
    <row r="46" spans="2:16">
      <c r="B46" s="195" t="str">
        <f t="shared" si="7"/>
        <v/>
      </c>
      <c r="C46" s="507">
        <f>IF(D11="","-",+C45+1)</f>
        <v>2045</v>
      </c>
      <c r="D46" s="523">
        <f>IF(F45+SUM(E$17:E45)=D$10,F45,D$10-SUM(E$17:E45))</f>
        <v>8723683.8466886692</v>
      </c>
      <c r="E46" s="522">
        <f>IF(+I14&lt;F45,I14,D46)</f>
        <v>575702.93659090914</v>
      </c>
      <c r="F46" s="523">
        <f t="shared" si="15"/>
        <v>8147980.9100977601</v>
      </c>
      <c r="G46" s="524">
        <f t="shared" si="16"/>
        <v>1584013.78389449</v>
      </c>
      <c r="H46" s="491">
        <f t="shared" si="17"/>
        <v>1584013.78389449</v>
      </c>
      <c r="I46" s="511">
        <f t="shared" si="0"/>
        <v>0</v>
      </c>
      <c r="J46" s="511"/>
      <c r="K46" s="525"/>
      <c r="L46" s="514">
        <f t="shared" si="2"/>
        <v>0</v>
      </c>
      <c r="M46" s="525"/>
      <c r="N46" s="514">
        <f t="shared" si="4"/>
        <v>0</v>
      </c>
      <c r="O46" s="514">
        <f t="shared" si="5"/>
        <v>0</v>
      </c>
      <c r="P46" s="272"/>
    </row>
    <row r="47" spans="2:16">
      <c r="B47" s="195" t="str">
        <f t="shared" si="7"/>
        <v/>
      </c>
      <c r="C47" s="507">
        <f>IF(D11="","-",+C46+1)</f>
        <v>2046</v>
      </c>
      <c r="D47" s="523">
        <f>IF(F46+SUM(E$17:E46)=D$10,F46,D$10-SUM(E$17:E46))</f>
        <v>8147980.9100977601</v>
      </c>
      <c r="E47" s="522">
        <f>IF(+I14&lt;F46,I14,D47)</f>
        <v>575702.93659090914</v>
      </c>
      <c r="F47" s="523">
        <f t="shared" si="15"/>
        <v>7572277.9735068511</v>
      </c>
      <c r="G47" s="524">
        <f t="shared" si="16"/>
        <v>1515201.6631989735</v>
      </c>
      <c r="H47" s="491">
        <f t="shared" si="17"/>
        <v>1515201.6631989735</v>
      </c>
      <c r="I47" s="511">
        <f t="shared" si="0"/>
        <v>0</v>
      </c>
      <c r="J47" s="511"/>
      <c r="K47" s="525"/>
      <c r="L47" s="514">
        <f t="shared" si="2"/>
        <v>0</v>
      </c>
      <c r="M47" s="525"/>
      <c r="N47" s="514">
        <f t="shared" si="4"/>
        <v>0</v>
      </c>
      <c r="O47" s="514">
        <f t="shared" si="5"/>
        <v>0</v>
      </c>
      <c r="P47" s="272"/>
    </row>
    <row r="48" spans="2:16">
      <c r="B48" s="195" t="str">
        <f t="shared" si="7"/>
        <v/>
      </c>
      <c r="C48" s="507">
        <f>IF(D11="","-",+C47+1)</f>
        <v>2047</v>
      </c>
      <c r="D48" s="523">
        <f>IF(F47+SUM(E$17:E47)=D$10,F47,D$10-SUM(E$17:E47))</f>
        <v>7572277.9735068511</v>
      </c>
      <c r="E48" s="522">
        <f>IF(+I14&lt;F47,I14,D48)</f>
        <v>575702.93659090914</v>
      </c>
      <c r="F48" s="523">
        <f t="shared" si="15"/>
        <v>6996575.0369159421</v>
      </c>
      <c r="G48" s="524">
        <f t="shared" si="16"/>
        <v>1446389.5425034571</v>
      </c>
      <c r="H48" s="491">
        <f t="shared" si="17"/>
        <v>1446389.5425034571</v>
      </c>
      <c r="I48" s="511">
        <f t="shared" si="0"/>
        <v>0</v>
      </c>
      <c r="J48" s="511"/>
      <c r="K48" s="525"/>
      <c r="L48" s="514">
        <f t="shared" si="2"/>
        <v>0</v>
      </c>
      <c r="M48" s="525"/>
      <c r="N48" s="514">
        <f t="shared" si="4"/>
        <v>0</v>
      </c>
      <c r="O48" s="514">
        <f t="shared" si="5"/>
        <v>0</v>
      </c>
      <c r="P48" s="272"/>
    </row>
    <row r="49" spans="2:16">
      <c r="B49" s="195" t="str">
        <f t="shared" si="7"/>
        <v/>
      </c>
      <c r="C49" s="507">
        <f>IF(D11="","-",+C48+1)</f>
        <v>2048</v>
      </c>
      <c r="D49" s="523">
        <f>IF(F48+SUM(E$17:E48)=D$10,F48,D$10-SUM(E$17:E48))</f>
        <v>6996575.0369159421</v>
      </c>
      <c r="E49" s="522">
        <f>IF(+I14&lt;F48,I14,D49)</f>
        <v>575702.93659090914</v>
      </c>
      <c r="F49" s="523">
        <f t="shared" si="15"/>
        <v>6420872.1003250331</v>
      </c>
      <c r="G49" s="524">
        <f t="shared" si="16"/>
        <v>1377577.4218079406</v>
      </c>
      <c r="H49" s="491">
        <f t="shared" si="17"/>
        <v>1377577.4218079406</v>
      </c>
      <c r="I49" s="511">
        <f t="shared" si="0"/>
        <v>0</v>
      </c>
      <c r="J49" s="511"/>
      <c r="K49" s="525"/>
      <c r="L49" s="514">
        <f t="shared" si="2"/>
        <v>0</v>
      </c>
      <c r="M49" s="525"/>
      <c r="N49" s="514">
        <f t="shared" si="4"/>
        <v>0</v>
      </c>
      <c r="O49" s="514">
        <f t="shared" si="5"/>
        <v>0</v>
      </c>
      <c r="P49" s="272"/>
    </row>
    <row r="50" spans="2:16">
      <c r="B50" s="195" t="str">
        <f t="shared" si="7"/>
        <v/>
      </c>
      <c r="C50" s="507">
        <f>IF(D11="","-",+C49+1)</f>
        <v>2049</v>
      </c>
      <c r="D50" s="523">
        <f>IF(F49+SUM(E$17:E49)=D$10,F49,D$10-SUM(E$17:E49))</f>
        <v>6420872.1003250331</v>
      </c>
      <c r="E50" s="522">
        <f>IF(+I14&lt;F49,I14,D50)</f>
        <v>575702.93659090914</v>
      </c>
      <c r="F50" s="523">
        <f t="shared" si="15"/>
        <v>5845169.163734124</v>
      </c>
      <c r="G50" s="524">
        <f t="shared" ref="G50:G72" si="18">+I$12*((D50+F50)/2)+E50</f>
        <v>1308765.3011124241</v>
      </c>
      <c r="H50" s="491">
        <f t="shared" ref="H50:H72" si="19">+I$13*((D50+F50)/2)+E50</f>
        <v>1308765.3011124241</v>
      </c>
      <c r="I50" s="511">
        <f t="shared" si="0"/>
        <v>0</v>
      </c>
      <c r="J50" s="511"/>
      <c r="K50" s="525"/>
      <c r="L50" s="514">
        <f t="shared" si="2"/>
        <v>0</v>
      </c>
      <c r="M50" s="525"/>
      <c r="N50" s="514">
        <f t="shared" si="4"/>
        <v>0</v>
      </c>
      <c r="O50" s="514">
        <f t="shared" si="5"/>
        <v>0</v>
      </c>
      <c r="P50" s="272"/>
    </row>
    <row r="51" spans="2:16">
      <c r="B51" s="195" t="str">
        <f t="shared" si="7"/>
        <v/>
      </c>
      <c r="C51" s="507">
        <f>IF(D11="","-",+C50+1)</f>
        <v>2050</v>
      </c>
      <c r="D51" s="523">
        <f>IF(F50+SUM(E$17:E50)=D$10,F50,D$10-SUM(E$17:E50))</f>
        <v>5845169.163734124</v>
      </c>
      <c r="E51" s="522">
        <f>IF(+I14&lt;F50,I14,D51)</f>
        <v>575702.93659090914</v>
      </c>
      <c r="F51" s="523">
        <f t="shared" si="15"/>
        <v>5269466.227143215</v>
      </c>
      <c r="G51" s="524">
        <f t="shared" si="18"/>
        <v>1239953.1804169079</v>
      </c>
      <c r="H51" s="491">
        <f t="shared" si="19"/>
        <v>1239953.1804169079</v>
      </c>
      <c r="I51" s="511">
        <f t="shared" si="0"/>
        <v>0</v>
      </c>
      <c r="J51" s="511"/>
      <c r="K51" s="525"/>
      <c r="L51" s="514">
        <f t="shared" si="2"/>
        <v>0</v>
      </c>
      <c r="M51" s="525"/>
      <c r="N51" s="514">
        <f t="shared" si="4"/>
        <v>0</v>
      </c>
      <c r="O51" s="514">
        <f t="shared" si="5"/>
        <v>0</v>
      </c>
      <c r="P51" s="272"/>
    </row>
    <row r="52" spans="2:16">
      <c r="B52" s="195" t="str">
        <f t="shared" si="7"/>
        <v/>
      </c>
      <c r="C52" s="507">
        <f>IF(D11="","-",+C51+1)</f>
        <v>2051</v>
      </c>
      <c r="D52" s="523">
        <f>IF(F51+SUM(E$17:E51)=D$10,F51,D$10-SUM(E$17:E51))</f>
        <v>5269466.227143215</v>
      </c>
      <c r="E52" s="522">
        <f>IF(+I14&lt;F51,I14,D52)</f>
        <v>575702.93659090914</v>
      </c>
      <c r="F52" s="523">
        <f t="shared" si="15"/>
        <v>4693763.290552306</v>
      </c>
      <c r="G52" s="524">
        <f t="shared" si="18"/>
        <v>1171141.0597213914</v>
      </c>
      <c r="H52" s="491">
        <f t="shared" si="19"/>
        <v>1171141.0597213914</v>
      </c>
      <c r="I52" s="511">
        <f t="shared" si="0"/>
        <v>0</v>
      </c>
      <c r="J52" s="511"/>
      <c r="K52" s="525"/>
      <c r="L52" s="514">
        <f t="shared" si="2"/>
        <v>0</v>
      </c>
      <c r="M52" s="525"/>
      <c r="N52" s="514">
        <f t="shared" si="4"/>
        <v>0</v>
      </c>
      <c r="O52" s="514">
        <f t="shared" si="5"/>
        <v>0</v>
      </c>
      <c r="P52" s="272"/>
    </row>
    <row r="53" spans="2:16">
      <c r="B53" s="195" t="str">
        <f t="shared" si="7"/>
        <v/>
      </c>
      <c r="C53" s="507">
        <f>IF(D11="","-",+C52+1)</f>
        <v>2052</v>
      </c>
      <c r="D53" s="523">
        <f>IF(F52+SUM(E$17:E52)=D$10,F52,D$10-SUM(E$17:E52))</f>
        <v>4693763.290552306</v>
      </c>
      <c r="E53" s="522">
        <f>IF(+I14&lt;F52,I14,D53)</f>
        <v>575702.93659090914</v>
      </c>
      <c r="F53" s="523">
        <f t="shared" si="15"/>
        <v>4118060.353961397</v>
      </c>
      <c r="G53" s="524">
        <f t="shared" si="18"/>
        <v>1102328.9390258752</v>
      </c>
      <c r="H53" s="491">
        <f t="shared" si="19"/>
        <v>1102328.9390258752</v>
      </c>
      <c r="I53" s="511">
        <f t="shared" si="0"/>
        <v>0</v>
      </c>
      <c r="J53" s="511"/>
      <c r="K53" s="525"/>
      <c r="L53" s="514">
        <f t="shared" si="2"/>
        <v>0</v>
      </c>
      <c r="M53" s="525"/>
      <c r="N53" s="514">
        <f t="shared" si="4"/>
        <v>0</v>
      </c>
      <c r="O53" s="514">
        <f t="shared" si="5"/>
        <v>0</v>
      </c>
      <c r="P53" s="272"/>
    </row>
    <row r="54" spans="2:16">
      <c r="B54" s="195" t="str">
        <f t="shared" si="7"/>
        <v/>
      </c>
      <c r="C54" s="507">
        <f>IF(D11="","-",+C53+1)</f>
        <v>2053</v>
      </c>
      <c r="D54" s="523">
        <f>IF(F53+SUM(E$17:E53)=D$10,F53,D$10-SUM(E$17:E53))</f>
        <v>4118060.353961397</v>
      </c>
      <c r="E54" s="522">
        <f>IF(+I14&lt;F53,I14,D54)</f>
        <v>575702.93659090914</v>
      </c>
      <c r="F54" s="523">
        <f t="shared" si="15"/>
        <v>3542357.4173704879</v>
      </c>
      <c r="G54" s="524">
        <f t="shared" si="18"/>
        <v>1033516.8183303587</v>
      </c>
      <c r="H54" s="491">
        <f t="shared" si="19"/>
        <v>1033516.8183303587</v>
      </c>
      <c r="I54" s="511">
        <f t="shared" si="0"/>
        <v>0</v>
      </c>
      <c r="J54" s="511"/>
      <c r="K54" s="525"/>
      <c r="L54" s="514">
        <f t="shared" si="2"/>
        <v>0</v>
      </c>
      <c r="M54" s="525"/>
      <c r="N54" s="514">
        <f t="shared" si="4"/>
        <v>0</v>
      </c>
      <c r="O54" s="514">
        <f t="shared" si="5"/>
        <v>0</v>
      </c>
      <c r="P54" s="272"/>
    </row>
    <row r="55" spans="2:16">
      <c r="B55" s="195" t="str">
        <f t="shared" si="7"/>
        <v/>
      </c>
      <c r="C55" s="507">
        <f>IF(D11="","-",+C54+1)</f>
        <v>2054</v>
      </c>
      <c r="D55" s="523">
        <f>IF(F54+SUM(E$17:E54)=D$10,F54,D$10-SUM(E$17:E54))</f>
        <v>3542357.4173704879</v>
      </c>
      <c r="E55" s="522">
        <f>IF(+I14&lt;F54,I14,D55)</f>
        <v>575702.93659090914</v>
      </c>
      <c r="F55" s="523">
        <f t="shared" si="15"/>
        <v>2966654.4807795789</v>
      </c>
      <c r="G55" s="524">
        <f t="shared" si="18"/>
        <v>964704.69763484225</v>
      </c>
      <c r="H55" s="491">
        <f t="shared" si="19"/>
        <v>964704.69763484225</v>
      </c>
      <c r="I55" s="511">
        <f t="shared" si="0"/>
        <v>0</v>
      </c>
      <c r="J55" s="511"/>
      <c r="K55" s="525"/>
      <c r="L55" s="514">
        <f t="shared" si="2"/>
        <v>0</v>
      </c>
      <c r="M55" s="525"/>
      <c r="N55" s="514">
        <f t="shared" si="4"/>
        <v>0</v>
      </c>
      <c r="O55" s="514">
        <f t="shared" si="5"/>
        <v>0</v>
      </c>
      <c r="P55" s="272"/>
    </row>
    <row r="56" spans="2:16">
      <c r="B56" s="195" t="str">
        <f t="shared" si="7"/>
        <v/>
      </c>
      <c r="C56" s="507">
        <f>IF(D11="","-",+C55+1)</f>
        <v>2055</v>
      </c>
      <c r="D56" s="523">
        <f>IF(F55+SUM(E$17:E55)=D$10,F55,D$10-SUM(E$17:E55))</f>
        <v>2966654.4807795789</v>
      </c>
      <c r="E56" s="522">
        <f>IF(+I14&lt;F55,I14,D56)</f>
        <v>575702.93659090914</v>
      </c>
      <c r="F56" s="523">
        <f t="shared" si="15"/>
        <v>2390951.5441886699</v>
      </c>
      <c r="G56" s="524">
        <f t="shared" si="18"/>
        <v>895892.57693932578</v>
      </c>
      <c r="H56" s="491">
        <f t="shared" si="19"/>
        <v>895892.57693932578</v>
      </c>
      <c r="I56" s="511">
        <f t="shared" si="0"/>
        <v>0</v>
      </c>
      <c r="J56" s="511"/>
      <c r="K56" s="525"/>
      <c r="L56" s="514">
        <f t="shared" si="2"/>
        <v>0</v>
      </c>
      <c r="M56" s="525"/>
      <c r="N56" s="514">
        <f t="shared" si="4"/>
        <v>0</v>
      </c>
      <c r="O56" s="514">
        <f t="shared" si="5"/>
        <v>0</v>
      </c>
      <c r="P56" s="272"/>
    </row>
    <row r="57" spans="2:16">
      <c r="B57" s="195" t="str">
        <f t="shared" si="7"/>
        <v/>
      </c>
      <c r="C57" s="507">
        <f>IF(D11="","-",+C56+1)</f>
        <v>2056</v>
      </c>
      <c r="D57" s="523">
        <f>IF(F56+SUM(E$17:E56)=D$10,F56,D$10-SUM(E$17:E56))</f>
        <v>2390951.5441886699</v>
      </c>
      <c r="E57" s="522">
        <f>IF(+I14&lt;F56,I14,D57)</f>
        <v>575702.93659090914</v>
      </c>
      <c r="F57" s="523">
        <f t="shared" si="15"/>
        <v>1815248.6075977609</v>
      </c>
      <c r="G57" s="524">
        <f t="shared" si="18"/>
        <v>827080.45624380943</v>
      </c>
      <c r="H57" s="491">
        <f t="shared" si="19"/>
        <v>827080.45624380943</v>
      </c>
      <c r="I57" s="511">
        <f t="shared" si="0"/>
        <v>0</v>
      </c>
      <c r="J57" s="511"/>
      <c r="K57" s="525"/>
      <c r="L57" s="514">
        <f t="shared" si="2"/>
        <v>0</v>
      </c>
      <c r="M57" s="525"/>
      <c r="N57" s="514">
        <f t="shared" si="4"/>
        <v>0</v>
      </c>
      <c r="O57" s="514">
        <f t="shared" si="5"/>
        <v>0</v>
      </c>
      <c r="P57" s="272"/>
    </row>
    <row r="58" spans="2:16">
      <c r="B58" s="195" t="str">
        <f t="shared" si="7"/>
        <v/>
      </c>
      <c r="C58" s="507">
        <f>IF(D11="","-",+C57+1)</f>
        <v>2057</v>
      </c>
      <c r="D58" s="523">
        <f>IF(F57+SUM(E$17:E57)=D$10,F57,D$10-SUM(E$17:E57))</f>
        <v>1815248.6075977609</v>
      </c>
      <c r="E58" s="522">
        <f>IF(+I14&lt;F57,I14,D58)</f>
        <v>575702.93659090914</v>
      </c>
      <c r="F58" s="523">
        <f t="shared" si="15"/>
        <v>1239545.6710068518</v>
      </c>
      <c r="G58" s="524">
        <f t="shared" si="18"/>
        <v>758268.33554829308</v>
      </c>
      <c r="H58" s="491">
        <f t="shared" si="19"/>
        <v>758268.33554829308</v>
      </c>
      <c r="I58" s="511">
        <f t="shared" si="0"/>
        <v>0</v>
      </c>
      <c r="J58" s="511"/>
      <c r="K58" s="525"/>
      <c r="L58" s="514">
        <f t="shared" si="2"/>
        <v>0</v>
      </c>
      <c r="M58" s="525"/>
      <c r="N58" s="514">
        <f t="shared" si="4"/>
        <v>0</v>
      </c>
      <c r="O58" s="514">
        <f t="shared" si="5"/>
        <v>0</v>
      </c>
      <c r="P58" s="272"/>
    </row>
    <row r="59" spans="2:16">
      <c r="B59" s="195" t="str">
        <f t="shared" si="7"/>
        <v/>
      </c>
      <c r="C59" s="507">
        <f>IF(D11="","-",+C58+1)</f>
        <v>2058</v>
      </c>
      <c r="D59" s="523">
        <f>IF(F58+SUM(E$17:E58)=D$10,F58,D$10-SUM(E$17:E58))</f>
        <v>1239545.6710068518</v>
      </c>
      <c r="E59" s="522">
        <f>IF(+I14&lt;F58,I14,D59)</f>
        <v>575702.93659090914</v>
      </c>
      <c r="F59" s="523">
        <f t="shared" si="15"/>
        <v>663842.73441594269</v>
      </c>
      <c r="G59" s="524">
        <f t="shared" si="18"/>
        <v>689456.21485277661</v>
      </c>
      <c r="H59" s="491">
        <f t="shared" si="19"/>
        <v>689456.21485277661</v>
      </c>
      <c r="I59" s="511">
        <f t="shared" si="0"/>
        <v>0</v>
      </c>
      <c r="J59" s="511"/>
      <c r="K59" s="525"/>
      <c r="L59" s="514">
        <f t="shared" si="2"/>
        <v>0</v>
      </c>
      <c r="M59" s="525"/>
      <c r="N59" s="514">
        <f t="shared" si="4"/>
        <v>0</v>
      </c>
      <c r="O59" s="514">
        <f t="shared" si="5"/>
        <v>0</v>
      </c>
      <c r="P59" s="272"/>
    </row>
    <row r="60" spans="2:16">
      <c r="B60" s="195" t="str">
        <f t="shared" si="7"/>
        <v/>
      </c>
      <c r="C60" s="507">
        <f>IF(D11="","-",+C59+1)</f>
        <v>2059</v>
      </c>
      <c r="D60" s="523">
        <f>IF(F59+SUM(E$17:E59)=D$10,F59,D$10-SUM(E$17:E59))</f>
        <v>663842.73441594269</v>
      </c>
      <c r="E60" s="522">
        <f>IF(+I14&lt;F59,I14,D60)</f>
        <v>575702.93659090914</v>
      </c>
      <c r="F60" s="523">
        <f t="shared" si="15"/>
        <v>88139.797825033544</v>
      </c>
      <c r="G60" s="524">
        <f t="shared" si="18"/>
        <v>620644.09415726014</v>
      </c>
      <c r="H60" s="491">
        <f t="shared" si="19"/>
        <v>620644.09415726014</v>
      </c>
      <c r="I60" s="511">
        <f t="shared" si="0"/>
        <v>0</v>
      </c>
      <c r="J60" s="511"/>
      <c r="K60" s="525"/>
      <c r="L60" s="514">
        <f t="shared" si="2"/>
        <v>0</v>
      </c>
      <c r="M60" s="525"/>
      <c r="N60" s="514">
        <f t="shared" si="4"/>
        <v>0</v>
      </c>
      <c r="O60" s="514">
        <f t="shared" si="5"/>
        <v>0</v>
      </c>
      <c r="P60" s="272"/>
    </row>
    <row r="61" spans="2:16">
      <c r="B61" s="195" t="str">
        <f t="shared" si="7"/>
        <v/>
      </c>
      <c r="C61" s="507">
        <f>IF(D11="","-",+C60+1)</f>
        <v>2060</v>
      </c>
      <c r="D61" s="523">
        <f>IF(F60+SUM(E$17:E60)=D$10,F60,D$10-SUM(E$17:E60))</f>
        <v>88139.797825033544</v>
      </c>
      <c r="E61" s="522">
        <f>IF(+I14&lt;F60,I14,D61)</f>
        <v>88139.797825033544</v>
      </c>
      <c r="F61" s="523">
        <f t="shared" si="15"/>
        <v>0</v>
      </c>
      <c r="G61" s="526">
        <f t="shared" si="18"/>
        <v>93407.346434329971</v>
      </c>
      <c r="H61" s="491">
        <f t="shared" si="19"/>
        <v>93407.346434329971</v>
      </c>
      <c r="I61" s="511">
        <f t="shared" si="0"/>
        <v>0</v>
      </c>
      <c r="J61" s="511"/>
      <c r="K61" s="525"/>
      <c r="L61" s="514">
        <f t="shared" si="2"/>
        <v>0</v>
      </c>
      <c r="M61" s="525"/>
      <c r="N61" s="514">
        <f t="shared" si="4"/>
        <v>0</v>
      </c>
      <c r="O61" s="514">
        <f t="shared" si="5"/>
        <v>0</v>
      </c>
      <c r="P61" s="272"/>
    </row>
    <row r="62" spans="2:16">
      <c r="B62" s="195" t="str">
        <f t="shared" si="7"/>
        <v/>
      </c>
      <c r="C62" s="507">
        <f>IF(D11="","-",+C61+1)</f>
        <v>2061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15"/>
        <v>0</v>
      </c>
      <c r="G62" s="526">
        <f t="shared" si="18"/>
        <v>0</v>
      </c>
      <c r="H62" s="491">
        <f t="shared" si="19"/>
        <v>0</v>
      </c>
      <c r="I62" s="511">
        <f t="shared" si="0"/>
        <v>0</v>
      </c>
      <c r="J62" s="511"/>
      <c r="K62" s="525"/>
      <c r="L62" s="514">
        <f t="shared" si="2"/>
        <v>0</v>
      </c>
      <c r="M62" s="525"/>
      <c r="N62" s="514">
        <f t="shared" si="4"/>
        <v>0</v>
      </c>
      <c r="O62" s="514">
        <f t="shared" si="5"/>
        <v>0</v>
      </c>
      <c r="P62" s="272"/>
    </row>
    <row r="63" spans="2:16">
      <c r="B63" s="195" t="str">
        <f t="shared" si="7"/>
        <v/>
      </c>
      <c r="C63" s="507">
        <f>IF(D11="","-",+C62+1)</f>
        <v>2062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15"/>
        <v>0</v>
      </c>
      <c r="G63" s="526">
        <f t="shared" si="18"/>
        <v>0</v>
      </c>
      <c r="H63" s="491">
        <f t="shared" si="19"/>
        <v>0</v>
      </c>
      <c r="I63" s="511">
        <f t="shared" si="0"/>
        <v>0</v>
      </c>
      <c r="J63" s="511"/>
      <c r="K63" s="525"/>
      <c r="L63" s="514">
        <f t="shared" si="2"/>
        <v>0</v>
      </c>
      <c r="M63" s="525"/>
      <c r="N63" s="514">
        <f t="shared" si="4"/>
        <v>0</v>
      </c>
      <c r="O63" s="514">
        <f t="shared" si="5"/>
        <v>0</v>
      </c>
      <c r="P63" s="272"/>
    </row>
    <row r="64" spans="2:16">
      <c r="B64" s="195" t="str">
        <f t="shared" si="7"/>
        <v/>
      </c>
      <c r="C64" s="507">
        <f>IF(D11="","-",+C63+1)</f>
        <v>2063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15"/>
        <v>0</v>
      </c>
      <c r="G64" s="526">
        <f t="shared" si="18"/>
        <v>0</v>
      </c>
      <c r="H64" s="491">
        <f t="shared" si="19"/>
        <v>0</v>
      </c>
      <c r="I64" s="511">
        <f t="shared" si="0"/>
        <v>0</v>
      </c>
      <c r="J64" s="511"/>
      <c r="K64" s="525"/>
      <c r="L64" s="514">
        <f t="shared" si="2"/>
        <v>0</v>
      </c>
      <c r="M64" s="525"/>
      <c r="N64" s="514">
        <f t="shared" si="4"/>
        <v>0</v>
      </c>
      <c r="O64" s="514">
        <f t="shared" si="5"/>
        <v>0</v>
      </c>
      <c r="P64" s="272"/>
    </row>
    <row r="65" spans="2:16">
      <c r="B65" s="195" t="str">
        <f t="shared" si="7"/>
        <v/>
      </c>
      <c r="C65" s="507">
        <f>IF(D11="","-",+C64+1)</f>
        <v>2064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15"/>
        <v>0</v>
      </c>
      <c r="G65" s="526">
        <f t="shared" si="18"/>
        <v>0</v>
      </c>
      <c r="H65" s="491">
        <f t="shared" si="19"/>
        <v>0</v>
      </c>
      <c r="I65" s="511">
        <f t="shared" si="0"/>
        <v>0</v>
      </c>
      <c r="J65" s="511"/>
      <c r="K65" s="525"/>
      <c r="L65" s="514">
        <f t="shared" si="2"/>
        <v>0</v>
      </c>
      <c r="M65" s="525"/>
      <c r="N65" s="514">
        <f t="shared" si="4"/>
        <v>0</v>
      </c>
      <c r="O65" s="514">
        <f t="shared" si="5"/>
        <v>0</v>
      </c>
      <c r="P65" s="272"/>
    </row>
    <row r="66" spans="2:16">
      <c r="B66" s="195" t="str">
        <f t="shared" si="7"/>
        <v/>
      </c>
      <c r="C66" s="507">
        <f>IF(D11="","-",+C65+1)</f>
        <v>2065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15"/>
        <v>0</v>
      </c>
      <c r="G66" s="526">
        <f t="shared" si="18"/>
        <v>0</v>
      </c>
      <c r="H66" s="491">
        <f t="shared" si="19"/>
        <v>0</v>
      </c>
      <c r="I66" s="511">
        <f t="shared" si="0"/>
        <v>0</v>
      </c>
      <c r="J66" s="511"/>
      <c r="K66" s="525"/>
      <c r="L66" s="514">
        <f t="shared" si="2"/>
        <v>0</v>
      </c>
      <c r="M66" s="525"/>
      <c r="N66" s="514">
        <f t="shared" si="4"/>
        <v>0</v>
      </c>
      <c r="O66" s="514">
        <f t="shared" si="5"/>
        <v>0</v>
      </c>
      <c r="P66" s="272"/>
    </row>
    <row r="67" spans="2:16">
      <c r="B67" s="195" t="str">
        <f t="shared" si="7"/>
        <v/>
      </c>
      <c r="C67" s="507">
        <f>IF(D11="","-",+C66+1)</f>
        <v>2066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15"/>
        <v>0</v>
      </c>
      <c r="G67" s="526">
        <f t="shared" si="18"/>
        <v>0</v>
      </c>
      <c r="H67" s="491">
        <f t="shared" si="19"/>
        <v>0</v>
      </c>
      <c r="I67" s="511">
        <f t="shared" si="0"/>
        <v>0</v>
      </c>
      <c r="J67" s="511"/>
      <c r="K67" s="525"/>
      <c r="L67" s="514">
        <f t="shared" si="2"/>
        <v>0</v>
      </c>
      <c r="M67" s="525"/>
      <c r="N67" s="514">
        <f t="shared" si="4"/>
        <v>0</v>
      </c>
      <c r="O67" s="514">
        <f t="shared" si="5"/>
        <v>0</v>
      </c>
      <c r="P67" s="272"/>
    </row>
    <row r="68" spans="2:16">
      <c r="B68" s="195" t="str">
        <f t="shared" si="7"/>
        <v/>
      </c>
      <c r="C68" s="507">
        <f>IF(D11="","-",+C67+1)</f>
        <v>2067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15"/>
        <v>0</v>
      </c>
      <c r="G68" s="526">
        <f t="shared" si="18"/>
        <v>0</v>
      </c>
      <c r="H68" s="491">
        <f t="shared" si="19"/>
        <v>0</v>
      </c>
      <c r="I68" s="511">
        <f t="shared" si="0"/>
        <v>0</v>
      </c>
      <c r="J68" s="511"/>
      <c r="K68" s="525"/>
      <c r="L68" s="514">
        <f t="shared" si="2"/>
        <v>0</v>
      </c>
      <c r="M68" s="525"/>
      <c r="N68" s="514">
        <f t="shared" si="4"/>
        <v>0</v>
      </c>
      <c r="O68" s="514">
        <f t="shared" si="5"/>
        <v>0</v>
      </c>
      <c r="P68" s="272"/>
    </row>
    <row r="69" spans="2:16">
      <c r="B69" s="195" t="str">
        <f t="shared" si="7"/>
        <v/>
      </c>
      <c r="C69" s="507">
        <f>IF(D11="","-",+C68+1)</f>
        <v>2068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15"/>
        <v>0</v>
      </c>
      <c r="G69" s="526">
        <f t="shared" si="18"/>
        <v>0</v>
      </c>
      <c r="H69" s="491">
        <f t="shared" si="19"/>
        <v>0</v>
      </c>
      <c r="I69" s="511">
        <f t="shared" si="0"/>
        <v>0</v>
      </c>
      <c r="J69" s="511"/>
      <c r="K69" s="525"/>
      <c r="L69" s="514">
        <f t="shared" si="2"/>
        <v>0</v>
      </c>
      <c r="M69" s="525"/>
      <c r="N69" s="514">
        <f t="shared" si="4"/>
        <v>0</v>
      </c>
      <c r="O69" s="514">
        <f t="shared" si="5"/>
        <v>0</v>
      </c>
      <c r="P69" s="272"/>
    </row>
    <row r="70" spans="2:16">
      <c r="B70" s="195" t="str">
        <f t="shared" si="7"/>
        <v/>
      </c>
      <c r="C70" s="507">
        <f>IF(D11="","-",+C69+1)</f>
        <v>2069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15"/>
        <v>0</v>
      </c>
      <c r="G70" s="526">
        <f t="shared" si="18"/>
        <v>0</v>
      </c>
      <c r="H70" s="491">
        <f t="shared" si="19"/>
        <v>0</v>
      </c>
      <c r="I70" s="511">
        <f t="shared" si="0"/>
        <v>0</v>
      </c>
      <c r="J70" s="511"/>
      <c r="K70" s="525"/>
      <c r="L70" s="514">
        <f t="shared" si="2"/>
        <v>0</v>
      </c>
      <c r="M70" s="525"/>
      <c r="N70" s="514">
        <f t="shared" si="4"/>
        <v>0</v>
      </c>
      <c r="O70" s="514">
        <f t="shared" si="5"/>
        <v>0</v>
      </c>
      <c r="P70" s="272"/>
    </row>
    <row r="71" spans="2:16">
      <c r="B71" s="195" t="str">
        <f t="shared" si="7"/>
        <v/>
      </c>
      <c r="C71" s="507">
        <f>IF(D11="","-",+C70+1)</f>
        <v>2070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15"/>
        <v>0</v>
      </c>
      <c r="G71" s="526">
        <f t="shared" si="18"/>
        <v>0</v>
      </c>
      <c r="H71" s="491">
        <f t="shared" si="19"/>
        <v>0</v>
      </c>
      <c r="I71" s="511">
        <f t="shared" si="0"/>
        <v>0</v>
      </c>
      <c r="J71" s="511"/>
      <c r="K71" s="525"/>
      <c r="L71" s="514">
        <f t="shared" si="2"/>
        <v>0</v>
      </c>
      <c r="M71" s="525"/>
      <c r="N71" s="514">
        <f t="shared" si="4"/>
        <v>0</v>
      </c>
      <c r="O71" s="514">
        <f t="shared" si="5"/>
        <v>0</v>
      </c>
      <c r="P71" s="272"/>
    </row>
    <row r="72" spans="2:16" ht="13.5" thickBot="1">
      <c r="B72" s="195" t="str">
        <f t="shared" si="7"/>
        <v/>
      </c>
      <c r="C72" s="527">
        <f>IF(D11="","-",+C71+1)</f>
        <v>2071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15"/>
        <v>0</v>
      </c>
      <c r="G72" s="530">
        <f t="shared" si="18"/>
        <v>0</v>
      </c>
      <c r="H72" s="471">
        <f t="shared" si="19"/>
        <v>0</v>
      </c>
      <c r="I72" s="531">
        <f t="shared" si="0"/>
        <v>0</v>
      </c>
      <c r="J72" s="511"/>
      <c r="K72" s="532"/>
      <c r="L72" s="533">
        <f t="shared" si="2"/>
        <v>0</v>
      </c>
      <c r="M72" s="532"/>
      <c r="N72" s="533">
        <f t="shared" si="4"/>
        <v>0</v>
      </c>
      <c r="O72" s="533">
        <f t="shared" si="5"/>
        <v>0</v>
      </c>
      <c r="P72" s="272"/>
    </row>
    <row r="73" spans="2:16">
      <c r="C73" s="374" t="s">
        <v>78</v>
      </c>
      <c r="D73" s="375"/>
      <c r="E73" s="375">
        <f>SUM(E17:E72)</f>
        <v>25330929.210000008</v>
      </c>
      <c r="F73" s="375"/>
      <c r="G73" s="375">
        <f>SUM(G17:G72)</f>
        <v>92192771.226988107</v>
      </c>
      <c r="H73" s="375">
        <f>SUM(H17:H72)</f>
        <v>92192771.226988107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2:16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2:16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2:16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2:16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272"/>
      <c r="P77" s="272"/>
    </row>
    <row r="78" spans="2:16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2:16"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  <c r="O79" s="269"/>
      <c r="P79" s="269"/>
    </row>
    <row r="80" spans="2:16" ht="18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6">
      <c r="B81" s="269"/>
      <c r="C81" s="340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6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</row>
    <row r="83" spans="1:16" ht="20.25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451" t="str">
        <f ca="1">P1</f>
        <v>SWEPCO Project 58 of 75</v>
      </c>
    </row>
    <row r="84" spans="1:16" ht="18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538" t="s">
        <v>128</v>
      </c>
    </row>
    <row r="85" spans="1:16" ht="18.7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</row>
    <row r="86" spans="1:16" ht="15.75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2022</v>
      </c>
      <c r="M86" s="541" t="s">
        <v>9</v>
      </c>
      <c r="N86" s="542" t="s">
        <v>159</v>
      </c>
      <c r="O86" s="543" t="s">
        <v>11</v>
      </c>
      <c r="P86" s="269"/>
    </row>
    <row r="87" spans="1:16" ht="1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391</v>
      </c>
      <c r="M87" s="546">
        <f>IF(J92&lt;D11,0,VLOOKUP(J92,C17:O72,9))</f>
        <v>3045191.8978696284</v>
      </c>
      <c r="N87" s="546">
        <f>IF(J92&lt;D11,0,VLOOKUP(J92,C17:O72,11))</f>
        <v>3045191.8978696284</v>
      </c>
      <c r="O87" s="547">
        <f>+N87-M87</f>
        <v>0</v>
      </c>
      <c r="P87" s="269"/>
    </row>
    <row r="88" spans="1:16" ht="15.7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392</v>
      </c>
      <c r="M88" s="550">
        <f>IF(J92&lt;D11,0,VLOOKUP(J92,C99:P154,6))</f>
        <v>3171842.5527529279</v>
      </c>
      <c r="N88" s="550">
        <f>IF(J92&lt;D11,0,VLOOKUP(J92,C99:P154,7))</f>
        <v>3171842.5527529279</v>
      </c>
      <c r="O88" s="551">
        <f>+N88-M88</f>
        <v>0</v>
      </c>
      <c r="P88" s="269"/>
    </row>
    <row r="89" spans="1:16" ht="13.5" thickBot="1">
      <c r="C89" s="467" t="s">
        <v>84</v>
      </c>
      <c r="D89" s="552" t="str">
        <f>+D7</f>
        <v>Rock Hill-Springridge Pan-Harr REC 138 kv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126650.65488329949</v>
      </c>
      <c r="N89" s="555">
        <f>+N88-N87</f>
        <v>126650.65488329949</v>
      </c>
      <c r="O89" s="556">
        <f>+O88-O87</f>
        <v>0</v>
      </c>
      <c r="P89" s="269"/>
    </row>
    <row r="90" spans="1:16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</row>
    <row r="91" spans="1:16" ht="13.5" thickBot="1">
      <c r="A91" s="191"/>
      <c r="C91" s="558" t="s">
        <v>85</v>
      </c>
      <c r="D91" s="559" t="str">
        <f>+D9</f>
        <v>TP2010067</v>
      </c>
      <c r="E91" s="560"/>
      <c r="F91" s="560"/>
      <c r="G91" s="560"/>
      <c r="H91" s="560"/>
      <c r="I91" s="560"/>
      <c r="J91" s="560"/>
      <c r="K91" s="562"/>
      <c r="P91" s="481"/>
    </row>
    <row r="92" spans="1:16">
      <c r="C92" s="486" t="s">
        <v>51</v>
      </c>
      <c r="D92" s="564">
        <v>25330929</v>
      </c>
      <c r="E92" s="340" t="s">
        <v>86</v>
      </c>
      <c r="H92" s="484"/>
      <c r="I92" s="484"/>
      <c r="J92" s="485">
        <f>+'SWE.WS.G.BPU.ATRR.True-up'!M16</f>
        <v>2022</v>
      </c>
      <c r="K92" s="480"/>
      <c r="L92" s="375" t="s">
        <v>87</v>
      </c>
      <c r="P92" s="272"/>
    </row>
    <row r="93" spans="1:16">
      <c r="C93" s="486" t="s">
        <v>54</v>
      </c>
      <c r="D93" s="563">
        <f>IF(D11=I10,"",D11)</f>
        <v>2016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</row>
    <row r="94" spans="1:16">
      <c r="C94" s="486" t="s">
        <v>56</v>
      </c>
      <c r="D94" s="564">
        <f>IF(D11=I10,"",D12)</f>
        <v>4</v>
      </c>
      <c r="E94" s="486" t="s">
        <v>57</v>
      </c>
      <c r="F94" s="484"/>
      <c r="G94" s="484"/>
      <c r="J94" s="490">
        <f>'SWE.WS.G.BPU.ATRR.True-up'!$F$81</f>
        <v>0.11351422637179906</v>
      </c>
      <c r="K94" s="425"/>
      <c r="L94" s="183" t="s">
        <v>88</v>
      </c>
      <c r="P94" s="272"/>
    </row>
    <row r="95" spans="1:16">
      <c r="C95" s="486" t="s">
        <v>59</v>
      </c>
      <c r="D95" s="488">
        <f>'SWE.WS.G.BPU.ATRR.True-up'!F$93</f>
        <v>41</v>
      </c>
      <c r="E95" s="486" t="s">
        <v>60</v>
      </c>
      <c r="F95" s="484"/>
      <c r="G95" s="484"/>
      <c r="J95" s="490">
        <f>IF(H87="",J94,'SWE.WS.G.BPU.ATRR.True-up'!$F$80)</f>
        <v>0.11351422637179906</v>
      </c>
      <c r="K95" s="324"/>
      <c r="L95" s="375" t="s">
        <v>61</v>
      </c>
      <c r="M95" s="324"/>
      <c r="N95" s="324"/>
      <c r="O95" s="324"/>
      <c r="P95" s="272"/>
    </row>
    <row r="96" spans="1:16" ht="13.5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617827.53658536589</v>
      </c>
      <c r="K96" s="375"/>
      <c r="L96" s="375"/>
      <c r="M96" s="375"/>
      <c r="N96" s="375"/>
      <c r="O96" s="375"/>
      <c r="P96" s="272"/>
    </row>
    <row r="97" spans="1:16" ht="38.25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388</v>
      </c>
      <c r="I97" s="495" t="s">
        <v>389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</row>
    <row r="98" spans="1:16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</row>
    <row r="99" spans="1:16">
      <c r="C99" s="507">
        <f>IF(D93= "","-",D93)</f>
        <v>2016</v>
      </c>
      <c r="D99" s="649">
        <v>0</v>
      </c>
      <c r="E99" s="650">
        <v>143761.97674418605</v>
      </c>
      <c r="F99" s="651">
        <v>24583298.023255814</v>
      </c>
      <c r="G99" s="652">
        <v>12291649.011627907</v>
      </c>
      <c r="H99" s="653">
        <v>1704186.6748150045</v>
      </c>
      <c r="I99" s="654">
        <v>1704186.6748150045</v>
      </c>
      <c r="J99" s="514">
        <f t="shared" ref="J99:J130" si="20">+I99-H99</f>
        <v>0</v>
      </c>
      <c r="K99" s="514"/>
      <c r="L99" s="512">
        <f t="shared" ref="L99:L104" si="21">+H99</f>
        <v>1704186.6748150045</v>
      </c>
      <c r="M99" s="513">
        <f t="shared" ref="M99:M130" si="22">IF(L99&lt;&gt;0,+H99-L99,0)</f>
        <v>0</v>
      </c>
      <c r="N99" s="512">
        <f t="shared" ref="N99:N104" si="23">+I99</f>
        <v>1704186.6748150045</v>
      </c>
      <c r="O99" s="513">
        <f t="shared" ref="O99:O130" si="24">IF(N99&lt;&gt;0,+I99-N99,0)</f>
        <v>0</v>
      </c>
      <c r="P99" s="513">
        <f t="shared" ref="P99:P130" si="25">+O99-M99</f>
        <v>0</v>
      </c>
    </row>
    <row r="100" spans="1:16">
      <c r="B100" s="195" t="str">
        <f>IF(D100=F99,"","IU")</f>
        <v>IU</v>
      </c>
      <c r="C100" s="507">
        <f>IF(D93="","-",+C99+1)</f>
        <v>2017</v>
      </c>
      <c r="D100" s="629">
        <v>25187167.023255814</v>
      </c>
      <c r="E100" s="630">
        <v>603117.35714285716</v>
      </c>
      <c r="F100" s="631">
        <v>24584049.666112956</v>
      </c>
      <c r="G100" s="631">
        <v>24885608.344684385</v>
      </c>
      <c r="H100" s="633">
        <v>3626008.4781243373</v>
      </c>
      <c r="I100" s="634">
        <v>3626008.4781243373</v>
      </c>
      <c r="J100" s="514">
        <f t="shared" si="20"/>
        <v>0</v>
      </c>
      <c r="K100" s="514"/>
      <c r="L100" s="655">
        <f t="shared" si="21"/>
        <v>3626008.4781243373</v>
      </c>
      <c r="M100" s="514">
        <f t="shared" si="22"/>
        <v>0</v>
      </c>
      <c r="N100" s="655">
        <f t="shared" si="23"/>
        <v>3626008.4781243373</v>
      </c>
      <c r="O100" s="514">
        <f t="shared" si="24"/>
        <v>0</v>
      </c>
      <c r="P100" s="514">
        <f t="shared" si="25"/>
        <v>0</v>
      </c>
    </row>
    <row r="101" spans="1:16">
      <c r="B101" s="195" t="str">
        <f t="shared" ref="B101:B154" si="26">IF(D101=F100,"","IU")</f>
        <v/>
      </c>
      <c r="C101" s="507">
        <f>IF(D93="","-",+C100+1)</f>
        <v>2018</v>
      </c>
      <c r="D101" s="629">
        <v>24584049.666112956</v>
      </c>
      <c r="E101" s="630">
        <v>603117.35714285716</v>
      </c>
      <c r="F101" s="631">
        <v>23980932.308970097</v>
      </c>
      <c r="G101" s="631">
        <v>24282490.987541527</v>
      </c>
      <c r="H101" s="633">
        <v>3167459.760554947</v>
      </c>
      <c r="I101" s="634">
        <v>3167459.760554947</v>
      </c>
      <c r="J101" s="514">
        <f t="shared" si="20"/>
        <v>0</v>
      </c>
      <c r="K101" s="514"/>
      <c r="L101" s="655">
        <f t="shared" si="21"/>
        <v>3167459.760554947</v>
      </c>
      <c r="M101" s="514">
        <f t="shared" ref="M101" si="27">IF(L101&lt;&gt;0,+H101-L101,0)</f>
        <v>0</v>
      </c>
      <c r="N101" s="655">
        <f t="shared" si="23"/>
        <v>3167459.760554947</v>
      </c>
      <c r="O101" s="514">
        <f t="shared" si="24"/>
        <v>0</v>
      </c>
      <c r="P101" s="514">
        <f t="shared" si="25"/>
        <v>0</v>
      </c>
    </row>
    <row r="102" spans="1:16">
      <c r="B102" s="195" t="str">
        <f t="shared" si="26"/>
        <v/>
      </c>
      <c r="C102" s="507">
        <f>IF(D93="","-",+C101+1)</f>
        <v>2019</v>
      </c>
      <c r="D102" s="629">
        <v>23980932.308970097</v>
      </c>
      <c r="E102" s="630">
        <v>589091.37209302327</v>
      </c>
      <c r="F102" s="631">
        <v>23391840.936877076</v>
      </c>
      <c r="G102" s="631">
        <v>23686386.622923587</v>
      </c>
      <c r="H102" s="633">
        <v>3124495.1418173425</v>
      </c>
      <c r="I102" s="634">
        <v>3124495.1418173425</v>
      </c>
      <c r="J102" s="514">
        <f t="shared" si="20"/>
        <v>0</v>
      </c>
      <c r="K102" s="514"/>
      <c r="L102" s="655">
        <f t="shared" si="21"/>
        <v>3124495.1418173425</v>
      </c>
      <c r="M102" s="514">
        <f t="shared" ref="M102:M103" si="28">IF(L102&lt;&gt;0,+H102-L102,0)</f>
        <v>0</v>
      </c>
      <c r="N102" s="655">
        <f t="shared" si="23"/>
        <v>3124495.1418173425</v>
      </c>
      <c r="O102" s="514">
        <f t="shared" si="24"/>
        <v>0</v>
      </c>
      <c r="P102" s="514">
        <f t="shared" si="25"/>
        <v>0</v>
      </c>
    </row>
    <row r="103" spans="1:16">
      <c r="B103" s="195" t="str">
        <f t="shared" si="26"/>
        <v/>
      </c>
      <c r="C103" s="507">
        <f>IF(D93="","-",+C102+1)</f>
        <v>2020</v>
      </c>
      <c r="D103" s="629">
        <v>23391840.936877076</v>
      </c>
      <c r="E103" s="630">
        <v>603117.35714285716</v>
      </c>
      <c r="F103" s="631">
        <v>22788723.579734217</v>
      </c>
      <c r="G103" s="631">
        <v>23090282.258305646</v>
      </c>
      <c r="H103" s="633">
        <v>3087027.5131925805</v>
      </c>
      <c r="I103" s="634">
        <v>3087027.5131925805</v>
      </c>
      <c r="J103" s="514">
        <f t="shared" si="20"/>
        <v>0</v>
      </c>
      <c r="K103" s="514"/>
      <c r="L103" s="655">
        <f t="shared" si="21"/>
        <v>3087027.5131925805</v>
      </c>
      <c r="M103" s="514">
        <f t="shared" si="28"/>
        <v>0</v>
      </c>
      <c r="N103" s="655">
        <f t="shared" si="23"/>
        <v>3087027.5131925805</v>
      </c>
      <c r="O103" s="514">
        <f t="shared" si="24"/>
        <v>0</v>
      </c>
      <c r="P103" s="514">
        <f t="shared" si="25"/>
        <v>0</v>
      </c>
    </row>
    <row r="104" spans="1:16">
      <c r="B104" s="195" t="str">
        <f t="shared" si="26"/>
        <v/>
      </c>
      <c r="C104" s="507">
        <f>IF(D93="","-",+C103+1)</f>
        <v>2021</v>
      </c>
      <c r="D104" s="629">
        <v>22788723.579734217</v>
      </c>
      <c r="E104" s="630">
        <v>617827.53658536589</v>
      </c>
      <c r="F104" s="631">
        <v>22170896.043148853</v>
      </c>
      <c r="G104" s="631">
        <v>22479809.811441533</v>
      </c>
      <c r="H104" s="633">
        <v>3169605.7563163298</v>
      </c>
      <c r="I104" s="634">
        <v>3169605.7563163298</v>
      </c>
      <c r="J104" s="514">
        <f t="shared" si="20"/>
        <v>0</v>
      </c>
      <c r="K104" s="514"/>
      <c r="L104" s="655">
        <f t="shared" si="21"/>
        <v>3169605.7563163298</v>
      </c>
      <c r="M104" s="514">
        <f t="shared" ref="M104" si="29">IF(L104&lt;&gt;0,+H104-L104,0)</f>
        <v>0</v>
      </c>
      <c r="N104" s="655">
        <f t="shared" si="23"/>
        <v>3169605.7563163298</v>
      </c>
      <c r="O104" s="514">
        <f t="shared" ref="O104" si="30">IF(N104&lt;&gt;0,+I104-N104,0)</f>
        <v>0</v>
      </c>
      <c r="P104" s="514">
        <f t="shared" ref="P104" si="31">+O104-M104</f>
        <v>0</v>
      </c>
    </row>
    <row r="105" spans="1:16">
      <c r="B105" s="195" t="str">
        <f t="shared" si="26"/>
        <v/>
      </c>
      <c r="C105" s="673">
        <f>IF(D93="","-",+C104+1)</f>
        <v>2022</v>
      </c>
      <c r="D105" s="374">
        <v>22170896.043148853</v>
      </c>
      <c r="E105" s="522">
        <v>603117.35714285716</v>
      </c>
      <c r="F105" s="523">
        <v>21567778.686005995</v>
      </c>
      <c r="G105" s="523">
        <v>21869337.364577424</v>
      </c>
      <c r="H105" s="526">
        <v>3171842.5527529279</v>
      </c>
      <c r="I105" s="577">
        <v>3171842.5527529279</v>
      </c>
      <c r="J105" s="514">
        <f t="shared" si="20"/>
        <v>0</v>
      </c>
      <c r="K105" s="514"/>
      <c r="L105" s="525"/>
      <c r="M105" s="514">
        <f t="shared" si="22"/>
        <v>0</v>
      </c>
      <c r="N105" s="525"/>
      <c r="O105" s="514">
        <f t="shared" si="24"/>
        <v>0</v>
      </c>
      <c r="P105" s="514">
        <f t="shared" si="25"/>
        <v>0</v>
      </c>
    </row>
    <row r="106" spans="1:16">
      <c r="B106" s="195" t="str">
        <f t="shared" si="26"/>
        <v/>
      </c>
      <c r="C106" s="507">
        <f>IF(D93="","-",+C105+1)</f>
        <v>2023</v>
      </c>
      <c r="D106" s="374">
        <f>IF(F105+SUM(E$99:E105)=D$92,F105,D$92-SUM(E$99:E105))</f>
        <v>21567778.686005995</v>
      </c>
      <c r="E106" s="522">
        <f>IF(+J96&lt;F105,J96,D106)</f>
        <v>617827.53658536589</v>
      </c>
      <c r="F106" s="523">
        <f t="shared" ref="F106:F130" si="32">+D106-E106</f>
        <v>20949951.14942063</v>
      </c>
      <c r="G106" s="523">
        <f t="shared" ref="G106:G130" si="33">+(F106+D106)/2</f>
        <v>21258864.917713314</v>
      </c>
      <c r="H106" s="526">
        <f t="shared" ref="H106:H154" si="34">+J$94*G106+E106</f>
        <v>3031011.1412621723</v>
      </c>
      <c r="I106" s="577">
        <f t="shared" ref="I106:I154" si="35">+J$95*G106+E106</f>
        <v>3031011.1412621723</v>
      </c>
      <c r="J106" s="514">
        <f t="shared" si="20"/>
        <v>0</v>
      </c>
      <c r="K106" s="514"/>
      <c r="L106" s="525"/>
      <c r="M106" s="514">
        <f t="shared" si="22"/>
        <v>0</v>
      </c>
      <c r="N106" s="525"/>
      <c r="O106" s="514">
        <f t="shared" si="24"/>
        <v>0</v>
      </c>
      <c r="P106" s="514">
        <f t="shared" si="25"/>
        <v>0</v>
      </c>
    </row>
    <row r="107" spans="1:16">
      <c r="B107" s="195" t="str">
        <f t="shared" si="26"/>
        <v/>
      </c>
      <c r="C107" s="507">
        <f>IF(D93="","-",+C106+1)</f>
        <v>2024</v>
      </c>
      <c r="D107" s="374">
        <f>IF(F106+SUM(E$99:E106)=D$92,F106,D$92-SUM(E$99:E106))</f>
        <v>20949951.14942063</v>
      </c>
      <c r="E107" s="522">
        <f>IF(+J96&lt;F106,J96,D107)</f>
        <v>617827.53658536589</v>
      </c>
      <c r="F107" s="523">
        <f t="shared" si="32"/>
        <v>20332123.612835266</v>
      </c>
      <c r="G107" s="523">
        <f t="shared" si="33"/>
        <v>20641037.381127946</v>
      </c>
      <c r="H107" s="526">
        <f t="shared" si="34"/>
        <v>2960878.92641549</v>
      </c>
      <c r="I107" s="577">
        <f t="shared" si="35"/>
        <v>2960878.92641549</v>
      </c>
      <c r="J107" s="514">
        <f t="shared" si="20"/>
        <v>0</v>
      </c>
      <c r="K107" s="514"/>
      <c r="L107" s="525"/>
      <c r="M107" s="514">
        <f t="shared" si="22"/>
        <v>0</v>
      </c>
      <c r="N107" s="525"/>
      <c r="O107" s="514">
        <f t="shared" si="24"/>
        <v>0</v>
      </c>
      <c r="P107" s="514">
        <f t="shared" si="25"/>
        <v>0</v>
      </c>
    </row>
    <row r="108" spans="1:16">
      <c r="B108" s="195" t="str">
        <f t="shared" si="26"/>
        <v/>
      </c>
      <c r="C108" s="507">
        <f>IF(D93="","-",+C107+1)</f>
        <v>2025</v>
      </c>
      <c r="D108" s="374">
        <f>IF(F107+SUM(E$99:E107)=D$92,F107,D$92-SUM(E$99:E107))</f>
        <v>20332123.612835266</v>
      </c>
      <c r="E108" s="522">
        <f>IF(+J96&lt;F107,J96,D108)</f>
        <v>617827.53658536589</v>
      </c>
      <c r="F108" s="523">
        <f t="shared" si="32"/>
        <v>19714296.076249901</v>
      </c>
      <c r="G108" s="523">
        <f t="shared" si="33"/>
        <v>20023209.844542585</v>
      </c>
      <c r="H108" s="526">
        <f t="shared" si="34"/>
        <v>2890746.7115688082</v>
      </c>
      <c r="I108" s="577">
        <f t="shared" si="35"/>
        <v>2890746.7115688082</v>
      </c>
      <c r="J108" s="514">
        <f t="shared" si="20"/>
        <v>0</v>
      </c>
      <c r="K108" s="514"/>
      <c r="L108" s="525"/>
      <c r="M108" s="514">
        <f t="shared" si="22"/>
        <v>0</v>
      </c>
      <c r="N108" s="525"/>
      <c r="O108" s="514">
        <f t="shared" si="24"/>
        <v>0</v>
      </c>
      <c r="P108" s="514">
        <f t="shared" si="25"/>
        <v>0</v>
      </c>
    </row>
    <row r="109" spans="1:16">
      <c r="B109" s="195" t="str">
        <f t="shared" si="26"/>
        <v/>
      </c>
      <c r="C109" s="507">
        <f>IF(D93="","-",+C108+1)</f>
        <v>2026</v>
      </c>
      <c r="D109" s="374">
        <f>IF(F108+SUM(E$99:E108)=D$92,F108,D$92-SUM(E$99:E108))</f>
        <v>19714296.076249901</v>
      </c>
      <c r="E109" s="522">
        <f>IF(+J96&lt;F108,J96,D109)</f>
        <v>617827.53658536589</v>
      </c>
      <c r="F109" s="523">
        <f t="shared" si="32"/>
        <v>19096468.539664537</v>
      </c>
      <c r="G109" s="523">
        <f t="shared" si="33"/>
        <v>19405382.307957217</v>
      </c>
      <c r="H109" s="526">
        <f t="shared" si="34"/>
        <v>2820614.4967221259</v>
      </c>
      <c r="I109" s="577">
        <f t="shared" si="35"/>
        <v>2820614.4967221259</v>
      </c>
      <c r="J109" s="514">
        <f t="shared" si="20"/>
        <v>0</v>
      </c>
      <c r="K109" s="514"/>
      <c r="L109" s="525"/>
      <c r="M109" s="514">
        <f t="shared" si="22"/>
        <v>0</v>
      </c>
      <c r="N109" s="525"/>
      <c r="O109" s="514">
        <f t="shared" si="24"/>
        <v>0</v>
      </c>
      <c r="P109" s="514">
        <f t="shared" si="25"/>
        <v>0</v>
      </c>
    </row>
    <row r="110" spans="1:16">
      <c r="B110" s="195" t="str">
        <f t="shared" si="26"/>
        <v/>
      </c>
      <c r="C110" s="507">
        <f>IF(D93="","-",+C109+1)</f>
        <v>2027</v>
      </c>
      <c r="D110" s="374">
        <f>IF(F109+SUM(E$99:E109)=D$92,F109,D$92-SUM(E$99:E109))</f>
        <v>19096468.539664537</v>
      </c>
      <c r="E110" s="522">
        <f>IF(+J96&lt;F109,J96,D110)</f>
        <v>617827.53658536589</v>
      </c>
      <c r="F110" s="523">
        <f t="shared" si="32"/>
        <v>18478641.003079172</v>
      </c>
      <c r="G110" s="523">
        <f t="shared" si="33"/>
        <v>18787554.771371856</v>
      </c>
      <c r="H110" s="526">
        <f t="shared" si="34"/>
        <v>2750482.2818754441</v>
      </c>
      <c r="I110" s="577">
        <f t="shared" si="35"/>
        <v>2750482.2818754441</v>
      </c>
      <c r="J110" s="514">
        <f t="shared" si="20"/>
        <v>0</v>
      </c>
      <c r="K110" s="514"/>
      <c r="L110" s="525"/>
      <c r="M110" s="514">
        <f t="shared" si="22"/>
        <v>0</v>
      </c>
      <c r="N110" s="525"/>
      <c r="O110" s="514">
        <f t="shared" si="24"/>
        <v>0</v>
      </c>
      <c r="P110" s="514">
        <f t="shared" si="25"/>
        <v>0</v>
      </c>
    </row>
    <row r="111" spans="1:16">
      <c r="B111" s="195" t="str">
        <f t="shared" si="26"/>
        <v/>
      </c>
      <c r="C111" s="507">
        <f>IF(D93="","-",+C110+1)</f>
        <v>2028</v>
      </c>
      <c r="D111" s="374">
        <f>IF(F110+SUM(E$99:E110)=D$92,F110,D$92-SUM(E$99:E110))</f>
        <v>18478641.003079172</v>
      </c>
      <c r="E111" s="522">
        <f>IF(+J96&lt;F110,J96,D111)</f>
        <v>617827.53658536589</v>
      </c>
      <c r="F111" s="523">
        <f t="shared" si="32"/>
        <v>17860813.466493808</v>
      </c>
      <c r="G111" s="523">
        <f t="shared" si="33"/>
        <v>18169727.234786488</v>
      </c>
      <c r="H111" s="526">
        <f t="shared" si="34"/>
        <v>2680350.0670287618</v>
      </c>
      <c r="I111" s="577">
        <f t="shared" si="35"/>
        <v>2680350.0670287618</v>
      </c>
      <c r="J111" s="514">
        <f t="shared" si="20"/>
        <v>0</v>
      </c>
      <c r="K111" s="514"/>
      <c r="L111" s="525"/>
      <c r="M111" s="514">
        <f t="shared" si="22"/>
        <v>0</v>
      </c>
      <c r="N111" s="525"/>
      <c r="O111" s="514">
        <f t="shared" si="24"/>
        <v>0</v>
      </c>
      <c r="P111" s="514">
        <f t="shared" si="25"/>
        <v>0</v>
      </c>
    </row>
    <row r="112" spans="1:16">
      <c r="B112" s="195" t="str">
        <f t="shared" si="26"/>
        <v/>
      </c>
      <c r="C112" s="507">
        <f>IF(D93="","-",+C111+1)</f>
        <v>2029</v>
      </c>
      <c r="D112" s="374">
        <f>IF(F111+SUM(E$99:E111)=D$92,F111,D$92-SUM(E$99:E111))</f>
        <v>17860813.466493808</v>
      </c>
      <c r="E112" s="522">
        <f>IF(+J96&lt;F111,J96,D112)</f>
        <v>617827.53658536589</v>
      </c>
      <c r="F112" s="523">
        <f t="shared" si="32"/>
        <v>17242985.929908443</v>
      </c>
      <c r="G112" s="523">
        <f t="shared" si="33"/>
        <v>17551899.698201127</v>
      </c>
      <c r="H112" s="526">
        <f t="shared" si="34"/>
        <v>2610217.85218208</v>
      </c>
      <c r="I112" s="577">
        <f t="shared" si="35"/>
        <v>2610217.85218208</v>
      </c>
      <c r="J112" s="514">
        <f t="shared" si="20"/>
        <v>0</v>
      </c>
      <c r="K112" s="514"/>
      <c r="L112" s="525"/>
      <c r="M112" s="514">
        <f t="shared" si="22"/>
        <v>0</v>
      </c>
      <c r="N112" s="525"/>
      <c r="O112" s="514">
        <f t="shared" si="24"/>
        <v>0</v>
      </c>
      <c r="P112" s="514">
        <f t="shared" si="25"/>
        <v>0</v>
      </c>
    </row>
    <row r="113" spans="2:16">
      <c r="B113" s="195" t="str">
        <f t="shared" si="26"/>
        <v/>
      </c>
      <c r="C113" s="507">
        <f>IF(D93="","-",+C112+1)</f>
        <v>2030</v>
      </c>
      <c r="D113" s="374">
        <f>IF(F112+SUM(E$99:E112)=D$92,F112,D$92-SUM(E$99:E112))</f>
        <v>17242985.929908443</v>
      </c>
      <c r="E113" s="522">
        <f>IF(+J96&lt;F112,J96,D113)</f>
        <v>617827.53658536589</v>
      </c>
      <c r="F113" s="523">
        <f t="shared" si="32"/>
        <v>16625158.393323077</v>
      </c>
      <c r="G113" s="523">
        <f t="shared" si="33"/>
        <v>16934072.161615759</v>
      </c>
      <c r="H113" s="526">
        <f t="shared" si="34"/>
        <v>2540085.6373353978</v>
      </c>
      <c r="I113" s="577">
        <f t="shared" si="35"/>
        <v>2540085.6373353978</v>
      </c>
      <c r="J113" s="514">
        <f t="shared" si="20"/>
        <v>0</v>
      </c>
      <c r="K113" s="514"/>
      <c r="L113" s="525"/>
      <c r="M113" s="514">
        <f t="shared" si="22"/>
        <v>0</v>
      </c>
      <c r="N113" s="525"/>
      <c r="O113" s="514">
        <f t="shared" si="24"/>
        <v>0</v>
      </c>
      <c r="P113" s="514">
        <f t="shared" si="25"/>
        <v>0</v>
      </c>
    </row>
    <row r="114" spans="2:16">
      <c r="B114" s="195" t="str">
        <f t="shared" si="26"/>
        <v/>
      </c>
      <c r="C114" s="507">
        <f>IF(D93="","-",+C113+1)</f>
        <v>2031</v>
      </c>
      <c r="D114" s="374">
        <f>IF(F113+SUM(E$99:E113)=D$92,F113,D$92-SUM(E$99:E113))</f>
        <v>16625158.393323077</v>
      </c>
      <c r="E114" s="522">
        <f>IF(+J96&lt;F113,J96,D114)</f>
        <v>617827.53658536589</v>
      </c>
      <c r="F114" s="523">
        <f t="shared" si="32"/>
        <v>16007330.856737711</v>
      </c>
      <c r="G114" s="523">
        <f t="shared" si="33"/>
        <v>16316244.625030395</v>
      </c>
      <c r="H114" s="526">
        <f t="shared" si="34"/>
        <v>2469953.4224887155</v>
      </c>
      <c r="I114" s="577">
        <f t="shared" si="35"/>
        <v>2469953.4224887155</v>
      </c>
      <c r="J114" s="514">
        <f t="shared" si="20"/>
        <v>0</v>
      </c>
      <c r="K114" s="514"/>
      <c r="L114" s="525"/>
      <c r="M114" s="514">
        <f t="shared" si="22"/>
        <v>0</v>
      </c>
      <c r="N114" s="525"/>
      <c r="O114" s="514">
        <f t="shared" si="24"/>
        <v>0</v>
      </c>
      <c r="P114" s="514">
        <f t="shared" si="25"/>
        <v>0</v>
      </c>
    </row>
    <row r="115" spans="2:16">
      <c r="B115" s="195" t="str">
        <f t="shared" si="26"/>
        <v/>
      </c>
      <c r="C115" s="507">
        <f>IF(D93="","-",+C114+1)</f>
        <v>2032</v>
      </c>
      <c r="D115" s="374">
        <f>IF(F114+SUM(E$99:E114)=D$92,F114,D$92-SUM(E$99:E114))</f>
        <v>16007330.856737711</v>
      </c>
      <c r="E115" s="522">
        <f>IF(+J96&lt;F114,J96,D115)</f>
        <v>617827.53658536589</v>
      </c>
      <c r="F115" s="523">
        <f t="shared" si="32"/>
        <v>15389503.320152344</v>
      </c>
      <c r="G115" s="523">
        <f t="shared" si="33"/>
        <v>15698417.088445026</v>
      </c>
      <c r="H115" s="526">
        <f t="shared" si="34"/>
        <v>2399821.2076420332</v>
      </c>
      <c r="I115" s="577">
        <f t="shared" si="35"/>
        <v>2399821.2076420332</v>
      </c>
      <c r="J115" s="514">
        <f t="shared" si="20"/>
        <v>0</v>
      </c>
      <c r="K115" s="514"/>
      <c r="L115" s="525"/>
      <c r="M115" s="514">
        <f t="shared" si="22"/>
        <v>0</v>
      </c>
      <c r="N115" s="525"/>
      <c r="O115" s="514">
        <f t="shared" si="24"/>
        <v>0</v>
      </c>
      <c r="P115" s="514">
        <f t="shared" si="25"/>
        <v>0</v>
      </c>
    </row>
    <row r="116" spans="2:16">
      <c r="B116" s="195" t="str">
        <f t="shared" si="26"/>
        <v/>
      </c>
      <c r="C116" s="507">
        <f>IF(D93="","-",+C115+1)</f>
        <v>2033</v>
      </c>
      <c r="D116" s="374">
        <f>IF(F115+SUM(E$99:E115)=D$92,F115,D$92-SUM(E$99:E115))</f>
        <v>15389503.320152344</v>
      </c>
      <c r="E116" s="522">
        <f>IF(+J96&lt;F115,J96,D116)</f>
        <v>617827.53658536589</v>
      </c>
      <c r="F116" s="523">
        <f t="shared" si="32"/>
        <v>14771675.783566978</v>
      </c>
      <c r="G116" s="523">
        <f t="shared" si="33"/>
        <v>15080589.551859662</v>
      </c>
      <c r="H116" s="526">
        <f t="shared" si="34"/>
        <v>2329688.992795351</v>
      </c>
      <c r="I116" s="577">
        <f t="shared" si="35"/>
        <v>2329688.992795351</v>
      </c>
      <c r="J116" s="514">
        <f t="shared" si="20"/>
        <v>0</v>
      </c>
      <c r="K116" s="514"/>
      <c r="L116" s="525"/>
      <c r="M116" s="514">
        <f t="shared" si="22"/>
        <v>0</v>
      </c>
      <c r="N116" s="525"/>
      <c r="O116" s="514">
        <f t="shared" si="24"/>
        <v>0</v>
      </c>
      <c r="P116" s="514">
        <f t="shared" si="25"/>
        <v>0</v>
      </c>
    </row>
    <row r="117" spans="2:16">
      <c r="B117" s="195" t="str">
        <f t="shared" si="26"/>
        <v/>
      </c>
      <c r="C117" s="507">
        <f>IF(D93="","-",+C116+1)</f>
        <v>2034</v>
      </c>
      <c r="D117" s="374">
        <f>IF(F116+SUM(E$99:E116)=D$92,F116,D$92-SUM(E$99:E116))</f>
        <v>14771675.783566978</v>
      </c>
      <c r="E117" s="522">
        <f>IF(+J96&lt;F116,J96,D117)</f>
        <v>617827.53658536589</v>
      </c>
      <c r="F117" s="523">
        <f t="shared" si="32"/>
        <v>14153848.246981611</v>
      </c>
      <c r="G117" s="523">
        <f t="shared" si="33"/>
        <v>14462762.015274294</v>
      </c>
      <c r="H117" s="526">
        <f t="shared" si="34"/>
        <v>2259556.7779486692</v>
      </c>
      <c r="I117" s="577">
        <f t="shared" si="35"/>
        <v>2259556.7779486692</v>
      </c>
      <c r="J117" s="514">
        <f t="shared" si="20"/>
        <v>0</v>
      </c>
      <c r="K117" s="514"/>
      <c r="L117" s="525"/>
      <c r="M117" s="514">
        <f t="shared" si="22"/>
        <v>0</v>
      </c>
      <c r="N117" s="525"/>
      <c r="O117" s="514">
        <f t="shared" si="24"/>
        <v>0</v>
      </c>
      <c r="P117" s="514">
        <f t="shared" si="25"/>
        <v>0</v>
      </c>
    </row>
    <row r="118" spans="2:16">
      <c r="B118" s="195" t="str">
        <f t="shared" si="26"/>
        <v/>
      </c>
      <c r="C118" s="507">
        <f>IF(D93="","-",+C117+1)</f>
        <v>2035</v>
      </c>
      <c r="D118" s="374">
        <f>IF(F117+SUM(E$99:E117)=D$92,F117,D$92-SUM(E$99:E117))</f>
        <v>14153848.246981611</v>
      </c>
      <c r="E118" s="522">
        <f>IF(+J96&lt;F117,J96,D118)</f>
        <v>617827.53658536589</v>
      </c>
      <c r="F118" s="523">
        <f t="shared" si="32"/>
        <v>13536020.710396245</v>
      </c>
      <c r="G118" s="523">
        <f t="shared" si="33"/>
        <v>13844934.478688929</v>
      </c>
      <c r="H118" s="526">
        <f t="shared" si="34"/>
        <v>2189424.5631019869</v>
      </c>
      <c r="I118" s="577">
        <f t="shared" si="35"/>
        <v>2189424.5631019869</v>
      </c>
      <c r="J118" s="514">
        <f t="shared" si="20"/>
        <v>0</v>
      </c>
      <c r="K118" s="514"/>
      <c r="L118" s="525"/>
      <c r="M118" s="514">
        <f t="shared" si="22"/>
        <v>0</v>
      </c>
      <c r="N118" s="525"/>
      <c r="O118" s="514">
        <f t="shared" si="24"/>
        <v>0</v>
      </c>
      <c r="P118" s="514">
        <f t="shared" si="25"/>
        <v>0</v>
      </c>
    </row>
    <row r="119" spans="2:16">
      <c r="B119" s="195" t="str">
        <f t="shared" si="26"/>
        <v/>
      </c>
      <c r="C119" s="507">
        <f>IF(D93="","-",+C118+1)</f>
        <v>2036</v>
      </c>
      <c r="D119" s="374">
        <f>IF(F118+SUM(E$99:E118)=D$92,F118,D$92-SUM(E$99:E118))</f>
        <v>13536020.710396245</v>
      </c>
      <c r="E119" s="522">
        <f>IF(+J96&lt;F118,J96,D119)</f>
        <v>617827.53658536589</v>
      </c>
      <c r="F119" s="523">
        <f t="shared" si="32"/>
        <v>12918193.173810879</v>
      </c>
      <c r="G119" s="523">
        <f t="shared" si="33"/>
        <v>13227106.942103561</v>
      </c>
      <c r="H119" s="526">
        <f t="shared" si="34"/>
        <v>2119292.3482553046</v>
      </c>
      <c r="I119" s="577">
        <f t="shared" si="35"/>
        <v>2119292.3482553046</v>
      </c>
      <c r="J119" s="514">
        <f t="shared" si="20"/>
        <v>0</v>
      </c>
      <c r="K119" s="514"/>
      <c r="L119" s="525"/>
      <c r="M119" s="514">
        <f t="shared" si="22"/>
        <v>0</v>
      </c>
      <c r="N119" s="525"/>
      <c r="O119" s="514">
        <f t="shared" si="24"/>
        <v>0</v>
      </c>
      <c r="P119" s="514">
        <f t="shared" si="25"/>
        <v>0</v>
      </c>
    </row>
    <row r="120" spans="2:16">
      <c r="B120" s="195" t="str">
        <f t="shared" si="26"/>
        <v/>
      </c>
      <c r="C120" s="507">
        <f>IF(D93="","-",+C119+1)</f>
        <v>2037</v>
      </c>
      <c r="D120" s="374">
        <f>IF(F119+SUM(E$99:E119)=D$92,F119,D$92-SUM(E$99:E119))</f>
        <v>12918193.173810879</v>
      </c>
      <c r="E120" s="522">
        <f>IF(+J96&lt;F119,J96,D120)</f>
        <v>617827.53658536589</v>
      </c>
      <c r="F120" s="523">
        <f t="shared" si="32"/>
        <v>12300365.637225512</v>
      </c>
      <c r="G120" s="523">
        <f t="shared" si="33"/>
        <v>12609279.405518197</v>
      </c>
      <c r="H120" s="526">
        <f t="shared" si="34"/>
        <v>2049160.1334086224</v>
      </c>
      <c r="I120" s="577">
        <f t="shared" si="35"/>
        <v>2049160.1334086224</v>
      </c>
      <c r="J120" s="514">
        <f t="shared" si="20"/>
        <v>0</v>
      </c>
      <c r="K120" s="514"/>
      <c r="L120" s="525"/>
      <c r="M120" s="514">
        <f t="shared" si="22"/>
        <v>0</v>
      </c>
      <c r="N120" s="525"/>
      <c r="O120" s="514">
        <f t="shared" si="24"/>
        <v>0</v>
      </c>
      <c r="P120" s="514">
        <f t="shared" si="25"/>
        <v>0</v>
      </c>
    </row>
    <row r="121" spans="2:16">
      <c r="B121" s="195" t="str">
        <f t="shared" si="26"/>
        <v/>
      </c>
      <c r="C121" s="507">
        <f>IF(D93="","-",+C120+1)</f>
        <v>2038</v>
      </c>
      <c r="D121" s="374">
        <f>IF(F120+SUM(E$99:E120)=D$92,F120,D$92-SUM(E$99:E120))</f>
        <v>12300365.637225512</v>
      </c>
      <c r="E121" s="522">
        <f>IF(+J96&lt;F120,J96,D121)</f>
        <v>617827.53658536589</v>
      </c>
      <c r="F121" s="523">
        <f t="shared" si="32"/>
        <v>11682538.100640146</v>
      </c>
      <c r="G121" s="523">
        <f t="shared" si="33"/>
        <v>11991451.868932828</v>
      </c>
      <c r="H121" s="526">
        <f t="shared" si="34"/>
        <v>1979027.9185619398</v>
      </c>
      <c r="I121" s="577">
        <f t="shared" si="35"/>
        <v>1979027.9185619398</v>
      </c>
      <c r="J121" s="514">
        <f t="shared" si="20"/>
        <v>0</v>
      </c>
      <c r="K121" s="514"/>
      <c r="L121" s="525"/>
      <c r="M121" s="514">
        <f t="shared" si="22"/>
        <v>0</v>
      </c>
      <c r="N121" s="525"/>
      <c r="O121" s="514">
        <f t="shared" si="24"/>
        <v>0</v>
      </c>
      <c r="P121" s="514">
        <f t="shared" si="25"/>
        <v>0</v>
      </c>
    </row>
    <row r="122" spans="2:16">
      <c r="B122" s="195" t="str">
        <f t="shared" si="26"/>
        <v/>
      </c>
      <c r="C122" s="507">
        <f>IF(D93="","-",+C121+1)</f>
        <v>2039</v>
      </c>
      <c r="D122" s="374">
        <f>IF(F121+SUM(E$99:E121)=D$92,F121,D$92-SUM(E$99:E121))</f>
        <v>11682538.100640146</v>
      </c>
      <c r="E122" s="522">
        <f>IF(+J96&lt;F121,J96,D122)</f>
        <v>617827.53658536589</v>
      </c>
      <c r="F122" s="523">
        <f t="shared" si="32"/>
        <v>11064710.56405478</v>
      </c>
      <c r="G122" s="523">
        <f t="shared" si="33"/>
        <v>11373624.332347464</v>
      </c>
      <c r="H122" s="526">
        <f t="shared" si="34"/>
        <v>1908895.7037152578</v>
      </c>
      <c r="I122" s="577">
        <f t="shared" si="35"/>
        <v>1908895.7037152578</v>
      </c>
      <c r="J122" s="514">
        <f t="shared" si="20"/>
        <v>0</v>
      </c>
      <c r="K122" s="514"/>
      <c r="L122" s="525"/>
      <c r="M122" s="514">
        <f t="shared" si="22"/>
        <v>0</v>
      </c>
      <c r="N122" s="525"/>
      <c r="O122" s="514">
        <f t="shared" si="24"/>
        <v>0</v>
      </c>
      <c r="P122" s="514">
        <f t="shared" si="25"/>
        <v>0</v>
      </c>
    </row>
    <row r="123" spans="2:16">
      <c r="B123" s="195" t="str">
        <f t="shared" si="26"/>
        <v/>
      </c>
      <c r="C123" s="507">
        <f>IF(D93="","-",+C122+1)</f>
        <v>2040</v>
      </c>
      <c r="D123" s="374">
        <f>IF(F122+SUM(E$99:E122)=D$92,F122,D$92-SUM(E$99:E122))</f>
        <v>11064710.56405478</v>
      </c>
      <c r="E123" s="522">
        <f>IF(+J96&lt;F122,J96,D123)</f>
        <v>617827.53658536589</v>
      </c>
      <c r="F123" s="523">
        <f t="shared" si="32"/>
        <v>10446883.027469413</v>
      </c>
      <c r="G123" s="523">
        <f t="shared" si="33"/>
        <v>10755796.795762096</v>
      </c>
      <c r="H123" s="526">
        <f t="shared" si="34"/>
        <v>1838763.4888685753</v>
      </c>
      <c r="I123" s="577">
        <f t="shared" si="35"/>
        <v>1838763.4888685753</v>
      </c>
      <c r="J123" s="514">
        <f t="shared" si="20"/>
        <v>0</v>
      </c>
      <c r="K123" s="514"/>
      <c r="L123" s="525"/>
      <c r="M123" s="514">
        <f t="shared" si="22"/>
        <v>0</v>
      </c>
      <c r="N123" s="525"/>
      <c r="O123" s="514">
        <f t="shared" si="24"/>
        <v>0</v>
      </c>
      <c r="P123" s="514">
        <f t="shared" si="25"/>
        <v>0</v>
      </c>
    </row>
    <row r="124" spans="2:16">
      <c r="B124" s="195" t="str">
        <f t="shared" si="26"/>
        <v/>
      </c>
      <c r="C124" s="507">
        <f>IF(D93="","-",+C123+1)</f>
        <v>2041</v>
      </c>
      <c r="D124" s="374">
        <f>IF(F123+SUM(E$99:E123)=D$92,F123,D$92-SUM(E$99:E123))</f>
        <v>10446883.027469413</v>
      </c>
      <c r="E124" s="522">
        <f>IF(+J96&lt;F123,J96,D124)</f>
        <v>617827.53658536589</v>
      </c>
      <c r="F124" s="523">
        <f t="shared" si="32"/>
        <v>9829055.490884047</v>
      </c>
      <c r="G124" s="523">
        <f t="shared" si="33"/>
        <v>10137969.259176731</v>
      </c>
      <c r="H124" s="526">
        <f t="shared" si="34"/>
        <v>1768631.2740218933</v>
      </c>
      <c r="I124" s="577">
        <f t="shared" si="35"/>
        <v>1768631.2740218933</v>
      </c>
      <c r="J124" s="514">
        <f t="shared" si="20"/>
        <v>0</v>
      </c>
      <c r="K124" s="514"/>
      <c r="L124" s="525"/>
      <c r="M124" s="514">
        <f t="shared" si="22"/>
        <v>0</v>
      </c>
      <c r="N124" s="525"/>
      <c r="O124" s="514">
        <f t="shared" si="24"/>
        <v>0</v>
      </c>
      <c r="P124" s="514">
        <f t="shared" si="25"/>
        <v>0</v>
      </c>
    </row>
    <row r="125" spans="2:16">
      <c r="B125" s="195" t="str">
        <f t="shared" si="26"/>
        <v/>
      </c>
      <c r="C125" s="507">
        <f>IF(D93="","-",+C124+1)</f>
        <v>2042</v>
      </c>
      <c r="D125" s="374">
        <f>IF(F124+SUM(E$99:E124)=D$92,F124,D$92-SUM(E$99:E124))</f>
        <v>9829055.490884047</v>
      </c>
      <c r="E125" s="522">
        <f>IF(+J96&lt;F124,J96,D125)</f>
        <v>617827.53658536589</v>
      </c>
      <c r="F125" s="523">
        <f t="shared" si="32"/>
        <v>9211227.9542986806</v>
      </c>
      <c r="G125" s="523">
        <f t="shared" si="33"/>
        <v>9520141.7225913629</v>
      </c>
      <c r="H125" s="526">
        <f t="shared" si="34"/>
        <v>1698499.059175211</v>
      </c>
      <c r="I125" s="577">
        <f t="shared" si="35"/>
        <v>1698499.059175211</v>
      </c>
      <c r="J125" s="514">
        <f t="shared" si="20"/>
        <v>0</v>
      </c>
      <c r="K125" s="514"/>
      <c r="L125" s="525"/>
      <c r="M125" s="514">
        <f t="shared" si="22"/>
        <v>0</v>
      </c>
      <c r="N125" s="525"/>
      <c r="O125" s="514">
        <f t="shared" si="24"/>
        <v>0</v>
      </c>
      <c r="P125" s="514">
        <f t="shared" si="25"/>
        <v>0</v>
      </c>
    </row>
    <row r="126" spans="2:16">
      <c r="B126" s="195" t="str">
        <f t="shared" si="26"/>
        <v/>
      </c>
      <c r="C126" s="507">
        <f>IF(D93="","-",+C125+1)</f>
        <v>2043</v>
      </c>
      <c r="D126" s="374">
        <f>IF(F125+SUM(E$99:E125)=D$92,F125,D$92-SUM(E$99:E125))</f>
        <v>9211227.9542986806</v>
      </c>
      <c r="E126" s="522">
        <f>IF(+J96&lt;F125,J96,D126)</f>
        <v>617827.53658536589</v>
      </c>
      <c r="F126" s="523">
        <f t="shared" si="32"/>
        <v>8593400.4177133143</v>
      </c>
      <c r="G126" s="523">
        <f t="shared" si="33"/>
        <v>8902314.1860059984</v>
      </c>
      <c r="H126" s="526">
        <f t="shared" si="34"/>
        <v>1628366.8443285287</v>
      </c>
      <c r="I126" s="577">
        <f t="shared" si="35"/>
        <v>1628366.8443285287</v>
      </c>
      <c r="J126" s="514">
        <f t="shared" si="20"/>
        <v>0</v>
      </c>
      <c r="K126" s="514"/>
      <c r="L126" s="525"/>
      <c r="M126" s="514">
        <f t="shared" si="22"/>
        <v>0</v>
      </c>
      <c r="N126" s="525"/>
      <c r="O126" s="514">
        <f t="shared" si="24"/>
        <v>0</v>
      </c>
      <c r="P126" s="514">
        <f t="shared" si="25"/>
        <v>0</v>
      </c>
    </row>
    <row r="127" spans="2:16">
      <c r="B127" s="195" t="str">
        <f t="shared" si="26"/>
        <v/>
      </c>
      <c r="C127" s="507">
        <f>IF(D93="","-",+C126+1)</f>
        <v>2044</v>
      </c>
      <c r="D127" s="374">
        <f>IF(F126+SUM(E$99:E126)=D$92,F126,D$92-SUM(E$99:E126))</f>
        <v>8593400.4177133143</v>
      </c>
      <c r="E127" s="522">
        <f>IF(+J96&lt;F126,J96,D127)</f>
        <v>617827.53658536589</v>
      </c>
      <c r="F127" s="523">
        <f t="shared" si="32"/>
        <v>7975572.8811279479</v>
      </c>
      <c r="G127" s="523">
        <f t="shared" si="33"/>
        <v>8284486.6494206311</v>
      </c>
      <c r="H127" s="526">
        <f t="shared" si="34"/>
        <v>1558234.6294818465</v>
      </c>
      <c r="I127" s="577">
        <f t="shared" si="35"/>
        <v>1558234.6294818465</v>
      </c>
      <c r="J127" s="514">
        <f t="shared" si="20"/>
        <v>0</v>
      </c>
      <c r="K127" s="514"/>
      <c r="L127" s="525"/>
      <c r="M127" s="514">
        <f t="shared" si="22"/>
        <v>0</v>
      </c>
      <c r="N127" s="525"/>
      <c r="O127" s="514">
        <f t="shared" si="24"/>
        <v>0</v>
      </c>
      <c r="P127" s="514">
        <f t="shared" si="25"/>
        <v>0</v>
      </c>
    </row>
    <row r="128" spans="2:16">
      <c r="B128" s="195" t="str">
        <f t="shared" si="26"/>
        <v/>
      </c>
      <c r="C128" s="507">
        <f>IF(D93="","-",+C127+1)</f>
        <v>2045</v>
      </c>
      <c r="D128" s="374">
        <f>IF(F127+SUM(E$99:E127)=D$92,F127,D$92-SUM(E$99:E127))</f>
        <v>7975572.8811279479</v>
      </c>
      <c r="E128" s="522">
        <f>IF(+J96&lt;F127,J96,D128)</f>
        <v>617827.53658536589</v>
      </c>
      <c r="F128" s="523">
        <f t="shared" si="32"/>
        <v>7357745.3445425816</v>
      </c>
      <c r="G128" s="523">
        <f t="shared" si="33"/>
        <v>7666659.1128352648</v>
      </c>
      <c r="H128" s="526">
        <f t="shared" si="34"/>
        <v>1488102.4146351642</v>
      </c>
      <c r="I128" s="577">
        <f t="shared" si="35"/>
        <v>1488102.4146351642</v>
      </c>
      <c r="J128" s="514">
        <f t="shared" si="20"/>
        <v>0</v>
      </c>
      <c r="K128" s="514"/>
      <c r="L128" s="525"/>
      <c r="M128" s="514">
        <f t="shared" si="22"/>
        <v>0</v>
      </c>
      <c r="N128" s="525"/>
      <c r="O128" s="514">
        <f t="shared" si="24"/>
        <v>0</v>
      </c>
      <c r="P128" s="514">
        <f t="shared" si="25"/>
        <v>0</v>
      </c>
    </row>
    <row r="129" spans="2:16">
      <c r="B129" s="195" t="str">
        <f t="shared" si="26"/>
        <v/>
      </c>
      <c r="C129" s="507">
        <f>IF(D93="","-",+C128+1)</f>
        <v>2046</v>
      </c>
      <c r="D129" s="374">
        <f>IF(F128+SUM(E$99:E128)=D$92,F128,D$92-SUM(E$99:E128))</f>
        <v>7357745.3445425816</v>
      </c>
      <c r="E129" s="522">
        <f>IF(+J96&lt;F128,J96,D129)</f>
        <v>617827.53658536589</v>
      </c>
      <c r="F129" s="523">
        <f t="shared" si="32"/>
        <v>6739917.8079572152</v>
      </c>
      <c r="G129" s="523">
        <f t="shared" si="33"/>
        <v>7048831.5762498984</v>
      </c>
      <c r="H129" s="526">
        <f t="shared" si="34"/>
        <v>1417970.1997884819</v>
      </c>
      <c r="I129" s="577">
        <f t="shared" si="35"/>
        <v>1417970.1997884819</v>
      </c>
      <c r="J129" s="514">
        <f t="shared" si="20"/>
        <v>0</v>
      </c>
      <c r="K129" s="514"/>
      <c r="L129" s="525"/>
      <c r="M129" s="514">
        <f t="shared" si="22"/>
        <v>0</v>
      </c>
      <c r="N129" s="525"/>
      <c r="O129" s="514">
        <f t="shared" si="24"/>
        <v>0</v>
      </c>
      <c r="P129" s="514">
        <f t="shared" si="25"/>
        <v>0</v>
      </c>
    </row>
    <row r="130" spans="2:16">
      <c r="B130" s="195" t="str">
        <f t="shared" si="26"/>
        <v/>
      </c>
      <c r="C130" s="507">
        <f>IF(D93="","-",+C129+1)</f>
        <v>2047</v>
      </c>
      <c r="D130" s="374">
        <f>IF(F129+SUM(E$99:E129)=D$92,F129,D$92-SUM(E$99:E129))</f>
        <v>6739917.8079572152</v>
      </c>
      <c r="E130" s="522">
        <f>IF(+J96&lt;F129,J96,D130)</f>
        <v>617827.53658536589</v>
      </c>
      <c r="F130" s="523">
        <f t="shared" si="32"/>
        <v>6122090.2713718489</v>
      </c>
      <c r="G130" s="523">
        <f t="shared" si="33"/>
        <v>6431004.0396645321</v>
      </c>
      <c r="H130" s="526">
        <f t="shared" si="34"/>
        <v>1347837.9849417997</v>
      </c>
      <c r="I130" s="577">
        <f t="shared" si="35"/>
        <v>1347837.9849417997</v>
      </c>
      <c r="J130" s="514">
        <f t="shared" si="20"/>
        <v>0</v>
      </c>
      <c r="K130" s="514"/>
      <c r="L130" s="525"/>
      <c r="M130" s="514">
        <f t="shared" si="22"/>
        <v>0</v>
      </c>
      <c r="N130" s="525"/>
      <c r="O130" s="514">
        <f t="shared" si="24"/>
        <v>0</v>
      </c>
      <c r="P130" s="514">
        <f t="shared" si="25"/>
        <v>0</v>
      </c>
    </row>
    <row r="131" spans="2:16">
      <c r="B131" s="195" t="str">
        <f t="shared" si="26"/>
        <v/>
      </c>
      <c r="C131" s="507">
        <f>IF(D93="","-",+C130+1)</f>
        <v>2048</v>
      </c>
      <c r="D131" s="374">
        <f>IF(F130+SUM(E$99:E130)=D$92,F130,D$92-SUM(E$99:E130))</f>
        <v>6122090.2713718489</v>
      </c>
      <c r="E131" s="522">
        <f>IF(+J96&lt;F130,J96,D131)</f>
        <v>617827.53658536589</v>
      </c>
      <c r="F131" s="523">
        <f t="shared" ref="F131:F154" si="36">+D131-E131</f>
        <v>5504262.7347864825</v>
      </c>
      <c r="G131" s="523">
        <f t="shared" ref="G131:G154" si="37">+(F131+D131)/2</f>
        <v>5813176.5030791657</v>
      </c>
      <c r="H131" s="526">
        <f t="shared" si="34"/>
        <v>1277705.7700951174</v>
      </c>
      <c r="I131" s="577">
        <f t="shared" si="35"/>
        <v>1277705.7700951174</v>
      </c>
      <c r="J131" s="514">
        <f t="shared" ref="J131:J154" si="38">+I541-H541</f>
        <v>0</v>
      </c>
      <c r="K131" s="514"/>
      <c r="L131" s="525"/>
      <c r="M131" s="514">
        <f t="shared" ref="M131:M154" si="39">IF(L541&lt;&gt;0,+H541-L541,0)</f>
        <v>0</v>
      </c>
      <c r="N131" s="525"/>
      <c r="O131" s="514">
        <f t="shared" ref="O131:O154" si="40">IF(N541&lt;&gt;0,+I541-N541,0)</f>
        <v>0</v>
      </c>
      <c r="P131" s="514">
        <f t="shared" ref="P131:P154" si="41">+O541-M541</f>
        <v>0</v>
      </c>
    </row>
    <row r="132" spans="2:16">
      <c r="B132" s="195" t="str">
        <f t="shared" si="26"/>
        <v/>
      </c>
      <c r="C132" s="507">
        <f>IF(D93="","-",+C131+1)</f>
        <v>2049</v>
      </c>
      <c r="D132" s="374">
        <f>IF(F131+SUM(E$99:E131)=D$92,F131,D$92-SUM(E$99:E131))</f>
        <v>5504262.7347864825</v>
      </c>
      <c r="E132" s="522">
        <f>IF(+J96&lt;F131,J96,D132)</f>
        <v>617827.53658536589</v>
      </c>
      <c r="F132" s="523">
        <f t="shared" si="36"/>
        <v>4886435.1982011162</v>
      </c>
      <c r="G132" s="523">
        <f t="shared" si="37"/>
        <v>5195348.9664937994</v>
      </c>
      <c r="H132" s="526">
        <f t="shared" si="34"/>
        <v>1207573.5552484354</v>
      </c>
      <c r="I132" s="577">
        <f t="shared" si="35"/>
        <v>1207573.5552484354</v>
      </c>
      <c r="J132" s="514">
        <f t="shared" si="38"/>
        <v>0</v>
      </c>
      <c r="K132" s="514"/>
      <c r="L132" s="525"/>
      <c r="M132" s="514">
        <f t="shared" si="39"/>
        <v>0</v>
      </c>
      <c r="N132" s="525"/>
      <c r="O132" s="514">
        <f t="shared" si="40"/>
        <v>0</v>
      </c>
      <c r="P132" s="514">
        <f t="shared" si="41"/>
        <v>0</v>
      </c>
    </row>
    <row r="133" spans="2:16">
      <c r="B133" s="195" t="str">
        <f t="shared" si="26"/>
        <v/>
      </c>
      <c r="C133" s="507">
        <f>IF(D93="","-",+C132+1)</f>
        <v>2050</v>
      </c>
      <c r="D133" s="374">
        <f>IF(F132+SUM(E$99:E132)=D$92,F132,D$92-SUM(E$99:E132))</f>
        <v>4886435.1982011162</v>
      </c>
      <c r="E133" s="522">
        <f>IF(+J96&lt;F132,J96,D133)</f>
        <v>617827.53658536589</v>
      </c>
      <c r="F133" s="523">
        <f t="shared" si="36"/>
        <v>4268607.6616157498</v>
      </c>
      <c r="G133" s="523">
        <f t="shared" si="37"/>
        <v>4577521.429908433</v>
      </c>
      <c r="H133" s="526">
        <f t="shared" si="34"/>
        <v>1137441.3404017531</v>
      </c>
      <c r="I133" s="577">
        <f t="shared" si="35"/>
        <v>1137441.3404017531</v>
      </c>
      <c r="J133" s="514">
        <f t="shared" si="38"/>
        <v>0</v>
      </c>
      <c r="K133" s="514"/>
      <c r="L133" s="525"/>
      <c r="M133" s="514">
        <f t="shared" si="39"/>
        <v>0</v>
      </c>
      <c r="N133" s="525"/>
      <c r="O133" s="514">
        <f t="shared" si="40"/>
        <v>0</v>
      </c>
      <c r="P133" s="514">
        <f t="shared" si="41"/>
        <v>0</v>
      </c>
    </row>
    <row r="134" spans="2:16">
      <c r="B134" s="195" t="str">
        <f t="shared" si="26"/>
        <v/>
      </c>
      <c r="C134" s="507">
        <f>IF(D93="","-",+C133+1)</f>
        <v>2051</v>
      </c>
      <c r="D134" s="374">
        <f>IF(F133+SUM(E$99:E133)=D$92,F133,D$92-SUM(E$99:E133))</f>
        <v>4268607.6616157498</v>
      </c>
      <c r="E134" s="522">
        <f>IF(+J96&lt;F133,J96,D134)</f>
        <v>617827.53658536589</v>
      </c>
      <c r="F134" s="523">
        <f t="shared" si="36"/>
        <v>3650780.1250303839</v>
      </c>
      <c r="G134" s="523">
        <f t="shared" si="37"/>
        <v>3959693.8933230666</v>
      </c>
      <c r="H134" s="526">
        <f t="shared" si="34"/>
        <v>1067309.1255550708</v>
      </c>
      <c r="I134" s="577">
        <f t="shared" si="35"/>
        <v>1067309.1255550708</v>
      </c>
      <c r="J134" s="514">
        <f t="shared" si="38"/>
        <v>0</v>
      </c>
      <c r="K134" s="514"/>
      <c r="L134" s="525"/>
      <c r="M134" s="514">
        <f t="shared" si="39"/>
        <v>0</v>
      </c>
      <c r="N134" s="525"/>
      <c r="O134" s="514">
        <f t="shared" si="40"/>
        <v>0</v>
      </c>
      <c r="P134" s="514">
        <f t="shared" si="41"/>
        <v>0</v>
      </c>
    </row>
    <row r="135" spans="2:16">
      <c r="B135" s="195" t="str">
        <f t="shared" si="26"/>
        <v/>
      </c>
      <c r="C135" s="507">
        <f>IF(D93="","-",+C134+1)</f>
        <v>2052</v>
      </c>
      <c r="D135" s="374">
        <f>IF(F134+SUM(E$99:E134)=D$92,F134,D$92-SUM(E$99:E134))</f>
        <v>3650780.1250303839</v>
      </c>
      <c r="E135" s="522">
        <f>IF(+J96&lt;F134,J96,D135)</f>
        <v>617827.53658536589</v>
      </c>
      <c r="F135" s="523">
        <f t="shared" si="36"/>
        <v>3032952.588445018</v>
      </c>
      <c r="G135" s="523">
        <f t="shared" si="37"/>
        <v>3341866.3567377012</v>
      </c>
      <c r="H135" s="526">
        <f t="shared" si="34"/>
        <v>997176.91070838878</v>
      </c>
      <c r="I135" s="577">
        <f t="shared" si="35"/>
        <v>997176.91070838878</v>
      </c>
      <c r="J135" s="514">
        <f t="shared" si="38"/>
        <v>0</v>
      </c>
      <c r="K135" s="514"/>
      <c r="L135" s="525"/>
      <c r="M135" s="514">
        <f t="shared" si="39"/>
        <v>0</v>
      </c>
      <c r="N135" s="525"/>
      <c r="O135" s="514">
        <f t="shared" si="40"/>
        <v>0</v>
      </c>
      <c r="P135" s="514">
        <f t="shared" si="41"/>
        <v>0</v>
      </c>
    </row>
    <row r="136" spans="2:16">
      <c r="B136" s="195" t="str">
        <f t="shared" si="26"/>
        <v/>
      </c>
      <c r="C136" s="507">
        <f>IF(D93="","-",+C135+1)</f>
        <v>2053</v>
      </c>
      <c r="D136" s="374">
        <f>IF(F135+SUM(E$99:E135)=D$92,F135,D$92-SUM(E$99:E135))</f>
        <v>3032952.588445018</v>
      </c>
      <c r="E136" s="522">
        <f>IF(+J96&lt;F135,J96,D136)</f>
        <v>617827.53658536589</v>
      </c>
      <c r="F136" s="523">
        <f t="shared" si="36"/>
        <v>2415125.0518596522</v>
      </c>
      <c r="G136" s="523">
        <f t="shared" si="37"/>
        <v>2724038.8201523349</v>
      </c>
      <c r="H136" s="526">
        <f t="shared" si="34"/>
        <v>927044.69586170651</v>
      </c>
      <c r="I136" s="577">
        <f t="shared" si="35"/>
        <v>927044.69586170651</v>
      </c>
      <c r="J136" s="514">
        <f t="shared" si="38"/>
        <v>0</v>
      </c>
      <c r="K136" s="514"/>
      <c r="L136" s="525"/>
      <c r="M136" s="514">
        <f t="shared" si="39"/>
        <v>0</v>
      </c>
      <c r="N136" s="525"/>
      <c r="O136" s="514">
        <f t="shared" si="40"/>
        <v>0</v>
      </c>
      <c r="P136" s="514">
        <f t="shared" si="41"/>
        <v>0</v>
      </c>
    </row>
    <row r="137" spans="2:16">
      <c r="B137" s="195" t="str">
        <f t="shared" si="26"/>
        <v/>
      </c>
      <c r="C137" s="507">
        <f>IF(D93="","-",+C136+1)</f>
        <v>2054</v>
      </c>
      <c r="D137" s="374">
        <f>IF(F136+SUM(E$99:E136)=D$92,F136,D$92-SUM(E$99:E136))</f>
        <v>2415125.0518596522</v>
      </c>
      <c r="E137" s="522">
        <f>IF(+J96&lt;F136,J96,D137)</f>
        <v>617827.53658536589</v>
      </c>
      <c r="F137" s="523">
        <f t="shared" si="36"/>
        <v>1797297.5152742863</v>
      </c>
      <c r="G137" s="523">
        <f t="shared" si="37"/>
        <v>2106211.2835669694</v>
      </c>
      <c r="H137" s="526">
        <f t="shared" si="34"/>
        <v>856912.48101502436</v>
      </c>
      <c r="I137" s="577">
        <f t="shared" si="35"/>
        <v>856912.48101502436</v>
      </c>
      <c r="J137" s="514">
        <f t="shared" si="38"/>
        <v>0</v>
      </c>
      <c r="K137" s="514"/>
      <c r="L137" s="525"/>
      <c r="M137" s="514">
        <f t="shared" si="39"/>
        <v>0</v>
      </c>
      <c r="N137" s="525"/>
      <c r="O137" s="514">
        <f t="shared" si="40"/>
        <v>0</v>
      </c>
      <c r="P137" s="514">
        <f t="shared" si="41"/>
        <v>0</v>
      </c>
    </row>
    <row r="138" spans="2:16">
      <c r="B138" s="195" t="str">
        <f t="shared" si="26"/>
        <v/>
      </c>
      <c r="C138" s="507">
        <f>IF(D93="","-",+C137+1)</f>
        <v>2055</v>
      </c>
      <c r="D138" s="374">
        <f>IF(F137+SUM(E$99:E137)=D$92,F137,D$92-SUM(E$99:E137))</f>
        <v>1797297.5152742863</v>
      </c>
      <c r="E138" s="522">
        <f>IF(+J96&lt;F137,J96,D138)</f>
        <v>617827.53658536589</v>
      </c>
      <c r="F138" s="523">
        <f t="shared" si="36"/>
        <v>1179469.9786889204</v>
      </c>
      <c r="G138" s="523">
        <f t="shared" si="37"/>
        <v>1488383.7469816033</v>
      </c>
      <c r="H138" s="526">
        <f t="shared" si="34"/>
        <v>786780.26616834209</v>
      </c>
      <c r="I138" s="577">
        <f t="shared" si="35"/>
        <v>786780.26616834209</v>
      </c>
      <c r="J138" s="514">
        <f t="shared" si="38"/>
        <v>0</v>
      </c>
      <c r="K138" s="514"/>
      <c r="L138" s="525"/>
      <c r="M138" s="514">
        <f t="shared" si="39"/>
        <v>0</v>
      </c>
      <c r="N138" s="525"/>
      <c r="O138" s="514">
        <f t="shared" si="40"/>
        <v>0</v>
      </c>
      <c r="P138" s="514">
        <f t="shared" si="41"/>
        <v>0</v>
      </c>
    </row>
    <row r="139" spans="2:16">
      <c r="B139" s="195" t="str">
        <f t="shared" si="26"/>
        <v/>
      </c>
      <c r="C139" s="507">
        <f>IF(D93="","-",+C138+1)</f>
        <v>2056</v>
      </c>
      <c r="D139" s="374">
        <f>IF(F138+SUM(E$99:E138)=D$92,F138,D$92-SUM(E$99:E138))</f>
        <v>1179469.9786889204</v>
      </c>
      <c r="E139" s="522">
        <f>IF(+J96&lt;F138,J96,D139)</f>
        <v>617827.53658536589</v>
      </c>
      <c r="F139" s="523">
        <f t="shared" si="36"/>
        <v>561642.44210355449</v>
      </c>
      <c r="G139" s="523">
        <f t="shared" si="37"/>
        <v>870556.21039623744</v>
      </c>
      <c r="H139" s="526">
        <f t="shared" si="34"/>
        <v>716648.05132165994</v>
      </c>
      <c r="I139" s="577">
        <f t="shared" si="35"/>
        <v>716648.05132165994</v>
      </c>
      <c r="J139" s="514">
        <f t="shared" si="38"/>
        <v>0</v>
      </c>
      <c r="K139" s="514"/>
      <c r="L139" s="525"/>
      <c r="M139" s="514">
        <f t="shared" si="39"/>
        <v>0</v>
      </c>
      <c r="N139" s="525"/>
      <c r="O139" s="514">
        <f t="shared" si="40"/>
        <v>0</v>
      </c>
      <c r="P139" s="514">
        <f t="shared" si="41"/>
        <v>0</v>
      </c>
    </row>
    <row r="140" spans="2:16">
      <c r="B140" s="195" t="str">
        <f t="shared" si="26"/>
        <v/>
      </c>
      <c r="C140" s="507">
        <f>IF(D93="","-",+C139+1)</f>
        <v>2057</v>
      </c>
      <c r="D140" s="374">
        <f>IF(F139+SUM(E$99:E139)=D$92,F139,D$92-SUM(E$99:E139))</f>
        <v>561642.44210355449</v>
      </c>
      <c r="E140" s="522">
        <f>IF(+J96&lt;F139,J96,D140)</f>
        <v>561642.44210355449</v>
      </c>
      <c r="F140" s="523">
        <f t="shared" si="36"/>
        <v>0</v>
      </c>
      <c r="G140" s="523">
        <f t="shared" si="37"/>
        <v>280821.22105177725</v>
      </c>
      <c r="H140" s="526">
        <f t="shared" si="34"/>
        <v>593519.64576003095</v>
      </c>
      <c r="I140" s="577">
        <f t="shared" si="35"/>
        <v>593519.64576003095</v>
      </c>
      <c r="J140" s="514">
        <f t="shared" si="38"/>
        <v>0</v>
      </c>
      <c r="K140" s="514"/>
      <c r="L140" s="525"/>
      <c r="M140" s="514">
        <f t="shared" si="39"/>
        <v>0</v>
      </c>
      <c r="N140" s="525"/>
      <c r="O140" s="514">
        <f t="shared" si="40"/>
        <v>0</v>
      </c>
      <c r="P140" s="514">
        <f t="shared" si="41"/>
        <v>0</v>
      </c>
    </row>
    <row r="141" spans="2:16">
      <c r="B141" s="195" t="str">
        <f t="shared" si="26"/>
        <v/>
      </c>
      <c r="C141" s="507">
        <f>IF(D93="","-",+C140+1)</f>
        <v>2058</v>
      </c>
      <c r="D141" s="374">
        <f>IF(F140+SUM(E$99:E140)=D$92,F140,D$92-SUM(E$99:E140))</f>
        <v>0</v>
      </c>
      <c r="E141" s="522">
        <f>IF(+J96&lt;F140,J96,D141)</f>
        <v>0</v>
      </c>
      <c r="F141" s="523">
        <f t="shared" si="36"/>
        <v>0</v>
      </c>
      <c r="G141" s="523">
        <f t="shared" si="37"/>
        <v>0</v>
      </c>
      <c r="H141" s="526">
        <f t="shared" si="34"/>
        <v>0</v>
      </c>
      <c r="I141" s="577">
        <f t="shared" si="35"/>
        <v>0</v>
      </c>
      <c r="J141" s="514">
        <f t="shared" si="38"/>
        <v>0</v>
      </c>
      <c r="K141" s="514"/>
      <c r="L141" s="525"/>
      <c r="M141" s="514">
        <f t="shared" si="39"/>
        <v>0</v>
      </c>
      <c r="N141" s="525"/>
      <c r="O141" s="514">
        <f t="shared" si="40"/>
        <v>0</v>
      </c>
      <c r="P141" s="514">
        <f t="shared" si="41"/>
        <v>0</v>
      </c>
    </row>
    <row r="142" spans="2:16">
      <c r="B142" s="195" t="str">
        <f t="shared" si="26"/>
        <v/>
      </c>
      <c r="C142" s="507">
        <f>IF(D93="","-",+C141+1)</f>
        <v>2059</v>
      </c>
      <c r="D142" s="374">
        <f>IF(F141+SUM(E$99:E141)=D$92,F141,D$92-SUM(E$99:E141))</f>
        <v>0</v>
      </c>
      <c r="E142" s="522">
        <f>IF(+J96&lt;F141,J96,D142)</f>
        <v>0</v>
      </c>
      <c r="F142" s="523">
        <f t="shared" si="36"/>
        <v>0</v>
      </c>
      <c r="G142" s="523">
        <f t="shared" si="37"/>
        <v>0</v>
      </c>
      <c r="H142" s="526">
        <f t="shared" si="34"/>
        <v>0</v>
      </c>
      <c r="I142" s="577">
        <f t="shared" si="35"/>
        <v>0</v>
      </c>
      <c r="J142" s="514">
        <f t="shared" si="38"/>
        <v>0</v>
      </c>
      <c r="K142" s="514"/>
      <c r="L142" s="525"/>
      <c r="M142" s="514">
        <f t="shared" si="39"/>
        <v>0</v>
      </c>
      <c r="N142" s="525"/>
      <c r="O142" s="514">
        <f t="shared" si="40"/>
        <v>0</v>
      </c>
      <c r="P142" s="514">
        <f t="shared" si="41"/>
        <v>0</v>
      </c>
    </row>
    <row r="143" spans="2:16">
      <c r="B143" s="195" t="str">
        <f t="shared" si="26"/>
        <v/>
      </c>
      <c r="C143" s="507">
        <f>IF(D93="","-",+C142+1)</f>
        <v>2060</v>
      </c>
      <c r="D143" s="374">
        <f>IF(F142+SUM(E$99:E142)=D$92,F142,D$92-SUM(E$99:E142))</f>
        <v>0</v>
      </c>
      <c r="E143" s="522">
        <f>IF(+J96&lt;F142,J96,D143)</f>
        <v>0</v>
      </c>
      <c r="F143" s="523">
        <f t="shared" si="36"/>
        <v>0</v>
      </c>
      <c r="G143" s="523">
        <f t="shared" si="37"/>
        <v>0</v>
      </c>
      <c r="H143" s="526">
        <f t="shared" si="34"/>
        <v>0</v>
      </c>
      <c r="I143" s="577">
        <f t="shared" si="35"/>
        <v>0</v>
      </c>
      <c r="J143" s="514">
        <f t="shared" si="38"/>
        <v>0</v>
      </c>
      <c r="K143" s="514"/>
      <c r="L143" s="525"/>
      <c r="M143" s="514">
        <f t="shared" si="39"/>
        <v>0</v>
      </c>
      <c r="N143" s="525"/>
      <c r="O143" s="514">
        <f t="shared" si="40"/>
        <v>0</v>
      </c>
      <c r="P143" s="514">
        <f t="shared" si="41"/>
        <v>0</v>
      </c>
    </row>
    <row r="144" spans="2:16">
      <c r="B144" s="195" t="str">
        <f t="shared" si="26"/>
        <v/>
      </c>
      <c r="C144" s="507">
        <f>IF(D93="","-",+C143+1)</f>
        <v>2061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36"/>
        <v>0</v>
      </c>
      <c r="G144" s="523">
        <f t="shared" si="37"/>
        <v>0</v>
      </c>
      <c r="H144" s="526">
        <f t="shared" si="34"/>
        <v>0</v>
      </c>
      <c r="I144" s="577">
        <f t="shared" si="35"/>
        <v>0</v>
      </c>
      <c r="J144" s="514">
        <f t="shared" si="38"/>
        <v>0</v>
      </c>
      <c r="K144" s="514"/>
      <c r="L144" s="525"/>
      <c r="M144" s="514">
        <f t="shared" si="39"/>
        <v>0</v>
      </c>
      <c r="N144" s="525"/>
      <c r="O144" s="514">
        <f t="shared" si="40"/>
        <v>0</v>
      </c>
      <c r="P144" s="514">
        <f t="shared" si="41"/>
        <v>0</v>
      </c>
    </row>
    <row r="145" spans="2:16">
      <c r="B145" s="195" t="str">
        <f t="shared" si="26"/>
        <v/>
      </c>
      <c r="C145" s="507">
        <f>IF(D93="","-",+C144+1)</f>
        <v>2062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36"/>
        <v>0</v>
      </c>
      <c r="G145" s="523">
        <f t="shared" si="37"/>
        <v>0</v>
      </c>
      <c r="H145" s="526">
        <f t="shared" si="34"/>
        <v>0</v>
      </c>
      <c r="I145" s="577">
        <f t="shared" si="35"/>
        <v>0</v>
      </c>
      <c r="J145" s="514">
        <f t="shared" si="38"/>
        <v>0</v>
      </c>
      <c r="K145" s="514"/>
      <c r="L145" s="525"/>
      <c r="M145" s="514">
        <f t="shared" si="39"/>
        <v>0</v>
      </c>
      <c r="N145" s="525"/>
      <c r="O145" s="514">
        <f t="shared" si="40"/>
        <v>0</v>
      </c>
      <c r="P145" s="514">
        <f t="shared" si="41"/>
        <v>0</v>
      </c>
    </row>
    <row r="146" spans="2:16">
      <c r="B146" s="195" t="str">
        <f t="shared" si="26"/>
        <v/>
      </c>
      <c r="C146" s="507">
        <f>IF(D93="","-",+C145+1)</f>
        <v>2063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36"/>
        <v>0</v>
      </c>
      <c r="G146" s="523">
        <f t="shared" si="37"/>
        <v>0</v>
      </c>
      <c r="H146" s="526">
        <f t="shared" si="34"/>
        <v>0</v>
      </c>
      <c r="I146" s="577">
        <f t="shared" si="35"/>
        <v>0</v>
      </c>
      <c r="J146" s="514">
        <f t="shared" si="38"/>
        <v>0</v>
      </c>
      <c r="K146" s="514"/>
      <c r="L146" s="525"/>
      <c r="M146" s="514">
        <f t="shared" si="39"/>
        <v>0</v>
      </c>
      <c r="N146" s="525"/>
      <c r="O146" s="514">
        <f t="shared" si="40"/>
        <v>0</v>
      </c>
      <c r="P146" s="514">
        <f t="shared" si="41"/>
        <v>0</v>
      </c>
    </row>
    <row r="147" spans="2:16">
      <c r="B147" s="195" t="str">
        <f t="shared" si="26"/>
        <v/>
      </c>
      <c r="C147" s="507">
        <f>IF(D93="","-",+C146+1)</f>
        <v>2064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36"/>
        <v>0</v>
      </c>
      <c r="G147" s="523">
        <f t="shared" si="37"/>
        <v>0</v>
      </c>
      <c r="H147" s="526">
        <f t="shared" si="34"/>
        <v>0</v>
      </c>
      <c r="I147" s="577">
        <f t="shared" si="35"/>
        <v>0</v>
      </c>
      <c r="J147" s="514">
        <f t="shared" si="38"/>
        <v>0</v>
      </c>
      <c r="K147" s="514"/>
      <c r="L147" s="525"/>
      <c r="M147" s="514">
        <f t="shared" si="39"/>
        <v>0</v>
      </c>
      <c r="N147" s="525"/>
      <c r="O147" s="514">
        <f t="shared" si="40"/>
        <v>0</v>
      </c>
      <c r="P147" s="514">
        <f t="shared" si="41"/>
        <v>0</v>
      </c>
    </row>
    <row r="148" spans="2:16">
      <c r="B148" s="195" t="str">
        <f t="shared" si="26"/>
        <v/>
      </c>
      <c r="C148" s="507">
        <f>IF(D93="","-",+C147+1)</f>
        <v>2065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36"/>
        <v>0</v>
      </c>
      <c r="G148" s="523">
        <f t="shared" si="37"/>
        <v>0</v>
      </c>
      <c r="H148" s="526">
        <f t="shared" si="34"/>
        <v>0</v>
      </c>
      <c r="I148" s="577">
        <f t="shared" si="35"/>
        <v>0</v>
      </c>
      <c r="J148" s="514">
        <f t="shared" si="38"/>
        <v>0</v>
      </c>
      <c r="K148" s="514"/>
      <c r="L148" s="525"/>
      <c r="M148" s="514">
        <f t="shared" si="39"/>
        <v>0</v>
      </c>
      <c r="N148" s="525"/>
      <c r="O148" s="514">
        <f t="shared" si="40"/>
        <v>0</v>
      </c>
      <c r="P148" s="514">
        <f t="shared" si="41"/>
        <v>0</v>
      </c>
    </row>
    <row r="149" spans="2:16">
      <c r="B149" s="195" t="str">
        <f t="shared" si="26"/>
        <v/>
      </c>
      <c r="C149" s="507">
        <f>IF(D93="","-",+C148+1)</f>
        <v>2066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36"/>
        <v>0</v>
      </c>
      <c r="G149" s="523">
        <f t="shared" si="37"/>
        <v>0</v>
      </c>
      <c r="H149" s="526">
        <f t="shared" si="34"/>
        <v>0</v>
      </c>
      <c r="I149" s="577">
        <f t="shared" si="35"/>
        <v>0</v>
      </c>
      <c r="J149" s="514">
        <f t="shared" si="38"/>
        <v>0</v>
      </c>
      <c r="K149" s="514"/>
      <c r="L149" s="525"/>
      <c r="M149" s="514">
        <f t="shared" si="39"/>
        <v>0</v>
      </c>
      <c r="N149" s="525"/>
      <c r="O149" s="514">
        <f t="shared" si="40"/>
        <v>0</v>
      </c>
      <c r="P149" s="514">
        <f t="shared" si="41"/>
        <v>0</v>
      </c>
    </row>
    <row r="150" spans="2:16">
      <c r="B150" s="195" t="str">
        <f t="shared" si="26"/>
        <v/>
      </c>
      <c r="C150" s="507">
        <f>IF(D93="","-",+C149+1)</f>
        <v>2067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36"/>
        <v>0</v>
      </c>
      <c r="G150" s="523">
        <f t="shared" si="37"/>
        <v>0</v>
      </c>
      <c r="H150" s="526">
        <f t="shared" si="34"/>
        <v>0</v>
      </c>
      <c r="I150" s="577">
        <f t="shared" si="35"/>
        <v>0</v>
      </c>
      <c r="J150" s="514">
        <f t="shared" si="38"/>
        <v>0</v>
      </c>
      <c r="K150" s="514"/>
      <c r="L150" s="525"/>
      <c r="M150" s="514">
        <f t="shared" si="39"/>
        <v>0</v>
      </c>
      <c r="N150" s="525"/>
      <c r="O150" s="514">
        <f t="shared" si="40"/>
        <v>0</v>
      </c>
      <c r="P150" s="514">
        <f t="shared" si="41"/>
        <v>0</v>
      </c>
    </row>
    <row r="151" spans="2:16">
      <c r="B151" s="195" t="str">
        <f t="shared" si="26"/>
        <v/>
      </c>
      <c r="C151" s="507">
        <f>IF(D93="","-",+C150+1)</f>
        <v>2068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36"/>
        <v>0</v>
      </c>
      <c r="G151" s="523">
        <f t="shared" si="37"/>
        <v>0</v>
      </c>
      <c r="H151" s="526">
        <f t="shared" si="34"/>
        <v>0</v>
      </c>
      <c r="I151" s="577">
        <f t="shared" si="35"/>
        <v>0</v>
      </c>
      <c r="J151" s="514">
        <f t="shared" si="38"/>
        <v>0</v>
      </c>
      <c r="K151" s="514"/>
      <c r="L151" s="525"/>
      <c r="M151" s="514">
        <f t="shared" si="39"/>
        <v>0</v>
      </c>
      <c r="N151" s="525"/>
      <c r="O151" s="514">
        <f t="shared" si="40"/>
        <v>0</v>
      </c>
      <c r="P151" s="514">
        <f t="shared" si="41"/>
        <v>0</v>
      </c>
    </row>
    <row r="152" spans="2:16">
      <c r="B152" s="195" t="str">
        <f t="shared" si="26"/>
        <v/>
      </c>
      <c r="C152" s="507">
        <f>IF(D93="","-",+C151+1)</f>
        <v>2069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36"/>
        <v>0</v>
      </c>
      <c r="G152" s="523">
        <f t="shared" si="37"/>
        <v>0</v>
      </c>
      <c r="H152" s="526">
        <f t="shared" si="34"/>
        <v>0</v>
      </c>
      <c r="I152" s="577">
        <f t="shared" si="35"/>
        <v>0</v>
      </c>
      <c r="J152" s="514">
        <f t="shared" si="38"/>
        <v>0</v>
      </c>
      <c r="K152" s="514"/>
      <c r="L152" s="525"/>
      <c r="M152" s="514">
        <f t="shared" si="39"/>
        <v>0</v>
      </c>
      <c r="N152" s="525"/>
      <c r="O152" s="514">
        <f t="shared" si="40"/>
        <v>0</v>
      </c>
      <c r="P152" s="514">
        <f t="shared" si="41"/>
        <v>0</v>
      </c>
    </row>
    <row r="153" spans="2:16">
      <c r="B153" s="195" t="str">
        <f t="shared" si="26"/>
        <v/>
      </c>
      <c r="C153" s="507">
        <f>IF(D93="","-",+C152+1)</f>
        <v>2070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36"/>
        <v>0</v>
      </c>
      <c r="G153" s="523">
        <f t="shared" si="37"/>
        <v>0</v>
      </c>
      <c r="H153" s="526">
        <f t="shared" si="34"/>
        <v>0</v>
      </c>
      <c r="I153" s="577">
        <f t="shared" si="35"/>
        <v>0</v>
      </c>
      <c r="J153" s="514">
        <f t="shared" si="38"/>
        <v>0</v>
      </c>
      <c r="K153" s="514"/>
      <c r="L153" s="525"/>
      <c r="M153" s="514">
        <f t="shared" si="39"/>
        <v>0</v>
      </c>
      <c r="N153" s="525"/>
      <c r="O153" s="514">
        <f t="shared" si="40"/>
        <v>0</v>
      </c>
      <c r="P153" s="514">
        <f t="shared" si="41"/>
        <v>0</v>
      </c>
    </row>
    <row r="154" spans="2:16" ht="13.5" thickBot="1">
      <c r="B154" s="195" t="str">
        <f t="shared" si="26"/>
        <v/>
      </c>
      <c r="C154" s="527">
        <f>IF(D93="","-",+C153+1)</f>
        <v>2071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36"/>
        <v>0</v>
      </c>
      <c r="G154" s="528">
        <f t="shared" si="37"/>
        <v>0</v>
      </c>
      <c r="H154" s="530">
        <f t="shared" si="34"/>
        <v>0</v>
      </c>
      <c r="I154" s="579">
        <f t="shared" si="35"/>
        <v>0</v>
      </c>
      <c r="J154" s="533">
        <f t="shared" si="38"/>
        <v>0</v>
      </c>
      <c r="K154" s="514"/>
      <c r="L154" s="532"/>
      <c r="M154" s="533">
        <f t="shared" si="39"/>
        <v>0</v>
      </c>
      <c r="N154" s="532"/>
      <c r="O154" s="533">
        <f t="shared" si="40"/>
        <v>0</v>
      </c>
      <c r="P154" s="533">
        <f t="shared" si="41"/>
        <v>0</v>
      </c>
    </row>
    <row r="155" spans="2:16">
      <c r="C155" s="374" t="s">
        <v>78</v>
      </c>
      <c r="D155" s="375"/>
      <c r="E155" s="375">
        <f>SUM(E99:E154)</f>
        <v>25330928.999999989</v>
      </c>
      <c r="F155" s="375"/>
      <c r="G155" s="375"/>
      <c r="H155" s="375">
        <f>SUM(H99:H154)</f>
        <v>85354351.797258645</v>
      </c>
      <c r="I155" s="375">
        <f>SUM(I99:I154)</f>
        <v>85354351.797258645</v>
      </c>
      <c r="J155" s="375">
        <f>SUM(J99:J154)</f>
        <v>0</v>
      </c>
      <c r="K155" s="375"/>
      <c r="L155" s="375"/>
      <c r="M155" s="375"/>
      <c r="N155" s="375"/>
      <c r="O155" s="375"/>
      <c r="P155" s="269"/>
    </row>
    <row r="156" spans="2:16">
      <c r="C156" s="183" t="s">
        <v>92</v>
      </c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</row>
    <row r="157" spans="2:16">
      <c r="C157" s="580"/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</row>
    <row r="158" spans="2:16">
      <c r="C158" s="614" t="s">
        <v>132</v>
      </c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</row>
    <row r="159" spans="2:16">
      <c r="C159" s="467" t="s">
        <v>79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</row>
    <row r="160" spans="2:16">
      <c r="C160" s="581" t="s">
        <v>80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</row>
    <row r="161" spans="3:16">
      <c r="C161" s="581"/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</row>
    <row r="162" spans="3:16" ht="18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635" t="s">
        <v>131</v>
      </c>
    </row>
  </sheetData>
  <conditionalFormatting sqref="C17:C72">
    <cfRule type="cellIs" dxfId="45" priority="1" stopIfTrue="1" operator="equal">
      <formula>$I$10</formula>
    </cfRule>
  </conditionalFormatting>
  <conditionalFormatting sqref="C99:C154">
    <cfRule type="cellIs" dxfId="44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Sheet108"/>
  <dimension ref="A1:P162"/>
  <sheetViews>
    <sheetView topLeftCell="A96" zoomScaleNormal="100" zoomScaleSheetLayoutView="80" workbookViewId="0">
      <selection activeCell="D99" sqref="D99:I104"/>
    </sheetView>
  </sheetViews>
  <sheetFormatPr defaultColWidth="8.7109375" defaultRowHeight="12.75" customHeight="1"/>
  <cols>
    <col min="1" max="1" width="4.7109375" style="183" customWidth="1"/>
    <col min="2" max="2" width="6.7109375" style="183" customWidth="1"/>
    <col min="3" max="3" width="23.28515625" style="183" customWidth="1"/>
    <col min="4" max="8" width="17.7109375" style="183" customWidth="1"/>
    <col min="9" max="9" width="20.42578125" style="183" customWidth="1"/>
    <col min="10" max="10" width="16.42578125" style="183" customWidth="1"/>
    <col min="11" max="11" width="17.7109375" style="183" customWidth="1"/>
    <col min="12" max="12" width="16.140625" style="183" customWidth="1"/>
    <col min="13" max="13" width="17.7109375" style="183" customWidth="1"/>
    <col min="14" max="14" width="16.7109375" style="183" customWidth="1"/>
    <col min="15" max="15" width="16.85546875" style="183" customWidth="1"/>
    <col min="16" max="16" width="24.42578125" style="183" customWidth="1"/>
    <col min="17" max="17" width="9.140625" style="183" customWidth="1"/>
    <col min="18" max="22" width="8.7109375" style="183"/>
    <col min="23" max="23" width="9.140625" style="183" customWidth="1"/>
    <col min="24" max="16384" width="8.7109375" style="183"/>
  </cols>
  <sheetData>
    <row r="1" spans="1:16" ht="20.25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59 of 75</v>
      </c>
    </row>
    <row r="2" spans="1:16" ht="18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538" t="s">
        <v>129</v>
      </c>
    </row>
    <row r="3" spans="1:16" ht="18.75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/>
      <c r="P3" s="623">
        <v>1</v>
      </c>
    </row>
    <row r="4" spans="1:16" ht="15.75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6" ht="1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2079259.6309567015</v>
      </c>
      <c r="P5" s="269"/>
    </row>
    <row r="6" spans="1:16" ht="15.7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2079259.6309567015</v>
      </c>
      <c r="O6" s="269"/>
      <c r="P6" s="269"/>
    </row>
    <row r="7" spans="1:16" ht="13.5" thickBot="1">
      <c r="C7" s="467" t="s">
        <v>48</v>
      </c>
      <c r="D7" s="624" t="s">
        <v>362</v>
      </c>
      <c r="E7" s="587"/>
      <c r="F7" s="269"/>
      <c r="G7" s="269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6" ht="13.5" thickBot="1">
      <c r="C8" s="472"/>
      <c r="D8" s="625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6" ht="13.5" thickBot="1">
      <c r="C9" s="476" t="s">
        <v>50</v>
      </c>
      <c r="D9" s="477" t="s">
        <v>406</v>
      </c>
      <c r="E9" s="637" t="s">
        <v>405</v>
      </c>
      <c r="F9" s="478"/>
      <c r="G9" s="478"/>
      <c r="H9" s="478"/>
      <c r="I9" s="479"/>
      <c r="J9" s="480"/>
      <c r="O9" s="481"/>
      <c r="P9" s="272"/>
    </row>
    <row r="10" spans="1:16">
      <c r="C10" s="482" t="s">
        <v>51</v>
      </c>
      <c r="D10" s="483">
        <v>17132604</v>
      </c>
      <c r="E10" s="353" t="s">
        <v>52</v>
      </c>
      <c r="F10" s="481"/>
      <c r="G10" s="484"/>
      <c r="H10" s="484"/>
      <c r="I10" s="485">
        <f>+'SWE.WS.F.BPU.ATRR.Projected'!L19</f>
        <v>2024</v>
      </c>
      <c r="J10" s="480"/>
      <c r="K10" s="375" t="s">
        <v>53</v>
      </c>
      <c r="O10" s="272"/>
      <c r="P10" s="272"/>
    </row>
    <row r="11" spans="1:16">
      <c r="C11" s="486" t="s">
        <v>54</v>
      </c>
      <c r="D11" s="487">
        <v>2017</v>
      </c>
      <c r="E11" s="486" t="s">
        <v>55</v>
      </c>
      <c r="F11" s="484"/>
      <c r="G11" s="233"/>
      <c r="H11" s="233"/>
      <c r="I11" s="488">
        <f>IF(G5="",0,'SWE.WS.F.BPU.ATRR.Projected'!F$13)</f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6">
      <c r="C12" s="486" t="s">
        <v>56</v>
      </c>
      <c r="D12" s="483">
        <v>7</v>
      </c>
      <c r="E12" s="486" t="s">
        <v>57</v>
      </c>
      <c r="F12" s="484"/>
      <c r="G12" s="233"/>
      <c r="H12" s="233"/>
      <c r="I12" s="490">
        <f>'SWE.WS.F.BPU.ATRR.Projected'!$F$81</f>
        <v>0.11952713165403545</v>
      </c>
      <c r="J12" s="425"/>
      <c r="K12" s="183" t="s">
        <v>58</v>
      </c>
      <c r="O12" s="272"/>
      <c r="P12" s="272"/>
    </row>
    <row r="13" spans="1:16">
      <c r="C13" s="486" t="s">
        <v>59</v>
      </c>
      <c r="D13" s="488">
        <f>+'SWE.WS.F.BPU.ATRR.Projected'!F$93</f>
        <v>44</v>
      </c>
      <c r="E13" s="486" t="s">
        <v>60</v>
      </c>
      <c r="F13" s="484"/>
      <c r="G13" s="233"/>
      <c r="H13" s="233"/>
      <c r="I13" s="490">
        <f>IF(G5="",I12,'SWE.WS.F.BPU.ATRR.Projected'!$F$80)</f>
        <v>0.11952713165403545</v>
      </c>
      <c r="J13" s="425"/>
      <c r="K13" s="375" t="s">
        <v>61</v>
      </c>
      <c r="L13" s="324"/>
      <c r="M13" s="324"/>
      <c r="N13" s="324"/>
      <c r="O13" s="272"/>
      <c r="P13" s="272"/>
    </row>
    <row r="14" spans="1:16" ht="13.5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389377.36363636365</v>
      </c>
      <c r="J14" s="375"/>
      <c r="K14" s="375"/>
      <c r="L14" s="375"/>
      <c r="M14" s="375"/>
      <c r="N14" s="375"/>
      <c r="O14" s="272"/>
      <c r="P14" s="272"/>
    </row>
    <row r="15" spans="1:16" ht="38.25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388</v>
      </c>
      <c r="H15" s="495" t="s">
        <v>389</v>
      </c>
      <c r="I15" s="492" t="s">
        <v>68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6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>
      <c r="C17" s="507">
        <v>2016</v>
      </c>
      <c r="D17" s="631">
        <v>9636181</v>
      </c>
      <c r="E17" s="631">
        <v>0.12709409892825937</v>
      </c>
      <c r="F17" s="631">
        <v>9636181</v>
      </c>
      <c r="G17" s="630">
        <v>1253474.1837577762</v>
      </c>
      <c r="H17" s="639">
        <v>1253474.1837577762</v>
      </c>
      <c r="I17" s="511">
        <f t="shared" ref="I17:I72" si="0">H17-G17</f>
        <v>0</v>
      </c>
      <c r="J17" s="511"/>
      <c r="K17" s="512">
        <f t="shared" ref="K17:K22" si="1">+G17</f>
        <v>1253474.1837577762</v>
      </c>
      <c r="L17" s="513">
        <f t="shared" ref="L17:L72" si="2">IF(K17&lt;&gt;0,+G17-K17,0)</f>
        <v>0</v>
      </c>
      <c r="M17" s="512">
        <f t="shared" ref="M17:M22" si="3">+H17</f>
        <v>1253474.1837577762</v>
      </c>
      <c r="N17" s="513">
        <f t="shared" ref="N17:N72" si="4">IF(M17&lt;&gt;0,+H17-M17,0)</f>
        <v>0</v>
      </c>
      <c r="O17" s="514">
        <f t="shared" ref="O17:O72" si="5">+N17-L17</f>
        <v>0</v>
      </c>
      <c r="P17" s="272"/>
    </row>
    <row r="18" spans="2:16">
      <c r="B18" s="195" t="str">
        <f>IF(D18=F17,"","IU")</f>
        <v>IU</v>
      </c>
      <c r="C18" s="507">
        <f>IF(D11="","-",+C17+1)</f>
        <v>2017</v>
      </c>
      <c r="D18" s="651">
        <v>16078411.876107465</v>
      </c>
      <c r="E18" s="656">
        <v>373916.5581395349</v>
      </c>
      <c r="F18" s="651">
        <v>15704495.317967931</v>
      </c>
      <c r="G18" s="650">
        <v>2342749.0071242256</v>
      </c>
      <c r="H18" s="657">
        <v>2342749.0071242256</v>
      </c>
      <c r="I18" s="511">
        <f t="shared" si="0"/>
        <v>0</v>
      </c>
      <c r="J18" s="511"/>
      <c r="K18" s="518">
        <f t="shared" si="1"/>
        <v>2342749.0071242256</v>
      </c>
      <c r="L18" s="519">
        <f t="shared" ref="L18:L23" si="6">IF(K18&lt;&gt;0,+G18-K18,0)</f>
        <v>0</v>
      </c>
      <c r="M18" s="518">
        <f t="shared" si="3"/>
        <v>2342749.0071242256</v>
      </c>
      <c r="N18" s="514">
        <f>IF(M18&lt;&gt;0,+H18-M18,0)</f>
        <v>0</v>
      </c>
      <c r="O18" s="514">
        <f>+N18-L18</f>
        <v>0</v>
      </c>
      <c r="P18" s="272"/>
    </row>
    <row r="19" spans="2:16">
      <c r="B19" s="195" t="str">
        <f>IF(D19=F18,"","IU")</f>
        <v>IU</v>
      </c>
      <c r="C19" s="507">
        <f>IF(D11="","-",+C18+1)</f>
        <v>2018</v>
      </c>
      <c r="D19" s="651">
        <v>15704495.441860465</v>
      </c>
      <c r="E19" s="656">
        <v>392156.39024390245</v>
      </c>
      <c r="F19" s="651">
        <v>15312339.051616563</v>
      </c>
      <c r="G19" s="650">
        <v>2363184.7060216111</v>
      </c>
      <c r="H19" s="657">
        <v>2363184.7060216111</v>
      </c>
      <c r="I19" s="511">
        <f t="shared" si="0"/>
        <v>0</v>
      </c>
      <c r="J19" s="511"/>
      <c r="K19" s="518">
        <f t="shared" si="1"/>
        <v>2363184.7060216111</v>
      </c>
      <c r="L19" s="519">
        <f t="shared" si="6"/>
        <v>0</v>
      </c>
      <c r="M19" s="518">
        <f t="shared" si="3"/>
        <v>2363184.7060216111</v>
      </c>
      <c r="N19" s="514">
        <f>IF(M19&lt;&gt;0,+H19-M19,0)</f>
        <v>0</v>
      </c>
      <c r="O19" s="514">
        <f>+N19-L19</f>
        <v>0</v>
      </c>
      <c r="P19" s="272"/>
    </row>
    <row r="20" spans="2:16">
      <c r="B20" s="195" t="str">
        <f t="shared" ref="B20:B72" si="7">IF(D20=F19,"","IU")</f>
        <v>IU</v>
      </c>
      <c r="C20" s="507">
        <f>IF(D11="","-",+C19+1)</f>
        <v>2019</v>
      </c>
      <c r="D20" s="651">
        <v>15312338.924522463</v>
      </c>
      <c r="E20" s="656">
        <v>392156.39024390245</v>
      </c>
      <c r="F20" s="651">
        <v>14920182.53427856</v>
      </c>
      <c r="G20" s="650">
        <v>2313343.9268116932</v>
      </c>
      <c r="H20" s="657">
        <v>2313343.9268116932</v>
      </c>
      <c r="I20" s="511">
        <f t="shared" si="0"/>
        <v>0</v>
      </c>
      <c r="J20" s="511"/>
      <c r="K20" s="518">
        <f t="shared" si="1"/>
        <v>2313343.9268116932</v>
      </c>
      <c r="L20" s="519">
        <f t="shared" si="6"/>
        <v>0</v>
      </c>
      <c r="M20" s="518">
        <f t="shared" si="3"/>
        <v>2313343.9268116932</v>
      </c>
      <c r="N20" s="514">
        <f t="shared" si="4"/>
        <v>0</v>
      </c>
      <c r="O20" s="514">
        <f t="shared" si="5"/>
        <v>0</v>
      </c>
      <c r="P20" s="272"/>
    </row>
    <row r="21" spans="2:16">
      <c r="B21" s="195" t="str">
        <f t="shared" si="7"/>
        <v>IU</v>
      </c>
      <c r="C21" s="507">
        <f>IF(D11="","-",+C20+1)</f>
        <v>2020</v>
      </c>
      <c r="D21" s="651">
        <v>15974201.53427856</v>
      </c>
      <c r="E21" s="656">
        <v>417864.1707317073</v>
      </c>
      <c r="F21" s="651">
        <v>15556337.363546854</v>
      </c>
      <c r="G21" s="650">
        <v>2031210.1975052932</v>
      </c>
      <c r="H21" s="657">
        <v>2031210.1975052932</v>
      </c>
      <c r="I21" s="511">
        <f t="shared" si="0"/>
        <v>0</v>
      </c>
      <c r="J21" s="511"/>
      <c r="K21" s="518">
        <f t="shared" si="1"/>
        <v>2031210.1975052932</v>
      </c>
      <c r="L21" s="519">
        <f t="shared" si="6"/>
        <v>0</v>
      </c>
      <c r="M21" s="518">
        <f t="shared" si="3"/>
        <v>2031210.1975052932</v>
      </c>
      <c r="N21" s="514">
        <f t="shared" si="4"/>
        <v>0</v>
      </c>
      <c r="O21" s="514">
        <f t="shared" si="5"/>
        <v>0</v>
      </c>
      <c r="P21" s="272"/>
    </row>
    <row r="22" spans="2:16">
      <c r="B22" s="195" t="str">
        <f t="shared" si="7"/>
        <v>IU</v>
      </c>
      <c r="C22" s="507">
        <f>IF(D11="","-",+C21+1)</f>
        <v>2021</v>
      </c>
      <c r="D22" s="651">
        <v>15574750.195651222</v>
      </c>
      <c r="E22" s="656">
        <v>407919.14285714284</v>
      </c>
      <c r="F22" s="651">
        <v>15166831.052794078</v>
      </c>
      <c r="G22" s="650">
        <v>2037292.8099232661</v>
      </c>
      <c r="H22" s="657">
        <v>2037292.8099232661</v>
      </c>
      <c r="I22" s="511">
        <f t="shared" si="0"/>
        <v>0</v>
      </c>
      <c r="J22" s="511"/>
      <c r="K22" s="518">
        <f t="shared" si="1"/>
        <v>2037292.8099232661</v>
      </c>
      <c r="L22" s="519">
        <f t="shared" si="6"/>
        <v>0</v>
      </c>
      <c r="M22" s="518">
        <f t="shared" si="3"/>
        <v>2037292.8099232661</v>
      </c>
      <c r="N22" s="514">
        <f t="shared" si="4"/>
        <v>0</v>
      </c>
      <c r="O22" s="514">
        <f t="shared" si="5"/>
        <v>0</v>
      </c>
      <c r="P22" s="272"/>
    </row>
    <row r="23" spans="2:16">
      <c r="B23" s="195" t="str">
        <f t="shared" si="7"/>
        <v>IU</v>
      </c>
      <c r="C23" s="507">
        <f>IF(D11="","-",+C22+1)</f>
        <v>2022</v>
      </c>
      <c r="D23" s="651">
        <v>15148591.22068971</v>
      </c>
      <c r="E23" s="656">
        <v>407919.14285714284</v>
      </c>
      <c r="F23" s="651">
        <v>14740672.077832567</v>
      </c>
      <c r="G23" s="650">
        <v>2088354.751908463</v>
      </c>
      <c r="H23" s="657">
        <v>2088354.751908463</v>
      </c>
      <c r="I23" s="511">
        <f t="shared" si="0"/>
        <v>0</v>
      </c>
      <c r="J23" s="511"/>
      <c r="K23" s="518">
        <f t="shared" ref="K23" si="8">+G23</f>
        <v>2088354.751908463</v>
      </c>
      <c r="L23" s="519">
        <f t="shared" si="6"/>
        <v>0</v>
      </c>
      <c r="M23" s="518">
        <f t="shared" ref="M23" si="9">+H23</f>
        <v>2088354.751908463</v>
      </c>
      <c r="N23" s="514">
        <f t="shared" si="4"/>
        <v>0</v>
      </c>
      <c r="O23" s="514">
        <f t="shared" si="5"/>
        <v>0</v>
      </c>
      <c r="P23" s="272"/>
    </row>
    <row r="24" spans="2:16">
      <c r="B24" s="195" t="str">
        <f t="shared" si="7"/>
        <v/>
      </c>
      <c r="C24" s="507">
        <f>IF(D11="","-",+C23+1)</f>
        <v>2023</v>
      </c>
      <c r="D24" s="651">
        <v>14740672.077832567</v>
      </c>
      <c r="E24" s="656">
        <v>407919.14285714284</v>
      </c>
      <c r="F24" s="651">
        <v>14332752.934975423</v>
      </c>
      <c r="G24" s="650">
        <v>2244295.3415744328</v>
      </c>
      <c r="H24" s="657">
        <v>2244295.3415744328</v>
      </c>
      <c r="I24" s="511">
        <f t="shared" si="0"/>
        <v>0</v>
      </c>
      <c r="J24" s="511"/>
      <c r="K24" s="518">
        <f t="shared" ref="K24" si="10">+G24</f>
        <v>2244295.3415744328</v>
      </c>
      <c r="L24" s="519">
        <f t="shared" ref="L24" si="11">IF(K24&lt;&gt;0,+G24-K24,0)</f>
        <v>0</v>
      </c>
      <c r="M24" s="518">
        <f t="shared" ref="M24" si="12">+H24</f>
        <v>2244295.3415744328</v>
      </c>
      <c r="N24" s="514">
        <f t="shared" ref="N24" si="13">IF(M24&lt;&gt;0,+H24-M24,0)</f>
        <v>0</v>
      </c>
      <c r="O24" s="514">
        <f t="shared" ref="O24" si="14">+N24-L24</f>
        <v>0</v>
      </c>
      <c r="P24" s="272"/>
    </row>
    <row r="25" spans="2:16">
      <c r="B25" s="195" t="str">
        <f t="shared" si="7"/>
        <v/>
      </c>
      <c r="C25" s="673">
        <f>IF(D11="","-",+C24+1)</f>
        <v>2024</v>
      </c>
      <c r="D25" s="523">
        <f>IF(F24+SUM(E$17:E24)=D$10,F24,D$10-SUM(E$17:E24))</f>
        <v>14332752.934975423</v>
      </c>
      <c r="E25" s="522">
        <f>IF(+I14&lt;F24,I14,D25)</f>
        <v>389377.36363636365</v>
      </c>
      <c r="F25" s="523">
        <f t="shared" ref="F25:F72" si="15">+D25-E25</f>
        <v>13943375.57133906</v>
      </c>
      <c r="G25" s="524">
        <f t="shared" ref="G25:G49" si="16">+I$12*((D25+F25)/2)+E25</f>
        <v>2079259.6309567015</v>
      </c>
      <c r="H25" s="491">
        <f t="shared" ref="H25:H49" si="17">+I$13*((D25+F25)/2)+E25</f>
        <v>2079259.6309567015</v>
      </c>
      <c r="I25" s="511">
        <f t="shared" si="0"/>
        <v>0</v>
      </c>
      <c r="J25" s="511"/>
      <c r="K25" s="525"/>
      <c r="L25" s="514">
        <f t="shared" si="2"/>
        <v>0</v>
      </c>
      <c r="M25" s="525"/>
      <c r="N25" s="514">
        <f t="shared" si="4"/>
        <v>0</v>
      </c>
      <c r="O25" s="514">
        <f t="shared" si="5"/>
        <v>0</v>
      </c>
      <c r="P25" s="272"/>
    </row>
    <row r="26" spans="2:16">
      <c r="B26" s="195" t="str">
        <f t="shared" si="7"/>
        <v/>
      </c>
      <c r="C26" s="507">
        <f>IF(D11="","-",+C25+1)</f>
        <v>2025</v>
      </c>
      <c r="D26" s="523">
        <f>IF(F25+SUM(E$17:E25)=D$10,F25,D$10-SUM(E$17:E25))</f>
        <v>13943375.57133906</v>
      </c>
      <c r="E26" s="522">
        <f>IF(+I14&lt;F25,I14,D26)</f>
        <v>389377.36363636365</v>
      </c>
      <c r="F26" s="523">
        <f t="shared" si="15"/>
        <v>13553998.207702696</v>
      </c>
      <c r="G26" s="524">
        <f t="shared" si="16"/>
        <v>2032718.4715502369</v>
      </c>
      <c r="H26" s="491">
        <f t="shared" si="17"/>
        <v>2032718.4715502369</v>
      </c>
      <c r="I26" s="511">
        <f t="shared" si="0"/>
        <v>0</v>
      </c>
      <c r="J26" s="511"/>
      <c r="K26" s="525"/>
      <c r="L26" s="514">
        <f t="shared" si="2"/>
        <v>0</v>
      </c>
      <c r="M26" s="525"/>
      <c r="N26" s="514">
        <f t="shared" si="4"/>
        <v>0</v>
      </c>
      <c r="O26" s="514">
        <f t="shared" si="5"/>
        <v>0</v>
      </c>
      <c r="P26" s="272"/>
    </row>
    <row r="27" spans="2:16">
      <c r="B27" s="195" t="str">
        <f t="shared" si="7"/>
        <v/>
      </c>
      <c r="C27" s="507">
        <f>IF(D11="","-",+C26+1)</f>
        <v>2026</v>
      </c>
      <c r="D27" s="523">
        <f>IF(F26+SUM(E$17:E26)=D$10,F26,D$10-SUM(E$17:E26))</f>
        <v>13553998.207702696</v>
      </c>
      <c r="E27" s="522">
        <f>IF(+I14&lt;F26,I14,D27)</f>
        <v>389377.36363636365</v>
      </c>
      <c r="F27" s="523">
        <f t="shared" si="15"/>
        <v>13164620.844066333</v>
      </c>
      <c r="G27" s="524">
        <f t="shared" si="16"/>
        <v>1986177.3121437719</v>
      </c>
      <c r="H27" s="491">
        <f t="shared" si="17"/>
        <v>1986177.3121437719</v>
      </c>
      <c r="I27" s="511">
        <f t="shared" si="0"/>
        <v>0</v>
      </c>
      <c r="J27" s="511"/>
      <c r="K27" s="525"/>
      <c r="L27" s="514">
        <f t="shared" si="2"/>
        <v>0</v>
      </c>
      <c r="M27" s="525"/>
      <c r="N27" s="514">
        <f t="shared" si="4"/>
        <v>0</v>
      </c>
      <c r="O27" s="514">
        <f t="shared" si="5"/>
        <v>0</v>
      </c>
      <c r="P27" s="272"/>
    </row>
    <row r="28" spans="2:16">
      <c r="B28" s="195" t="str">
        <f t="shared" si="7"/>
        <v/>
      </c>
      <c r="C28" s="507">
        <f>IF(D11="","-",+C27+1)</f>
        <v>2027</v>
      </c>
      <c r="D28" s="523">
        <f>IF(F27+SUM(E$17:E27)=D$10,F27,D$10-SUM(E$17:E27))</f>
        <v>13164620.844066333</v>
      </c>
      <c r="E28" s="522">
        <f>IF(+I14&lt;F27,I14,D28)</f>
        <v>389377.36363636365</v>
      </c>
      <c r="F28" s="523">
        <f t="shared" si="15"/>
        <v>12775243.48042997</v>
      </c>
      <c r="G28" s="524">
        <f t="shared" si="16"/>
        <v>1939636.1527373069</v>
      </c>
      <c r="H28" s="491">
        <f t="shared" si="17"/>
        <v>1939636.1527373069</v>
      </c>
      <c r="I28" s="511">
        <f t="shared" si="0"/>
        <v>0</v>
      </c>
      <c r="J28" s="511"/>
      <c r="K28" s="525"/>
      <c r="L28" s="514">
        <f t="shared" si="2"/>
        <v>0</v>
      </c>
      <c r="M28" s="525"/>
      <c r="N28" s="514">
        <f t="shared" si="4"/>
        <v>0</v>
      </c>
      <c r="O28" s="514">
        <f t="shared" si="5"/>
        <v>0</v>
      </c>
      <c r="P28" s="272"/>
    </row>
    <row r="29" spans="2:16">
      <c r="B29" s="195" t="str">
        <f t="shared" si="7"/>
        <v/>
      </c>
      <c r="C29" s="507">
        <f>IF(D11="","-",+C28+1)</f>
        <v>2028</v>
      </c>
      <c r="D29" s="523">
        <f>IF(F28+SUM(E$17:E28)=D$10,F28,D$10-SUM(E$17:E28))</f>
        <v>12775243.48042997</v>
      </c>
      <c r="E29" s="522">
        <f>IF(+I14&lt;F28,I14,D29)</f>
        <v>389377.36363636365</v>
      </c>
      <c r="F29" s="523">
        <f t="shared" si="15"/>
        <v>12385866.116793606</v>
      </c>
      <c r="G29" s="524">
        <f t="shared" si="16"/>
        <v>1893094.9933308423</v>
      </c>
      <c r="H29" s="491">
        <f t="shared" si="17"/>
        <v>1893094.9933308423</v>
      </c>
      <c r="I29" s="511">
        <f t="shared" si="0"/>
        <v>0</v>
      </c>
      <c r="J29" s="511"/>
      <c r="K29" s="525"/>
      <c r="L29" s="514">
        <f t="shared" si="2"/>
        <v>0</v>
      </c>
      <c r="M29" s="525"/>
      <c r="N29" s="514">
        <f t="shared" si="4"/>
        <v>0</v>
      </c>
      <c r="O29" s="514">
        <f t="shared" si="5"/>
        <v>0</v>
      </c>
      <c r="P29" s="272"/>
    </row>
    <row r="30" spans="2:16">
      <c r="B30" s="195" t="str">
        <f t="shared" si="7"/>
        <v/>
      </c>
      <c r="C30" s="507">
        <f>IF(D11="","-",+C29+1)</f>
        <v>2029</v>
      </c>
      <c r="D30" s="523">
        <f>IF(F29+SUM(E$17:E29)=D$10,F29,D$10-SUM(E$17:E29))</f>
        <v>12385866.116793606</v>
      </c>
      <c r="E30" s="522">
        <f>IF(+I14&lt;F29,I14,D30)</f>
        <v>389377.36363636365</v>
      </c>
      <c r="F30" s="523">
        <f t="shared" si="15"/>
        <v>11996488.753157243</v>
      </c>
      <c r="G30" s="524">
        <f t="shared" si="16"/>
        <v>1846553.8339243773</v>
      </c>
      <c r="H30" s="491">
        <f t="shared" si="17"/>
        <v>1846553.8339243773</v>
      </c>
      <c r="I30" s="511">
        <f t="shared" si="0"/>
        <v>0</v>
      </c>
      <c r="J30" s="511"/>
      <c r="K30" s="525"/>
      <c r="L30" s="514">
        <f t="shared" si="2"/>
        <v>0</v>
      </c>
      <c r="M30" s="525"/>
      <c r="N30" s="514">
        <f t="shared" si="4"/>
        <v>0</v>
      </c>
      <c r="O30" s="514">
        <f t="shared" si="5"/>
        <v>0</v>
      </c>
      <c r="P30" s="272"/>
    </row>
    <row r="31" spans="2:16">
      <c r="B31" s="195" t="str">
        <f t="shared" si="7"/>
        <v/>
      </c>
      <c r="C31" s="507">
        <f>IF(D11="","-",+C30+1)</f>
        <v>2030</v>
      </c>
      <c r="D31" s="523">
        <f>IF(F30+SUM(E$17:E30)=D$10,F30,D$10-SUM(E$17:E30))</f>
        <v>11996488.753157243</v>
      </c>
      <c r="E31" s="522">
        <f>IF(+I14&lt;F30,I14,D31)</f>
        <v>389377.36363636365</v>
      </c>
      <c r="F31" s="523">
        <f t="shared" si="15"/>
        <v>11607111.38952088</v>
      </c>
      <c r="G31" s="524">
        <f t="shared" si="16"/>
        <v>1800012.6745179128</v>
      </c>
      <c r="H31" s="491">
        <f t="shared" si="17"/>
        <v>1800012.6745179128</v>
      </c>
      <c r="I31" s="511">
        <f t="shared" si="0"/>
        <v>0</v>
      </c>
      <c r="J31" s="511"/>
      <c r="K31" s="525"/>
      <c r="L31" s="514">
        <f t="shared" si="2"/>
        <v>0</v>
      </c>
      <c r="M31" s="525"/>
      <c r="N31" s="514">
        <f t="shared" si="4"/>
        <v>0</v>
      </c>
      <c r="O31" s="514">
        <f t="shared" si="5"/>
        <v>0</v>
      </c>
      <c r="P31" s="272"/>
    </row>
    <row r="32" spans="2:16">
      <c r="B32" s="195" t="str">
        <f t="shared" si="7"/>
        <v/>
      </c>
      <c r="C32" s="507">
        <f>IF(D11="","-",+C31+1)</f>
        <v>2031</v>
      </c>
      <c r="D32" s="523">
        <f>IF(F31+SUM(E$17:E31)=D$10,F31,D$10-SUM(E$17:E31))</f>
        <v>11607111.38952088</v>
      </c>
      <c r="E32" s="522">
        <f>IF(+I14&lt;F31,I14,D32)</f>
        <v>389377.36363636365</v>
      </c>
      <c r="F32" s="523">
        <f t="shared" si="15"/>
        <v>11217734.025884517</v>
      </c>
      <c r="G32" s="524">
        <f t="shared" si="16"/>
        <v>1753471.5151114478</v>
      </c>
      <c r="H32" s="491">
        <f t="shared" si="17"/>
        <v>1753471.5151114478</v>
      </c>
      <c r="I32" s="511">
        <f t="shared" si="0"/>
        <v>0</v>
      </c>
      <c r="J32" s="511"/>
      <c r="K32" s="525"/>
      <c r="L32" s="514">
        <f t="shared" si="2"/>
        <v>0</v>
      </c>
      <c r="M32" s="525"/>
      <c r="N32" s="514">
        <f t="shared" si="4"/>
        <v>0</v>
      </c>
      <c r="O32" s="514">
        <f t="shared" si="5"/>
        <v>0</v>
      </c>
      <c r="P32" s="272"/>
    </row>
    <row r="33" spans="2:16">
      <c r="B33" s="195" t="str">
        <f t="shared" si="7"/>
        <v/>
      </c>
      <c r="C33" s="507">
        <f>IF(D11="","-",+C32+1)</f>
        <v>2032</v>
      </c>
      <c r="D33" s="523">
        <f>IF(F32+SUM(E$17:E32)=D$10,F32,D$10-SUM(E$17:E32))</f>
        <v>11217734.025884517</v>
      </c>
      <c r="E33" s="522">
        <f>IF(+I14&lt;F32,I14,D33)</f>
        <v>389377.36363636365</v>
      </c>
      <c r="F33" s="523">
        <f t="shared" si="15"/>
        <v>10828356.662248153</v>
      </c>
      <c r="G33" s="524">
        <f t="shared" si="16"/>
        <v>1706930.3557049828</v>
      </c>
      <c r="H33" s="491">
        <f t="shared" si="17"/>
        <v>1706930.3557049828</v>
      </c>
      <c r="I33" s="511">
        <f t="shared" si="0"/>
        <v>0</v>
      </c>
      <c r="J33" s="511"/>
      <c r="K33" s="525"/>
      <c r="L33" s="514">
        <f t="shared" si="2"/>
        <v>0</v>
      </c>
      <c r="M33" s="525"/>
      <c r="N33" s="514">
        <f t="shared" si="4"/>
        <v>0</v>
      </c>
      <c r="O33" s="514">
        <f t="shared" si="5"/>
        <v>0</v>
      </c>
      <c r="P33" s="272"/>
    </row>
    <row r="34" spans="2:16">
      <c r="B34" s="195" t="str">
        <f t="shared" si="7"/>
        <v/>
      </c>
      <c r="C34" s="507">
        <f>IF(D11="","-",+C33+1)</f>
        <v>2033</v>
      </c>
      <c r="D34" s="523">
        <f>IF(F33+SUM(E$17:E33)=D$10,F33,D$10-SUM(E$17:E33))</f>
        <v>10828356.662248153</v>
      </c>
      <c r="E34" s="522">
        <f>IF(+I14&lt;F33,I14,D34)</f>
        <v>389377.36363636365</v>
      </c>
      <c r="F34" s="523">
        <f t="shared" si="15"/>
        <v>10438979.29861179</v>
      </c>
      <c r="G34" s="524">
        <f t="shared" si="16"/>
        <v>1660389.1962985182</v>
      </c>
      <c r="H34" s="491">
        <f t="shared" si="17"/>
        <v>1660389.1962985182</v>
      </c>
      <c r="I34" s="511">
        <f t="shared" si="0"/>
        <v>0</v>
      </c>
      <c r="J34" s="511"/>
      <c r="K34" s="525"/>
      <c r="L34" s="514">
        <f t="shared" si="2"/>
        <v>0</v>
      </c>
      <c r="M34" s="525"/>
      <c r="N34" s="514">
        <f t="shared" si="4"/>
        <v>0</v>
      </c>
      <c r="O34" s="514">
        <f t="shared" si="5"/>
        <v>0</v>
      </c>
      <c r="P34" s="272"/>
    </row>
    <row r="35" spans="2:16">
      <c r="B35" s="195" t="str">
        <f t="shared" si="7"/>
        <v/>
      </c>
      <c r="C35" s="507">
        <f>IF(D11="","-",+C34+1)</f>
        <v>2034</v>
      </c>
      <c r="D35" s="523">
        <f>IF(F34+SUM(E$17:E34)=D$10,F34,D$10-SUM(E$17:E34))</f>
        <v>10438979.29861179</v>
      </c>
      <c r="E35" s="522">
        <f>IF(+I14&lt;F34,I14,D35)</f>
        <v>389377.36363636365</v>
      </c>
      <c r="F35" s="523">
        <f t="shared" si="15"/>
        <v>10049601.934975427</v>
      </c>
      <c r="G35" s="524">
        <f t="shared" si="16"/>
        <v>1613848.0368920532</v>
      </c>
      <c r="H35" s="491">
        <f t="shared" si="17"/>
        <v>1613848.0368920532</v>
      </c>
      <c r="I35" s="511">
        <f t="shared" si="0"/>
        <v>0</v>
      </c>
      <c r="J35" s="511"/>
      <c r="K35" s="525"/>
      <c r="L35" s="514">
        <f t="shared" si="2"/>
        <v>0</v>
      </c>
      <c r="M35" s="525"/>
      <c r="N35" s="514">
        <f t="shared" si="4"/>
        <v>0</v>
      </c>
      <c r="O35" s="514">
        <f t="shared" si="5"/>
        <v>0</v>
      </c>
      <c r="P35" s="272"/>
    </row>
    <row r="36" spans="2:16">
      <c r="B36" s="195" t="str">
        <f t="shared" si="7"/>
        <v/>
      </c>
      <c r="C36" s="507">
        <f>IF(D11="","-",+C35+1)</f>
        <v>2035</v>
      </c>
      <c r="D36" s="523">
        <f>IF(F35+SUM(E$17:E35)=D$10,F35,D$10-SUM(E$17:E35))</f>
        <v>10049601.934975427</v>
      </c>
      <c r="E36" s="522">
        <f>IF(+I14&lt;F35,I14,D36)</f>
        <v>389377.36363636365</v>
      </c>
      <c r="F36" s="523">
        <f t="shared" si="15"/>
        <v>9660224.5713390633</v>
      </c>
      <c r="G36" s="524">
        <f t="shared" si="16"/>
        <v>1567306.8774855882</v>
      </c>
      <c r="H36" s="491">
        <f t="shared" si="17"/>
        <v>1567306.8774855882</v>
      </c>
      <c r="I36" s="511">
        <f t="shared" si="0"/>
        <v>0</v>
      </c>
      <c r="J36" s="511"/>
      <c r="K36" s="525"/>
      <c r="L36" s="514">
        <f t="shared" si="2"/>
        <v>0</v>
      </c>
      <c r="M36" s="525"/>
      <c r="N36" s="514">
        <f t="shared" si="4"/>
        <v>0</v>
      </c>
      <c r="O36" s="514">
        <f t="shared" si="5"/>
        <v>0</v>
      </c>
      <c r="P36" s="272"/>
    </row>
    <row r="37" spans="2:16">
      <c r="B37" s="195" t="str">
        <f t="shared" si="7"/>
        <v/>
      </c>
      <c r="C37" s="507">
        <f>IF(D11="","-",+C36+1)</f>
        <v>2036</v>
      </c>
      <c r="D37" s="523">
        <f>IF(F36+SUM(E$17:E36)=D$10,F36,D$10-SUM(E$17:E36))</f>
        <v>9660224.5713390633</v>
      </c>
      <c r="E37" s="522">
        <f>IF(+I14&lt;F36,I14,D37)</f>
        <v>389377.36363636365</v>
      </c>
      <c r="F37" s="523">
        <f t="shared" si="15"/>
        <v>9270847.2077027</v>
      </c>
      <c r="G37" s="524">
        <f t="shared" si="16"/>
        <v>1520765.7180791236</v>
      </c>
      <c r="H37" s="491">
        <f t="shared" si="17"/>
        <v>1520765.7180791236</v>
      </c>
      <c r="I37" s="511">
        <f t="shared" si="0"/>
        <v>0</v>
      </c>
      <c r="J37" s="511"/>
      <c r="K37" s="525"/>
      <c r="L37" s="514">
        <f t="shared" si="2"/>
        <v>0</v>
      </c>
      <c r="M37" s="525"/>
      <c r="N37" s="514">
        <f t="shared" si="4"/>
        <v>0</v>
      </c>
      <c r="O37" s="514">
        <f t="shared" si="5"/>
        <v>0</v>
      </c>
      <c r="P37" s="272"/>
    </row>
    <row r="38" spans="2:16">
      <c r="B38" s="195" t="str">
        <f t="shared" si="7"/>
        <v/>
      </c>
      <c r="C38" s="507">
        <f>IF(D11="","-",+C37+1)</f>
        <v>2037</v>
      </c>
      <c r="D38" s="523">
        <f>IF(F37+SUM(E$17:E37)=D$10,F37,D$10-SUM(E$17:E37))</f>
        <v>9270847.2077027</v>
      </c>
      <c r="E38" s="522">
        <f>IF(+I14&lt;F37,I14,D38)</f>
        <v>389377.36363636365</v>
      </c>
      <c r="F38" s="523">
        <f t="shared" si="15"/>
        <v>8881469.8440663368</v>
      </c>
      <c r="G38" s="524">
        <f t="shared" si="16"/>
        <v>1474224.5586726586</v>
      </c>
      <c r="H38" s="491">
        <f t="shared" si="17"/>
        <v>1474224.5586726586</v>
      </c>
      <c r="I38" s="511">
        <f t="shared" si="0"/>
        <v>0</v>
      </c>
      <c r="J38" s="511"/>
      <c r="K38" s="525"/>
      <c r="L38" s="514">
        <f t="shared" si="2"/>
        <v>0</v>
      </c>
      <c r="M38" s="525"/>
      <c r="N38" s="514">
        <f t="shared" si="4"/>
        <v>0</v>
      </c>
      <c r="O38" s="514">
        <f t="shared" si="5"/>
        <v>0</v>
      </c>
      <c r="P38" s="272"/>
    </row>
    <row r="39" spans="2:16">
      <c r="B39" s="195" t="str">
        <f t="shared" si="7"/>
        <v/>
      </c>
      <c r="C39" s="507">
        <f>IF(D11="","-",+C38+1)</f>
        <v>2038</v>
      </c>
      <c r="D39" s="523">
        <f>IF(F38+SUM(E$17:E38)=D$10,F38,D$10-SUM(E$17:E38))</f>
        <v>8881469.8440663368</v>
      </c>
      <c r="E39" s="522">
        <f>IF(+I14&lt;F38,I14,D39)</f>
        <v>389377.36363636365</v>
      </c>
      <c r="F39" s="523">
        <f t="shared" si="15"/>
        <v>8492092.4804299735</v>
      </c>
      <c r="G39" s="524">
        <f t="shared" si="16"/>
        <v>1427683.3992661941</v>
      </c>
      <c r="H39" s="491">
        <f t="shared" si="17"/>
        <v>1427683.3992661941</v>
      </c>
      <c r="I39" s="511">
        <f t="shared" si="0"/>
        <v>0</v>
      </c>
      <c r="J39" s="511"/>
      <c r="K39" s="525"/>
      <c r="L39" s="514">
        <f t="shared" si="2"/>
        <v>0</v>
      </c>
      <c r="M39" s="525"/>
      <c r="N39" s="514">
        <f t="shared" si="4"/>
        <v>0</v>
      </c>
      <c r="O39" s="514">
        <f t="shared" si="5"/>
        <v>0</v>
      </c>
      <c r="P39" s="272"/>
    </row>
    <row r="40" spans="2:16">
      <c r="B40" s="195" t="str">
        <f t="shared" si="7"/>
        <v/>
      </c>
      <c r="C40" s="507">
        <f>IF(D11="","-",+C39+1)</f>
        <v>2039</v>
      </c>
      <c r="D40" s="523">
        <f>IF(F39+SUM(E$17:E39)=D$10,F39,D$10-SUM(E$17:E39))</f>
        <v>8492092.4804299735</v>
      </c>
      <c r="E40" s="522">
        <f>IF(+I14&lt;F39,I14,D40)</f>
        <v>389377.36363636365</v>
      </c>
      <c r="F40" s="523">
        <f t="shared" si="15"/>
        <v>8102715.1167936102</v>
      </c>
      <c r="G40" s="524">
        <f t="shared" si="16"/>
        <v>1381142.2398597291</v>
      </c>
      <c r="H40" s="491">
        <f t="shared" si="17"/>
        <v>1381142.2398597291</v>
      </c>
      <c r="I40" s="511">
        <f t="shared" si="0"/>
        <v>0</v>
      </c>
      <c r="J40" s="511"/>
      <c r="K40" s="525"/>
      <c r="L40" s="514">
        <f t="shared" si="2"/>
        <v>0</v>
      </c>
      <c r="M40" s="525"/>
      <c r="N40" s="514">
        <f t="shared" si="4"/>
        <v>0</v>
      </c>
      <c r="O40" s="514">
        <f t="shared" si="5"/>
        <v>0</v>
      </c>
      <c r="P40" s="272"/>
    </row>
    <row r="41" spans="2:16">
      <c r="B41" s="195" t="str">
        <f t="shared" si="7"/>
        <v/>
      </c>
      <c r="C41" s="507">
        <f>IF(D11="","-",+C40+1)</f>
        <v>2040</v>
      </c>
      <c r="D41" s="523">
        <f>IF(F40+SUM(E$17:E40)=D$10,F40,D$10-SUM(E$17:E40))</f>
        <v>8102715.1167936102</v>
      </c>
      <c r="E41" s="522">
        <f>IF(+I14&lt;F40,I14,D41)</f>
        <v>389377.36363636365</v>
      </c>
      <c r="F41" s="523">
        <f t="shared" si="15"/>
        <v>7713337.7531572469</v>
      </c>
      <c r="G41" s="524">
        <f t="shared" si="16"/>
        <v>1334601.0804532643</v>
      </c>
      <c r="H41" s="491">
        <f t="shared" si="17"/>
        <v>1334601.0804532643</v>
      </c>
      <c r="I41" s="511">
        <f t="shared" si="0"/>
        <v>0</v>
      </c>
      <c r="J41" s="511"/>
      <c r="K41" s="525"/>
      <c r="L41" s="514">
        <f t="shared" si="2"/>
        <v>0</v>
      </c>
      <c r="M41" s="525"/>
      <c r="N41" s="514">
        <f t="shared" si="4"/>
        <v>0</v>
      </c>
      <c r="O41" s="514">
        <f t="shared" si="5"/>
        <v>0</v>
      </c>
      <c r="P41" s="272"/>
    </row>
    <row r="42" spans="2:16">
      <c r="B42" s="195" t="str">
        <f t="shared" si="7"/>
        <v/>
      </c>
      <c r="C42" s="507">
        <f>IF(D11="","-",+C41+1)</f>
        <v>2041</v>
      </c>
      <c r="D42" s="523">
        <f>IF(F41+SUM(E$17:E41)=D$10,F41,D$10-SUM(E$17:E41))</f>
        <v>7713337.7531572469</v>
      </c>
      <c r="E42" s="522">
        <f>IF(+I14&lt;F41,I14,D42)</f>
        <v>389377.36363636365</v>
      </c>
      <c r="F42" s="523">
        <f t="shared" si="15"/>
        <v>7323960.3895208836</v>
      </c>
      <c r="G42" s="524">
        <f t="shared" si="16"/>
        <v>1288059.9210467995</v>
      </c>
      <c r="H42" s="491">
        <f t="shared" si="17"/>
        <v>1288059.9210467995</v>
      </c>
      <c r="I42" s="511">
        <f t="shared" si="0"/>
        <v>0</v>
      </c>
      <c r="J42" s="511"/>
      <c r="K42" s="525"/>
      <c r="L42" s="514">
        <f t="shared" si="2"/>
        <v>0</v>
      </c>
      <c r="M42" s="525"/>
      <c r="N42" s="514">
        <f t="shared" si="4"/>
        <v>0</v>
      </c>
      <c r="O42" s="514">
        <f t="shared" si="5"/>
        <v>0</v>
      </c>
      <c r="P42" s="272"/>
    </row>
    <row r="43" spans="2:16">
      <c r="B43" s="195" t="str">
        <f t="shared" si="7"/>
        <v/>
      </c>
      <c r="C43" s="507">
        <f>IF(D11="","-",+C42+1)</f>
        <v>2042</v>
      </c>
      <c r="D43" s="523">
        <f>IF(F42+SUM(E$17:E42)=D$10,F42,D$10-SUM(E$17:E42))</f>
        <v>7323960.3895208836</v>
      </c>
      <c r="E43" s="522">
        <f>IF(+I14&lt;F42,I14,D43)</f>
        <v>389377.36363636365</v>
      </c>
      <c r="F43" s="523">
        <f t="shared" si="15"/>
        <v>6934583.0258845203</v>
      </c>
      <c r="G43" s="524">
        <f t="shared" si="16"/>
        <v>1241518.7616403345</v>
      </c>
      <c r="H43" s="491">
        <f t="shared" si="17"/>
        <v>1241518.7616403345</v>
      </c>
      <c r="I43" s="511">
        <f t="shared" si="0"/>
        <v>0</v>
      </c>
      <c r="J43" s="511"/>
      <c r="K43" s="525"/>
      <c r="L43" s="514">
        <f t="shared" si="2"/>
        <v>0</v>
      </c>
      <c r="M43" s="525"/>
      <c r="N43" s="514">
        <f t="shared" si="4"/>
        <v>0</v>
      </c>
      <c r="O43" s="514">
        <f t="shared" si="5"/>
        <v>0</v>
      </c>
      <c r="P43" s="272"/>
    </row>
    <row r="44" spans="2:16">
      <c r="B44" s="195" t="str">
        <f t="shared" si="7"/>
        <v/>
      </c>
      <c r="C44" s="507">
        <f>IF(D11="","-",+C43+1)</f>
        <v>2043</v>
      </c>
      <c r="D44" s="523">
        <f>IF(F43+SUM(E$17:E43)=D$10,F43,D$10-SUM(E$17:E43))</f>
        <v>6934583.0258845203</v>
      </c>
      <c r="E44" s="522">
        <f>IF(+I14&lt;F43,I14,D44)</f>
        <v>389377.36363636365</v>
      </c>
      <c r="F44" s="523">
        <f t="shared" si="15"/>
        <v>6545205.662248157</v>
      </c>
      <c r="G44" s="524">
        <f t="shared" si="16"/>
        <v>1194977.6022338697</v>
      </c>
      <c r="H44" s="491">
        <f t="shared" si="17"/>
        <v>1194977.6022338697</v>
      </c>
      <c r="I44" s="511">
        <f t="shared" si="0"/>
        <v>0</v>
      </c>
      <c r="J44" s="511"/>
      <c r="K44" s="525"/>
      <c r="L44" s="514">
        <f t="shared" si="2"/>
        <v>0</v>
      </c>
      <c r="M44" s="525"/>
      <c r="N44" s="514">
        <f t="shared" si="4"/>
        <v>0</v>
      </c>
      <c r="O44" s="514">
        <f t="shared" si="5"/>
        <v>0</v>
      </c>
      <c r="P44" s="272"/>
    </row>
    <row r="45" spans="2:16">
      <c r="B45" s="195" t="str">
        <f t="shared" si="7"/>
        <v/>
      </c>
      <c r="C45" s="507">
        <f>IF(D11="","-",+C44+1)</f>
        <v>2044</v>
      </c>
      <c r="D45" s="523">
        <f>IF(F44+SUM(E$17:E44)=D$10,F44,D$10-SUM(E$17:E44))</f>
        <v>6545205.662248157</v>
      </c>
      <c r="E45" s="522">
        <f>IF(+I14&lt;F44,I14,D45)</f>
        <v>389377.36363636365</v>
      </c>
      <c r="F45" s="523">
        <f t="shared" si="15"/>
        <v>6155828.2986117937</v>
      </c>
      <c r="G45" s="524">
        <f t="shared" si="16"/>
        <v>1148436.4428274049</v>
      </c>
      <c r="H45" s="491">
        <f t="shared" si="17"/>
        <v>1148436.4428274049</v>
      </c>
      <c r="I45" s="511">
        <f t="shared" si="0"/>
        <v>0</v>
      </c>
      <c r="J45" s="511"/>
      <c r="K45" s="525"/>
      <c r="L45" s="514">
        <f t="shared" si="2"/>
        <v>0</v>
      </c>
      <c r="M45" s="525"/>
      <c r="N45" s="514">
        <f t="shared" si="4"/>
        <v>0</v>
      </c>
      <c r="O45" s="514">
        <f t="shared" si="5"/>
        <v>0</v>
      </c>
      <c r="P45" s="272"/>
    </row>
    <row r="46" spans="2:16">
      <c r="B46" s="195" t="str">
        <f t="shared" si="7"/>
        <v/>
      </c>
      <c r="C46" s="507">
        <f>IF(D11="","-",+C45+1)</f>
        <v>2045</v>
      </c>
      <c r="D46" s="523">
        <f>IF(F45+SUM(E$17:E45)=D$10,F45,D$10-SUM(E$17:E45))</f>
        <v>6155828.2986117937</v>
      </c>
      <c r="E46" s="522">
        <f>IF(+I14&lt;F45,I14,D46)</f>
        <v>389377.36363636365</v>
      </c>
      <c r="F46" s="523">
        <f t="shared" si="15"/>
        <v>5766450.9349754304</v>
      </c>
      <c r="G46" s="524">
        <f t="shared" si="16"/>
        <v>1101895.2834209402</v>
      </c>
      <c r="H46" s="491">
        <f t="shared" si="17"/>
        <v>1101895.2834209402</v>
      </c>
      <c r="I46" s="511">
        <f t="shared" si="0"/>
        <v>0</v>
      </c>
      <c r="J46" s="511"/>
      <c r="K46" s="525"/>
      <c r="L46" s="514">
        <f t="shared" si="2"/>
        <v>0</v>
      </c>
      <c r="M46" s="525"/>
      <c r="N46" s="514">
        <f t="shared" si="4"/>
        <v>0</v>
      </c>
      <c r="O46" s="514">
        <f t="shared" si="5"/>
        <v>0</v>
      </c>
      <c r="P46" s="272"/>
    </row>
    <row r="47" spans="2:16">
      <c r="B47" s="195" t="str">
        <f t="shared" si="7"/>
        <v/>
      </c>
      <c r="C47" s="507">
        <f>IF(D11="","-",+C46+1)</f>
        <v>2046</v>
      </c>
      <c r="D47" s="523">
        <f>IF(F46+SUM(E$17:E46)=D$10,F46,D$10-SUM(E$17:E46))</f>
        <v>5766450.9349754304</v>
      </c>
      <c r="E47" s="522">
        <f>IF(+I14&lt;F46,I14,D47)</f>
        <v>389377.36363636365</v>
      </c>
      <c r="F47" s="523">
        <f t="shared" si="15"/>
        <v>5377073.5713390671</v>
      </c>
      <c r="G47" s="524">
        <f t="shared" si="16"/>
        <v>1055354.1240144754</v>
      </c>
      <c r="H47" s="491">
        <f t="shared" si="17"/>
        <v>1055354.1240144754</v>
      </c>
      <c r="I47" s="511">
        <f t="shared" si="0"/>
        <v>0</v>
      </c>
      <c r="J47" s="511"/>
      <c r="K47" s="525"/>
      <c r="L47" s="514">
        <f t="shared" si="2"/>
        <v>0</v>
      </c>
      <c r="M47" s="525"/>
      <c r="N47" s="514">
        <f t="shared" si="4"/>
        <v>0</v>
      </c>
      <c r="O47" s="514">
        <f t="shared" si="5"/>
        <v>0</v>
      </c>
      <c r="P47" s="272"/>
    </row>
    <row r="48" spans="2:16">
      <c r="B48" s="195" t="str">
        <f t="shared" si="7"/>
        <v/>
      </c>
      <c r="C48" s="507">
        <f>IF(D11="","-",+C47+1)</f>
        <v>2047</v>
      </c>
      <c r="D48" s="523">
        <f>IF(F47+SUM(E$17:E47)=D$10,F47,D$10-SUM(E$17:E47))</f>
        <v>5377073.5713390671</v>
      </c>
      <c r="E48" s="522">
        <f>IF(+I14&lt;F47,I14,D48)</f>
        <v>389377.36363636365</v>
      </c>
      <c r="F48" s="523">
        <f t="shared" si="15"/>
        <v>4987696.2077027038</v>
      </c>
      <c r="G48" s="524">
        <f t="shared" si="16"/>
        <v>1008812.9646080105</v>
      </c>
      <c r="H48" s="491">
        <f t="shared" si="17"/>
        <v>1008812.9646080105</v>
      </c>
      <c r="I48" s="511">
        <f t="shared" si="0"/>
        <v>0</v>
      </c>
      <c r="J48" s="511"/>
      <c r="K48" s="525"/>
      <c r="L48" s="514">
        <f t="shared" si="2"/>
        <v>0</v>
      </c>
      <c r="M48" s="525"/>
      <c r="N48" s="514">
        <f t="shared" si="4"/>
        <v>0</v>
      </c>
      <c r="O48" s="514">
        <f t="shared" si="5"/>
        <v>0</v>
      </c>
      <c r="P48" s="272"/>
    </row>
    <row r="49" spans="2:16">
      <c r="B49" s="195" t="str">
        <f t="shared" si="7"/>
        <v/>
      </c>
      <c r="C49" s="507">
        <f>IF(D11="","-",+C48+1)</f>
        <v>2048</v>
      </c>
      <c r="D49" s="523">
        <f>IF(F48+SUM(E$17:E48)=D$10,F48,D$10-SUM(E$17:E48))</f>
        <v>4987696.2077027038</v>
      </c>
      <c r="E49" s="522">
        <f>IF(+I14&lt;F48,I14,D49)</f>
        <v>389377.36363636365</v>
      </c>
      <c r="F49" s="523">
        <f t="shared" si="15"/>
        <v>4598318.8440663405</v>
      </c>
      <c r="G49" s="524">
        <f t="shared" si="16"/>
        <v>962271.80520154559</v>
      </c>
      <c r="H49" s="491">
        <f t="shared" si="17"/>
        <v>962271.80520154559</v>
      </c>
      <c r="I49" s="511">
        <f t="shared" si="0"/>
        <v>0</v>
      </c>
      <c r="J49" s="511"/>
      <c r="K49" s="525"/>
      <c r="L49" s="514">
        <f t="shared" si="2"/>
        <v>0</v>
      </c>
      <c r="M49" s="525"/>
      <c r="N49" s="514">
        <f t="shared" si="4"/>
        <v>0</v>
      </c>
      <c r="O49" s="514">
        <f t="shared" si="5"/>
        <v>0</v>
      </c>
      <c r="P49" s="272"/>
    </row>
    <row r="50" spans="2:16">
      <c r="B50" s="195" t="str">
        <f t="shared" si="7"/>
        <v/>
      </c>
      <c r="C50" s="507">
        <f>IF(D11="","-",+C49+1)</f>
        <v>2049</v>
      </c>
      <c r="D50" s="523">
        <f>IF(F49+SUM(E$17:E49)=D$10,F49,D$10-SUM(E$17:E49))</f>
        <v>4598318.8440663405</v>
      </c>
      <c r="E50" s="522">
        <f>IF(+I14&lt;F49,I14,D50)</f>
        <v>389377.36363636365</v>
      </c>
      <c r="F50" s="523">
        <f t="shared" si="15"/>
        <v>4208941.4804299772</v>
      </c>
      <c r="G50" s="524">
        <f t="shared" ref="G50:G72" si="18">+I$12*((D50+F50)/2)+E50</f>
        <v>915730.64579508081</v>
      </c>
      <c r="H50" s="491">
        <f t="shared" ref="H50:H72" si="19">+I$13*((D50+F50)/2)+E50</f>
        <v>915730.64579508081</v>
      </c>
      <c r="I50" s="511">
        <f t="shared" si="0"/>
        <v>0</v>
      </c>
      <c r="J50" s="511"/>
      <c r="K50" s="525"/>
      <c r="L50" s="514">
        <f t="shared" si="2"/>
        <v>0</v>
      </c>
      <c r="M50" s="525"/>
      <c r="N50" s="514">
        <f t="shared" si="4"/>
        <v>0</v>
      </c>
      <c r="O50" s="514">
        <f t="shared" si="5"/>
        <v>0</v>
      </c>
      <c r="P50" s="272"/>
    </row>
    <row r="51" spans="2:16">
      <c r="B51" s="195" t="str">
        <f t="shared" si="7"/>
        <v/>
      </c>
      <c r="C51" s="507">
        <f>IF(D11="","-",+C50+1)</f>
        <v>2050</v>
      </c>
      <c r="D51" s="523">
        <f>IF(F50+SUM(E$17:E50)=D$10,F50,D$10-SUM(E$17:E50))</f>
        <v>4208941.4804299772</v>
      </c>
      <c r="E51" s="522">
        <f>IF(+I14&lt;F50,I14,D51)</f>
        <v>389377.36363636365</v>
      </c>
      <c r="F51" s="523">
        <f t="shared" si="15"/>
        <v>3819564.1167936134</v>
      </c>
      <c r="G51" s="524">
        <f t="shared" si="18"/>
        <v>869189.48638861603</v>
      </c>
      <c r="H51" s="491">
        <f t="shared" si="19"/>
        <v>869189.48638861603</v>
      </c>
      <c r="I51" s="511">
        <f t="shared" si="0"/>
        <v>0</v>
      </c>
      <c r="J51" s="511"/>
      <c r="K51" s="525"/>
      <c r="L51" s="514">
        <f t="shared" si="2"/>
        <v>0</v>
      </c>
      <c r="M51" s="525"/>
      <c r="N51" s="514">
        <f t="shared" si="4"/>
        <v>0</v>
      </c>
      <c r="O51" s="514">
        <f t="shared" si="5"/>
        <v>0</v>
      </c>
      <c r="P51" s="272"/>
    </row>
    <row r="52" spans="2:16">
      <c r="B52" s="195" t="str">
        <f t="shared" si="7"/>
        <v/>
      </c>
      <c r="C52" s="507">
        <f>IF(D11="","-",+C51+1)</f>
        <v>2051</v>
      </c>
      <c r="D52" s="523">
        <f>IF(F51+SUM(E$17:E51)=D$10,F51,D$10-SUM(E$17:E51))</f>
        <v>3819564.1167936134</v>
      </c>
      <c r="E52" s="522">
        <f>IF(+I14&lt;F51,I14,D52)</f>
        <v>389377.36363636365</v>
      </c>
      <c r="F52" s="523">
        <f t="shared" si="15"/>
        <v>3430186.7531572497</v>
      </c>
      <c r="G52" s="524">
        <f t="shared" si="18"/>
        <v>822648.32698215102</v>
      </c>
      <c r="H52" s="491">
        <f t="shared" si="19"/>
        <v>822648.32698215102</v>
      </c>
      <c r="I52" s="511">
        <f t="shared" si="0"/>
        <v>0</v>
      </c>
      <c r="J52" s="511"/>
      <c r="K52" s="525"/>
      <c r="L52" s="514">
        <f t="shared" si="2"/>
        <v>0</v>
      </c>
      <c r="M52" s="525"/>
      <c r="N52" s="514">
        <f t="shared" si="4"/>
        <v>0</v>
      </c>
      <c r="O52" s="514">
        <f t="shared" si="5"/>
        <v>0</v>
      </c>
      <c r="P52" s="272"/>
    </row>
    <row r="53" spans="2:16">
      <c r="B53" s="195" t="str">
        <f t="shared" si="7"/>
        <v/>
      </c>
      <c r="C53" s="507">
        <f>IF(D11="","-",+C52+1)</f>
        <v>2052</v>
      </c>
      <c r="D53" s="523">
        <f>IF(F52+SUM(E$17:E52)=D$10,F52,D$10-SUM(E$17:E52))</f>
        <v>3430186.7531572497</v>
      </c>
      <c r="E53" s="522">
        <f>IF(+I14&lt;F52,I14,D53)</f>
        <v>389377.36363636365</v>
      </c>
      <c r="F53" s="523">
        <f t="shared" si="15"/>
        <v>3040809.3895208859</v>
      </c>
      <c r="G53" s="524">
        <f t="shared" si="18"/>
        <v>776107.16757568624</v>
      </c>
      <c r="H53" s="491">
        <f t="shared" si="19"/>
        <v>776107.16757568624</v>
      </c>
      <c r="I53" s="511">
        <f t="shared" si="0"/>
        <v>0</v>
      </c>
      <c r="J53" s="511"/>
      <c r="K53" s="525"/>
      <c r="L53" s="514">
        <f t="shared" si="2"/>
        <v>0</v>
      </c>
      <c r="M53" s="525"/>
      <c r="N53" s="514">
        <f t="shared" si="4"/>
        <v>0</v>
      </c>
      <c r="O53" s="514">
        <f t="shared" si="5"/>
        <v>0</v>
      </c>
      <c r="P53" s="272"/>
    </row>
    <row r="54" spans="2:16">
      <c r="B54" s="195" t="str">
        <f t="shared" si="7"/>
        <v/>
      </c>
      <c r="C54" s="507">
        <f>IF(D11="","-",+C53+1)</f>
        <v>2053</v>
      </c>
      <c r="D54" s="523">
        <f>IF(F53+SUM(E$17:E53)=D$10,F53,D$10-SUM(E$17:E53))</f>
        <v>3040809.3895208859</v>
      </c>
      <c r="E54" s="522">
        <f>IF(+I14&lt;F53,I14,D54)</f>
        <v>389377.36363636365</v>
      </c>
      <c r="F54" s="523">
        <f t="shared" si="15"/>
        <v>2651432.0258845221</v>
      </c>
      <c r="G54" s="524">
        <f t="shared" si="18"/>
        <v>729566.00816922123</v>
      </c>
      <c r="H54" s="491">
        <f t="shared" si="19"/>
        <v>729566.00816922123</v>
      </c>
      <c r="I54" s="511">
        <f t="shared" si="0"/>
        <v>0</v>
      </c>
      <c r="J54" s="511"/>
      <c r="K54" s="525"/>
      <c r="L54" s="514">
        <f t="shared" si="2"/>
        <v>0</v>
      </c>
      <c r="M54" s="525"/>
      <c r="N54" s="514">
        <f t="shared" si="4"/>
        <v>0</v>
      </c>
      <c r="O54" s="514">
        <f t="shared" si="5"/>
        <v>0</v>
      </c>
      <c r="P54" s="272"/>
    </row>
    <row r="55" spans="2:16">
      <c r="B55" s="195" t="str">
        <f t="shared" si="7"/>
        <v/>
      </c>
      <c r="C55" s="507">
        <f>IF(D11="","-",+C54+1)</f>
        <v>2054</v>
      </c>
      <c r="D55" s="523">
        <f>IF(F54+SUM(E$17:E54)=D$10,F54,D$10-SUM(E$17:E54))</f>
        <v>2651432.0258845221</v>
      </c>
      <c r="E55" s="522">
        <f>IF(+I14&lt;F54,I14,D55)</f>
        <v>389377.36363636365</v>
      </c>
      <c r="F55" s="523">
        <f t="shared" si="15"/>
        <v>2262054.6622481584</v>
      </c>
      <c r="G55" s="524">
        <f t="shared" si="18"/>
        <v>683024.84876275645</v>
      </c>
      <c r="H55" s="491">
        <f t="shared" si="19"/>
        <v>683024.84876275645</v>
      </c>
      <c r="I55" s="511">
        <f t="shared" si="0"/>
        <v>0</v>
      </c>
      <c r="J55" s="511"/>
      <c r="K55" s="525"/>
      <c r="L55" s="514">
        <f t="shared" si="2"/>
        <v>0</v>
      </c>
      <c r="M55" s="525"/>
      <c r="N55" s="514">
        <f t="shared" si="4"/>
        <v>0</v>
      </c>
      <c r="O55" s="514">
        <f t="shared" si="5"/>
        <v>0</v>
      </c>
      <c r="P55" s="272"/>
    </row>
    <row r="56" spans="2:16">
      <c r="B56" s="195" t="str">
        <f t="shared" si="7"/>
        <v/>
      </c>
      <c r="C56" s="507">
        <f>IF(D11="","-",+C55+1)</f>
        <v>2055</v>
      </c>
      <c r="D56" s="523">
        <f>IF(F55+SUM(E$17:E55)=D$10,F55,D$10-SUM(E$17:E55))</f>
        <v>2262054.6622481584</v>
      </c>
      <c r="E56" s="522">
        <f>IF(+I14&lt;F55,I14,D56)</f>
        <v>389377.36363636365</v>
      </c>
      <c r="F56" s="523">
        <f t="shared" si="15"/>
        <v>1872677.2986117946</v>
      </c>
      <c r="G56" s="524">
        <f t="shared" si="18"/>
        <v>636483.68935629155</v>
      </c>
      <c r="H56" s="491">
        <f t="shared" si="19"/>
        <v>636483.68935629155</v>
      </c>
      <c r="I56" s="511">
        <f t="shared" si="0"/>
        <v>0</v>
      </c>
      <c r="J56" s="511"/>
      <c r="K56" s="525"/>
      <c r="L56" s="514">
        <f t="shared" si="2"/>
        <v>0</v>
      </c>
      <c r="M56" s="525"/>
      <c r="N56" s="514">
        <f t="shared" si="4"/>
        <v>0</v>
      </c>
      <c r="O56" s="514">
        <f t="shared" si="5"/>
        <v>0</v>
      </c>
      <c r="P56" s="272"/>
    </row>
    <row r="57" spans="2:16">
      <c r="B57" s="195" t="str">
        <f t="shared" si="7"/>
        <v/>
      </c>
      <c r="C57" s="507">
        <f>IF(D11="","-",+C56+1)</f>
        <v>2056</v>
      </c>
      <c r="D57" s="523">
        <f>IF(F56+SUM(E$17:E56)=D$10,F56,D$10-SUM(E$17:E56))</f>
        <v>1872677.2986117946</v>
      </c>
      <c r="E57" s="522">
        <f>IF(+I14&lt;F56,I14,D57)</f>
        <v>389377.36363636365</v>
      </c>
      <c r="F57" s="523">
        <f t="shared" si="15"/>
        <v>1483299.9349754308</v>
      </c>
      <c r="G57" s="524">
        <f t="shared" si="18"/>
        <v>589942.52994982665</v>
      </c>
      <c r="H57" s="491">
        <f t="shared" si="19"/>
        <v>589942.52994982665</v>
      </c>
      <c r="I57" s="511">
        <f t="shared" si="0"/>
        <v>0</v>
      </c>
      <c r="J57" s="511"/>
      <c r="K57" s="525"/>
      <c r="L57" s="514">
        <f t="shared" si="2"/>
        <v>0</v>
      </c>
      <c r="M57" s="525"/>
      <c r="N57" s="514">
        <f t="shared" si="4"/>
        <v>0</v>
      </c>
      <c r="O57" s="514">
        <f t="shared" si="5"/>
        <v>0</v>
      </c>
      <c r="P57" s="272"/>
    </row>
    <row r="58" spans="2:16">
      <c r="B58" s="195" t="str">
        <f t="shared" si="7"/>
        <v/>
      </c>
      <c r="C58" s="507">
        <f>IF(D11="","-",+C57+1)</f>
        <v>2057</v>
      </c>
      <c r="D58" s="523">
        <f>IF(F57+SUM(E$17:E57)=D$10,F57,D$10-SUM(E$17:E57))</f>
        <v>1483299.9349754308</v>
      </c>
      <c r="E58" s="522">
        <f>IF(+I14&lt;F57,I14,D58)</f>
        <v>389377.36363636365</v>
      </c>
      <c r="F58" s="523">
        <f t="shared" si="15"/>
        <v>1093922.5713390671</v>
      </c>
      <c r="G58" s="524">
        <f t="shared" si="18"/>
        <v>543401.37054336176</v>
      </c>
      <c r="H58" s="491">
        <f t="shared" si="19"/>
        <v>543401.37054336176</v>
      </c>
      <c r="I58" s="511">
        <f t="shared" si="0"/>
        <v>0</v>
      </c>
      <c r="J58" s="511"/>
      <c r="K58" s="525"/>
      <c r="L58" s="514">
        <f t="shared" si="2"/>
        <v>0</v>
      </c>
      <c r="M58" s="525"/>
      <c r="N58" s="514">
        <f t="shared" si="4"/>
        <v>0</v>
      </c>
      <c r="O58" s="514">
        <f t="shared" si="5"/>
        <v>0</v>
      </c>
      <c r="P58" s="272"/>
    </row>
    <row r="59" spans="2:16">
      <c r="B59" s="195" t="str">
        <f t="shared" si="7"/>
        <v/>
      </c>
      <c r="C59" s="507">
        <f>IF(D11="","-",+C58+1)</f>
        <v>2058</v>
      </c>
      <c r="D59" s="523">
        <f>IF(F58+SUM(E$17:E58)=D$10,F58,D$10-SUM(E$17:E58))</f>
        <v>1093922.5713390671</v>
      </c>
      <c r="E59" s="522">
        <f>IF(+I14&lt;F58,I14,D59)</f>
        <v>389377.36363636365</v>
      </c>
      <c r="F59" s="523">
        <f t="shared" si="15"/>
        <v>704545.20770270342</v>
      </c>
      <c r="G59" s="524">
        <f t="shared" si="18"/>
        <v>496860.21113689686</v>
      </c>
      <c r="H59" s="491">
        <f t="shared" si="19"/>
        <v>496860.21113689686</v>
      </c>
      <c r="I59" s="511">
        <f t="shared" si="0"/>
        <v>0</v>
      </c>
      <c r="J59" s="511"/>
      <c r="K59" s="525"/>
      <c r="L59" s="514">
        <f t="shared" si="2"/>
        <v>0</v>
      </c>
      <c r="M59" s="525"/>
      <c r="N59" s="514">
        <f t="shared" si="4"/>
        <v>0</v>
      </c>
      <c r="O59" s="514">
        <f t="shared" si="5"/>
        <v>0</v>
      </c>
      <c r="P59" s="272"/>
    </row>
    <row r="60" spans="2:16">
      <c r="B60" s="195" t="str">
        <f t="shared" si="7"/>
        <v/>
      </c>
      <c r="C60" s="507">
        <f>IF(D11="","-",+C59+1)</f>
        <v>2059</v>
      </c>
      <c r="D60" s="523">
        <f>IF(F59+SUM(E$17:E59)=D$10,F59,D$10-SUM(E$17:E59))</f>
        <v>704545.20770270342</v>
      </c>
      <c r="E60" s="522">
        <f>IF(+I14&lt;F59,I14,D60)</f>
        <v>389377.36363636365</v>
      </c>
      <c r="F60" s="523">
        <f t="shared" si="15"/>
        <v>315167.84406633978</v>
      </c>
      <c r="G60" s="524">
        <f t="shared" si="18"/>
        <v>450319.05173043197</v>
      </c>
      <c r="H60" s="491">
        <f t="shared" si="19"/>
        <v>450319.05173043197</v>
      </c>
      <c r="I60" s="511">
        <f t="shared" si="0"/>
        <v>0</v>
      </c>
      <c r="J60" s="511"/>
      <c r="K60" s="525"/>
      <c r="L60" s="514">
        <f t="shared" si="2"/>
        <v>0</v>
      </c>
      <c r="M60" s="525"/>
      <c r="N60" s="514">
        <f t="shared" si="4"/>
        <v>0</v>
      </c>
      <c r="O60" s="514">
        <f t="shared" si="5"/>
        <v>0</v>
      </c>
      <c r="P60" s="272"/>
    </row>
    <row r="61" spans="2:16">
      <c r="B61" s="195" t="str">
        <f t="shared" si="7"/>
        <v/>
      </c>
      <c r="C61" s="507">
        <f>IF(D11="","-",+C60+1)</f>
        <v>2060</v>
      </c>
      <c r="D61" s="523">
        <f>IF(F60+SUM(E$17:E60)=D$10,F60,D$10-SUM(E$17:E60))</f>
        <v>315167.84406633978</v>
      </c>
      <c r="E61" s="522">
        <f>IF(+I14&lt;F60,I14,D61)</f>
        <v>315167.84406633978</v>
      </c>
      <c r="F61" s="523">
        <f t="shared" si="15"/>
        <v>0</v>
      </c>
      <c r="G61" s="526">
        <f t="shared" si="18"/>
        <v>334003.39826175774</v>
      </c>
      <c r="H61" s="491">
        <f t="shared" si="19"/>
        <v>334003.39826175774</v>
      </c>
      <c r="I61" s="511">
        <f t="shared" si="0"/>
        <v>0</v>
      </c>
      <c r="J61" s="511"/>
      <c r="K61" s="525"/>
      <c r="L61" s="514">
        <f t="shared" si="2"/>
        <v>0</v>
      </c>
      <c r="M61" s="525"/>
      <c r="N61" s="514">
        <f t="shared" si="4"/>
        <v>0</v>
      </c>
      <c r="O61" s="514">
        <f t="shared" si="5"/>
        <v>0</v>
      </c>
      <c r="P61" s="272"/>
    </row>
    <row r="62" spans="2:16">
      <c r="B62" s="195" t="str">
        <f t="shared" si="7"/>
        <v/>
      </c>
      <c r="C62" s="507">
        <f>IF(D11="","-",+C61+1)</f>
        <v>2061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15"/>
        <v>0</v>
      </c>
      <c r="G62" s="526">
        <f t="shared" si="18"/>
        <v>0</v>
      </c>
      <c r="H62" s="491">
        <f t="shared" si="19"/>
        <v>0</v>
      </c>
      <c r="I62" s="511">
        <f t="shared" si="0"/>
        <v>0</v>
      </c>
      <c r="J62" s="511"/>
      <c r="K62" s="525"/>
      <c r="L62" s="514">
        <f t="shared" si="2"/>
        <v>0</v>
      </c>
      <c r="M62" s="525"/>
      <c r="N62" s="514">
        <f t="shared" si="4"/>
        <v>0</v>
      </c>
      <c r="O62" s="514">
        <f t="shared" si="5"/>
        <v>0</v>
      </c>
      <c r="P62" s="272"/>
    </row>
    <row r="63" spans="2:16">
      <c r="B63" s="195" t="str">
        <f t="shared" si="7"/>
        <v/>
      </c>
      <c r="C63" s="507">
        <f>IF(D11="","-",+C62+1)</f>
        <v>2062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15"/>
        <v>0</v>
      </c>
      <c r="G63" s="526">
        <f t="shared" si="18"/>
        <v>0</v>
      </c>
      <c r="H63" s="491">
        <f t="shared" si="19"/>
        <v>0</v>
      </c>
      <c r="I63" s="511">
        <f t="shared" si="0"/>
        <v>0</v>
      </c>
      <c r="J63" s="511"/>
      <c r="K63" s="525"/>
      <c r="L63" s="514">
        <f t="shared" si="2"/>
        <v>0</v>
      </c>
      <c r="M63" s="525"/>
      <c r="N63" s="514">
        <f t="shared" si="4"/>
        <v>0</v>
      </c>
      <c r="O63" s="514">
        <f t="shared" si="5"/>
        <v>0</v>
      </c>
      <c r="P63" s="272"/>
    </row>
    <row r="64" spans="2:16">
      <c r="B64" s="195" t="str">
        <f t="shared" si="7"/>
        <v/>
      </c>
      <c r="C64" s="507">
        <f>IF(D11="","-",+C63+1)</f>
        <v>2063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15"/>
        <v>0</v>
      </c>
      <c r="G64" s="526">
        <f t="shared" si="18"/>
        <v>0</v>
      </c>
      <c r="H64" s="491">
        <f t="shared" si="19"/>
        <v>0</v>
      </c>
      <c r="I64" s="511">
        <f t="shared" si="0"/>
        <v>0</v>
      </c>
      <c r="J64" s="511"/>
      <c r="K64" s="525"/>
      <c r="L64" s="514">
        <f t="shared" si="2"/>
        <v>0</v>
      </c>
      <c r="M64" s="525"/>
      <c r="N64" s="514">
        <f t="shared" si="4"/>
        <v>0</v>
      </c>
      <c r="O64" s="514">
        <f t="shared" si="5"/>
        <v>0</v>
      </c>
      <c r="P64" s="272"/>
    </row>
    <row r="65" spans="2:16">
      <c r="B65" s="195" t="str">
        <f t="shared" si="7"/>
        <v/>
      </c>
      <c r="C65" s="507">
        <f>IF(D11="","-",+C64+1)</f>
        <v>2064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15"/>
        <v>0</v>
      </c>
      <c r="G65" s="526">
        <f t="shared" si="18"/>
        <v>0</v>
      </c>
      <c r="H65" s="491">
        <f t="shared" si="19"/>
        <v>0</v>
      </c>
      <c r="I65" s="511">
        <f t="shared" si="0"/>
        <v>0</v>
      </c>
      <c r="J65" s="511"/>
      <c r="K65" s="525"/>
      <c r="L65" s="514">
        <f t="shared" si="2"/>
        <v>0</v>
      </c>
      <c r="M65" s="525"/>
      <c r="N65" s="514">
        <f t="shared" si="4"/>
        <v>0</v>
      </c>
      <c r="O65" s="514">
        <f t="shared" si="5"/>
        <v>0</v>
      </c>
      <c r="P65" s="272"/>
    </row>
    <row r="66" spans="2:16">
      <c r="B66" s="195" t="str">
        <f t="shared" si="7"/>
        <v/>
      </c>
      <c r="C66" s="507">
        <f>IF(D11="","-",+C65+1)</f>
        <v>2065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15"/>
        <v>0</v>
      </c>
      <c r="G66" s="526">
        <f t="shared" si="18"/>
        <v>0</v>
      </c>
      <c r="H66" s="491">
        <f t="shared" si="19"/>
        <v>0</v>
      </c>
      <c r="I66" s="511">
        <f t="shared" si="0"/>
        <v>0</v>
      </c>
      <c r="J66" s="511"/>
      <c r="K66" s="525"/>
      <c r="L66" s="514">
        <f t="shared" si="2"/>
        <v>0</v>
      </c>
      <c r="M66" s="525"/>
      <c r="N66" s="514">
        <f t="shared" si="4"/>
        <v>0</v>
      </c>
      <c r="O66" s="514">
        <f t="shared" si="5"/>
        <v>0</v>
      </c>
      <c r="P66" s="272"/>
    </row>
    <row r="67" spans="2:16">
      <c r="B67" s="195" t="str">
        <f t="shared" si="7"/>
        <v/>
      </c>
      <c r="C67" s="507">
        <f>IF(D11="","-",+C66+1)</f>
        <v>2066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15"/>
        <v>0</v>
      </c>
      <c r="G67" s="526">
        <f t="shared" si="18"/>
        <v>0</v>
      </c>
      <c r="H67" s="491">
        <f t="shared" si="19"/>
        <v>0</v>
      </c>
      <c r="I67" s="511">
        <f t="shared" si="0"/>
        <v>0</v>
      </c>
      <c r="J67" s="511"/>
      <c r="K67" s="525"/>
      <c r="L67" s="514">
        <f t="shared" si="2"/>
        <v>0</v>
      </c>
      <c r="M67" s="525"/>
      <c r="N67" s="514">
        <f t="shared" si="4"/>
        <v>0</v>
      </c>
      <c r="O67" s="514">
        <f t="shared" si="5"/>
        <v>0</v>
      </c>
      <c r="P67" s="272"/>
    </row>
    <row r="68" spans="2:16">
      <c r="B68" s="195" t="str">
        <f t="shared" si="7"/>
        <v/>
      </c>
      <c r="C68" s="507">
        <f>IF(D11="","-",+C67+1)</f>
        <v>2067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15"/>
        <v>0</v>
      </c>
      <c r="G68" s="526">
        <f t="shared" si="18"/>
        <v>0</v>
      </c>
      <c r="H68" s="491">
        <f t="shared" si="19"/>
        <v>0</v>
      </c>
      <c r="I68" s="511">
        <f t="shared" si="0"/>
        <v>0</v>
      </c>
      <c r="J68" s="511"/>
      <c r="K68" s="525"/>
      <c r="L68" s="514">
        <f t="shared" si="2"/>
        <v>0</v>
      </c>
      <c r="M68" s="525"/>
      <c r="N68" s="514">
        <f t="shared" si="4"/>
        <v>0</v>
      </c>
      <c r="O68" s="514">
        <f t="shared" si="5"/>
        <v>0</v>
      </c>
      <c r="P68" s="272"/>
    </row>
    <row r="69" spans="2:16">
      <c r="B69" s="195" t="str">
        <f t="shared" si="7"/>
        <v/>
      </c>
      <c r="C69" s="507">
        <f>IF(D11="","-",+C68+1)</f>
        <v>2068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15"/>
        <v>0</v>
      </c>
      <c r="G69" s="526">
        <f t="shared" si="18"/>
        <v>0</v>
      </c>
      <c r="H69" s="491">
        <f t="shared" si="19"/>
        <v>0</v>
      </c>
      <c r="I69" s="511">
        <f t="shared" si="0"/>
        <v>0</v>
      </c>
      <c r="J69" s="511"/>
      <c r="K69" s="525"/>
      <c r="L69" s="514">
        <f t="shared" si="2"/>
        <v>0</v>
      </c>
      <c r="M69" s="525"/>
      <c r="N69" s="514">
        <f t="shared" si="4"/>
        <v>0</v>
      </c>
      <c r="O69" s="514">
        <f t="shared" si="5"/>
        <v>0</v>
      </c>
      <c r="P69" s="272"/>
    </row>
    <row r="70" spans="2:16">
      <c r="B70" s="195" t="str">
        <f t="shared" si="7"/>
        <v/>
      </c>
      <c r="C70" s="507">
        <f>IF(D11="","-",+C69+1)</f>
        <v>2069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15"/>
        <v>0</v>
      </c>
      <c r="G70" s="526">
        <f t="shared" si="18"/>
        <v>0</v>
      </c>
      <c r="H70" s="491">
        <f t="shared" si="19"/>
        <v>0</v>
      </c>
      <c r="I70" s="511">
        <f t="shared" si="0"/>
        <v>0</v>
      </c>
      <c r="J70" s="511"/>
      <c r="K70" s="525"/>
      <c r="L70" s="514">
        <f t="shared" si="2"/>
        <v>0</v>
      </c>
      <c r="M70" s="525"/>
      <c r="N70" s="514">
        <f t="shared" si="4"/>
        <v>0</v>
      </c>
      <c r="O70" s="514">
        <f t="shared" si="5"/>
        <v>0</v>
      </c>
      <c r="P70" s="272"/>
    </row>
    <row r="71" spans="2:16">
      <c r="B71" s="195" t="str">
        <f t="shared" si="7"/>
        <v/>
      </c>
      <c r="C71" s="507">
        <f>IF(D11="","-",+C70+1)</f>
        <v>2070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15"/>
        <v>0</v>
      </c>
      <c r="G71" s="526">
        <f t="shared" si="18"/>
        <v>0</v>
      </c>
      <c r="H71" s="491">
        <f t="shared" si="19"/>
        <v>0</v>
      </c>
      <c r="I71" s="511">
        <f t="shared" si="0"/>
        <v>0</v>
      </c>
      <c r="J71" s="511"/>
      <c r="K71" s="525"/>
      <c r="L71" s="514">
        <f t="shared" si="2"/>
        <v>0</v>
      </c>
      <c r="M71" s="525"/>
      <c r="N71" s="514">
        <f t="shared" si="4"/>
        <v>0</v>
      </c>
      <c r="O71" s="514">
        <f t="shared" si="5"/>
        <v>0</v>
      </c>
      <c r="P71" s="272"/>
    </row>
    <row r="72" spans="2:16" ht="13.5" thickBot="1">
      <c r="B72" s="195" t="str">
        <f t="shared" si="7"/>
        <v/>
      </c>
      <c r="C72" s="527">
        <f>IF(D11="","-",+C71+1)</f>
        <v>2071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15"/>
        <v>0</v>
      </c>
      <c r="G72" s="530">
        <f t="shared" si="18"/>
        <v>0</v>
      </c>
      <c r="H72" s="471">
        <f t="shared" si="19"/>
        <v>0</v>
      </c>
      <c r="I72" s="531">
        <f t="shared" si="0"/>
        <v>0</v>
      </c>
      <c r="J72" s="511"/>
      <c r="K72" s="532"/>
      <c r="L72" s="533">
        <f t="shared" si="2"/>
        <v>0</v>
      </c>
      <c r="M72" s="532"/>
      <c r="N72" s="533">
        <f t="shared" si="4"/>
        <v>0</v>
      </c>
      <c r="O72" s="533">
        <f t="shared" si="5"/>
        <v>0</v>
      </c>
      <c r="P72" s="272"/>
    </row>
    <row r="73" spans="2:16">
      <c r="C73" s="374" t="s">
        <v>78</v>
      </c>
      <c r="D73" s="375"/>
      <c r="E73" s="375">
        <f>SUM(E17:E72)</f>
        <v>17132603.999999996</v>
      </c>
      <c r="F73" s="375"/>
      <c r="G73" s="375">
        <f>SUM(G17:G72)</f>
        <v>62540324.611256927</v>
      </c>
      <c r="H73" s="375">
        <f>SUM(H17:H72)</f>
        <v>62540324.611256927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2:16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2:16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2:16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2:16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272"/>
      <c r="P77" s="272"/>
    </row>
    <row r="78" spans="2:16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2:16"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  <c r="O79" s="269"/>
      <c r="P79" s="269"/>
    </row>
    <row r="80" spans="2:16" ht="18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6">
      <c r="B81" s="269"/>
      <c r="C81" s="340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6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</row>
    <row r="83" spans="1:16" ht="20.25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451" t="str">
        <f ca="1">P1</f>
        <v>SWEPCO Project 59 of 75</v>
      </c>
    </row>
    <row r="84" spans="1:16" ht="18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538" t="s">
        <v>128</v>
      </c>
    </row>
    <row r="85" spans="1:16" ht="18.7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</row>
    <row r="86" spans="1:16" ht="15.75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2022</v>
      </c>
      <c r="M86" s="541" t="s">
        <v>9</v>
      </c>
      <c r="N86" s="542" t="s">
        <v>159</v>
      </c>
      <c r="O86" s="543" t="s">
        <v>11</v>
      </c>
      <c r="P86" s="269"/>
    </row>
    <row r="87" spans="1:16" ht="1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391</v>
      </c>
      <c r="M87" s="546">
        <f>IF(J92&lt;D11,0,VLOOKUP(J92,C17:O72,9))</f>
        <v>2088354.751908463</v>
      </c>
      <c r="N87" s="546">
        <f>IF(J92&lt;D11,0,VLOOKUP(J92,C17:O72,11))</f>
        <v>2088354.751908463</v>
      </c>
      <c r="O87" s="547">
        <f>+N87-M87</f>
        <v>0</v>
      </c>
      <c r="P87" s="269"/>
    </row>
    <row r="88" spans="1:16" ht="15.7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392</v>
      </c>
      <c r="M88" s="550">
        <f>IF(J92&lt;D11,0,VLOOKUP(J92,C99:P154,6))</f>
        <v>2168661.9353119493</v>
      </c>
      <c r="N88" s="550">
        <f>IF(J92&lt;D11,0,VLOOKUP(J92,C99:P154,7))</f>
        <v>2168661.9353119493</v>
      </c>
      <c r="O88" s="551">
        <f>+N88-M88</f>
        <v>0</v>
      </c>
      <c r="P88" s="269"/>
    </row>
    <row r="89" spans="1:16" ht="13.5" thickBot="1">
      <c r="C89" s="467" t="s">
        <v>84</v>
      </c>
      <c r="D89" s="552" t="str">
        <f>+D7</f>
        <v>Brownlee-North Mrket 69 kv Rebuild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80307.183403486386</v>
      </c>
      <c r="N89" s="555">
        <f>+N88-N87</f>
        <v>80307.183403486386</v>
      </c>
      <c r="O89" s="556">
        <f>+O88-O87</f>
        <v>0</v>
      </c>
      <c r="P89" s="269"/>
    </row>
    <row r="90" spans="1:16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</row>
    <row r="91" spans="1:16" ht="13.5" thickBot="1">
      <c r="A91" s="191"/>
      <c r="C91" s="558" t="s">
        <v>85</v>
      </c>
      <c r="D91" s="559" t="str">
        <f>+D9</f>
        <v>TP2009104</v>
      </c>
      <c r="E91" s="560"/>
      <c r="F91" s="560"/>
      <c r="G91" s="560"/>
      <c r="H91" s="560"/>
      <c r="I91" s="560"/>
      <c r="J91" s="560"/>
      <c r="K91" s="562"/>
      <c r="P91" s="481"/>
    </row>
    <row r="92" spans="1:16">
      <c r="C92" s="486" t="s">
        <v>51</v>
      </c>
      <c r="D92" s="564">
        <v>17132604</v>
      </c>
      <c r="E92" s="340" t="s">
        <v>86</v>
      </c>
      <c r="H92" s="484"/>
      <c r="I92" s="484"/>
      <c r="J92" s="485">
        <f>+'SWE.WS.G.BPU.ATRR.True-up'!M16</f>
        <v>2022</v>
      </c>
      <c r="K92" s="480"/>
      <c r="L92" s="375" t="s">
        <v>87</v>
      </c>
      <c r="P92" s="272"/>
    </row>
    <row r="93" spans="1:16">
      <c r="C93" s="486" t="s">
        <v>54</v>
      </c>
      <c r="D93" s="563">
        <f>IF(D11=I10,"",D11)</f>
        <v>2017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</row>
    <row r="94" spans="1:16">
      <c r="C94" s="486" t="s">
        <v>56</v>
      </c>
      <c r="D94" s="564">
        <f>IF(D11=I10,"",D12)</f>
        <v>7</v>
      </c>
      <c r="E94" s="486" t="s">
        <v>57</v>
      </c>
      <c r="F94" s="484"/>
      <c r="G94" s="484"/>
      <c r="J94" s="490">
        <f>'SWE.WS.G.BPU.ATRR.True-up'!$F$81</f>
        <v>0.11351422637179906</v>
      </c>
      <c r="K94" s="425"/>
      <c r="L94" s="183" t="s">
        <v>88</v>
      </c>
      <c r="P94" s="272"/>
    </row>
    <row r="95" spans="1:16">
      <c r="C95" s="486" t="s">
        <v>59</v>
      </c>
      <c r="D95" s="488">
        <f>'SWE.WS.G.BPU.ATRR.True-up'!F$93</f>
        <v>41</v>
      </c>
      <c r="E95" s="486" t="s">
        <v>60</v>
      </c>
      <c r="F95" s="484"/>
      <c r="G95" s="484"/>
      <c r="J95" s="490">
        <f>IF(H87="",J94,'SWE.WS.G.BPU.ATRR.True-up'!$F$80)</f>
        <v>0.11351422637179906</v>
      </c>
      <c r="K95" s="324"/>
      <c r="L95" s="375" t="s">
        <v>61</v>
      </c>
      <c r="M95" s="324"/>
      <c r="N95" s="324"/>
      <c r="O95" s="324"/>
      <c r="P95" s="272"/>
    </row>
    <row r="96" spans="1:16" ht="13.5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417868.39024390245</v>
      </c>
      <c r="K96" s="375"/>
      <c r="L96" s="375"/>
      <c r="M96" s="375"/>
      <c r="N96" s="375"/>
      <c r="O96" s="375"/>
      <c r="P96" s="272"/>
    </row>
    <row r="97" spans="1:16" ht="38.25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388</v>
      </c>
      <c r="I97" s="495" t="s">
        <v>389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</row>
    <row r="98" spans="1:16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</row>
    <row r="99" spans="1:16">
      <c r="C99" s="507">
        <f>IF(D93= "","-",D93)</f>
        <v>2017</v>
      </c>
      <c r="D99" s="649">
        <v>0</v>
      </c>
      <c r="E99" s="650">
        <v>306085.875</v>
      </c>
      <c r="F99" s="651">
        <v>16834723.125</v>
      </c>
      <c r="G99" s="652">
        <v>8417361.5625</v>
      </c>
      <c r="H99" s="653">
        <v>1328555.0538499958</v>
      </c>
      <c r="I99" s="654">
        <v>1328555.0538499958</v>
      </c>
      <c r="J99" s="514">
        <f t="shared" ref="J99:J130" si="20">+I99-H99</f>
        <v>0</v>
      </c>
      <c r="K99" s="514"/>
      <c r="L99" s="512">
        <f>+H99</f>
        <v>1328555.0538499958</v>
      </c>
      <c r="M99" s="513">
        <f t="shared" ref="M99:M130" si="21">IF(L99&lt;&gt;0,+H99-L99,0)</f>
        <v>0</v>
      </c>
      <c r="N99" s="512">
        <f>+I99</f>
        <v>1328555.0538499958</v>
      </c>
      <c r="O99" s="513">
        <f t="shared" ref="O99:O130" si="22">IF(N99&lt;&gt;0,+I99-N99,0)</f>
        <v>0</v>
      </c>
      <c r="P99" s="513">
        <f t="shared" ref="P99:P130" si="23">+O99-M99</f>
        <v>0</v>
      </c>
    </row>
    <row r="100" spans="1:16">
      <c r="B100" s="195" t="str">
        <f>IF(D100=F99,"","IU")</f>
        <v>IU</v>
      </c>
      <c r="C100" s="507">
        <f>IF(D93="","-",+C99+1)</f>
        <v>2018</v>
      </c>
      <c r="D100" s="629">
        <v>16826345.125</v>
      </c>
      <c r="E100" s="630">
        <v>407915.02380952379</v>
      </c>
      <c r="F100" s="631">
        <v>16418430.101190476</v>
      </c>
      <c r="G100" s="631">
        <v>16622387.613095239</v>
      </c>
      <c r="H100" s="633">
        <v>2163315.383026443</v>
      </c>
      <c r="I100" s="634">
        <v>2163315.383026443</v>
      </c>
      <c r="J100" s="514">
        <f t="shared" si="20"/>
        <v>0</v>
      </c>
      <c r="K100" s="514"/>
      <c r="L100" s="655">
        <f>+H100</f>
        <v>2163315.383026443</v>
      </c>
      <c r="M100" s="514">
        <f t="shared" si="21"/>
        <v>0</v>
      </c>
      <c r="N100" s="655">
        <f>+I100</f>
        <v>2163315.383026443</v>
      </c>
      <c r="O100" s="514">
        <f t="shared" si="22"/>
        <v>0</v>
      </c>
      <c r="P100" s="514">
        <f t="shared" si="23"/>
        <v>0</v>
      </c>
    </row>
    <row r="101" spans="1:16">
      <c r="B101" s="195" t="str">
        <f t="shared" ref="B101:B154" si="24">IF(D101=F100,"","IU")</f>
        <v>IU</v>
      </c>
      <c r="C101" s="507">
        <f>IF(D93="","-",+C100+1)</f>
        <v>2019</v>
      </c>
      <c r="D101" s="629">
        <v>16418603.101190476</v>
      </c>
      <c r="E101" s="630">
        <v>398432.65116279072</v>
      </c>
      <c r="F101" s="631">
        <v>16020170.450027686</v>
      </c>
      <c r="G101" s="631">
        <v>16219386.77560908</v>
      </c>
      <c r="H101" s="633">
        <v>2134564.6762010739</v>
      </c>
      <c r="I101" s="634">
        <v>2134564.6762010739</v>
      </c>
      <c r="J101" s="514">
        <f t="shared" si="20"/>
        <v>0</v>
      </c>
      <c r="K101" s="514"/>
      <c r="L101" s="655">
        <f>+H101</f>
        <v>2134564.6762010739</v>
      </c>
      <c r="M101" s="514">
        <f t="shared" ref="M101:M102" si="25">IF(L101&lt;&gt;0,+H101-L101,0)</f>
        <v>0</v>
      </c>
      <c r="N101" s="655">
        <f>+I101</f>
        <v>2134564.6762010739</v>
      </c>
      <c r="O101" s="514">
        <f t="shared" si="22"/>
        <v>0</v>
      </c>
      <c r="P101" s="514">
        <f t="shared" si="23"/>
        <v>0</v>
      </c>
    </row>
    <row r="102" spans="1:16">
      <c r="B102" s="195" t="str">
        <f t="shared" si="24"/>
        <v/>
      </c>
      <c r="C102" s="507">
        <f>IF(D93="","-",+C101+1)</f>
        <v>2020</v>
      </c>
      <c r="D102" s="629">
        <v>16020170.450027686</v>
      </c>
      <c r="E102" s="630">
        <v>407919.14285714284</v>
      </c>
      <c r="F102" s="631">
        <v>15612251.307170542</v>
      </c>
      <c r="G102" s="631">
        <v>15816210.878599115</v>
      </c>
      <c r="H102" s="633">
        <v>2109329.5627079071</v>
      </c>
      <c r="I102" s="634">
        <v>2109329.5627079071</v>
      </c>
      <c r="J102" s="514">
        <f t="shared" si="20"/>
        <v>0</v>
      </c>
      <c r="K102" s="514"/>
      <c r="L102" s="655">
        <f>+H102</f>
        <v>2109329.5627079071</v>
      </c>
      <c r="M102" s="514">
        <f t="shared" si="25"/>
        <v>0</v>
      </c>
      <c r="N102" s="655">
        <f>+I102</f>
        <v>2109329.5627079071</v>
      </c>
      <c r="O102" s="514">
        <f t="shared" si="22"/>
        <v>0</v>
      </c>
      <c r="P102" s="514">
        <f t="shared" si="23"/>
        <v>0</v>
      </c>
    </row>
    <row r="103" spans="1:16">
      <c r="B103" s="195" t="str">
        <f t="shared" si="24"/>
        <v/>
      </c>
      <c r="C103" s="507">
        <f>IF(D93="","-",+C102+1)</f>
        <v>2021</v>
      </c>
      <c r="D103" s="629">
        <v>15612251.307170542</v>
      </c>
      <c r="E103" s="630">
        <v>417868.39024390245</v>
      </c>
      <c r="F103" s="631">
        <v>15194382.916926639</v>
      </c>
      <c r="G103" s="631">
        <v>15403317.112048591</v>
      </c>
      <c r="H103" s="633">
        <v>2166364.0157775921</v>
      </c>
      <c r="I103" s="634">
        <v>2166364.0157775921</v>
      </c>
      <c r="J103" s="514">
        <f t="shared" si="20"/>
        <v>0</v>
      </c>
      <c r="K103" s="514"/>
      <c r="L103" s="655">
        <f>+H103</f>
        <v>2166364.0157775921</v>
      </c>
      <c r="M103" s="514">
        <f t="shared" ref="M103" si="26">IF(L103&lt;&gt;0,+H103-L103,0)</f>
        <v>0</v>
      </c>
      <c r="N103" s="655">
        <f>+I103</f>
        <v>2166364.0157775921</v>
      </c>
      <c r="O103" s="514">
        <f t="shared" ref="O103" si="27">IF(N103&lt;&gt;0,+I103-N103,0)</f>
        <v>0</v>
      </c>
      <c r="P103" s="514">
        <f t="shared" ref="P103" si="28">+O103-M103</f>
        <v>0</v>
      </c>
    </row>
    <row r="104" spans="1:16">
      <c r="B104" s="195" t="str">
        <f t="shared" si="24"/>
        <v/>
      </c>
      <c r="C104" s="673">
        <f>IF(D93="","-",+C103+1)</f>
        <v>2022</v>
      </c>
      <c r="D104" s="374">
        <v>15194382.916926639</v>
      </c>
      <c r="E104" s="522">
        <v>407919.14285714284</v>
      </c>
      <c r="F104" s="523">
        <v>14786463.774069495</v>
      </c>
      <c r="G104" s="523">
        <v>14990423.345498066</v>
      </c>
      <c r="H104" s="526">
        <v>2168661.9353119493</v>
      </c>
      <c r="I104" s="577">
        <v>2168661.9353119493</v>
      </c>
      <c r="J104" s="514">
        <f t="shared" si="20"/>
        <v>0</v>
      </c>
      <c r="K104" s="514"/>
      <c r="L104" s="525"/>
      <c r="M104" s="514">
        <f t="shared" si="21"/>
        <v>0</v>
      </c>
      <c r="N104" s="525"/>
      <c r="O104" s="514">
        <f t="shared" si="22"/>
        <v>0</v>
      </c>
      <c r="P104" s="514">
        <f t="shared" si="23"/>
        <v>0</v>
      </c>
    </row>
    <row r="105" spans="1:16">
      <c r="B105" s="195" t="str">
        <f t="shared" si="24"/>
        <v/>
      </c>
      <c r="C105" s="507">
        <f>IF(D93="","-",+C104+1)</f>
        <v>2023</v>
      </c>
      <c r="D105" s="374">
        <f>IF(F104+SUM(E$99:E104)=D$92,F104,D$92-SUM(E$99:E104))</f>
        <v>14786463.774069495</v>
      </c>
      <c r="E105" s="522">
        <f>IF(+J96&lt;F104,J96,D105)</f>
        <v>417868.39024390245</v>
      </c>
      <c r="F105" s="523">
        <f t="shared" ref="F105:F154" si="29">+D105-E105</f>
        <v>14368595.383825593</v>
      </c>
      <c r="G105" s="523">
        <f t="shared" ref="G105:G154" si="30">+(F105+D105)/2</f>
        <v>14577529.578947544</v>
      </c>
      <c r="H105" s="526">
        <f t="shared" ref="H105:H154" si="31">+J$94*G105+E105</f>
        <v>2072625.3828101507</v>
      </c>
      <c r="I105" s="577">
        <f t="shared" ref="I105:I154" si="32">+J$95*G105+E105</f>
        <v>2072625.3828101507</v>
      </c>
      <c r="J105" s="514">
        <f t="shared" si="20"/>
        <v>0</v>
      </c>
      <c r="K105" s="514"/>
      <c r="L105" s="525"/>
      <c r="M105" s="514">
        <f t="shared" si="21"/>
        <v>0</v>
      </c>
      <c r="N105" s="525"/>
      <c r="O105" s="514">
        <f t="shared" si="22"/>
        <v>0</v>
      </c>
      <c r="P105" s="514">
        <f t="shared" si="23"/>
        <v>0</v>
      </c>
    </row>
    <row r="106" spans="1:16">
      <c r="B106" s="195" t="str">
        <f t="shared" si="24"/>
        <v/>
      </c>
      <c r="C106" s="507">
        <f>IF(D93="","-",+C105+1)</f>
        <v>2024</v>
      </c>
      <c r="D106" s="374">
        <f>IF(F105+SUM(E$99:E105)=D$92,F105,D$92-SUM(E$99:E105))</f>
        <v>14368595.383825593</v>
      </c>
      <c r="E106" s="522">
        <f>IF(+J96&lt;F105,J96,D106)</f>
        <v>417868.39024390245</v>
      </c>
      <c r="F106" s="523">
        <f t="shared" si="29"/>
        <v>13950726.99358169</v>
      </c>
      <c r="G106" s="523">
        <f t="shared" si="30"/>
        <v>14159661.188703641</v>
      </c>
      <c r="H106" s="526">
        <f t="shared" si="31"/>
        <v>2025191.3757663849</v>
      </c>
      <c r="I106" s="577">
        <f t="shared" si="32"/>
        <v>2025191.3757663849</v>
      </c>
      <c r="J106" s="514">
        <f t="shared" si="20"/>
        <v>0</v>
      </c>
      <c r="K106" s="514"/>
      <c r="L106" s="525"/>
      <c r="M106" s="514">
        <f t="shared" si="21"/>
        <v>0</v>
      </c>
      <c r="N106" s="525"/>
      <c r="O106" s="514">
        <f t="shared" si="22"/>
        <v>0</v>
      </c>
      <c r="P106" s="514">
        <f t="shared" si="23"/>
        <v>0</v>
      </c>
    </row>
    <row r="107" spans="1:16">
      <c r="B107" s="195" t="str">
        <f t="shared" si="24"/>
        <v/>
      </c>
      <c r="C107" s="507">
        <f>IF(D93="","-",+C106+1)</f>
        <v>2025</v>
      </c>
      <c r="D107" s="374">
        <f>IF(F106+SUM(E$99:E106)=D$92,F106,D$92-SUM(E$99:E106))</f>
        <v>13950726.99358169</v>
      </c>
      <c r="E107" s="522">
        <f>IF(+J96&lt;F106,J96,D107)</f>
        <v>417868.39024390245</v>
      </c>
      <c r="F107" s="523">
        <f t="shared" si="29"/>
        <v>13532858.603337787</v>
      </c>
      <c r="G107" s="523">
        <f t="shared" si="30"/>
        <v>13741792.798459738</v>
      </c>
      <c r="H107" s="526">
        <f t="shared" si="31"/>
        <v>1977757.3687226195</v>
      </c>
      <c r="I107" s="577">
        <f t="shared" si="32"/>
        <v>1977757.3687226195</v>
      </c>
      <c r="J107" s="514">
        <f t="shared" si="20"/>
        <v>0</v>
      </c>
      <c r="K107" s="514"/>
      <c r="L107" s="525"/>
      <c r="M107" s="514">
        <f t="shared" si="21"/>
        <v>0</v>
      </c>
      <c r="N107" s="525"/>
      <c r="O107" s="514">
        <f t="shared" si="22"/>
        <v>0</v>
      </c>
      <c r="P107" s="514">
        <f t="shared" si="23"/>
        <v>0</v>
      </c>
    </row>
    <row r="108" spans="1:16">
      <c r="B108" s="195" t="str">
        <f t="shared" si="24"/>
        <v/>
      </c>
      <c r="C108" s="507">
        <f>IF(D93="","-",+C107+1)</f>
        <v>2026</v>
      </c>
      <c r="D108" s="374">
        <f>IF(F107+SUM(E$99:E107)=D$92,F107,D$92-SUM(E$99:E107))</f>
        <v>13532858.603337787</v>
      </c>
      <c r="E108" s="522">
        <f>IF(+J96&lt;F107,J96,D108)</f>
        <v>417868.39024390245</v>
      </c>
      <c r="F108" s="523">
        <f t="shared" si="29"/>
        <v>13114990.213093884</v>
      </c>
      <c r="G108" s="523">
        <f t="shared" si="30"/>
        <v>13323924.408215836</v>
      </c>
      <c r="H108" s="526">
        <f t="shared" si="31"/>
        <v>1930323.3616788536</v>
      </c>
      <c r="I108" s="577">
        <f t="shared" si="32"/>
        <v>1930323.3616788536</v>
      </c>
      <c r="J108" s="514">
        <f t="shared" si="20"/>
        <v>0</v>
      </c>
      <c r="K108" s="514"/>
      <c r="L108" s="525"/>
      <c r="M108" s="514">
        <f t="shared" si="21"/>
        <v>0</v>
      </c>
      <c r="N108" s="525"/>
      <c r="O108" s="514">
        <f t="shared" si="22"/>
        <v>0</v>
      </c>
      <c r="P108" s="514">
        <f t="shared" si="23"/>
        <v>0</v>
      </c>
    </row>
    <row r="109" spans="1:16">
      <c r="B109" s="195" t="str">
        <f t="shared" si="24"/>
        <v/>
      </c>
      <c r="C109" s="507">
        <f>IF(D93="","-",+C108+1)</f>
        <v>2027</v>
      </c>
      <c r="D109" s="374">
        <f>IF(F108+SUM(E$99:E108)=D$92,F108,D$92-SUM(E$99:E108))</f>
        <v>13114990.213093884</v>
      </c>
      <c r="E109" s="522">
        <f>IF(+J96&lt;F108,J96,D109)</f>
        <v>417868.39024390245</v>
      </c>
      <c r="F109" s="523">
        <f t="shared" si="29"/>
        <v>12697121.822849981</v>
      </c>
      <c r="G109" s="523">
        <f t="shared" si="30"/>
        <v>12906056.017971933</v>
      </c>
      <c r="H109" s="526">
        <f t="shared" si="31"/>
        <v>1882889.3546350878</v>
      </c>
      <c r="I109" s="577">
        <f t="shared" si="32"/>
        <v>1882889.3546350878</v>
      </c>
      <c r="J109" s="514">
        <f t="shared" si="20"/>
        <v>0</v>
      </c>
      <c r="K109" s="514"/>
      <c r="L109" s="525"/>
      <c r="M109" s="514">
        <f t="shared" si="21"/>
        <v>0</v>
      </c>
      <c r="N109" s="525"/>
      <c r="O109" s="514">
        <f t="shared" si="22"/>
        <v>0</v>
      </c>
      <c r="P109" s="514">
        <f t="shared" si="23"/>
        <v>0</v>
      </c>
    </row>
    <row r="110" spans="1:16">
      <c r="B110" s="195" t="str">
        <f t="shared" si="24"/>
        <v/>
      </c>
      <c r="C110" s="507">
        <f>IF(D93="","-",+C109+1)</f>
        <v>2028</v>
      </c>
      <c r="D110" s="374">
        <f>IF(F109+SUM(E$99:E109)=D$92,F109,D$92-SUM(E$99:E109))</f>
        <v>12697121.822849981</v>
      </c>
      <c r="E110" s="522">
        <f>IF(+J96&lt;F109,J96,D110)</f>
        <v>417868.39024390245</v>
      </c>
      <c r="F110" s="523">
        <f t="shared" si="29"/>
        <v>12279253.432606079</v>
      </c>
      <c r="G110" s="523">
        <f t="shared" si="30"/>
        <v>12488187.62772803</v>
      </c>
      <c r="H110" s="526">
        <f t="shared" si="31"/>
        <v>1835455.3475913224</v>
      </c>
      <c r="I110" s="577">
        <f t="shared" si="32"/>
        <v>1835455.3475913224</v>
      </c>
      <c r="J110" s="514">
        <f t="shared" si="20"/>
        <v>0</v>
      </c>
      <c r="K110" s="514"/>
      <c r="L110" s="525"/>
      <c r="M110" s="514">
        <f t="shared" si="21"/>
        <v>0</v>
      </c>
      <c r="N110" s="525"/>
      <c r="O110" s="514">
        <f t="shared" si="22"/>
        <v>0</v>
      </c>
      <c r="P110" s="514">
        <f t="shared" si="23"/>
        <v>0</v>
      </c>
    </row>
    <row r="111" spans="1:16">
      <c r="B111" s="195" t="str">
        <f t="shared" si="24"/>
        <v/>
      </c>
      <c r="C111" s="507">
        <f>IF(D93="","-",+C110+1)</f>
        <v>2029</v>
      </c>
      <c r="D111" s="374">
        <f>IF(F110+SUM(E$99:E110)=D$92,F110,D$92-SUM(E$99:E110))</f>
        <v>12279253.432606079</v>
      </c>
      <c r="E111" s="522">
        <f>IF(+J96&lt;F110,J96,D111)</f>
        <v>417868.39024390245</v>
      </c>
      <c r="F111" s="523">
        <f t="shared" si="29"/>
        <v>11861385.042362176</v>
      </c>
      <c r="G111" s="523">
        <f t="shared" si="30"/>
        <v>12070319.237484127</v>
      </c>
      <c r="H111" s="526">
        <f t="shared" si="31"/>
        <v>1788021.3405475565</v>
      </c>
      <c r="I111" s="577">
        <f t="shared" si="32"/>
        <v>1788021.3405475565</v>
      </c>
      <c r="J111" s="514">
        <f t="shared" si="20"/>
        <v>0</v>
      </c>
      <c r="K111" s="514"/>
      <c r="L111" s="525"/>
      <c r="M111" s="514">
        <f t="shared" si="21"/>
        <v>0</v>
      </c>
      <c r="N111" s="525"/>
      <c r="O111" s="514">
        <f t="shared" si="22"/>
        <v>0</v>
      </c>
      <c r="P111" s="514">
        <f t="shared" si="23"/>
        <v>0</v>
      </c>
    </row>
    <row r="112" spans="1:16">
      <c r="B112" s="195" t="str">
        <f t="shared" si="24"/>
        <v/>
      </c>
      <c r="C112" s="507">
        <f>IF(D93="","-",+C111+1)</f>
        <v>2030</v>
      </c>
      <c r="D112" s="374">
        <f>IF(F111+SUM(E$99:E111)=D$92,F111,D$92-SUM(E$99:E111))</f>
        <v>11861385.042362176</v>
      </c>
      <c r="E112" s="522">
        <f>IF(+J96&lt;F111,J96,D112)</f>
        <v>417868.39024390245</v>
      </c>
      <c r="F112" s="523">
        <f t="shared" si="29"/>
        <v>11443516.652118273</v>
      </c>
      <c r="G112" s="523">
        <f t="shared" si="30"/>
        <v>11652450.847240224</v>
      </c>
      <c r="H112" s="526">
        <f t="shared" si="31"/>
        <v>1740587.3335037911</v>
      </c>
      <c r="I112" s="577">
        <f t="shared" si="32"/>
        <v>1740587.3335037911</v>
      </c>
      <c r="J112" s="514">
        <f t="shared" si="20"/>
        <v>0</v>
      </c>
      <c r="K112" s="514"/>
      <c r="L112" s="525"/>
      <c r="M112" s="514">
        <f t="shared" si="21"/>
        <v>0</v>
      </c>
      <c r="N112" s="525"/>
      <c r="O112" s="514">
        <f t="shared" si="22"/>
        <v>0</v>
      </c>
      <c r="P112" s="514">
        <f t="shared" si="23"/>
        <v>0</v>
      </c>
    </row>
    <row r="113" spans="2:16">
      <c r="B113" s="195" t="str">
        <f t="shared" si="24"/>
        <v/>
      </c>
      <c r="C113" s="507">
        <f>IF(D93="","-",+C112+1)</f>
        <v>2031</v>
      </c>
      <c r="D113" s="374">
        <f>IF(F112+SUM(E$99:E112)=D$92,F112,D$92-SUM(E$99:E112))</f>
        <v>11443516.652118273</v>
      </c>
      <c r="E113" s="522">
        <f>IF(+J96&lt;F112,J96,D113)</f>
        <v>417868.39024390245</v>
      </c>
      <c r="F113" s="523">
        <f t="shared" si="29"/>
        <v>11025648.26187437</v>
      </c>
      <c r="G113" s="523">
        <f t="shared" si="30"/>
        <v>11234582.456996322</v>
      </c>
      <c r="H113" s="526">
        <f t="shared" si="31"/>
        <v>1693153.3264600253</v>
      </c>
      <c r="I113" s="577">
        <f t="shared" si="32"/>
        <v>1693153.3264600253</v>
      </c>
      <c r="J113" s="514">
        <f t="shared" si="20"/>
        <v>0</v>
      </c>
      <c r="K113" s="514"/>
      <c r="L113" s="525"/>
      <c r="M113" s="514">
        <f t="shared" si="21"/>
        <v>0</v>
      </c>
      <c r="N113" s="525"/>
      <c r="O113" s="514">
        <f t="shared" si="22"/>
        <v>0</v>
      </c>
      <c r="P113" s="514">
        <f t="shared" si="23"/>
        <v>0</v>
      </c>
    </row>
    <row r="114" spans="2:16">
      <c r="B114" s="195" t="str">
        <f t="shared" si="24"/>
        <v/>
      </c>
      <c r="C114" s="507">
        <f>IF(D93="","-",+C113+1)</f>
        <v>2032</v>
      </c>
      <c r="D114" s="374">
        <f>IF(F113+SUM(E$99:E113)=D$92,F113,D$92-SUM(E$99:E113))</f>
        <v>11025648.26187437</v>
      </c>
      <c r="E114" s="522">
        <f>IF(+J96&lt;F113,J96,D114)</f>
        <v>417868.39024390245</v>
      </c>
      <c r="F114" s="523">
        <f t="shared" si="29"/>
        <v>10607779.871630467</v>
      </c>
      <c r="G114" s="523">
        <f t="shared" si="30"/>
        <v>10816714.066752419</v>
      </c>
      <c r="H114" s="526">
        <f t="shared" si="31"/>
        <v>1645719.3194162599</v>
      </c>
      <c r="I114" s="577">
        <f t="shared" si="32"/>
        <v>1645719.3194162599</v>
      </c>
      <c r="J114" s="514">
        <f t="shared" si="20"/>
        <v>0</v>
      </c>
      <c r="K114" s="514"/>
      <c r="L114" s="525"/>
      <c r="M114" s="514">
        <f t="shared" si="21"/>
        <v>0</v>
      </c>
      <c r="N114" s="525"/>
      <c r="O114" s="514">
        <f t="shared" si="22"/>
        <v>0</v>
      </c>
      <c r="P114" s="514">
        <f t="shared" si="23"/>
        <v>0</v>
      </c>
    </row>
    <row r="115" spans="2:16">
      <c r="B115" s="195" t="str">
        <f t="shared" si="24"/>
        <v/>
      </c>
      <c r="C115" s="507">
        <f>IF(D93="","-",+C114+1)</f>
        <v>2033</v>
      </c>
      <c r="D115" s="374">
        <f>IF(F114+SUM(E$99:E114)=D$92,F114,D$92-SUM(E$99:E114))</f>
        <v>10607779.871630467</v>
      </c>
      <c r="E115" s="522">
        <f>IF(+J96&lt;F114,J96,D115)</f>
        <v>417868.39024390245</v>
      </c>
      <c r="F115" s="523">
        <f t="shared" si="29"/>
        <v>10189911.481386565</v>
      </c>
      <c r="G115" s="523">
        <f t="shared" si="30"/>
        <v>10398845.676508516</v>
      </c>
      <c r="H115" s="526">
        <f t="shared" si="31"/>
        <v>1598285.312372494</v>
      </c>
      <c r="I115" s="577">
        <f t="shared" si="32"/>
        <v>1598285.312372494</v>
      </c>
      <c r="J115" s="514">
        <f t="shared" si="20"/>
        <v>0</v>
      </c>
      <c r="K115" s="514"/>
      <c r="L115" s="525"/>
      <c r="M115" s="514">
        <f t="shared" si="21"/>
        <v>0</v>
      </c>
      <c r="N115" s="525"/>
      <c r="O115" s="514">
        <f t="shared" si="22"/>
        <v>0</v>
      </c>
      <c r="P115" s="514">
        <f t="shared" si="23"/>
        <v>0</v>
      </c>
    </row>
    <row r="116" spans="2:16">
      <c r="B116" s="195" t="str">
        <f t="shared" si="24"/>
        <v/>
      </c>
      <c r="C116" s="507">
        <f>IF(D93="","-",+C115+1)</f>
        <v>2034</v>
      </c>
      <c r="D116" s="374">
        <f>IF(F115+SUM(E$99:E115)=D$92,F115,D$92-SUM(E$99:E115))</f>
        <v>10189911.481386565</v>
      </c>
      <c r="E116" s="522">
        <f>IF(+J96&lt;F115,J96,D116)</f>
        <v>417868.39024390245</v>
      </c>
      <c r="F116" s="523">
        <f t="shared" si="29"/>
        <v>9772043.0911426619</v>
      </c>
      <c r="G116" s="523">
        <f t="shared" si="30"/>
        <v>9980977.2862646133</v>
      </c>
      <c r="H116" s="526">
        <f t="shared" si="31"/>
        <v>1550851.3053287286</v>
      </c>
      <c r="I116" s="577">
        <f t="shared" si="32"/>
        <v>1550851.3053287286</v>
      </c>
      <c r="J116" s="514">
        <f t="shared" si="20"/>
        <v>0</v>
      </c>
      <c r="K116" s="514"/>
      <c r="L116" s="525"/>
      <c r="M116" s="514">
        <f t="shared" si="21"/>
        <v>0</v>
      </c>
      <c r="N116" s="525"/>
      <c r="O116" s="514">
        <f t="shared" si="22"/>
        <v>0</v>
      </c>
      <c r="P116" s="514">
        <f t="shared" si="23"/>
        <v>0</v>
      </c>
    </row>
    <row r="117" spans="2:16">
      <c r="B117" s="195" t="str">
        <f t="shared" si="24"/>
        <v/>
      </c>
      <c r="C117" s="507">
        <f>IF(D93="","-",+C116+1)</f>
        <v>2035</v>
      </c>
      <c r="D117" s="374">
        <f>IF(F116+SUM(E$99:E116)=D$92,F116,D$92-SUM(E$99:E116))</f>
        <v>9772043.0911426619</v>
      </c>
      <c r="E117" s="522">
        <f>IF(+J96&lt;F116,J96,D117)</f>
        <v>417868.39024390245</v>
      </c>
      <c r="F117" s="523">
        <f t="shared" si="29"/>
        <v>9354174.7008987591</v>
      </c>
      <c r="G117" s="523">
        <f t="shared" si="30"/>
        <v>9563108.8960207105</v>
      </c>
      <c r="H117" s="526">
        <f t="shared" si="31"/>
        <v>1503417.2982849628</v>
      </c>
      <c r="I117" s="577">
        <f t="shared" si="32"/>
        <v>1503417.2982849628</v>
      </c>
      <c r="J117" s="514">
        <f t="shared" si="20"/>
        <v>0</v>
      </c>
      <c r="K117" s="514"/>
      <c r="L117" s="525"/>
      <c r="M117" s="514">
        <f t="shared" si="21"/>
        <v>0</v>
      </c>
      <c r="N117" s="525"/>
      <c r="O117" s="514">
        <f t="shared" si="22"/>
        <v>0</v>
      </c>
      <c r="P117" s="514">
        <f t="shared" si="23"/>
        <v>0</v>
      </c>
    </row>
    <row r="118" spans="2:16">
      <c r="B118" s="195" t="str">
        <f t="shared" si="24"/>
        <v/>
      </c>
      <c r="C118" s="507">
        <f>IF(D93="","-",+C117+1)</f>
        <v>2036</v>
      </c>
      <c r="D118" s="374">
        <f>IF(F117+SUM(E$99:E117)=D$92,F117,D$92-SUM(E$99:E117))</f>
        <v>9354174.7008987591</v>
      </c>
      <c r="E118" s="522">
        <f>IF(+J96&lt;F117,J96,D118)</f>
        <v>417868.39024390245</v>
      </c>
      <c r="F118" s="523">
        <f t="shared" si="29"/>
        <v>8936306.3106548563</v>
      </c>
      <c r="G118" s="523">
        <f t="shared" si="30"/>
        <v>9145240.5057768077</v>
      </c>
      <c r="H118" s="526">
        <f t="shared" si="31"/>
        <v>1455983.2912411971</v>
      </c>
      <c r="I118" s="577">
        <f t="shared" si="32"/>
        <v>1455983.2912411971</v>
      </c>
      <c r="J118" s="514">
        <f t="shared" si="20"/>
        <v>0</v>
      </c>
      <c r="K118" s="514"/>
      <c r="L118" s="525"/>
      <c r="M118" s="514">
        <f t="shared" si="21"/>
        <v>0</v>
      </c>
      <c r="N118" s="525"/>
      <c r="O118" s="514">
        <f t="shared" si="22"/>
        <v>0</v>
      </c>
      <c r="P118" s="514">
        <f t="shared" si="23"/>
        <v>0</v>
      </c>
    </row>
    <row r="119" spans="2:16">
      <c r="B119" s="195" t="str">
        <f t="shared" si="24"/>
        <v/>
      </c>
      <c r="C119" s="507">
        <f>IF(D93="","-",+C118+1)</f>
        <v>2037</v>
      </c>
      <c r="D119" s="374">
        <f>IF(F118+SUM(E$99:E118)=D$92,F118,D$92-SUM(E$99:E118))</f>
        <v>8936306.3106548563</v>
      </c>
      <c r="E119" s="522">
        <f>IF(+J96&lt;F118,J96,D119)</f>
        <v>417868.39024390245</v>
      </c>
      <c r="F119" s="523">
        <f t="shared" si="29"/>
        <v>8518437.9204109535</v>
      </c>
      <c r="G119" s="523">
        <f t="shared" si="30"/>
        <v>8727372.1155329049</v>
      </c>
      <c r="H119" s="526">
        <f t="shared" si="31"/>
        <v>1408549.2841974315</v>
      </c>
      <c r="I119" s="577">
        <f t="shared" si="32"/>
        <v>1408549.2841974315</v>
      </c>
      <c r="J119" s="514">
        <f t="shared" si="20"/>
        <v>0</v>
      </c>
      <c r="K119" s="514"/>
      <c r="L119" s="525"/>
      <c r="M119" s="514">
        <f t="shared" si="21"/>
        <v>0</v>
      </c>
      <c r="N119" s="525"/>
      <c r="O119" s="514">
        <f t="shared" si="22"/>
        <v>0</v>
      </c>
      <c r="P119" s="514">
        <f t="shared" si="23"/>
        <v>0</v>
      </c>
    </row>
    <row r="120" spans="2:16">
      <c r="B120" s="195" t="str">
        <f t="shared" si="24"/>
        <v/>
      </c>
      <c r="C120" s="507">
        <f>IF(D93="","-",+C119+1)</f>
        <v>2038</v>
      </c>
      <c r="D120" s="374">
        <f>IF(F119+SUM(E$99:E119)=D$92,F119,D$92-SUM(E$99:E119))</f>
        <v>8518437.9204109535</v>
      </c>
      <c r="E120" s="522">
        <f>IF(+J96&lt;F119,J96,D120)</f>
        <v>417868.39024390245</v>
      </c>
      <c r="F120" s="523">
        <f t="shared" si="29"/>
        <v>8100569.5301670507</v>
      </c>
      <c r="G120" s="523">
        <f t="shared" si="30"/>
        <v>8309503.7252890021</v>
      </c>
      <c r="H120" s="526">
        <f t="shared" si="31"/>
        <v>1361115.2771536657</v>
      </c>
      <c r="I120" s="577">
        <f t="shared" si="32"/>
        <v>1361115.2771536657</v>
      </c>
      <c r="J120" s="514">
        <f t="shared" si="20"/>
        <v>0</v>
      </c>
      <c r="K120" s="514"/>
      <c r="L120" s="525"/>
      <c r="M120" s="514">
        <f t="shared" si="21"/>
        <v>0</v>
      </c>
      <c r="N120" s="525"/>
      <c r="O120" s="514">
        <f t="shared" si="22"/>
        <v>0</v>
      </c>
      <c r="P120" s="514">
        <f t="shared" si="23"/>
        <v>0</v>
      </c>
    </row>
    <row r="121" spans="2:16">
      <c r="B121" s="195" t="str">
        <f t="shared" si="24"/>
        <v/>
      </c>
      <c r="C121" s="507">
        <f>IF(D93="","-",+C120+1)</f>
        <v>2039</v>
      </c>
      <c r="D121" s="374">
        <f>IF(F120+SUM(E$99:E120)=D$92,F120,D$92-SUM(E$99:E120))</f>
        <v>8100569.5301670507</v>
      </c>
      <c r="E121" s="522">
        <f>IF(+J96&lt;F120,J96,D121)</f>
        <v>417868.39024390245</v>
      </c>
      <c r="F121" s="523">
        <f t="shared" si="29"/>
        <v>7682701.1399231479</v>
      </c>
      <c r="G121" s="523">
        <f t="shared" si="30"/>
        <v>7891635.3350450993</v>
      </c>
      <c r="H121" s="526">
        <f t="shared" si="31"/>
        <v>1313681.2701099003</v>
      </c>
      <c r="I121" s="577">
        <f t="shared" si="32"/>
        <v>1313681.2701099003</v>
      </c>
      <c r="J121" s="514">
        <f t="shared" si="20"/>
        <v>0</v>
      </c>
      <c r="K121" s="514"/>
      <c r="L121" s="525"/>
      <c r="M121" s="514">
        <f t="shared" si="21"/>
        <v>0</v>
      </c>
      <c r="N121" s="525"/>
      <c r="O121" s="514">
        <f t="shared" si="22"/>
        <v>0</v>
      </c>
      <c r="P121" s="514">
        <f t="shared" si="23"/>
        <v>0</v>
      </c>
    </row>
    <row r="122" spans="2:16">
      <c r="B122" s="195" t="str">
        <f t="shared" si="24"/>
        <v/>
      </c>
      <c r="C122" s="507">
        <f>IF(D93="","-",+C121+1)</f>
        <v>2040</v>
      </c>
      <c r="D122" s="374">
        <f>IF(F121+SUM(E$99:E121)=D$92,F121,D$92-SUM(E$99:E121))</f>
        <v>7682701.1399231479</v>
      </c>
      <c r="E122" s="522">
        <f>IF(+J96&lt;F121,J96,D122)</f>
        <v>417868.39024390245</v>
      </c>
      <c r="F122" s="523">
        <f t="shared" si="29"/>
        <v>7264832.7496792451</v>
      </c>
      <c r="G122" s="523">
        <f t="shared" si="30"/>
        <v>7473766.9448011965</v>
      </c>
      <c r="H122" s="526">
        <f t="shared" si="31"/>
        <v>1266247.2630661344</v>
      </c>
      <c r="I122" s="577">
        <f t="shared" si="32"/>
        <v>1266247.2630661344</v>
      </c>
      <c r="J122" s="514">
        <f t="shared" si="20"/>
        <v>0</v>
      </c>
      <c r="K122" s="514"/>
      <c r="L122" s="525"/>
      <c r="M122" s="514">
        <f t="shared" si="21"/>
        <v>0</v>
      </c>
      <c r="N122" s="525"/>
      <c r="O122" s="514">
        <f t="shared" si="22"/>
        <v>0</v>
      </c>
      <c r="P122" s="514">
        <f t="shared" si="23"/>
        <v>0</v>
      </c>
    </row>
    <row r="123" spans="2:16">
      <c r="B123" s="195" t="str">
        <f t="shared" si="24"/>
        <v/>
      </c>
      <c r="C123" s="507">
        <f>IF(D93="","-",+C122+1)</f>
        <v>2041</v>
      </c>
      <c r="D123" s="374">
        <f>IF(F122+SUM(E$99:E122)=D$92,F122,D$92-SUM(E$99:E122))</f>
        <v>7264832.7496792451</v>
      </c>
      <c r="E123" s="522">
        <f>IF(+J96&lt;F122,J96,D123)</f>
        <v>417868.39024390245</v>
      </c>
      <c r="F123" s="523">
        <f t="shared" si="29"/>
        <v>6846964.3594353423</v>
      </c>
      <c r="G123" s="523">
        <f t="shared" si="30"/>
        <v>7055898.5545572937</v>
      </c>
      <c r="H123" s="526">
        <f t="shared" si="31"/>
        <v>1218813.256022369</v>
      </c>
      <c r="I123" s="577">
        <f t="shared" si="32"/>
        <v>1218813.256022369</v>
      </c>
      <c r="J123" s="514">
        <f t="shared" si="20"/>
        <v>0</v>
      </c>
      <c r="K123" s="514"/>
      <c r="L123" s="525"/>
      <c r="M123" s="514">
        <f t="shared" si="21"/>
        <v>0</v>
      </c>
      <c r="N123" s="525"/>
      <c r="O123" s="514">
        <f t="shared" si="22"/>
        <v>0</v>
      </c>
      <c r="P123" s="514">
        <f t="shared" si="23"/>
        <v>0</v>
      </c>
    </row>
    <row r="124" spans="2:16">
      <c r="B124" s="195" t="str">
        <f t="shared" si="24"/>
        <v/>
      </c>
      <c r="C124" s="507">
        <f>IF(D93="","-",+C123+1)</f>
        <v>2042</v>
      </c>
      <c r="D124" s="374">
        <f>IF(F123+SUM(E$99:E123)=D$92,F123,D$92-SUM(E$99:E123))</f>
        <v>6846964.3594353423</v>
      </c>
      <c r="E124" s="522">
        <f>IF(+J96&lt;F123,J96,D124)</f>
        <v>417868.39024390245</v>
      </c>
      <c r="F124" s="523">
        <f t="shared" si="29"/>
        <v>6429095.9691914394</v>
      </c>
      <c r="G124" s="523">
        <f t="shared" si="30"/>
        <v>6638030.1643133909</v>
      </c>
      <c r="H124" s="526">
        <f t="shared" si="31"/>
        <v>1171379.2489786032</v>
      </c>
      <c r="I124" s="577">
        <f t="shared" si="32"/>
        <v>1171379.2489786032</v>
      </c>
      <c r="J124" s="514">
        <f t="shared" si="20"/>
        <v>0</v>
      </c>
      <c r="K124" s="514"/>
      <c r="L124" s="525"/>
      <c r="M124" s="514">
        <f t="shared" si="21"/>
        <v>0</v>
      </c>
      <c r="N124" s="525"/>
      <c r="O124" s="514">
        <f t="shared" si="22"/>
        <v>0</v>
      </c>
      <c r="P124" s="514">
        <f t="shared" si="23"/>
        <v>0</v>
      </c>
    </row>
    <row r="125" spans="2:16">
      <c r="B125" s="195" t="str">
        <f t="shared" si="24"/>
        <v/>
      </c>
      <c r="C125" s="507">
        <f>IF(D93="","-",+C124+1)</f>
        <v>2043</v>
      </c>
      <c r="D125" s="374">
        <f>IF(F124+SUM(E$99:E124)=D$92,F124,D$92-SUM(E$99:E124))</f>
        <v>6429095.9691914394</v>
      </c>
      <c r="E125" s="522">
        <f>IF(+J96&lt;F124,J96,D125)</f>
        <v>417868.39024390245</v>
      </c>
      <c r="F125" s="523">
        <f t="shared" si="29"/>
        <v>6011227.5789475366</v>
      </c>
      <c r="G125" s="523">
        <f t="shared" si="30"/>
        <v>6220161.774069488</v>
      </c>
      <c r="H125" s="526">
        <f t="shared" si="31"/>
        <v>1123945.2419348375</v>
      </c>
      <c r="I125" s="577">
        <f t="shared" si="32"/>
        <v>1123945.2419348375</v>
      </c>
      <c r="J125" s="514">
        <f t="shared" si="20"/>
        <v>0</v>
      </c>
      <c r="K125" s="514"/>
      <c r="L125" s="525"/>
      <c r="M125" s="514">
        <f t="shared" si="21"/>
        <v>0</v>
      </c>
      <c r="N125" s="525"/>
      <c r="O125" s="514">
        <f t="shared" si="22"/>
        <v>0</v>
      </c>
      <c r="P125" s="514">
        <f t="shared" si="23"/>
        <v>0</v>
      </c>
    </row>
    <row r="126" spans="2:16">
      <c r="B126" s="195" t="str">
        <f t="shared" si="24"/>
        <v/>
      </c>
      <c r="C126" s="507">
        <f>IF(D93="","-",+C125+1)</f>
        <v>2044</v>
      </c>
      <c r="D126" s="374">
        <f>IF(F125+SUM(E$99:E125)=D$92,F125,D$92-SUM(E$99:E125))</f>
        <v>6011227.5789475366</v>
      </c>
      <c r="E126" s="522">
        <f>IF(+J96&lt;F125,J96,D126)</f>
        <v>417868.39024390245</v>
      </c>
      <c r="F126" s="523">
        <f t="shared" si="29"/>
        <v>5593359.1887036338</v>
      </c>
      <c r="G126" s="523">
        <f t="shared" si="30"/>
        <v>5802293.3838255852</v>
      </c>
      <c r="H126" s="526">
        <f t="shared" si="31"/>
        <v>1076511.2348910719</v>
      </c>
      <c r="I126" s="577">
        <f t="shared" si="32"/>
        <v>1076511.2348910719</v>
      </c>
      <c r="J126" s="514">
        <f t="shared" si="20"/>
        <v>0</v>
      </c>
      <c r="K126" s="514"/>
      <c r="L126" s="525"/>
      <c r="M126" s="514">
        <f t="shared" si="21"/>
        <v>0</v>
      </c>
      <c r="N126" s="525"/>
      <c r="O126" s="514">
        <f t="shared" si="22"/>
        <v>0</v>
      </c>
      <c r="P126" s="514">
        <f t="shared" si="23"/>
        <v>0</v>
      </c>
    </row>
    <row r="127" spans="2:16">
      <c r="B127" s="195" t="str">
        <f t="shared" si="24"/>
        <v/>
      </c>
      <c r="C127" s="507">
        <f>IF(D93="","-",+C126+1)</f>
        <v>2045</v>
      </c>
      <c r="D127" s="374">
        <f>IF(F126+SUM(E$99:E126)=D$92,F126,D$92-SUM(E$99:E126))</f>
        <v>5593359.1887036338</v>
      </c>
      <c r="E127" s="522">
        <f>IF(+J96&lt;F126,J96,D127)</f>
        <v>417868.39024390245</v>
      </c>
      <c r="F127" s="523">
        <f t="shared" si="29"/>
        <v>5175490.798459731</v>
      </c>
      <c r="G127" s="523">
        <f t="shared" si="30"/>
        <v>5384424.9935816824</v>
      </c>
      <c r="H127" s="526">
        <f t="shared" si="31"/>
        <v>1029077.2278473063</v>
      </c>
      <c r="I127" s="577">
        <f t="shared" si="32"/>
        <v>1029077.2278473063</v>
      </c>
      <c r="J127" s="514">
        <f t="shared" si="20"/>
        <v>0</v>
      </c>
      <c r="K127" s="514"/>
      <c r="L127" s="525"/>
      <c r="M127" s="514">
        <f t="shared" si="21"/>
        <v>0</v>
      </c>
      <c r="N127" s="525"/>
      <c r="O127" s="514">
        <f t="shared" si="22"/>
        <v>0</v>
      </c>
      <c r="P127" s="514">
        <f t="shared" si="23"/>
        <v>0</v>
      </c>
    </row>
    <row r="128" spans="2:16">
      <c r="B128" s="195" t="str">
        <f t="shared" si="24"/>
        <v/>
      </c>
      <c r="C128" s="507">
        <f>IF(D93="","-",+C127+1)</f>
        <v>2046</v>
      </c>
      <c r="D128" s="374">
        <f>IF(F127+SUM(E$99:E127)=D$92,F127,D$92-SUM(E$99:E127))</f>
        <v>5175490.798459731</v>
      </c>
      <c r="E128" s="522">
        <f>IF(+J96&lt;F127,J96,D128)</f>
        <v>417868.39024390245</v>
      </c>
      <c r="F128" s="523">
        <f t="shared" si="29"/>
        <v>4757622.4082158282</v>
      </c>
      <c r="G128" s="523">
        <f t="shared" si="30"/>
        <v>4966556.6033377796</v>
      </c>
      <c r="H128" s="526">
        <f t="shared" si="31"/>
        <v>981643.22080354055</v>
      </c>
      <c r="I128" s="577">
        <f t="shared" si="32"/>
        <v>981643.22080354055</v>
      </c>
      <c r="J128" s="514">
        <f t="shared" si="20"/>
        <v>0</v>
      </c>
      <c r="K128" s="514"/>
      <c r="L128" s="525"/>
      <c r="M128" s="514">
        <f t="shared" si="21"/>
        <v>0</v>
      </c>
      <c r="N128" s="525"/>
      <c r="O128" s="514">
        <f t="shared" si="22"/>
        <v>0</v>
      </c>
      <c r="P128" s="514">
        <f t="shared" si="23"/>
        <v>0</v>
      </c>
    </row>
    <row r="129" spans="2:16">
      <c r="B129" s="195" t="str">
        <f t="shared" si="24"/>
        <v/>
      </c>
      <c r="C129" s="507">
        <f>IF(D93="","-",+C128+1)</f>
        <v>2047</v>
      </c>
      <c r="D129" s="374">
        <f>IF(F128+SUM(E$99:E128)=D$92,F128,D$92-SUM(E$99:E128))</f>
        <v>4757622.4082158282</v>
      </c>
      <c r="E129" s="522">
        <f>IF(+J96&lt;F128,J96,D129)</f>
        <v>417868.39024390245</v>
      </c>
      <c r="F129" s="523">
        <f t="shared" si="29"/>
        <v>4339754.0179719254</v>
      </c>
      <c r="G129" s="523">
        <f t="shared" si="30"/>
        <v>4548688.2130938768</v>
      </c>
      <c r="H129" s="526">
        <f t="shared" si="31"/>
        <v>934209.21375977492</v>
      </c>
      <c r="I129" s="577">
        <f t="shared" si="32"/>
        <v>934209.21375977492</v>
      </c>
      <c r="J129" s="514">
        <f t="shared" si="20"/>
        <v>0</v>
      </c>
      <c r="K129" s="514"/>
      <c r="L129" s="525"/>
      <c r="M129" s="514">
        <f t="shared" si="21"/>
        <v>0</v>
      </c>
      <c r="N129" s="525"/>
      <c r="O129" s="514">
        <f t="shared" si="22"/>
        <v>0</v>
      </c>
      <c r="P129" s="514">
        <f t="shared" si="23"/>
        <v>0</v>
      </c>
    </row>
    <row r="130" spans="2:16">
      <c r="B130" s="195" t="str">
        <f t="shared" si="24"/>
        <v/>
      </c>
      <c r="C130" s="507">
        <f>IF(D93="","-",+C129+1)</f>
        <v>2048</v>
      </c>
      <c r="D130" s="374">
        <f>IF(F129+SUM(E$99:E129)=D$92,F129,D$92-SUM(E$99:E129))</f>
        <v>4339754.0179719254</v>
      </c>
      <c r="E130" s="522">
        <f>IF(+J96&lt;F129,J96,D130)</f>
        <v>417868.39024390245</v>
      </c>
      <c r="F130" s="523">
        <f t="shared" si="29"/>
        <v>3921885.6277280231</v>
      </c>
      <c r="G130" s="523">
        <f t="shared" si="30"/>
        <v>4130819.822849974</v>
      </c>
      <c r="H130" s="526">
        <f t="shared" si="31"/>
        <v>886775.2067160093</v>
      </c>
      <c r="I130" s="577">
        <f t="shared" si="32"/>
        <v>886775.2067160093</v>
      </c>
      <c r="J130" s="514">
        <f t="shared" si="20"/>
        <v>0</v>
      </c>
      <c r="K130" s="514"/>
      <c r="L130" s="525"/>
      <c r="M130" s="514">
        <f t="shared" si="21"/>
        <v>0</v>
      </c>
      <c r="N130" s="525"/>
      <c r="O130" s="514">
        <f t="shared" si="22"/>
        <v>0</v>
      </c>
      <c r="P130" s="514">
        <f t="shared" si="23"/>
        <v>0</v>
      </c>
    </row>
    <row r="131" spans="2:16">
      <c r="B131" s="195" t="str">
        <f t="shared" si="24"/>
        <v/>
      </c>
      <c r="C131" s="507">
        <f>IF(D93="","-",+C130+1)</f>
        <v>2049</v>
      </c>
      <c r="D131" s="374">
        <f>IF(F130+SUM(E$99:E130)=D$92,F130,D$92-SUM(E$99:E130))</f>
        <v>3921885.6277280231</v>
      </c>
      <c r="E131" s="522">
        <f>IF(+J96&lt;F130,J96,D131)</f>
        <v>417868.39024390245</v>
      </c>
      <c r="F131" s="523">
        <f t="shared" si="29"/>
        <v>3504017.2374841208</v>
      </c>
      <c r="G131" s="523">
        <f t="shared" si="30"/>
        <v>3712951.4326060722</v>
      </c>
      <c r="H131" s="526">
        <f t="shared" si="31"/>
        <v>839341.19967224379</v>
      </c>
      <c r="I131" s="577">
        <f t="shared" si="32"/>
        <v>839341.19967224379</v>
      </c>
      <c r="J131" s="514">
        <f t="shared" ref="J131:J154" si="33">+I541-H541</f>
        <v>0</v>
      </c>
      <c r="K131" s="514"/>
      <c r="L131" s="525"/>
      <c r="M131" s="514">
        <f t="shared" ref="M131:M154" si="34">IF(L541&lt;&gt;0,+H541-L541,0)</f>
        <v>0</v>
      </c>
      <c r="N131" s="525"/>
      <c r="O131" s="514">
        <f t="shared" ref="O131:O154" si="35">IF(N541&lt;&gt;0,+I541-N541,0)</f>
        <v>0</v>
      </c>
      <c r="P131" s="514">
        <f t="shared" ref="P131:P154" si="36">+O541-M541</f>
        <v>0</v>
      </c>
    </row>
    <row r="132" spans="2:16">
      <c r="B132" s="195" t="str">
        <f t="shared" si="24"/>
        <v/>
      </c>
      <c r="C132" s="507">
        <f>IF(D93="","-",+C131+1)</f>
        <v>2050</v>
      </c>
      <c r="D132" s="374">
        <f>IF(F131+SUM(E$99:E131)=D$92,F131,D$92-SUM(E$99:E131))</f>
        <v>3504017.2374841208</v>
      </c>
      <c r="E132" s="522">
        <f>IF(+J96&lt;F131,J96,D132)</f>
        <v>417868.39024390245</v>
      </c>
      <c r="F132" s="523">
        <f t="shared" si="29"/>
        <v>3086148.8472402184</v>
      </c>
      <c r="G132" s="523">
        <f t="shared" si="30"/>
        <v>3295083.0423621694</v>
      </c>
      <c r="H132" s="526">
        <f t="shared" si="31"/>
        <v>791907.19262847817</v>
      </c>
      <c r="I132" s="577">
        <f t="shared" si="32"/>
        <v>791907.19262847817</v>
      </c>
      <c r="J132" s="514">
        <f t="shared" si="33"/>
        <v>0</v>
      </c>
      <c r="K132" s="514"/>
      <c r="L132" s="525"/>
      <c r="M132" s="514">
        <f t="shared" si="34"/>
        <v>0</v>
      </c>
      <c r="N132" s="525"/>
      <c r="O132" s="514">
        <f t="shared" si="35"/>
        <v>0</v>
      </c>
      <c r="P132" s="514">
        <f t="shared" si="36"/>
        <v>0</v>
      </c>
    </row>
    <row r="133" spans="2:16">
      <c r="B133" s="195" t="str">
        <f t="shared" si="24"/>
        <v/>
      </c>
      <c r="C133" s="507">
        <f>IF(D93="","-",+C132+1)</f>
        <v>2051</v>
      </c>
      <c r="D133" s="374">
        <f>IF(F132+SUM(E$99:E132)=D$92,F132,D$92-SUM(E$99:E132))</f>
        <v>3086148.8472402184</v>
      </c>
      <c r="E133" s="522">
        <f>IF(+J96&lt;F132,J96,D133)</f>
        <v>417868.39024390245</v>
      </c>
      <c r="F133" s="523">
        <f t="shared" si="29"/>
        <v>2668280.4569963161</v>
      </c>
      <c r="G133" s="523">
        <f t="shared" si="30"/>
        <v>2877214.6521182675</v>
      </c>
      <c r="H133" s="526">
        <f t="shared" si="31"/>
        <v>744473.18558471254</v>
      </c>
      <c r="I133" s="577">
        <f t="shared" si="32"/>
        <v>744473.18558471254</v>
      </c>
      <c r="J133" s="514">
        <f t="shared" si="33"/>
        <v>0</v>
      </c>
      <c r="K133" s="514"/>
      <c r="L133" s="525"/>
      <c r="M133" s="514">
        <f t="shared" si="34"/>
        <v>0</v>
      </c>
      <c r="N133" s="525"/>
      <c r="O133" s="514">
        <f t="shared" si="35"/>
        <v>0</v>
      </c>
      <c r="P133" s="514">
        <f t="shared" si="36"/>
        <v>0</v>
      </c>
    </row>
    <row r="134" spans="2:16">
      <c r="B134" s="195" t="str">
        <f t="shared" si="24"/>
        <v/>
      </c>
      <c r="C134" s="507">
        <f>IF(D93="","-",+C133+1)</f>
        <v>2052</v>
      </c>
      <c r="D134" s="374">
        <f>IF(F133+SUM(E$99:E133)=D$92,F133,D$92-SUM(E$99:E133))</f>
        <v>2668280.4569963161</v>
      </c>
      <c r="E134" s="522">
        <f>IF(+J96&lt;F133,J96,D134)</f>
        <v>417868.39024390245</v>
      </c>
      <c r="F134" s="523">
        <f t="shared" si="29"/>
        <v>2250412.0667524138</v>
      </c>
      <c r="G134" s="523">
        <f t="shared" si="30"/>
        <v>2459346.2618743647</v>
      </c>
      <c r="H134" s="526">
        <f t="shared" si="31"/>
        <v>697039.17854094692</v>
      </c>
      <c r="I134" s="577">
        <f t="shared" si="32"/>
        <v>697039.17854094692</v>
      </c>
      <c r="J134" s="514">
        <f t="shared" si="33"/>
        <v>0</v>
      </c>
      <c r="K134" s="514"/>
      <c r="L134" s="525"/>
      <c r="M134" s="514">
        <f t="shared" si="34"/>
        <v>0</v>
      </c>
      <c r="N134" s="525"/>
      <c r="O134" s="514">
        <f t="shared" si="35"/>
        <v>0</v>
      </c>
      <c r="P134" s="514">
        <f t="shared" si="36"/>
        <v>0</v>
      </c>
    </row>
    <row r="135" spans="2:16">
      <c r="B135" s="195" t="str">
        <f t="shared" si="24"/>
        <v/>
      </c>
      <c r="C135" s="507">
        <f>IF(D93="","-",+C134+1)</f>
        <v>2053</v>
      </c>
      <c r="D135" s="374">
        <f>IF(F134+SUM(E$99:E134)=D$92,F134,D$92-SUM(E$99:E134))</f>
        <v>2250412.0667524138</v>
      </c>
      <c r="E135" s="522">
        <f>IF(+J96&lt;F134,J96,D135)</f>
        <v>417868.39024390245</v>
      </c>
      <c r="F135" s="523">
        <f t="shared" si="29"/>
        <v>1832543.6765085114</v>
      </c>
      <c r="G135" s="523">
        <f t="shared" si="30"/>
        <v>2041477.8716304626</v>
      </c>
      <c r="H135" s="526">
        <f t="shared" si="31"/>
        <v>649605.17149718129</v>
      </c>
      <c r="I135" s="577">
        <f t="shared" si="32"/>
        <v>649605.17149718129</v>
      </c>
      <c r="J135" s="514">
        <f t="shared" si="33"/>
        <v>0</v>
      </c>
      <c r="K135" s="514"/>
      <c r="L135" s="525"/>
      <c r="M135" s="514">
        <f t="shared" si="34"/>
        <v>0</v>
      </c>
      <c r="N135" s="525"/>
      <c r="O135" s="514">
        <f t="shared" si="35"/>
        <v>0</v>
      </c>
      <c r="P135" s="514">
        <f t="shared" si="36"/>
        <v>0</v>
      </c>
    </row>
    <row r="136" spans="2:16">
      <c r="B136" s="195" t="str">
        <f t="shared" si="24"/>
        <v/>
      </c>
      <c r="C136" s="507">
        <f>IF(D93="","-",+C135+1)</f>
        <v>2054</v>
      </c>
      <c r="D136" s="374">
        <f>IF(F135+SUM(E$99:E135)=D$92,F135,D$92-SUM(E$99:E135))</f>
        <v>1832543.6765085114</v>
      </c>
      <c r="E136" s="522">
        <f>IF(+J96&lt;F135,J96,D136)</f>
        <v>417868.39024390245</v>
      </c>
      <c r="F136" s="523">
        <f t="shared" si="29"/>
        <v>1414675.2862646091</v>
      </c>
      <c r="G136" s="523">
        <f t="shared" si="30"/>
        <v>1623609.4813865602</v>
      </c>
      <c r="H136" s="526">
        <f t="shared" si="31"/>
        <v>602171.16445341567</v>
      </c>
      <c r="I136" s="577">
        <f t="shared" si="32"/>
        <v>602171.16445341567</v>
      </c>
      <c r="J136" s="514">
        <f t="shared" si="33"/>
        <v>0</v>
      </c>
      <c r="K136" s="514"/>
      <c r="L136" s="525"/>
      <c r="M136" s="514">
        <f t="shared" si="34"/>
        <v>0</v>
      </c>
      <c r="N136" s="525"/>
      <c r="O136" s="514">
        <f t="shared" si="35"/>
        <v>0</v>
      </c>
      <c r="P136" s="514">
        <f t="shared" si="36"/>
        <v>0</v>
      </c>
    </row>
    <row r="137" spans="2:16">
      <c r="B137" s="195" t="str">
        <f t="shared" si="24"/>
        <v/>
      </c>
      <c r="C137" s="507">
        <f>IF(D93="","-",+C136+1)</f>
        <v>2055</v>
      </c>
      <c r="D137" s="374">
        <f>IF(F136+SUM(E$99:E136)=D$92,F136,D$92-SUM(E$99:E136))</f>
        <v>1414675.2862646091</v>
      </c>
      <c r="E137" s="522">
        <f>IF(+J96&lt;F136,J96,D137)</f>
        <v>417868.39024390245</v>
      </c>
      <c r="F137" s="523">
        <f t="shared" si="29"/>
        <v>996806.89602070663</v>
      </c>
      <c r="G137" s="523">
        <f t="shared" si="30"/>
        <v>1205741.0911426579</v>
      </c>
      <c r="H137" s="526">
        <f t="shared" si="31"/>
        <v>554737.15740965016</v>
      </c>
      <c r="I137" s="577">
        <f t="shared" si="32"/>
        <v>554737.15740965016</v>
      </c>
      <c r="J137" s="514">
        <f t="shared" si="33"/>
        <v>0</v>
      </c>
      <c r="K137" s="514"/>
      <c r="L137" s="525"/>
      <c r="M137" s="514">
        <f t="shared" si="34"/>
        <v>0</v>
      </c>
      <c r="N137" s="525"/>
      <c r="O137" s="514">
        <f t="shared" si="35"/>
        <v>0</v>
      </c>
      <c r="P137" s="514">
        <f t="shared" si="36"/>
        <v>0</v>
      </c>
    </row>
    <row r="138" spans="2:16">
      <c r="B138" s="195" t="str">
        <f t="shared" si="24"/>
        <v/>
      </c>
      <c r="C138" s="507">
        <f>IF(D93="","-",+C137+1)</f>
        <v>2056</v>
      </c>
      <c r="D138" s="374">
        <f>IF(F137+SUM(E$99:E137)=D$92,F137,D$92-SUM(E$99:E137))</f>
        <v>996806.89602070663</v>
      </c>
      <c r="E138" s="522">
        <f>IF(+J96&lt;F137,J96,D138)</f>
        <v>417868.39024390245</v>
      </c>
      <c r="F138" s="523">
        <f t="shared" si="29"/>
        <v>578938.50577680417</v>
      </c>
      <c r="G138" s="523">
        <f t="shared" si="30"/>
        <v>787872.70089875534</v>
      </c>
      <c r="H138" s="526">
        <f t="shared" si="31"/>
        <v>507303.15036588453</v>
      </c>
      <c r="I138" s="577">
        <f t="shared" si="32"/>
        <v>507303.15036588453</v>
      </c>
      <c r="J138" s="514">
        <f t="shared" si="33"/>
        <v>0</v>
      </c>
      <c r="K138" s="514"/>
      <c r="L138" s="525"/>
      <c r="M138" s="514">
        <f t="shared" si="34"/>
        <v>0</v>
      </c>
      <c r="N138" s="525"/>
      <c r="O138" s="514">
        <f t="shared" si="35"/>
        <v>0</v>
      </c>
      <c r="P138" s="514">
        <f t="shared" si="36"/>
        <v>0</v>
      </c>
    </row>
    <row r="139" spans="2:16">
      <c r="B139" s="195" t="str">
        <f t="shared" si="24"/>
        <v/>
      </c>
      <c r="C139" s="507">
        <f>IF(D93="","-",+C138+1)</f>
        <v>2057</v>
      </c>
      <c r="D139" s="374">
        <f>IF(F138+SUM(E$99:E138)=D$92,F138,D$92-SUM(E$99:E138))</f>
        <v>578938.50577680417</v>
      </c>
      <c r="E139" s="522">
        <f>IF(+J96&lt;F138,J96,D139)</f>
        <v>417868.39024390245</v>
      </c>
      <c r="F139" s="523">
        <f t="shared" si="29"/>
        <v>161070.11553290172</v>
      </c>
      <c r="G139" s="523">
        <f t="shared" si="30"/>
        <v>370004.31065485295</v>
      </c>
      <c r="H139" s="526">
        <f t="shared" si="31"/>
        <v>459869.14332211891</v>
      </c>
      <c r="I139" s="577">
        <f t="shared" si="32"/>
        <v>459869.14332211891</v>
      </c>
      <c r="J139" s="514">
        <f t="shared" si="33"/>
        <v>0</v>
      </c>
      <c r="K139" s="514"/>
      <c r="L139" s="525"/>
      <c r="M139" s="514">
        <f t="shared" si="34"/>
        <v>0</v>
      </c>
      <c r="N139" s="525"/>
      <c r="O139" s="514">
        <f t="shared" si="35"/>
        <v>0</v>
      </c>
      <c r="P139" s="514">
        <f t="shared" si="36"/>
        <v>0</v>
      </c>
    </row>
    <row r="140" spans="2:16">
      <c r="B140" s="195" t="str">
        <f t="shared" si="24"/>
        <v/>
      </c>
      <c r="C140" s="507">
        <f>IF(D93="","-",+C139+1)</f>
        <v>2058</v>
      </c>
      <c r="D140" s="374">
        <f>IF(F139+SUM(E$99:E139)=D$92,F139,D$92-SUM(E$99:E139))</f>
        <v>161070.11553290172</v>
      </c>
      <c r="E140" s="522">
        <f>IF(+J96&lt;F139,J96,D140)</f>
        <v>161070.11553290172</v>
      </c>
      <c r="F140" s="523">
        <f t="shared" si="29"/>
        <v>0</v>
      </c>
      <c r="G140" s="523">
        <f t="shared" si="30"/>
        <v>80535.05776645086</v>
      </c>
      <c r="H140" s="526">
        <f t="shared" si="31"/>
        <v>170211.99031106854</v>
      </c>
      <c r="I140" s="577">
        <f t="shared" si="32"/>
        <v>170211.99031106854</v>
      </c>
      <c r="J140" s="514">
        <f t="shared" si="33"/>
        <v>0</v>
      </c>
      <c r="K140" s="514"/>
      <c r="L140" s="525"/>
      <c r="M140" s="514">
        <f t="shared" si="34"/>
        <v>0</v>
      </c>
      <c r="N140" s="525"/>
      <c r="O140" s="514">
        <f t="shared" si="35"/>
        <v>0</v>
      </c>
      <c r="P140" s="514">
        <f t="shared" si="36"/>
        <v>0</v>
      </c>
    </row>
    <row r="141" spans="2:16">
      <c r="B141" s="195" t="str">
        <f t="shared" si="24"/>
        <v/>
      </c>
      <c r="C141" s="507">
        <f>IF(D93="","-",+C140+1)</f>
        <v>2059</v>
      </c>
      <c r="D141" s="374">
        <f>IF(F140+SUM(E$99:E140)=D$92,F140,D$92-SUM(E$99:E140))</f>
        <v>0</v>
      </c>
      <c r="E141" s="522">
        <f>IF(+J96&lt;F140,J96,D141)</f>
        <v>0</v>
      </c>
      <c r="F141" s="523">
        <f t="shared" si="29"/>
        <v>0</v>
      </c>
      <c r="G141" s="523">
        <f t="shared" si="30"/>
        <v>0</v>
      </c>
      <c r="H141" s="526">
        <f t="shared" si="31"/>
        <v>0</v>
      </c>
      <c r="I141" s="577">
        <f t="shared" si="32"/>
        <v>0</v>
      </c>
      <c r="J141" s="514">
        <f t="shared" si="33"/>
        <v>0</v>
      </c>
      <c r="K141" s="514"/>
      <c r="L141" s="525"/>
      <c r="M141" s="514">
        <f t="shared" si="34"/>
        <v>0</v>
      </c>
      <c r="N141" s="525"/>
      <c r="O141" s="514">
        <f t="shared" si="35"/>
        <v>0</v>
      </c>
      <c r="P141" s="514">
        <f t="shared" si="36"/>
        <v>0</v>
      </c>
    </row>
    <row r="142" spans="2:16">
      <c r="B142" s="195" t="str">
        <f t="shared" si="24"/>
        <v/>
      </c>
      <c r="C142" s="507">
        <f>IF(D93="","-",+C141+1)</f>
        <v>2060</v>
      </c>
      <c r="D142" s="374">
        <f>IF(F141+SUM(E$99:E141)=D$92,F141,D$92-SUM(E$99:E141))</f>
        <v>0</v>
      </c>
      <c r="E142" s="522">
        <f>IF(+J96&lt;F141,J96,D142)</f>
        <v>0</v>
      </c>
      <c r="F142" s="523">
        <f t="shared" si="29"/>
        <v>0</v>
      </c>
      <c r="G142" s="523">
        <f t="shared" si="30"/>
        <v>0</v>
      </c>
      <c r="H142" s="526">
        <f t="shared" si="31"/>
        <v>0</v>
      </c>
      <c r="I142" s="577">
        <f t="shared" si="32"/>
        <v>0</v>
      </c>
      <c r="J142" s="514">
        <f t="shared" si="33"/>
        <v>0</v>
      </c>
      <c r="K142" s="514"/>
      <c r="L142" s="525"/>
      <c r="M142" s="514">
        <f t="shared" si="34"/>
        <v>0</v>
      </c>
      <c r="N142" s="525"/>
      <c r="O142" s="514">
        <f t="shared" si="35"/>
        <v>0</v>
      </c>
      <c r="P142" s="514">
        <f t="shared" si="36"/>
        <v>0</v>
      </c>
    </row>
    <row r="143" spans="2:16">
      <c r="B143" s="195" t="str">
        <f t="shared" si="24"/>
        <v/>
      </c>
      <c r="C143" s="507">
        <f>IF(D93="","-",+C142+1)</f>
        <v>2061</v>
      </c>
      <c r="D143" s="374">
        <f>IF(F142+SUM(E$99:E142)=D$92,F142,D$92-SUM(E$99:E142))</f>
        <v>0</v>
      </c>
      <c r="E143" s="522">
        <f>IF(+J96&lt;F142,J96,D143)</f>
        <v>0</v>
      </c>
      <c r="F143" s="523">
        <f t="shared" si="29"/>
        <v>0</v>
      </c>
      <c r="G143" s="523">
        <f t="shared" si="30"/>
        <v>0</v>
      </c>
      <c r="H143" s="526">
        <f t="shared" si="31"/>
        <v>0</v>
      </c>
      <c r="I143" s="577">
        <f t="shared" si="32"/>
        <v>0</v>
      </c>
      <c r="J143" s="514">
        <f t="shared" si="33"/>
        <v>0</v>
      </c>
      <c r="K143" s="514"/>
      <c r="L143" s="525"/>
      <c r="M143" s="514">
        <f t="shared" si="34"/>
        <v>0</v>
      </c>
      <c r="N143" s="525"/>
      <c r="O143" s="514">
        <f t="shared" si="35"/>
        <v>0</v>
      </c>
      <c r="P143" s="514">
        <f t="shared" si="36"/>
        <v>0</v>
      </c>
    </row>
    <row r="144" spans="2:16">
      <c r="B144" s="195" t="str">
        <f t="shared" si="24"/>
        <v/>
      </c>
      <c r="C144" s="507">
        <f>IF(D93="","-",+C143+1)</f>
        <v>2062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29"/>
        <v>0</v>
      </c>
      <c r="G144" s="523">
        <f t="shared" si="30"/>
        <v>0</v>
      </c>
      <c r="H144" s="526">
        <f t="shared" si="31"/>
        <v>0</v>
      </c>
      <c r="I144" s="577">
        <f t="shared" si="32"/>
        <v>0</v>
      </c>
      <c r="J144" s="514">
        <f t="shared" si="33"/>
        <v>0</v>
      </c>
      <c r="K144" s="514"/>
      <c r="L144" s="525"/>
      <c r="M144" s="514">
        <f t="shared" si="34"/>
        <v>0</v>
      </c>
      <c r="N144" s="525"/>
      <c r="O144" s="514">
        <f t="shared" si="35"/>
        <v>0</v>
      </c>
      <c r="P144" s="514">
        <f t="shared" si="36"/>
        <v>0</v>
      </c>
    </row>
    <row r="145" spans="2:16">
      <c r="B145" s="195" t="str">
        <f t="shared" si="24"/>
        <v/>
      </c>
      <c r="C145" s="507">
        <f>IF(D93="","-",+C144+1)</f>
        <v>2063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29"/>
        <v>0</v>
      </c>
      <c r="G145" s="523">
        <f t="shared" si="30"/>
        <v>0</v>
      </c>
      <c r="H145" s="526">
        <f t="shared" si="31"/>
        <v>0</v>
      </c>
      <c r="I145" s="577">
        <f t="shared" si="32"/>
        <v>0</v>
      </c>
      <c r="J145" s="514">
        <f t="shared" si="33"/>
        <v>0</v>
      </c>
      <c r="K145" s="514"/>
      <c r="L145" s="525"/>
      <c r="M145" s="514">
        <f t="shared" si="34"/>
        <v>0</v>
      </c>
      <c r="N145" s="525"/>
      <c r="O145" s="514">
        <f t="shared" si="35"/>
        <v>0</v>
      </c>
      <c r="P145" s="514">
        <f t="shared" si="36"/>
        <v>0</v>
      </c>
    </row>
    <row r="146" spans="2:16">
      <c r="B146" s="195" t="str">
        <f t="shared" si="24"/>
        <v/>
      </c>
      <c r="C146" s="507">
        <f>IF(D93="","-",+C145+1)</f>
        <v>2064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29"/>
        <v>0</v>
      </c>
      <c r="G146" s="523">
        <f t="shared" si="30"/>
        <v>0</v>
      </c>
      <c r="H146" s="526">
        <f t="shared" si="31"/>
        <v>0</v>
      </c>
      <c r="I146" s="577">
        <f t="shared" si="32"/>
        <v>0</v>
      </c>
      <c r="J146" s="514">
        <f t="shared" si="33"/>
        <v>0</v>
      </c>
      <c r="K146" s="514"/>
      <c r="L146" s="525"/>
      <c r="M146" s="514">
        <f t="shared" si="34"/>
        <v>0</v>
      </c>
      <c r="N146" s="525"/>
      <c r="O146" s="514">
        <f t="shared" si="35"/>
        <v>0</v>
      </c>
      <c r="P146" s="514">
        <f t="shared" si="36"/>
        <v>0</v>
      </c>
    </row>
    <row r="147" spans="2:16">
      <c r="B147" s="195" t="str">
        <f t="shared" si="24"/>
        <v/>
      </c>
      <c r="C147" s="507">
        <f>IF(D93="","-",+C146+1)</f>
        <v>2065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29"/>
        <v>0</v>
      </c>
      <c r="G147" s="523">
        <f t="shared" si="30"/>
        <v>0</v>
      </c>
      <c r="H147" s="526">
        <f t="shared" si="31"/>
        <v>0</v>
      </c>
      <c r="I147" s="577">
        <f t="shared" si="32"/>
        <v>0</v>
      </c>
      <c r="J147" s="514">
        <f t="shared" si="33"/>
        <v>0</v>
      </c>
      <c r="K147" s="514"/>
      <c r="L147" s="525"/>
      <c r="M147" s="514">
        <f t="shared" si="34"/>
        <v>0</v>
      </c>
      <c r="N147" s="525"/>
      <c r="O147" s="514">
        <f t="shared" si="35"/>
        <v>0</v>
      </c>
      <c r="P147" s="514">
        <f t="shared" si="36"/>
        <v>0</v>
      </c>
    </row>
    <row r="148" spans="2:16">
      <c r="B148" s="195" t="str">
        <f t="shared" si="24"/>
        <v/>
      </c>
      <c r="C148" s="507">
        <f>IF(D93="","-",+C147+1)</f>
        <v>2066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29"/>
        <v>0</v>
      </c>
      <c r="G148" s="523">
        <f t="shared" si="30"/>
        <v>0</v>
      </c>
      <c r="H148" s="526">
        <f t="shared" si="31"/>
        <v>0</v>
      </c>
      <c r="I148" s="577">
        <f t="shared" si="32"/>
        <v>0</v>
      </c>
      <c r="J148" s="514">
        <f t="shared" si="33"/>
        <v>0</v>
      </c>
      <c r="K148" s="514"/>
      <c r="L148" s="525"/>
      <c r="M148" s="514">
        <f t="shared" si="34"/>
        <v>0</v>
      </c>
      <c r="N148" s="525"/>
      <c r="O148" s="514">
        <f t="shared" si="35"/>
        <v>0</v>
      </c>
      <c r="P148" s="514">
        <f t="shared" si="36"/>
        <v>0</v>
      </c>
    </row>
    <row r="149" spans="2:16">
      <c r="B149" s="195" t="str">
        <f t="shared" si="24"/>
        <v/>
      </c>
      <c r="C149" s="507">
        <f>IF(D93="","-",+C148+1)</f>
        <v>2067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29"/>
        <v>0</v>
      </c>
      <c r="G149" s="523">
        <f t="shared" si="30"/>
        <v>0</v>
      </c>
      <c r="H149" s="526">
        <f t="shared" si="31"/>
        <v>0</v>
      </c>
      <c r="I149" s="577">
        <f t="shared" si="32"/>
        <v>0</v>
      </c>
      <c r="J149" s="514">
        <f t="shared" si="33"/>
        <v>0</v>
      </c>
      <c r="K149" s="514"/>
      <c r="L149" s="525"/>
      <c r="M149" s="514">
        <f t="shared" si="34"/>
        <v>0</v>
      </c>
      <c r="N149" s="525"/>
      <c r="O149" s="514">
        <f t="shared" si="35"/>
        <v>0</v>
      </c>
      <c r="P149" s="514">
        <f t="shared" si="36"/>
        <v>0</v>
      </c>
    </row>
    <row r="150" spans="2:16">
      <c r="B150" s="195" t="str">
        <f t="shared" si="24"/>
        <v/>
      </c>
      <c r="C150" s="507">
        <f>IF(D93="","-",+C149+1)</f>
        <v>2068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29"/>
        <v>0</v>
      </c>
      <c r="G150" s="523">
        <f t="shared" si="30"/>
        <v>0</v>
      </c>
      <c r="H150" s="526">
        <f t="shared" si="31"/>
        <v>0</v>
      </c>
      <c r="I150" s="577">
        <f t="shared" si="32"/>
        <v>0</v>
      </c>
      <c r="J150" s="514">
        <f t="shared" si="33"/>
        <v>0</v>
      </c>
      <c r="K150" s="514"/>
      <c r="L150" s="525"/>
      <c r="M150" s="514">
        <f t="shared" si="34"/>
        <v>0</v>
      </c>
      <c r="N150" s="525"/>
      <c r="O150" s="514">
        <f t="shared" si="35"/>
        <v>0</v>
      </c>
      <c r="P150" s="514">
        <f t="shared" si="36"/>
        <v>0</v>
      </c>
    </row>
    <row r="151" spans="2:16">
      <c r="B151" s="195" t="str">
        <f t="shared" si="24"/>
        <v/>
      </c>
      <c r="C151" s="507">
        <f>IF(D93="","-",+C150+1)</f>
        <v>2069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29"/>
        <v>0</v>
      </c>
      <c r="G151" s="523">
        <f t="shared" si="30"/>
        <v>0</v>
      </c>
      <c r="H151" s="526">
        <f t="shared" si="31"/>
        <v>0</v>
      </c>
      <c r="I151" s="577">
        <f t="shared" si="32"/>
        <v>0</v>
      </c>
      <c r="J151" s="514">
        <f t="shared" si="33"/>
        <v>0</v>
      </c>
      <c r="K151" s="514"/>
      <c r="L151" s="525"/>
      <c r="M151" s="514">
        <f t="shared" si="34"/>
        <v>0</v>
      </c>
      <c r="N151" s="525"/>
      <c r="O151" s="514">
        <f t="shared" si="35"/>
        <v>0</v>
      </c>
      <c r="P151" s="514">
        <f t="shared" si="36"/>
        <v>0</v>
      </c>
    </row>
    <row r="152" spans="2:16">
      <c r="B152" s="195" t="str">
        <f t="shared" si="24"/>
        <v/>
      </c>
      <c r="C152" s="507">
        <f>IF(D93="","-",+C151+1)</f>
        <v>2070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29"/>
        <v>0</v>
      </c>
      <c r="G152" s="523">
        <f t="shared" si="30"/>
        <v>0</v>
      </c>
      <c r="H152" s="526">
        <f t="shared" si="31"/>
        <v>0</v>
      </c>
      <c r="I152" s="577">
        <f t="shared" si="32"/>
        <v>0</v>
      </c>
      <c r="J152" s="514">
        <f t="shared" si="33"/>
        <v>0</v>
      </c>
      <c r="K152" s="514"/>
      <c r="L152" s="525"/>
      <c r="M152" s="514">
        <f t="shared" si="34"/>
        <v>0</v>
      </c>
      <c r="N152" s="525"/>
      <c r="O152" s="514">
        <f t="shared" si="35"/>
        <v>0</v>
      </c>
      <c r="P152" s="514">
        <f t="shared" si="36"/>
        <v>0</v>
      </c>
    </row>
    <row r="153" spans="2:16">
      <c r="B153" s="195" t="str">
        <f t="shared" si="24"/>
        <v/>
      </c>
      <c r="C153" s="507">
        <f>IF(D93="","-",+C152+1)</f>
        <v>2071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29"/>
        <v>0</v>
      </c>
      <c r="G153" s="523">
        <f t="shared" si="30"/>
        <v>0</v>
      </c>
      <c r="H153" s="526">
        <f t="shared" si="31"/>
        <v>0</v>
      </c>
      <c r="I153" s="577">
        <f t="shared" si="32"/>
        <v>0</v>
      </c>
      <c r="J153" s="514">
        <f t="shared" si="33"/>
        <v>0</v>
      </c>
      <c r="K153" s="514"/>
      <c r="L153" s="525"/>
      <c r="M153" s="514">
        <f t="shared" si="34"/>
        <v>0</v>
      </c>
      <c r="N153" s="525"/>
      <c r="O153" s="514">
        <f t="shared" si="35"/>
        <v>0</v>
      </c>
      <c r="P153" s="514">
        <f t="shared" si="36"/>
        <v>0</v>
      </c>
    </row>
    <row r="154" spans="2:16" ht="13.5" thickBot="1">
      <c r="B154" s="195" t="str">
        <f t="shared" si="24"/>
        <v/>
      </c>
      <c r="C154" s="527">
        <f>IF(D93="","-",+C153+1)</f>
        <v>2072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29"/>
        <v>0</v>
      </c>
      <c r="G154" s="528">
        <f t="shared" si="30"/>
        <v>0</v>
      </c>
      <c r="H154" s="530">
        <f t="shared" si="31"/>
        <v>0</v>
      </c>
      <c r="I154" s="579">
        <f t="shared" si="32"/>
        <v>0</v>
      </c>
      <c r="J154" s="533">
        <f t="shared" si="33"/>
        <v>0</v>
      </c>
      <c r="K154" s="514"/>
      <c r="L154" s="532"/>
      <c r="M154" s="533">
        <f t="shared" si="34"/>
        <v>0</v>
      </c>
      <c r="N154" s="532"/>
      <c r="O154" s="533">
        <f t="shared" si="35"/>
        <v>0</v>
      </c>
      <c r="P154" s="533">
        <f t="shared" si="36"/>
        <v>0</v>
      </c>
    </row>
    <row r="155" spans="2:16">
      <c r="C155" s="374" t="s">
        <v>78</v>
      </c>
      <c r="D155" s="375"/>
      <c r="E155" s="375">
        <f>SUM(E99:E154)</f>
        <v>17132603.999999996</v>
      </c>
      <c r="F155" s="375"/>
      <c r="G155" s="375"/>
      <c r="H155" s="375">
        <f>SUM(H99:H154)</f>
        <v>56559656.82450074</v>
      </c>
      <c r="I155" s="375">
        <f>SUM(I99:I154)</f>
        <v>56559656.82450074</v>
      </c>
      <c r="J155" s="375">
        <f>SUM(J99:J154)</f>
        <v>0</v>
      </c>
      <c r="K155" s="375"/>
      <c r="L155" s="375"/>
      <c r="M155" s="375"/>
      <c r="N155" s="375"/>
      <c r="O155" s="375"/>
      <c r="P155" s="269"/>
    </row>
    <row r="156" spans="2:16">
      <c r="C156" s="183" t="s">
        <v>92</v>
      </c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</row>
    <row r="157" spans="2:16">
      <c r="C157" s="580"/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</row>
    <row r="158" spans="2:16">
      <c r="C158" s="614" t="s">
        <v>132</v>
      </c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</row>
    <row r="159" spans="2:16">
      <c r="C159" s="467" t="s">
        <v>79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</row>
    <row r="160" spans="2:16">
      <c r="C160" s="581" t="s">
        <v>80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</row>
    <row r="161" spans="3:16">
      <c r="C161" s="581"/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</row>
    <row r="162" spans="3:16" ht="18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635" t="s">
        <v>131</v>
      </c>
    </row>
  </sheetData>
  <conditionalFormatting sqref="C17:C72">
    <cfRule type="cellIs" dxfId="43" priority="1" stopIfTrue="1" operator="equal">
      <formula>$I$10</formula>
    </cfRule>
  </conditionalFormatting>
  <conditionalFormatting sqref="C99:C154">
    <cfRule type="cellIs" dxfId="42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  <legacyDrawing r:id="rId3"/>
</worksheet>
</file>

<file path=xl/worksheets/sheet6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Sheet109"/>
  <dimension ref="A1:P162"/>
  <sheetViews>
    <sheetView topLeftCell="A96" zoomScaleNormal="100" zoomScaleSheetLayoutView="80" workbookViewId="0">
      <selection activeCell="D99" sqref="D99:I105"/>
    </sheetView>
  </sheetViews>
  <sheetFormatPr defaultColWidth="8.7109375" defaultRowHeight="12.75" customHeight="1"/>
  <cols>
    <col min="1" max="1" width="4.7109375" style="183" customWidth="1"/>
    <col min="2" max="2" width="6.7109375" style="183" customWidth="1"/>
    <col min="3" max="3" width="23.28515625" style="183" customWidth="1"/>
    <col min="4" max="8" width="17.7109375" style="183" customWidth="1"/>
    <col min="9" max="9" width="20.42578125" style="183" customWidth="1"/>
    <col min="10" max="10" width="16.42578125" style="183" customWidth="1"/>
    <col min="11" max="11" width="17.7109375" style="183" customWidth="1"/>
    <col min="12" max="12" width="16.140625" style="183" customWidth="1"/>
    <col min="13" max="13" width="17.7109375" style="183" customWidth="1"/>
    <col min="14" max="14" width="16.7109375" style="183" customWidth="1"/>
    <col min="15" max="15" width="16.85546875" style="183" customWidth="1"/>
    <col min="16" max="16" width="24.42578125" style="183" customWidth="1"/>
    <col min="17" max="17" width="9.140625" style="183" customWidth="1"/>
    <col min="18" max="22" width="8.7109375" style="183"/>
    <col min="23" max="23" width="9.140625" style="183" customWidth="1"/>
    <col min="24" max="16384" width="8.7109375" style="183"/>
  </cols>
  <sheetData>
    <row r="1" spans="1:16" ht="20.25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60 of 75</v>
      </c>
    </row>
    <row r="2" spans="1:16" ht="18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538" t="s">
        <v>129</v>
      </c>
    </row>
    <row r="3" spans="1:16" ht="18.75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/>
      <c r="P3" s="623">
        <v>1</v>
      </c>
    </row>
    <row r="4" spans="1:16" ht="15.75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6" ht="1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11743276.985286441</v>
      </c>
      <c r="P5" s="269"/>
    </row>
    <row r="6" spans="1:16" ht="15.7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11743276.985286441</v>
      </c>
      <c r="O6" s="269"/>
      <c r="P6" s="269"/>
    </row>
    <row r="7" spans="1:16" ht="13.5" thickBot="1">
      <c r="C7" s="467" t="s">
        <v>48</v>
      </c>
      <c r="D7" s="624" t="s">
        <v>379</v>
      </c>
      <c r="E7" s="269"/>
      <c r="F7" s="269"/>
      <c r="G7" s="269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6" ht="13.5" thickBot="1">
      <c r="C8" s="472"/>
      <c r="D8" s="625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6" ht="13.5" thickBot="1">
      <c r="C9" s="476" t="s">
        <v>50</v>
      </c>
      <c r="D9" s="477" t="s">
        <v>470</v>
      </c>
      <c r="E9" s="637" t="s">
        <v>507</v>
      </c>
      <c r="F9" s="478"/>
      <c r="G9" s="478"/>
      <c r="H9" s="478"/>
      <c r="I9" s="479"/>
      <c r="J9" s="480"/>
      <c r="O9" s="481"/>
      <c r="P9" s="272"/>
    </row>
    <row r="10" spans="1:16">
      <c r="C10" s="482" t="s">
        <v>51</v>
      </c>
      <c r="D10" s="483">
        <v>97370354</v>
      </c>
      <c r="E10" s="353" t="s">
        <v>52</v>
      </c>
      <c r="F10" s="481"/>
      <c r="G10" s="484"/>
      <c r="H10" s="484"/>
      <c r="I10" s="485">
        <f>+'SWE.WS.F.BPU.ATRR.Projected'!L19</f>
        <v>2024</v>
      </c>
      <c r="J10" s="480"/>
      <c r="K10" s="375" t="s">
        <v>53</v>
      </c>
      <c r="O10" s="272"/>
      <c r="P10" s="272"/>
    </row>
    <row r="11" spans="1:16">
      <c r="C11" s="486" t="s">
        <v>54</v>
      </c>
      <c r="D11" s="487">
        <v>2016</v>
      </c>
      <c r="E11" s="486" t="s">
        <v>55</v>
      </c>
      <c r="F11" s="484"/>
      <c r="G11" s="233"/>
      <c r="H11" s="233"/>
      <c r="I11" s="488">
        <f>IF(G5="",0,'SWE.WS.F.BPU.ATRR.Projected'!F$13)</f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6">
      <c r="C12" s="486" t="s">
        <v>56</v>
      </c>
      <c r="D12" s="483">
        <v>12</v>
      </c>
      <c r="E12" s="486" t="s">
        <v>57</v>
      </c>
      <c r="F12" s="484"/>
      <c r="G12" s="233"/>
      <c r="H12" s="233"/>
      <c r="I12" s="490">
        <f>'SWE.WS.F.BPU.ATRR.Projected'!$F$81</f>
        <v>0.11952713165403545</v>
      </c>
      <c r="J12" s="425"/>
      <c r="K12" s="183" t="s">
        <v>58</v>
      </c>
      <c r="O12" s="272"/>
      <c r="P12" s="272"/>
    </row>
    <row r="13" spans="1:16">
      <c r="C13" s="486" t="s">
        <v>59</v>
      </c>
      <c r="D13" s="488">
        <f>+'SWE.WS.F.BPU.ATRR.Projected'!F$93</f>
        <v>44</v>
      </c>
      <c r="E13" s="486" t="s">
        <v>60</v>
      </c>
      <c r="F13" s="484"/>
      <c r="G13" s="233"/>
      <c r="H13" s="233"/>
      <c r="I13" s="490">
        <f>IF(G5="",I12,'SWE.WS.F.BPU.ATRR.Projected'!$F$80)</f>
        <v>0.11952713165403545</v>
      </c>
      <c r="J13" s="425"/>
      <c r="K13" s="375" t="s">
        <v>61</v>
      </c>
      <c r="L13" s="324"/>
      <c r="M13" s="324"/>
      <c r="N13" s="324"/>
      <c r="O13" s="272"/>
      <c r="P13" s="272"/>
    </row>
    <row r="14" spans="1:16" ht="13.5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2212962.5909090908</v>
      </c>
      <c r="J14" s="375"/>
      <c r="K14" s="375"/>
      <c r="L14" s="375"/>
      <c r="M14" s="375"/>
      <c r="N14" s="375"/>
      <c r="O14" s="272"/>
      <c r="P14" s="272"/>
    </row>
    <row r="15" spans="1:16" ht="38.25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388</v>
      </c>
      <c r="H15" s="495" t="s">
        <v>389</v>
      </c>
      <c r="I15" s="492" t="s">
        <v>68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6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>
      <c r="C17" s="507">
        <f>IF(D11= "","-",D11)</f>
        <v>2016</v>
      </c>
      <c r="D17" s="516">
        <v>0</v>
      </c>
      <c r="E17" s="516">
        <v>0</v>
      </c>
      <c r="F17" s="516">
        <v>99956721</v>
      </c>
      <c r="G17" s="516">
        <v>0</v>
      </c>
      <c r="H17" s="516">
        <v>0</v>
      </c>
      <c r="I17" s="516">
        <v>0</v>
      </c>
      <c r="J17" s="511"/>
      <c r="K17" s="512">
        <f t="shared" ref="K17:K22" si="0">+G17</f>
        <v>0</v>
      </c>
      <c r="L17" s="513">
        <f t="shared" ref="L17:L72" si="1">IF(K17&lt;&gt;0,+G17-K17,0)</f>
        <v>0</v>
      </c>
      <c r="M17" s="512">
        <f t="shared" ref="M17:M22" si="2">+H17</f>
        <v>0</v>
      </c>
      <c r="N17" s="513">
        <f t="shared" ref="N17:N72" si="3">IF(M17&lt;&gt;0,+H17-M17,0)</f>
        <v>0</v>
      </c>
      <c r="O17" s="514">
        <f t="shared" ref="O17:O72" si="4">+N17-L17</f>
        <v>0</v>
      </c>
      <c r="P17" s="272"/>
    </row>
    <row r="18" spans="2:16">
      <c r="B18" s="195" t="str">
        <f>IF(D18=F17,"","IU")</f>
        <v/>
      </c>
      <c r="C18" s="507">
        <f>IF(D11="","-",+C17+1)</f>
        <v>2017</v>
      </c>
      <c r="D18" s="651">
        <v>99956721</v>
      </c>
      <c r="E18" s="656">
        <v>2324574.9069767441</v>
      </c>
      <c r="F18" s="651">
        <v>97632146.093023255</v>
      </c>
      <c r="G18" s="650">
        <v>14564467.586252602</v>
      </c>
      <c r="H18" s="657">
        <v>14564467.586252602</v>
      </c>
      <c r="I18" s="511">
        <f t="shared" ref="I18:I72" si="5">H18-G18</f>
        <v>0</v>
      </c>
      <c r="J18" s="511"/>
      <c r="K18" s="518">
        <f t="shared" si="0"/>
        <v>14564467.586252602</v>
      </c>
      <c r="L18" s="519">
        <f t="shared" si="1"/>
        <v>0</v>
      </c>
      <c r="M18" s="518">
        <f t="shared" si="2"/>
        <v>14564467.586252602</v>
      </c>
      <c r="N18" s="514">
        <f t="shared" si="3"/>
        <v>0</v>
      </c>
      <c r="O18" s="514">
        <f t="shared" si="4"/>
        <v>0</v>
      </c>
      <c r="P18" s="272"/>
    </row>
    <row r="19" spans="2:16">
      <c r="B19" s="195" t="str">
        <f>IF(D19=F18,"","IU")</f>
        <v/>
      </c>
      <c r="C19" s="507">
        <f>IF(D11="","-",+C18+1)</f>
        <v>2018</v>
      </c>
      <c r="D19" s="651">
        <v>97632146.093023255</v>
      </c>
      <c r="E19" s="656">
        <v>2437968.8048780486</v>
      </c>
      <c r="F19" s="651">
        <v>95194177.288145214</v>
      </c>
      <c r="G19" s="650">
        <v>14691512.71476743</v>
      </c>
      <c r="H19" s="657">
        <v>14691512.71476743</v>
      </c>
      <c r="I19" s="511">
        <f t="shared" si="5"/>
        <v>0</v>
      </c>
      <c r="J19" s="511"/>
      <c r="K19" s="518">
        <f t="shared" si="0"/>
        <v>14691512.71476743</v>
      </c>
      <c r="L19" s="519">
        <f t="shared" ref="L19:L24" si="6">IF(K19&lt;&gt;0,+G19-K19,0)</f>
        <v>0</v>
      </c>
      <c r="M19" s="518">
        <f t="shared" si="2"/>
        <v>14691512.71476743</v>
      </c>
      <c r="N19" s="514">
        <f>IF(M19&lt;&gt;0,+H19-M19,0)</f>
        <v>0</v>
      </c>
      <c r="O19" s="514">
        <f>+N19-L19</f>
        <v>0</v>
      </c>
      <c r="P19" s="272"/>
    </row>
    <row r="20" spans="2:16">
      <c r="B20" s="195" t="str">
        <f t="shared" ref="B20:B72" si="7">IF(D20=F19,"","IU")</f>
        <v/>
      </c>
      <c r="C20" s="507">
        <f>IF(D11="","-",+C19+1)</f>
        <v>2019</v>
      </c>
      <c r="D20" s="651">
        <v>95194177.288145214</v>
      </c>
      <c r="E20" s="656">
        <v>2437968.8048780486</v>
      </c>
      <c r="F20" s="651">
        <v>92756208.483267158</v>
      </c>
      <c r="G20" s="650">
        <v>14381661.266296247</v>
      </c>
      <c r="H20" s="657">
        <v>14381661.266296247</v>
      </c>
      <c r="I20" s="511">
        <f t="shared" si="5"/>
        <v>0</v>
      </c>
      <c r="J20" s="511"/>
      <c r="K20" s="518">
        <f t="shared" si="0"/>
        <v>14381661.266296247</v>
      </c>
      <c r="L20" s="519">
        <f t="shared" si="6"/>
        <v>0</v>
      </c>
      <c r="M20" s="518">
        <f t="shared" si="2"/>
        <v>14381661.266296247</v>
      </c>
      <c r="N20" s="514">
        <f t="shared" si="3"/>
        <v>0</v>
      </c>
      <c r="O20" s="514">
        <f t="shared" si="4"/>
        <v>0</v>
      </c>
      <c r="P20" s="272"/>
    </row>
    <row r="21" spans="2:16">
      <c r="B21" s="195" t="str">
        <f t="shared" si="7"/>
        <v>IU</v>
      </c>
      <c r="C21" s="507">
        <f>IF(D11="","-",+C20+1)</f>
        <v>2020</v>
      </c>
      <c r="D21" s="651">
        <v>90168458.483267158</v>
      </c>
      <c r="E21" s="656">
        <v>2374852.9512195121</v>
      </c>
      <c r="F21" s="651">
        <v>87793605.532047644</v>
      </c>
      <c r="G21" s="650">
        <v>11480767.373612601</v>
      </c>
      <c r="H21" s="657">
        <v>11480767.373612601</v>
      </c>
      <c r="I21" s="511">
        <f t="shared" si="5"/>
        <v>0</v>
      </c>
      <c r="J21" s="511"/>
      <c r="K21" s="518">
        <f t="shared" si="0"/>
        <v>11480767.373612601</v>
      </c>
      <c r="L21" s="519">
        <f t="shared" si="6"/>
        <v>0</v>
      </c>
      <c r="M21" s="518">
        <f t="shared" si="2"/>
        <v>11480767.373612601</v>
      </c>
      <c r="N21" s="514">
        <f t="shared" si="3"/>
        <v>0</v>
      </c>
      <c r="O21" s="514">
        <f t="shared" si="4"/>
        <v>0</v>
      </c>
      <c r="P21" s="272"/>
    </row>
    <row r="22" spans="2:16">
      <c r="B22" s="195" t="str">
        <f t="shared" si="7"/>
        <v>IU</v>
      </c>
      <c r="C22" s="507">
        <f>IF(D11="","-",+C21+1)</f>
        <v>2021</v>
      </c>
      <c r="D22" s="651">
        <v>87908382.429948956</v>
      </c>
      <c r="E22" s="656">
        <v>2318341.7619047621</v>
      </c>
      <c r="F22" s="651">
        <v>85590040.668044195</v>
      </c>
      <c r="G22" s="650">
        <v>11514152.464962322</v>
      </c>
      <c r="H22" s="657">
        <v>11514152.464962322</v>
      </c>
      <c r="I22" s="511">
        <f t="shared" si="5"/>
        <v>0</v>
      </c>
      <c r="J22" s="511"/>
      <c r="K22" s="518">
        <f t="shared" si="0"/>
        <v>11514152.464962322</v>
      </c>
      <c r="L22" s="519">
        <f t="shared" si="6"/>
        <v>0</v>
      </c>
      <c r="M22" s="518">
        <f t="shared" si="2"/>
        <v>11514152.464962322</v>
      </c>
      <c r="N22" s="514">
        <f t="shared" si="3"/>
        <v>0</v>
      </c>
      <c r="O22" s="514">
        <f t="shared" si="4"/>
        <v>0</v>
      </c>
      <c r="P22" s="272"/>
    </row>
    <row r="23" spans="2:16">
      <c r="B23" s="195" t="str">
        <f t="shared" si="7"/>
        <v>IU</v>
      </c>
      <c r="C23" s="507">
        <f>IF(D11="","-",+C22+1)</f>
        <v>2022</v>
      </c>
      <c r="D23" s="651">
        <v>85476646.770142883</v>
      </c>
      <c r="E23" s="656">
        <v>2318341.7619047621</v>
      </c>
      <c r="F23" s="651">
        <v>83158305.008238122</v>
      </c>
      <c r="G23" s="650">
        <v>11799344.189724851</v>
      </c>
      <c r="H23" s="657">
        <v>11799344.189724851</v>
      </c>
      <c r="I23" s="511">
        <f t="shared" si="5"/>
        <v>0</v>
      </c>
      <c r="J23" s="511"/>
      <c r="K23" s="518">
        <f t="shared" ref="K23" si="8">+G23</f>
        <v>11799344.189724851</v>
      </c>
      <c r="L23" s="519">
        <f t="shared" si="6"/>
        <v>0</v>
      </c>
      <c r="M23" s="518">
        <f t="shared" ref="M23" si="9">+H23</f>
        <v>11799344.189724851</v>
      </c>
      <c r="N23" s="514">
        <f t="shared" si="3"/>
        <v>0</v>
      </c>
      <c r="O23" s="514">
        <f t="shared" si="4"/>
        <v>0</v>
      </c>
      <c r="P23" s="272"/>
    </row>
    <row r="24" spans="2:16">
      <c r="B24" s="195" t="str">
        <f t="shared" si="7"/>
        <v/>
      </c>
      <c r="C24" s="507">
        <f>IF(D11="","-",+C23+1)</f>
        <v>2023</v>
      </c>
      <c r="D24" s="651">
        <v>83158305.008238122</v>
      </c>
      <c r="E24" s="656">
        <v>2318341.7619047621</v>
      </c>
      <c r="F24" s="651">
        <v>80839963.246333361</v>
      </c>
      <c r="G24" s="650">
        <v>12677028.993315388</v>
      </c>
      <c r="H24" s="657">
        <v>12677028.993315388</v>
      </c>
      <c r="I24" s="511">
        <f t="shared" si="5"/>
        <v>0</v>
      </c>
      <c r="J24" s="511"/>
      <c r="K24" s="518">
        <f t="shared" ref="K24" si="10">+G24</f>
        <v>12677028.993315388</v>
      </c>
      <c r="L24" s="519">
        <f t="shared" si="6"/>
        <v>0</v>
      </c>
      <c r="M24" s="518">
        <f t="shared" ref="M24" si="11">+H24</f>
        <v>12677028.993315388</v>
      </c>
      <c r="N24" s="514">
        <f t="shared" ref="N24" si="12">IF(M24&lt;&gt;0,+H24-M24,0)</f>
        <v>0</v>
      </c>
      <c r="O24" s="514">
        <f t="shared" ref="O24" si="13">+N24-L24</f>
        <v>0</v>
      </c>
      <c r="P24" s="272"/>
    </row>
    <row r="25" spans="2:16">
      <c r="B25" s="195" t="str">
        <f t="shared" si="7"/>
        <v/>
      </c>
      <c r="C25" s="673">
        <f>IF(D11="","-",+C24+1)</f>
        <v>2024</v>
      </c>
      <c r="D25" s="523">
        <f>IF(F24+SUM(E$17:E24)=D$10,F24,D$10-SUM(E$17:E24))</f>
        <v>80839963.246333361</v>
      </c>
      <c r="E25" s="522">
        <f>IF(+I14&lt;F24,I14,D25)</f>
        <v>2212962.5909090908</v>
      </c>
      <c r="F25" s="523">
        <f t="shared" ref="F25:F72" si="14">+D25-E25</f>
        <v>78627000.655424267</v>
      </c>
      <c r="G25" s="524">
        <f t="shared" ref="G25:G49" si="15">+I$12*((D25+F25)/2)+E25</f>
        <v>11743276.985286441</v>
      </c>
      <c r="H25" s="491">
        <f t="shared" ref="H25:H49" si="16">+I$13*((D25+F25)/2)+E25</f>
        <v>11743276.985286441</v>
      </c>
      <c r="I25" s="511">
        <f t="shared" si="5"/>
        <v>0</v>
      </c>
      <c r="J25" s="511"/>
      <c r="K25" s="525"/>
      <c r="L25" s="514">
        <f t="shared" si="1"/>
        <v>0</v>
      </c>
      <c r="M25" s="525"/>
      <c r="N25" s="514">
        <f t="shared" si="3"/>
        <v>0</v>
      </c>
      <c r="O25" s="514">
        <f t="shared" si="4"/>
        <v>0</v>
      </c>
      <c r="P25" s="272"/>
    </row>
    <row r="26" spans="2:16">
      <c r="B26" s="195" t="str">
        <f t="shared" si="7"/>
        <v/>
      </c>
      <c r="C26" s="507">
        <f>IF(D11="","-",+C25+1)</f>
        <v>2025</v>
      </c>
      <c r="D26" s="523">
        <f>IF(F25+SUM(E$17:E25)=D$10,F25,D$10-SUM(E$17:E25))</f>
        <v>78627000.655424267</v>
      </c>
      <c r="E26" s="522">
        <f>IF(+I14&lt;F25,I14,D26)</f>
        <v>2212962.5909090908</v>
      </c>
      <c r="F26" s="523">
        <f t="shared" si="14"/>
        <v>76414038.064515173</v>
      </c>
      <c r="G26" s="524">
        <f t="shared" si="15"/>
        <v>11478767.914337397</v>
      </c>
      <c r="H26" s="491">
        <f t="shared" si="16"/>
        <v>11478767.914337397</v>
      </c>
      <c r="I26" s="511">
        <f t="shared" si="5"/>
        <v>0</v>
      </c>
      <c r="J26" s="511"/>
      <c r="K26" s="525"/>
      <c r="L26" s="514">
        <f t="shared" si="1"/>
        <v>0</v>
      </c>
      <c r="M26" s="525"/>
      <c r="N26" s="514">
        <f t="shared" si="3"/>
        <v>0</v>
      </c>
      <c r="O26" s="514">
        <f t="shared" si="4"/>
        <v>0</v>
      </c>
      <c r="P26" s="272"/>
    </row>
    <row r="27" spans="2:16">
      <c r="B27" s="195" t="str">
        <f t="shared" si="7"/>
        <v/>
      </c>
      <c r="C27" s="507">
        <f>IF(D11="","-",+C26+1)</f>
        <v>2026</v>
      </c>
      <c r="D27" s="523">
        <f>IF(F26+SUM(E$17:E26)=D$10,F26,D$10-SUM(E$17:E26))</f>
        <v>76414038.064515173</v>
      </c>
      <c r="E27" s="522">
        <f>IF(+I14&lt;F26,I14,D27)</f>
        <v>2212962.5909090908</v>
      </c>
      <c r="F27" s="523">
        <f t="shared" si="14"/>
        <v>74201075.47360608</v>
      </c>
      <c r="G27" s="524">
        <f t="shared" si="15"/>
        <v>11214258.843388349</v>
      </c>
      <c r="H27" s="491">
        <f t="shared" si="16"/>
        <v>11214258.843388349</v>
      </c>
      <c r="I27" s="511">
        <f t="shared" si="5"/>
        <v>0</v>
      </c>
      <c r="J27" s="511"/>
      <c r="K27" s="525"/>
      <c r="L27" s="514">
        <f t="shared" si="1"/>
        <v>0</v>
      </c>
      <c r="M27" s="525"/>
      <c r="N27" s="514">
        <f t="shared" si="3"/>
        <v>0</v>
      </c>
      <c r="O27" s="514">
        <f t="shared" si="4"/>
        <v>0</v>
      </c>
      <c r="P27" s="272"/>
    </row>
    <row r="28" spans="2:16">
      <c r="B28" s="195" t="str">
        <f t="shared" si="7"/>
        <v/>
      </c>
      <c r="C28" s="507">
        <f>IF(D11="","-",+C27+1)</f>
        <v>2027</v>
      </c>
      <c r="D28" s="523">
        <f>IF(F27+SUM(E$17:E27)=D$10,F27,D$10-SUM(E$17:E27))</f>
        <v>74201075.47360608</v>
      </c>
      <c r="E28" s="522">
        <f>IF(+I14&lt;F27,I14,D28)</f>
        <v>2212962.5909090908</v>
      </c>
      <c r="F28" s="523">
        <f t="shared" si="14"/>
        <v>71988112.882696986</v>
      </c>
      <c r="G28" s="524">
        <f t="shared" si="15"/>
        <v>10949749.772439301</v>
      </c>
      <c r="H28" s="491">
        <f t="shared" si="16"/>
        <v>10949749.772439301</v>
      </c>
      <c r="I28" s="511">
        <f t="shared" si="5"/>
        <v>0</v>
      </c>
      <c r="J28" s="511"/>
      <c r="K28" s="525"/>
      <c r="L28" s="514">
        <f t="shared" si="1"/>
        <v>0</v>
      </c>
      <c r="M28" s="525"/>
      <c r="N28" s="514">
        <f t="shared" si="3"/>
        <v>0</v>
      </c>
      <c r="O28" s="514">
        <f t="shared" si="4"/>
        <v>0</v>
      </c>
      <c r="P28" s="272"/>
    </row>
    <row r="29" spans="2:16">
      <c r="B29" s="195" t="str">
        <f t="shared" si="7"/>
        <v/>
      </c>
      <c r="C29" s="507">
        <f>IF(D11="","-",+C28+1)</f>
        <v>2028</v>
      </c>
      <c r="D29" s="523">
        <f>IF(F28+SUM(E$17:E28)=D$10,F28,D$10-SUM(E$17:E28))</f>
        <v>71988112.882696986</v>
      </c>
      <c r="E29" s="522">
        <f>IF(+I14&lt;F28,I14,D29)</f>
        <v>2212962.5909090908</v>
      </c>
      <c r="F29" s="523">
        <f t="shared" si="14"/>
        <v>69775150.291787893</v>
      </c>
      <c r="G29" s="524">
        <f t="shared" si="15"/>
        <v>10685240.701490257</v>
      </c>
      <c r="H29" s="491">
        <f t="shared" si="16"/>
        <v>10685240.701490257</v>
      </c>
      <c r="I29" s="511">
        <f t="shared" si="5"/>
        <v>0</v>
      </c>
      <c r="J29" s="511"/>
      <c r="K29" s="525"/>
      <c r="L29" s="514">
        <f t="shared" si="1"/>
        <v>0</v>
      </c>
      <c r="M29" s="525"/>
      <c r="N29" s="514">
        <f t="shared" si="3"/>
        <v>0</v>
      </c>
      <c r="O29" s="514">
        <f t="shared" si="4"/>
        <v>0</v>
      </c>
      <c r="P29" s="272"/>
    </row>
    <row r="30" spans="2:16">
      <c r="B30" s="195" t="str">
        <f t="shared" si="7"/>
        <v/>
      </c>
      <c r="C30" s="507">
        <f>IF(D11="","-",+C29+1)</f>
        <v>2029</v>
      </c>
      <c r="D30" s="523">
        <f>IF(F29+SUM(E$17:E29)=D$10,F29,D$10-SUM(E$17:E29))</f>
        <v>69775150.291787893</v>
      </c>
      <c r="E30" s="522">
        <f>IF(+I14&lt;F29,I14,D30)</f>
        <v>2212962.5909090908</v>
      </c>
      <c r="F30" s="523">
        <f t="shared" si="14"/>
        <v>67562187.700878799</v>
      </c>
      <c r="G30" s="524">
        <f t="shared" si="15"/>
        <v>10420731.630541209</v>
      </c>
      <c r="H30" s="491">
        <f t="shared" si="16"/>
        <v>10420731.630541209</v>
      </c>
      <c r="I30" s="511">
        <f t="shared" si="5"/>
        <v>0</v>
      </c>
      <c r="J30" s="511"/>
      <c r="K30" s="525"/>
      <c r="L30" s="514">
        <f t="shared" si="1"/>
        <v>0</v>
      </c>
      <c r="M30" s="525"/>
      <c r="N30" s="514">
        <f t="shared" si="3"/>
        <v>0</v>
      </c>
      <c r="O30" s="514">
        <f t="shared" si="4"/>
        <v>0</v>
      </c>
      <c r="P30" s="272"/>
    </row>
    <row r="31" spans="2:16">
      <c r="B31" s="195" t="str">
        <f t="shared" si="7"/>
        <v/>
      </c>
      <c r="C31" s="507">
        <f>IF(D11="","-",+C30+1)</f>
        <v>2030</v>
      </c>
      <c r="D31" s="523">
        <f>IF(F30+SUM(E$17:E30)=D$10,F30,D$10-SUM(E$17:E30))</f>
        <v>67562187.700878799</v>
      </c>
      <c r="E31" s="522">
        <f>IF(+I14&lt;F30,I14,D31)</f>
        <v>2212962.5909090908</v>
      </c>
      <c r="F31" s="523">
        <f t="shared" si="14"/>
        <v>65349225.109969705</v>
      </c>
      <c r="G31" s="524">
        <f t="shared" si="15"/>
        <v>10156222.559592161</v>
      </c>
      <c r="H31" s="491">
        <f t="shared" si="16"/>
        <v>10156222.559592161</v>
      </c>
      <c r="I31" s="511">
        <f t="shared" si="5"/>
        <v>0</v>
      </c>
      <c r="J31" s="511"/>
      <c r="K31" s="525"/>
      <c r="L31" s="514">
        <f t="shared" si="1"/>
        <v>0</v>
      </c>
      <c r="M31" s="525"/>
      <c r="N31" s="514">
        <f t="shared" si="3"/>
        <v>0</v>
      </c>
      <c r="O31" s="514">
        <f t="shared" si="4"/>
        <v>0</v>
      </c>
      <c r="P31" s="272"/>
    </row>
    <row r="32" spans="2:16">
      <c r="B32" s="195" t="str">
        <f t="shared" si="7"/>
        <v/>
      </c>
      <c r="C32" s="507">
        <f>IF(D11="","-",+C31+1)</f>
        <v>2031</v>
      </c>
      <c r="D32" s="523">
        <f>IF(F31+SUM(E$17:E31)=D$10,F31,D$10-SUM(E$17:E31))</f>
        <v>65349225.109969705</v>
      </c>
      <c r="E32" s="522">
        <f>IF(+I14&lt;F31,I14,D32)</f>
        <v>2212962.5909090908</v>
      </c>
      <c r="F32" s="523">
        <f t="shared" si="14"/>
        <v>63136262.519060612</v>
      </c>
      <c r="G32" s="524">
        <f t="shared" si="15"/>
        <v>9891713.4886431154</v>
      </c>
      <c r="H32" s="491">
        <f t="shared" si="16"/>
        <v>9891713.4886431154</v>
      </c>
      <c r="I32" s="511">
        <f t="shared" si="5"/>
        <v>0</v>
      </c>
      <c r="J32" s="511"/>
      <c r="K32" s="525"/>
      <c r="L32" s="514">
        <f t="shared" si="1"/>
        <v>0</v>
      </c>
      <c r="M32" s="525"/>
      <c r="N32" s="514">
        <f t="shared" si="3"/>
        <v>0</v>
      </c>
      <c r="O32" s="514">
        <f t="shared" si="4"/>
        <v>0</v>
      </c>
      <c r="P32" s="272"/>
    </row>
    <row r="33" spans="2:16">
      <c r="B33" s="195" t="str">
        <f t="shared" si="7"/>
        <v/>
      </c>
      <c r="C33" s="507">
        <f>IF(D11="","-",+C32+1)</f>
        <v>2032</v>
      </c>
      <c r="D33" s="523">
        <f>IF(F32+SUM(E$17:E32)=D$10,F32,D$10-SUM(E$17:E32))</f>
        <v>63136262.519060612</v>
      </c>
      <c r="E33" s="522">
        <f>IF(+I14&lt;F32,I14,D33)</f>
        <v>2212962.5909090908</v>
      </c>
      <c r="F33" s="523">
        <f t="shared" si="14"/>
        <v>60923299.928151518</v>
      </c>
      <c r="G33" s="524">
        <f t="shared" si="15"/>
        <v>9627204.4176940694</v>
      </c>
      <c r="H33" s="491">
        <f t="shared" si="16"/>
        <v>9627204.4176940694</v>
      </c>
      <c r="I33" s="511">
        <f t="shared" si="5"/>
        <v>0</v>
      </c>
      <c r="J33" s="511"/>
      <c r="K33" s="525"/>
      <c r="L33" s="514">
        <f t="shared" si="1"/>
        <v>0</v>
      </c>
      <c r="M33" s="525"/>
      <c r="N33" s="514">
        <f t="shared" si="3"/>
        <v>0</v>
      </c>
      <c r="O33" s="514">
        <f t="shared" si="4"/>
        <v>0</v>
      </c>
      <c r="P33" s="272"/>
    </row>
    <row r="34" spans="2:16">
      <c r="B34" s="195" t="str">
        <f t="shared" si="7"/>
        <v/>
      </c>
      <c r="C34" s="507">
        <f>IF(D11="","-",+C33+1)</f>
        <v>2033</v>
      </c>
      <c r="D34" s="523">
        <f>IF(F33+SUM(E$17:E33)=D$10,F33,D$10-SUM(E$17:E33))</f>
        <v>60923299.928151518</v>
      </c>
      <c r="E34" s="522">
        <f>IF(+I14&lt;F33,I14,D34)</f>
        <v>2212962.5909090908</v>
      </c>
      <c r="F34" s="523">
        <f t="shared" si="14"/>
        <v>58710337.337242424</v>
      </c>
      <c r="G34" s="524">
        <f t="shared" si="15"/>
        <v>9362695.3467450216</v>
      </c>
      <c r="H34" s="491">
        <f t="shared" si="16"/>
        <v>9362695.3467450216</v>
      </c>
      <c r="I34" s="511">
        <f t="shared" si="5"/>
        <v>0</v>
      </c>
      <c r="J34" s="511"/>
      <c r="K34" s="525"/>
      <c r="L34" s="514">
        <f t="shared" si="1"/>
        <v>0</v>
      </c>
      <c r="M34" s="525"/>
      <c r="N34" s="514">
        <f t="shared" si="3"/>
        <v>0</v>
      </c>
      <c r="O34" s="514">
        <f t="shared" si="4"/>
        <v>0</v>
      </c>
      <c r="P34" s="272"/>
    </row>
    <row r="35" spans="2:16">
      <c r="B35" s="195" t="str">
        <f t="shared" si="7"/>
        <v/>
      </c>
      <c r="C35" s="507">
        <f>IF(D11="","-",+C34+1)</f>
        <v>2034</v>
      </c>
      <c r="D35" s="523">
        <f>IF(F34+SUM(E$17:E34)=D$10,F34,D$10-SUM(E$17:E34))</f>
        <v>58710337.337242424</v>
      </c>
      <c r="E35" s="522">
        <f>IF(+I14&lt;F34,I14,D35)</f>
        <v>2212962.5909090908</v>
      </c>
      <c r="F35" s="523">
        <f t="shared" si="14"/>
        <v>56497374.746333331</v>
      </c>
      <c r="G35" s="524">
        <f t="shared" si="15"/>
        <v>9098186.2757959757</v>
      </c>
      <c r="H35" s="491">
        <f t="shared" si="16"/>
        <v>9098186.2757959757</v>
      </c>
      <c r="I35" s="511">
        <f t="shared" si="5"/>
        <v>0</v>
      </c>
      <c r="J35" s="511"/>
      <c r="K35" s="525"/>
      <c r="L35" s="514">
        <f t="shared" si="1"/>
        <v>0</v>
      </c>
      <c r="M35" s="525"/>
      <c r="N35" s="514">
        <f t="shared" si="3"/>
        <v>0</v>
      </c>
      <c r="O35" s="514">
        <f t="shared" si="4"/>
        <v>0</v>
      </c>
      <c r="P35" s="272"/>
    </row>
    <row r="36" spans="2:16">
      <c r="B36" s="195" t="str">
        <f t="shared" si="7"/>
        <v/>
      </c>
      <c r="C36" s="507">
        <f>IF(D11="","-",+C35+1)</f>
        <v>2035</v>
      </c>
      <c r="D36" s="523">
        <f>IF(F35+SUM(E$17:E35)=D$10,F35,D$10-SUM(E$17:E35))</f>
        <v>56497374.746333331</v>
      </c>
      <c r="E36" s="522">
        <f>IF(+I14&lt;F35,I14,D36)</f>
        <v>2212962.5909090908</v>
      </c>
      <c r="F36" s="523">
        <f t="shared" si="14"/>
        <v>54284412.155424237</v>
      </c>
      <c r="G36" s="524">
        <f t="shared" si="15"/>
        <v>8833677.2048469298</v>
      </c>
      <c r="H36" s="491">
        <f t="shared" si="16"/>
        <v>8833677.2048469298</v>
      </c>
      <c r="I36" s="511">
        <f t="shared" si="5"/>
        <v>0</v>
      </c>
      <c r="J36" s="511"/>
      <c r="K36" s="525"/>
      <c r="L36" s="514">
        <f t="shared" si="1"/>
        <v>0</v>
      </c>
      <c r="M36" s="525"/>
      <c r="N36" s="514">
        <f t="shared" si="3"/>
        <v>0</v>
      </c>
      <c r="O36" s="514">
        <f t="shared" si="4"/>
        <v>0</v>
      </c>
      <c r="P36" s="272"/>
    </row>
    <row r="37" spans="2:16">
      <c r="B37" s="195" t="str">
        <f t="shared" si="7"/>
        <v/>
      </c>
      <c r="C37" s="507">
        <f>IF(D11="","-",+C36+1)</f>
        <v>2036</v>
      </c>
      <c r="D37" s="523">
        <f>IF(F36+SUM(E$17:E36)=D$10,F36,D$10-SUM(E$17:E36))</f>
        <v>54284412.155424237</v>
      </c>
      <c r="E37" s="522">
        <f>IF(+I14&lt;F36,I14,D37)</f>
        <v>2212962.5909090908</v>
      </c>
      <c r="F37" s="523">
        <f t="shared" si="14"/>
        <v>52071449.564515144</v>
      </c>
      <c r="G37" s="524">
        <f t="shared" si="15"/>
        <v>8569168.133897882</v>
      </c>
      <c r="H37" s="491">
        <f t="shared" si="16"/>
        <v>8569168.133897882</v>
      </c>
      <c r="I37" s="511">
        <f t="shared" si="5"/>
        <v>0</v>
      </c>
      <c r="J37" s="511"/>
      <c r="K37" s="525"/>
      <c r="L37" s="514">
        <f t="shared" si="1"/>
        <v>0</v>
      </c>
      <c r="M37" s="525"/>
      <c r="N37" s="514">
        <f t="shared" si="3"/>
        <v>0</v>
      </c>
      <c r="O37" s="514">
        <f t="shared" si="4"/>
        <v>0</v>
      </c>
      <c r="P37" s="272"/>
    </row>
    <row r="38" spans="2:16">
      <c r="B38" s="195" t="str">
        <f t="shared" si="7"/>
        <v/>
      </c>
      <c r="C38" s="507">
        <f>IF(D11="","-",+C37+1)</f>
        <v>2037</v>
      </c>
      <c r="D38" s="523">
        <f>IF(F37+SUM(E$17:E37)=D$10,F37,D$10-SUM(E$17:E37))</f>
        <v>52071449.564515144</v>
      </c>
      <c r="E38" s="522">
        <f>IF(+I14&lt;F37,I14,D38)</f>
        <v>2212962.5909090908</v>
      </c>
      <c r="F38" s="523">
        <f t="shared" si="14"/>
        <v>49858486.97360605</v>
      </c>
      <c r="G38" s="524">
        <f t="shared" si="15"/>
        <v>8304659.062948836</v>
      </c>
      <c r="H38" s="491">
        <f t="shared" si="16"/>
        <v>8304659.062948836</v>
      </c>
      <c r="I38" s="511">
        <f t="shared" si="5"/>
        <v>0</v>
      </c>
      <c r="J38" s="511"/>
      <c r="K38" s="525"/>
      <c r="L38" s="514">
        <f t="shared" si="1"/>
        <v>0</v>
      </c>
      <c r="M38" s="525"/>
      <c r="N38" s="514">
        <f t="shared" si="3"/>
        <v>0</v>
      </c>
      <c r="O38" s="514">
        <f t="shared" si="4"/>
        <v>0</v>
      </c>
      <c r="P38" s="272"/>
    </row>
    <row r="39" spans="2:16">
      <c r="B39" s="195" t="str">
        <f t="shared" si="7"/>
        <v/>
      </c>
      <c r="C39" s="507">
        <f>IF(D11="","-",+C38+1)</f>
        <v>2038</v>
      </c>
      <c r="D39" s="523">
        <f>IF(F38+SUM(E$17:E38)=D$10,F38,D$10-SUM(E$17:E38))</f>
        <v>49858486.97360605</v>
      </c>
      <c r="E39" s="522">
        <f>IF(+I14&lt;F38,I14,D39)</f>
        <v>2212962.5909090908</v>
      </c>
      <c r="F39" s="523">
        <f t="shared" si="14"/>
        <v>47645524.382696956</v>
      </c>
      <c r="G39" s="524">
        <f t="shared" si="15"/>
        <v>8040149.9919997891</v>
      </c>
      <c r="H39" s="491">
        <f t="shared" si="16"/>
        <v>8040149.9919997891</v>
      </c>
      <c r="I39" s="511">
        <f t="shared" si="5"/>
        <v>0</v>
      </c>
      <c r="J39" s="511"/>
      <c r="K39" s="525"/>
      <c r="L39" s="514">
        <f t="shared" si="1"/>
        <v>0</v>
      </c>
      <c r="M39" s="525"/>
      <c r="N39" s="514">
        <f t="shared" si="3"/>
        <v>0</v>
      </c>
      <c r="O39" s="514">
        <f t="shared" si="4"/>
        <v>0</v>
      </c>
      <c r="P39" s="272"/>
    </row>
    <row r="40" spans="2:16">
      <c r="B40" s="195" t="str">
        <f t="shared" si="7"/>
        <v/>
      </c>
      <c r="C40" s="507">
        <f>IF(D11="","-",+C39+1)</f>
        <v>2039</v>
      </c>
      <c r="D40" s="523">
        <f>IF(F39+SUM(E$17:E39)=D$10,F39,D$10-SUM(E$17:E39))</f>
        <v>47645524.382696956</v>
      </c>
      <c r="E40" s="522">
        <f>IF(+I14&lt;F39,I14,D40)</f>
        <v>2212962.5909090908</v>
      </c>
      <c r="F40" s="523">
        <f t="shared" si="14"/>
        <v>45432561.791787863</v>
      </c>
      <c r="G40" s="524">
        <f t="shared" si="15"/>
        <v>7775640.9210507423</v>
      </c>
      <c r="H40" s="491">
        <f t="shared" si="16"/>
        <v>7775640.9210507423</v>
      </c>
      <c r="I40" s="511">
        <f t="shared" si="5"/>
        <v>0</v>
      </c>
      <c r="J40" s="511"/>
      <c r="K40" s="525"/>
      <c r="L40" s="514">
        <f t="shared" si="1"/>
        <v>0</v>
      </c>
      <c r="M40" s="525"/>
      <c r="N40" s="514">
        <f t="shared" si="3"/>
        <v>0</v>
      </c>
      <c r="O40" s="514">
        <f t="shared" si="4"/>
        <v>0</v>
      </c>
      <c r="P40" s="272"/>
    </row>
    <row r="41" spans="2:16">
      <c r="B41" s="195" t="str">
        <f t="shared" si="7"/>
        <v/>
      </c>
      <c r="C41" s="507">
        <f>IF(D11="","-",+C40+1)</f>
        <v>2040</v>
      </c>
      <c r="D41" s="523">
        <f>IF(F40+SUM(E$17:E40)=D$10,F40,D$10-SUM(E$17:E40))</f>
        <v>45432561.791787863</v>
      </c>
      <c r="E41" s="522">
        <f>IF(+I14&lt;F40,I14,D41)</f>
        <v>2212962.5909090908</v>
      </c>
      <c r="F41" s="523">
        <f t="shared" si="14"/>
        <v>43219599.200878769</v>
      </c>
      <c r="G41" s="524">
        <f t="shared" si="15"/>
        <v>7511131.8501016963</v>
      </c>
      <c r="H41" s="491">
        <f t="shared" si="16"/>
        <v>7511131.8501016963</v>
      </c>
      <c r="I41" s="511">
        <f t="shared" si="5"/>
        <v>0</v>
      </c>
      <c r="J41" s="511"/>
      <c r="K41" s="525"/>
      <c r="L41" s="514">
        <f t="shared" si="1"/>
        <v>0</v>
      </c>
      <c r="M41" s="525"/>
      <c r="N41" s="514">
        <f t="shared" si="3"/>
        <v>0</v>
      </c>
      <c r="O41" s="514">
        <f t="shared" si="4"/>
        <v>0</v>
      </c>
      <c r="P41" s="272"/>
    </row>
    <row r="42" spans="2:16">
      <c r="B42" s="195" t="str">
        <f t="shared" si="7"/>
        <v/>
      </c>
      <c r="C42" s="507">
        <f>IF(D11="","-",+C41+1)</f>
        <v>2041</v>
      </c>
      <c r="D42" s="523">
        <f>IF(F41+SUM(E$17:E41)=D$10,F41,D$10-SUM(E$17:E41))</f>
        <v>43219599.200878769</v>
      </c>
      <c r="E42" s="522">
        <f>IF(+I14&lt;F41,I14,D42)</f>
        <v>2212962.5909090908</v>
      </c>
      <c r="F42" s="523">
        <f t="shared" si="14"/>
        <v>41006636.609969676</v>
      </c>
      <c r="G42" s="524">
        <f t="shared" si="15"/>
        <v>7246622.7791526495</v>
      </c>
      <c r="H42" s="491">
        <f t="shared" si="16"/>
        <v>7246622.7791526495</v>
      </c>
      <c r="I42" s="511">
        <f t="shared" si="5"/>
        <v>0</v>
      </c>
      <c r="J42" s="511"/>
      <c r="K42" s="525"/>
      <c r="L42" s="514">
        <f t="shared" si="1"/>
        <v>0</v>
      </c>
      <c r="M42" s="525"/>
      <c r="N42" s="514">
        <f t="shared" si="3"/>
        <v>0</v>
      </c>
      <c r="O42" s="514">
        <f t="shared" si="4"/>
        <v>0</v>
      </c>
      <c r="P42" s="272"/>
    </row>
    <row r="43" spans="2:16">
      <c r="B43" s="195" t="str">
        <f t="shared" si="7"/>
        <v/>
      </c>
      <c r="C43" s="507">
        <f>IF(D11="","-",+C42+1)</f>
        <v>2042</v>
      </c>
      <c r="D43" s="523">
        <f>IF(F42+SUM(E$17:E42)=D$10,F42,D$10-SUM(E$17:E42))</f>
        <v>41006636.609969676</v>
      </c>
      <c r="E43" s="522">
        <f>IF(+I14&lt;F42,I14,D43)</f>
        <v>2212962.5909090908</v>
      </c>
      <c r="F43" s="523">
        <f t="shared" si="14"/>
        <v>38793674.019060582</v>
      </c>
      <c r="G43" s="524">
        <f t="shared" si="15"/>
        <v>6982113.7082036026</v>
      </c>
      <c r="H43" s="491">
        <f t="shared" si="16"/>
        <v>6982113.7082036026</v>
      </c>
      <c r="I43" s="511">
        <f t="shared" si="5"/>
        <v>0</v>
      </c>
      <c r="J43" s="511"/>
      <c r="K43" s="525"/>
      <c r="L43" s="514">
        <f t="shared" si="1"/>
        <v>0</v>
      </c>
      <c r="M43" s="525"/>
      <c r="N43" s="514">
        <f t="shared" si="3"/>
        <v>0</v>
      </c>
      <c r="O43" s="514">
        <f t="shared" si="4"/>
        <v>0</v>
      </c>
      <c r="P43" s="272"/>
    </row>
    <row r="44" spans="2:16">
      <c r="B44" s="195" t="str">
        <f t="shared" si="7"/>
        <v/>
      </c>
      <c r="C44" s="507">
        <f>IF(D11="","-",+C43+1)</f>
        <v>2043</v>
      </c>
      <c r="D44" s="523">
        <f>IF(F43+SUM(E$17:E43)=D$10,F43,D$10-SUM(E$17:E43))</f>
        <v>38793674.019060582</v>
      </c>
      <c r="E44" s="522">
        <f>IF(+I14&lt;F43,I14,D44)</f>
        <v>2212962.5909090908</v>
      </c>
      <c r="F44" s="523">
        <f t="shared" si="14"/>
        <v>36580711.428151488</v>
      </c>
      <c r="G44" s="524">
        <f t="shared" si="15"/>
        <v>6717604.6372545557</v>
      </c>
      <c r="H44" s="491">
        <f t="shared" si="16"/>
        <v>6717604.6372545557</v>
      </c>
      <c r="I44" s="511">
        <f t="shared" si="5"/>
        <v>0</v>
      </c>
      <c r="J44" s="511"/>
      <c r="K44" s="525"/>
      <c r="L44" s="514">
        <f t="shared" si="1"/>
        <v>0</v>
      </c>
      <c r="M44" s="525"/>
      <c r="N44" s="514">
        <f t="shared" si="3"/>
        <v>0</v>
      </c>
      <c r="O44" s="514">
        <f t="shared" si="4"/>
        <v>0</v>
      </c>
      <c r="P44" s="272"/>
    </row>
    <row r="45" spans="2:16">
      <c r="B45" s="195" t="str">
        <f t="shared" si="7"/>
        <v/>
      </c>
      <c r="C45" s="507">
        <f>IF(D11="","-",+C44+1)</f>
        <v>2044</v>
      </c>
      <c r="D45" s="523">
        <f>IF(F44+SUM(E$17:E44)=D$10,F44,D$10-SUM(E$17:E44))</f>
        <v>36580711.428151488</v>
      </c>
      <c r="E45" s="522">
        <f>IF(+I14&lt;F44,I14,D45)</f>
        <v>2212962.5909090908</v>
      </c>
      <c r="F45" s="523">
        <f t="shared" si="14"/>
        <v>34367748.837242395</v>
      </c>
      <c r="G45" s="524">
        <f t="shared" si="15"/>
        <v>6453095.5663055098</v>
      </c>
      <c r="H45" s="491">
        <f t="shared" si="16"/>
        <v>6453095.5663055098</v>
      </c>
      <c r="I45" s="511">
        <f t="shared" si="5"/>
        <v>0</v>
      </c>
      <c r="J45" s="511"/>
      <c r="K45" s="525"/>
      <c r="L45" s="514">
        <f t="shared" si="1"/>
        <v>0</v>
      </c>
      <c r="M45" s="525"/>
      <c r="N45" s="514">
        <f t="shared" si="3"/>
        <v>0</v>
      </c>
      <c r="O45" s="514">
        <f t="shared" si="4"/>
        <v>0</v>
      </c>
      <c r="P45" s="272"/>
    </row>
    <row r="46" spans="2:16">
      <c r="B46" s="195" t="str">
        <f t="shared" si="7"/>
        <v/>
      </c>
      <c r="C46" s="507">
        <f>IF(D11="","-",+C45+1)</f>
        <v>2045</v>
      </c>
      <c r="D46" s="523">
        <f>IF(F45+SUM(E$17:E45)=D$10,F45,D$10-SUM(E$17:E45))</f>
        <v>34367748.837242395</v>
      </c>
      <c r="E46" s="522">
        <f>IF(+I14&lt;F45,I14,D46)</f>
        <v>2212962.5909090908</v>
      </c>
      <c r="F46" s="523">
        <f t="shared" si="14"/>
        <v>32154786.246333305</v>
      </c>
      <c r="G46" s="524">
        <f t="shared" si="15"/>
        <v>6188586.4953564629</v>
      </c>
      <c r="H46" s="491">
        <f t="shared" si="16"/>
        <v>6188586.4953564629</v>
      </c>
      <c r="I46" s="511">
        <f t="shared" si="5"/>
        <v>0</v>
      </c>
      <c r="J46" s="511"/>
      <c r="K46" s="525"/>
      <c r="L46" s="514">
        <f t="shared" si="1"/>
        <v>0</v>
      </c>
      <c r="M46" s="525"/>
      <c r="N46" s="514">
        <f t="shared" si="3"/>
        <v>0</v>
      </c>
      <c r="O46" s="514">
        <f t="shared" si="4"/>
        <v>0</v>
      </c>
      <c r="P46" s="272"/>
    </row>
    <row r="47" spans="2:16">
      <c r="B47" s="195" t="str">
        <f t="shared" si="7"/>
        <v/>
      </c>
      <c r="C47" s="507">
        <f>IF(D11="","-",+C46+1)</f>
        <v>2046</v>
      </c>
      <c r="D47" s="523">
        <f>IF(F46+SUM(E$17:E46)=D$10,F46,D$10-SUM(E$17:E46))</f>
        <v>32154786.246333305</v>
      </c>
      <c r="E47" s="522">
        <f>IF(+I14&lt;F46,I14,D47)</f>
        <v>2212962.5909090908</v>
      </c>
      <c r="F47" s="523">
        <f t="shared" si="14"/>
        <v>29941823.655424215</v>
      </c>
      <c r="G47" s="524">
        <f t="shared" si="15"/>
        <v>5924077.424407417</v>
      </c>
      <c r="H47" s="491">
        <f t="shared" si="16"/>
        <v>5924077.424407417</v>
      </c>
      <c r="I47" s="511">
        <f t="shared" si="5"/>
        <v>0</v>
      </c>
      <c r="J47" s="511"/>
      <c r="K47" s="525"/>
      <c r="L47" s="514">
        <f t="shared" si="1"/>
        <v>0</v>
      </c>
      <c r="M47" s="525"/>
      <c r="N47" s="514">
        <f t="shared" si="3"/>
        <v>0</v>
      </c>
      <c r="O47" s="514">
        <f t="shared" si="4"/>
        <v>0</v>
      </c>
      <c r="P47" s="272"/>
    </row>
    <row r="48" spans="2:16">
      <c r="B48" s="195" t="str">
        <f t="shared" si="7"/>
        <v/>
      </c>
      <c r="C48" s="507">
        <f>IF(D11="","-",+C47+1)</f>
        <v>2047</v>
      </c>
      <c r="D48" s="523">
        <f>IF(F47+SUM(E$17:E47)=D$10,F47,D$10-SUM(E$17:E47))</f>
        <v>29941823.655424215</v>
      </c>
      <c r="E48" s="522">
        <f>IF(+I14&lt;F47,I14,D48)</f>
        <v>2212962.5909090908</v>
      </c>
      <c r="F48" s="523">
        <f t="shared" si="14"/>
        <v>27728861.064515125</v>
      </c>
      <c r="G48" s="524">
        <f t="shared" si="15"/>
        <v>5659568.353458371</v>
      </c>
      <c r="H48" s="491">
        <f t="shared" si="16"/>
        <v>5659568.353458371</v>
      </c>
      <c r="I48" s="511">
        <f t="shared" si="5"/>
        <v>0</v>
      </c>
      <c r="J48" s="511"/>
      <c r="K48" s="525"/>
      <c r="L48" s="514">
        <f t="shared" si="1"/>
        <v>0</v>
      </c>
      <c r="M48" s="525"/>
      <c r="N48" s="514">
        <f t="shared" si="3"/>
        <v>0</v>
      </c>
      <c r="O48" s="514">
        <f t="shared" si="4"/>
        <v>0</v>
      </c>
      <c r="P48" s="272"/>
    </row>
    <row r="49" spans="2:16">
      <c r="B49" s="195" t="str">
        <f t="shared" si="7"/>
        <v/>
      </c>
      <c r="C49" s="507">
        <f>IF(D11="","-",+C48+1)</f>
        <v>2048</v>
      </c>
      <c r="D49" s="523">
        <f>IF(F48+SUM(E$17:E48)=D$10,F48,D$10-SUM(E$17:E48))</f>
        <v>27728861.064515125</v>
      </c>
      <c r="E49" s="522">
        <f>IF(+I14&lt;F48,I14,D49)</f>
        <v>2212962.5909090908</v>
      </c>
      <c r="F49" s="523">
        <f t="shared" si="14"/>
        <v>25515898.473606035</v>
      </c>
      <c r="G49" s="524">
        <f t="shared" si="15"/>
        <v>5395059.2825093251</v>
      </c>
      <c r="H49" s="491">
        <f t="shared" si="16"/>
        <v>5395059.2825093251</v>
      </c>
      <c r="I49" s="511">
        <f t="shared" si="5"/>
        <v>0</v>
      </c>
      <c r="J49" s="511"/>
      <c r="K49" s="525"/>
      <c r="L49" s="514">
        <f t="shared" si="1"/>
        <v>0</v>
      </c>
      <c r="M49" s="525"/>
      <c r="N49" s="514">
        <f t="shared" si="3"/>
        <v>0</v>
      </c>
      <c r="O49" s="514">
        <f t="shared" si="4"/>
        <v>0</v>
      </c>
      <c r="P49" s="272"/>
    </row>
    <row r="50" spans="2:16">
      <c r="B50" s="195" t="str">
        <f t="shared" si="7"/>
        <v/>
      </c>
      <c r="C50" s="507">
        <f>IF(D11="","-",+C49+1)</f>
        <v>2049</v>
      </c>
      <c r="D50" s="523">
        <f>IF(F49+SUM(E$17:E49)=D$10,F49,D$10-SUM(E$17:E49))</f>
        <v>25515898.473606035</v>
      </c>
      <c r="E50" s="522">
        <f>IF(+I14&lt;F49,I14,D50)</f>
        <v>2212962.5909090908</v>
      </c>
      <c r="F50" s="523">
        <f t="shared" si="14"/>
        <v>23302935.882696945</v>
      </c>
      <c r="G50" s="524">
        <f t="shared" ref="G50:G72" si="17">+I$12*((D50+F50)/2)+E50</f>
        <v>5130550.2115602782</v>
      </c>
      <c r="H50" s="491">
        <f t="shared" ref="H50:H72" si="18">+I$13*((D50+F50)/2)+E50</f>
        <v>5130550.2115602782</v>
      </c>
      <c r="I50" s="511">
        <f t="shared" si="5"/>
        <v>0</v>
      </c>
      <c r="J50" s="511"/>
      <c r="K50" s="525"/>
      <c r="L50" s="514">
        <f t="shared" si="1"/>
        <v>0</v>
      </c>
      <c r="M50" s="525"/>
      <c r="N50" s="514">
        <f t="shared" si="3"/>
        <v>0</v>
      </c>
      <c r="O50" s="514">
        <f t="shared" si="4"/>
        <v>0</v>
      </c>
      <c r="P50" s="272"/>
    </row>
    <row r="51" spans="2:16">
      <c r="B51" s="195" t="str">
        <f t="shared" si="7"/>
        <v/>
      </c>
      <c r="C51" s="507">
        <f>IF(D11="","-",+C50+1)</f>
        <v>2050</v>
      </c>
      <c r="D51" s="523">
        <f>IF(F50+SUM(E$17:E50)=D$10,F50,D$10-SUM(E$17:E50))</f>
        <v>23302935.882696945</v>
      </c>
      <c r="E51" s="522">
        <f>IF(+I14&lt;F50,I14,D51)</f>
        <v>2212962.5909090908</v>
      </c>
      <c r="F51" s="523">
        <f t="shared" si="14"/>
        <v>21089973.291787855</v>
      </c>
      <c r="G51" s="524">
        <f t="shared" si="17"/>
        <v>4866041.1406112323</v>
      </c>
      <c r="H51" s="491">
        <f t="shared" si="18"/>
        <v>4866041.1406112323</v>
      </c>
      <c r="I51" s="511">
        <f t="shared" si="5"/>
        <v>0</v>
      </c>
      <c r="J51" s="511"/>
      <c r="K51" s="525"/>
      <c r="L51" s="514">
        <f t="shared" si="1"/>
        <v>0</v>
      </c>
      <c r="M51" s="525"/>
      <c r="N51" s="514">
        <f t="shared" si="3"/>
        <v>0</v>
      </c>
      <c r="O51" s="514">
        <f t="shared" si="4"/>
        <v>0</v>
      </c>
      <c r="P51" s="272"/>
    </row>
    <row r="52" spans="2:16">
      <c r="B52" s="195" t="str">
        <f t="shared" si="7"/>
        <v/>
      </c>
      <c r="C52" s="507">
        <f>IF(D11="","-",+C51+1)</f>
        <v>2051</v>
      </c>
      <c r="D52" s="523">
        <f>IF(F51+SUM(E$17:E51)=D$10,F51,D$10-SUM(E$17:E51))</f>
        <v>21089973.291787855</v>
      </c>
      <c r="E52" s="522">
        <f>IF(+I14&lt;F51,I14,D52)</f>
        <v>2212962.5909090908</v>
      </c>
      <c r="F52" s="523">
        <f t="shared" si="14"/>
        <v>18877010.700878765</v>
      </c>
      <c r="G52" s="524">
        <f t="shared" si="17"/>
        <v>4601532.0696621854</v>
      </c>
      <c r="H52" s="491">
        <f t="shared" si="18"/>
        <v>4601532.0696621854</v>
      </c>
      <c r="I52" s="511">
        <f t="shared" si="5"/>
        <v>0</v>
      </c>
      <c r="J52" s="511"/>
      <c r="K52" s="525"/>
      <c r="L52" s="514">
        <f t="shared" si="1"/>
        <v>0</v>
      </c>
      <c r="M52" s="525"/>
      <c r="N52" s="514">
        <f t="shared" si="3"/>
        <v>0</v>
      </c>
      <c r="O52" s="514">
        <f t="shared" si="4"/>
        <v>0</v>
      </c>
      <c r="P52" s="272"/>
    </row>
    <row r="53" spans="2:16">
      <c r="B53" s="195" t="str">
        <f t="shared" si="7"/>
        <v/>
      </c>
      <c r="C53" s="507">
        <f>IF(D11="","-",+C52+1)</f>
        <v>2052</v>
      </c>
      <c r="D53" s="523">
        <f>IF(F52+SUM(E$17:E52)=D$10,F52,D$10-SUM(E$17:E52))</f>
        <v>18877010.700878765</v>
      </c>
      <c r="E53" s="522">
        <f>IF(+I14&lt;F52,I14,D53)</f>
        <v>2212962.5909090908</v>
      </c>
      <c r="F53" s="523">
        <f t="shared" si="14"/>
        <v>16664048.109969676</v>
      </c>
      <c r="G53" s="524">
        <f t="shared" si="17"/>
        <v>4337022.9987131394</v>
      </c>
      <c r="H53" s="491">
        <f t="shared" si="18"/>
        <v>4337022.9987131394</v>
      </c>
      <c r="I53" s="511">
        <f t="shared" si="5"/>
        <v>0</v>
      </c>
      <c r="J53" s="511"/>
      <c r="K53" s="525"/>
      <c r="L53" s="514">
        <f t="shared" si="1"/>
        <v>0</v>
      </c>
      <c r="M53" s="525"/>
      <c r="N53" s="514">
        <f t="shared" si="3"/>
        <v>0</v>
      </c>
      <c r="O53" s="514">
        <f t="shared" si="4"/>
        <v>0</v>
      </c>
      <c r="P53" s="272"/>
    </row>
    <row r="54" spans="2:16">
      <c r="B54" s="195" t="str">
        <f t="shared" si="7"/>
        <v/>
      </c>
      <c r="C54" s="507">
        <f>IF(D11="","-",+C53+1)</f>
        <v>2053</v>
      </c>
      <c r="D54" s="523">
        <f>IF(F53+SUM(E$17:E53)=D$10,F53,D$10-SUM(E$17:E53))</f>
        <v>16664048.109969676</v>
      </c>
      <c r="E54" s="522">
        <f>IF(+I14&lt;F53,I14,D54)</f>
        <v>2212962.5909090908</v>
      </c>
      <c r="F54" s="523">
        <f t="shared" si="14"/>
        <v>14451085.519060586</v>
      </c>
      <c r="G54" s="524">
        <f t="shared" si="17"/>
        <v>4072513.9277640935</v>
      </c>
      <c r="H54" s="491">
        <f t="shared" si="18"/>
        <v>4072513.9277640935</v>
      </c>
      <c r="I54" s="511">
        <f t="shared" si="5"/>
        <v>0</v>
      </c>
      <c r="J54" s="511"/>
      <c r="K54" s="525"/>
      <c r="L54" s="514">
        <f t="shared" si="1"/>
        <v>0</v>
      </c>
      <c r="M54" s="525"/>
      <c r="N54" s="514">
        <f t="shared" si="3"/>
        <v>0</v>
      </c>
      <c r="O54" s="514">
        <f t="shared" si="4"/>
        <v>0</v>
      </c>
      <c r="P54" s="272"/>
    </row>
    <row r="55" spans="2:16">
      <c r="B55" s="195" t="str">
        <f t="shared" si="7"/>
        <v/>
      </c>
      <c r="C55" s="507">
        <f>IF(D11="","-",+C54+1)</f>
        <v>2054</v>
      </c>
      <c r="D55" s="523">
        <f>IF(F54+SUM(E$17:E54)=D$10,F54,D$10-SUM(E$17:E54))</f>
        <v>14451085.519060586</v>
      </c>
      <c r="E55" s="522">
        <f>IF(+I14&lt;F54,I14,D55)</f>
        <v>2212962.5909090908</v>
      </c>
      <c r="F55" s="523">
        <f t="shared" si="14"/>
        <v>12238122.928151496</v>
      </c>
      <c r="G55" s="524">
        <f t="shared" si="17"/>
        <v>3808004.8568150476</v>
      </c>
      <c r="H55" s="491">
        <f t="shared" si="18"/>
        <v>3808004.8568150476</v>
      </c>
      <c r="I55" s="511">
        <f t="shared" si="5"/>
        <v>0</v>
      </c>
      <c r="J55" s="511"/>
      <c r="K55" s="525"/>
      <c r="L55" s="514">
        <f t="shared" si="1"/>
        <v>0</v>
      </c>
      <c r="M55" s="525"/>
      <c r="N55" s="514">
        <f t="shared" si="3"/>
        <v>0</v>
      </c>
      <c r="O55" s="514">
        <f t="shared" si="4"/>
        <v>0</v>
      </c>
      <c r="P55" s="272"/>
    </row>
    <row r="56" spans="2:16">
      <c r="B56" s="195" t="str">
        <f t="shared" si="7"/>
        <v/>
      </c>
      <c r="C56" s="507">
        <f>IF(D11="","-",+C55+1)</f>
        <v>2055</v>
      </c>
      <c r="D56" s="523">
        <f>IF(F55+SUM(E$17:E55)=D$10,F55,D$10-SUM(E$17:E55))</f>
        <v>12238122.928151496</v>
      </c>
      <c r="E56" s="522">
        <f>IF(+I14&lt;F55,I14,D56)</f>
        <v>2212962.5909090908</v>
      </c>
      <c r="F56" s="523">
        <f t="shared" si="14"/>
        <v>10025160.337242406</v>
      </c>
      <c r="G56" s="524">
        <f t="shared" si="17"/>
        <v>3543495.7858660016</v>
      </c>
      <c r="H56" s="491">
        <f t="shared" si="18"/>
        <v>3543495.7858660016</v>
      </c>
      <c r="I56" s="511">
        <f t="shared" si="5"/>
        <v>0</v>
      </c>
      <c r="J56" s="511"/>
      <c r="K56" s="525"/>
      <c r="L56" s="514">
        <f t="shared" si="1"/>
        <v>0</v>
      </c>
      <c r="M56" s="525"/>
      <c r="N56" s="514">
        <f t="shared" si="3"/>
        <v>0</v>
      </c>
      <c r="O56" s="514">
        <f t="shared" si="4"/>
        <v>0</v>
      </c>
      <c r="P56" s="272"/>
    </row>
    <row r="57" spans="2:16">
      <c r="B57" s="195" t="str">
        <f t="shared" si="7"/>
        <v/>
      </c>
      <c r="C57" s="507">
        <f>IF(D11="","-",+C56+1)</f>
        <v>2056</v>
      </c>
      <c r="D57" s="523">
        <f>IF(F56+SUM(E$17:E56)=D$10,F56,D$10-SUM(E$17:E56))</f>
        <v>10025160.337242406</v>
      </c>
      <c r="E57" s="522">
        <f>IF(+I14&lt;F56,I14,D57)</f>
        <v>2212962.5909090908</v>
      </c>
      <c r="F57" s="523">
        <f t="shared" si="14"/>
        <v>7812197.746333315</v>
      </c>
      <c r="G57" s="524">
        <f t="shared" si="17"/>
        <v>3278986.7149169552</v>
      </c>
      <c r="H57" s="491">
        <f t="shared" si="18"/>
        <v>3278986.7149169552</v>
      </c>
      <c r="I57" s="511">
        <f t="shared" si="5"/>
        <v>0</v>
      </c>
      <c r="J57" s="511"/>
      <c r="K57" s="525"/>
      <c r="L57" s="514">
        <f t="shared" si="1"/>
        <v>0</v>
      </c>
      <c r="M57" s="525"/>
      <c r="N57" s="514">
        <f t="shared" si="3"/>
        <v>0</v>
      </c>
      <c r="O57" s="514">
        <f t="shared" si="4"/>
        <v>0</v>
      </c>
      <c r="P57" s="272"/>
    </row>
    <row r="58" spans="2:16">
      <c r="B58" s="195" t="str">
        <f t="shared" si="7"/>
        <v/>
      </c>
      <c r="C58" s="507">
        <f>IF(D11="","-",+C57+1)</f>
        <v>2057</v>
      </c>
      <c r="D58" s="523">
        <f>IF(F57+SUM(E$17:E57)=D$10,F57,D$10-SUM(E$17:E57))</f>
        <v>7812197.746333315</v>
      </c>
      <c r="E58" s="522">
        <f>IF(+I14&lt;F57,I14,D58)</f>
        <v>2212962.5909090908</v>
      </c>
      <c r="F58" s="523">
        <f t="shared" si="14"/>
        <v>5599235.1554242242</v>
      </c>
      <c r="G58" s="524">
        <f t="shared" si="17"/>
        <v>3014477.6439679088</v>
      </c>
      <c r="H58" s="491">
        <f t="shared" si="18"/>
        <v>3014477.6439679088</v>
      </c>
      <c r="I58" s="511">
        <f t="shared" si="5"/>
        <v>0</v>
      </c>
      <c r="J58" s="511"/>
      <c r="K58" s="525"/>
      <c r="L58" s="514">
        <f t="shared" si="1"/>
        <v>0</v>
      </c>
      <c r="M58" s="525"/>
      <c r="N58" s="514">
        <f t="shared" si="3"/>
        <v>0</v>
      </c>
      <c r="O58" s="514">
        <f t="shared" si="4"/>
        <v>0</v>
      </c>
      <c r="P58" s="272"/>
    </row>
    <row r="59" spans="2:16">
      <c r="B59" s="195" t="str">
        <f t="shared" si="7"/>
        <v/>
      </c>
      <c r="C59" s="507">
        <f>IF(D11="","-",+C58+1)</f>
        <v>2058</v>
      </c>
      <c r="D59" s="523">
        <f>IF(F58+SUM(E$17:E58)=D$10,F58,D$10-SUM(E$17:E58))</f>
        <v>5599235.1554242242</v>
      </c>
      <c r="E59" s="522">
        <f>IF(+I14&lt;F58,I14,D59)</f>
        <v>2212962.5909090908</v>
      </c>
      <c r="F59" s="523">
        <f t="shared" si="14"/>
        <v>3386272.5645151334</v>
      </c>
      <c r="G59" s="524">
        <f t="shared" si="17"/>
        <v>2749968.5730188629</v>
      </c>
      <c r="H59" s="491">
        <f t="shared" si="18"/>
        <v>2749968.5730188629</v>
      </c>
      <c r="I59" s="511">
        <f t="shared" si="5"/>
        <v>0</v>
      </c>
      <c r="J59" s="511"/>
      <c r="K59" s="525"/>
      <c r="L59" s="514">
        <f t="shared" si="1"/>
        <v>0</v>
      </c>
      <c r="M59" s="525"/>
      <c r="N59" s="514">
        <f t="shared" si="3"/>
        <v>0</v>
      </c>
      <c r="O59" s="514">
        <f t="shared" si="4"/>
        <v>0</v>
      </c>
      <c r="P59" s="272"/>
    </row>
    <row r="60" spans="2:16">
      <c r="B60" s="195" t="str">
        <f t="shared" si="7"/>
        <v/>
      </c>
      <c r="C60" s="507">
        <f>IF(D11="","-",+C59+1)</f>
        <v>2059</v>
      </c>
      <c r="D60" s="523">
        <f>IF(F59+SUM(E$17:E59)=D$10,F59,D$10-SUM(E$17:E59))</f>
        <v>3386272.5645151334</v>
      </c>
      <c r="E60" s="522">
        <f>IF(+I14&lt;F59,I14,D60)</f>
        <v>2212962.5909090908</v>
      </c>
      <c r="F60" s="523">
        <f t="shared" si="14"/>
        <v>1173309.9736060426</v>
      </c>
      <c r="G60" s="524">
        <f t="shared" si="17"/>
        <v>2485459.5020698165</v>
      </c>
      <c r="H60" s="491">
        <f t="shared" si="18"/>
        <v>2485459.5020698165</v>
      </c>
      <c r="I60" s="511">
        <f t="shared" si="5"/>
        <v>0</v>
      </c>
      <c r="J60" s="511"/>
      <c r="K60" s="525"/>
      <c r="L60" s="514">
        <f t="shared" si="1"/>
        <v>0</v>
      </c>
      <c r="M60" s="525"/>
      <c r="N60" s="514">
        <f t="shared" si="3"/>
        <v>0</v>
      </c>
      <c r="O60" s="514">
        <f t="shared" si="4"/>
        <v>0</v>
      </c>
      <c r="P60" s="272"/>
    </row>
    <row r="61" spans="2:16">
      <c r="B61" s="195" t="str">
        <f t="shared" si="7"/>
        <v/>
      </c>
      <c r="C61" s="507">
        <f>IF(D11="","-",+C60+1)</f>
        <v>2060</v>
      </c>
      <c r="D61" s="523">
        <f>IF(F60+SUM(E$17:E60)=D$10,F60,D$10-SUM(E$17:E60))</f>
        <v>1173309.9736060426</v>
      </c>
      <c r="E61" s="522">
        <f>IF(+I14&lt;F60,I14,D61)</f>
        <v>1173309.9736060426</v>
      </c>
      <c r="F61" s="523">
        <f t="shared" si="14"/>
        <v>0</v>
      </c>
      <c r="G61" s="526">
        <f t="shared" si="17"/>
        <v>1243431.1614491437</v>
      </c>
      <c r="H61" s="491">
        <f t="shared" si="18"/>
        <v>1243431.1614491437</v>
      </c>
      <c r="I61" s="511">
        <f t="shared" si="5"/>
        <v>0</v>
      </c>
      <c r="J61" s="511"/>
      <c r="K61" s="525"/>
      <c r="L61" s="514">
        <f t="shared" si="1"/>
        <v>0</v>
      </c>
      <c r="M61" s="525"/>
      <c r="N61" s="514">
        <f t="shared" si="3"/>
        <v>0</v>
      </c>
      <c r="O61" s="514">
        <f t="shared" si="4"/>
        <v>0</v>
      </c>
      <c r="P61" s="272"/>
    </row>
    <row r="62" spans="2:16">
      <c r="B62" s="195" t="str">
        <f t="shared" si="7"/>
        <v/>
      </c>
      <c r="C62" s="507">
        <f>IF(D11="","-",+C61+1)</f>
        <v>2061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14"/>
        <v>0</v>
      </c>
      <c r="G62" s="526">
        <f t="shared" si="17"/>
        <v>0</v>
      </c>
      <c r="H62" s="491">
        <f t="shared" si="18"/>
        <v>0</v>
      </c>
      <c r="I62" s="511">
        <f t="shared" si="5"/>
        <v>0</v>
      </c>
      <c r="J62" s="511"/>
      <c r="K62" s="525"/>
      <c r="L62" s="514">
        <f t="shared" si="1"/>
        <v>0</v>
      </c>
      <c r="M62" s="525"/>
      <c r="N62" s="514">
        <f t="shared" si="3"/>
        <v>0</v>
      </c>
      <c r="O62" s="514">
        <f t="shared" si="4"/>
        <v>0</v>
      </c>
      <c r="P62" s="272"/>
    </row>
    <row r="63" spans="2:16">
      <c r="B63" s="195" t="str">
        <f t="shared" si="7"/>
        <v/>
      </c>
      <c r="C63" s="507">
        <f>IF(D11="","-",+C62+1)</f>
        <v>2062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14"/>
        <v>0</v>
      </c>
      <c r="G63" s="526">
        <f t="shared" si="17"/>
        <v>0</v>
      </c>
      <c r="H63" s="491">
        <f t="shared" si="18"/>
        <v>0</v>
      </c>
      <c r="I63" s="511">
        <f t="shared" si="5"/>
        <v>0</v>
      </c>
      <c r="J63" s="511"/>
      <c r="K63" s="525"/>
      <c r="L63" s="514">
        <f t="shared" si="1"/>
        <v>0</v>
      </c>
      <c r="M63" s="525"/>
      <c r="N63" s="514">
        <f t="shared" si="3"/>
        <v>0</v>
      </c>
      <c r="O63" s="514">
        <f t="shared" si="4"/>
        <v>0</v>
      </c>
      <c r="P63" s="272"/>
    </row>
    <row r="64" spans="2:16">
      <c r="B64" s="195" t="str">
        <f t="shared" si="7"/>
        <v/>
      </c>
      <c r="C64" s="507">
        <f>IF(D11="","-",+C63+1)</f>
        <v>2063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14"/>
        <v>0</v>
      </c>
      <c r="G64" s="526">
        <f t="shared" si="17"/>
        <v>0</v>
      </c>
      <c r="H64" s="491">
        <f t="shared" si="18"/>
        <v>0</v>
      </c>
      <c r="I64" s="511">
        <f t="shared" si="5"/>
        <v>0</v>
      </c>
      <c r="J64" s="511"/>
      <c r="K64" s="525"/>
      <c r="L64" s="514">
        <f t="shared" si="1"/>
        <v>0</v>
      </c>
      <c r="M64" s="525"/>
      <c r="N64" s="514">
        <f t="shared" si="3"/>
        <v>0</v>
      </c>
      <c r="O64" s="514">
        <f t="shared" si="4"/>
        <v>0</v>
      </c>
      <c r="P64" s="272"/>
    </row>
    <row r="65" spans="2:16">
      <c r="B65" s="195" t="str">
        <f t="shared" si="7"/>
        <v/>
      </c>
      <c r="C65" s="507">
        <f>IF(D11="","-",+C64+1)</f>
        <v>2064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14"/>
        <v>0</v>
      </c>
      <c r="G65" s="526">
        <f t="shared" si="17"/>
        <v>0</v>
      </c>
      <c r="H65" s="491">
        <f t="shared" si="18"/>
        <v>0</v>
      </c>
      <c r="I65" s="511">
        <f t="shared" si="5"/>
        <v>0</v>
      </c>
      <c r="J65" s="511"/>
      <c r="K65" s="525"/>
      <c r="L65" s="514">
        <f t="shared" si="1"/>
        <v>0</v>
      </c>
      <c r="M65" s="525"/>
      <c r="N65" s="514">
        <f t="shared" si="3"/>
        <v>0</v>
      </c>
      <c r="O65" s="514">
        <f t="shared" si="4"/>
        <v>0</v>
      </c>
      <c r="P65" s="272"/>
    </row>
    <row r="66" spans="2:16">
      <c r="B66" s="195" t="str">
        <f t="shared" si="7"/>
        <v/>
      </c>
      <c r="C66" s="507">
        <f>IF(D11="","-",+C65+1)</f>
        <v>2065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14"/>
        <v>0</v>
      </c>
      <c r="G66" s="526">
        <f t="shared" si="17"/>
        <v>0</v>
      </c>
      <c r="H66" s="491">
        <f t="shared" si="18"/>
        <v>0</v>
      </c>
      <c r="I66" s="511">
        <f t="shared" si="5"/>
        <v>0</v>
      </c>
      <c r="J66" s="511"/>
      <c r="K66" s="525"/>
      <c r="L66" s="514">
        <f t="shared" si="1"/>
        <v>0</v>
      </c>
      <c r="M66" s="525"/>
      <c r="N66" s="514">
        <f t="shared" si="3"/>
        <v>0</v>
      </c>
      <c r="O66" s="514">
        <f t="shared" si="4"/>
        <v>0</v>
      </c>
      <c r="P66" s="272"/>
    </row>
    <row r="67" spans="2:16">
      <c r="B67" s="195" t="str">
        <f t="shared" si="7"/>
        <v/>
      </c>
      <c r="C67" s="507">
        <f>IF(D11="","-",+C66+1)</f>
        <v>2066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14"/>
        <v>0</v>
      </c>
      <c r="G67" s="526">
        <f t="shared" si="17"/>
        <v>0</v>
      </c>
      <c r="H67" s="491">
        <f t="shared" si="18"/>
        <v>0</v>
      </c>
      <c r="I67" s="511">
        <f t="shared" si="5"/>
        <v>0</v>
      </c>
      <c r="J67" s="511"/>
      <c r="K67" s="525"/>
      <c r="L67" s="514">
        <f t="shared" si="1"/>
        <v>0</v>
      </c>
      <c r="M67" s="525"/>
      <c r="N67" s="514">
        <f t="shared" si="3"/>
        <v>0</v>
      </c>
      <c r="O67" s="514">
        <f t="shared" si="4"/>
        <v>0</v>
      </c>
      <c r="P67" s="272"/>
    </row>
    <row r="68" spans="2:16">
      <c r="B68" s="195" t="str">
        <f t="shared" si="7"/>
        <v/>
      </c>
      <c r="C68" s="507">
        <f>IF(D11="","-",+C67+1)</f>
        <v>2067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14"/>
        <v>0</v>
      </c>
      <c r="G68" s="526">
        <f t="shared" si="17"/>
        <v>0</v>
      </c>
      <c r="H68" s="491">
        <f t="shared" si="18"/>
        <v>0</v>
      </c>
      <c r="I68" s="511">
        <f t="shared" si="5"/>
        <v>0</v>
      </c>
      <c r="J68" s="511"/>
      <c r="K68" s="525"/>
      <c r="L68" s="514">
        <f t="shared" si="1"/>
        <v>0</v>
      </c>
      <c r="M68" s="525"/>
      <c r="N68" s="514">
        <f t="shared" si="3"/>
        <v>0</v>
      </c>
      <c r="O68" s="514">
        <f t="shared" si="4"/>
        <v>0</v>
      </c>
      <c r="P68" s="272"/>
    </row>
    <row r="69" spans="2:16">
      <c r="B69" s="195" t="str">
        <f t="shared" si="7"/>
        <v/>
      </c>
      <c r="C69" s="507">
        <f>IF(D11="","-",+C68+1)</f>
        <v>2068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14"/>
        <v>0</v>
      </c>
      <c r="G69" s="526">
        <f t="shared" si="17"/>
        <v>0</v>
      </c>
      <c r="H69" s="491">
        <f t="shared" si="18"/>
        <v>0</v>
      </c>
      <c r="I69" s="511">
        <f t="shared" si="5"/>
        <v>0</v>
      </c>
      <c r="J69" s="511"/>
      <c r="K69" s="525"/>
      <c r="L69" s="514">
        <f t="shared" si="1"/>
        <v>0</v>
      </c>
      <c r="M69" s="525"/>
      <c r="N69" s="514">
        <f t="shared" si="3"/>
        <v>0</v>
      </c>
      <c r="O69" s="514">
        <f t="shared" si="4"/>
        <v>0</v>
      </c>
      <c r="P69" s="272"/>
    </row>
    <row r="70" spans="2:16">
      <c r="B70" s="195" t="str">
        <f t="shared" si="7"/>
        <v/>
      </c>
      <c r="C70" s="507">
        <f>IF(D11="","-",+C69+1)</f>
        <v>2069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14"/>
        <v>0</v>
      </c>
      <c r="G70" s="526">
        <f t="shared" si="17"/>
        <v>0</v>
      </c>
      <c r="H70" s="491">
        <f t="shared" si="18"/>
        <v>0</v>
      </c>
      <c r="I70" s="511">
        <f t="shared" si="5"/>
        <v>0</v>
      </c>
      <c r="J70" s="511"/>
      <c r="K70" s="525"/>
      <c r="L70" s="514">
        <f t="shared" si="1"/>
        <v>0</v>
      </c>
      <c r="M70" s="525"/>
      <c r="N70" s="514">
        <f t="shared" si="3"/>
        <v>0</v>
      </c>
      <c r="O70" s="514">
        <f t="shared" si="4"/>
        <v>0</v>
      </c>
      <c r="P70" s="272"/>
    </row>
    <row r="71" spans="2:16">
      <c r="B71" s="195" t="str">
        <f t="shared" si="7"/>
        <v/>
      </c>
      <c r="C71" s="507">
        <f>IF(D11="","-",+C70+1)</f>
        <v>2070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14"/>
        <v>0</v>
      </c>
      <c r="G71" s="526">
        <f t="shared" si="17"/>
        <v>0</v>
      </c>
      <c r="H71" s="491">
        <f t="shared" si="18"/>
        <v>0</v>
      </c>
      <c r="I71" s="511">
        <f t="shared" si="5"/>
        <v>0</v>
      </c>
      <c r="J71" s="511"/>
      <c r="K71" s="525"/>
      <c r="L71" s="514">
        <f t="shared" si="1"/>
        <v>0</v>
      </c>
      <c r="M71" s="525"/>
      <c r="N71" s="514">
        <f t="shared" si="3"/>
        <v>0</v>
      </c>
      <c r="O71" s="514">
        <f t="shared" si="4"/>
        <v>0</v>
      </c>
      <c r="P71" s="272"/>
    </row>
    <row r="72" spans="2:16" ht="13.5" thickBot="1">
      <c r="B72" s="195" t="str">
        <f t="shared" si="7"/>
        <v/>
      </c>
      <c r="C72" s="527">
        <f>IF(D11="","-",+C71+1)</f>
        <v>2071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14"/>
        <v>0</v>
      </c>
      <c r="G72" s="530">
        <f t="shared" si="17"/>
        <v>0</v>
      </c>
      <c r="H72" s="471">
        <f t="shared" si="18"/>
        <v>0</v>
      </c>
      <c r="I72" s="531">
        <f t="shared" si="5"/>
        <v>0</v>
      </c>
      <c r="J72" s="511"/>
      <c r="K72" s="532"/>
      <c r="L72" s="533">
        <f t="shared" si="1"/>
        <v>0</v>
      </c>
      <c r="M72" s="532"/>
      <c r="N72" s="533">
        <f t="shared" si="3"/>
        <v>0</v>
      </c>
      <c r="O72" s="533">
        <f t="shared" si="4"/>
        <v>0</v>
      </c>
      <c r="P72" s="272"/>
    </row>
    <row r="73" spans="2:16">
      <c r="C73" s="374" t="s">
        <v>78</v>
      </c>
      <c r="D73" s="375"/>
      <c r="E73" s="375">
        <f>SUM(E17:E72)</f>
        <v>97370354.00000003</v>
      </c>
      <c r="F73" s="375"/>
      <c r="G73" s="375">
        <f>SUM(G17:G72)</f>
        <v>348469622.52279305</v>
      </c>
      <c r="H73" s="375">
        <f>SUM(H17:H72)</f>
        <v>348469622.52279305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2:16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2:16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2:16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2:16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272"/>
      <c r="P77" s="272"/>
    </row>
    <row r="78" spans="2:16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2:16"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  <c r="O79" s="269"/>
      <c r="P79" s="269"/>
    </row>
    <row r="80" spans="2:16" ht="18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6">
      <c r="B81" s="269"/>
      <c r="C81" s="340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6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</row>
    <row r="83" spans="1:16" ht="20.25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451" t="str">
        <f ca="1">P1</f>
        <v>SWEPCO Project 60 of 75</v>
      </c>
    </row>
    <row r="84" spans="1:16" ht="18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538" t="s">
        <v>128</v>
      </c>
    </row>
    <row r="85" spans="1:16" ht="18.7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</row>
    <row r="86" spans="1:16" ht="15.75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2022</v>
      </c>
      <c r="M86" s="541" t="s">
        <v>9</v>
      </c>
      <c r="N86" s="542" t="s">
        <v>159</v>
      </c>
      <c r="O86" s="543" t="s">
        <v>11</v>
      </c>
      <c r="P86" s="269"/>
    </row>
    <row r="87" spans="1:16" ht="1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391</v>
      </c>
      <c r="M87" s="546">
        <f>IF(J92&lt;D11,0,VLOOKUP(J92,C17:O72,9))</f>
        <v>11799344.189724851</v>
      </c>
      <c r="N87" s="546">
        <f>IF(J92&lt;D11,0,VLOOKUP(J92,C17:O72,11))</f>
        <v>11799344.189724851</v>
      </c>
      <c r="O87" s="547">
        <f>+N87-M87</f>
        <v>0</v>
      </c>
      <c r="P87" s="269"/>
    </row>
    <row r="88" spans="1:16" ht="15.7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392</v>
      </c>
      <c r="M88" s="550">
        <f>IF(J92&lt;D11,0,VLOOKUP(J92,C99:P154,6))</f>
        <v>12257609.738778368</v>
      </c>
      <c r="N88" s="550">
        <f>IF(J92&lt;D11,0,VLOOKUP(J92,C99:P154,7))</f>
        <v>12257609.738778368</v>
      </c>
      <c r="O88" s="551">
        <f>+N88-M88</f>
        <v>0</v>
      </c>
      <c r="P88" s="269"/>
    </row>
    <row r="89" spans="1:16" ht="13.5" thickBot="1">
      <c r="C89" s="467" t="s">
        <v>84</v>
      </c>
      <c r="D89" s="552" t="str">
        <f>+D7</f>
        <v>Valliant-NW Texarkana 345 kV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458265.54905351624</v>
      </c>
      <c r="N89" s="555">
        <f>+N88-N87</f>
        <v>458265.54905351624</v>
      </c>
      <c r="O89" s="556">
        <f>+O88-O87</f>
        <v>0</v>
      </c>
      <c r="P89" s="269"/>
    </row>
    <row r="90" spans="1:16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</row>
    <row r="91" spans="1:16" ht="13.5" thickBot="1">
      <c r="A91" s="191"/>
      <c r="C91" s="558" t="s">
        <v>85</v>
      </c>
      <c r="D91" s="559" t="str">
        <f>+D9</f>
        <v>TP2009089</v>
      </c>
      <c r="E91" s="560"/>
      <c r="F91" s="560"/>
      <c r="G91" s="560"/>
      <c r="H91" s="560"/>
      <c r="I91" s="560"/>
      <c r="J91" s="560"/>
      <c r="K91" s="562"/>
      <c r="P91" s="481"/>
    </row>
    <row r="92" spans="1:16">
      <c r="C92" s="486" t="s">
        <v>51</v>
      </c>
      <c r="D92" s="564">
        <v>97370354</v>
      </c>
      <c r="E92" s="340" t="s">
        <v>86</v>
      </c>
      <c r="H92" s="484"/>
      <c r="I92" s="484"/>
      <c r="J92" s="485">
        <f>+'SWE.WS.G.BPU.ATRR.True-up'!M16</f>
        <v>2022</v>
      </c>
      <c r="K92" s="480"/>
      <c r="L92" s="375" t="s">
        <v>87</v>
      </c>
      <c r="P92" s="272"/>
    </row>
    <row r="93" spans="1:16">
      <c r="C93" s="486" t="s">
        <v>54</v>
      </c>
      <c r="D93" s="563">
        <f>IF(D11=I10,"",D11)</f>
        <v>2016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</row>
    <row r="94" spans="1:16">
      <c r="C94" s="486" t="s">
        <v>56</v>
      </c>
      <c r="D94" s="564">
        <f>IF(D11=I10,"",D12)</f>
        <v>12</v>
      </c>
      <c r="E94" s="486" t="s">
        <v>57</v>
      </c>
      <c r="F94" s="484"/>
      <c r="G94" s="484"/>
      <c r="J94" s="490">
        <f>'SWE.WS.G.BPU.ATRR.True-up'!$F$81</f>
        <v>0.11351422637179906</v>
      </c>
      <c r="K94" s="425">
        <f>+I12-J94</f>
        <v>6.012905282236386E-3</v>
      </c>
      <c r="L94" s="183" t="s">
        <v>88</v>
      </c>
      <c r="P94" s="272"/>
    </row>
    <row r="95" spans="1:16">
      <c r="C95" s="486" t="s">
        <v>59</v>
      </c>
      <c r="D95" s="488">
        <f>'SWE.WS.G.BPU.ATRR.True-up'!F$93</f>
        <v>41</v>
      </c>
      <c r="E95" s="486" t="s">
        <v>60</v>
      </c>
      <c r="F95" s="484"/>
      <c r="G95" s="484"/>
      <c r="J95" s="490">
        <f>IF(H87="",J94,'SWE.WS.G.BPU.ATRR.True-up'!$F$80)</f>
        <v>0.11351422637179906</v>
      </c>
      <c r="K95" s="375">
        <f>+K94*G101</f>
        <v>564578.56916697358</v>
      </c>
      <c r="L95" s="375" t="s">
        <v>61</v>
      </c>
      <c r="M95" s="324"/>
      <c r="N95" s="324"/>
      <c r="O95" s="324"/>
      <c r="P95" s="272"/>
    </row>
    <row r="96" spans="1:16" ht="13.5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2374886.6829268294</v>
      </c>
      <c r="K96" s="375"/>
      <c r="L96" s="375"/>
      <c r="M96" s="375"/>
      <c r="N96" s="375"/>
      <c r="O96" s="375"/>
      <c r="P96" s="272"/>
    </row>
    <row r="97" spans="1:16" ht="38.25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388</v>
      </c>
      <c r="I97" s="495" t="s">
        <v>389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</row>
    <row r="98" spans="1:16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</row>
    <row r="99" spans="1:16">
      <c r="C99" s="507">
        <f>IF(D93= "","-",D93)</f>
        <v>2016</v>
      </c>
      <c r="D99" s="649">
        <v>0</v>
      </c>
      <c r="E99" s="650">
        <v>0</v>
      </c>
      <c r="F99" s="651">
        <v>94208721</v>
      </c>
      <c r="G99" s="652">
        <v>47104360.5</v>
      </c>
      <c r="H99" s="653">
        <v>5979898.0138057787</v>
      </c>
      <c r="I99" s="654">
        <v>5979898.0138057787</v>
      </c>
      <c r="J99" s="514">
        <f t="shared" ref="J99:J130" si="19">+I99-H99</f>
        <v>0</v>
      </c>
      <c r="K99" s="514"/>
      <c r="L99" s="512">
        <f t="shared" ref="L99:L104" si="20">+H99</f>
        <v>5979898.0138057787</v>
      </c>
      <c r="M99" s="513">
        <f t="shared" ref="M99:M130" si="21">IF(L99&lt;&gt;0,+H99-L99,0)</f>
        <v>0</v>
      </c>
      <c r="N99" s="512">
        <f t="shared" ref="N99:N104" si="22">+I99</f>
        <v>5979898.0138057787</v>
      </c>
      <c r="O99" s="513">
        <f t="shared" ref="O99:O130" si="23">IF(N99&lt;&gt;0,+I99-N99,0)</f>
        <v>0</v>
      </c>
      <c r="P99" s="513">
        <f t="shared" ref="P99:P130" si="24">+O99-M99</f>
        <v>0</v>
      </c>
    </row>
    <row r="100" spans="1:16">
      <c r="B100" s="195" t="str">
        <f>IF(D100=F99,"","IU")</f>
        <v>IU</v>
      </c>
      <c r="C100" s="507">
        <f>IF(D93="","-",+C99+1)</f>
        <v>2017</v>
      </c>
      <c r="D100" s="629">
        <v>97244455</v>
      </c>
      <c r="E100" s="630">
        <v>2315344.1666666665</v>
      </c>
      <c r="F100" s="631">
        <v>94929110.833333328</v>
      </c>
      <c r="G100" s="631">
        <v>96086782.916666657</v>
      </c>
      <c r="H100" s="633">
        <v>13987145.75171851</v>
      </c>
      <c r="I100" s="634">
        <v>13987145.75171851</v>
      </c>
      <c r="J100" s="514">
        <f t="shared" si="19"/>
        <v>0</v>
      </c>
      <c r="K100" s="514"/>
      <c r="L100" s="655">
        <f t="shared" si="20"/>
        <v>13987145.75171851</v>
      </c>
      <c r="M100" s="514">
        <f t="shared" si="21"/>
        <v>0</v>
      </c>
      <c r="N100" s="655">
        <f t="shared" si="22"/>
        <v>13987145.75171851</v>
      </c>
      <c r="O100" s="514">
        <f t="shared" si="23"/>
        <v>0</v>
      </c>
      <c r="P100" s="514">
        <f t="shared" si="24"/>
        <v>0</v>
      </c>
    </row>
    <row r="101" spans="1:16">
      <c r="B101" s="195" t="str">
        <f t="shared" ref="B101:B154" si="25">IF(D101=F100,"","IU")</f>
        <v>IU</v>
      </c>
      <c r="C101" s="507">
        <f>IF(D93="","-",+C100+1)</f>
        <v>2018</v>
      </c>
      <c r="D101" s="629">
        <v>95053626.833333328</v>
      </c>
      <c r="E101" s="630">
        <v>2318308.8333333335</v>
      </c>
      <c r="F101" s="631">
        <v>92735318</v>
      </c>
      <c r="G101" s="631">
        <v>93894472.416666657</v>
      </c>
      <c r="H101" s="633">
        <v>12233995.703663049</v>
      </c>
      <c r="I101" s="634">
        <v>12233995.703663049</v>
      </c>
      <c r="J101" s="514">
        <f t="shared" si="19"/>
        <v>0</v>
      </c>
      <c r="K101" s="514"/>
      <c r="L101" s="655">
        <f t="shared" si="20"/>
        <v>12233995.703663049</v>
      </c>
      <c r="M101" s="514">
        <f t="shared" ref="M101" si="26">IF(L101&lt;&gt;0,+H101-L101,0)</f>
        <v>0</v>
      </c>
      <c r="N101" s="655">
        <f t="shared" si="22"/>
        <v>12233995.703663049</v>
      </c>
      <c r="O101" s="514">
        <f t="shared" si="23"/>
        <v>0</v>
      </c>
      <c r="P101" s="514">
        <f t="shared" si="24"/>
        <v>0</v>
      </c>
    </row>
    <row r="102" spans="1:16">
      <c r="B102" s="195" t="str">
        <f t="shared" si="25"/>
        <v>IU</v>
      </c>
      <c r="C102" s="507">
        <f>IF(D93="","-",+C101+1)</f>
        <v>2019</v>
      </c>
      <c r="D102" s="629">
        <v>92736701</v>
      </c>
      <c r="E102" s="630">
        <v>2264426.8372093025</v>
      </c>
      <c r="F102" s="631">
        <v>90472274.162790701</v>
      </c>
      <c r="G102" s="631">
        <v>91604487.581395358</v>
      </c>
      <c r="H102" s="633">
        <v>12069821.253627364</v>
      </c>
      <c r="I102" s="634">
        <v>12069821.253627364</v>
      </c>
      <c r="J102" s="514">
        <f t="shared" si="19"/>
        <v>0</v>
      </c>
      <c r="K102" s="514"/>
      <c r="L102" s="655">
        <f t="shared" si="20"/>
        <v>12069821.253627364</v>
      </c>
      <c r="M102" s="514">
        <f t="shared" ref="M102:M103" si="27">IF(L102&lt;&gt;0,+H102-L102,0)</f>
        <v>0</v>
      </c>
      <c r="N102" s="655">
        <f t="shared" si="22"/>
        <v>12069821.253627364</v>
      </c>
      <c r="O102" s="514">
        <f t="shared" si="23"/>
        <v>0</v>
      </c>
      <c r="P102" s="514">
        <f t="shared" si="24"/>
        <v>0</v>
      </c>
    </row>
    <row r="103" spans="1:16">
      <c r="B103" s="195" t="str">
        <f t="shared" si="25"/>
        <v/>
      </c>
      <c r="C103" s="507">
        <f>IF(D93="","-",+C102+1)</f>
        <v>2020</v>
      </c>
      <c r="D103" s="629">
        <v>90472274.162790701</v>
      </c>
      <c r="E103" s="630">
        <v>2318341.7619047621</v>
      </c>
      <c r="F103" s="631">
        <v>88153932.40088594</v>
      </c>
      <c r="G103" s="631">
        <v>89313103.281838328</v>
      </c>
      <c r="H103" s="633">
        <v>11926094.57446631</v>
      </c>
      <c r="I103" s="634">
        <v>11926094.57446631</v>
      </c>
      <c r="J103" s="514">
        <f t="shared" si="19"/>
        <v>0</v>
      </c>
      <c r="K103" s="514"/>
      <c r="L103" s="655">
        <f t="shared" si="20"/>
        <v>11926094.57446631</v>
      </c>
      <c r="M103" s="514">
        <f t="shared" si="27"/>
        <v>0</v>
      </c>
      <c r="N103" s="655">
        <f t="shared" si="22"/>
        <v>11926094.57446631</v>
      </c>
      <c r="O103" s="514">
        <f t="shared" si="23"/>
        <v>0</v>
      </c>
      <c r="P103" s="514">
        <f t="shared" si="24"/>
        <v>0</v>
      </c>
    </row>
    <row r="104" spans="1:16">
      <c r="B104" s="195" t="str">
        <f t="shared" si="25"/>
        <v/>
      </c>
      <c r="C104" s="507">
        <f>IF(D93="","-",+C103+1)</f>
        <v>2021</v>
      </c>
      <c r="D104" s="629">
        <v>88153932.40088594</v>
      </c>
      <c r="E104" s="630">
        <v>2374886.6829268294</v>
      </c>
      <c r="F104" s="631">
        <v>85779045.717959106</v>
      </c>
      <c r="G104" s="631">
        <v>86966489.059422523</v>
      </c>
      <c r="H104" s="633">
        <v>12246820.408778705</v>
      </c>
      <c r="I104" s="634">
        <v>12246820.408778705</v>
      </c>
      <c r="J104" s="514">
        <f t="shared" si="19"/>
        <v>0</v>
      </c>
      <c r="K104" s="514"/>
      <c r="L104" s="655">
        <f t="shared" si="20"/>
        <v>12246820.408778705</v>
      </c>
      <c r="M104" s="514">
        <f t="shared" ref="M104" si="28">IF(L104&lt;&gt;0,+H104-L104,0)</f>
        <v>0</v>
      </c>
      <c r="N104" s="655">
        <f t="shared" si="22"/>
        <v>12246820.408778705</v>
      </c>
      <c r="O104" s="514">
        <f t="shared" ref="O104" si="29">IF(N104&lt;&gt;0,+I104-N104,0)</f>
        <v>0</v>
      </c>
      <c r="P104" s="514">
        <f t="shared" ref="P104" si="30">+O104-M104</f>
        <v>0</v>
      </c>
    </row>
    <row r="105" spans="1:16">
      <c r="B105" s="195" t="str">
        <f t="shared" si="25"/>
        <v/>
      </c>
      <c r="C105" s="673">
        <f>IF(D93="","-",+C104+1)</f>
        <v>2022</v>
      </c>
      <c r="D105" s="374">
        <v>85779045.717959106</v>
      </c>
      <c r="E105" s="522">
        <v>2318341.7619047621</v>
      </c>
      <c r="F105" s="523">
        <v>83460703.956054345</v>
      </c>
      <c r="G105" s="523">
        <v>84619874.837006718</v>
      </c>
      <c r="H105" s="526">
        <v>12257609.738778368</v>
      </c>
      <c r="I105" s="577">
        <v>12257609.738778368</v>
      </c>
      <c r="J105" s="514">
        <f t="shared" si="19"/>
        <v>0</v>
      </c>
      <c r="K105" s="514"/>
      <c r="L105" s="525"/>
      <c r="M105" s="514">
        <f t="shared" si="21"/>
        <v>0</v>
      </c>
      <c r="N105" s="525"/>
      <c r="O105" s="514">
        <f t="shared" si="23"/>
        <v>0</v>
      </c>
      <c r="P105" s="514">
        <f t="shared" si="24"/>
        <v>0</v>
      </c>
    </row>
    <row r="106" spans="1:16">
      <c r="B106" s="195" t="str">
        <f t="shared" si="25"/>
        <v/>
      </c>
      <c r="C106" s="507">
        <f>IF(D93="","-",+C105+1)</f>
        <v>2023</v>
      </c>
      <c r="D106" s="374">
        <f>IF(F105+SUM(E$99:E105)=D$92,F105,D$92-SUM(E$99:E105))</f>
        <v>83460703.956054345</v>
      </c>
      <c r="E106" s="522">
        <f>IF(+J96&lt;F105,J96,D106)</f>
        <v>2374886.6829268294</v>
      </c>
      <c r="F106" s="523">
        <f t="shared" ref="F106:F130" si="31">+D106-E106</f>
        <v>81085817.273127511</v>
      </c>
      <c r="G106" s="523">
        <f t="shared" ref="G106:G130" si="32">+(F106+D106)/2</f>
        <v>82273260.614590928</v>
      </c>
      <c r="H106" s="526">
        <f t="shared" ref="H106:H154" si="33">+J$94*G106+E106</f>
        <v>11714072.212677523</v>
      </c>
      <c r="I106" s="577">
        <f t="shared" ref="I106:I154" si="34">+J$95*G106+E106</f>
        <v>11714072.212677523</v>
      </c>
      <c r="J106" s="514">
        <f t="shared" si="19"/>
        <v>0</v>
      </c>
      <c r="K106" s="514"/>
      <c r="L106" s="525"/>
      <c r="M106" s="514">
        <f t="shared" si="21"/>
        <v>0</v>
      </c>
      <c r="N106" s="525"/>
      <c r="O106" s="514">
        <f t="shared" si="23"/>
        <v>0</v>
      </c>
      <c r="P106" s="514">
        <f t="shared" si="24"/>
        <v>0</v>
      </c>
    </row>
    <row r="107" spans="1:16">
      <c r="B107" s="195" t="str">
        <f t="shared" si="25"/>
        <v/>
      </c>
      <c r="C107" s="507">
        <f>IF(D93="","-",+C106+1)</f>
        <v>2024</v>
      </c>
      <c r="D107" s="374">
        <f>IF(F106+SUM(E$99:E106)=D$92,F106,D$92-SUM(E$99:E106))</f>
        <v>81085817.273127511</v>
      </c>
      <c r="E107" s="522">
        <f>IF(+J96&lt;F106,J96,D107)</f>
        <v>2374886.6829268294</v>
      </c>
      <c r="F107" s="523">
        <f t="shared" si="31"/>
        <v>78710930.590200678</v>
      </c>
      <c r="G107" s="523">
        <f t="shared" si="32"/>
        <v>79898373.931664094</v>
      </c>
      <c r="H107" s="526">
        <f t="shared" si="33"/>
        <v>11444488.788144397</v>
      </c>
      <c r="I107" s="577">
        <f t="shared" si="34"/>
        <v>11444488.788144397</v>
      </c>
      <c r="J107" s="514">
        <f t="shared" si="19"/>
        <v>0</v>
      </c>
      <c r="K107" s="514"/>
      <c r="L107" s="525"/>
      <c r="M107" s="514">
        <f t="shared" si="21"/>
        <v>0</v>
      </c>
      <c r="N107" s="525"/>
      <c r="O107" s="514">
        <f t="shared" si="23"/>
        <v>0</v>
      </c>
      <c r="P107" s="514">
        <f t="shared" si="24"/>
        <v>0</v>
      </c>
    </row>
    <row r="108" spans="1:16">
      <c r="B108" s="195" t="str">
        <f t="shared" si="25"/>
        <v/>
      </c>
      <c r="C108" s="507">
        <f>IF(D93="","-",+C107+1)</f>
        <v>2025</v>
      </c>
      <c r="D108" s="374">
        <f>IF(F107+SUM(E$99:E107)=D$92,F107,D$92-SUM(E$99:E107))</f>
        <v>78710930.590200678</v>
      </c>
      <c r="E108" s="522">
        <f>IF(+J96&lt;F107,J96,D108)</f>
        <v>2374886.6829268294</v>
      </c>
      <c r="F108" s="523">
        <f t="shared" si="31"/>
        <v>76336043.907273844</v>
      </c>
      <c r="G108" s="523">
        <f t="shared" si="32"/>
        <v>77523487.248737261</v>
      </c>
      <c r="H108" s="526">
        <f t="shared" si="33"/>
        <v>11174905.36361127</v>
      </c>
      <c r="I108" s="577">
        <f t="shared" si="34"/>
        <v>11174905.36361127</v>
      </c>
      <c r="J108" s="514">
        <f t="shared" si="19"/>
        <v>0</v>
      </c>
      <c r="K108" s="514"/>
      <c r="L108" s="525"/>
      <c r="M108" s="514">
        <f t="shared" si="21"/>
        <v>0</v>
      </c>
      <c r="N108" s="525"/>
      <c r="O108" s="514">
        <f t="shared" si="23"/>
        <v>0</v>
      </c>
      <c r="P108" s="514">
        <f t="shared" si="24"/>
        <v>0</v>
      </c>
    </row>
    <row r="109" spans="1:16">
      <c r="B109" s="195" t="str">
        <f t="shared" si="25"/>
        <v/>
      </c>
      <c r="C109" s="507">
        <f>IF(D93="","-",+C108+1)</f>
        <v>2026</v>
      </c>
      <c r="D109" s="374">
        <f>IF(F108+SUM(E$99:E108)=D$92,F108,D$92-SUM(E$99:E108))</f>
        <v>76336043.907273844</v>
      </c>
      <c r="E109" s="522">
        <f>IF(+J96&lt;F108,J96,D109)</f>
        <v>2374886.6829268294</v>
      </c>
      <c r="F109" s="523">
        <f t="shared" si="31"/>
        <v>73961157.22434701</v>
      </c>
      <c r="G109" s="523">
        <f t="shared" si="32"/>
        <v>75148600.565810427</v>
      </c>
      <c r="H109" s="526">
        <f t="shared" si="33"/>
        <v>10905321.939078141</v>
      </c>
      <c r="I109" s="577">
        <f t="shared" si="34"/>
        <v>10905321.939078141</v>
      </c>
      <c r="J109" s="514">
        <f t="shared" si="19"/>
        <v>0</v>
      </c>
      <c r="K109" s="514"/>
      <c r="L109" s="525"/>
      <c r="M109" s="514">
        <f t="shared" si="21"/>
        <v>0</v>
      </c>
      <c r="N109" s="525"/>
      <c r="O109" s="514">
        <f t="shared" si="23"/>
        <v>0</v>
      </c>
      <c r="P109" s="514">
        <f t="shared" si="24"/>
        <v>0</v>
      </c>
    </row>
    <row r="110" spans="1:16">
      <c r="B110" s="195" t="str">
        <f t="shared" si="25"/>
        <v/>
      </c>
      <c r="C110" s="507">
        <f>IF(D93="","-",+C109+1)</f>
        <v>2027</v>
      </c>
      <c r="D110" s="374">
        <f>IF(F109+SUM(E$99:E109)=D$92,F109,D$92-SUM(E$99:E109))</f>
        <v>73961157.22434701</v>
      </c>
      <c r="E110" s="522">
        <f>IF(+J96&lt;F109,J96,D110)</f>
        <v>2374886.6829268294</v>
      </c>
      <c r="F110" s="523">
        <f t="shared" si="31"/>
        <v>71586270.541420177</v>
      </c>
      <c r="G110" s="523">
        <f t="shared" si="32"/>
        <v>72773713.882883593</v>
      </c>
      <c r="H110" s="526">
        <f t="shared" si="33"/>
        <v>10635738.514545014</v>
      </c>
      <c r="I110" s="577">
        <f t="shared" si="34"/>
        <v>10635738.514545014</v>
      </c>
      <c r="J110" s="514">
        <f t="shared" si="19"/>
        <v>0</v>
      </c>
      <c r="K110" s="514"/>
      <c r="L110" s="525"/>
      <c r="M110" s="514">
        <f t="shared" si="21"/>
        <v>0</v>
      </c>
      <c r="N110" s="525"/>
      <c r="O110" s="514">
        <f t="shared" si="23"/>
        <v>0</v>
      </c>
      <c r="P110" s="514">
        <f t="shared" si="24"/>
        <v>0</v>
      </c>
    </row>
    <row r="111" spans="1:16">
      <c r="B111" s="195" t="str">
        <f t="shared" si="25"/>
        <v/>
      </c>
      <c r="C111" s="507">
        <f>IF(D93="","-",+C110+1)</f>
        <v>2028</v>
      </c>
      <c r="D111" s="374">
        <f>IF(F110+SUM(E$99:E110)=D$92,F110,D$92-SUM(E$99:E110))</f>
        <v>71586270.541420177</v>
      </c>
      <c r="E111" s="522">
        <f>IF(+J96&lt;F110,J96,D111)</f>
        <v>2374886.6829268294</v>
      </c>
      <c r="F111" s="523">
        <f t="shared" si="31"/>
        <v>69211383.858493343</v>
      </c>
      <c r="G111" s="523">
        <f t="shared" si="32"/>
        <v>70398827.19995676</v>
      </c>
      <c r="H111" s="526">
        <f t="shared" si="33"/>
        <v>10366155.090011885</v>
      </c>
      <c r="I111" s="577">
        <f t="shared" si="34"/>
        <v>10366155.090011885</v>
      </c>
      <c r="J111" s="514">
        <f t="shared" si="19"/>
        <v>0</v>
      </c>
      <c r="K111" s="514"/>
      <c r="L111" s="525"/>
      <c r="M111" s="514">
        <f t="shared" si="21"/>
        <v>0</v>
      </c>
      <c r="N111" s="525"/>
      <c r="O111" s="514">
        <f t="shared" si="23"/>
        <v>0</v>
      </c>
      <c r="P111" s="514">
        <f t="shared" si="24"/>
        <v>0</v>
      </c>
    </row>
    <row r="112" spans="1:16">
      <c r="B112" s="195" t="str">
        <f t="shared" si="25"/>
        <v/>
      </c>
      <c r="C112" s="507">
        <f>IF(D93="","-",+C111+1)</f>
        <v>2029</v>
      </c>
      <c r="D112" s="374">
        <f>IF(F111+SUM(E$99:E111)=D$92,F111,D$92-SUM(E$99:E111))</f>
        <v>69211383.858493343</v>
      </c>
      <c r="E112" s="522">
        <f>IF(+J96&lt;F111,J96,D112)</f>
        <v>2374886.6829268294</v>
      </c>
      <c r="F112" s="523">
        <f t="shared" si="31"/>
        <v>66836497.175566517</v>
      </c>
      <c r="G112" s="523">
        <f t="shared" si="32"/>
        <v>68023940.517029926</v>
      </c>
      <c r="H112" s="526">
        <f t="shared" si="33"/>
        <v>10096571.665478759</v>
      </c>
      <c r="I112" s="577">
        <f t="shared" si="34"/>
        <v>10096571.665478759</v>
      </c>
      <c r="J112" s="514">
        <f t="shared" si="19"/>
        <v>0</v>
      </c>
      <c r="K112" s="514"/>
      <c r="L112" s="525"/>
      <c r="M112" s="514">
        <f t="shared" si="21"/>
        <v>0</v>
      </c>
      <c r="N112" s="525"/>
      <c r="O112" s="514">
        <f t="shared" si="23"/>
        <v>0</v>
      </c>
      <c r="P112" s="514">
        <f t="shared" si="24"/>
        <v>0</v>
      </c>
    </row>
    <row r="113" spans="2:16">
      <c r="B113" s="195" t="str">
        <f t="shared" si="25"/>
        <v/>
      </c>
      <c r="C113" s="507">
        <f>IF(D93="","-",+C112+1)</f>
        <v>2030</v>
      </c>
      <c r="D113" s="374">
        <f>IF(F112+SUM(E$99:E112)=D$92,F112,D$92-SUM(E$99:E112))</f>
        <v>66836497.175566517</v>
      </c>
      <c r="E113" s="522">
        <f>IF(+J96&lt;F112,J96,D113)</f>
        <v>2374886.6829268294</v>
      </c>
      <c r="F113" s="523">
        <f t="shared" si="31"/>
        <v>64461610.492639691</v>
      </c>
      <c r="G113" s="523">
        <f t="shared" si="32"/>
        <v>65649053.834103107</v>
      </c>
      <c r="H113" s="526">
        <f t="shared" si="33"/>
        <v>9826988.2409456316</v>
      </c>
      <c r="I113" s="577">
        <f t="shared" si="34"/>
        <v>9826988.2409456316</v>
      </c>
      <c r="J113" s="514">
        <f t="shared" si="19"/>
        <v>0</v>
      </c>
      <c r="K113" s="514"/>
      <c r="L113" s="525"/>
      <c r="M113" s="514">
        <f t="shared" si="21"/>
        <v>0</v>
      </c>
      <c r="N113" s="525"/>
      <c r="O113" s="514">
        <f t="shared" si="23"/>
        <v>0</v>
      </c>
      <c r="P113" s="514">
        <f t="shared" si="24"/>
        <v>0</v>
      </c>
    </row>
    <row r="114" spans="2:16">
      <c r="B114" s="195" t="str">
        <f t="shared" si="25"/>
        <v/>
      </c>
      <c r="C114" s="507">
        <f>IF(D93="","-",+C113+1)</f>
        <v>2031</v>
      </c>
      <c r="D114" s="374">
        <f>IF(F113+SUM(E$99:E113)=D$92,F113,D$92-SUM(E$99:E113))</f>
        <v>64461610.492639691</v>
      </c>
      <c r="E114" s="522">
        <f>IF(+J96&lt;F113,J96,D114)</f>
        <v>2374886.6829268294</v>
      </c>
      <c r="F114" s="523">
        <f t="shared" si="31"/>
        <v>62086723.809712864</v>
      </c>
      <c r="G114" s="523">
        <f t="shared" si="32"/>
        <v>63274167.151176274</v>
      </c>
      <c r="H114" s="526">
        <f t="shared" si="33"/>
        <v>9557404.8164125048</v>
      </c>
      <c r="I114" s="577">
        <f t="shared" si="34"/>
        <v>9557404.8164125048</v>
      </c>
      <c r="J114" s="514">
        <f t="shared" si="19"/>
        <v>0</v>
      </c>
      <c r="K114" s="514"/>
      <c r="L114" s="525"/>
      <c r="M114" s="514">
        <f t="shared" si="21"/>
        <v>0</v>
      </c>
      <c r="N114" s="525"/>
      <c r="O114" s="514">
        <f t="shared" si="23"/>
        <v>0</v>
      </c>
      <c r="P114" s="514">
        <f t="shared" si="24"/>
        <v>0</v>
      </c>
    </row>
    <row r="115" spans="2:16">
      <c r="B115" s="195" t="str">
        <f t="shared" si="25"/>
        <v/>
      </c>
      <c r="C115" s="507">
        <f>IF(D93="","-",+C114+1)</f>
        <v>2032</v>
      </c>
      <c r="D115" s="374">
        <f>IF(F114+SUM(E$99:E114)=D$92,F114,D$92-SUM(E$99:E114))</f>
        <v>62086723.809712864</v>
      </c>
      <c r="E115" s="522">
        <f>IF(+J96&lt;F114,J96,D115)</f>
        <v>2374886.6829268294</v>
      </c>
      <c r="F115" s="523">
        <f t="shared" si="31"/>
        <v>59711837.126786038</v>
      </c>
      <c r="G115" s="523">
        <f t="shared" si="32"/>
        <v>60899280.468249455</v>
      </c>
      <c r="H115" s="526">
        <f t="shared" si="33"/>
        <v>9287821.3918793797</v>
      </c>
      <c r="I115" s="577">
        <f t="shared" si="34"/>
        <v>9287821.3918793797</v>
      </c>
      <c r="J115" s="514">
        <f t="shared" si="19"/>
        <v>0</v>
      </c>
      <c r="K115" s="514"/>
      <c r="L115" s="525"/>
      <c r="M115" s="514">
        <f t="shared" si="21"/>
        <v>0</v>
      </c>
      <c r="N115" s="525"/>
      <c r="O115" s="514">
        <f t="shared" si="23"/>
        <v>0</v>
      </c>
      <c r="P115" s="514">
        <f t="shared" si="24"/>
        <v>0</v>
      </c>
    </row>
    <row r="116" spans="2:16">
      <c r="B116" s="195" t="str">
        <f t="shared" si="25"/>
        <v/>
      </c>
      <c r="C116" s="507">
        <f>IF(D93="","-",+C115+1)</f>
        <v>2033</v>
      </c>
      <c r="D116" s="374">
        <f>IF(F115+SUM(E$99:E115)=D$92,F115,D$92-SUM(E$99:E115))</f>
        <v>59711837.126786038</v>
      </c>
      <c r="E116" s="522">
        <f>IF(+J96&lt;F115,J96,D116)</f>
        <v>2374886.6829268294</v>
      </c>
      <c r="F116" s="523">
        <f t="shared" si="31"/>
        <v>57336950.443859212</v>
      </c>
      <c r="G116" s="523">
        <f t="shared" si="32"/>
        <v>58524393.785322621</v>
      </c>
      <c r="H116" s="526">
        <f t="shared" si="33"/>
        <v>9018237.967346251</v>
      </c>
      <c r="I116" s="577">
        <f t="shared" si="34"/>
        <v>9018237.967346251</v>
      </c>
      <c r="J116" s="514">
        <f t="shared" si="19"/>
        <v>0</v>
      </c>
      <c r="K116" s="514"/>
      <c r="L116" s="525"/>
      <c r="M116" s="514">
        <f t="shared" si="21"/>
        <v>0</v>
      </c>
      <c r="N116" s="525"/>
      <c r="O116" s="514">
        <f t="shared" si="23"/>
        <v>0</v>
      </c>
      <c r="P116" s="514">
        <f t="shared" si="24"/>
        <v>0</v>
      </c>
    </row>
    <row r="117" spans="2:16">
      <c r="B117" s="195" t="str">
        <f t="shared" si="25"/>
        <v/>
      </c>
      <c r="C117" s="507">
        <f>IF(D93="","-",+C116+1)</f>
        <v>2034</v>
      </c>
      <c r="D117" s="374">
        <f>IF(F116+SUM(E$99:E116)=D$92,F116,D$92-SUM(E$99:E116))</f>
        <v>57336950.443859212</v>
      </c>
      <c r="E117" s="522">
        <f>IF(+J96&lt;F116,J96,D117)</f>
        <v>2374886.6829268294</v>
      </c>
      <c r="F117" s="523">
        <f t="shared" si="31"/>
        <v>54962063.760932386</v>
      </c>
      <c r="G117" s="523">
        <f t="shared" si="32"/>
        <v>56149507.102395803</v>
      </c>
      <c r="H117" s="526">
        <f t="shared" si="33"/>
        <v>8748654.542813126</v>
      </c>
      <c r="I117" s="577">
        <f t="shared" si="34"/>
        <v>8748654.542813126</v>
      </c>
      <c r="J117" s="514">
        <f t="shared" si="19"/>
        <v>0</v>
      </c>
      <c r="K117" s="514"/>
      <c r="L117" s="525"/>
      <c r="M117" s="514">
        <f t="shared" si="21"/>
        <v>0</v>
      </c>
      <c r="N117" s="525"/>
      <c r="O117" s="514">
        <f t="shared" si="23"/>
        <v>0</v>
      </c>
      <c r="P117" s="514">
        <f t="shared" si="24"/>
        <v>0</v>
      </c>
    </row>
    <row r="118" spans="2:16">
      <c r="B118" s="195" t="str">
        <f t="shared" si="25"/>
        <v/>
      </c>
      <c r="C118" s="507">
        <f>IF(D93="","-",+C117+1)</f>
        <v>2035</v>
      </c>
      <c r="D118" s="374">
        <f>IF(F117+SUM(E$99:E117)=D$92,F117,D$92-SUM(E$99:E117))</f>
        <v>54962063.760932386</v>
      </c>
      <c r="E118" s="522">
        <f>IF(+J96&lt;F117,J96,D118)</f>
        <v>2374886.6829268294</v>
      </c>
      <c r="F118" s="523">
        <f t="shared" si="31"/>
        <v>52587177.07800556</v>
      </c>
      <c r="G118" s="523">
        <f t="shared" si="32"/>
        <v>53774620.419468969</v>
      </c>
      <c r="H118" s="526">
        <f t="shared" si="33"/>
        <v>8479071.1182799973</v>
      </c>
      <c r="I118" s="577">
        <f t="shared" si="34"/>
        <v>8479071.1182799973</v>
      </c>
      <c r="J118" s="514">
        <f t="shared" si="19"/>
        <v>0</v>
      </c>
      <c r="K118" s="514"/>
      <c r="L118" s="525"/>
      <c r="M118" s="514">
        <f t="shared" si="21"/>
        <v>0</v>
      </c>
      <c r="N118" s="525"/>
      <c r="O118" s="514">
        <f t="shared" si="23"/>
        <v>0</v>
      </c>
      <c r="P118" s="514">
        <f t="shared" si="24"/>
        <v>0</v>
      </c>
    </row>
    <row r="119" spans="2:16">
      <c r="B119" s="195" t="str">
        <f t="shared" si="25"/>
        <v/>
      </c>
      <c r="C119" s="507">
        <f>IF(D93="","-",+C118+1)</f>
        <v>2036</v>
      </c>
      <c r="D119" s="374">
        <f>IF(F118+SUM(E$99:E118)=D$92,F118,D$92-SUM(E$99:E118))</f>
        <v>52587177.07800556</v>
      </c>
      <c r="E119" s="522">
        <f>IF(+J96&lt;F118,J96,D119)</f>
        <v>2374886.6829268294</v>
      </c>
      <c r="F119" s="523">
        <f t="shared" si="31"/>
        <v>50212290.395078734</v>
      </c>
      <c r="G119" s="523">
        <f t="shared" si="32"/>
        <v>51399733.73654215</v>
      </c>
      <c r="H119" s="526">
        <f t="shared" si="33"/>
        <v>8209487.6937468722</v>
      </c>
      <c r="I119" s="577">
        <f t="shared" si="34"/>
        <v>8209487.6937468722</v>
      </c>
      <c r="J119" s="514">
        <f t="shared" si="19"/>
        <v>0</v>
      </c>
      <c r="K119" s="514"/>
      <c r="L119" s="525"/>
      <c r="M119" s="514">
        <f t="shared" si="21"/>
        <v>0</v>
      </c>
      <c r="N119" s="525"/>
      <c r="O119" s="514">
        <f t="shared" si="23"/>
        <v>0</v>
      </c>
      <c r="P119" s="514">
        <f t="shared" si="24"/>
        <v>0</v>
      </c>
    </row>
    <row r="120" spans="2:16">
      <c r="B120" s="195" t="str">
        <f t="shared" si="25"/>
        <v/>
      </c>
      <c r="C120" s="507">
        <f>IF(D93="","-",+C119+1)</f>
        <v>2037</v>
      </c>
      <c r="D120" s="374">
        <f>IF(F119+SUM(E$99:E119)=D$92,F119,D$92-SUM(E$99:E119))</f>
        <v>50212290.395078734</v>
      </c>
      <c r="E120" s="522">
        <f>IF(+J96&lt;F119,J96,D120)</f>
        <v>2374886.6829268294</v>
      </c>
      <c r="F120" s="523">
        <f t="shared" si="31"/>
        <v>47837403.712151907</v>
      </c>
      <c r="G120" s="523">
        <f t="shared" si="32"/>
        <v>49024847.053615317</v>
      </c>
      <c r="H120" s="526">
        <f t="shared" si="33"/>
        <v>7939904.2692137454</v>
      </c>
      <c r="I120" s="577">
        <f t="shared" si="34"/>
        <v>7939904.2692137454</v>
      </c>
      <c r="J120" s="514">
        <f t="shared" si="19"/>
        <v>0</v>
      </c>
      <c r="K120" s="514"/>
      <c r="L120" s="525"/>
      <c r="M120" s="514">
        <f t="shared" si="21"/>
        <v>0</v>
      </c>
      <c r="N120" s="525"/>
      <c r="O120" s="514">
        <f t="shared" si="23"/>
        <v>0</v>
      </c>
      <c r="P120" s="514">
        <f t="shared" si="24"/>
        <v>0</v>
      </c>
    </row>
    <row r="121" spans="2:16">
      <c r="B121" s="195" t="str">
        <f t="shared" si="25"/>
        <v/>
      </c>
      <c r="C121" s="507">
        <f>IF(D93="","-",+C120+1)</f>
        <v>2038</v>
      </c>
      <c r="D121" s="374">
        <f>IF(F120+SUM(E$99:E120)=D$92,F120,D$92-SUM(E$99:E120))</f>
        <v>47837403.712151907</v>
      </c>
      <c r="E121" s="522">
        <f>IF(+J96&lt;F120,J96,D121)</f>
        <v>2374886.6829268294</v>
      </c>
      <c r="F121" s="523">
        <f t="shared" si="31"/>
        <v>45462517.029225081</v>
      </c>
      <c r="G121" s="523">
        <f t="shared" si="32"/>
        <v>46649960.370688498</v>
      </c>
      <c r="H121" s="526">
        <f t="shared" si="33"/>
        <v>7670320.8446806185</v>
      </c>
      <c r="I121" s="577">
        <f t="shared" si="34"/>
        <v>7670320.8446806185</v>
      </c>
      <c r="J121" s="514">
        <f t="shared" si="19"/>
        <v>0</v>
      </c>
      <c r="K121" s="514"/>
      <c r="L121" s="525"/>
      <c r="M121" s="514">
        <f t="shared" si="21"/>
        <v>0</v>
      </c>
      <c r="N121" s="525"/>
      <c r="O121" s="514">
        <f t="shared" si="23"/>
        <v>0</v>
      </c>
      <c r="P121" s="514">
        <f t="shared" si="24"/>
        <v>0</v>
      </c>
    </row>
    <row r="122" spans="2:16">
      <c r="B122" s="195" t="str">
        <f t="shared" si="25"/>
        <v/>
      </c>
      <c r="C122" s="507">
        <f>IF(D93="","-",+C121+1)</f>
        <v>2039</v>
      </c>
      <c r="D122" s="374">
        <f>IF(F121+SUM(E$99:E121)=D$92,F121,D$92-SUM(E$99:E121))</f>
        <v>45462517.029225081</v>
      </c>
      <c r="E122" s="522">
        <f>IF(+J96&lt;F121,J96,D122)</f>
        <v>2374886.6829268294</v>
      </c>
      <c r="F122" s="523">
        <f t="shared" si="31"/>
        <v>43087630.346298255</v>
      </c>
      <c r="G122" s="523">
        <f t="shared" si="32"/>
        <v>44275073.687761664</v>
      </c>
      <c r="H122" s="526">
        <f t="shared" si="33"/>
        <v>7400737.4201474916</v>
      </c>
      <c r="I122" s="577">
        <f t="shared" si="34"/>
        <v>7400737.4201474916</v>
      </c>
      <c r="J122" s="514">
        <f t="shared" si="19"/>
        <v>0</v>
      </c>
      <c r="K122" s="514"/>
      <c r="L122" s="525"/>
      <c r="M122" s="514">
        <f t="shared" si="21"/>
        <v>0</v>
      </c>
      <c r="N122" s="525"/>
      <c r="O122" s="514">
        <f t="shared" si="23"/>
        <v>0</v>
      </c>
      <c r="P122" s="514">
        <f t="shared" si="24"/>
        <v>0</v>
      </c>
    </row>
    <row r="123" spans="2:16">
      <c r="B123" s="195" t="str">
        <f t="shared" si="25"/>
        <v/>
      </c>
      <c r="C123" s="507">
        <f>IF(D93="","-",+C122+1)</f>
        <v>2040</v>
      </c>
      <c r="D123" s="374">
        <f>IF(F122+SUM(E$99:E122)=D$92,F122,D$92-SUM(E$99:E122))</f>
        <v>43087630.346298255</v>
      </c>
      <c r="E123" s="522">
        <f>IF(+J96&lt;F122,J96,D123)</f>
        <v>2374886.6829268294</v>
      </c>
      <c r="F123" s="523">
        <f t="shared" si="31"/>
        <v>40712743.663371429</v>
      </c>
      <c r="G123" s="523">
        <f t="shared" si="32"/>
        <v>41900187.004834846</v>
      </c>
      <c r="H123" s="526">
        <f t="shared" si="33"/>
        <v>7131153.9956143647</v>
      </c>
      <c r="I123" s="577">
        <f t="shared" si="34"/>
        <v>7131153.9956143647</v>
      </c>
      <c r="J123" s="514">
        <f t="shared" si="19"/>
        <v>0</v>
      </c>
      <c r="K123" s="514"/>
      <c r="L123" s="525"/>
      <c r="M123" s="514">
        <f t="shared" si="21"/>
        <v>0</v>
      </c>
      <c r="N123" s="525"/>
      <c r="O123" s="514">
        <f t="shared" si="23"/>
        <v>0</v>
      </c>
      <c r="P123" s="514">
        <f t="shared" si="24"/>
        <v>0</v>
      </c>
    </row>
    <row r="124" spans="2:16">
      <c r="B124" s="195" t="str">
        <f t="shared" si="25"/>
        <v/>
      </c>
      <c r="C124" s="507">
        <f>IF(D93="","-",+C123+1)</f>
        <v>2041</v>
      </c>
      <c r="D124" s="374">
        <f>IF(F123+SUM(E$99:E123)=D$92,F123,D$92-SUM(E$99:E123))</f>
        <v>40712743.663371429</v>
      </c>
      <c r="E124" s="522">
        <f>IF(+J96&lt;F123,J96,D124)</f>
        <v>2374886.6829268294</v>
      </c>
      <c r="F124" s="523">
        <f t="shared" si="31"/>
        <v>38337856.980444603</v>
      </c>
      <c r="G124" s="523">
        <f t="shared" si="32"/>
        <v>39525300.321908012</v>
      </c>
      <c r="H124" s="526">
        <f t="shared" si="33"/>
        <v>6861570.5710812379</v>
      </c>
      <c r="I124" s="577">
        <f t="shared" si="34"/>
        <v>6861570.5710812379</v>
      </c>
      <c r="J124" s="514">
        <f t="shared" si="19"/>
        <v>0</v>
      </c>
      <c r="K124" s="514"/>
      <c r="L124" s="525"/>
      <c r="M124" s="514">
        <f t="shared" si="21"/>
        <v>0</v>
      </c>
      <c r="N124" s="525"/>
      <c r="O124" s="514">
        <f t="shared" si="23"/>
        <v>0</v>
      </c>
      <c r="P124" s="514">
        <f t="shared" si="24"/>
        <v>0</v>
      </c>
    </row>
    <row r="125" spans="2:16">
      <c r="B125" s="195" t="str">
        <f t="shared" si="25"/>
        <v/>
      </c>
      <c r="C125" s="507">
        <f>IF(D93="","-",+C124+1)</f>
        <v>2042</v>
      </c>
      <c r="D125" s="374">
        <f>IF(F124+SUM(E$99:E124)=D$92,F124,D$92-SUM(E$99:E124))</f>
        <v>38337856.980444603</v>
      </c>
      <c r="E125" s="522">
        <f>IF(+J96&lt;F124,J96,D125)</f>
        <v>2374886.6829268294</v>
      </c>
      <c r="F125" s="523">
        <f t="shared" si="31"/>
        <v>35962970.297517776</v>
      </c>
      <c r="G125" s="523">
        <f t="shared" si="32"/>
        <v>37150413.638981193</v>
      </c>
      <c r="H125" s="526">
        <f t="shared" si="33"/>
        <v>6591987.146548111</v>
      </c>
      <c r="I125" s="577">
        <f t="shared" si="34"/>
        <v>6591987.146548111</v>
      </c>
      <c r="J125" s="514">
        <f t="shared" si="19"/>
        <v>0</v>
      </c>
      <c r="K125" s="514"/>
      <c r="L125" s="525"/>
      <c r="M125" s="514">
        <f t="shared" si="21"/>
        <v>0</v>
      </c>
      <c r="N125" s="525"/>
      <c r="O125" s="514">
        <f t="shared" si="23"/>
        <v>0</v>
      </c>
      <c r="P125" s="514">
        <f t="shared" si="24"/>
        <v>0</v>
      </c>
    </row>
    <row r="126" spans="2:16">
      <c r="B126" s="195" t="str">
        <f t="shared" si="25"/>
        <v/>
      </c>
      <c r="C126" s="507">
        <f>IF(D93="","-",+C125+1)</f>
        <v>2043</v>
      </c>
      <c r="D126" s="374">
        <f>IF(F125+SUM(E$99:E125)=D$92,F125,D$92-SUM(E$99:E125))</f>
        <v>35962970.297517776</v>
      </c>
      <c r="E126" s="522">
        <f>IF(+J96&lt;F125,J96,D126)</f>
        <v>2374886.6829268294</v>
      </c>
      <c r="F126" s="523">
        <f t="shared" si="31"/>
        <v>33588083.61459095</v>
      </c>
      <c r="G126" s="523">
        <f t="shared" si="32"/>
        <v>34775526.95605436</v>
      </c>
      <c r="H126" s="526">
        <f t="shared" si="33"/>
        <v>6322403.7220149841</v>
      </c>
      <c r="I126" s="577">
        <f t="shared" si="34"/>
        <v>6322403.7220149841</v>
      </c>
      <c r="J126" s="514">
        <f t="shared" si="19"/>
        <v>0</v>
      </c>
      <c r="K126" s="514"/>
      <c r="L126" s="525"/>
      <c r="M126" s="514">
        <f t="shared" si="21"/>
        <v>0</v>
      </c>
      <c r="N126" s="525"/>
      <c r="O126" s="514">
        <f t="shared" si="23"/>
        <v>0</v>
      </c>
      <c r="P126" s="514">
        <f t="shared" si="24"/>
        <v>0</v>
      </c>
    </row>
    <row r="127" spans="2:16">
      <c r="B127" s="195" t="str">
        <f t="shared" si="25"/>
        <v/>
      </c>
      <c r="C127" s="507">
        <f>IF(D93="","-",+C126+1)</f>
        <v>2044</v>
      </c>
      <c r="D127" s="374">
        <f>IF(F126+SUM(E$99:E126)=D$92,F126,D$92-SUM(E$99:E126))</f>
        <v>33588083.61459095</v>
      </c>
      <c r="E127" s="522">
        <f>IF(+J96&lt;F126,J96,D127)</f>
        <v>2374886.6829268294</v>
      </c>
      <c r="F127" s="523">
        <f t="shared" si="31"/>
        <v>31213196.93166412</v>
      </c>
      <c r="G127" s="523">
        <f t="shared" si="32"/>
        <v>32400640.273127533</v>
      </c>
      <c r="H127" s="526">
        <f t="shared" si="33"/>
        <v>6052820.2974818572</v>
      </c>
      <c r="I127" s="577">
        <f t="shared" si="34"/>
        <v>6052820.2974818572</v>
      </c>
      <c r="J127" s="514">
        <f t="shared" si="19"/>
        <v>0</v>
      </c>
      <c r="K127" s="514"/>
      <c r="L127" s="525"/>
      <c r="M127" s="514">
        <f t="shared" si="21"/>
        <v>0</v>
      </c>
      <c r="N127" s="525"/>
      <c r="O127" s="514">
        <f t="shared" si="23"/>
        <v>0</v>
      </c>
      <c r="P127" s="514">
        <f t="shared" si="24"/>
        <v>0</v>
      </c>
    </row>
    <row r="128" spans="2:16">
      <c r="B128" s="195" t="str">
        <f t="shared" si="25"/>
        <v/>
      </c>
      <c r="C128" s="507">
        <f>IF(D93="","-",+C127+1)</f>
        <v>2045</v>
      </c>
      <c r="D128" s="374">
        <f>IF(F127+SUM(E$99:E127)=D$92,F127,D$92-SUM(E$99:E127))</f>
        <v>31213196.93166412</v>
      </c>
      <c r="E128" s="522">
        <f>IF(+J96&lt;F127,J96,D128)</f>
        <v>2374886.6829268294</v>
      </c>
      <c r="F128" s="523">
        <f t="shared" si="31"/>
        <v>28838310.248737291</v>
      </c>
      <c r="G128" s="523">
        <f t="shared" si="32"/>
        <v>30025753.590200707</v>
      </c>
      <c r="H128" s="526">
        <f t="shared" si="33"/>
        <v>5783236.8729487304</v>
      </c>
      <c r="I128" s="577">
        <f t="shared" si="34"/>
        <v>5783236.8729487304</v>
      </c>
      <c r="J128" s="514">
        <f t="shared" si="19"/>
        <v>0</v>
      </c>
      <c r="K128" s="514"/>
      <c r="L128" s="525"/>
      <c r="M128" s="514">
        <f t="shared" si="21"/>
        <v>0</v>
      </c>
      <c r="N128" s="525"/>
      <c r="O128" s="514">
        <f t="shared" si="23"/>
        <v>0</v>
      </c>
      <c r="P128" s="514">
        <f t="shared" si="24"/>
        <v>0</v>
      </c>
    </row>
    <row r="129" spans="2:16">
      <c r="B129" s="195" t="str">
        <f t="shared" si="25"/>
        <v/>
      </c>
      <c r="C129" s="507">
        <f>IF(D93="","-",+C128+1)</f>
        <v>2046</v>
      </c>
      <c r="D129" s="374">
        <f>IF(F128+SUM(E$99:E128)=D$92,F128,D$92-SUM(E$99:E128))</f>
        <v>28838310.248737291</v>
      </c>
      <c r="E129" s="522">
        <f>IF(+J96&lt;F128,J96,D129)</f>
        <v>2374886.6829268294</v>
      </c>
      <c r="F129" s="523">
        <f t="shared" si="31"/>
        <v>26463423.565810461</v>
      </c>
      <c r="G129" s="523">
        <f t="shared" si="32"/>
        <v>27650866.907273874</v>
      </c>
      <c r="H129" s="526">
        <f t="shared" si="33"/>
        <v>5513653.4484156035</v>
      </c>
      <c r="I129" s="577">
        <f t="shared" si="34"/>
        <v>5513653.4484156035</v>
      </c>
      <c r="J129" s="514">
        <f t="shared" si="19"/>
        <v>0</v>
      </c>
      <c r="K129" s="514"/>
      <c r="L129" s="525"/>
      <c r="M129" s="514">
        <f t="shared" si="21"/>
        <v>0</v>
      </c>
      <c r="N129" s="525"/>
      <c r="O129" s="514">
        <f t="shared" si="23"/>
        <v>0</v>
      </c>
      <c r="P129" s="514">
        <f t="shared" si="24"/>
        <v>0</v>
      </c>
    </row>
    <row r="130" spans="2:16">
      <c r="B130" s="195" t="str">
        <f t="shared" si="25"/>
        <v/>
      </c>
      <c r="C130" s="507">
        <f>IF(D93="","-",+C129+1)</f>
        <v>2047</v>
      </c>
      <c r="D130" s="374">
        <f>IF(F129+SUM(E$99:E129)=D$92,F129,D$92-SUM(E$99:E129))</f>
        <v>26463423.565810461</v>
      </c>
      <c r="E130" s="522">
        <f>IF(+J96&lt;F129,J96,D130)</f>
        <v>2374886.6829268294</v>
      </c>
      <c r="F130" s="523">
        <f t="shared" si="31"/>
        <v>24088536.882883631</v>
      </c>
      <c r="G130" s="523">
        <f t="shared" si="32"/>
        <v>25275980.224347048</v>
      </c>
      <c r="H130" s="526">
        <f t="shared" si="33"/>
        <v>5244070.0238824766</v>
      </c>
      <c r="I130" s="577">
        <f t="shared" si="34"/>
        <v>5244070.0238824766</v>
      </c>
      <c r="J130" s="514">
        <f t="shared" si="19"/>
        <v>0</v>
      </c>
      <c r="K130" s="514"/>
      <c r="L130" s="525"/>
      <c r="M130" s="514">
        <f t="shared" si="21"/>
        <v>0</v>
      </c>
      <c r="N130" s="525"/>
      <c r="O130" s="514">
        <f t="shared" si="23"/>
        <v>0</v>
      </c>
      <c r="P130" s="514">
        <f t="shared" si="24"/>
        <v>0</v>
      </c>
    </row>
    <row r="131" spans="2:16">
      <c r="B131" s="195" t="str">
        <f t="shared" si="25"/>
        <v/>
      </c>
      <c r="C131" s="507">
        <f>IF(D93="","-",+C130+1)</f>
        <v>2048</v>
      </c>
      <c r="D131" s="374">
        <f>IF(F130+SUM(E$99:E130)=D$92,F130,D$92-SUM(E$99:E130))</f>
        <v>24088536.882883631</v>
      </c>
      <c r="E131" s="522">
        <f>IF(+J96&lt;F130,J96,D131)</f>
        <v>2374886.6829268294</v>
      </c>
      <c r="F131" s="523">
        <f t="shared" ref="F131:F154" si="35">+D131-E131</f>
        <v>21713650.199956801</v>
      </c>
      <c r="G131" s="523">
        <f t="shared" ref="G131:G154" si="36">+(F131+D131)/2</f>
        <v>22901093.541420214</v>
      </c>
      <c r="H131" s="526">
        <f t="shared" si="33"/>
        <v>4974486.5993493488</v>
      </c>
      <c r="I131" s="577">
        <f t="shared" si="34"/>
        <v>4974486.5993493488</v>
      </c>
      <c r="J131" s="514">
        <f t="shared" ref="J131:J154" si="37">+I541-H541</f>
        <v>0</v>
      </c>
      <c r="K131" s="514"/>
      <c r="L131" s="525"/>
      <c r="M131" s="514">
        <f t="shared" ref="M131:M154" si="38">IF(L541&lt;&gt;0,+H541-L541,0)</f>
        <v>0</v>
      </c>
      <c r="N131" s="525"/>
      <c r="O131" s="514">
        <f t="shared" ref="O131:O154" si="39">IF(N541&lt;&gt;0,+I541-N541,0)</f>
        <v>0</v>
      </c>
      <c r="P131" s="514">
        <f t="shared" ref="P131:P154" si="40">+O541-M541</f>
        <v>0</v>
      </c>
    </row>
    <row r="132" spans="2:16">
      <c r="B132" s="195" t="str">
        <f t="shared" si="25"/>
        <v/>
      </c>
      <c r="C132" s="507">
        <f>IF(D93="","-",+C131+1)</f>
        <v>2049</v>
      </c>
      <c r="D132" s="374">
        <f>IF(F131+SUM(E$99:E131)=D$92,F131,D$92-SUM(E$99:E131))</f>
        <v>21713650.199956801</v>
      </c>
      <c r="E132" s="522">
        <f>IF(+J96&lt;F131,J96,D132)</f>
        <v>2374886.6829268294</v>
      </c>
      <c r="F132" s="523">
        <f t="shared" si="35"/>
        <v>19338763.517029971</v>
      </c>
      <c r="G132" s="523">
        <f t="shared" si="36"/>
        <v>20526206.858493388</v>
      </c>
      <c r="H132" s="526">
        <f t="shared" si="33"/>
        <v>4704903.1748162229</v>
      </c>
      <c r="I132" s="577">
        <f t="shared" si="34"/>
        <v>4704903.1748162229</v>
      </c>
      <c r="J132" s="514">
        <f t="shared" si="37"/>
        <v>0</v>
      </c>
      <c r="K132" s="514"/>
      <c r="L132" s="525"/>
      <c r="M132" s="514">
        <f t="shared" si="38"/>
        <v>0</v>
      </c>
      <c r="N132" s="525"/>
      <c r="O132" s="514">
        <f t="shared" si="39"/>
        <v>0</v>
      </c>
      <c r="P132" s="514">
        <f t="shared" si="40"/>
        <v>0</v>
      </c>
    </row>
    <row r="133" spans="2:16">
      <c r="B133" s="195" t="str">
        <f t="shared" si="25"/>
        <v/>
      </c>
      <c r="C133" s="507">
        <f>IF(D93="","-",+C132+1)</f>
        <v>2050</v>
      </c>
      <c r="D133" s="374">
        <f>IF(F132+SUM(E$99:E132)=D$92,F132,D$92-SUM(E$99:E132))</f>
        <v>19338763.517029971</v>
      </c>
      <c r="E133" s="522">
        <f>IF(+J96&lt;F132,J96,D133)</f>
        <v>2374886.6829268294</v>
      </c>
      <c r="F133" s="523">
        <f t="shared" si="35"/>
        <v>16963876.834103141</v>
      </c>
      <c r="G133" s="523">
        <f t="shared" si="36"/>
        <v>18151320.175566554</v>
      </c>
      <c r="H133" s="526">
        <f t="shared" si="33"/>
        <v>4435319.7502830951</v>
      </c>
      <c r="I133" s="577">
        <f t="shared" si="34"/>
        <v>4435319.7502830951</v>
      </c>
      <c r="J133" s="514">
        <f t="shared" si="37"/>
        <v>0</v>
      </c>
      <c r="K133" s="514"/>
      <c r="L133" s="525"/>
      <c r="M133" s="514">
        <f t="shared" si="38"/>
        <v>0</v>
      </c>
      <c r="N133" s="525"/>
      <c r="O133" s="514">
        <f t="shared" si="39"/>
        <v>0</v>
      </c>
      <c r="P133" s="514">
        <f t="shared" si="40"/>
        <v>0</v>
      </c>
    </row>
    <row r="134" spans="2:16">
      <c r="B134" s="195" t="str">
        <f t="shared" si="25"/>
        <v/>
      </c>
      <c r="C134" s="507">
        <f>IF(D93="","-",+C133+1)</f>
        <v>2051</v>
      </c>
      <c r="D134" s="374">
        <f>IF(F133+SUM(E$99:E133)=D$92,F133,D$92-SUM(E$99:E133))</f>
        <v>16963876.834103141</v>
      </c>
      <c r="E134" s="522">
        <f>IF(+J96&lt;F133,J96,D134)</f>
        <v>2374886.6829268294</v>
      </c>
      <c r="F134" s="523">
        <f t="shared" si="35"/>
        <v>14588990.151176311</v>
      </c>
      <c r="G134" s="523">
        <f t="shared" si="36"/>
        <v>15776433.492639726</v>
      </c>
      <c r="H134" s="526">
        <f t="shared" si="33"/>
        <v>4165736.3257499677</v>
      </c>
      <c r="I134" s="577">
        <f t="shared" si="34"/>
        <v>4165736.3257499677</v>
      </c>
      <c r="J134" s="514">
        <f t="shared" si="37"/>
        <v>0</v>
      </c>
      <c r="K134" s="514"/>
      <c r="L134" s="525"/>
      <c r="M134" s="514">
        <f t="shared" si="38"/>
        <v>0</v>
      </c>
      <c r="N134" s="525"/>
      <c r="O134" s="514">
        <f t="shared" si="39"/>
        <v>0</v>
      </c>
      <c r="P134" s="514">
        <f t="shared" si="40"/>
        <v>0</v>
      </c>
    </row>
    <row r="135" spans="2:16">
      <c r="B135" s="195" t="str">
        <f t="shared" si="25"/>
        <v/>
      </c>
      <c r="C135" s="507">
        <f>IF(D93="","-",+C134+1)</f>
        <v>2052</v>
      </c>
      <c r="D135" s="374">
        <f>IF(F134+SUM(E$99:E134)=D$92,F134,D$92-SUM(E$99:E134))</f>
        <v>14588990.151176311</v>
      </c>
      <c r="E135" s="522">
        <f>IF(+J96&lt;F134,J96,D135)</f>
        <v>2374886.6829268294</v>
      </c>
      <c r="F135" s="523">
        <f t="shared" si="35"/>
        <v>12214103.468249481</v>
      </c>
      <c r="G135" s="523">
        <f t="shared" si="36"/>
        <v>13401546.809712896</v>
      </c>
      <c r="H135" s="526">
        <f t="shared" si="33"/>
        <v>3896152.9012168404</v>
      </c>
      <c r="I135" s="577">
        <f t="shared" si="34"/>
        <v>3896152.9012168404</v>
      </c>
      <c r="J135" s="514">
        <f t="shared" si="37"/>
        <v>0</v>
      </c>
      <c r="K135" s="514"/>
      <c r="L135" s="525"/>
      <c r="M135" s="514">
        <f t="shared" si="38"/>
        <v>0</v>
      </c>
      <c r="N135" s="525"/>
      <c r="O135" s="514">
        <f t="shared" si="39"/>
        <v>0</v>
      </c>
      <c r="P135" s="514">
        <f t="shared" si="40"/>
        <v>0</v>
      </c>
    </row>
    <row r="136" spans="2:16">
      <c r="B136" s="195" t="str">
        <f t="shared" si="25"/>
        <v/>
      </c>
      <c r="C136" s="507">
        <f>IF(D93="","-",+C135+1)</f>
        <v>2053</v>
      </c>
      <c r="D136" s="374">
        <f>IF(F135+SUM(E$99:E135)=D$92,F135,D$92-SUM(E$99:E135))</f>
        <v>12214103.468249481</v>
      </c>
      <c r="E136" s="522">
        <f>IF(+J96&lt;F135,J96,D136)</f>
        <v>2374886.6829268294</v>
      </c>
      <c r="F136" s="523">
        <f t="shared" si="35"/>
        <v>9839216.7853226513</v>
      </c>
      <c r="G136" s="523">
        <f t="shared" si="36"/>
        <v>11026660.126786066</v>
      </c>
      <c r="H136" s="526">
        <f t="shared" si="33"/>
        <v>3626569.4766837135</v>
      </c>
      <c r="I136" s="577">
        <f t="shared" si="34"/>
        <v>3626569.4766837135</v>
      </c>
      <c r="J136" s="514">
        <f t="shared" si="37"/>
        <v>0</v>
      </c>
      <c r="K136" s="514"/>
      <c r="L136" s="525"/>
      <c r="M136" s="514">
        <f t="shared" si="38"/>
        <v>0</v>
      </c>
      <c r="N136" s="525"/>
      <c r="O136" s="514">
        <f t="shared" si="39"/>
        <v>0</v>
      </c>
      <c r="P136" s="514">
        <f t="shared" si="40"/>
        <v>0</v>
      </c>
    </row>
    <row r="137" spans="2:16">
      <c r="B137" s="195" t="str">
        <f t="shared" si="25"/>
        <v/>
      </c>
      <c r="C137" s="507">
        <f>IF(D93="","-",+C136+1)</f>
        <v>2054</v>
      </c>
      <c r="D137" s="374">
        <f>IF(F136+SUM(E$99:E136)=D$92,F136,D$92-SUM(E$99:E136))</f>
        <v>9839216.7853226513</v>
      </c>
      <c r="E137" s="522">
        <f>IF(+J96&lt;F136,J96,D137)</f>
        <v>2374886.6829268294</v>
      </c>
      <c r="F137" s="523">
        <f t="shared" si="35"/>
        <v>7464330.1023958214</v>
      </c>
      <c r="G137" s="523">
        <f t="shared" si="36"/>
        <v>8651773.4438592363</v>
      </c>
      <c r="H137" s="526">
        <f t="shared" si="33"/>
        <v>3356986.0521505866</v>
      </c>
      <c r="I137" s="577">
        <f t="shared" si="34"/>
        <v>3356986.0521505866</v>
      </c>
      <c r="J137" s="514">
        <f t="shared" si="37"/>
        <v>0</v>
      </c>
      <c r="K137" s="514"/>
      <c r="L137" s="525"/>
      <c r="M137" s="514">
        <f t="shared" si="38"/>
        <v>0</v>
      </c>
      <c r="N137" s="525"/>
      <c r="O137" s="514">
        <f t="shared" si="39"/>
        <v>0</v>
      </c>
      <c r="P137" s="514">
        <f t="shared" si="40"/>
        <v>0</v>
      </c>
    </row>
    <row r="138" spans="2:16">
      <c r="B138" s="195" t="str">
        <f t="shared" si="25"/>
        <v/>
      </c>
      <c r="C138" s="507">
        <f>IF(D93="","-",+C137+1)</f>
        <v>2055</v>
      </c>
      <c r="D138" s="374">
        <f>IF(F137+SUM(E$99:E137)=D$92,F137,D$92-SUM(E$99:E137))</f>
        <v>7464330.1023958214</v>
      </c>
      <c r="E138" s="522">
        <f>IF(+J96&lt;F137,J96,D138)</f>
        <v>2374886.6829268294</v>
      </c>
      <c r="F138" s="523">
        <f t="shared" si="35"/>
        <v>5089443.4194689915</v>
      </c>
      <c r="G138" s="523">
        <f t="shared" si="36"/>
        <v>6276886.7609324064</v>
      </c>
      <c r="H138" s="526">
        <f t="shared" si="33"/>
        <v>3087402.6276174593</v>
      </c>
      <c r="I138" s="577">
        <f t="shared" si="34"/>
        <v>3087402.6276174593</v>
      </c>
      <c r="J138" s="514">
        <f t="shared" si="37"/>
        <v>0</v>
      </c>
      <c r="K138" s="514"/>
      <c r="L138" s="525"/>
      <c r="M138" s="514">
        <f t="shared" si="38"/>
        <v>0</v>
      </c>
      <c r="N138" s="525"/>
      <c r="O138" s="514">
        <f t="shared" si="39"/>
        <v>0</v>
      </c>
      <c r="P138" s="514">
        <f t="shared" si="40"/>
        <v>0</v>
      </c>
    </row>
    <row r="139" spans="2:16">
      <c r="B139" s="195" t="str">
        <f t="shared" si="25"/>
        <v/>
      </c>
      <c r="C139" s="507">
        <f>IF(D93="","-",+C138+1)</f>
        <v>2056</v>
      </c>
      <c r="D139" s="374">
        <f>IF(F138+SUM(E$99:E138)=D$92,F138,D$92-SUM(E$99:E138))</f>
        <v>5089443.4194689915</v>
      </c>
      <c r="E139" s="522">
        <f>IF(+J96&lt;F138,J96,D139)</f>
        <v>2374886.6829268294</v>
      </c>
      <c r="F139" s="523">
        <f t="shared" si="35"/>
        <v>2714556.736542162</v>
      </c>
      <c r="G139" s="523">
        <f t="shared" si="36"/>
        <v>3902000.0780055765</v>
      </c>
      <c r="H139" s="526">
        <f t="shared" si="33"/>
        <v>2817819.2030843319</v>
      </c>
      <c r="I139" s="577">
        <f t="shared" si="34"/>
        <v>2817819.2030843319</v>
      </c>
      <c r="J139" s="514">
        <f t="shared" si="37"/>
        <v>0</v>
      </c>
      <c r="K139" s="514"/>
      <c r="L139" s="525"/>
      <c r="M139" s="514">
        <f t="shared" si="38"/>
        <v>0</v>
      </c>
      <c r="N139" s="525"/>
      <c r="O139" s="514">
        <f t="shared" si="39"/>
        <v>0</v>
      </c>
      <c r="P139" s="514">
        <f t="shared" si="40"/>
        <v>0</v>
      </c>
    </row>
    <row r="140" spans="2:16">
      <c r="B140" s="195" t="str">
        <f t="shared" si="25"/>
        <v/>
      </c>
      <c r="C140" s="507">
        <f>IF(D93="","-",+C139+1)</f>
        <v>2057</v>
      </c>
      <c r="D140" s="374">
        <f>IF(F139+SUM(E$99:E139)=D$92,F139,D$92-SUM(E$99:E139))</f>
        <v>2714556.736542162</v>
      </c>
      <c r="E140" s="522">
        <f>IF(+J96&lt;F139,J96,D140)</f>
        <v>2374886.6829268294</v>
      </c>
      <c r="F140" s="523">
        <f t="shared" si="35"/>
        <v>339670.05361533258</v>
      </c>
      <c r="G140" s="523">
        <f t="shared" si="36"/>
        <v>1527113.3950787473</v>
      </c>
      <c r="H140" s="526">
        <f t="shared" si="33"/>
        <v>2548235.7785512051</v>
      </c>
      <c r="I140" s="577">
        <f t="shared" si="34"/>
        <v>2548235.7785512051</v>
      </c>
      <c r="J140" s="514">
        <f t="shared" si="37"/>
        <v>0</v>
      </c>
      <c r="K140" s="514"/>
      <c r="L140" s="525"/>
      <c r="M140" s="514">
        <f t="shared" si="38"/>
        <v>0</v>
      </c>
      <c r="N140" s="525"/>
      <c r="O140" s="514">
        <f t="shared" si="39"/>
        <v>0</v>
      </c>
      <c r="P140" s="514">
        <f t="shared" si="40"/>
        <v>0</v>
      </c>
    </row>
    <row r="141" spans="2:16">
      <c r="B141" s="195" t="str">
        <f t="shared" si="25"/>
        <v/>
      </c>
      <c r="C141" s="507">
        <f>IF(D93="","-",+C140+1)</f>
        <v>2058</v>
      </c>
      <c r="D141" s="374">
        <f>IF(F140+SUM(E$99:E140)=D$92,F140,D$92-SUM(E$99:E140))</f>
        <v>339670.05361533258</v>
      </c>
      <c r="E141" s="522">
        <f>IF(+J96&lt;F140,J96,D141)</f>
        <v>339670.05361533258</v>
      </c>
      <c r="F141" s="523">
        <f t="shared" si="35"/>
        <v>0</v>
      </c>
      <c r="G141" s="523">
        <f t="shared" si="36"/>
        <v>169835.02680766629</v>
      </c>
      <c r="H141" s="526">
        <f t="shared" si="33"/>
        <v>358948.74529423856</v>
      </c>
      <c r="I141" s="577">
        <f t="shared" si="34"/>
        <v>358948.74529423856</v>
      </c>
      <c r="J141" s="514">
        <f t="shared" si="37"/>
        <v>0</v>
      </c>
      <c r="K141" s="514"/>
      <c r="L141" s="525"/>
      <c r="M141" s="514">
        <f t="shared" si="38"/>
        <v>0</v>
      </c>
      <c r="N141" s="525"/>
      <c r="O141" s="514">
        <f t="shared" si="39"/>
        <v>0</v>
      </c>
      <c r="P141" s="514">
        <f t="shared" si="40"/>
        <v>0</v>
      </c>
    </row>
    <row r="142" spans="2:16">
      <c r="B142" s="195" t="str">
        <f t="shared" si="25"/>
        <v/>
      </c>
      <c r="C142" s="507">
        <f>IF(D93="","-",+C141+1)</f>
        <v>2059</v>
      </c>
      <c r="D142" s="374">
        <f>IF(F141+SUM(E$99:E141)=D$92,F141,D$92-SUM(E$99:E141))</f>
        <v>0</v>
      </c>
      <c r="E142" s="522">
        <f>IF(+J96&lt;F141,J96,D142)</f>
        <v>0</v>
      </c>
      <c r="F142" s="523">
        <f t="shared" si="35"/>
        <v>0</v>
      </c>
      <c r="G142" s="523">
        <f t="shared" si="36"/>
        <v>0</v>
      </c>
      <c r="H142" s="526">
        <f t="shared" si="33"/>
        <v>0</v>
      </c>
      <c r="I142" s="577">
        <f t="shared" si="34"/>
        <v>0</v>
      </c>
      <c r="J142" s="514">
        <f t="shared" si="37"/>
        <v>0</v>
      </c>
      <c r="K142" s="514"/>
      <c r="L142" s="525"/>
      <c r="M142" s="514">
        <f t="shared" si="38"/>
        <v>0</v>
      </c>
      <c r="N142" s="525"/>
      <c r="O142" s="514">
        <f t="shared" si="39"/>
        <v>0</v>
      </c>
      <c r="P142" s="514">
        <f t="shared" si="40"/>
        <v>0</v>
      </c>
    </row>
    <row r="143" spans="2:16">
      <c r="B143" s="195" t="str">
        <f t="shared" si="25"/>
        <v/>
      </c>
      <c r="C143" s="507">
        <f>IF(D93="","-",+C142+1)</f>
        <v>2060</v>
      </c>
      <c r="D143" s="374">
        <f>IF(F142+SUM(E$99:E142)=D$92,F142,D$92-SUM(E$99:E142))</f>
        <v>0</v>
      </c>
      <c r="E143" s="522">
        <f>IF(+J96&lt;F142,J96,D143)</f>
        <v>0</v>
      </c>
      <c r="F143" s="523">
        <f t="shared" si="35"/>
        <v>0</v>
      </c>
      <c r="G143" s="523">
        <f t="shared" si="36"/>
        <v>0</v>
      </c>
      <c r="H143" s="526">
        <f t="shared" si="33"/>
        <v>0</v>
      </c>
      <c r="I143" s="577">
        <f t="shared" si="34"/>
        <v>0</v>
      </c>
      <c r="J143" s="514">
        <f t="shared" si="37"/>
        <v>0</v>
      </c>
      <c r="K143" s="514"/>
      <c r="L143" s="525"/>
      <c r="M143" s="514">
        <f t="shared" si="38"/>
        <v>0</v>
      </c>
      <c r="N143" s="525"/>
      <c r="O143" s="514">
        <f t="shared" si="39"/>
        <v>0</v>
      </c>
      <c r="P143" s="514">
        <f t="shared" si="40"/>
        <v>0</v>
      </c>
    </row>
    <row r="144" spans="2:16">
      <c r="B144" s="195" t="str">
        <f t="shared" si="25"/>
        <v/>
      </c>
      <c r="C144" s="507">
        <f>IF(D93="","-",+C143+1)</f>
        <v>2061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35"/>
        <v>0</v>
      </c>
      <c r="G144" s="523">
        <f t="shared" si="36"/>
        <v>0</v>
      </c>
      <c r="H144" s="526">
        <f t="shared" si="33"/>
        <v>0</v>
      </c>
      <c r="I144" s="577">
        <f t="shared" si="34"/>
        <v>0</v>
      </c>
      <c r="J144" s="514">
        <f t="shared" si="37"/>
        <v>0</v>
      </c>
      <c r="K144" s="514"/>
      <c r="L144" s="525"/>
      <c r="M144" s="514">
        <f t="shared" si="38"/>
        <v>0</v>
      </c>
      <c r="N144" s="525"/>
      <c r="O144" s="514">
        <f t="shared" si="39"/>
        <v>0</v>
      </c>
      <c r="P144" s="514">
        <f t="shared" si="40"/>
        <v>0</v>
      </c>
    </row>
    <row r="145" spans="2:16">
      <c r="B145" s="195" t="str">
        <f t="shared" si="25"/>
        <v/>
      </c>
      <c r="C145" s="507">
        <f>IF(D93="","-",+C144+1)</f>
        <v>2062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35"/>
        <v>0</v>
      </c>
      <c r="G145" s="523">
        <f t="shared" si="36"/>
        <v>0</v>
      </c>
      <c r="H145" s="526">
        <f t="shared" si="33"/>
        <v>0</v>
      </c>
      <c r="I145" s="577">
        <f t="shared" si="34"/>
        <v>0</v>
      </c>
      <c r="J145" s="514">
        <f t="shared" si="37"/>
        <v>0</v>
      </c>
      <c r="K145" s="514"/>
      <c r="L145" s="525"/>
      <c r="M145" s="514">
        <f t="shared" si="38"/>
        <v>0</v>
      </c>
      <c r="N145" s="525"/>
      <c r="O145" s="514">
        <f t="shared" si="39"/>
        <v>0</v>
      </c>
      <c r="P145" s="514">
        <f t="shared" si="40"/>
        <v>0</v>
      </c>
    </row>
    <row r="146" spans="2:16">
      <c r="B146" s="195" t="str">
        <f t="shared" si="25"/>
        <v/>
      </c>
      <c r="C146" s="507">
        <f>IF(D93="","-",+C145+1)</f>
        <v>2063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35"/>
        <v>0</v>
      </c>
      <c r="G146" s="523">
        <f t="shared" si="36"/>
        <v>0</v>
      </c>
      <c r="H146" s="526">
        <f t="shared" si="33"/>
        <v>0</v>
      </c>
      <c r="I146" s="577">
        <f t="shared" si="34"/>
        <v>0</v>
      </c>
      <c r="J146" s="514">
        <f t="shared" si="37"/>
        <v>0</v>
      </c>
      <c r="K146" s="514"/>
      <c r="L146" s="525"/>
      <c r="M146" s="514">
        <f t="shared" si="38"/>
        <v>0</v>
      </c>
      <c r="N146" s="525"/>
      <c r="O146" s="514">
        <f t="shared" si="39"/>
        <v>0</v>
      </c>
      <c r="P146" s="514">
        <f t="shared" si="40"/>
        <v>0</v>
      </c>
    </row>
    <row r="147" spans="2:16">
      <c r="B147" s="195" t="str">
        <f t="shared" si="25"/>
        <v/>
      </c>
      <c r="C147" s="507">
        <f>IF(D93="","-",+C146+1)</f>
        <v>2064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35"/>
        <v>0</v>
      </c>
      <c r="G147" s="523">
        <f t="shared" si="36"/>
        <v>0</v>
      </c>
      <c r="H147" s="526">
        <f t="shared" si="33"/>
        <v>0</v>
      </c>
      <c r="I147" s="577">
        <f t="shared" si="34"/>
        <v>0</v>
      </c>
      <c r="J147" s="514">
        <f t="shared" si="37"/>
        <v>0</v>
      </c>
      <c r="K147" s="514"/>
      <c r="L147" s="525"/>
      <c r="M147" s="514">
        <f t="shared" si="38"/>
        <v>0</v>
      </c>
      <c r="N147" s="525"/>
      <c r="O147" s="514">
        <f t="shared" si="39"/>
        <v>0</v>
      </c>
      <c r="P147" s="514">
        <f t="shared" si="40"/>
        <v>0</v>
      </c>
    </row>
    <row r="148" spans="2:16">
      <c r="B148" s="195" t="str">
        <f t="shared" si="25"/>
        <v/>
      </c>
      <c r="C148" s="507">
        <f>IF(D93="","-",+C147+1)</f>
        <v>2065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35"/>
        <v>0</v>
      </c>
      <c r="G148" s="523">
        <f t="shared" si="36"/>
        <v>0</v>
      </c>
      <c r="H148" s="526">
        <f t="shared" si="33"/>
        <v>0</v>
      </c>
      <c r="I148" s="577">
        <f t="shared" si="34"/>
        <v>0</v>
      </c>
      <c r="J148" s="514">
        <f t="shared" si="37"/>
        <v>0</v>
      </c>
      <c r="K148" s="514"/>
      <c r="L148" s="525"/>
      <c r="M148" s="514">
        <f t="shared" si="38"/>
        <v>0</v>
      </c>
      <c r="N148" s="525"/>
      <c r="O148" s="514">
        <f t="shared" si="39"/>
        <v>0</v>
      </c>
      <c r="P148" s="514">
        <f t="shared" si="40"/>
        <v>0</v>
      </c>
    </row>
    <row r="149" spans="2:16">
      <c r="B149" s="195" t="str">
        <f t="shared" si="25"/>
        <v/>
      </c>
      <c r="C149" s="507">
        <f>IF(D93="","-",+C148+1)</f>
        <v>2066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35"/>
        <v>0</v>
      </c>
      <c r="G149" s="523">
        <f t="shared" si="36"/>
        <v>0</v>
      </c>
      <c r="H149" s="526">
        <f t="shared" si="33"/>
        <v>0</v>
      </c>
      <c r="I149" s="577">
        <f t="shared" si="34"/>
        <v>0</v>
      </c>
      <c r="J149" s="514">
        <f t="shared" si="37"/>
        <v>0</v>
      </c>
      <c r="K149" s="514"/>
      <c r="L149" s="525"/>
      <c r="M149" s="514">
        <f t="shared" si="38"/>
        <v>0</v>
      </c>
      <c r="N149" s="525"/>
      <c r="O149" s="514">
        <f t="shared" si="39"/>
        <v>0</v>
      </c>
      <c r="P149" s="514">
        <f t="shared" si="40"/>
        <v>0</v>
      </c>
    </row>
    <row r="150" spans="2:16">
      <c r="B150" s="195" t="str">
        <f t="shared" si="25"/>
        <v/>
      </c>
      <c r="C150" s="507">
        <f>IF(D93="","-",+C149+1)</f>
        <v>2067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35"/>
        <v>0</v>
      </c>
      <c r="G150" s="523">
        <f t="shared" si="36"/>
        <v>0</v>
      </c>
      <c r="H150" s="526">
        <f t="shared" si="33"/>
        <v>0</v>
      </c>
      <c r="I150" s="577">
        <f t="shared" si="34"/>
        <v>0</v>
      </c>
      <c r="J150" s="514">
        <f t="shared" si="37"/>
        <v>0</v>
      </c>
      <c r="K150" s="514"/>
      <c r="L150" s="525"/>
      <c r="M150" s="514">
        <f t="shared" si="38"/>
        <v>0</v>
      </c>
      <c r="N150" s="525"/>
      <c r="O150" s="514">
        <f t="shared" si="39"/>
        <v>0</v>
      </c>
      <c r="P150" s="514">
        <f t="shared" si="40"/>
        <v>0</v>
      </c>
    </row>
    <row r="151" spans="2:16">
      <c r="B151" s="195" t="str">
        <f t="shared" si="25"/>
        <v/>
      </c>
      <c r="C151" s="507">
        <f>IF(D93="","-",+C150+1)</f>
        <v>2068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35"/>
        <v>0</v>
      </c>
      <c r="G151" s="523">
        <f t="shared" si="36"/>
        <v>0</v>
      </c>
      <c r="H151" s="526">
        <f t="shared" si="33"/>
        <v>0</v>
      </c>
      <c r="I151" s="577">
        <f t="shared" si="34"/>
        <v>0</v>
      </c>
      <c r="J151" s="514">
        <f t="shared" si="37"/>
        <v>0</v>
      </c>
      <c r="K151" s="514"/>
      <c r="L151" s="525"/>
      <c r="M151" s="514">
        <f t="shared" si="38"/>
        <v>0</v>
      </c>
      <c r="N151" s="525"/>
      <c r="O151" s="514">
        <f t="shared" si="39"/>
        <v>0</v>
      </c>
      <c r="P151" s="514">
        <f t="shared" si="40"/>
        <v>0</v>
      </c>
    </row>
    <row r="152" spans="2:16">
      <c r="B152" s="195" t="str">
        <f t="shared" si="25"/>
        <v/>
      </c>
      <c r="C152" s="507">
        <f>IF(D93="","-",+C151+1)</f>
        <v>2069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35"/>
        <v>0</v>
      </c>
      <c r="G152" s="523">
        <f t="shared" si="36"/>
        <v>0</v>
      </c>
      <c r="H152" s="526">
        <f t="shared" si="33"/>
        <v>0</v>
      </c>
      <c r="I152" s="577">
        <f t="shared" si="34"/>
        <v>0</v>
      </c>
      <c r="J152" s="514">
        <f t="shared" si="37"/>
        <v>0</v>
      </c>
      <c r="K152" s="514"/>
      <c r="L152" s="525"/>
      <c r="M152" s="514">
        <f t="shared" si="38"/>
        <v>0</v>
      </c>
      <c r="N152" s="525"/>
      <c r="O152" s="514">
        <f t="shared" si="39"/>
        <v>0</v>
      </c>
      <c r="P152" s="514">
        <f t="shared" si="40"/>
        <v>0</v>
      </c>
    </row>
    <row r="153" spans="2:16">
      <c r="B153" s="195" t="str">
        <f t="shared" si="25"/>
        <v/>
      </c>
      <c r="C153" s="507">
        <f>IF(D93="","-",+C152+1)</f>
        <v>2070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35"/>
        <v>0</v>
      </c>
      <c r="G153" s="523">
        <f t="shared" si="36"/>
        <v>0</v>
      </c>
      <c r="H153" s="526">
        <f t="shared" si="33"/>
        <v>0</v>
      </c>
      <c r="I153" s="577">
        <f t="shared" si="34"/>
        <v>0</v>
      </c>
      <c r="J153" s="514">
        <f t="shared" si="37"/>
        <v>0</v>
      </c>
      <c r="K153" s="514"/>
      <c r="L153" s="525"/>
      <c r="M153" s="514">
        <f t="shared" si="38"/>
        <v>0</v>
      </c>
      <c r="N153" s="525"/>
      <c r="O153" s="514">
        <f t="shared" si="39"/>
        <v>0</v>
      </c>
      <c r="P153" s="514">
        <f t="shared" si="40"/>
        <v>0</v>
      </c>
    </row>
    <row r="154" spans="2:16" ht="13.5" thickBot="1">
      <c r="B154" s="195" t="str">
        <f t="shared" si="25"/>
        <v/>
      </c>
      <c r="C154" s="527">
        <f>IF(D93="","-",+C153+1)</f>
        <v>2071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35"/>
        <v>0</v>
      </c>
      <c r="G154" s="528">
        <f t="shared" si="36"/>
        <v>0</v>
      </c>
      <c r="H154" s="530">
        <f t="shared" si="33"/>
        <v>0</v>
      </c>
      <c r="I154" s="579">
        <f t="shared" si="34"/>
        <v>0</v>
      </c>
      <c r="J154" s="533">
        <f t="shared" si="37"/>
        <v>0</v>
      </c>
      <c r="K154" s="514"/>
      <c r="L154" s="532"/>
      <c r="M154" s="533">
        <f t="shared" si="38"/>
        <v>0</v>
      </c>
      <c r="N154" s="532"/>
      <c r="O154" s="533">
        <f t="shared" si="39"/>
        <v>0</v>
      </c>
      <c r="P154" s="533">
        <f t="shared" si="40"/>
        <v>0</v>
      </c>
    </row>
    <row r="155" spans="2:16">
      <c r="C155" s="374" t="s">
        <v>78</v>
      </c>
      <c r="D155" s="375"/>
      <c r="E155" s="375">
        <f>SUM(E99:E154)</f>
        <v>97370354.00000003</v>
      </c>
      <c r="F155" s="375"/>
      <c r="G155" s="375"/>
      <c r="H155" s="375">
        <f>SUM(H99:H154)</f>
        <v>330650724.0366351</v>
      </c>
      <c r="I155" s="375">
        <f>SUM(I99:I154)</f>
        <v>330650724.0366351</v>
      </c>
      <c r="J155" s="375">
        <f>SUM(J99:J154)</f>
        <v>0</v>
      </c>
      <c r="K155" s="375"/>
      <c r="L155" s="375"/>
      <c r="M155" s="375"/>
      <c r="N155" s="375"/>
      <c r="O155" s="375"/>
      <c r="P155" s="269"/>
    </row>
    <row r="156" spans="2:16">
      <c r="C156" s="183" t="s">
        <v>92</v>
      </c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</row>
    <row r="157" spans="2:16">
      <c r="C157" s="580"/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</row>
    <row r="158" spans="2:16">
      <c r="C158" s="614" t="s">
        <v>132</v>
      </c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</row>
    <row r="159" spans="2:16">
      <c r="C159" s="467" t="s">
        <v>79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</row>
    <row r="160" spans="2:16">
      <c r="C160" s="581" t="s">
        <v>80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</row>
    <row r="161" spans="3:16">
      <c r="C161" s="581"/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</row>
    <row r="162" spans="3:16" ht="18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635" t="s">
        <v>131</v>
      </c>
    </row>
  </sheetData>
  <conditionalFormatting sqref="C18:C72">
    <cfRule type="cellIs" dxfId="41" priority="2" stopIfTrue="1" operator="equal">
      <formula>$I$10</formula>
    </cfRule>
  </conditionalFormatting>
  <conditionalFormatting sqref="C99:C154">
    <cfRule type="cellIs" dxfId="40" priority="3" stopIfTrue="1" operator="equal">
      <formula>$J$92</formula>
    </cfRule>
  </conditionalFormatting>
  <conditionalFormatting sqref="C17">
    <cfRule type="cellIs" dxfId="39" priority="1" stopIfTrue="1" operator="equal">
      <formula>$I$10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  <legacyDrawing r:id="rId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Sheet110"/>
  <dimension ref="A1:P162"/>
  <sheetViews>
    <sheetView topLeftCell="A90" zoomScaleNormal="100" zoomScaleSheetLayoutView="80" workbookViewId="0">
      <selection activeCell="D99" sqref="D99:I105"/>
    </sheetView>
  </sheetViews>
  <sheetFormatPr defaultColWidth="8.7109375" defaultRowHeight="12.75" customHeight="1"/>
  <cols>
    <col min="1" max="1" width="4.7109375" style="183" customWidth="1"/>
    <col min="2" max="2" width="6.7109375" style="183" customWidth="1"/>
    <col min="3" max="3" width="23.28515625" style="183" customWidth="1"/>
    <col min="4" max="8" width="17.7109375" style="183" customWidth="1"/>
    <col min="9" max="9" width="20.42578125" style="183" customWidth="1"/>
    <col min="10" max="10" width="16.42578125" style="183" customWidth="1"/>
    <col min="11" max="11" width="17.7109375" style="183" customWidth="1"/>
    <col min="12" max="12" width="16.140625" style="183" customWidth="1"/>
    <col min="13" max="13" width="17.7109375" style="183" customWidth="1"/>
    <col min="14" max="14" width="16.7109375" style="183" customWidth="1"/>
    <col min="15" max="15" width="16.85546875" style="183" customWidth="1"/>
    <col min="16" max="16" width="24.42578125" style="183" customWidth="1"/>
    <col min="17" max="17" width="9.140625" style="183" customWidth="1"/>
    <col min="18" max="22" width="8.7109375" style="183"/>
    <col min="23" max="23" width="9.140625" style="183" customWidth="1"/>
    <col min="24" max="16384" width="8.7109375" style="183"/>
  </cols>
  <sheetData>
    <row r="1" spans="1:16" ht="20.25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61 of 75</v>
      </c>
    </row>
    <row r="2" spans="1:16" ht="18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538" t="s">
        <v>129</v>
      </c>
    </row>
    <row r="3" spans="1:16" ht="18.75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/>
      <c r="P3" s="623">
        <v>1</v>
      </c>
    </row>
    <row r="4" spans="1:16" ht="15.75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6" ht="1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6960825.5877609951</v>
      </c>
      <c r="P5" s="269"/>
    </row>
    <row r="6" spans="1:16" ht="15.7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6960825.5877609951</v>
      </c>
      <c r="O6" s="269"/>
      <c r="P6" s="269"/>
    </row>
    <row r="7" spans="1:16" ht="13.5" thickBot="1">
      <c r="C7" s="467" t="s">
        <v>48</v>
      </c>
      <c r="D7" s="624" t="s">
        <v>380</v>
      </c>
      <c r="E7" s="269"/>
      <c r="F7" s="269"/>
      <c r="G7" s="269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6" ht="13.5" thickBot="1">
      <c r="C8" s="472"/>
      <c r="D8" s="625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6" ht="13.5" thickBot="1">
      <c r="C9" s="476" t="s">
        <v>50</v>
      </c>
      <c r="D9" s="477" t="s">
        <v>381</v>
      </c>
      <c r="E9" s="637" t="s">
        <v>508</v>
      </c>
      <c r="F9" s="478"/>
      <c r="G9" s="478"/>
      <c r="H9" s="478"/>
      <c r="I9" s="479"/>
      <c r="J9" s="480"/>
      <c r="O9" s="481"/>
      <c r="P9" s="272"/>
    </row>
    <row r="10" spans="1:16">
      <c r="C10" s="482" t="s">
        <v>51</v>
      </c>
      <c r="D10" s="483">
        <v>58649880.669999994</v>
      </c>
      <c r="E10" s="353" t="s">
        <v>52</v>
      </c>
      <c r="F10" s="481"/>
      <c r="G10" s="484"/>
      <c r="H10" s="484"/>
      <c r="I10" s="485">
        <f>+'SWE.WS.F.BPU.ATRR.Projected'!L19</f>
        <v>2024</v>
      </c>
      <c r="J10" s="480"/>
      <c r="K10" s="375" t="s">
        <v>53</v>
      </c>
      <c r="O10" s="272"/>
      <c r="P10" s="272"/>
    </row>
    <row r="11" spans="1:16">
      <c r="C11" s="486" t="s">
        <v>54</v>
      </c>
      <c r="D11" s="487">
        <v>2016</v>
      </c>
      <c r="E11" s="486" t="s">
        <v>55</v>
      </c>
      <c r="F11" s="484"/>
      <c r="G11" s="233"/>
      <c r="H11" s="233"/>
      <c r="I11" s="488">
        <f>IF(G5="",0,'SWE.WS.F.BPU.ATRR.Projected'!F$13)</f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6">
      <c r="C12" s="486" t="s">
        <v>56</v>
      </c>
      <c r="D12" s="483">
        <v>6</v>
      </c>
      <c r="E12" s="486" t="s">
        <v>57</v>
      </c>
      <c r="F12" s="484"/>
      <c r="G12" s="233"/>
      <c r="H12" s="233"/>
      <c r="I12" s="490">
        <f>'SWE.WS.F.BPU.ATRR.Projected'!$F$81</f>
        <v>0.11952713165403545</v>
      </c>
      <c r="J12" s="425"/>
      <c r="K12" s="183" t="s">
        <v>58</v>
      </c>
      <c r="O12" s="272"/>
      <c r="P12" s="272"/>
    </row>
    <row r="13" spans="1:16">
      <c r="C13" s="486" t="s">
        <v>59</v>
      </c>
      <c r="D13" s="488">
        <f>+'SWE.WS.F.BPU.ATRR.Projected'!F$93</f>
        <v>44</v>
      </c>
      <c r="E13" s="486" t="s">
        <v>60</v>
      </c>
      <c r="F13" s="484"/>
      <c r="G13" s="233"/>
      <c r="H13" s="233"/>
      <c r="I13" s="490">
        <f>IF(G5="",I12,'SWE.WS.F.BPU.ATRR.Projected'!$F$80)</f>
        <v>0.11952713165403545</v>
      </c>
      <c r="J13" s="425"/>
      <c r="K13" s="375" t="s">
        <v>61</v>
      </c>
      <c r="L13" s="324"/>
      <c r="M13" s="324"/>
      <c r="N13" s="324"/>
      <c r="O13" s="272"/>
      <c r="P13" s="272"/>
    </row>
    <row r="14" spans="1:16" ht="13.5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1332951.8334090908</v>
      </c>
      <c r="J14" s="375"/>
      <c r="K14" s="375"/>
      <c r="L14" s="375"/>
      <c r="M14" s="375"/>
      <c r="N14" s="375"/>
      <c r="O14" s="272"/>
      <c r="P14" s="272"/>
    </row>
    <row r="15" spans="1:16" ht="38.25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388</v>
      </c>
      <c r="H15" s="495" t="s">
        <v>389</v>
      </c>
      <c r="I15" s="492" t="s">
        <v>68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6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>
      <c r="C17" s="507">
        <f>IF(D11= "","-",D11)</f>
        <v>2016</v>
      </c>
      <c r="D17" s="649">
        <v>0</v>
      </c>
      <c r="E17" s="658">
        <v>923012.13953488367</v>
      </c>
      <c r="F17" s="651">
        <v>58611270.860465117</v>
      </c>
      <c r="G17" s="659">
        <v>4553761.5622253697</v>
      </c>
      <c r="H17" s="657">
        <v>4553761.5622253697</v>
      </c>
      <c r="I17" s="511">
        <f t="shared" ref="I17:I72" si="0">H17-G17</f>
        <v>0</v>
      </c>
      <c r="J17" s="511"/>
      <c r="K17" s="512">
        <f t="shared" ref="K17:K22" si="1">+G17</f>
        <v>4553761.5622253697</v>
      </c>
      <c r="L17" s="513">
        <f t="shared" ref="L17:L72" si="2">IF(K17&lt;&gt;0,+G17-K17,0)</f>
        <v>0</v>
      </c>
      <c r="M17" s="512">
        <f t="shared" ref="M17:M22" si="3">+H17</f>
        <v>4553761.5622253697</v>
      </c>
      <c r="N17" s="513">
        <f t="shared" ref="N17:N72" si="4">IF(M17&lt;&gt;0,+H17-M17,0)</f>
        <v>0</v>
      </c>
      <c r="O17" s="514">
        <f t="shared" ref="O17:O72" si="5">+N17-L17</f>
        <v>0</v>
      </c>
      <c r="P17" s="272"/>
    </row>
    <row r="18" spans="2:16">
      <c r="B18" s="195" t="str">
        <f>IF(D18=F17,"","IU")</f>
        <v/>
      </c>
      <c r="C18" s="507">
        <f>IF(D11="","-",+C17+1)</f>
        <v>2017</v>
      </c>
      <c r="D18" s="631">
        <v>58611270.860465117</v>
      </c>
      <c r="E18" s="630">
        <v>1452055.6829268292</v>
      </c>
      <c r="F18" s="631">
        <v>57159215.177538291</v>
      </c>
      <c r="G18" s="630">
        <v>7928500.3710052036</v>
      </c>
      <c r="H18" s="639">
        <v>7928500.3710052036</v>
      </c>
      <c r="I18" s="511">
        <f t="shared" si="0"/>
        <v>0</v>
      </c>
      <c r="J18" s="511"/>
      <c r="K18" s="655">
        <f t="shared" si="1"/>
        <v>7928500.3710052036</v>
      </c>
      <c r="L18" s="514">
        <f t="shared" si="2"/>
        <v>0</v>
      </c>
      <c r="M18" s="655">
        <f t="shared" si="3"/>
        <v>7928500.3710052036</v>
      </c>
      <c r="N18" s="514">
        <f t="shared" si="4"/>
        <v>0</v>
      </c>
      <c r="O18" s="514">
        <f t="shared" si="5"/>
        <v>0</v>
      </c>
      <c r="P18" s="272"/>
    </row>
    <row r="19" spans="2:16">
      <c r="B19" s="195" t="str">
        <f>IF(D19=F18,"","IU")</f>
        <v>IU</v>
      </c>
      <c r="C19" s="507">
        <f>IF(D11="","-",+C18+1)</f>
        <v>2018</v>
      </c>
      <c r="D19" s="631">
        <v>58611270.860465117</v>
      </c>
      <c r="E19" s="630">
        <v>1452055.6829268292</v>
      </c>
      <c r="F19" s="631">
        <v>57159215.177538291</v>
      </c>
      <c r="G19" s="630">
        <v>8808928.485670168</v>
      </c>
      <c r="H19" s="639">
        <v>8808928.485670168</v>
      </c>
      <c r="I19" s="511">
        <f t="shared" si="0"/>
        <v>0</v>
      </c>
      <c r="J19" s="511"/>
      <c r="K19" s="655">
        <f t="shared" si="1"/>
        <v>8808928.485670168</v>
      </c>
      <c r="L19" s="514">
        <f t="shared" ref="L19" si="6">IF(K19&lt;&gt;0,+G19-K19,0)</f>
        <v>0</v>
      </c>
      <c r="M19" s="655">
        <f t="shared" si="3"/>
        <v>8808928.485670168</v>
      </c>
      <c r="N19" s="514">
        <f t="shared" si="4"/>
        <v>0</v>
      </c>
      <c r="O19" s="514">
        <f t="shared" si="5"/>
        <v>0</v>
      </c>
      <c r="P19" s="272"/>
    </row>
    <row r="20" spans="2:16">
      <c r="B20" s="195" t="str">
        <f t="shared" ref="B20:B72" si="7">IF(D20=F19,"","IU")</f>
        <v/>
      </c>
      <c r="C20" s="507">
        <f>IF(D11="","-",+C19+1)</f>
        <v>2019</v>
      </c>
      <c r="D20" s="631">
        <v>57159215.177538291</v>
      </c>
      <c r="E20" s="630">
        <v>1452055.6829268292</v>
      </c>
      <c r="F20" s="631">
        <v>55707159.494611464</v>
      </c>
      <c r="G20" s="630">
        <v>8624380.7770549227</v>
      </c>
      <c r="H20" s="639">
        <v>8624380.7770549227</v>
      </c>
      <c r="I20" s="511">
        <f t="shared" si="0"/>
        <v>0</v>
      </c>
      <c r="J20" s="511"/>
      <c r="K20" s="655">
        <f t="shared" si="1"/>
        <v>8624380.7770549227</v>
      </c>
      <c r="L20" s="514">
        <f t="shared" ref="L20" si="8">IF(K20&lt;&gt;0,+G20-K20,0)</f>
        <v>0</v>
      </c>
      <c r="M20" s="655">
        <f t="shared" si="3"/>
        <v>8624380.7770549227</v>
      </c>
      <c r="N20" s="514">
        <f t="shared" si="4"/>
        <v>0</v>
      </c>
      <c r="O20" s="514">
        <f t="shared" si="5"/>
        <v>0</v>
      </c>
      <c r="P20" s="272"/>
    </row>
    <row r="21" spans="2:16">
      <c r="B21" s="195" t="str">
        <f t="shared" si="7"/>
        <v>IU</v>
      </c>
      <c r="C21" s="507">
        <f>IF(D11="","-",+C20+1)</f>
        <v>2020</v>
      </c>
      <c r="D21" s="631">
        <v>53369709.811684631</v>
      </c>
      <c r="E21" s="630">
        <v>1430460.7073170731</v>
      </c>
      <c r="F21" s="631">
        <v>51939249.104367554</v>
      </c>
      <c r="G21" s="630">
        <v>6818880.8355437173</v>
      </c>
      <c r="H21" s="639">
        <v>6818880.8355437173</v>
      </c>
      <c r="I21" s="511">
        <f t="shared" si="0"/>
        <v>0</v>
      </c>
      <c r="J21" s="511"/>
      <c r="K21" s="655">
        <f t="shared" si="1"/>
        <v>6818880.8355437173</v>
      </c>
      <c r="L21" s="514">
        <f t="shared" ref="L21" si="9">IF(K21&lt;&gt;0,+G21-K21,0)</f>
        <v>0</v>
      </c>
      <c r="M21" s="655">
        <f t="shared" si="3"/>
        <v>6818880.8355437173</v>
      </c>
      <c r="N21" s="514">
        <f t="shared" si="4"/>
        <v>0</v>
      </c>
      <c r="O21" s="514">
        <f t="shared" si="5"/>
        <v>0</v>
      </c>
      <c r="P21" s="272"/>
    </row>
    <row r="22" spans="2:16">
      <c r="B22" s="195" t="str">
        <f t="shared" si="7"/>
        <v>IU</v>
      </c>
      <c r="C22" s="507">
        <f>IF(D11="","-",+C21+1)</f>
        <v>2021</v>
      </c>
      <c r="D22" s="631">
        <v>52007778.577992059</v>
      </c>
      <c r="E22" s="630">
        <v>1396425.7380952381</v>
      </c>
      <c r="F22" s="631">
        <v>50611352.83989682</v>
      </c>
      <c r="G22" s="630">
        <v>6835472.9074064167</v>
      </c>
      <c r="H22" s="639">
        <v>6835472.9074064167</v>
      </c>
      <c r="I22" s="511">
        <f t="shared" si="0"/>
        <v>0</v>
      </c>
      <c r="J22" s="511"/>
      <c r="K22" s="655">
        <f t="shared" si="1"/>
        <v>6835472.9074064167</v>
      </c>
      <c r="L22" s="514">
        <f t="shared" ref="L22" si="10">IF(K22&lt;&gt;0,+G22-K22,0)</f>
        <v>0</v>
      </c>
      <c r="M22" s="655">
        <f t="shared" si="3"/>
        <v>6835472.9074064167</v>
      </c>
      <c r="N22" s="514">
        <f t="shared" si="4"/>
        <v>0</v>
      </c>
      <c r="O22" s="514">
        <f t="shared" si="5"/>
        <v>0</v>
      </c>
      <c r="P22" s="272"/>
    </row>
    <row r="23" spans="2:16">
      <c r="B23" s="195" t="str">
        <f t="shared" si="7"/>
        <v>IU</v>
      </c>
      <c r="C23" s="507">
        <f>IF(D11="","-",+C22+1)</f>
        <v>2022</v>
      </c>
      <c r="D23" s="631">
        <v>50543815.366272315</v>
      </c>
      <c r="E23" s="630">
        <v>1396425.7380952381</v>
      </c>
      <c r="F23" s="631">
        <v>49147389.628177077</v>
      </c>
      <c r="G23" s="630">
        <v>7001269.4944881881</v>
      </c>
      <c r="H23" s="639">
        <v>7001269.4944881881</v>
      </c>
      <c r="I23" s="511">
        <f t="shared" si="0"/>
        <v>0</v>
      </c>
      <c r="J23" s="511"/>
      <c r="K23" s="655">
        <f t="shared" ref="K23" si="11">+G23</f>
        <v>7001269.4944881881</v>
      </c>
      <c r="L23" s="514">
        <f t="shared" ref="L23" si="12">IF(K23&lt;&gt;0,+G23-K23,0)</f>
        <v>0</v>
      </c>
      <c r="M23" s="655">
        <f t="shared" ref="M23" si="13">+H23</f>
        <v>7001269.4944881881</v>
      </c>
      <c r="N23" s="514">
        <f t="shared" si="4"/>
        <v>0</v>
      </c>
      <c r="O23" s="514">
        <f t="shared" si="5"/>
        <v>0</v>
      </c>
      <c r="P23" s="272"/>
    </row>
    <row r="24" spans="2:16">
      <c r="B24" s="195" t="str">
        <f t="shared" si="7"/>
        <v>IU</v>
      </c>
      <c r="C24" s="507">
        <f>IF(D11="","-",+C23+1)</f>
        <v>2023</v>
      </c>
      <c r="D24" s="631">
        <v>49147389.298177078</v>
      </c>
      <c r="E24" s="630">
        <v>1396425.7302380952</v>
      </c>
      <c r="F24" s="631">
        <v>47750963.567938983</v>
      </c>
      <c r="G24" s="630">
        <v>7516854.5692845583</v>
      </c>
      <c r="H24" s="639">
        <v>7516854.5692845583</v>
      </c>
      <c r="I24" s="511">
        <f t="shared" si="0"/>
        <v>0</v>
      </c>
      <c r="J24" s="511"/>
      <c r="K24" s="655">
        <f t="shared" ref="K24" si="14">+G24</f>
        <v>7516854.5692845583</v>
      </c>
      <c r="L24" s="514">
        <f t="shared" ref="L24" si="15">IF(K24&lt;&gt;0,+G24-K24,0)</f>
        <v>0</v>
      </c>
      <c r="M24" s="655">
        <f t="shared" ref="M24" si="16">+H24</f>
        <v>7516854.5692845583</v>
      </c>
      <c r="N24" s="514">
        <f t="shared" ref="N24" si="17">IF(M24&lt;&gt;0,+H24-M24,0)</f>
        <v>0</v>
      </c>
      <c r="O24" s="514">
        <f t="shared" ref="O24" si="18">+N24-L24</f>
        <v>0</v>
      </c>
      <c r="P24" s="272"/>
    </row>
    <row r="25" spans="2:16">
      <c r="B25" s="195" t="str">
        <f t="shared" si="7"/>
        <v/>
      </c>
      <c r="C25" s="673">
        <f>IF(D11="","-",+C24+1)</f>
        <v>2024</v>
      </c>
      <c r="D25" s="523">
        <f>IF(F24+SUM(E$17:E24)=D$10,F24,D$10-SUM(E$17:E24))</f>
        <v>47750963.567938983</v>
      </c>
      <c r="E25" s="522">
        <f>IF(+I14&lt;F24,I14,D25)</f>
        <v>1332951.8334090908</v>
      </c>
      <c r="F25" s="523">
        <f t="shared" ref="F25:F72" si="19">+D25-E25</f>
        <v>46418011.73452989</v>
      </c>
      <c r="G25" s="524">
        <f t="shared" ref="G25:G48" si="20">+I$12*((D25+F25)/2)+E25</f>
        <v>6960825.5877609951</v>
      </c>
      <c r="H25" s="491">
        <f t="shared" ref="H25:H48" si="21">+I$13*((D25+F25)/2)+E25</f>
        <v>6960825.5877609951</v>
      </c>
      <c r="I25" s="511">
        <f t="shared" si="0"/>
        <v>0</v>
      </c>
      <c r="J25" s="511"/>
      <c r="K25" s="525"/>
      <c r="L25" s="514">
        <f t="shared" si="2"/>
        <v>0</v>
      </c>
      <c r="M25" s="525"/>
      <c r="N25" s="514">
        <f t="shared" si="4"/>
        <v>0</v>
      </c>
      <c r="O25" s="514">
        <f t="shared" si="5"/>
        <v>0</v>
      </c>
      <c r="P25" s="272"/>
    </row>
    <row r="26" spans="2:16">
      <c r="B26" s="195" t="str">
        <f t="shared" si="7"/>
        <v/>
      </c>
      <c r="C26" s="507">
        <f>IF(D11="","-",+C25+1)</f>
        <v>2025</v>
      </c>
      <c r="D26" s="523">
        <f>IF(F25+SUM(E$17:E25)=D$10,F25,D$10-SUM(E$17:E25))</f>
        <v>46418011.73452989</v>
      </c>
      <c r="E26" s="522">
        <f>IF(+I14&lt;F25,I14,D26)</f>
        <v>1332951.8334090908</v>
      </c>
      <c r="F26" s="523">
        <f t="shared" si="19"/>
        <v>45085059.901120797</v>
      </c>
      <c r="G26" s="524">
        <f t="shared" si="20"/>
        <v>6801501.6784806186</v>
      </c>
      <c r="H26" s="491">
        <f t="shared" si="21"/>
        <v>6801501.6784806186</v>
      </c>
      <c r="I26" s="511">
        <f t="shared" si="0"/>
        <v>0</v>
      </c>
      <c r="J26" s="511"/>
      <c r="K26" s="525"/>
      <c r="L26" s="514">
        <f t="shared" si="2"/>
        <v>0</v>
      </c>
      <c r="M26" s="525"/>
      <c r="N26" s="514">
        <f t="shared" si="4"/>
        <v>0</v>
      </c>
      <c r="O26" s="514">
        <f t="shared" si="5"/>
        <v>0</v>
      </c>
      <c r="P26" s="272"/>
    </row>
    <row r="27" spans="2:16">
      <c r="B27" s="195" t="str">
        <f t="shared" si="7"/>
        <v/>
      </c>
      <c r="C27" s="507">
        <f>IF(D11="","-",+C26+1)</f>
        <v>2026</v>
      </c>
      <c r="D27" s="523">
        <f>IF(F26+SUM(E$17:E26)=D$10,F26,D$10-SUM(E$17:E26))</f>
        <v>45085059.901120797</v>
      </c>
      <c r="E27" s="522">
        <f>IF(+I14&lt;F26,I14,D27)</f>
        <v>1332951.8334090908</v>
      </c>
      <c r="F27" s="523">
        <f t="shared" si="19"/>
        <v>43752108.067711703</v>
      </c>
      <c r="G27" s="524">
        <f t="shared" si="20"/>
        <v>6642177.7692002412</v>
      </c>
      <c r="H27" s="491">
        <f t="shared" si="21"/>
        <v>6642177.7692002412</v>
      </c>
      <c r="I27" s="511">
        <f t="shared" si="0"/>
        <v>0</v>
      </c>
      <c r="J27" s="511"/>
      <c r="K27" s="525"/>
      <c r="L27" s="514">
        <f t="shared" si="2"/>
        <v>0</v>
      </c>
      <c r="M27" s="525"/>
      <c r="N27" s="514">
        <f t="shared" si="4"/>
        <v>0</v>
      </c>
      <c r="O27" s="514">
        <f t="shared" si="5"/>
        <v>0</v>
      </c>
      <c r="P27" s="272"/>
    </row>
    <row r="28" spans="2:16">
      <c r="B28" s="195" t="str">
        <f t="shared" si="7"/>
        <v/>
      </c>
      <c r="C28" s="507">
        <f>IF(D11="","-",+C27+1)</f>
        <v>2027</v>
      </c>
      <c r="D28" s="523">
        <f>IF(F27+SUM(E$17:E27)=D$10,F27,D$10-SUM(E$17:E27))</f>
        <v>43752108.067711703</v>
      </c>
      <c r="E28" s="522">
        <f>IF(+I14&lt;F27,I14,D28)</f>
        <v>1332951.8334090908</v>
      </c>
      <c r="F28" s="523">
        <f t="shared" si="19"/>
        <v>42419156.23430261</v>
      </c>
      <c r="G28" s="524">
        <f t="shared" si="20"/>
        <v>6482853.8599198656</v>
      </c>
      <c r="H28" s="491">
        <f t="shared" si="21"/>
        <v>6482853.8599198656</v>
      </c>
      <c r="I28" s="511">
        <f t="shared" si="0"/>
        <v>0</v>
      </c>
      <c r="J28" s="511"/>
      <c r="K28" s="525"/>
      <c r="L28" s="514">
        <f t="shared" si="2"/>
        <v>0</v>
      </c>
      <c r="M28" s="525"/>
      <c r="N28" s="514">
        <f t="shared" si="4"/>
        <v>0</v>
      </c>
      <c r="O28" s="514">
        <f t="shared" si="5"/>
        <v>0</v>
      </c>
      <c r="P28" s="272"/>
    </row>
    <row r="29" spans="2:16">
      <c r="B29" s="195" t="str">
        <f t="shared" si="7"/>
        <v/>
      </c>
      <c r="C29" s="507">
        <f>IF(D11="","-",+C28+1)</f>
        <v>2028</v>
      </c>
      <c r="D29" s="523">
        <f>IF(F28+SUM(E$17:E28)=D$10,F28,D$10-SUM(E$17:E28))</f>
        <v>42419156.23430261</v>
      </c>
      <c r="E29" s="522">
        <f>IF(+I14&lt;F28,I14,D29)</f>
        <v>1332951.8334090908</v>
      </c>
      <c r="F29" s="523">
        <f t="shared" si="19"/>
        <v>41086204.400893517</v>
      </c>
      <c r="G29" s="524">
        <f t="shared" si="20"/>
        <v>6323529.9506394882</v>
      </c>
      <c r="H29" s="491">
        <f t="shared" si="21"/>
        <v>6323529.9506394882</v>
      </c>
      <c r="I29" s="511">
        <f t="shared" si="0"/>
        <v>0</v>
      </c>
      <c r="J29" s="511"/>
      <c r="K29" s="525"/>
      <c r="L29" s="514">
        <f t="shared" si="2"/>
        <v>0</v>
      </c>
      <c r="M29" s="525"/>
      <c r="N29" s="514">
        <f t="shared" si="4"/>
        <v>0</v>
      </c>
      <c r="O29" s="514">
        <f t="shared" si="5"/>
        <v>0</v>
      </c>
      <c r="P29" s="272"/>
    </row>
    <row r="30" spans="2:16">
      <c r="B30" s="195" t="str">
        <f t="shared" si="7"/>
        <v/>
      </c>
      <c r="C30" s="507">
        <f>IF(D11="","-",+C29+1)</f>
        <v>2029</v>
      </c>
      <c r="D30" s="523">
        <f>IF(F29+SUM(E$17:E29)=D$10,F29,D$10-SUM(E$17:E29))</f>
        <v>41086204.400893517</v>
      </c>
      <c r="E30" s="522">
        <f>IF(+I14&lt;F29,I14,D30)</f>
        <v>1332951.8334090908</v>
      </c>
      <c r="F30" s="523">
        <f t="shared" si="19"/>
        <v>39753252.567484424</v>
      </c>
      <c r="G30" s="524">
        <f t="shared" si="20"/>
        <v>6164206.0413591126</v>
      </c>
      <c r="H30" s="491">
        <f t="shared" si="21"/>
        <v>6164206.0413591126</v>
      </c>
      <c r="I30" s="511">
        <f t="shared" si="0"/>
        <v>0</v>
      </c>
      <c r="J30" s="511"/>
      <c r="K30" s="525"/>
      <c r="L30" s="514">
        <f t="shared" si="2"/>
        <v>0</v>
      </c>
      <c r="M30" s="525"/>
      <c r="N30" s="514">
        <f t="shared" si="4"/>
        <v>0</v>
      </c>
      <c r="O30" s="514">
        <f t="shared" si="5"/>
        <v>0</v>
      </c>
      <c r="P30" s="272"/>
    </row>
    <row r="31" spans="2:16">
      <c r="B31" s="195" t="str">
        <f t="shared" si="7"/>
        <v/>
      </c>
      <c r="C31" s="507">
        <f>IF(D11="","-",+C30+1)</f>
        <v>2030</v>
      </c>
      <c r="D31" s="523">
        <f>IF(F30+SUM(E$17:E30)=D$10,F30,D$10-SUM(E$17:E30))</f>
        <v>39753252.567484424</v>
      </c>
      <c r="E31" s="522">
        <f>IF(+I14&lt;F30,I14,D31)</f>
        <v>1332951.8334090908</v>
      </c>
      <c r="F31" s="523">
        <f t="shared" si="19"/>
        <v>38420300.73407533</v>
      </c>
      <c r="G31" s="524">
        <f t="shared" si="20"/>
        <v>6004882.1320787352</v>
      </c>
      <c r="H31" s="491">
        <f t="shared" si="21"/>
        <v>6004882.1320787352</v>
      </c>
      <c r="I31" s="511">
        <f t="shared" si="0"/>
        <v>0</v>
      </c>
      <c r="J31" s="511"/>
      <c r="K31" s="525"/>
      <c r="L31" s="514">
        <f t="shared" si="2"/>
        <v>0</v>
      </c>
      <c r="M31" s="525"/>
      <c r="N31" s="514">
        <f t="shared" si="4"/>
        <v>0</v>
      </c>
      <c r="O31" s="514">
        <f t="shared" si="5"/>
        <v>0</v>
      </c>
      <c r="P31" s="272"/>
    </row>
    <row r="32" spans="2:16">
      <c r="B32" s="195" t="str">
        <f t="shared" si="7"/>
        <v/>
      </c>
      <c r="C32" s="507">
        <f>IF(D11="","-",+C31+1)</f>
        <v>2031</v>
      </c>
      <c r="D32" s="523">
        <f>IF(F31+SUM(E$17:E31)=D$10,F31,D$10-SUM(E$17:E31))</f>
        <v>38420300.73407533</v>
      </c>
      <c r="E32" s="522">
        <f>IF(+I14&lt;F31,I14,D32)</f>
        <v>1332951.8334090908</v>
      </c>
      <c r="F32" s="523">
        <f t="shared" si="19"/>
        <v>37087348.900666237</v>
      </c>
      <c r="G32" s="524">
        <f t="shared" si="20"/>
        <v>5845558.2227983596</v>
      </c>
      <c r="H32" s="491">
        <f t="shared" si="21"/>
        <v>5845558.2227983596</v>
      </c>
      <c r="I32" s="511">
        <f t="shared" si="0"/>
        <v>0</v>
      </c>
      <c r="J32" s="511"/>
      <c r="K32" s="525"/>
      <c r="L32" s="514">
        <f t="shared" si="2"/>
        <v>0</v>
      </c>
      <c r="M32" s="525"/>
      <c r="N32" s="514">
        <f t="shared" si="4"/>
        <v>0</v>
      </c>
      <c r="O32" s="514">
        <f t="shared" si="5"/>
        <v>0</v>
      </c>
      <c r="P32" s="272"/>
    </row>
    <row r="33" spans="2:16">
      <c r="B33" s="195" t="str">
        <f t="shared" si="7"/>
        <v/>
      </c>
      <c r="C33" s="507">
        <f>IF(D11="","-",+C32+1)</f>
        <v>2032</v>
      </c>
      <c r="D33" s="523">
        <f>IF(F32+SUM(E$17:E32)=D$10,F32,D$10-SUM(E$17:E32))</f>
        <v>37087348.900666237</v>
      </c>
      <c r="E33" s="522">
        <f>IF(+I14&lt;F32,I14,D33)</f>
        <v>1332951.8334090908</v>
      </c>
      <c r="F33" s="523">
        <f t="shared" si="19"/>
        <v>35754397.067257144</v>
      </c>
      <c r="G33" s="524">
        <f t="shared" si="20"/>
        <v>5686234.3135179821</v>
      </c>
      <c r="H33" s="491">
        <f t="shared" si="21"/>
        <v>5686234.3135179821</v>
      </c>
      <c r="I33" s="511">
        <f t="shared" si="0"/>
        <v>0</v>
      </c>
      <c r="J33" s="511"/>
      <c r="K33" s="525"/>
      <c r="L33" s="514">
        <f t="shared" si="2"/>
        <v>0</v>
      </c>
      <c r="M33" s="525"/>
      <c r="N33" s="514">
        <f t="shared" si="4"/>
        <v>0</v>
      </c>
      <c r="O33" s="514">
        <f t="shared" si="5"/>
        <v>0</v>
      </c>
      <c r="P33" s="272"/>
    </row>
    <row r="34" spans="2:16">
      <c r="B34" s="195" t="str">
        <f t="shared" si="7"/>
        <v/>
      </c>
      <c r="C34" s="507">
        <f>IF(D11="","-",+C33+1)</f>
        <v>2033</v>
      </c>
      <c r="D34" s="523">
        <f>IF(F33+SUM(E$17:E33)=D$10,F33,D$10-SUM(E$17:E33))</f>
        <v>35754397.067257144</v>
      </c>
      <c r="E34" s="522">
        <f>IF(+I14&lt;F33,I14,D34)</f>
        <v>1332951.8334090908</v>
      </c>
      <c r="F34" s="523">
        <f t="shared" si="19"/>
        <v>34421445.23384805</v>
      </c>
      <c r="G34" s="524">
        <f t="shared" si="20"/>
        <v>5526910.4042376066</v>
      </c>
      <c r="H34" s="491">
        <f t="shared" si="21"/>
        <v>5526910.4042376066</v>
      </c>
      <c r="I34" s="511">
        <f t="shared" si="0"/>
        <v>0</v>
      </c>
      <c r="J34" s="511"/>
      <c r="K34" s="525"/>
      <c r="L34" s="514">
        <f t="shared" si="2"/>
        <v>0</v>
      </c>
      <c r="M34" s="525"/>
      <c r="N34" s="514">
        <f t="shared" si="4"/>
        <v>0</v>
      </c>
      <c r="O34" s="514">
        <f t="shared" si="5"/>
        <v>0</v>
      </c>
      <c r="P34" s="272"/>
    </row>
    <row r="35" spans="2:16">
      <c r="B35" s="195" t="str">
        <f t="shared" si="7"/>
        <v/>
      </c>
      <c r="C35" s="507">
        <f>IF(D11="","-",+C34+1)</f>
        <v>2034</v>
      </c>
      <c r="D35" s="523">
        <f>IF(F34+SUM(E$17:E34)=D$10,F34,D$10-SUM(E$17:E34))</f>
        <v>34421445.23384805</v>
      </c>
      <c r="E35" s="522">
        <f>IF(+I14&lt;F34,I14,D35)</f>
        <v>1332951.8334090908</v>
      </c>
      <c r="F35" s="523">
        <f t="shared" si="19"/>
        <v>33088493.400438961</v>
      </c>
      <c r="G35" s="524">
        <f t="shared" si="20"/>
        <v>5367586.4949572301</v>
      </c>
      <c r="H35" s="491">
        <f t="shared" si="21"/>
        <v>5367586.4949572301</v>
      </c>
      <c r="I35" s="511">
        <f t="shared" si="0"/>
        <v>0</v>
      </c>
      <c r="J35" s="511"/>
      <c r="K35" s="525"/>
      <c r="L35" s="514">
        <f t="shared" si="2"/>
        <v>0</v>
      </c>
      <c r="M35" s="525"/>
      <c r="N35" s="514">
        <f t="shared" si="4"/>
        <v>0</v>
      </c>
      <c r="O35" s="514">
        <f t="shared" si="5"/>
        <v>0</v>
      </c>
      <c r="P35" s="272"/>
    </row>
    <row r="36" spans="2:16">
      <c r="B36" s="195" t="str">
        <f t="shared" si="7"/>
        <v/>
      </c>
      <c r="C36" s="507">
        <f>IF(D11="","-",+C35+1)</f>
        <v>2035</v>
      </c>
      <c r="D36" s="523">
        <f>IF(F35+SUM(E$17:E35)=D$10,F35,D$10-SUM(E$17:E35))</f>
        <v>33088493.400438961</v>
      </c>
      <c r="E36" s="522">
        <f>IF(+I14&lt;F35,I14,D36)</f>
        <v>1332951.8334090908</v>
      </c>
      <c r="F36" s="523">
        <f t="shared" si="19"/>
        <v>31755541.567029871</v>
      </c>
      <c r="G36" s="524">
        <f t="shared" si="20"/>
        <v>5208262.5856768535</v>
      </c>
      <c r="H36" s="491">
        <f t="shared" si="21"/>
        <v>5208262.5856768535</v>
      </c>
      <c r="I36" s="511">
        <f t="shared" si="0"/>
        <v>0</v>
      </c>
      <c r="J36" s="511"/>
      <c r="K36" s="525"/>
      <c r="L36" s="514">
        <f t="shared" si="2"/>
        <v>0</v>
      </c>
      <c r="M36" s="525"/>
      <c r="N36" s="514">
        <f t="shared" si="4"/>
        <v>0</v>
      </c>
      <c r="O36" s="514">
        <f t="shared" si="5"/>
        <v>0</v>
      </c>
      <c r="P36" s="272"/>
    </row>
    <row r="37" spans="2:16">
      <c r="B37" s="195" t="str">
        <f t="shared" si="7"/>
        <v/>
      </c>
      <c r="C37" s="507">
        <f>IF(D11="","-",+C36+1)</f>
        <v>2036</v>
      </c>
      <c r="D37" s="523">
        <f>IF(F36+SUM(E$17:E36)=D$10,F36,D$10-SUM(E$17:E36))</f>
        <v>31755541.567029871</v>
      </c>
      <c r="E37" s="522">
        <f>IF(+I14&lt;F36,I14,D37)</f>
        <v>1332951.8334090908</v>
      </c>
      <c r="F37" s="523">
        <f t="shared" si="19"/>
        <v>30422589.733620781</v>
      </c>
      <c r="G37" s="524">
        <f t="shared" si="20"/>
        <v>5048938.676396477</v>
      </c>
      <c r="H37" s="491">
        <f t="shared" si="21"/>
        <v>5048938.676396477</v>
      </c>
      <c r="I37" s="511">
        <f t="shared" si="0"/>
        <v>0</v>
      </c>
      <c r="J37" s="511"/>
      <c r="K37" s="525"/>
      <c r="L37" s="514">
        <f t="shared" si="2"/>
        <v>0</v>
      </c>
      <c r="M37" s="525"/>
      <c r="N37" s="514">
        <f t="shared" si="4"/>
        <v>0</v>
      </c>
      <c r="O37" s="514">
        <f t="shared" si="5"/>
        <v>0</v>
      </c>
      <c r="P37" s="272"/>
    </row>
    <row r="38" spans="2:16">
      <c r="B38" s="195" t="str">
        <f t="shared" si="7"/>
        <v/>
      </c>
      <c r="C38" s="507">
        <f>IF(D11="","-",+C37+1)</f>
        <v>2037</v>
      </c>
      <c r="D38" s="523">
        <f>IF(F37+SUM(E$17:E37)=D$10,F37,D$10-SUM(E$17:E37))</f>
        <v>30422589.733620781</v>
      </c>
      <c r="E38" s="522">
        <f>IF(+I14&lt;F37,I14,D38)</f>
        <v>1332951.8334090908</v>
      </c>
      <c r="F38" s="523">
        <f t="shared" si="19"/>
        <v>29089637.900211692</v>
      </c>
      <c r="G38" s="524">
        <f t="shared" si="20"/>
        <v>4889614.7671161005</v>
      </c>
      <c r="H38" s="491">
        <f t="shared" si="21"/>
        <v>4889614.7671161005</v>
      </c>
      <c r="I38" s="511">
        <f t="shared" si="0"/>
        <v>0</v>
      </c>
      <c r="J38" s="511"/>
      <c r="K38" s="525"/>
      <c r="L38" s="514">
        <f t="shared" si="2"/>
        <v>0</v>
      </c>
      <c r="M38" s="525"/>
      <c r="N38" s="514">
        <f t="shared" si="4"/>
        <v>0</v>
      </c>
      <c r="O38" s="514">
        <f t="shared" si="5"/>
        <v>0</v>
      </c>
      <c r="P38" s="272"/>
    </row>
    <row r="39" spans="2:16">
      <c r="B39" s="195" t="str">
        <f t="shared" si="7"/>
        <v/>
      </c>
      <c r="C39" s="507">
        <f>IF(D11="","-",+C38+1)</f>
        <v>2038</v>
      </c>
      <c r="D39" s="523">
        <f>IF(F38+SUM(E$17:E38)=D$10,F38,D$10-SUM(E$17:E38))</f>
        <v>29089637.900211692</v>
      </c>
      <c r="E39" s="522">
        <f>IF(+I14&lt;F38,I14,D39)</f>
        <v>1332951.8334090908</v>
      </c>
      <c r="F39" s="523">
        <f t="shared" si="19"/>
        <v>27756686.066802602</v>
      </c>
      <c r="G39" s="524">
        <f t="shared" si="20"/>
        <v>4730290.8578357249</v>
      </c>
      <c r="H39" s="491">
        <f t="shared" si="21"/>
        <v>4730290.8578357249</v>
      </c>
      <c r="I39" s="511">
        <f t="shared" si="0"/>
        <v>0</v>
      </c>
      <c r="J39" s="511"/>
      <c r="K39" s="525"/>
      <c r="L39" s="514">
        <f t="shared" si="2"/>
        <v>0</v>
      </c>
      <c r="M39" s="525"/>
      <c r="N39" s="514">
        <f t="shared" si="4"/>
        <v>0</v>
      </c>
      <c r="O39" s="514">
        <f t="shared" si="5"/>
        <v>0</v>
      </c>
      <c r="P39" s="272"/>
    </row>
    <row r="40" spans="2:16">
      <c r="B40" s="195" t="str">
        <f t="shared" si="7"/>
        <v/>
      </c>
      <c r="C40" s="507">
        <f>IF(D11="","-",+C39+1)</f>
        <v>2039</v>
      </c>
      <c r="D40" s="523">
        <f>IF(F39+SUM(E$17:E39)=D$10,F39,D$10-SUM(E$17:E39))</f>
        <v>27756686.066802602</v>
      </c>
      <c r="E40" s="522">
        <f>IF(+I14&lt;F39,I14,D40)</f>
        <v>1332951.8334090908</v>
      </c>
      <c r="F40" s="523">
        <f t="shared" si="19"/>
        <v>26423734.233393513</v>
      </c>
      <c r="G40" s="524">
        <f t="shared" si="20"/>
        <v>4570966.9485553484</v>
      </c>
      <c r="H40" s="491">
        <f t="shared" si="21"/>
        <v>4570966.9485553484</v>
      </c>
      <c r="I40" s="511">
        <f t="shared" si="0"/>
        <v>0</v>
      </c>
      <c r="J40" s="511"/>
      <c r="K40" s="525"/>
      <c r="L40" s="514">
        <f t="shared" si="2"/>
        <v>0</v>
      </c>
      <c r="M40" s="525"/>
      <c r="N40" s="514">
        <f t="shared" si="4"/>
        <v>0</v>
      </c>
      <c r="O40" s="514">
        <f t="shared" si="5"/>
        <v>0</v>
      </c>
      <c r="P40" s="272"/>
    </row>
    <row r="41" spans="2:16">
      <c r="B41" s="195" t="str">
        <f t="shared" si="7"/>
        <v/>
      </c>
      <c r="C41" s="507">
        <f>IF(D11="","-",+C40+1)</f>
        <v>2040</v>
      </c>
      <c r="D41" s="523">
        <f>IF(F40+SUM(E$17:E40)=D$10,F40,D$10-SUM(E$17:E40))</f>
        <v>26423734.233393513</v>
      </c>
      <c r="E41" s="522">
        <f>IF(+I14&lt;F40,I14,D41)</f>
        <v>1332951.8334090908</v>
      </c>
      <c r="F41" s="523">
        <f t="shared" si="19"/>
        <v>25090782.399984423</v>
      </c>
      <c r="G41" s="524">
        <f t="shared" si="20"/>
        <v>4411643.0392749729</v>
      </c>
      <c r="H41" s="491">
        <f t="shared" si="21"/>
        <v>4411643.0392749729</v>
      </c>
      <c r="I41" s="511">
        <f t="shared" si="0"/>
        <v>0</v>
      </c>
      <c r="J41" s="511"/>
      <c r="K41" s="525"/>
      <c r="L41" s="514">
        <f t="shared" si="2"/>
        <v>0</v>
      </c>
      <c r="M41" s="525"/>
      <c r="N41" s="514">
        <f t="shared" si="4"/>
        <v>0</v>
      </c>
      <c r="O41" s="514">
        <f t="shared" si="5"/>
        <v>0</v>
      </c>
      <c r="P41" s="272"/>
    </row>
    <row r="42" spans="2:16">
      <c r="B42" s="195" t="str">
        <f t="shared" si="7"/>
        <v/>
      </c>
      <c r="C42" s="507">
        <f>IF(D11="","-",+C41+1)</f>
        <v>2041</v>
      </c>
      <c r="D42" s="523">
        <f>IF(F41+SUM(E$17:E41)=D$10,F41,D$10-SUM(E$17:E41))</f>
        <v>25090782.399984423</v>
      </c>
      <c r="E42" s="522">
        <f>IF(+I14&lt;F41,I14,D42)</f>
        <v>1332951.8334090908</v>
      </c>
      <c r="F42" s="523">
        <f t="shared" si="19"/>
        <v>23757830.566575333</v>
      </c>
      <c r="G42" s="524">
        <f t="shared" si="20"/>
        <v>4252319.1299945964</v>
      </c>
      <c r="H42" s="491">
        <f t="shared" si="21"/>
        <v>4252319.1299945964</v>
      </c>
      <c r="I42" s="511">
        <f t="shared" si="0"/>
        <v>0</v>
      </c>
      <c r="J42" s="511"/>
      <c r="K42" s="525"/>
      <c r="L42" s="514">
        <f t="shared" si="2"/>
        <v>0</v>
      </c>
      <c r="M42" s="525"/>
      <c r="N42" s="514">
        <f t="shared" si="4"/>
        <v>0</v>
      </c>
      <c r="O42" s="514">
        <f t="shared" si="5"/>
        <v>0</v>
      </c>
      <c r="P42" s="272"/>
    </row>
    <row r="43" spans="2:16">
      <c r="B43" s="195" t="str">
        <f t="shared" si="7"/>
        <v/>
      </c>
      <c r="C43" s="507">
        <f>IF(D11="","-",+C42+1)</f>
        <v>2042</v>
      </c>
      <c r="D43" s="523">
        <f>IF(F42+SUM(E$17:E42)=D$10,F42,D$10-SUM(E$17:E42))</f>
        <v>23757830.566575333</v>
      </c>
      <c r="E43" s="522">
        <f>IF(+I14&lt;F42,I14,D43)</f>
        <v>1332951.8334090908</v>
      </c>
      <c r="F43" s="523">
        <f t="shared" si="19"/>
        <v>22424878.733166244</v>
      </c>
      <c r="G43" s="524">
        <f t="shared" si="20"/>
        <v>4092995.2207142198</v>
      </c>
      <c r="H43" s="491">
        <f t="shared" si="21"/>
        <v>4092995.2207142198</v>
      </c>
      <c r="I43" s="511">
        <f t="shared" si="0"/>
        <v>0</v>
      </c>
      <c r="J43" s="511"/>
      <c r="K43" s="525"/>
      <c r="L43" s="514">
        <f t="shared" si="2"/>
        <v>0</v>
      </c>
      <c r="M43" s="525"/>
      <c r="N43" s="514">
        <f t="shared" si="4"/>
        <v>0</v>
      </c>
      <c r="O43" s="514">
        <f t="shared" si="5"/>
        <v>0</v>
      </c>
      <c r="P43" s="272"/>
    </row>
    <row r="44" spans="2:16">
      <c r="B44" s="195" t="str">
        <f t="shared" si="7"/>
        <v/>
      </c>
      <c r="C44" s="507">
        <f>IF(D11="","-",+C43+1)</f>
        <v>2043</v>
      </c>
      <c r="D44" s="523">
        <f>IF(F43+SUM(E$17:E43)=D$10,F43,D$10-SUM(E$17:E43))</f>
        <v>22424878.733166244</v>
      </c>
      <c r="E44" s="522">
        <f>IF(+I14&lt;F43,I14,D44)</f>
        <v>1332951.8334090908</v>
      </c>
      <c r="F44" s="523">
        <f t="shared" si="19"/>
        <v>21091926.899757154</v>
      </c>
      <c r="G44" s="524">
        <f t="shared" si="20"/>
        <v>3933671.3114338433</v>
      </c>
      <c r="H44" s="491">
        <f t="shared" si="21"/>
        <v>3933671.3114338433</v>
      </c>
      <c r="I44" s="511">
        <f t="shared" si="0"/>
        <v>0</v>
      </c>
      <c r="J44" s="511"/>
      <c r="K44" s="525"/>
      <c r="L44" s="514">
        <f t="shared" si="2"/>
        <v>0</v>
      </c>
      <c r="M44" s="525"/>
      <c r="N44" s="514">
        <f t="shared" si="4"/>
        <v>0</v>
      </c>
      <c r="O44" s="514">
        <f t="shared" si="5"/>
        <v>0</v>
      </c>
      <c r="P44" s="272"/>
    </row>
    <row r="45" spans="2:16">
      <c r="B45" s="195" t="str">
        <f t="shared" si="7"/>
        <v/>
      </c>
      <c r="C45" s="507">
        <f>IF(D11="","-",+C44+1)</f>
        <v>2044</v>
      </c>
      <c r="D45" s="523">
        <f>IF(F44+SUM(E$17:E44)=D$10,F44,D$10-SUM(E$17:E44))</f>
        <v>21091926.899757154</v>
      </c>
      <c r="E45" s="522">
        <f>IF(+I14&lt;F44,I14,D45)</f>
        <v>1332951.8334090908</v>
      </c>
      <c r="F45" s="523">
        <f t="shared" si="19"/>
        <v>19758975.066348065</v>
      </c>
      <c r="G45" s="524">
        <f t="shared" si="20"/>
        <v>3774347.4021534678</v>
      </c>
      <c r="H45" s="491">
        <f t="shared" si="21"/>
        <v>3774347.4021534678</v>
      </c>
      <c r="I45" s="511">
        <f t="shared" si="0"/>
        <v>0</v>
      </c>
      <c r="J45" s="511"/>
      <c r="K45" s="525"/>
      <c r="L45" s="514">
        <f t="shared" si="2"/>
        <v>0</v>
      </c>
      <c r="M45" s="525"/>
      <c r="N45" s="514">
        <f t="shared" si="4"/>
        <v>0</v>
      </c>
      <c r="O45" s="514">
        <f t="shared" si="5"/>
        <v>0</v>
      </c>
      <c r="P45" s="272"/>
    </row>
    <row r="46" spans="2:16">
      <c r="B46" s="195" t="str">
        <f t="shared" si="7"/>
        <v/>
      </c>
      <c r="C46" s="507">
        <f>IF(D11="","-",+C45+1)</f>
        <v>2045</v>
      </c>
      <c r="D46" s="523">
        <f>IF(F45+SUM(E$17:E45)=D$10,F45,D$10-SUM(E$17:E45))</f>
        <v>19758975.066348065</v>
      </c>
      <c r="E46" s="522">
        <f>IF(+I14&lt;F45,I14,D46)</f>
        <v>1332951.8334090908</v>
      </c>
      <c r="F46" s="523">
        <f t="shared" si="19"/>
        <v>18426023.232938975</v>
      </c>
      <c r="G46" s="524">
        <f t="shared" si="20"/>
        <v>3615023.4928730913</v>
      </c>
      <c r="H46" s="491">
        <f t="shared" si="21"/>
        <v>3615023.4928730913</v>
      </c>
      <c r="I46" s="511">
        <f t="shared" si="0"/>
        <v>0</v>
      </c>
      <c r="J46" s="511"/>
      <c r="K46" s="525"/>
      <c r="L46" s="514">
        <f t="shared" si="2"/>
        <v>0</v>
      </c>
      <c r="M46" s="525"/>
      <c r="N46" s="514">
        <f t="shared" si="4"/>
        <v>0</v>
      </c>
      <c r="O46" s="514">
        <f t="shared" si="5"/>
        <v>0</v>
      </c>
      <c r="P46" s="272"/>
    </row>
    <row r="47" spans="2:16">
      <c r="B47" s="195" t="str">
        <f t="shared" si="7"/>
        <v/>
      </c>
      <c r="C47" s="507">
        <f>IF(D11="","-",+C46+1)</f>
        <v>2046</v>
      </c>
      <c r="D47" s="523">
        <f>IF(F46+SUM(E$17:E46)=D$10,F46,D$10-SUM(E$17:E46))</f>
        <v>18426023.232938975</v>
      </c>
      <c r="E47" s="522">
        <f>IF(+I14&lt;F46,I14,D47)</f>
        <v>1332951.8334090908</v>
      </c>
      <c r="F47" s="523">
        <f t="shared" si="19"/>
        <v>17093071.399529886</v>
      </c>
      <c r="G47" s="524">
        <f t="shared" si="20"/>
        <v>3455699.5835927157</v>
      </c>
      <c r="H47" s="491">
        <f t="shared" si="21"/>
        <v>3455699.5835927157</v>
      </c>
      <c r="I47" s="511">
        <f t="shared" si="0"/>
        <v>0</v>
      </c>
      <c r="J47" s="511"/>
      <c r="K47" s="525"/>
      <c r="L47" s="514">
        <f t="shared" si="2"/>
        <v>0</v>
      </c>
      <c r="M47" s="525"/>
      <c r="N47" s="514">
        <f t="shared" si="4"/>
        <v>0</v>
      </c>
      <c r="O47" s="514">
        <f t="shared" si="5"/>
        <v>0</v>
      </c>
      <c r="P47" s="272"/>
    </row>
    <row r="48" spans="2:16">
      <c r="B48" s="195" t="str">
        <f t="shared" si="7"/>
        <v/>
      </c>
      <c r="C48" s="507">
        <f>IF(D11="","-",+C47+1)</f>
        <v>2047</v>
      </c>
      <c r="D48" s="523">
        <f>IF(F47+SUM(E$17:E47)=D$10,F47,D$10-SUM(E$17:E47))</f>
        <v>17093071.399529886</v>
      </c>
      <c r="E48" s="522">
        <f>IF(+I14&lt;F47,I14,D48)</f>
        <v>1332951.8334090908</v>
      </c>
      <c r="F48" s="523">
        <f t="shared" si="19"/>
        <v>15760119.566120794</v>
      </c>
      <c r="G48" s="524">
        <f t="shared" si="20"/>
        <v>3296375.6743123392</v>
      </c>
      <c r="H48" s="491">
        <f t="shared" si="21"/>
        <v>3296375.6743123392</v>
      </c>
      <c r="I48" s="511">
        <f t="shared" si="0"/>
        <v>0</v>
      </c>
      <c r="J48" s="511"/>
      <c r="K48" s="525"/>
      <c r="L48" s="514">
        <f t="shared" si="2"/>
        <v>0</v>
      </c>
      <c r="M48" s="525"/>
      <c r="N48" s="514">
        <f t="shared" si="4"/>
        <v>0</v>
      </c>
      <c r="O48" s="514">
        <f t="shared" si="5"/>
        <v>0</v>
      </c>
      <c r="P48" s="272"/>
    </row>
    <row r="49" spans="2:16">
      <c r="B49" s="195" t="str">
        <f t="shared" si="7"/>
        <v/>
      </c>
      <c r="C49" s="507">
        <f>IF(D11="","-",+C48+1)</f>
        <v>2048</v>
      </c>
      <c r="D49" s="523">
        <f>IF(F48+SUM(E$17:E48)=D$10,F48,D$10-SUM(E$17:E48))</f>
        <v>15760119.566120794</v>
      </c>
      <c r="E49" s="522">
        <f>IF(+I14&lt;F48,I14,D49)</f>
        <v>1332951.8334090908</v>
      </c>
      <c r="F49" s="523">
        <f t="shared" si="19"/>
        <v>14427167.732711703</v>
      </c>
      <c r="G49" s="524">
        <f t="shared" ref="G49:G72" si="22">+I$12*((D49+F49)/2)+E49</f>
        <v>3137051.7650319627</v>
      </c>
      <c r="H49" s="491">
        <f t="shared" ref="H49:H72" si="23">+I$13*((D49+F49)/2)+E49</f>
        <v>3137051.7650319627</v>
      </c>
      <c r="I49" s="511">
        <f t="shared" si="0"/>
        <v>0</v>
      </c>
      <c r="J49" s="511"/>
      <c r="K49" s="525"/>
      <c r="L49" s="514">
        <f t="shared" si="2"/>
        <v>0</v>
      </c>
      <c r="M49" s="525"/>
      <c r="N49" s="514">
        <f t="shared" si="4"/>
        <v>0</v>
      </c>
      <c r="O49" s="514">
        <f t="shared" si="5"/>
        <v>0</v>
      </c>
      <c r="P49" s="272"/>
    </row>
    <row r="50" spans="2:16">
      <c r="B50" s="195" t="str">
        <f t="shared" si="7"/>
        <v/>
      </c>
      <c r="C50" s="507">
        <f>IF(D11="","-",+C49+1)</f>
        <v>2049</v>
      </c>
      <c r="D50" s="523">
        <f>IF(F49+SUM(E$17:E49)=D$10,F49,D$10-SUM(E$17:E49))</f>
        <v>14427167.732711703</v>
      </c>
      <c r="E50" s="522">
        <f>IF(+I14&lt;F49,I14,D50)</f>
        <v>1332951.8334090908</v>
      </c>
      <c r="F50" s="523">
        <f t="shared" si="19"/>
        <v>13094215.899302611</v>
      </c>
      <c r="G50" s="524">
        <f t="shared" si="22"/>
        <v>2977727.8557515861</v>
      </c>
      <c r="H50" s="491">
        <f t="shared" si="23"/>
        <v>2977727.8557515861</v>
      </c>
      <c r="I50" s="511">
        <f t="shared" si="0"/>
        <v>0</v>
      </c>
      <c r="J50" s="511"/>
      <c r="K50" s="525"/>
      <c r="L50" s="514">
        <f t="shared" si="2"/>
        <v>0</v>
      </c>
      <c r="M50" s="525"/>
      <c r="N50" s="514">
        <f t="shared" si="4"/>
        <v>0</v>
      </c>
      <c r="O50" s="514">
        <f t="shared" si="5"/>
        <v>0</v>
      </c>
      <c r="P50" s="272"/>
    </row>
    <row r="51" spans="2:16">
      <c r="B51" s="195" t="str">
        <f t="shared" si="7"/>
        <v/>
      </c>
      <c r="C51" s="507">
        <f>IF(D11="","-",+C50+1)</f>
        <v>2050</v>
      </c>
      <c r="D51" s="523">
        <f>IF(F50+SUM(E$17:E50)=D$10,F50,D$10-SUM(E$17:E50))</f>
        <v>13094215.899302611</v>
      </c>
      <c r="E51" s="522">
        <f>IF(+I14&lt;F50,I14,D51)</f>
        <v>1332951.8334090908</v>
      </c>
      <c r="F51" s="523">
        <f t="shared" si="19"/>
        <v>11761264.06589352</v>
      </c>
      <c r="G51" s="524">
        <f t="shared" si="22"/>
        <v>2818403.9464712101</v>
      </c>
      <c r="H51" s="491">
        <f t="shared" si="23"/>
        <v>2818403.9464712101</v>
      </c>
      <c r="I51" s="511">
        <f t="shared" si="0"/>
        <v>0</v>
      </c>
      <c r="J51" s="511"/>
      <c r="K51" s="525"/>
      <c r="L51" s="514">
        <f t="shared" si="2"/>
        <v>0</v>
      </c>
      <c r="M51" s="525"/>
      <c r="N51" s="514">
        <f t="shared" si="4"/>
        <v>0</v>
      </c>
      <c r="O51" s="514">
        <f t="shared" si="5"/>
        <v>0</v>
      </c>
      <c r="P51" s="272"/>
    </row>
    <row r="52" spans="2:16">
      <c r="B52" s="195" t="str">
        <f t="shared" si="7"/>
        <v/>
      </c>
      <c r="C52" s="507">
        <f>IF(D11="","-",+C51+1)</f>
        <v>2051</v>
      </c>
      <c r="D52" s="523">
        <f>IF(F51+SUM(E$17:E51)=D$10,F51,D$10-SUM(E$17:E51))</f>
        <v>11761264.06589352</v>
      </c>
      <c r="E52" s="522">
        <f>IF(+I14&lt;F51,I14,D52)</f>
        <v>1332951.8334090908</v>
      </c>
      <c r="F52" s="523">
        <f t="shared" si="19"/>
        <v>10428312.232484428</v>
      </c>
      <c r="G52" s="524">
        <f t="shared" si="22"/>
        <v>2659080.0371908331</v>
      </c>
      <c r="H52" s="491">
        <f t="shared" si="23"/>
        <v>2659080.0371908331</v>
      </c>
      <c r="I52" s="511">
        <f t="shared" si="0"/>
        <v>0</v>
      </c>
      <c r="J52" s="511"/>
      <c r="K52" s="525"/>
      <c r="L52" s="514">
        <f t="shared" si="2"/>
        <v>0</v>
      </c>
      <c r="M52" s="525"/>
      <c r="N52" s="514">
        <f t="shared" si="4"/>
        <v>0</v>
      </c>
      <c r="O52" s="514">
        <f t="shared" si="5"/>
        <v>0</v>
      </c>
      <c r="P52" s="272"/>
    </row>
    <row r="53" spans="2:16">
      <c r="B53" s="195" t="str">
        <f t="shared" si="7"/>
        <v/>
      </c>
      <c r="C53" s="507">
        <f>IF(D11="","-",+C52+1)</f>
        <v>2052</v>
      </c>
      <c r="D53" s="523">
        <f>IF(F52+SUM(E$17:E52)=D$10,F52,D$10-SUM(E$17:E52))</f>
        <v>10428312.232484428</v>
      </c>
      <c r="E53" s="522">
        <f>IF(+I14&lt;F52,I14,D53)</f>
        <v>1332951.8334090908</v>
      </c>
      <c r="F53" s="523">
        <f t="shared" si="19"/>
        <v>9095360.3990753368</v>
      </c>
      <c r="G53" s="524">
        <f t="shared" si="22"/>
        <v>2499756.1279104576</v>
      </c>
      <c r="H53" s="491">
        <f t="shared" si="23"/>
        <v>2499756.1279104576</v>
      </c>
      <c r="I53" s="511">
        <f t="shared" si="0"/>
        <v>0</v>
      </c>
      <c r="J53" s="511"/>
      <c r="K53" s="525"/>
      <c r="L53" s="514">
        <f t="shared" si="2"/>
        <v>0</v>
      </c>
      <c r="M53" s="525"/>
      <c r="N53" s="514">
        <f t="shared" si="4"/>
        <v>0</v>
      </c>
      <c r="O53" s="514">
        <f t="shared" si="5"/>
        <v>0</v>
      </c>
      <c r="P53" s="272"/>
    </row>
    <row r="54" spans="2:16">
      <c r="B54" s="195" t="str">
        <f t="shared" si="7"/>
        <v/>
      </c>
      <c r="C54" s="507">
        <f>IF(D11="","-",+C53+1)</f>
        <v>2053</v>
      </c>
      <c r="D54" s="523">
        <f>IF(F53+SUM(E$17:E53)=D$10,F53,D$10-SUM(E$17:E53))</f>
        <v>9095360.3990753368</v>
      </c>
      <c r="E54" s="522">
        <f>IF(+I14&lt;F53,I14,D54)</f>
        <v>1332951.8334090908</v>
      </c>
      <c r="F54" s="523">
        <f t="shared" si="19"/>
        <v>7762408.5656662462</v>
      </c>
      <c r="G54" s="524">
        <f t="shared" si="22"/>
        <v>2340432.218630081</v>
      </c>
      <c r="H54" s="491">
        <f t="shared" si="23"/>
        <v>2340432.218630081</v>
      </c>
      <c r="I54" s="511">
        <f t="shared" si="0"/>
        <v>0</v>
      </c>
      <c r="J54" s="511"/>
      <c r="K54" s="525"/>
      <c r="L54" s="514">
        <f t="shared" si="2"/>
        <v>0</v>
      </c>
      <c r="M54" s="525"/>
      <c r="N54" s="514">
        <f t="shared" si="4"/>
        <v>0</v>
      </c>
      <c r="O54" s="514">
        <f t="shared" si="5"/>
        <v>0</v>
      </c>
      <c r="P54" s="272"/>
    </row>
    <row r="55" spans="2:16">
      <c r="B55" s="195" t="str">
        <f t="shared" si="7"/>
        <v/>
      </c>
      <c r="C55" s="507">
        <f>IF(D11="","-",+C54+1)</f>
        <v>2054</v>
      </c>
      <c r="D55" s="523">
        <f>IF(F54+SUM(E$17:E54)=D$10,F54,D$10-SUM(E$17:E54))</f>
        <v>7762408.5656662462</v>
      </c>
      <c r="E55" s="522">
        <f>IF(+I14&lt;F54,I14,D55)</f>
        <v>1332951.8334090908</v>
      </c>
      <c r="F55" s="523">
        <f t="shared" si="19"/>
        <v>6429456.7322571557</v>
      </c>
      <c r="G55" s="524">
        <f t="shared" si="22"/>
        <v>2181108.3093497045</v>
      </c>
      <c r="H55" s="491">
        <f t="shared" si="23"/>
        <v>2181108.3093497045</v>
      </c>
      <c r="I55" s="511">
        <f t="shared" si="0"/>
        <v>0</v>
      </c>
      <c r="J55" s="511"/>
      <c r="K55" s="525"/>
      <c r="L55" s="514">
        <f t="shared" si="2"/>
        <v>0</v>
      </c>
      <c r="M55" s="525"/>
      <c r="N55" s="514">
        <f t="shared" si="4"/>
        <v>0</v>
      </c>
      <c r="O55" s="514">
        <f t="shared" si="5"/>
        <v>0</v>
      </c>
      <c r="P55" s="272"/>
    </row>
    <row r="56" spans="2:16">
      <c r="B56" s="195" t="str">
        <f t="shared" si="7"/>
        <v/>
      </c>
      <c r="C56" s="507">
        <f>IF(D11="","-",+C55+1)</f>
        <v>2055</v>
      </c>
      <c r="D56" s="523">
        <f>IF(F55+SUM(E$17:E55)=D$10,F55,D$10-SUM(E$17:E55))</f>
        <v>6429456.7322571557</v>
      </c>
      <c r="E56" s="522">
        <f>IF(+I14&lt;F55,I14,D56)</f>
        <v>1332951.8334090908</v>
      </c>
      <c r="F56" s="523">
        <f t="shared" si="19"/>
        <v>5096504.8988480652</v>
      </c>
      <c r="G56" s="524">
        <f t="shared" si="22"/>
        <v>2021784.4000693283</v>
      </c>
      <c r="H56" s="491">
        <f t="shared" si="23"/>
        <v>2021784.4000693283</v>
      </c>
      <c r="I56" s="511">
        <f t="shared" si="0"/>
        <v>0</v>
      </c>
      <c r="J56" s="511"/>
      <c r="K56" s="525"/>
      <c r="L56" s="514">
        <f t="shared" si="2"/>
        <v>0</v>
      </c>
      <c r="M56" s="525"/>
      <c r="N56" s="514">
        <f t="shared" si="4"/>
        <v>0</v>
      </c>
      <c r="O56" s="514">
        <f t="shared" si="5"/>
        <v>0</v>
      </c>
      <c r="P56" s="272"/>
    </row>
    <row r="57" spans="2:16">
      <c r="B57" s="195" t="str">
        <f t="shared" si="7"/>
        <v/>
      </c>
      <c r="C57" s="507">
        <f>IF(D11="","-",+C56+1)</f>
        <v>2056</v>
      </c>
      <c r="D57" s="523">
        <f>IF(F56+SUM(E$17:E56)=D$10,F56,D$10-SUM(E$17:E56))</f>
        <v>5096504.8988480652</v>
      </c>
      <c r="E57" s="522">
        <f>IF(+I14&lt;F56,I14,D57)</f>
        <v>1332951.8334090908</v>
      </c>
      <c r="F57" s="523">
        <f t="shared" si="19"/>
        <v>3763553.0654389746</v>
      </c>
      <c r="G57" s="524">
        <f t="shared" si="22"/>
        <v>1862460.490788952</v>
      </c>
      <c r="H57" s="491">
        <f t="shared" si="23"/>
        <v>1862460.490788952</v>
      </c>
      <c r="I57" s="511">
        <f t="shared" si="0"/>
        <v>0</v>
      </c>
      <c r="J57" s="511"/>
      <c r="K57" s="525"/>
      <c r="L57" s="514">
        <f t="shared" si="2"/>
        <v>0</v>
      </c>
      <c r="M57" s="525"/>
      <c r="N57" s="514">
        <f t="shared" si="4"/>
        <v>0</v>
      </c>
      <c r="O57" s="514">
        <f t="shared" si="5"/>
        <v>0</v>
      </c>
      <c r="P57" s="272"/>
    </row>
    <row r="58" spans="2:16">
      <c r="B58" s="195" t="str">
        <f t="shared" si="7"/>
        <v/>
      </c>
      <c r="C58" s="507">
        <f>IF(D11="","-",+C57+1)</f>
        <v>2057</v>
      </c>
      <c r="D58" s="523">
        <f>IF(F57+SUM(E$17:E57)=D$10,F57,D$10-SUM(E$17:E57))</f>
        <v>3763553.0654389746</v>
      </c>
      <c r="E58" s="522">
        <f>IF(+I14&lt;F57,I14,D58)</f>
        <v>1332951.8334090908</v>
      </c>
      <c r="F58" s="523">
        <f t="shared" si="19"/>
        <v>2430601.2320298841</v>
      </c>
      <c r="G58" s="524">
        <f t="shared" si="22"/>
        <v>1703136.5815085755</v>
      </c>
      <c r="H58" s="491">
        <f t="shared" si="23"/>
        <v>1703136.5815085755</v>
      </c>
      <c r="I58" s="511">
        <f t="shared" si="0"/>
        <v>0</v>
      </c>
      <c r="J58" s="511"/>
      <c r="K58" s="525"/>
      <c r="L58" s="514">
        <f t="shared" si="2"/>
        <v>0</v>
      </c>
      <c r="M58" s="525"/>
      <c r="N58" s="514">
        <f t="shared" si="4"/>
        <v>0</v>
      </c>
      <c r="O58" s="514">
        <f t="shared" si="5"/>
        <v>0</v>
      </c>
      <c r="P58" s="272"/>
    </row>
    <row r="59" spans="2:16">
      <c r="B59" s="195" t="str">
        <f t="shared" si="7"/>
        <v/>
      </c>
      <c r="C59" s="507">
        <f>IF(D11="","-",+C58+1)</f>
        <v>2058</v>
      </c>
      <c r="D59" s="523">
        <f>IF(F58+SUM(E$17:E58)=D$10,F58,D$10-SUM(E$17:E58))</f>
        <v>2430601.2320298841</v>
      </c>
      <c r="E59" s="522">
        <f>IF(+I14&lt;F58,I14,D59)</f>
        <v>1332951.8334090908</v>
      </c>
      <c r="F59" s="523">
        <f t="shared" si="19"/>
        <v>1097649.3986207934</v>
      </c>
      <c r="G59" s="524">
        <f t="shared" si="22"/>
        <v>1543812.6722281994</v>
      </c>
      <c r="H59" s="491">
        <f t="shared" si="23"/>
        <v>1543812.6722281994</v>
      </c>
      <c r="I59" s="511">
        <f t="shared" si="0"/>
        <v>0</v>
      </c>
      <c r="J59" s="511"/>
      <c r="K59" s="525"/>
      <c r="L59" s="514">
        <f t="shared" si="2"/>
        <v>0</v>
      </c>
      <c r="M59" s="525"/>
      <c r="N59" s="514">
        <f t="shared" si="4"/>
        <v>0</v>
      </c>
      <c r="O59" s="514">
        <f t="shared" si="5"/>
        <v>0</v>
      </c>
      <c r="P59" s="272"/>
    </row>
    <row r="60" spans="2:16">
      <c r="B60" s="195" t="str">
        <f t="shared" si="7"/>
        <v/>
      </c>
      <c r="C60" s="507">
        <f>IF(D11="","-",+C59+1)</f>
        <v>2059</v>
      </c>
      <c r="D60" s="523">
        <f>IF(F59+SUM(E$17:E59)=D$10,F59,D$10-SUM(E$17:E59))</f>
        <v>1097649.3986207934</v>
      </c>
      <c r="E60" s="522">
        <f>IF(+I14&lt;F59,I14,D60)</f>
        <v>1097649.3986207934</v>
      </c>
      <c r="F60" s="523">
        <f t="shared" si="19"/>
        <v>0</v>
      </c>
      <c r="G60" s="524">
        <f t="shared" si="22"/>
        <v>1163248.8407102535</v>
      </c>
      <c r="H60" s="491">
        <f t="shared" si="23"/>
        <v>1163248.8407102535</v>
      </c>
      <c r="I60" s="511">
        <f t="shared" si="0"/>
        <v>0</v>
      </c>
      <c r="J60" s="511"/>
      <c r="K60" s="525"/>
      <c r="L60" s="514">
        <f t="shared" si="2"/>
        <v>0</v>
      </c>
      <c r="M60" s="525"/>
      <c r="N60" s="514">
        <f t="shared" si="4"/>
        <v>0</v>
      </c>
      <c r="O60" s="514">
        <f t="shared" si="5"/>
        <v>0</v>
      </c>
      <c r="P60" s="272"/>
    </row>
    <row r="61" spans="2:16">
      <c r="B61" s="195" t="str">
        <f t="shared" si="7"/>
        <v/>
      </c>
      <c r="C61" s="507">
        <f>IF(D11="","-",+C60+1)</f>
        <v>2060</v>
      </c>
      <c r="D61" s="523">
        <f>IF(F60+SUM(E$17:E60)=D$10,F60,D$10-SUM(E$17:E60))</f>
        <v>0</v>
      </c>
      <c r="E61" s="522">
        <f>IF(+I14&lt;F60,I14,D61)</f>
        <v>0</v>
      </c>
      <c r="F61" s="523">
        <f t="shared" si="19"/>
        <v>0</v>
      </c>
      <c r="G61" s="526">
        <f t="shared" si="22"/>
        <v>0</v>
      </c>
      <c r="H61" s="491">
        <f t="shared" si="23"/>
        <v>0</v>
      </c>
      <c r="I61" s="511">
        <f t="shared" si="0"/>
        <v>0</v>
      </c>
      <c r="J61" s="511"/>
      <c r="K61" s="525"/>
      <c r="L61" s="514">
        <f t="shared" si="2"/>
        <v>0</v>
      </c>
      <c r="M61" s="525"/>
      <c r="N61" s="514">
        <f t="shared" si="4"/>
        <v>0</v>
      </c>
      <c r="O61" s="514">
        <f t="shared" si="5"/>
        <v>0</v>
      </c>
      <c r="P61" s="272"/>
    </row>
    <row r="62" spans="2:16">
      <c r="B62" s="195" t="str">
        <f t="shared" si="7"/>
        <v/>
      </c>
      <c r="C62" s="507">
        <f>IF(D11="","-",+C61+1)</f>
        <v>2061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19"/>
        <v>0</v>
      </c>
      <c r="G62" s="526">
        <f t="shared" si="22"/>
        <v>0</v>
      </c>
      <c r="H62" s="491">
        <f t="shared" si="23"/>
        <v>0</v>
      </c>
      <c r="I62" s="511">
        <f t="shared" si="0"/>
        <v>0</v>
      </c>
      <c r="J62" s="511"/>
      <c r="K62" s="525"/>
      <c r="L62" s="514">
        <f t="shared" si="2"/>
        <v>0</v>
      </c>
      <c r="M62" s="525"/>
      <c r="N62" s="514">
        <f t="shared" si="4"/>
        <v>0</v>
      </c>
      <c r="O62" s="514">
        <f t="shared" si="5"/>
        <v>0</v>
      </c>
      <c r="P62" s="272"/>
    </row>
    <row r="63" spans="2:16">
      <c r="B63" s="195" t="str">
        <f t="shared" si="7"/>
        <v/>
      </c>
      <c r="C63" s="507">
        <f>IF(D11="","-",+C62+1)</f>
        <v>2062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19"/>
        <v>0</v>
      </c>
      <c r="G63" s="526">
        <f t="shared" si="22"/>
        <v>0</v>
      </c>
      <c r="H63" s="491">
        <f t="shared" si="23"/>
        <v>0</v>
      </c>
      <c r="I63" s="511">
        <f t="shared" si="0"/>
        <v>0</v>
      </c>
      <c r="J63" s="511"/>
      <c r="K63" s="525"/>
      <c r="L63" s="514">
        <f t="shared" si="2"/>
        <v>0</v>
      </c>
      <c r="M63" s="525"/>
      <c r="N63" s="514">
        <f t="shared" si="4"/>
        <v>0</v>
      </c>
      <c r="O63" s="514">
        <f t="shared" si="5"/>
        <v>0</v>
      </c>
      <c r="P63" s="272"/>
    </row>
    <row r="64" spans="2:16">
      <c r="B64" s="195" t="str">
        <f t="shared" si="7"/>
        <v/>
      </c>
      <c r="C64" s="507">
        <f>IF(D11="","-",+C63+1)</f>
        <v>2063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19"/>
        <v>0</v>
      </c>
      <c r="G64" s="526">
        <f t="shared" si="22"/>
        <v>0</v>
      </c>
      <c r="H64" s="491">
        <f t="shared" si="23"/>
        <v>0</v>
      </c>
      <c r="I64" s="511">
        <f t="shared" si="0"/>
        <v>0</v>
      </c>
      <c r="J64" s="511"/>
      <c r="K64" s="525"/>
      <c r="L64" s="514">
        <f t="shared" si="2"/>
        <v>0</v>
      </c>
      <c r="M64" s="525"/>
      <c r="N64" s="514">
        <f t="shared" si="4"/>
        <v>0</v>
      </c>
      <c r="O64" s="514">
        <f t="shared" si="5"/>
        <v>0</v>
      </c>
      <c r="P64" s="272"/>
    </row>
    <row r="65" spans="2:16">
      <c r="B65" s="195" t="str">
        <f t="shared" si="7"/>
        <v/>
      </c>
      <c r="C65" s="507">
        <f>IF(D11="","-",+C64+1)</f>
        <v>2064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19"/>
        <v>0</v>
      </c>
      <c r="G65" s="526">
        <f t="shared" si="22"/>
        <v>0</v>
      </c>
      <c r="H65" s="491">
        <f t="shared" si="23"/>
        <v>0</v>
      </c>
      <c r="I65" s="511">
        <f t="shared" si="0"/>
        <v>0</v>
      </c>
      <c r="J65" s="511"/>
      <c r="K65" s="525"/>
      <c r="L65" s="514">
        <f t="shared" si="2"/>
        <v>0</v>
      </c>
      <c r="M65" s="525"/>
      <c r="N65" s="514">
        <f t="shared" si="4"/>
        <v>0</v>
      </c>
      <c r="O65" s="514">
        <f t="shared" si="5"/>
        <v>0</v>
      </c>
      <c r="P65" s="272"/>
    </row>
    <row r="66" spans="2:16">
      <c r="B66" s="195" t="str">
        <f t="shared" si="7"/>
        <v/>
      </c>
      <c r="C66" s="507">
        <f>IF(D11="","-",+C65+1)</f>
        <v>2065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19"/>
        <v>0</v>
      </c>
      <c r="G66" s="526">
        <f t="shared" si="22"/>
        <v>0</v>
      </c>
      <c r="H66" s="491">
        <f t="shared" si="23"/>
        <v>0</v>
      </c>
      <c r="I66" s="511">
        <f t="shared" si="0"/>
        <v>0</v>
      </c>
      <c r="J66" s="511"/>
      <c r="K66" s="525"/>
      <c r="L66" s="514">
        <f t="shared" si="2"/>
        <v>0</v>
      </c>
      <c r="M66" s="525"/>
      <c r="N66" s="514">
        <f t="shared" si="4"/>
        <v>0</v>
      </c>
      <c r="O66" s="514">
        <f t="shared" si="5"/>
        <v>0</v>
      </c>
      <c r="P66" s="272"/>
    </row>
    <row r="67" spans="2:16">
      <c r="B67" s="195" t="str">
        <f t="shared" si="7"/>
        <v/>
      </c>
      <c r="C67" s="507">
        <f>IF(D11="","-",+C66+1)</f>
        <v>2066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19"/>
        <v>0</v>
      </c>
      <c r="G67" s="526">
        <f t="shared" si="22"/>
        <v>0</v>
      </c>
      <c r="H67" s="491">
        <f t="shared" si="23"/>
        <v>0</v>
      </c>
      <c r="I67" s="511">
        <f t="shared" si="0"/>
        <v>0</v>
      </c>
      <c r="J67" s="511"/>
      <c r="K67" s="525"/>
      <c r="L67" s="514">
        <f t="shared" si="2"/>
        <v>0</v>
      </c>
      <c r="M67" s="525"/>
      <c r="N67" s="514">
        <f t="shared" si="4"/>
        <v>0</v>
      </c>
      <c r="O67" s="514">
        <f t="shared" si="5"/>
        <v>0</v>
      </c>
      <c r="P67" s="272"/>
    </row>
    <row r="68" spans="2:16">
      <c r="B68" s="195" t="str">
        <f t="shared" si="7"/>
        <v/>
      </c>
      <c r="C68" s="507">
        <f>IF(D11="","-",+C67+1)</f>
        <v>2067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19"/>
        <v>0</v>
      </c>
      <c r="G68" s="526">
        <f t="shared" si="22"/>
        <v>0</v>
      </c>
      <c r="H68" s="491">
        <f t="shared" si="23"/>
        <v>0</v>
      </c>
      <c r="I68" s="511">
        <f t="shared" si="0"/>
        <v>0</v>
      </c>
      <c r="J68" s="511"/>
      <c r="K68" s="525"/>
      <c r="L68" s="514">
        <f t="shared" si="2"/>
        <v>0</v>
      </c>
      <c r="M68" s="525"/>
      <c r="N68" s="514">
        <f t="shared" si="4"/>
        <v>0</v>
      </c>
      <c r="O68" s="514">
        <f t="shared" si="5"/>
        <v>0</v>
      </c>
      <c r="P68" s="272"/>
    </row>
    <row r="69" spans="2:16">
      <c r="B69" s="195" t="str">
        <f t="shared" si="7"/>
        <v/>
      </c>
      <c r="C69" s="507">
        <f>IF(D11="","-",+C68+1)</f>
        <v>2068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19"/>
        <v>0</v>
      </c>
      <c r="G69" s="526">
        <f t="shared" si="22"/>
        <v>0</v>
      </c>
      <c r="H69" s="491">
        <f t="shared" si="23"/>
        <v>0</v>
      </c>
      <c r="I69" s="511">
        <f t="shared" si="0"/>
        <v>0</v>
      </c>
      <c r="J69" s="511"/>
      <c r="K69" s="525"/>
      <c r="L69" s="514">
        <f t="shared" si="2"/>
        <v>0</v>
      </c>
      <c r="M69" s="525"/>
      <c r="N69" s="514">
        <f t="shared" si="4"/>
        <v>0</v>
      </c>
      <c r="O69" s="514">
        <f t="shared" si="5"/>
        <v>0</v>
      </c>
      <c r="P69" s="272"/>
    </row>
    <row r="70" spans="2:16">
      <c r="B70" s="195" t="str">
        <f t="shared" si="7"/>
        <v/>
      </c>
      <c r="C70" s="507">
        <f>IF(D11="","-",+C69+1)</f>
        <v>2069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19"/>
        <v>0</v>
      </c>
      <c r="G70" s="526">
        <f t="shared" si="22"/>
        <v>0</v>
      </c>
      <c r="H70" s="491">
        <f t="shared" si="23"/>
        <v>0</v>
      </c>
      <c r="I70" s="511">
        <f t="shared" si="0"/>
        <v>0</v>
      </c>
      <c r="J70" s="511"/>
      <c r="K70" s="525"/>
      <c r="L70" s="514">
        <f t="shared" si="2"/>
        <v>0</v>
      </c>
      <c r="M70" s="525"/>
      <c r="N70" s="514">
        <f t="shared" si="4"/>
        <v>0</v>
      </c>
      <c r="O70" s="514">
        <f t="shared" si="5"/>
        <v>0</v>
      </c>
      <c r="P70" s="272"/>
    </row>
    <row r="71" spans="2:16">
      <c r="B71" s="195" t="str">
        <f t="shared" si="7"/>
        <v/>
      </c>
      <c r="C71" s="507">
        <f>IF(D11="","-",+C70+1)</f>
        <v>2070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19"/>
        <v>0</v>
      </c>
      <c r="G71" s="526">
        <f t="shared" si="22"/>
        <v>0</v>
      </c>
      <c r="H71" s="491">
        <f t="shared" si="23"/>
        <v>0</v>
      </c>
      <c r="I71" s="511">
        <f t="shared" si="0"/>
        <v>0</v>
      </c>
      <c r="J71" s="511"/>
      <c r="K71" s="525"/>
      <c r="L71" s="514">
        <f t="shared" si="2"/>
        <v>0</v>
      </c>
      <c r="M71" s="525"/>
      <c r="N71" s="514">
        <f t="shared" si="4"/>
        <v>0</v>
      </c>
      <c r="O71" s="514">
        <f t="shared" si="5"/>
        <v>0</v>
      </c>
      <c r="P71" s="272"/>
    </row>
    <row r="72" spans="2:16" ht="13.5" thickBot="1">
      <c r="B72" s="195" t="str">
        <f t="shared" si="7"/>
        <v/>
      </c>
      <c r="C72" s="527">
        <f>IF(D11="","-",+C71+1)</f>
        <v>2071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19"/>
        <v>0</v>
      </c>
      <c r="G72" s="530">
        <f t="shared" si="22"/>
        <v>0</v>
      </c>
      <c r="H72" s="471">
        <f t="shared" si="23"/>
        <v>0</v>
      </c>
      <c r="I72" s="531">
        <f t="shared" si="0"/>
        <v>0</v>
      </c>
      <c r="J72" s="511"/>
      <c r="K72" s="532"/>
      <c r="L72" s="533">
        <f t="shared" si="2"/>
        <v>0</v>
      </c>
      <c r="M72" s="532"/>
      <c r="N72" s="533">
        <f t="shared" si="4"/>
        <v>0</v>
      </c>
      <c r="O72" s="533">
        <f t="shared" si="5"/>
        <v>0</v>
      </c>
      <c r="P72" s="272"/>
    </row>
    <row r="73" spans="2:16">
      <c r="C73" s="374" t="s">
        <v>78</v>
      </c>
      <c r="D73" s="375"/>
      <c r="E73" s="375">
        <f>SUM(E17:E72)</f>
        <v>58649880.670000017</v>
      </c>
      <c r="F73" s="375"/>
      <c r="G73" s="375">
        <f>SUM(G17:G72)</f>
        <v>208082467.39319965</v>
      </c>
      <c r="H73" s="375">
        <f>SUM(H17:H72)</f>
        <v>208082467.39319965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2:16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2:16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2:16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2:16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272"/>
      <c r="P77" s="272"/>
    </row>
    <row r="78" spans="2:16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2:16"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  <c r="O79" s="269"/>
      <c r="P79" s="269"/>
    </row>
    <row r="80" spans="2:16" ht="18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6">
      <c r="B81" s="269"/>
      <c r="C81" s="340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6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</row>
    <row r="83" spans="1:16" ht="20.25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451" t="str">
        <f ca="1">P1</f>
        <v>SWEPCO Project 61 of 75</v>
      </c>
    </row>
    <row r="84" spans="1:16" ht="18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538" t="s">
        <v>128</v>
      </c>
    </row>
    <row r="85" spans="1:16" ht="18.7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</row>
    <row r="86" spans="1:16" ht="15.75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2022</v>
      </c>
      <c r="M86" s="541" t="s">
        <v>9</v>
      </c>
      <c r="N86" s="542" t="s">
        <v>159</v>
      </c>
      <c r="O86" s="543" t="s">
        <v>11</v>
      </c>
      <c r="P86" s="269"/>
    </row>
    <row r="87" spans="1:16" ht="1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391</v>
      </c>
      <c r="M87" s="546">
        <f>IF(J92&lt;D11,0,VLOOKUP(J92,C17:O72,9))</f>
        <v>7001269.4944881881</v>
      </c>
      <c r="N87" s="546">
        <f>IF(J92&lt;D11,0,VLOOKUP(J92,C17:O72,11))</f>
        <v>7001269.4944881881</v>
      </c>
      <c r="O87" s="547">
        <f>+N87-M87</f>
        <v>0</v>
      </c>
      <c r="P87" s="269"/>
    </row>
    <row r="88" spans="1:16" ht="15.7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392</v>
      </c>
      <c r="M88" s="550">
        <f>IF(J92&lt;D11,0,VLOOKUP(J92,C99:P154,6))</f>
        <v>7276106.8445858909</v>
      </c>
      <c r="N88" s="550">
        <f>IF(J92&lt;D11,0,VLOOKUP(J92,C99:P154,7))</f>
        <v>7276106.8445858909</v>
      </c>
      <c r="O88" s="551">
        <f>+N88-M88</f>
        <v>0</v>
      </c>
      <c r="P88" s="269"/>
    </row>
    <row r="89" spans="1:16" ht="13.5" thickBot="1">
      <c r="C89" s="467" t="s">
        <v>84</v>
      </c>
      <c r="D89" s="552" t="str">
        <f>+D7</f>
        <v>Messick 500/230 kV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274837.35009770282</v>
      </c>
      <c r="N89" s="555">
        <f>+N88-N87</f>
        <v>274837.35009770282</v>
      </c>
      <c r="O89" s="556">
        <f>+O88-O87</f>
        <v>0</v>
      </c>
      <c r="P89" s="269"/>
    </row>
    <row r="90" spans="1:16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</row>
    <row r="91" spans="1:16" ht="13.5" thickBot="1">
      <c r="A91" s="191"/>
      <c r="C91" s="558" t="s">
        <v>85</v>
      </c>
      <c r="D91" s="559" t="str">
        <f>+D9</f>
        <v>TP2011033</v>
      </c>
      <c r="E91" s="560"/>
      <c r="F91" s="560"/>
      <c r="G91" s="560"/>
      <c r="H91" s="560"/>
      <c r="I91" s="560"/>
      <c r="J91" s="560"/>
      <c r="K91" s="562"/>
      <c r="P91" s="481"/>
    </row>
    <row r="92" spans="1:16">
      <c r="C92" s="486" t="s">
        <v>51</v>
      </c>
      <c r="D92" s="564">
        <v>58649881</v>
      </c>
      <c r="E92" s="340" t="s">
        <v>86</v>
      </c>
      <c r="H92" s="484"/>
      <c r="I92" s="484"/>
      <c r="J92" s="485">
        <f>+'SWE.WS.G.BPU.ATRR.True-up'!M16</f>
        <v>2022</v>
      </c>
      <c r="K92" s="480"/>
      <c r="L92" s="375" t="s">
        <v>87</v>
      </c>
      <c r="P92" s="272"/>
    </row>
    <row r="93" spans="1:16">
      <c r="C93" s="486" t="s">
        <v>54</v>
      </c>
      <c r="D93" s="487">
        <v>2016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</row>
    <row r="94" spans="1:16">
      <c r="C94" s="486" t="s">
        <v>56</v>
      </c>
      <c r="D94" s="483">
        <v>4</v>
      </c>
      <c r="E94" s="486" t="s">
        <v>57</v>
      </c>
      <c r="F94" s="484"/>
      <c r="G94" s="484"/>
      <c r="J94" s="490">
        <f>'SWE.WS.G.BPU.ATRR.True-up'!$F$81</f>
        <v>0.11351422637179906</v>
      </c>
      <c r="K94" s="425"/>
      <c r="L94" s="183" t="s">
        <v>88</v>
      </c>
      <c r="P94" s="272"/>
    </row>
    <row r="95" spans="1:16">
      <c r="C95" s="486" t="s">
        <v>59</v>
      </c>
      <c r="D95" s="488">
        <f>'SWE.WS.G.BPU.ATRR.True-up'!F$93</f>
        <v>41</v>
      </c>
      <c r="E95" s="486" t="s">
        <v>60</v>
      </c>
      <c r="F95" s="484"/>
      <c r="G95" s="484"/>
      <c r="J95" s="490">
        <f>IF(H87="",J94,'SWE.WS.G.BPU.ATRR.True-up'!$F$80)</f>
        <v>0.11351422637179906</v>
      </c>
      <c r="K95" s="324"/>
      <c r="L95" s="375" t="s">
        <v>61</v>
      </c>
      <c r="M95" s="324"/>
      <c r="N95" s="324"/>
      <c r="O95" s="324"/>
      <c r="P95" s="272"/>
    </row>
    <row r="96" spans="1:16" ht="13.5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1430484.9024390243</v>
      </c>
      <c r="K96" s="375"/>
      <c r="L96" s="375"/>
      <c r="M96" s="375"/>
      <c r="N96" s="375"/>
      <c r="O96" s="375"/>
      <c r="P96" s="272"/>
    </row>
    <row r="97" spans="1:16" ht="38.25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388</v>
      </c>
      <c r="I97" s="495" t="s">
        <v>389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</row>
    <row r="98" spans="1:16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</row>
    <row r="99" spans="1:16">
      <c r="C99" s="507">
        <f>IF(D93= "","-",D93)</f>
        <v>2016</v>
      </c>
      <c r="D99" s="649">
        <v>0</v>
      </c>
      <c r="E99" s="650">
        <v>942654.85714285716</v>
      </c>
      <c r="F99" s="651">
        <v>58444601.142857142</v>
      </c>
      <c r="G99" s="652">
        <v>29222300.571428571</v>
      </c>
      <c r="H99" s="653">
        <v>4492330.3044337472</v>
      </c>
      <c r="I99" s="654">
        <v>4492330.3044337472</v>
      </c>
      <c r="J99" s="514">
        <f t="shared" ref="J99:J130" si="24">+I99-H99</f>
        <v>0</v>
      </c>
      <c r="K99" s="514"/>
      <c r="L99" s="512">
        <f t="shared" ref="L99:L104" si="25">+H99</f>
        <v>4492330.3044337472</v>
      </c>
      <c r="M99" s="513">
        <f t="shared" ref="M99:M130" si="26">IF(L99&lt;&gt;0,+H99-L99,0)</f>
        <v>0</v>
      </c>
      <c r="N99" s="512">
        <f t="shared" ref="N99:N104" si="27">+I99</f>
        <v>4492330.3044337472</v>
      </c>
      <c r="O99" s="513">
        <f t="shared" ref="O99:O130" si="28">IF(N99&lt;&gt;0,+I99-N99,0)</f>
        <v>0</v>
      </c>
      <c r="P99" s="513">
        <f t="shared" ref="P99:P130" si="29">+O99-M99</f>
        <v>0</v>
      </c>
    </row>
    <row r="100" spans="1:16">
      <c r="B100" s="195" t="str">
        <f>IF(D100=F99,"","IU")</f>
        <v>IU</v>
      </c>
      <c r="C100" s="507">
        <f>IF(D93="","-",+C99+1)</f>
        <v>2017</v>
      </c>
      <c r="D100" s="629">
        <v>57706234.142857142</v>
      </c>
      <c r="E100" s="630">
        <v>1396402.1190476189</v>
      </c>
      <c r="F100" s="631">
        <v>56309832.023809522</v>
      </c>
      <c r="G100" s="631">
        <v>57008033.083333328</v>
      </c>
      <c r="H100" s="633">
        <v>7416711.841213882</v>
      </c>
      <c r="I100" s="634">
        <v>7416711.841213882</v>
      </c>
      <c r="J100" s="514">
        <f t="shared" si="24"/>
        <v>0</v>
      </c>
      <c r="K100" s="514"/>
      <c r="L100" s="655">
        <f t="shared" si="25"/>
        <v>7416711.841213882</v>
      </c>
      <c r="M100" s="514">
        <f t="shared" si="26"/>
        <v>0</v>
      </c>
      <c r="N100" s="655">
        <f t="shared" si="27"/>
        <v>7416711.841213882</v>
      </c>
      <c r="O100" s="514">
        <f t="shared" si="28"/>
        <v>0</v>
      </c>
      <c r="P100" s="514">
        <f t="shared" si="29"/>
        <v>0</v>
      </c>
    </row>
    <row r="101" spans="1:16">
      <c r="B101" s="195" t="str">
        <f t="shared" ref="B101:B154" si="30">IF(D101=F100,"","IU")</f>
        <v>IU</v>
      </c>
      <c r="C101" s="507">
        <f>IF(D93="","-",+C100+1)</f>
        <v>2018</v>
      </c>
      <c r="D101" s="629">
        <v>56310824.023809522</v>
      </c>
      <c r="E101" s="630">
        <v>1363950.7209302327</v>
      </c>
      <c r="F101" s="631">
        <v>54946873.302879289</v>
      </c>
      <c r="G101" s="631">
        <v>55628848.663344406</v>
      </c>
      <c r="H101" s="633">
        <v>7318493.0853602551</v>
      </c>
      <c r="I101" s="634">
        <v>7318493.0853602551</v>
      </c>
      <c r="J101" s="514">
        <f t="shared" si="24"/>
        <v>0</v>
      </c>
      <c r="K101" s="514"/>
      <c r="L101" s="655">
        <f t="shared" si="25"/>
        <v>7318493.0853602551</v>
      </c>
      <c r="M101" s="514">
        <f t="shared" ref="M101:M102" si="31">IF(L101&lt;&gt;0,+H101-L101,0)</f>
        <v>0</v>
      </c>
      <c r="N101" s="655">
        <f t="shared" si="27"/>
        <v>7318493.0853602551</v>
      </c>
      <c r="O101" s="514">
        <f t="shared" si="28"/>
        <v>0</v>
      </c>
      <c r="P101" s="514">
        <f t="shared" si="29"/>
        <v>0</v>
      </c>
    </row>
    <row r="102" spans="1:16">
      <c r="B102" s="195" t="str">
        <f t="shared" si="30"/>
        <v/>
      </c>
      <c r="C102" s="507">
        <f>IF(D93="","-",+C101+1)</f>
        <v>2019</v>
      </c>
      <c r="D102" s="629">
        <v>54946873.302879289</v>
      </c>
      <c r="E102" s="630">
        <v>1363950.7209302327</v>
      </c>
      <c r="F102" s="631">
        <v>53582922.581949055</v>
      </c>
      <c r="G102" s="631">
        <v>54264897.942414172</v>
      </c>
      <c r="H102" s="633">
        <v>7172495.0547354436</v>
      </c>
      <c r="I102" s="634">
        <v>7172495.0547354436</v>
      </c>
      <c r="J102" s="514">
        <f t="shared" si="24"/>
        <v>0</v>
      </c>
      <c r="K102" s="514"/>
      <c r="L102" s="655">
        <f t="shared" si="25"/>
        <v>7172495.0547354436</v>
      </c>
      <c r="M102" s="514">
        <f t="shared" si="31"/>
        <v>0</v>
      </c>
      <c r="N102" s="655">
        <f t="shared" si="27"/>
        <v>7172495.0547354436</v>
      </c>
      <c r="O102" s="514">
        <f t="shared" si="28"/>
        <v>0</v>
      </c>
      <c r="P102" s="514">
        <f t="shared" si="29"/>
        <v>0</v>
      </c>
    </row>
    <row r="103" spans="1:16">
      <c r="B103" s="195" t="str">
        <f t="shared" si="30"/>
        <v/>
      </c>
      <c r="C103" s="507">
        <f>IF(D93="","-",+C102+1)</f>
        <v>2020</v>
      </c>
      <c r="D103" s="629">
        <v>53582922.581949055</v>
      </c>
      <c r="E103" s="630">
        <v>1396425.7380952381</v>
      </c>
      <c r="F103" s="631">
        <v>52186496.843853816</v>
      </c>
      <c r="G103" s="631">
        <v>52884709.712901436</v>
      </c>
      <c r="H103" s="633">
        <v>7085436.6426010244</v>
      </c>
      <c r="I103" s="634">
        <v>7085436.6426010244</v>
      </c>
      <c r="J103" s="514">
        <f t="shared" si="24"/>
        <v>0</v>
      </c>
      <c r="K103" s="514"/>
      <c r="L103" s="655">
        <f t="shared" si="25"/>
        <v>7085436.6426010244</v>
      </c>
      <c r="M103" s="514">
        <f t="shared" ref="M103" si="32">IF(L103&lt;&gt;0,+H103-L103,0)</f>
        <v>0</v>
      </c>
      <c r="N103" s="655">
        <f t="shared" si="27"/>
        <v>7085436.6426010244</v>
      </c>
      <c r="O103" s="514">
        <f t="shared" si="28"/>
        <v>0</v>
      </c>
      <c r="P103" s="514">
        <f t="shared" si="29"/>
        <v>0</v>
      </c>
    </row>
    <row r="104" spans="1:16">
      <c r="B104" s="195" t="str">
        <f t="shared" si="30"/>
        <v/>
      </c>
      <c r="C104" s="507">
        <f>IF(D93="","-",+C103+1)</f>
        <v>2021</v>
      </c>
      <c r="D104" s="629">
        <v>52186496.843853816</v>
      </c>
      <c r="E104" s="630">
        <v>1430484.9024390243</v>
      </c>
      <c r="F104" s="631">
        <v>50756011.941414788</v>
      </c>
      <c r="G104" s="631">
        <v>51471254.392634302</v>
      </c>
      <c r="H104" s="633">
        <v>7273204.5252049714</v>
      </c>
      <c r="I104" s="634">
        <v>7273204.5252049714</v>
      </c>
      <c r="J104" s="514">
        <f t="shared" si="24"/>
        <v>0</v>
      </c>
      <c r="K104" s="514"/>
      <c r="L104" s="655">
        <f t="shared" si="25"/>
        <v>7273204.5252049714</v>
      </c>
      <c r="M104" s="514">
        <f t="shared" ref="M104" si="33">IF(L104&lt;&gt;0,+H104-L104,0)</f>
        <v>0</v>
      </c>
      <c r="N104" s="655">
        <f t="shared" si="27"/>
        <v>7273204.5252049714</v>
      </c>
      <c r="O104" s="514">
        <f t="shared" ref="O104" si="34">IF(N104&lt;&gt;0,+I104-N104,0)</f>
        <v>0</v>
      </c>
      <c r="P104" s="514">
        <f t="shared" ref="P104" si="35">+O104-M104</f>
        <v>0</v>
      </c>
    </row>
    <row r="105" spans="1:16">
      <c r="B105" s="195" t="str">
        <f t="shared" si="30"/>
        <v/>
      </c>
      <c r="C105" s="673">
        <f>IF(D93="","-",+C104+1)</f>
        <v>2022</v>
      </c>
      <c r="D105" s="374">
        <v>50756011.941414788</v>
      </c>
      <c r="E105" s="522">
        <v>1396425.7380952381</v>
      </c>
      <c r="F105" s="523">
        <v>49359586.20331955</v>
      </c>
      <c r="G105" s="523">
        <v>50057799.072367169</v>
      </c>
      <c r="H105" s="526">
        <v>7276106.8445858909</v>
      </c>
      <c r="I105" s="577">
        <v>7276106.8445858909</v>
      </c>
      <c r="J105" s="514">
        <f t="shared" si="24"/>
        <v>0</v>
      </c>
      <c r="K105" s="514"/>
      <c r="L105" s="525"/>
      <c r="M105" s="514">
        <f t="shared" si="26"/>
        <v>0</v>
      </c>
      <c r="N105" s="525"/>
      <c r="O105" s="514">
        <f t="shared" si="28"/>
        <v>0</v>
      </c>
      <c r="P105" s="514">
        <f t="shared" si="29"/>
        <v>0</v>
      </c>
    </row>
    <row r="106" spans="1:16">
      <c r="B106" s="195" t="str">
        <f t="shared" si="30"/>
        <v/>
      </c>
      <c r="C106" s="507">
        <f>IF(D93="","-",+C105+1)</f>
        <v>2023</v>
      </c>
      <c r="D106" s="374">
        <f>IF(F105+SUM(E$99:E105)=D$92,F105,D$92-SUM(E$99:E105))</f>
        <v>49359586.20331955</v>
      </c>
      <c r="E106" s="522">
        <f>IF(+J96&lt;F105,J96,D106)</f>
        <v>1430484.9024390243</v>
      </c>
      <c r="F106" s="523">
        <f t="shared" ref="F106:F130" si="36">+D106-E106</f>
        <v>47929101.300880522</v>
      </c>
      <c r="G106" s="523">
        <f t="shared" ref="G106:G130" si="37">+(F106+D106)/2</f>
        <v>48644343.752100036</v>
      </c>
      <c r="H106" s="526">
        <f t="shared" ref="H106:H154" si="38">+J$94*G106+E106</f>
        <v>6952309.9508225173</v>
      </c>
      <c r="I106" s="577">
        <f t="shared" ref="I106:I154" si="39">+J$95*G106+E106</f>
        <v>6952309.9508225173</v>
      </c>
      <c r="J106" s="514">
        <f t="shared" si="24"/>
        <v>0</v>
      </c>
      <c r="K106" s="514"/>
      <c r="L106" s="525"/>
      <c r="M106" s="514">
        <f t="shared" si="26"/>
        <v>0</v>
      </c>
      <c r="N106" s="525"/>
      <c r="O106" s="514">
        <f t="shared" si="28"/>
        <v>0</v>
      </c>
      <c r="P106" s="514">
        <f t="shared" si="29"/>
        <v>0</v>
      </c>
    </row>
    <row r="107" spans="1:16">
      <c r="B107" s="195" t="str">
        <f t="shared" si="30"/>
        <v/>
      </c>
      <c r="C107" s="507">
        <f>IF(D93="","-",+C106+1)</f>
        <v>2024</v>
      </c>
      <c r="D107" s="374">
        <f>IF(F106+SUM(E$99:E106)=D$92,F106,D$92-SUM(E$99:E106))</f>
        <v>47929101.300880522</v>
      </c>
      <c r="E107" s="522">
        <f>IF(+J96&lt;F106,J96,D107)</f>
        <v>1430484.9024390243</v>
      </c>
      <c r="F107" s="523">
        <f t="shared" si="36"/>
        <v>46498616.398441494</v>
      </c>
      <c r="G107" s="523">
        <f t="shared" si="37"/>
        <v>47213858.849661008</v>
      </c>
      <c r="H107" s="526">
        <f t="shared" si="38"/>
        <v>6789929.5637856126</v>
      </c>
      <c r="I107" s="577">
        <f t="shared" si="39"/>
        <v>6789929.5637856126</v>
      </c>
      <c r="J107" s="514">
        <f t="shared" si="24"/>
        <v>0</v>
      </c>
      <c r="K107" s="514"/>
      <c r="L107" s="525"/>
      <c r="M107" s="514">
        <f t="shared" si="26"/>
        <v>0</v>
      </c>
      <c r="N107" s="525"/>
      <c r="O107" s="514">
        <f t="shared" si="28"/>
        <v>0</v>
      </c>
      <c r="P107" s="514">
        <f t="shared" si="29"/>
        <v>0</v>
      </c>
    </row>
    <row r="108" spans="1:16">
      <c r="B108" s="195" t="str">
        <f t="shared" si="30"/>
        <v/>
      </c>
      <c r="C108" s="507">
        <f>IF(D93="","-",+C107+1)</f>
        <v>2025</v>
      </c>
      <c r="D108" s="374">
        <f>IF(F107+SUM(E$99:E107)=D$92,F107,D$92-SUM(E$99:E107))</f>
        <v>46498616.398441494</v>
      </c>
      <c r="E108" s="522">
        <f>IF(+J96&lt;F107,J96,D108)</f>
        <v>1430484.9024390243</v>
      </c>
      <c r="F108" s="523">
        <f t="shared" si="36"/>
        <v>45068131.496002465</v>
      </c>
      <c r="G108" s="523">
        <f t="shared" si="37"/>
        <v>45783373.947221979</v>
      </c>
      <c r="H108" s="526">
        <f t="shared" si="38"/>
        <v>6627549.1767487079</v>
      </c>
      <c r="I108" s="577">
        <f t="shared" si="39"/>
        <v>6627549.1767487079</v>
      </c>
      <c r="J108" s="514">
        <f t="shared" si="24"/>
        <v>0</v>
      </c>
      <c r="K108" s="514"/>
      <c r="L108" s="525"/>
      <c r="M108" s="514">
        <f t="shared" si="26"/>
        <v>0</v>
      </c>
      <c r="N108" s="525"/>
      <c r="O108" s="514">
        <f t="shared" si="28"/>
        <v>0</v>
      </c>
      <c r="P108" s="514">
        <f t="shared" si="29"/>
        <v>0</v>
      </c>
    </row>
    <row r="109" spans="1:16">
      <c r="B109" s="195" t="str">
        <f t="shared" si="30"/>
        <v/>
      </c>
      <c r="C109" s="507">
        <f>IF(D93="","-",+C108+1)</f>
        <v>2026</v>
      </c>
      <c r="D109" s="374">
        <f>IF(F108+SUM(E$99:E108)=D$92,F108,D$92-SUM(E$99:E108))</f>
        <v>45068131.496002465</v>
      </c>
      <c r="E109" s="522">
        <f>IF(+J96&lt;F108,J96,D109)</f>
        <v>1430484.9024390243</v>
      </c>
      <c r="F109" s="523">
        <f t="shared" si="36"/>
        <v>43637646.593563437</v>
      </c>
      <c r="G109" s="523">
        <f t="shared" si="37"/>
        <v>44352889.044782951</v>
      </c>
      <c r="H109" s="526">
        <f t="shared" si="38"/>
        <v>6465168.7897118032</v>
      </c>
      <c r="I109" s="577">
        <f t="shared" si="39"/>
        <v>6465168.7897118032</v>
      </c>
      <c r="J109" s="514">
        <f t="shared" si="24"/>
        <v>0</v>
      </c>
      <c r="K109" s="514"/>
      <c r="L109" s="525"/>
      <c r="M109" s="514">
        <f t="shared" si="26"/>
        <v>0</v>
      </c>
      <c r="N109" s="525"/>
      <c r="O109" s="514">
        <f t="shared" si="28"/>
        <v>0</v>
      </c>
      <c r="P109" s="514">
        <f t="shared" si="29"/>
        <v>0</v>
      </c>
    </row>
    <row r="110" spans="1:16">
      <c r="B110" s="195" t="str">
        <f t="shared" si="30"/>
        <v/>
      </c>
      <c r="C110" s="507">
        <f>IF(D93="","-",+C109+1)</f>
        <v>2027</v>
      </c>
      <c r="D110" s="374">
        <f>IF(F109+SUM(E$99:E109)=D$92,F109,D$92-SUM(E$99:E109))</f>
        <v>43637646.593563437</v>
      </c>
      <c r="E110" s="522">
        <f>IF(+J96&lt;F109,J96,D110)</f>
        <v>1430484.9024390243</v>
      </c>
      <c r="F110" s="523">
        <f t="shared" si="36"/>
        <v>42207161.691124409</v>
      </c>
      <c r="G110" s="523">
        <f t="shared" si="37"/>
        <v>42922404.142343923</v>
      </c>
      <c r="H110" s="526">
        <f t="shared" si="38"/>
        <v>6302788.4026748985</v>
      </c>
      <c r="I110" s="577">
        <f t="shared" si="39"/>
        <v>6302788.4026748985</v>
      </c>
      <c r="J110" s="514">
        <f t="shared" si="24"/>
        <v>0</v>
      </c>
      <c r="K110" s="514"/>
      <c r="L110" s="525"/>
      <c r="M110" s="514">
        <f t="shared" si="26"/>
        <v>0</v>
      </c>
      <c r="N110" s="525"/>
      <c r="O110" s="514">
        <f t="shared" si="28"/>
        <v>0</v>
      </c>
      <c r="P110" s="514">
        <f t="shared" si="29"/>
        <v>0</v>
      </c>
    </row>
    <row r="111" spans="1:16">
      <c r="B111" s="195" t="str">
        <f t="shared" si="30"/>
        <v/>
      </c>
      <c r="C111" s="507">
        <f>IF(D93="","-",+C110+1)</f>
        <v>2028</v>
      </c>
      <c r="D111" s="374">
        <f>IF(F110+SUM(E$99:E110)=D$92,F110,D$92-SUM(E$99:E110))</f>
        <v>42207161.691124409</v>
      </c>
      <c r="E111" s="522">
        <f>IF(+J96&lt;F110,J96,D111)</f>
        <v>1430484.9024390243</v>
      </c>
      <c r="F111" s="523">
        <f t="shared" si="36"/>
        <v>40776676.788685381</v>
      </c>
      <c r="G111" s="523">
        <f t="shared" si="37"/>
        <v>41491919.239904895</v>
      </c>
      <c r="H111" s="526">
        <f t="shared" si="38"/>
        <v>6140408.0156379938</v>
      </c>
      <c r="I111" s="577">
        <f t="shared" si="39"/>
        <v>6140408.0156379938</v>
      </c>
      <c r="J111" s="514">
        <f t="shared" si="24"/>
        <v>0</v>
      </c>
      <c r="K111" s="514"/>
      <c r="L111" s="525"/>
      <c r="M111" s="514">
        <f t="shared" si="26"/>
        <v>0</v>
      </c>
      <c r="N111" s="525"/>
      <c r="O111" s="514">
        <f t="shared" si="28"/>
        <v>0</v>
      </c>
      <c r="P111" s="514">
        <f t="shared" si="29"/>
        <v>0</v>
      </c>
    </row>
    <row r="112" spans="1:16">
      <c r="B112" s="195" t="str">
        <f t="shared" si="30"/>
        <v/>
      </c>
      <c r="C112" s="507">
        <f>IF(D93="","-",+C111+1)</f>
        <v>2029</v>
      </c>
      <c r="D112" s="374">
        <f>IF(F111+SUM(E$99:E111)=D$92,F111,D$92-SUM(E$99:E111))</f>
        <v>40776676.788685381</v>
      </c>
      <c r="E112" s="522">
        <f>IF(+J96&lt;F111,J96,D112)</f>
        <v>1430484.9024390243</v>
      </c>
      <c r="F112" s="523">
        <f t="shared" si="36"/>
        <v>39346191.886246353</v>
      </c>
      <c r="G112" s="523">
        <f t="shared" si="37"/>
        <v>40061434.337465867</v>
      </c>
      <c r="H112" s="526">
        <f t="shared" si="38"/>
        <v>5978027.6286010882</v>
      </c>
      <c r="I112" s="577">
        <f t="shared" si="39"/>
        <v>5978027.6286010882</v>
      </c>
      <c r="J112" s="514">
        <f t="shared" si="24"/>
        <v>0</v>
      </c>
      <c r="K112" s="514"/>
      <c r="L112" s="525"/>
      <c r="M112" s="514">
        <f t="shared" si="26"/>
        <v>0</v>
      </c>
      <c r="N112" s="525"/>
      <c r="O112" s="514">
        <f t="shared" si="28"/>
        <v>0</v>
      </c>
      <c r="P112" s="514">
        <f t="shared" si="29"/>
        <v>0</v>
      </c>
    </row>
    <row r="113" spans="2:16">
      <c r="B113" s="195" t="str">
        <f t="shared" si="30"/>
        <v/>
      </c>
      <c r="C113" s="507">
        <f>IF(D93="","-",+C112+1)</f>
        <v>2030</v>
      </c>
      <c r="D113" s="374">
        <f>IF(F112+SUM(E$99:E112)=D$92,F112,D$92-SUM(E$99:E112))</f>
        <v>39346191.886246353</v>
      </c>
      <c r="E113" s="522">
        <f>IF(+J96&lt;F112,J96,D113)</f>
        <v>1430484.9024390243</v>
      </c>
      <c r="F113" s="523">
        <f t="shared" si="36"/>
        <v>37915706.983807325</v>
      </c>
      <c r="G113" s="523">
        <f t="shared" si="37"/>
        <v>38630949.435026839</v>
      </c>
      <c r="H113" s="526">
        <f t="shared" si="38"/>
        <v>5815647.2415641835</v>
      </c>
      <c r="I113" s="577">
        <f t="shared" si="39"/>
        <v>5815647.2415641835</v>
      </c>
      <c r="J113" s="514">
        <f t="shared" si="24"/>
        <v>0</v>
      </c>
      <c r="K113" s="514"/>
      <c r="L113" s="525"/>
      <c r="M113" s="514">
        <f t="shared" si="26"/>
        <v>0</v>
      </c>
      <c r="N113" s="525"/>
      <c r="O113" s="514">
        <f t="shared" si="28"/>
        <v>0</v>
      </c>
      <c r="P113" s="514">
        <f t="shared" si="29"/>
        <v>0</v>
      </c>
    </row>
    <row r="114" spans="2:16">
      <c r="B114" s="195" t="str">
        <f t="shared" si="30"/>
        <v/>
      </c>
      <c r="C114" s="507">
        <f>IF(D93="","-",+C113+1)</f>
        <v>2031</v>
      </c>
      <c r="D114" s="374">
        <f>IF(F113+SUM(E$99:E113)=D$92,F113,D$92-SUM(E$99:E113))</f>
        <v>37915706.983807325</v>
      </c>
      <c r="E114" s="522">
        <f>IF(+J96&lt;F113,J96,D114)</f>
        <v>1430484.9024390243</v>
      </c>
      <c r="F114" s="523">
        <f t="shared" si="36"/>
        <v>36485222.081368297</v>
      </c>
      <c r="G114" s="523">
        <f t="shared" si="37"/>
        <v>37200464.532587811</v>
      </c>
      <c r="H114" s="526">
        <f t="shared" si="38"/>
        <v>5653266.8545272788</v>
      </c>
      <c r="I114" s="577">
        <f t="shared" si="39"/>
        <v>5653266.8545272788</v>
      </c>
      <c r="J114" s="514">
        <f t="shared" si="24"/>
        <v>0</v>
      </c>
      <c r="K114" s="514"/>
      <c r="L114" s="525"/>
      <c r="M114" s="514">
        <f t="shared" si="26"/>
        <v>0</v>
      </c>
      <c r="N114" s="525"/>
      <c r="O114" s="514">
        <f t="shared" si="28"/>
        <v>0</v>
      </c>
      <c r="P114" s="514">
        <f t="shared" si="29"/>
        <v>0</v>
      </c>
    </row>
    <row r="115" spans="2:16">
      <c r="B115" s="195" t="str">
        <f t="shared" si="30"/>
        <v/>
      </c>
      <c r="C115" s="507">
        <f>IF(D93="","-",+C114+1)</f>
        <v>2032</v>
      </c>
      <c r="D115" s="374">
        <f>IF(F114+SUM(E$99:E114)=D$92,F114,D$92-SUM(E$99:E114))</f>
        <v>36485222.081368297</v>
      </c>
      <c r="E115" s="522">
        <f>IF(+J96&lt;F114,J96,D115)</f>
        <v>1430484.9024390243</v>
      </c>
      <c r="F115" s="523">
        <f t="shared" si="36"/>
        <v>35054737.178929269</v>
      </c>
      <c r="G115" s="523">
        <f t="shared" si="37"/>
        <v>35769979.630148783</v>
      </c>
      <c r="H115" s="526">
        <f t="shared" si="38"/>
        <v>5490886.467490375</v>
      </c>
      <c r="I115" s="577">
        <f t="shared" si="39"/>
        <v>5490886.467490375</v>
      </c>
      <c r="J115" s="514">
        <f t="shared" si="24"/>
        <v>0</v>
      </c>
      <c r="K115" s="514"/>
      <c r="L115" s="525"/>
      <c r="M115" s="514">
        <f t="shared" si="26"/>
        <v>0</v>
      </c>
      <c r="N115" s="525"/>
      <c r="O115" s="514">
        <f t="shared" si="28"/>
        <v>0</v>
      </c>
      <c r="P115" s="514">
        <f t="shared" si="29"/>
        <v>0</v>
      </c>
    </row>
    <row r="116" spans="2:16">
      <c r="B116" s="195" t="str">
        <f t="shared" si="30"/>
        <v/>
      </c>
      <c r="C116" s="507">
        <f>IF(D93="","-",+C115+1)</f>
        <v>2033</v>
      </c>
      <c r="D116" s="374">
        <f>IF(F115+SUM(E$99:E115)=D$92,F115,D$92-SUM(E$99:E115))</f>
        <v>35054737.178929269</v>
      </c>
      <c r="E116" s="522">
        <f>IF(+J96&lt;F115,J96,D116)</f>
        <v>1430484.9024390243</v>
      </c>
      <c r="F116" s="523">
        <f t="shared" si="36"/>
        <v>33624252.276490241</v>
      </c>
      <c r="G116" s="523">
        <f t="shared" si="37"/>
        <v>34339494.727709755</v>
      </c>
      <c r="H116" s="526">
        <f t="shared" si="38"/>
        <v>5328506.0804534703</v>
      </c>
      <c r="I116" s="577">
        <f t="shared" si="39"/>
        <v>5328506.0804534703</v>
      </c>
      <c r="J116" s="514">
        <f t="shared" si="24"/>
        <v>0</v>
      </c>
      <c r="K116" s="514"/>
      <c r="L116" s="525"/>
      <c r="M116" s="514">
        <f t="shared" si="26"/>
        <v>0</v>
      </c>
      <c r="N116" s="525"/>
      <c r="O116" s="514">
        <f t="shared" si="28"/>
        <v>0</v>
      </c>
      <c r="P116" s="514">
        <f t="shared" si="29"/>
        <v>0</v>
      </c>
    </row>
    <row r="117" spans="2:16">
      <c r="B117" s="195" t="str">
        <f t="shared" si="30"/>
        <v/>
      </c>
      <c r="C117" s="507">
        <f>IF(D93="","-",+C116+1)</f>
        <v>2034</v>
      </c>
      <c r="D117" s="374">
        <f>IF(F116+SUM(E$99:E116)=D$92,F116,D$92-SUM(E$99:E116))</f>
        <v>33624252.276490241</v>
      </c>
      <c r="E117" s="522">
        <f>IF(+J96&lt;F116,J96,D117)</f>
        <v>1430484.9024390243</v>
      </c>
      <c r="F117" s="523">
        <f t="shared" si="36"/>
        <v>32193767.374051217</v>
      </c>
      <c r="G117" s="523">
        <f t="shared" si="37"/>
        <v>32909009.825270727</v>
      </c>
      <c r="H117" s="526">
        <f t="shared" si="38"/>
        <v>5166125.6934165657</v>
      </c>
      <c r="I117" s="577">
        <f t="shared" si="39"/>
        <v>5166125.6934165657</v>
      </c>
      <c r="J117" s="514">
        <f t="shared" si="24"/>
        <v>0</v>
      </c>
      <c r="K117" s="514"/>
      <c r="L117" s="525"/>
      <c r="M117" s="514">
        <f t="shared" si="26"/>
        <v>0</v>
      </c>
      <c r="N117" s="525"/>
      <c r="O117" s="514">
        <f t="shared" si="28"/>
        <v>0</v>
      </c>
      <c r="P117" s="514">
        <f t="shared" si="29"/>
        <v>0</v>
      </c>
    </row>
    <row r="118" spans="2:16">
      <c r="B118" s="195" t="str">
        <f t="shared" si="30"/>
        <v/>
      </c>
      <c r="C118" s="507">
        <f>IF(D93="","-",+C117+1)</f>
        <v>2035</v>
      </c>
      <c r="D118" s="374">
        <f>IF(F117+SUM(E$99:E117)=D$92,F117,D$92-SUM(E$99:E117))</f>
        <v>32193767.374051217</v>
      </c>
      <c r="E118" s="522">
        <f>IF(+J96&lt;F117,J96,D118)</f>
        <v>1430484.9024390243</v>
      </c>
      <c r="F118" s="523">
        <f t="shared" si="36"/>
        <v>30763282.471612193</v>
      </c>
      <c r="G118" s="523">
        <f t="shared" si="37"/>
        <v>31478524.922831707</v>
      </c>
      <c r="H118" s="526">
        <f t="shared" si="38"/>
        <v>5003745.306379661</v>
      </c>
      <c r="I118" s="577">
        <f t="shared" si="39"/>
        <v>5003745.306379661</v>
      </c>
      <c r="J118" s="514">
        <f t="shared" si="24"/>
        <v>0</v>
      </c>
      <c r="K118" s="514"/>
      <c r="L118" s="525"/>
      <c r="M118" s="514">
        <f t="shared" si="26"/>
        <v>0</v>
      </c>
      <c r="N118" s="525"/>
      <c r="O118" s="514">
        <f t="shared" si="28"/>
        <v>0</v>
      </c>
      <c r="P118" s="514">
        <f t="shared" si="29"/>
        <v>0</v>
      </c>
    </row>
    <row r="119" spans="2:16">
      <c r="B119" s="195" t="str">
        <f t="shared" si="30"/>
        <v/>
      </c>
      <c r="C119" s="507">
        <f>IF(D93="","-",+C118+1)</f>
        <v>2036</v>
      </c>
      <c r="D119" s="374">
        <f>IF(F118+SUM(E$99:E118)=D$92,F118,D$92-SUM(E$99:E118))</f>
        <v>30763282.471612193</v>
      </c>
      <c r="E119" s="522">
        <f>IF(+J96&lt;F118,J96,D119)</f>
        <v>1430484.9024390243</v>
      </c>
      <c r="F119" s="523">
        <f t="shared" si="36"/>
        <v>29332797.569173168</v>
      </c>
      <c r="G119" s="523">
        <f t="shared" si="37"/>
        <v>30048040.020392679</v>
      </c>
      <c r="H119" s="526">
        <f t="shared" si="38"/>
        <v>4841364.9193427563</v>
      </c>
      <c r="I119" s="577">
        <f t="shared" si="39"/>
        <v>4841364.9193427563</v>
      </c>
      <c r="J119" s="514">
        <f t="shared" si="24"/>
        <v>0</v>
      </c>
      <c r="K119" s="514"/>
      <c r="L119" s="525"/>
      <c r="M119" s="514">
        <f t="shared" si="26"/>
        <v>0</v>
      </c>
      <c r="N119" s="525"/>
      <c r="O119" s="514">
        <f t="shared" si="28"/>
        <v>0</v>
      </c>
      <c r="P119" s="514">
        <f t="shared" si="29"/>
        <v>0</v>
      </c>
    </row>
    <row r="120" spans="2:16">
      <c r="B120" s="195" t="str">
        <f t="shared" si="30"/>
        <v/>
      </c>
      <c r="C120" s="507">
        <f>IF(D93="","-",+C119+1)</f>
        <v>2037</v>
      </c>
      <c r="D120" s="374">
        <f>IF(F119+SUM(E$99:E119)=D$92,F119,D$92-SUM(E$99:E119))</f>
        <v>29332797.569173168</v>
      </c>
      <c r="E120" s="522">
        <f>IF(+J96&lt;F119,J96,D120)</f>
        <v>1430484.9024390243</v>
      </c>
      <c r="F120" s="523">
        <f t="shared" si="36"/>
        <v>27902312.666734144</v>
      </c>
      <c r="G120" s="523">
        <f t="shared" si="37"/>
        <v>28617555.117953658</v>
      </c>
      <c r="H120" s="526">
        <f t="shared" si="38"/>
        <v>4678984.5323058525</v>
      </c>
      <c r="I120" s="577">
        <f t="shared" si="39"/>
        <v>4678984.5323058525</v>
      </c>
      <c r="J120" s="514">
        <f t="shared" si="24"/>
        <v>0</v>
      </c>
      <c r="K120" s="514"/>
      <c r="L120" s="525"/>
      <c r="M120" s="514">
        <f t="shared" si="26"/>
        <v>0</v>
      </c>
      <c r="N120" s="525"/>
      <c r="O120" s="514">
        <f t="shared" si="28"/>
        <v>0</v>
      </c>
      <c r="P120" s="514">
        <f t="shared" si="29"/>
        <v>0</v>
      </c>
    </row>
    <row r="121" spans="2:16">
      <c r="B121" s="195" t="str">
        <f t="shared" si="30"/>
        <v/>
      </c>
      <c r="C121" s="507">
        <f>IF(D93="","-",+C120+1)</f>
        <v>2038</v>
      </c>
      <c r="D121" s="374">
        <f>IF(F120+SUM(E$99:E120)=D$92,F120,D$92-SUM(E$99:E120))</f>
        <v>27902312.666734144</v>
      </c>
      <c r="E121" s="522">
        <f>IF(+J96&lt;F120,J96,D121)</f>
        <v>1430484.9024390243</v>
      </c>
      <c r="F121" s="523">
        <f t="shared" si="36"/>
        <v>26471827.76429512</v>
      </c>
      <c r="G121" s="523">
        <f t="shared" si="37"/>
        <v>27187070.21551463</v>
      </c>
      <c r="H121" s="526">
        <f t="shared" si="38"/>
        <v>4516604.1452689478</v>
      </c>
      <c r="I121" s="577">
        <f t="shared" si="39"/>
        <v>4516604.1452689478</v>
      </c>
      <c r="J121" s="514">
        <f t="shared" si="24"/>
        <v>0</v>
      </c>
      <c r="K121" s="514"/>
      <c r="L121" s="525"/>
      <c r="M121" s="514">
        <f t="shared" si="26"/>
        <v>0</v>
      </c>
      <c r="N121" s="525"/>
      <c r="O121" s="514">
        <f t="shared" si="28"/>
        <v>0</v>
      </c>
      <c r="P121" s="514">
        <f t="shared" si="29"/>
        <v>0</v>
      </c>
    </row>
    <row r="122" spans="2:16">
      <c r="B122" s="195" t="str">
        <f t="shared" si="30"/>
        <v/>
      </c>
      <c r="C122" s="507">
        <f>IF(D93="","-",+C121+1)</f>
        <v>2039</v>
      </c>
      <c r="D122" s="374">
        <f>IF(F121+SUM(E$99:E121)=D$92,F121,D$92-SUM(E$99:E121))</f>
        <v>26471827.76429512</v>
      </c>
      <c r="E122" s="522">
        <f>IF(+J96&lt;F121,J96,D122)</f>
        <v>1430484.9024390243</v>
      </c>
      <c r="F122" s="523">
        <f t="shared" si="36"/>
        <v>25041342.861856095</v>
      </c>
      <c r="G122" s="523">
        <f t="shared" si="37"/>
        <v>25756585.31307561</v>
      </c>
      <c r="H122" s="526">
        <f t="shared" si="38"/>
        <v>4354223.7582320441</v>
      </c>
      <c r="I122" s="577">
        <f t="shared" si="39"/>
        <v>4354223.7582320441</v>
      </c>
      <c r="J122" s="514">
        <f t="shared" si="24"/>
        <v>0</v>
      </c>
      <c r="K122" s="514"/>
      <c r="L122" s="525"/>
      <c r="M122" s="514">
        <f t="shared" si="26"/>
        <v>0</v>
      </c>
      <c r="N122" s="525"/>
      <c r="O122" s="514">
        <f t="shared" si="28"/>
        <v>0</v>
      </c>
      <c r="P122" s="514">
        <f t="shared" si="29"/>
        <v>0</v>
      </c>
    </row>
    <row r="123" spans="2:16">
      <c r="B123" s="195" t="str">
        <f t="shared" si="30"/>
        <v/>
      </c>
      <c r="C123" s="507">
        <f>IF(D93="","-",+C122+1)</f>
        <v>2040</v>
      </c>
      <c r="D123" s="374">
        <f>IF(F122+SUM(E$99:E122)=D$92,F122,D$92-SUM(E$99:E122))</f>
        <v>25041342.861856148</v>
      </c>
      <c r="E123" s="522">
        <f>IF(+J96&lt;F122,J96,D123)</f>
        <v>1430484.9024390243</v>
      </c>
      <c r="F123" s="523">
        <f t="shared" si="36"/>
        <v>23610857.959417123</v>
      </c>
      <c r="G123" s="523">
        <f t="shared" si="37"/>
        <v>24326100.410636634</v>
      </c>
      <c r="H123" s="526">
        <f t="shared" si="38"/>
        <v>4191843.3711951454</v>
      </c>
      <c r="I123" s="577">
        <f t="shared" si="39"/>
        <v>4191843.3711951454</v>
      </c>
      <c r="J123" s="514">
        <f t="shared" si="24"/>
        <v>0</v>
      </c>
      <c r="K123" s="514"/>
      <c r="L123" s="525"/>
      <c r="M123" s="514">
        <f t="shared" si="26"/>
        <v>0</v>
      </c>
      <c r="N123" s="525"/>
      <c r="O123" s="514">
        <f t="shared" si="28"/>
        <v>0</v>
      </c>
      <c r="P123" s="514">
        <f t="shared" si="29"/>
        <v>0</v>
      </c>
    </row>
    <row r="124" spans="2:16">
      <c r="B124" s="195" t="str">
        <f t="shared" si="30"/>
        <v/>
      </c>
      <c r="C124" s="507">
        <f>IF(D93="","-",+C123+1)</f>
        <v>2041</v>
      </c>
      <c r="D124" s="374">
        <f>IF(F123+SUM(E$99:E123)=D$92,F123,D$92-SUM(E$99:E123))</f>
        <v>23610857.959417123</v>
      </c>
      <c r="E124" s="522">
        <f>IF(+J96&lt;F123,J96,D124)</f>
        <v>1430484.9024390243</v>
      </c>
      <c r="F124" s="523">
        <f t="shared" si="36"/>
        <v>22180373.056978099</v>
      </c>
      <c r="G124" s="523">
        <f t="shared" si="37"/>
        <v>22895615.508197613</v>
      </c>
      <c r="H124" s="526">
        <f t="shared" si="38"/>
        <v>4029462.9841582412</v>
      </c>
      <c r="I124" s="577">
        <f t="shared" si="39"/>
        <v>4029462.9841582412</v>
      </c>
      <c r="J124" s="514">
        <f t="shared" si="24"/>
        <v>0</v>
      </c>
      <c r="K124" s="514"/>
      <c r="L124" s="525"/>
      <c r="M124" s="514">
        <f t="shared" si="26"/>
        <v>0</v>
      </c>
      <c r="N124" s="525"/>
      <c r="O124" s="514">
        <f t="shared" si="28"/>
        <v>0</v>
      </c>
      <c r="P124" s="514">
        <f t="shared" si="29"/>
        <v>0</v>
      </c>
    </row>
    <row r="125" spans="2:16">
      <c r="B125" s="195" t="str">
        <f t="shared" si="30"/>
        <v/>
      </c>
      <c r="C125" s="507">
        <f>IF(D93="","-",+C124+1)</f>
        <v>2042</v>
      </c>
      <c r="D125" s="374">
        <f>IF(F124+SUM(E$99:E124)=D$92,F124,D$92-SUM(E$99:E124))</f>
        <v>22180373.056978099</v>
      </c>
      <c r="E125" s="522">
        <f>IF(+J96&lt;F124,J96,D125)</f>
        <v>1430484.9024390243</v>
      </c>
      <c r="F125" s="523">
        <f t="shared" si="36"/>
        <v>20749888.154539075</v>
      </c>
      <c r="G125" s="523">
        <f t="shared" si="37"/>
        <v>21465130.605758585</v>
      </c>
      <c r="H125" s="526">
        <f t="shared" si="38"/>
        <v>3867082.5971213365</v>
      </c>
      <c r="I125" s="577">
        <f t="shared" si="39"/>
        <v>3867082.5971213365</v>
      </c>
      <c r="J125" s="514">
        <f t="shared" si="24"/>
        <v>0</v>
      </c>
      <c r="K125" s="514"/>
      <c r="L125" s="525"/>
      <c r="M125" s="514">
        <f t="shared" si="26"/>
        <v>0</v>
      </c>
      <c r="N125" s="525"/>
      <c r="O125" s="514">
        <f t="shared" si="28"/>
        <v>0</v>
      </c>
      <c r="P125" s="514">
        <f t="shared" si="29"/>
        <v>0</v>
      </c>
    </row>
    <row r="126" spans="2:16">
      <c r="B126" s="195" t="str">
        <f t="shared" si="30"/>
        <v/>
      </c>
      <c r="C126" s="507">
        <f>IF(D93="","-",+C125+1)</f>
        <v>2043</v>
      </c>
      <c r="D126" s="374">
        <f>IF(F125+SUM(E$99:E125)=D$92,F125,D$92-SUM(E$99:E125))</f>
        <v>20749888.154539075</v>
      </c>
      <c r="E126" s="522">
        <f>IF(+J96&lt;F125,J96,D126)</f>
        <v>1430484.9024390243</v>
      </c>
      <c r="F126" s="523">
        <f t="shared" si="36"/>
        <v>19319403.25210005</v>
      </c>
      <c r="G126" s="523">
        <f t="shared" si="37"/>
        <v>20034645.703319564</v>
      </c>
      <c r="H126" s="526">
        <f t="shared" si="38"/>
        <v>3704702.2100844327</v>
      </c>
      <c r="I126" s="577">
        <f t="shared" si="39"/>
        <v>3704702.2100844327</v>
      </c>
      <c r="J126" s="514">
        <f t="shared" si="24"/>
        <v>0</v>
      </c>
      <c r="K126" s="514"/>
      <c r="L126" s="525"/>
      <c r="M126" s="514">
        <f t="shared" si="26"/>
        <v>0</v>
      </c>
      <c r="N126" s="525"/>
      <c r="O126" s="514">
        <f t="shared" si="28"/>
        <v>0</v>
      </c>
      <c r="P126" s="514">
        <f t="shared" si="29"/>
        <v>0</v>
      </c>
    </row>
    <row r="127" spans="2:16">
      <c r="B127" s="195" t="str">
        <f t="shared" si="30"/>
        <v/>
      </c>
      <c r="C127" s="507">
        <f>IF(D93="","-",+C126+1)</f>
        <v>2044</v>
      </c>
      <c r="D127" s="374">
        <f>IF(F126+SUM(E$99:E126)=D$92,F126,D$92-SUM(E$99:E126))</f>
        <v>19319403.25210005</v>
      </c>
      <c r="E127" s="522">
        <f>IF(+J96&lt;F126,J96,D127)</f>
        <v>1430484.9024390243</v>
      </c>
      <c r="F127" s="523">
        <f t="shared" si="36"/>
        <v>17888918.349661026</v>
      </c>
      <c r="G127" s="523">
        <f t="shared" si="37"/>
        <v>18604160.800880536</v>
      </c>
      <c r="H127" s="526">
        <f t="shared" si="38"/>
        <v>3542321.823047528</v>
      </c>
      <c r="I127" s="577">
        <f t="shared" si="39"/>
        <v>3542321.823047528</v>
      </c>
      <c r="J127" s="514">
        <f t="shared" si="24"/>
        <v>0</v>
      </c>
      <c r="K127" s="514"/>
      <c r="L127" s="525"/>
      <c r="M127" s="514">
        <f t="shared" si="26"/>
        <v>0</v>
      </c>
      <c r="N127" s="525"/>
      <c r="O127" s="514">
        <f t="shared" si="28"/>
        <v>0</v>
      </c>
      <c r="P127" s="514">
        <f t="shared" si="29"/>
        <v>0</v>
      </c>
    </row>
    <row r="128" spans="2:16">
      <c r="B128" s="195" t="str">
        <f t="shared" si="30"/>
        <v/>
      </c>
      <c r="C128" s="507">
        <f>IF(D93="","-",+C127+1)</f>
        <v>2045</v>
      </c>
      <c r="D128" s="374">
        <f>IF(F127+SUM(E$99:E127)=D$92,F127,D$92-SUM(E$99:E127))</f>
        <v>17888918.349661026</v>
      </c>
      <c r="E128" s="522">
        <f>IF(+J96&lt;F127,J96,D128)</f>
        <v>1430484.9024390243</v>
      </c>
      <c r="F128" s="523">
        <f t="shared" si="36"/>
        <v>16458433.447222002</v>
      </c>
      <c r="G128" s="523">
        <f t="shared" si="37"/>
        <v>17173675.898441516</v>
      </c>
      <c r="H128" s="526">
        <f t="shared" si="38"/>
        <v>3379941.4360106243</v>
      </c>
      <c r="I128" s="577">
        <f t="shared" si="39"/>
        <v>3379941.4360106243</v>
      </c>
      <c r="J128" s="514">
        <f t="shared" si="24"/>
        <v>0</v>
      </c>
      <c r="K128" s="514"/>
      <c r="L128" s="525"/>
      <c r="M128" s="514">
        <f t="shared" si="26"/>
        <v>0</v>
      </c>
      <c r="N128" s="525"/>
      <c r="O128" s="514">
        <f t="shared" si="28"/>
        <v>0</v>
      </c>
      <c r="P128" s="514">
        <f t="shared" si="29"/>
        <v>0</v>
      </c>
    </row>
    <row r="129" spans="2:16">
      <c r="B129" s="195" t="str">
        <f t="shared" si="30"/>
        <v/>
      </c>
      <c r="C129" s="507">
        <f>IF(D93="","-",+C128+1)</f>
        <v>2046</v>
      </c>
      <c r="D129" s="374">
        <f>IF(F128+SUM(E$99:E128)=D$92,F128,D$92-SUM(E$99:E128))</f>
        <v>16458433.447222002</v>
      </c>
      <c r="E129" s="522">
        <f>IF(+J96&lt;F128,J96,D129)</f>
        <v>1430484.9024390243</v>
      </c>
      <c r="F129" s="523">
        <f t="shared" si="36"/>
        <v>15027948.544782978</v>
      </c>
      <c r="G129" s="523">
        <f t="shared" si="37"/>
        <v>15743190.99600249</v>
      </c>
      <c r="H129" s="526">
        <f t="shared" si="38"/>
        <v>3217561.0489737196</v>
      </c>
      <c r="I129" s="577">
        <f t="shared" si="39"/>
        <v>3217561.0489737196</v>
      </c>
      <c r="J129" s="514">
        <f t="shared" si="24"/>
        <v>0</v>
      </c>
      <c r="K129" s="514"/>
      <c r="L129" s="525"/>
      <c r="M129" s="514">
        <f t="shared" si="26"/>
        <v>0</v>
      </c>
      <c r="N129" s="525"/>
      <c r="O129" s="514">
        <f t="shared" si="28"/>
        <v>0</v>
      </c>
      <c r="P129" s="514">
        <f t="shared" si="29"/>
        <v>0</v>
      </c>
    </row>
    <row r="130" spans="2:16">
      <c r="B130" s="195" t="str">
        <f t="shared" si="30"/>
        <v/>
      </c>
      <c r="C130" s="507">
        <f>IF(D93="","-",+C129+1)</f>
        <v>2047</v>
      </c>
      <c r="D130" s="374">
        <f>IF(F129+SUM(E$99:E129)=D$92,F129,D$92-SUM(E$99:E129))</f>
        <v>15027948.544782978</v>
      </c>
      <c r="E130" s="522">
        <f>IF(+J96&lt;F129,J96,D130)</f>
        <v>1430484.9024390243</v>
      </c>
      <c r="F130" s="523">
        <f t="shared" si="36"/>
        <v>13597463.642343953</v>
      </c>
      <c r="G130" s="523">
        <f t="shared" si="37"/>
        <v>14312706.093563465</v>
      </c>
      <c r="H130" s="526">
        <f t="shared" si="38"/>
        <v>3055180.6619368154</v>
      </c>
      <c r="I130" s="577">
        <f t="shared" si="39"/>
        <v>3055180.6619368154</v>
      </c>
      <c r="J130" s="514">
        <f t="shared" si="24"/>
        <v>0</v>
      </c>
      <c r="K130" s="514"/>
      <c r="L130" s="525"/>
      <c r="M130" s="514">
        <f t="shared" si="26"/>
        <v>0</v>
      </c>
      <c r="N130" s="525"/>
      <c r="O130" s="514">
        <f t="shared" si="28"/>
        <v>0</v>
      </c>
      <c r="P130" s="514">
        <f t="shared" si="29"/>
        <v>0</v>
      </c>
    </row>
    <row r="131" spans="2:16">
      <c r="B131" s="195" t="str">
        <f t="shared" si="30"/>
        <v/>
      </c>
      <c r="C131" s="507">
        <f>IF(D93="","-",+C130+1)</f>
        <v>2048</v>
      </c>
      <c r="D131" s="374">
        <f>IF(F130+SUM(E$99:E130)=D$92,F130,D$92-SUM(E$99:E130))</f>
        <v>13597463.642343953</v>
      </c>
      <c r="E131" s="522">
        <f>IF(+J96&lt;F130,J96,D131)</f>
        <v>1430484.9024390243</v>
      </c>
      <c r="F131" s="523">
        <f t="shared" ref="F131:F154" si="40">+D131-E131</f>
        <v>12166978.739904929</v>
      </c>
      <c r="G131" s="523">
        <f t="shared" ref="G131:G154" si="41">+(F131+D131)/2</f>
        <v>12882221.191124441</v>
      </c>
      <c r="H131" s="526">
        <f t="shared" si="38"/>
        <v>2892800.2748999111</v>
      </c>
      <c r="I131" s="577">
        <f t="shared" si="39"/>
        <v>2892800.2748999111</v>
      </c>
      <c r="J131" s="514">
        <f t="shared" ref="J131:J154" si="42">+I541-H541</f>
        <v>0</v>
      </c>
      <c r="K131" s="514"/>
      <c r="L131" s="525"/>
      <c r="M131" s="514">
        <f t="shared" ref="M131:M154" si="43">IF(L541&lt;&gt;0,+H541-L541,0)</f>
        <v>0</v>
      </c>
      <c r="N131" s="525"/>
      <c r="O131" s="514">
        <f t="shared" ref="O131:O154" si="44">IF(N541&lt;&gt;0,+I541-N541,0)</f>
        <v>0</v>
      </c>
      <c r="P131" s="514">
        <f t="shared" ref="P131:P154" si="45">+O541-M541</f>
        <v>0</v>
      </c>
    </row>
    <row r="132" spans="2:16">
      <c r="B132" s="195" t="str">
        <f t="shared" si="30"/>
        <v/>
      </c>
      <c r="C132" s="507">
        <f>IF(D93="","-",+C131+1)</f>
        <v>2049</v>
      </c>
      <c r="D132" s="374">
        <f>IF(F131+SUM(E$99:E131)=D$92,F131,D$92-SUM(E$99:E131))</f>
        <v>12166978.739904929</v>
      </c>
      <c r="E132" s="522">
        <f>IF(+J96&lt;F131,J96,D132)</f>
        <v>1430484.9024390243</v>
      </c>
      <c r="F132" s="523">
        <f t="shared" si="40"/>
        <v>10736493.837465905</v>
      </c>
      <c r="G132" s="523">
        <f t="shared" si="41"/>
        <v>11451736.288685417</v>
      </c>
      <c r="H132" s="526">
        <f t="shared" si="38"/>
        <v>2730419.8878630064</v>
      </c>
      <c r="I132" s="577">
        <f t="shared" si="39"/>
        <v>2730419.8878630064</v>
      </c>
      <c r="J132" s="514">
        <f t="shared" si="42"/>
        <v>0</v>
      </c>
      <c r="K132" s="514"/>
      <c r="L132" s="525"/>
      <c r="M132" s="514">
        <f t="shared" si="43"/>
        <v>0</v>
      </c>
      <c r="N132" s="525"/>
      <c r="O132" s="514">
        <f t="shared" si="44"/>
        <v>0</v>
      </c>
      <c r="P132" s="514">
        <f t="shared" si="45"/>
        <v>0</v>
      </c>
    </row>
    <row r="133" spans="2:16">
      <c r="B133" s="195" t="str">
        <f t="shared" si="30"/>
        <v/>
      </c>
      <c r="C133" s="507">
        <f>IF(D93="","-",+C132+1)</f>
        <v>2050</v>
      </c>
      <c r="D133" s="374">
        <f>IF(F132+SUM(E$99:E132)=D$92,F132,D$92-SUM(E$99:E132))</f>
        <v>10736493.837465905</v>
      </c>
      <c r="E133" s="522">
        <f>IF(+J96&lt;F132,J96,D133)</f>
        <v>1430484.9024390243</v>
      </c>
      <c r="F133" s="523">
        <f t="shared" si="40"/>
        <v>9306008.9350268804</v>
      </c>
      <c r="G133" s="523">
        <f t="shared" si="41"/>
        <v>10021251.386246393</v>
      </c>
      <c r="H133" s="526">
        <f t="shared" si="38"/>
        <v>2568039.5008261027</v>
      </c>
      <c r="I133" s="577">
        <f t="shared" si="39"/>
        <v>2568039.5008261027</v>
      </c>
      <c r="J133" s="514">
        <f t="shared" si="42"/>
        <v>0</v>
      </c>
      <c r="K133" s="514"/>
      <c r="L133" s="525"/>
      <c r="M133" s="514">
        <f t="shared" si="43"/>
        <v>0</v>
      </c>
      <c r="N133" s="525"/>
      <c r="O133" s="514">
        <f t="shared" si="44"/>
        <v>0</v>
      </c>
      <c r="P133" s="514">
        <f t="shared" si="45"/>
        <v>0</v>
      </c>
    </row>
    <row r="134" spans="2:16">
      <c r="B134" s="195" t="str">
        <f t="shared" si="30"/>
        <v/>
      </c>
      <c r="C134" s="507">
        <f>IF(D93="","-",+C133+1)</f>
        <v>2051</v>
      </c>
      <c r="D134" s="374">
        <f>IF(F133+SUM(E$99:E133)=D$92,F133,D$92-SUM(E$99:E133))</f>
        <v>9306008.9350268804</v>
      </c>
      <c r="E134" s="522">
        <f>IF(+J96&lt;F133,J96,D134)</f>
        <v>1430484.9024390243</v>
      </c>
      <c r="F134" s="523">
        <f t="shared" si="40"/>
        <v>7875524.0325878561</v>
      </c>
      <c r="G134" s="523">
        <f t="shared" si="41"/>
        <v>8590766.4838073682</v>
      </c>
      <c r="H134" s="526">
        <f t="shared" si="38"/>
        <v>2405659.113789198</v>
      </c>
      <c r="I134" s="577">
        <f t="shared" si="39"/>
        <v>2405659.113789198</v>
      </c>
      <c r="J134" s="514">
        <f t="shared" si="42"/>
        <v>0</v>
      </c>
      <c r="K134" s="514"/>
      <c r="L134" s="525"/>
      <c r="M134" s="514">
        <f t="shared" si="43"/>
        <v>0</v>
      </c>
      <c r="N134" s="525"/>
      <c r="O134" s="514">
        <f t="shared" si="44"/>
        <v>0</v>
      </c>
      <c r="P134" s="514">
        <f t="shared" si="45"/>
        <v>0</v>
      </c>
    </row>
    <row r="135" spans="2:16">
      <c r="B135" s="195" t="str">
        <f t="shared" si="30"/>
        <v/>
      </c>
      <c r="C135" s="507">
        <f>IF(D93="","-",+C134+1)</f>
        <v>2052</v>
      </c>
      <c r="D135" s="374">
        <f>IF(F134+SUM(E$99:E134)=D$92,F134,D$92-SUM(E$99:E134))</f>
        <v>7875524.0325878561</v>
      </c>
      <c r="E135" s="522">
        <f>IF(+J96&lt;F134,J96,D135)</f>
        <v>1430484.9024390243</v>
      </c>
      <c r="F135" s="523">
        <f t="shared" si="40"/>
        <v>6445039.1301488318</v>
      </c>
      <c r="G135" s="523">
        <f t="shared" si="41"/>
        <v>7160281.5813683439</v>
      </c>
      <c r="H135" s="526">
        <f t="shared" si="38"/>
        <v>2243278.7267522938</v>
      </c>
      <c r="I135" s="577">
        <f t="shared" si="39"/>
        <v>2243278.7267522938</v>
      </c>
      <c r="J135" s="514">
        <f t="shared" si="42"/>
        <v>0</v>
      </c>
      <c r="K135" s="514"/>
      <c r="L135" s="525"/>
      <c r="M135" s="514">
        <f t="shared" si="43"/>
        <v>0</v>
      </c>
      <c r="N135" s="525"/>
      <c r="O135" s="514">
        <f t="shared" si="44"/>
        <v>0</v>
      </c>
      <c r="P135" s="514">
        <f t="shared" si="45"/>
        <v>0</v>
      </c>
    </row>
    <row r="136" spans="2:16">
      <c r="B136" s="195" t="str">
        <f t="shared" si="30"/>
        <v/>
      </c>
      <c r="C136" s="507">
        <f>IF(D93="","-",+C135+1)</f>
        <v>2053</v>
      </c>
      <c r="D136" s="374">
        <f>IF(F135+SUM(E$99:E135)=D$92,F135,D$92-SUM(E$99:E135))</f>
        <v>6445039.1301488318</v>
      </c>
      <c r="E136" s="522">
        <f>IF(+J96&lt;F135,J96,D136)</f>
        <v>1430484.9024390243</v>
      </c>
      <c r="F136" s="523">
        <f t="shared" si="40"/>
        <v>5014554.2277098075</v>
      </c>
      <c r="G136" s="523">
        <f t="shared" si="41"/>
        <v>5729796.6789293196</v>
      </c>
      <c r="H136" s="526">
        <f t="shared" si="38"/>
        <v>2080898.3397153895</v>
      </c>
      <c r="I136" s="577">
        <f t="shared" si="39"/>
        <v>2080898.3397153895</v>
      </c>
      <c r="J136" s="514">
        <f t="shared" si="42"/>
        <v>0</v>
      </c>
      <c r="K136" s="514"/>
      <c r="L136" s="525"/>
      <c r="M136" s="514">
        <f t="shared" si="43"/>
        <v>0</v>
      </c>
      <c r="N136" s="525"/>
      <c r="O136" s="514">
        <f t="shared" si="44"/>
        <v>0</v>
      </c>
      <c r="P136" s="514">
        <f t="shared" si="45"/>
        <v>0</v>
      </c>
    </row>
    <row r="137" spans="2:16">
      <c r="B137" s="195" t="str">
        <f t="shared" si="30"/>
        <v>IU</v>
      </c>
      <c r="C137" s="507">
        <f>IF(D93="","-",+C136+1)</f>
        <v>2054</v>
      </c>
      <c r="D137" s="374">
        <f>IF(F136+SUM(E$99:E136)=D$92,F136,D$92-SUM(E$99:E136))</f>
        <v>5014554.2277097553</v>
      </c>
      <c r="E137" s="522">
        <f>IF(+J96&lt;F136,J96,D137)</f>
        <v>1430484.9024390243</v>
      </c>
      <c r="F137" s="523">
        <f t="shared" si="40"/>
        <v>3584069.325270731</v>
      </c>
      <c r="G137" s="523">
        <f t="shared" si="41"/>
        <v>4299311.7764902432</v>
      </c>
      <c r="H137" s="526">
        <f t="shared" si="38"/>
        <v>1918517.9526784793</v>
      </c>
      <c r="I137" s="577">
        <f t="shared" si="39"/>
        <v>1918517.9526784793</v>
      </c>
      <c r="J137" s="514">
        <f t="shared" si="42"/>
        <v>0</v>
      </c>
      <c r="K137" s="514"/>
      <c r="L137" s="525"/>
      <c r="M137" s="514">
        <f t="shared" si="43"/>
        <v>0</v>
      </c>
      <c r="N137" s="525"/>
      <c r="O137" s="514">
        <f t="shared" si="44"/>
        <v>0</v>
      </c>
      <c r="P137" s="514">
        <f t="shared" si="45"/>
        <v>0</v>
      </c>
    </row>
    <row r="138" spans="2:16">
      <c r="B138" s="195" t="str">
        <f t="shared" si="30"/>
        <v/>
      </c>
      <c r="C138" s="507">
        <f>IF(D93="","-",+C137+1)</f>
        <v>2055</v>
      </c>
      <c r="D138" s="374">
        <f>IF(F137+SUM(E$99:E137)=D$92,F137,D$92-SUM(E$99:E137))</f>
        <v>3584069.325270731</v>
      </c>
      <c r="E138" s="522">
        <f>IF(+J96&lt;F137,J96,D138)</f>
        <v>1430484.9024390243</v>
      </c>
      <c r="F138" s="523">
        <f t="shared" si="40"/>
        <v>2153584.4228317067</v>
      </c>
      <c r="G138" s="523">
        <f t="shared" si="41"/>
        <v>2868826.8740512189</v>
      </c>
      <c r="H138" s="526">
        <f t="shared" si="38"/>
        <v>1756137.565641575</v>
      </c>
      <c r="I138" s="577">
        <f t="shared" si="39"/>
        <v>1756137.565641575</v>
      </c>
      <c r="J138" s="514">
        <f t="shared" si="42"/>
        <v>0</v>
      </c>
      <c r="K138" s="514"/>
      <c r="L138" s="525"/>
      <c r="M138" s="514">
        <f t="shared" si="43"/>
        <v>0</v>
      </c>
      <c r="N138" s="525"/>
      <c r="O138" s="514">
        <f t="shared" si="44"/>
        <v>0</v>
      </c>
      <c r="P138" s="514">
        <f t="shared" si="45"/>
        <v>0</v>
      </c>
    </row>
    <row r="139" spans="2:16">
      <c r="B139" s="195" t="str">
        <f t="shared" si="30"/>
        <v/>
      </c>
      <c r="C139" s="507">
        <f>IF(D93="","-",+C138+1)</f>
        <v>2056</v>
      </c>
      <c r="D139" s="374">
        <f>IF(F138+SUM(E$99:E138)=D$92,F138,D$92-SUM(E$99:E138))</f>
        <v>2153584.4228317067</v>
      </c>
      <c r="E139" s="522">
        <f>IF(+J96&lt;F138,J96,D139)</f>
        <v>1430484.9024390243</v>
      </c>
      <c r="F139" s="523">
        <f t="shared" si="40"/>
        <v>723099.5203926824</v>
      </c>
      <c r="G139" s="523">
        <f t="shared" si="41"/>
        <v>1438341.9716121946</v>
      </c>
      <c r="H139" s="526">
        <f t="shared" si="38"/>
        <v>1593757.1786046708</v>
      </c>
      <c r="I139" s="577">
        <f t="shared" si="39"/>
        <v>1593757.1786046708</v>
      </c>
      <c r="J139" s="514">
        <f t="shared" si="42"/>
        <v>0</v>
      </c>
      <c r="K139" s="514"/>
      <c r="L139" s="525"/>
      <c r="M139" s="514">
        <f t="shared" si="43"/>
        <v>0</v>
      </c>
      <c r="N139" s="525"/>
      <c r="O139" s="514">
        <f t="shared" si="44"/>
        <v>0</v>
      </c>
      <c r="P139" s="514">
        <f t="shared" si="45"/>
        <v>0</v>
      </c>
    </row>
    <row r="140" spans="2:16">
      <c r="B140" s="195" t="str">
        <f t="shared" si="30"/>
        <v/>
      </c>
      <c r="C140" s="507">
        <f>IF(D93="","-",+C139+1)</f>
        <v>2057</v>
      </c>
      <c r="D140" s="374">
        <f>IF(F139+SUM(E$99:E139)=D$92,F139,D$92-SUM(E$99:E139))</f>
        <v>723099.5203926824</v>
      </c>
      <c r="E140" s="522">
        <f>IF(+J96&lt;F139,J96,D140)</f>
        <v>723099.5203926824</v>
      </c>
      <c r="F140" s="523">
        <f t="shared" si="40"/>
        <v>0</v>
      </c>
      <c r="G140" s="523">
        <f t="shared" si="41"/>
        <v>361549.7601963412</v>
      </c>
      <c r="H140" s="526">
        <f t="shared" si="38"/>
        <v>764140.5617162796</v>
      </c>
      <c r="I140" s="577">
        <f t="shared" si="39"/>
        <v>764140.5617162796</v>
      </c>
      <c r="J140" s="514">
        <f t="shared" si="42"/>
        <v>0</v>
      </c>
      <c r="K140" s="514"/>
      <c r="L140" s="525"/>
      <c r="M140" s="514">
        <f t="shared" si="43"/>
        <v>0</v>
      </c>
      <c r="N140" s="525"/>
      <c r="O140" s="514">
        <f t="shared" si="44"/>
        <v>0</v>
      </c>
      <c r="P140" s="514">
        <f t="shared" si="45"/>
        <v>0</v>
      </c>
    </row>
    <row r="141" spans="2:16">
      <c r="B141" s="195" t="str">
        <f t="shared" si="30"/>
        <v/>
      </c>
      <c r="C141" s="507">
        <f>IF(D93="","-",+C140+1)</f>
        <v>2058</v>
      </c>
      <c r="D141" s="374">
        <f>IF(F140+SUM(E$99:E140)=D$92,F140,D$92-SUM(E$99:E140))</f>
        <v>0</v>
      </c>
      <c r="E141" s="522">
        <f>IF(+J96&lt;F140,J96,D141)</f>
        <v>0</v>
      </c>
      <c r="F141" s="523">
        <f t="shared" si="40"/>
        <v>0</v>
      </c>
      <c r="G141" s="523">
        <f t="shared" si="41"/>
        <v>0</v>
      </c>
      <c r="H141" s="526">
        <f t="shared" si="38"/>
        <v>0</v>
      </c>
      <c r="I141" s="577">
        <f t="shared" si="39"/>
        <v>0</v>
      </c>
      <c r="J141" s="514">
        <f t="shared" si="42"/>
        <v>0</v>
      </c>
      <c r="K141" s="514"/>
      <c r="L141" s="525"/>
      <c r="M141" s="514">
        <f t="shared" si="43"/>
        <v>0</v>
      </c>
      <c r="N141" s="525"/>
      <c r="O141" s="514">
        <f t="shared" si="44"/>
        <v>0</v>
      </c>
      <c r="P141" s="514">
        <f t="shared" si="45"/>
        <v>0</v>
      </c>
    </row>
    <row r="142" spans="2:16">
      <c r="B142" s="195" t="str">
        <f t="shared" si="30"/>
        <v/>
      </c>
      <c r="C142" s="507">
        <f>IF(D93="","-",+C141+1)</f>
        <v>2059</v>
      </c>
      <c r="D142" s="374">
        <f>IF(F141+SUM(E$99:E141)=D$92,F141,D$92-SUM(E$99:E141))</f>
        <v>0</v>
      </c>
      <c r="E142" s="522">
        <f>IF(+J96&lt;F141,J96,D142)</f>
        <v>0</v>
      </c>
      <c r="F142" s="523">
        <f t="shared" si="40"/>
        <v>0</v>
      </c>
      <c r="G142" s="523">
        <f t="shared" si="41"/>
        <v>0</v>
      </c>
      <c r="H142" s="526">
        <f t="shared" si="38"/>
        <v>0</v>
      </c>
      <c r="I142" s="577">
        <f t="shared" si="39"/>
        <v>0</v>
      </c>
      <c r="J142" s="514">
        <f t="shared" si="42"/>
        <v>0</v>
      </c>
      <c r="K142" s="514"/>
      <c r="L142" s="525"/>
      <c r="M142" s="514">
        <f t="shared" si="43"/>
        <v>0</v>
      </c>
      <c r="N142" s="525"/>
      <c r="O142" s="514">
        <f t="shared" si="44"/>
        <v>0</v>
      </c>
      <c r="P142" s="514">
        <f t="shared" si="45"/>
        <v>0</v>
      </c>
    </row>
    <row r="143" spans="2:16">
      <c r="B143" s="195" t="str">
        <f t="shared" si="30"/>
        <v/>
      </c>
      <c r="C143" s="507">
        <f>IF(D93="","-",+C142+1)</f>
        <v>2060</v>
      </c>
      <c r="D143" s="374">
        <f>IF(F142+SUM(E$99:E142)=D$92,F142,D$92-SUM(E$99:E142))</f>
        <v>0</v>
      </c>
      <c r="E143" s="522">
        <f>IF(+J96&lt;F142,J96,D143)</f>
        <v>0</v>
      </c>
      <c r="F143" s="523">
        <f t="shared" si="40"/>
        <v>0</v>
      </c>
      <c r="G143" s="523">
        <f t="shared" si="41"/>
        <v>0</v>
      </c>
      <c r="H143" s="526">
        <f t="shared" si="38"/>
        <v>0</v>
      </c>
      <c r="I143" s="577">
        <f t="shared" si="39"/>
        <v>0</v>
      </c>
      <c r="J143" s="514">
        <f t="shared" si="42"/>
        <v>0</v>
      </c>
      <c r="K143" s="514"/>
      <c r="L143" s="525"/>
      <c r="M143" s="514">
        <f t="shared" si="43"/>
        <v>0</v>
      </c>
      <c r="N143" s="525"/>
      <c r="O143" s="514">
        <f t="shared" si="44"/>
        <v>0</v>
      </c>
      <c r="P143" s="514">
        <f t="shared" si="45"/>
        <v>0</v>
      </c>
    </row>
    <row r="144" spans="2:16">
      <c r="B144" s="195" t="str">
        <f t="shared" si="30"/>
        <v/>
      </c>
      <c r="C144" s="507">
        <f>IF(D93="","-",+C143+1)</f>
        <v>2061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40"/>
        <v>0</v>
      </c>
      <c r="G144" s="523">
        <f t="shared" si="41"/>
        <v>0</v>
      </c>
      <c r="H144" s="526">
        <f t="shared" si="38"/>
        <v>0</v>
      </c>
      <c r="I144" s="577">
        <f t="shared" si="39"/>
        <v>0</v>
      </c>
      <c r="J144" s="514">
        <f t="shared" si="42"/>
        <v>0</v>
      </c>
      <c r="K144" s="514"/>
      <c r="L144" s="525"/>
      <c r="M144" s="514">
        <f t="shared" si="43"/>
        <v>0</v>
      </c>
      <c r="N144" s="525"/>
      <c r="O144" s="514">
        <f t="shared" si="44"/>
        <v>0</v>
      </c>
      <c r="P144" s="514">
        <f t="shared" si="45"/>
        <v>0</v>
      </c>
    </row>
    <row r="145" spans="2:16">
      <c r="B145" s="195" t="str">
        <f t="shared" si="30"/>
        <v/>
      </c>
      <c r="C145" s="507">
        <f>IF(D93="","-",+C144+1)</f>
        <v>2062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40"/>
        <v>0</v>
      </c>
      <c r="G145" s="523">
        <f t="shared" si="41"/>
        <v>0</v>
      </c>
      <c r="H145" s="526">
        <f t="shared" si="38"/>
        <v>0</v>
      </c>
      <c r="I145" s="577">
        <f t="shared" si="39"/>
        <v>0</v>
      </c>
      <c r="J145" s="514">
        <f t="shared" si="42"/>
        <v>0</v>
      </c>
      <c r="K145" s="514"/>
      <c r="L145" s="525"/>
      <c r="M145" s="514">
        <f t="shared" si="43"/>
        <v>0</v>
      </c>
      <c r="N145" s="525"/>
      <c r="O145" s="514">
        <f t="shared" si="44"/>
        <v>0</v>
      </c>
      <c r="P145" s="514">
        <f t="shared" si="45"/>
        <v>0</v>
      </c>
    </row>
    <row r="146" spans="2:16">
      <c r="B146" s="195" t="str">
        <f t="shared" si="30"/>
        <v/>
      </c>
      <c r="C146" s="507">
        <f>IF(D93="","-",+C145+1)</f>
        <v>2063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40"/>
        <v>0</v>
      </c>
      <c r="G146" s="523">
        <f t="shared" si="41"/>
        <v>0</v>
      </c>
      <c r="H146" s="526">
        <f t="shared" si="38"/>
        <v>0</v>
      </c>
      <c r="I146" s="577">
        <f t="shared" si="39"/>
        <v>0</v>
      </c>
      <c r="J146" s="514">
        <f t="shared" si="42"/>
        <v>0</v>
      </c>
      <c r="K146" s="514"/>
      <c r="L146" s="525"/>
      <c r="M146" s="514">
        <f t="shared" si="43"/>
        <v>0</v>
      </c>
      <c r="N146" s="525"/>
      <c r="O146" s="514">
        <f t="shared" si="44"/>
        <v>0</v>
      </c>
      <c r="P146" s="514">
        <f t="shared" si="45"/>
        <v>0</v>
      </c>
    </row>
    <row r="147" spans="2:16">
      <c r="B147" s="195" t="str">
        <f t="shared" si="30"/>
        <v/>
      </c>
      <c r="C147" s="507">
        <f>IF(D93="","-",+C146+1)</f>
        <v>2064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40"/>
        <v>0</v>
      </c>
      <c r="G147" s="523">
        <f t="shared" si="41"/>
        <v>0</v>
      </c>
      <c r="H147" s="526">
        <f t="shared" si="38"/>
        <v>0</v>
      </c>
      <c r="I147" s="577">
        <f t="shared" si="39"/>
        <v>0</v>
      </c>
      <c r="J147" s="514">
        <f t="shared" si="42"/>
        <v>0</v>
      </c>
      <c r="K147" s="514"/>
      <c r="L147" s="525"/>
      <c r="M147" s="514">
        <f t="shared" si="43"/>
        <v>0</v>
      </c>
      <c r="N147" s="525"/>
      <c r="O147" s="514">
        <f t="shared" si="44"/>
        <v>0</v>
      </c>
      <c r="P147" s="514">
        <f t="shared" si="45"/>
        <v>0</v>
      </c>
    </row>
    <row r="148" spans="2:16">
      <c r="B148" s="195" t="str">
        <f t="shared" si="30"/>
        <v/>
      </c>
      <c r="C148" s="507">
        <f>IF(D93="","-",+C147+1)</f>
        <v>2065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40"/>
        <v>0</v>
      </c>
      <c r="G148" s="523">
        <f t="shared" si="41"/>
        <v>0</v>
      </c>
      <c r="H148" s="526">
        <f t="shared" si="38"/>
        <v>0</v>
      </c>
      <c r="I148" s="577">
        <f t="shared" si="39"/>
        <v>0</v>
      </c>
      <c r="J148" s="514">
        <f t="shared" si="42"/>
        <v>0</v>
      </c>
      <c r="K148" s="514"/>
      <c r="L148" s="525"/>
      <c r="M148" s="514">
        <f t="shared" si="43"/>
        <v>0</v>
      </c>
      <c r="N148" s="525"/>
      <c r="O148" s="514">
        <f t="shared" si="44"/>
        <v>0</v>
      </c>
      <c r="P148" s="514">
        <f t="shared" si="45"/>
        <v>0</v>
      </c>
    </row>
    <row r="149" spans="2:16">
      <c r="B149" s="195" t="str">
        <f t="shared" si="30"/>
        <v/>
      </c>
      <c r="C149" s="507">
        <f>IF(D93="","-",+C148+1)</f>
        <v>2066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40"/>
        <v>0</v>
      </c>
      <c r="G149" s="523">
        <f t="shared" si="41"/>
        <v>0</v>
      </c>
      <c r="H149" s="526">
        <f t="shared" si="38"/>
        <v>0</v>
      </c>
      <c r="I149" s="577">
        <f t="shared" si="39"/>
        <v>0</v>
      </c>
      <c r="J149" s="514">
        <f t="shared" si="42"/>
        <v>0</v>
      </c>
      <c r="K149" s="514"/>
      <c r="L149" s="525"/>
      <c r="M149" s="514">
        <f t="shared" si="43"/>
        <v>0</v>
      </c>
      <c r="N149" s="525"/>
      <c r="O149" s="514">
        <f t="shared" si="44"/>
        <v>0</v>
      </c>
      <c r="P149" s="514">
        <f t="shared" si="45"/>
        <v>0</v>
      </c>
    </row>
    <row r="150" spans="2:16">
      <c r="B150" s="195" t="str">
        <f t="shared" si="30"/>
        <v/>
      </c>
      <c r="C150" s="507">
        <f>IF(D93="","-",+C149+1)</f>
        <v>2067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40"/>
        <v>0</v>
      </c>
      <c r="G150" s="523">
        <f t="shared" si="41"/>
        <v>0</v>
      </c>
      <c r="H150" s="526">
        <f t="shared" si="38"/>
        <v>0</v>
      </c>
      <c r="I150" s="577">
        <f t="shared" si="39"/>
        <v>0</v>
      </c>
      <c r="J150" s="514">
        <f t="shared" si="42"/>
        <v>0</v>
      </c>
      <c r="K150" s="514"/>
      <c r="L150" s="525"/>
      <c r="M150" s="514">
        <f t="shared" si="43"/>
        <v>0</v>
      </c>
      <c r="N150" s="525"/>
      <c r="O150" s="514">
        <f t="shared" si="44"/>
        <v>0</v>
      </c>
      <c r="P150" s="514">
        <f t="shared" si="45"/>
        <v>0</v>
      </c>
    </row>
    <row r="151" spans="2:16">
      <c r="B151" s="195" t="str">
        <f t="shared" si="30"/>
        <v/>
      </c>
      <c r="C151" s="507">
        <f>IF(D93="","-",+C150+1)</f>
        <v>2068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40"/>
        <v>0</v>
      </c>
      <c r="G151" s="523">
        <f t="shared" si="41"/>
        <v>0</v>
      </c>
      <c r="H151" s="526">
        <f t="shared" si="38"/>
        <v>0</v>
      </c>
      <c r="I151" s="577">
        <f t="shared" si="39"/>
        <v>0</v>
      </c>
      <c r="J151" s="514">
        <f t="shared" si="42"/>
        <v>0</v>
      </c>
      <c r="K151" s="514"/>
      <c r="L151" s="525"/>
      <c r="M151" s="514">
        <f t="shared" si="43"/>
        <v>0</v>
      </c>
      <c r="N151" s="525"/>
      <c r="O151" s="514">
        <f t="shared" si="44"/>
        <v>0</v>
      </c>
      <c r="P151" s="514">
        <f t="shared" si="45"/>
        <v>0</v>
      </c>
    </row>
    <row r="152" spans="2:16">
      <c r="B152" s="195" t="str">
        <f t="shared" si="30"/>
        <v/>
      </c>
      <c r="C152" s="507">
        <f>IF(D93="","-",+C151+1)</f>
        <v>2069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40"/>
        <v>0</v>
      </c>
      <c r="G152" s="523">
        <f t="shared" si="41"/>
        <v>0</v>
      </c>
      <c r="H152" s="526">
        <f t="shared" si="38"/>
        <v>0</v>
      </c>
      <c r="I152" s="577">
        <f t="shared" si="39"/>
        <v>0</v>
      </c>
      <c r="J152" s="514">
        <f t="shared" si="42"/>
        <v>0</v>
      </c>
      <c r="K152" s="514"/>
      <c r="L152" s="525"/>
      <c r="M152" s="514">
        <f t="shared" si="43"/>
        <v>0</v>
      </c>
      <c r="N152" s="525"/>
      <c r="O152" s="514">
        <f t="shared" si="44"/>
        <v>0</v>
      </c>
      <c r="P152" s="514">
        <f t="shared" si="45"/>
        <v>0</v>
      </c>
    </row>
    <row r="153" spans="2:16">
      <c r="B153" s="195" t="str">
        <f t="shared" si="30"/>
        <v/>
      </c>
      <c r="C153" s="507">
        <f>IF(D93="","-",+C152+1)</f>
        <v>2070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40"/>
        <v>0</v>
      </c>
      <c r="G153" s="523">
        <f t="shared" si="41"/>
        <v>0</v>
      </c>
      <c r="H153" s="526">
        <f t="shared" si="38"/>
        <v>0</v>
      </c>
      <c r="I153" s="577">
        <f t="shared" si="39"/>
        <v>0</v>
      </c>
      <c r="J153" s="514">
        <f t="shared" si="42"/>
        <v>0</v>
      </c>
      <c r="K153" s="514"/>
      <c r="L153" s="525"/>
      <c r="M153" s="514">
        <f t="shared" si="43"/>
        <v>0</v>
      </c>
      <c r="N153" s="525"/>
      <c r="O153" s="514">
        <f t="shared" si="44"/>
        <v>0</v>
      </c>
      <c r="P153" s="514">
        <f t="shared" si="45"/>
        <v>0</v>
      </c>
    </row>
    <row r="154" spans="2:16" ht="13.5" thickBot="1">
      <c r="B154" s="195" t="str">
        <f t="shared" si="30"/>
        <v/>
      </c>
      <c r="C154" s="527">
        <f>IF(D93="","-",+C153+1)</f>
        <v>2071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40"/>
        <v>0</v>
      </c>
      <c r="G154" s="528">
        <f t="shared" si="41"/>
        <v>0</v>
      </c>
      <c r="H154" s="530">
        <f t="shared" si="38"/>
        <v>0</v>
      </c>
      <c r="I154" s="579">
        <f t="shared" si="39"/>
        <v>0</v>
      </c>
      <c r="J154" s="533">
        <f t="shared" si="42"/>
        <v>0</v>
      </c>
      <c r="K154" s="514"/>
      <c r="L154" s="532"/>
      <c r="M154" s="533">
        <f t="shared" si="43"/>
        <v>0</v>
      </c>
      <c r="N154" s="532"/>
      <c r="O154" s="533">
        <f t="shared" si="44"/>
        <v>0</v>
      </c>
      <c r="P154" s="533">
        <f t="shared" si="45"/>
        <v>0</v>
      </c>
    </row>
    <row r="155" spans="2:16">
      <c r="C155" s="374" t="s">
        <v>78</v>
      </c>
      <c r="D155" s="375"/>
      <c r="E155" s="375">
        <f>SUM(E99:E154)</f>
        <v>58649881.000000015</v>
      </c>
      <c r="F155" s="375"/>
      <c r="G155" s="375"/>
      <c r="H155" s="375">
        <f>SUM(H99:H154)</f>
        <v>194082060.0601137</v>
      </c>
      <c r="I155" s="375">
        <f>SUM(I99:I154)</f>
        <v>194082060.0601137</v>
      </c>
      <c r="J155" s="375">
        <f>SUM(J99:J154)</f>
        <v>0</v>
      </c>
      <c r="K155" s="375"/>
      <c r="L155" s="375"/>
      <c r="M155" s="375"/>
      <c r="N155" s="375"/>
      <c r="O155" s="375"/>
      <c r="P155" s="269"/>
    </row>
    <row r="156" spans="2:16">
      <c r="C156" s="183" t="s">
        <v>92</v>
      </c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</row>
    <row r="157" spans="2:16">
      <c r="C157" s="580"/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</row>
    <row r="158" spans="2:16">
      <c r="C158" s="614" t="s">
        <v>132</v>
      </c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</row>
    <row r="159" spans="2:16">
      <c r="C159" s="467" t="s">
        <v>79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</row>
    <row r="160" spans="2:16">
      <c r="C160" s="581" t="s">
        <v>80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</row>
    <row r="161" spans="3:16">
      <c r="C161" s="581"/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</row>
    <row r="162" spans="3:16" ht="18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635" t="s">
        <v>131</v>
      </c>
    </row>
  </sheetData>
  <conditionalFormatting sqref="C18:C72">
    <cfRule type="cellIs" dxfId="38" priority="2" stopIfTrue="1" operator="equal">
      <formula>$I$10</formula>
    </cfRule>
  </conditionalFormatting>
  <conditionalFormatting sqref="C99:C154">
    <cfRule type="cellIs" dxfId="37" priority="3" stopIfTrue="1" operator="equal">
      <formula>$J$92</formula>
    </cfRule>
  </conditionalFormatting>
  <conditionalFormatting sqref="C17">
    <cfRule type="cellIs" dxfId="36" priority="1" stopIfTrue="1" operator="equal">
      <formula>$I$10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Sheet111"/>
  <dimension ref="A1:P162"/>
  <sheetViews>
    <sheetView topLeftCell="A87" zoomScaleNormal="100" zoomScaleSheetLayoutView="80" workbookViewId="0">
      <selection activeCell="D99" sqref="D99:I104"/>
    </sheetView>
  </sheetViews>
  <sheetFormatPr defaultColWidth="8.7109375" defaultRowHeight="12.75" customHeight="1"/>
  <cols>
    <col min="1" max="1" width="4.7109375" style="183" customWidth="1"/>
    <col min="2" max="2" width="6.7109375" style="183" customWidth="1"/>
    <col min="3" max="3" width="23.28515625" style="183" customWidth="1"/>
    <col min="4" max="8" width="17.7109375" style="183" customWidth="1"/>
    <col min="9" max="9" width="20.42578125" style="183" customWidth="1"/>
    <col min="10" max="10" width="16.42578125" style="183" customWidth="1"/>
    <col min="11" max="11" width="17.7109375" style="183" customWidth="1"/>
    <col min="12" max="12" width="16.140625" style="183" customWidth="1"/>
    <col min="13" max="13" width="17.7109375" style="183" customWidth="1"/>
    <col min="14" max="14" width="16.7109375" style="183" customWidth="1"/>
    <col min="15" max="15" width="16.85546875" style="183" customWidth="1"/>
    <col min="16" max="16" width="24.42578125" style="183" customWidth="1"/>
    <col min="17" max="17" width="9.140625" style="183" customWidth="1"/>
    <col min="18" max="22" width="8.7109375" style="183"/>
    <col min="23" max="23" width="9.140625" style="183" customWidth="1"/>
    <col min="24" max="16384" width="8.7109375" style="183"/>
  </cols>
  <sheetData>
    <row r="1" spans="1:16" ht="20.25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62 of 75</v>
      </c>
    </row>
    <row r="2" spans="1:16" ht="18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538" t="s">
        <v>129</v>
      </c>
    </row>
    <row r="3" spans="1:16" ht="18.75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/>
      <c r="P3" s="623">
        <v>1</v>
      </c>
    </row>
    <row r="4" spans="1:16" ht="15.75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6" ht="1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152897.18174606739</v>
      </c>
      <c r="P5" s="269"/>
    </row>
    <row r="6" spans="1:16" ht="15.7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152897.18174606739</v>
      </c>
      <c r="O6" s="269"/>
      <c r="P6" s="269"/>
    </row>
    <row r="7" spans="1:16" ht="13.5" thickBot="1">
      <c r="C7" s="467" t="s">
        <v>48</v>
      </c>
      <c r="D7" s="624" t="s">
        <v>382</v>
      </c>
      <c r="E7" s="269"/>
      <c r="F7" s="269"/>
      <c r="G7" s="269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6" ht="13.5" thickBot="1">
      <c r="C8" s="472"/>
      <c r="D8" s="625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6" ht="13.5" thickBot="1">
      <c r="C9" s="476" t="s">
        <v>50</v>
      </c>
      <c r="D9" s="477" t="s">
        <v>407</v>
      </c>
      <c r="E9" s="637" t="s">
        <v>408</v>
      </c>
      <c r="F9" s="478"/>
      <c r="G9" s="478"/>
      <c r="H9" s="478"/>
      <c r="I9" s="479"/>
      <c r="J9" s="480"/>
      <c r="O9" s="481"/>
      <c r="P9" s="272"/>
    </row>
    <row r="10" spans="1:16">
      <c r="C10" s="482" t="s">
        <v>51</v>
      </c>
      <c r="D10" s="483">
        <v>1247291.6099999999</v>
      </c>
      <c r="E10" s="353" t="s">
        <v>52</v>
      </c>
      <c r="F10" s="481"/>
      <c r="G10" s="484"/>
      <c r="H10" s="484"/>
      <c r="I10" s="485">
        <f>+'SWE.WS.F.BPU.ATRR.Projected'!L19</f>
        <v>2024</v>
      </c>
      <c r="J10" s="480"/>
      <c r="K10" s="375" t="s">
        <v>53</v>
      </c>
      <c r="O10" s="272"/>
      <c r="P10" s="272"/>
    </row>
    <row r="11" spans="1:16">
      <c r="C11" s="486" t="s">
        <v>54</v>
      </c>
      <c r="D11" s="487">
        <v>2017</v>
      </c>
      <c r="E11" s="486" t="s">
        <v>55</v>
      </c>
      <c r="F11" s="484"/>
      <c r="G11" s="233"/>
      <c r="H11" s="233"/>
      <c r="I11" s="488">
        <f>IF(G5="",0,'SWE.WS.F.BPU.ATRR.Projected'!F$13)</f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6">
      <c r="C12" s="486" t="s">
        <v>56</v>
      </c>
      <c r="D12" s="483">
        <v>6</v>
      </c>
      <c r="E12" s="486" t="s">
        <v>57</v>
      </c>
      <c r="F12" s="484"/>
      <c r="G12" s="233"/>
      <c r="H12" s="233"/>
      <c r="I12" s="490">
        <f>'SWE.WS.F.BPU.ATRR.Projected'!$F$81</f>
        <v>0.11952713165403545</v>
      </c>
      <c r="J12" s="425"/>
      <c r="K12" s="183" t="s">
        <v>58</v>
      </c>
      <c r="O12" s="272"/>
      <c r="P12" s="272"/>
    </row>
    <row r="13" spans="1:16">
      <c r="C13" s="486" t="s">
        <v>59</v>
      </c>
      <c r="D13" s="488">
        <f>+'SWE.WS.F.BPU.ATRR.Projected'!F$93</f>
        <v>44</v>
      </c>
      <c r="E13" s="486" t="s">
        <v>60</v>
      </c>
      <c r="F13" s="484"/>
      <c r="G13" s="233"/>
      <c r="H13" s="233"/>
      <c r="I13" s="490">
        <f>IF(G5="",I12,'SWE.WS.F.BPU.ATRR.Projected'!$F$80)</f>
        <v>0.11952713165403545</v>
      </c>
      <c r="J13" s="425"/>
      <c r="K13" s="375" t="s">
        <v>61</v>
      </c>
      <c r="L13" s="324"/>
      <c r="M13" s="324"/>
      <c r="N13" s="324"/>
      <c r="O13" s="272"/>
      <c r="P13" s="272"/>
    </row>
    <row r="14" spans="1:16" ht="13.5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28347.536590909087</v>
      </c>
      <c r="J14" s="375"/>
      <c r="K14" s="375"/>
      <c r="L14" s="375"/>
      <c r="M14" s="375"/>
      <c r="N14" s="375"/>
      <c r="O14" s="272"/>
      <c r="P14" s="272"/>
    </row>
    <row r="15" spans="1:16" ht="38.25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388</v>
      </c>
      <c r="H15" s="495" t="s">
        <v>389</v>
      </c>
      <c r="I15" s="492" t="s">
        <v>68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6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600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>
      <c r="C17" s="507">
        <f>IF(D11= "","-",D11)</f>
        <v>2017</v>
      </c>
      <c r="D17" s="649">
        <v>0</v>
      </c>
      <c r="E17" s="658">
        <v>13779.069767441859</v>
      </c>
      <c r="F17" s="651">
        <v>1171220.9302325582</v>
      </c>
      <c r="G17" s="659">
        <v>86331.834002984833</v>
      </c>
      <c r="H17" s="657">
        <v>86331.834002984833</v>
      </c>
      <c r="I17" s="511">
        <f t="shared" ref="I17:I72" si="0">H17-G17</f>
        <v>0</v>
      </c>
      <c r="J17" s="511"/>
      <c r="K17" s="512">
        <f t="shared" ref="K17:K22" si="1">+G17</f>
        <v>86331.834002984833</v>
      </c>
      <c r="L17" s="513">
        <f t="shared" ref="L17:L72" si="2">IF(K17&lt;&gt;0,+G17-K17,0)</f>
        <v>0</v>
      </c>
      <c r="M17" s="512">
        <f>+H17</f>
        <v>86331.834002984833</v>
      </c>
      <c r="N17" s="513">
        <f t="shared" ref="N17:N72" si="3">IF(M17&lt;&gt;0,+H17-M17,0)</f>
        <v>0</v>
      </c>
      <c r="O17" s="514">
        <f t="shared" ref="O17:O72" si="4">+N17-L17</f>
        <v>0</v>
      </c>
      <c r="P17" s="272"/>
    </row>
    <row r="18" spans="2:16">
      <c r="B18" s="195" t="str">
        <f>IF(D18=F17,"","IU")</f>
        <v/>
      </c>
      <c r="C18" s="507">
        <f>IF(D11="","-",+C17+1)</f>
        <v>2018</v>
      </c>
      <c r="D18" s="631">
        <v>1171220.9302325582</v>
      </c>
      <c r="E18" s="630">
        <v>28902.439024390245</v>
      </c>
      <c r="F18" s="631">
        <v>1142318.491208168</v>
      </c>
      <c r="G18" s="630">
        <v>175921.04307589805</v>
      </c>
      <c r="H18" s="639">
        <v>175921.04307589805</v>
      </c>
      <c r="I18" s="511">
        <f t="shared" si="0"/>
        <v>0</v>
      </c>
      <c r="J18" s="511"/>
      <c r="K18" s="518">
        <f t="shared" si="1"/>
        <v>175921.04307589805</v>
      </c>
      <c r="L18" s="519">
        <f t="shared" si="2"/>
        <v>0</v>
      </c>
      <c r="M18" s="518">
        <f t="shared" ref="M18:M23" si="5">+G18</f>
        <v>175921.04307589805</v>
      </c>
      <c r="N18" s="514">
        <f t="shared" si="3"/>
        <v>0</v>
      </c>
      <c r="O18" s="514">
        <f t="shared" si="4"/>
        <v>0</v>
      </c>
      <c r="P18" s="272"/>
    </row>
    <row r="19" spans="2:16">
      <c r="B19" s="195" t="str">
        <f>IF(D19=F18,"","IU")</f>
        <v/>
      </c>
      <c r="C19" s="507">
        <f>IF(D11="","-",+C18+1)</f>
        <v>2019</v>
      </c>
      <c r="D19" s="631">
        <v>1142318.491208168</v>
      </c>
      <c r="E19" s="630">
        <v>28902.439024390245</v>
      </c>
      <c r="F19" s="631">
        <v>1113416.0521837778</v>
      </c>
      <c r="G19" s="630">
        <v>172247.71363126423</v>
      </c>
      <c r="H19" s="639">
        <v>172247.71363126423</v>
      </c>
      <c r="I19" s="511">
        <f t="shared" si="0"/>
        <v>0</v>
      </c>
      <c r="J19" s="511"/>
      <c r="K19" s="518">
        <f t="shared" si="1"/>
        <v>172247.71363126423</v>
      </c>
      <c r="L19" s="519">
        <f t="shared" ref="L19" si="6">IF(K19&lt;&gt;0,+G19-K19,0)</f>
        <v>0</v>
      </c>
      <c r="M19" s="518">
        <f t="shared" si="5"/>
        <v>172247.71363126423</v>
      </c>
      <c r="N19" s="514">
        <f t="shared" si="3"/>
        <v>0</v>
      </c>
      <c r="O19" s="514">
        <f t="shared" si="4"/>
        <v>0</v>
      </c>
      <c r="P19" s="272"/>
    </row>
    <row r="20" spans="2:16">
      <c r="B20" s="195" t="str">
        <f t="shared" ref="B20:B72" si="7">IF(D20=F19,"","IU")</f>
        <v>IU</v>
      </c>
      <c r="C20" s="507">
        <f>IF(D11="","-",+C19+1)</f>
        <v>2020</v>
      </c>
      <c r="D20" s="631">
        <v>1175708.0521837776</v>
      </c>
      <c r="E20" s="630">
        <v>30421.756097560974</v>
      </c>
      <c r="F20" s="631">
        <v>1145286.2960862166</v>
      </c>
      <c r="G20" s="630">
        <v>149181.76277171262</v>
      </c>
      <c r="H20" s="639">
        <v>149181.76277171262</v>
      </c>
      <c r="I20" s="511">
        <f t="shared" si="0"/>
        <v>0</v>
      </c>
      <c r="J20" s="511"/>
      <c r="K20" s="518">
        <f t="shared" si="1"/>
        <v>149181.76277171262</v>
      </c>
      <c r="L20" s="519">
        <f t="shared" ref="L20" si="8">IF(K20&lt;&gt;0,+G20-K20,0)</f>
        <v>0</v>
      </c>
      <c r="M20" s="518">
        <f t="shared" si="5"/>
        <v>149181.76277171262</v>
      </c>
      <c r="N20" s="514">
        <f t="shared" si="3"/>
        <v>0</v>
      </c>
      <c r="O20" s="514">
        <f t="shared" si="4"/>
        <v>0</v>
      </c>
      <c r="P20" s="272"/>
    </row>
    <row r="21" spans="2:16">
      <c r="B21" s="195" t="str">
        <f t="shared" si="7"/>
        <v>IU</v>
      </c>
      <c r="C21" s="507">
        <f>IF(D11="","-",+C20+1)</f>
        <v>2021</v>
      </c>
      <c r="D21" s="631">
        <v>1146630.5955757231</v>
      </c>
      <c r="E21" s="630">
        <v>29697.428571428572</v>
      </c>
      <c r="F21" s="631">
        <v>1116933.1670042945</v>
      </c>
      <c r="G21" s="630">
        <v>149671.45198505887</v>
      </c>
      <c r="H21" s="639">
        <v>149671.45198505887</v>
      </c>
      <c r="I21" s="511">
        <f t="shared" si="0"/>
        <v>0</v>
      </c>
      <c r="J21" s="511"/>
      <c r="K21" s="518">
        <f t="shared" si="1"/>
        <v>149671.45198505887</v>
      </c>
      <c r="L21" s="519">
        <f t="shared" ref="L21" si="9">IF(K21&lt;&gt;0,+G21-K21,0)</f>
        <v>0</v>
      </c>
      <c r="M21" s="518">
        <f t="shared" si="5"/>
        <v>149671.45198505887</v>
      </c>
      <c r="N21" s="514">
        <f t="shared" si="3"/>
        <v>0</v>
      </c>
      <c r="O21" s="514">
        <f t="shared" si="4"/>
        <v>0</v>
      </c>
      <c r="P21" s="272"/>
    </row>
    <row r="22" spans="2:16">
      <c r="B22" s="195" t="str">
        <f t="shared" si="7"/>
        <v>IU</v>
      </c>
      <c r="C22" s="507">
        <f>IF(D11="","-",+C21+1)</f>
        <v>2022</v>
      </c>
      <c r="D22" s="631">
        <v>1115588.8675147882</v>
      </c>
      <c r="E22" s="630">
        <v>29697.428571428572</v>
      </c>
      <c r="F22" s="631">
        <v>1085891.4389433595</v>
      </c>
      <c r="G22" s="630">
        <v>153469.16100420433</v>
      </c>
      <c r="H22" s="639">
        <v>153469.16100420433</v>
      </c>
      <c r="I22" s="511">
        <f t="shared" si="0"/>
        <v>0</v>
      </c>
      <c r="J22" s="511"/>
      <c r="K22" s="518">
        <f t="shared" si="1"/>
        <v>153469.16100420433</v>
      </c>
      <c r="L22" s="519">
        <f t="shared" ref="L22" si="10">IF(K22&lt;&gt;0,+G22-K22,0)</f>
        <v>0</v>
      </c>
      <c r="M22" s="518">
        <f t="shared" si="5"/>
        <v>153469.16100420433</v>
      </c>
      <c r="N22" s="514">
        <f t="shared" si="3"/>
        <v>0</v>
      </c>
      <c r="O22" s="514">
        <f t="shared" si="4"/>
        <v>0</v>
      </c>
      <c r="P22" s="272"/>
    </row>
    <row r="23" spans="2:16">
      <c r="B23" s="195" t="str">
        <f t="shared" si="7"/>
        <v>IU</v>
      </c>
      <c r="C23" s="507">
        <f>IF(D11="","-",+C22+1)</f>
        <v>2023</v>
      </c>
      <c r="D23" s="631">
        <v>1085891.0489433594</v>
      </c>
      <c r="E23" s="630">
        <v>29697.419285714284</v>
      </c>
      <c r="F23" s="631">
        <v>1056193.629657645</v>
      </c>
      <c r="G23" s="630">
        <v>164998.75779973256</v>
      </c>
      <c r="H23" s="639">
        <v>164998.75779973256</v>
      </c>
      <c r="I23" s="511">
        <f t="shared" si="0"/>
        <v>0</v>
      </c>
      <c r="J23" s="511"/>
      <c r="K23" s="518">
        <f t="shared" ref="K23" si="11">+G23</f>
        <v>164998.75779973256</v>
      </c>
      <c r="L23" s="519">
        <f t="shared" ref="L23" si="12">IF(K23&lt;&gt;0,+G23-K23,0)</f>
        <v>0</v>
      </c>
      <c r="M23" s="518">
        <f t="shared" si="5"/>
        <v>164998.75779973256</v>
      </c>
      <c r="N23" s="514">
        <f t="shared" ref="N23" si="13">IF(M23&lt;&gt;0,+H23-M23,0)</f>
        <v>0</v>
      </c>
      <c r="O23" s="514">
        <f t="shared" ref="O23" si="14">+N23-L23</f>
        <v>0</v>
      </c>
      <c r="P23" s="272"/>
    </row>
    <row r="24" spans="2:16">
      <c r="B24" s="195" t="str">
        <f t="shared" si="7"/>
        <v/>
      </c>
      <c r="C24" s="673">
        <f>IF(D11="","-",+C23+1)</f>
        <v>2024</v>
      </c>
      <c r="D24" s="523">
        <f>IF(F23+SUM(E$17:E23)=D$10,F23,D$10-SUM(E$17:E23))</f>
        <v>1056193.629657645</v>
      </c>
      <c r="E24" s="522">
        <f>IF(+I14&lt;F23,I14,D24)</f>
        <v>28347.536590909087</v>
      </c>
      <c r="F24" s="523">
        <f t="shared" ref="F24:F72" si="15">+D24-E24</f>
        <v>1027846.0930667359</v>
      </c>
      <c r="G24" s="524">
        <f t="shared" ref="G24:G48" si="16">+I$12*((D24+F24)/2)+E24</f>
        <v>152897.18174606739</v>
      </c>
      <c r="H24" s="491">
        <f t="shared" ref="H24:H48" si="17">+I$13*((D24+F24)/2)+E24</f>
        <v>152897.18174606739</v>
      </c>
      <c r="I24" s="511">
        <f t="shared" si="0"/>
        <v>0</v>
      </c>
      <c r="J24" s="511"/>
      <c r="K24" s="525"/>
      <c r="L24" s="514">
        <f t="shared" si="2"/>
        <v>0</v>
      </c>
      <c r="M24" s="525"/>
      <c r="N24" s="514">
        <f t="shared" si="3"/>
        <v>0</v>
      </c>
      <c r="O24" s="514">
        <f t="shared" si="4"/>
        <v>0</v>
      </c>
      <c r="P24" s="272"/>
    </row>
    <row r="25" spans="2:16">
      <c r="B25" s="195" t="str">
        <f t="shared" si="7"/>
        <v/>
      </c>
      <c r="C25" s="507">
        <f>IF(D11="","-",+C24+1)</f>
        <v>2025</v>
      </c>
      <c r="D25" s="523">
        <f>IF(F24+SUM(E$17:E24)=D$10,F24,D$10-SUM(E$17:E24))</f>
        <v>1027846.0930667359</v>
      </c>
      <c r="E25" s="522">
        <f>IF(+I14&lt;F24,I14,D25)</f>
        <v>28347.536590909087</v>
      </c>
      <c r="F25" s="523">
        <f t="shared" si="15"/>
        <v>999498.55647582677</v>
      </c>
      <c r="G25" s="524">
        <f t="shared" si="16"/>
        <v>149508.88200789821</v>
      </c>
      <c r="H25" s="491">
        <f t="shared" si="17"/>
        <v>149508.88200789821</v>
      </c>
      <c r="I25" s="511">
        <f t="shared" si="0"/>
        <v>0</v>
      </c>
      <c r="J25" s="511"/>
      <c r="K25" s="525"/>
      <c r="L25" s="514">
        <f t="shared" si="2"/>
        <v>0</v>
      </c>
      <c r="M25" s="525"/>
      <c r="N25" s="514">
        <f t="shared" si="3"/>
        <v>0</v>
      </c>
      <c r="O25" s="514">
        <f t="shared" si="4"/>
        <v>0</v>
      </c>
      <c r="P25" s="272"/>
    </row>
    <row r="26" spans="2:16">
      <c r="B26" s="195" t="str">
        <f t="shared" si="7"/>
        <v/>
      </c>
      <c r="C26" s="507">
        <f>IF(D11="","-",+C25+1)</f>
        <v>2026</v>
      </c>
      <c r="D26" s="523">
        <f>IF(F25+SUM(E$17:E25)=D$10,F25,D$10-SUM(E$17:E25))</f>
        <v>999498.55647582677</v>
      </c>
      <c r="E26" s="522">
        <f>IF(+I14&lt;F25,I14,D26)</f>
        <v>28347.536590909087</v>
      </c>
      <c r="F26" s="523">
        <f t="shared" si="15"/>
        <v>971151.01988491765</v>
      </c>
      <c r="G26" s="524">
        <f t="shared" si="16"/>
        <v>146120.58226972903</v>
      </c>
      <c r="H26" s="491">
        <f t="shared" si="17"/>
        <v>146120.58226972903</v>
      </c>
      <c r="I26" s="511">
        <f t="shared" si="0"/>
        <v>0</v>
      </c>
      <c r="J26" s="511"/>
      <c r="K26" s="525"/>
      <c r="L26" s="514">
        <f t="shared" si="2"/>
        <v>0</v>
      </c>
      <c r="M26" s="525"/>
      <c r="N26" s="514">
        <f t="shared" si="3"/>
        <v>0</v>
      </c>
      <c r="O26" s="514">
        <f t="shared" si="4"/>
        <v>0</v>
      </c>
      <c r="P26" s="272"/>
    </row>
    <row r="27" spans="2:16">
      <c r="B27" s="195" t="str">
        <f t="shared" si="7"/>
        <v/>
      </c>
      <c r="C27" s="507">
        <f>IF(D11="","-",+C26+1)</f>
        <v>2027</v>
      </c>
      <c r="D27" s="523">
        <f>IF(F26+SUM(E$17:E26)=D$10,F26,D$10-SUM(E$17:E26))</f>
        <v>971151.01988491765</v>
      </c>
      <c r="E27" s="522">
        <f>IF(+I14&lt;F26,I14,D27)</f>
        <v>28347.536590909087</v>
      </c>
      <c r="F27" s="523">
        <f t="shared" si="15"/>
        <v>942803.48329400853</v>
      </c>
      <c r="G27" s="524">
        <f t="shared" si="16"/>
        <v>142732.28253155985</v>
      </c>
      <c r="H27" s="491">
        <f t="shared" si="17"/>
        <v>142732.28253155985</v>
      </c>
      <c r="I27" s="511">
        <f t="shared" si="0"/>
        <v>0</v>
      </c>
      <c r="J27" s="511"/>
      <c r="K27" s="525"/>
      <c r="L27" s="514">
        <f t="shared" si="2"/>
        <v>0</v>
      </c>
      <c r="M27" s="525"/>
      <c r="N27" s="514">
        <f t="shared" si="3"/>
        <v>0</v>
      </c>
      <c r="O27" s="514">
        <f t="shared" si="4"/>
        <v>0</v>
      </c>
      <c r="P27" s="272"/>
    </row>
    <row r="28" spans="2:16">
      <c r="B28" s="195" t="str">
        <f t="shared" si="7"/>
        <v/>
      </c>
      <c r="C28" s="507">
        <f>IF(D11="","-",+C27+1)</f>
        <v>2028</v>
      </c>
      <c r="D28" s="523">
        <f>IF(F27+SUM(E$17:E27)=D$10,F27,D$10-SUM(E$17:E27))</f>
        <v>942803.48329400853</v>
      </c>
      <c r="E28" s="522">
        <f>IF(+I14&lt;F27,I14,D28)</f>
        <v>28347.536590909087</v>
      </c>
      <c r="F28" s="523">
        <f t="shared" si="15"/>
        <v>914455.94670309941</v>
      </c>
      <c r="G28" s="524">
        <f t="shared" si="16"/>
        <v>139343.98279339066</v>
      </c>
      <c r="H28" s="491">
        <f t="shared" si="17"/>
        <v>139343.98279339066</v>
      </c>
      <c r="I28" s="511">
        <f t="shared" si="0"/>
        <v>0</v>
      </c>
      <c r="J28" s="511"/>
      <c r="K28" s="525"/>
      <c r="L28" s="514">
        <f t="shared" si="2"/>
        <v>0</v>
      </c>
      <c r="M28" s="525"/>
      <c r="N28" s="514">
        <f t="shared" si="3"/>
        <v>0</v>
      </c>
      <c r="O28" s="514">
        <f t="shared" si="4"/>
        <v>0</v>
      </c>
      <c r="P28" s="272"/>
    </row>
    <row r="29" spans="2:16">
      <c r="B29" s="195" t="str">
        <f t="shared" si="7"/>
        <v/>
      </c>
      <c r="C29" s="507">
        <f>IF(D11="","-",+C28+1)</f>
        <v>2029</v>
      </c>
      <c r="D29" s="523">
        <f>IF(F28+SUM(E$17:E28)=D$10,F28,D$10-SUM(E$17:E28))</f>
        <v>914455.94670309941</v>
      </c>
      <c r="E29" s="522">
        <f>IF(+I14&lt;F28,I14,D29)</f>
        <v>28347.536590909087</v>
      </c>
      <c r="F29" s="523">
        <f t="shared" si="15"/>
        <v>886108.41011219029</v>
      </c>
      <c r="G29" s="524">
        <f t="shared" si="16"/>
        <v>135955.68305522148</v>
      </c>
      <c r="H29" s="491">
        <f t="shared" si="17"/>
        <v>135955.68305522148</v>
      </c>
      <c r="I29" s="511">
        <f t="shared" si="0"/>
        <v>0</v>
      </c>
      <c r="J29" s="511"/>
      <c r="K29" s="525"/>
      <c r="L29" s="514">
        <f t="shared" si="2"/>
        <v>0</v>
      </c>
      <c r="M29" s="525"/>
      <c r="N29" s="514">
        <f t="shared" si="3"/>
        <v>0</v>
      </c>
      <c r="O29" s="514">
        <f t="shared" si="4"/>
        <v>0</v>
      </c>
      <c r="P29" s="272"/>
    </row>
    <row r="30" spans="2:16">
      <c r="B30" s="195" t="str">
        <f t="shared" si="7"/>
        <v/>
      </c>
      <c r="C30" s="507">
        <f>IF(D11="","-",+C29+1)</f>
        <v>2030</v>
      </c>
      <c r="D30" s="523">
        <f>IF(F29+SUM(E$17:E29)=D$10,F29,D$10-SUM(E$17:E29))</f>
        <v>886108.41011219029</v>
      </c>
      <c r="E30" s="522">
        <f>IF(+I14&lt;F29,I14,D30)</f>
        <v>28347.536590909087</v>
      </c>
      <c r="F30" s="523">
        <f t="shared" si="15"/>
        <v>857760.87352128117</v>
      </c>
      <c r="G30" s="524">
        <f t="shared" si="16"/>
        <v>132567.3833170523</v>
      </c>
      <c r="H30" s="491">
        <f t="shared" si="17"/>
        <v>132567.3833170523</v>
      </c>
      <c r="I30" s="511">
        <f t="shared" si="0"/>
        <v>0</v>
      </c>
      <c r="J30" s="511"/>
      <c r="K30" s="525"/>
      <c r="L30" s="514">
        <f t="shared" si="2"/>
        <v>0</v>
      </c>
      <c r="M30" s="525"/>
      <c r="N30" s="514">
        <f t="shared" si="3"/>
        <v>0</v>
      </c>
      <c r="O30" s="514">
        <f t="shared" si="4"/>
        <v>0</v>
      </c>
      <c r="P30" s="272"/>
    </row>
    <row r="31" spans="2:16">
      <c r="B31" s="195" t="str">
        <f t="shared" si="7"/>
        <v/>
      </c>
      <c r="C31" s="507">
        <f>IF(D11="","-",+C30+1)</f>
        <v>2031</v>
      </c>
      <c r="D31" s="523">
        <f>IF(F30+SUM(E$17:E30)=D$10,F30,D$10-SUM(E$17:E30))</f>
        <v>857760.87352128117</v>
      </c>
      <c r="E31" s="522">
        <f>IF(+I14&lt;F30,I14,D31)</f>
        <v>28347.536590909087</v>
      </c>
      <c r="F31" s="523">
        <f t="shared" si="15"/>
        <v>829413.33693037205</v>
      </c>
      <c r="G31" s="524">
        <f t="shared" si="16"/>
        <v>129179.08357888312</v>
      </c>
      <c r="H31" s="491">
        <f t="shared" si="17"/>
        <v>129179.08357888312</v>
      </c>
      <c r="I31" s="511">
        <f t="shared" si="0"/>
        <v>0</v>
      </c>
      <c r="J31" s="511"/>
      <c r="K31" s="525"/>
      <c r="L31" s="514">
        <f t="shared" si="2"/>
        <v>0</v>
      </c>
      <c r="M31" s="525"/>
      <c r="N31" s="514">
        <f t="shared" si="3"/>
        <v>0</v>
      </c>
      <c r="O31" s="514">
        <f t="shared" si="4"/>
        <v>0</v>
      </c>
      <c r="P31" s="272"/>
    </row>
    <row r="32" spans="2:16">
      <c r="B32" s="195" t="str">
        <f t="shared" si="7"/>
        <v/>
      </c>
      <c r="C32" s="507">
        <f>IF(D11="","-",+C31+1)</f>
        <v>2032</v>
      </c>
      <c r="D32" s="523">
        <f>IF(F31+SUM(E$17:E31)=D$10,F31,D$10-SUM(E$17:E31))</f>
        <v>829413.33693037205</v>
      </c>
      <c r="E32" s="522">
        <f>IF(+I14&lt;F31,I14,D32)</f>
        <v>28347.536590909087</v>
      </c>
      <c r="F32" s="523">
        <f t="shared" si="15"/>
        <v>801065.80033946293</v>
      </c>
      <c r="G32" s="524">
        <f t="shared" si="16"/>
        <v>125790.78384071394</v>
      </c>
      <c r="H32" s="491">
        <f t="shared" si="17"/>
        <v>125790.78384071394</v>
      </c>
      <c r="I32" s="511">
        <f t="shared" si="0"/>
        <v>0</v>
      </c>
      <c r="J32" s="511"/>
      <c r="K32" s="525"/>
      <c r="L32" s="514">
        <f t="shared" si="2"/>
        <v>0</v>
      </c>
      <c r="M32" s="525"/>
      <c r="N32" s="514">
        <f t="shared" si="3"/>
        <v>0</v>
      </c>
      <c r="O32" s="514">
        <f t="shared" si="4"/>
        <v>0</v>
      </c>
      <c r="P32" s="272"/>
    </row>
    <row r="33" spans="2:16">
      <c r="B33" s="195" t="str">
        <f t="shared" si="7"/>
        <v/>
      </c>
      <c r="C33" s="507">
        <f>IF(D11="","-",+C32+1)</f>
        <v>2033</v>
      </c>
      <c r="D33" s="523">
        <f>IF(F32+SUM(E$17:E32)=D$10,F32,D$10-SUM(E$17:E32))</f>
        <v>801065.80033946293</v>
      </c>
      <c r="E33" s="522">
        <f>IF(+I14&lt;F32,I14,D33)</f>
        <v>28347.536590909087</v>
      </c>
      <c r="F33" s="523">
        <f t="shared" si="15"/>
        <v>772718.26374855381</v>
      </c>
      <c r="G33" s="524">
        <f t="shared" si="16"/>
        <v>122402.48410254475</v>
      </c>
      <c r="H33" s="491">
        <f t="shared" si="17"/>
        <v>122402.48410254475</v>
      </c>
      <c r="I33" s="511">
        <f t="shared" si="0"/>
        <v>0</v>
      </c>
      <c r="J33" s="511"/>
      <c r="K33" s="525"/>
      <c r="L33" s="514">
        <f t="shared" si="2"/>
        <v>0</v>
      </c>
      <c r="M33" s="525"/>
      <c r="N33" s="514">
        <f t="shared" si="3"/>
        <v>0</v>
      </c>
      <c r="O33" s="514">
        <f t="shared" si="4"/>
        <v>0</v>
      </c>
      <c r="P33" s="272"/>
    </row>
    <row r="34" spans="2:16">
      <c r="B34" s="195" t="str">
        <f t="shared" si="7"/>
        <v/>
      </c>
      <c r="C34" s="507">
        <f>IF(D11="","-",+C33+1)</f>
        <v>2034</v>
      </c>
      <c r="D34" s="523">
        <f>IF(F33+SUM(E$17:E33)=D$10,F33,D$10-SUM(E$17:E33))</f>
        <v>772718.26374855381</v>
      </c>
      <c r="E34" s="522">
        <f>IF(+I14&lt;F33,I14,D34)</f>
        <v>28347.536590909087</v>
      </c>
      <c r="F34" s="523">
        <f t="shared" si="15"/>
        <v>744370.72715764469</v>
      </c>
      <c r="G34" s="524">
        <f t="shared" si="16"/>
        <v>119014.18436437557</v>
      </c>
      <c r="H34" s="491">
        <f t="shared" si="17"/>
        <v>119014.18436437557</v>
      </c>
      <c r="I34" s="511">
        <f t="shared" si="0"/>
        <v>0</v>
      </c>
      <c r="J34" s="511"/>
      <c r="K34" s="525"/>
      <c r="L34" s="514">
        <f t="shared" si="2"/>
        <v>0</v>
      </c>
      <c r="M34" s="525"/>
      <c r="N34" s="514">
        <f t="shared" si="3"/>
        <v>0</v>
      </c>
      <c r="O34" s="514">
        <f t="shared" si="4"/>
        <v>0</v>
      </c>
      <c r="P34" s="272"/>
    </row>
    <row r="35" spans="2:16">
      <c r="B35" s="195" t="str">
        <f t="shared" si="7"/>
        <v/>
      </c>
      <c r="C35" s="507">
        <f>IF(D11="","-",+C34+1)</f>
        <v>2035</v>
      </c>
      <c r="D35" s="523">
        <f>IF(F34+SUM(E$17:E34)=D$10,F34,D$10-SUM(E$17:E34))</f>
        <v>744370.72715764469</v>
      </c>
      <c r="E35" s="522">
        <f>IF(+I14&lt;F34,I14,D35)</f>
        <v>28347.536590909087</v>
      </c>
      <c r="F35" s="523">
        <f t="shared" si="15"/>
        <v>716023.19056673557</v>
      </c>
      <c r="G35" s="524">
        <f t="shared" si="16"/>
        <v>115625.88462620639</v>
      </c>
      <c r="H35" s="491">
        <f t="shared" si="17"/>
        <v>115625.88462620639</v>
      </c>
      <c r="I35" s="511">
        <f t="shared" si="0"/>
        <v>0</v>
      </c>
      <c r="J35" s="511"/>
      <c r="K35" s="525"/>
      <c r="L35" s="514">
        <f t="shared" si="2"/>
        <v>0</v>
      </c>
      <c r="M35" s="525"/>
      <c r="N35" s="514">
        <f t="shared" si="3"/>
        <v>0</v>
      </c>
      <c r="O35" s="514">
        <f t="shared" si="4"/>
        <v>0</v>
      </c>
      <c r="P35" s="272"/>
    </row>
    <row r="36" spans="2:16">
      <c r="B36" s="195" t="str">
        <f t="shared" si="7"/>
        <v/>
      </c>
      <c r="C36" s="507">
        <f>IF(D11="","-",+C35+1)</f>
        <v>2036</v>
      </c>
      <c r="D36" s="523">
        <f>IF(F35+SUM(E$17:E35)=D$10,F35,D$10-SUM(E$17:E35))</f>
        <v>716023.19056673557</v>
      </c>
      <c r="E36" s="522">
        <f>IF(+I14&lt;F35,I14,D36)</f>
        <v>28347.536590909087</v>
      </c>
      <c r="F36" s="523">
        <f t="shared" si="15"/>
        <v>687675.65397582646</v>
      </c>
      <c r="G36" s="524">
        <f t="shared" si="16"/>
        <v>112237.58488803721</v>
      </c>
      <c r="H36" s="491">
        <f t="shared" si="17"/>
        <v>112237.58488803721</v>
      </c>
      <c r="I36" s="511">
        <f t="shared" si="0"/>
        <v>0</v>
      </c>
      <c r="J36" s="511"/>
      <c r="K36" s="525"/>
      <c r="L36" s="514">
        <f t="shared" si="2"/>
        <v>0</v>
      </c>
      <c r="M36" s="525"/>
      <c r="N36" s="514">
        <f t="shared" si="3"/>
        <v>0</v>
      </c>
      <c r="O36" s="514">
        <f t="shared" si="4"/>
        <v>0</v>
      </c>
      <c r="P36" s="272"/>
    </row>
    <row r="37" spans="2:16">
      <c r="B37" s="195" t="str">
        <f t="shared" si="7"/>
        <v/>
      </c>
      <c r="C37" s="507">
        <f>IF(D11="","-",+C36+1)</f>
        <v>2037</v>
      </c>
      <c r="D37" s="523">
        <f>IF(F36+SUM(E$17:E36)=D$10,F36,D$10-SUM(E$17:E36))</f>
        <v>687675.65397582646</v>
      </c>
      <c r="E37" s="522">
        <f>IF(+I14&lt;F36,I14,D37)</f>
        <v>28347.536590909087</v>
      </c>
      <c r="F37" s="523">
        <f t="shared" si="15"/>
        <v>659328.11738491734</v>
      </c>
      <c r="G37" s="524">
        <f t="shared" si="16"/>
        <v>108849.28514986804</v>
      </c>
      <c r="H37" s="491">
        <f t="shared" si="17"/>
        <v>108849.28514986804</v>
      </c>
      <c r="I37" s="511">
        <f t="shared" si="0"/>
        <v>0</v>
      </c>
      <c r="J37" s="511"/>
      <c r="K37" s="525"/>
      <c r="L37" s="514">
        <f t="shared" si="2"/>
        <v>0</v>
      </c>
      <c r="M37" s="525"/>
      <c r="N37" s="514">
        <f t="shared" si="3"/>
        <v>0</v>
      </c>
      <c r="O37" s="514">
        <f t="shared" si="4"/>
        <v>0</v>
      </c>
      <c r="P37" s="272"/>
    </row>
    <row r="38" spans="2:16">
      <c r="B38" s="195" t="str">
        <f t="shared" si="7"/>
        <v/>
      </c>
      <c r="C38" s="507">
        <f>IF(D11="","-",+C37+1)</f>
        <v>2038</v>
      </c>
      <c r="D38" s="523">
        <f>IF(F37+SUM(E$17:E37)=D$10,F37,D$10-SUM(E$17:E37))</f>
        <v>659328.11738491734</v>
      </c>
      <c r="E38" s="522">
        <f>IF(+I14&lt;F37,I14,D38)</f>
        <v>28347.536590909087</v>
      </c>
      <c r="F38" s="523">
        <f t="shared" si="15"/>
        <v>630980.58079400822</v>
      </c>
      <c r="G38" s="524">
        <f t="shared" si="16"/>
        <v>105460.98541169886</v>
      </c>
      <c r="H38" s="491">
        <f t="shared" si="17"/>
        <v>105460.98541169886</v>
      </c>
      <c r="I38" s="511">
        <f t="shared" si="0"/>
        <v>0</v>
      </c>
      <c r="J38" s="511"/>
      <c r="K38" s="525"/>
      <c r="L38" s="514">
        <f t="shared" si="2"/>
        <v>0</v>
      </c>
      <c r="M38" s="525"/>
      <c r="N38" s="514">
        <f t="shared" si="3"/>
        <v>0</v>
      </c>
      <c r="O38" s="514">
        <f t="shared" si="4"/>
        <v>0</v>
      </c>
      <c r="P38" s="272"/>
    </row>
    <row r="39" spans="2:16">
      <c r="B39" s="195" t="str">
        <f t="shared" si="7"/>
        <v/>
      </c>
      <c r="C39" s="507">
        <f>IF(D11="","-",+C38+1)</f>
        <v>2039</v>
      </c>
      <c r="D39" s="523">
        <f>IF(F38+SUM(E$17:E38)=D$10,F38,D$10-SUM(E$17:E38))</f>
        <v>630980.58079400822</v>
      </c>
      <c r="E39" s="522">
        <f>IF(+I14&lt;F38,I14,D39)</f>
        <v>28347.536590909087</v>
      </c>
      <c r="F39" s="523">
        <f t="shared" si="15"/>
        <v>602633.0442030991</v>
      </c>
      <c r="G39" s="524">
        <f t="shared" si="16"/>
        <v>102072.68567352968</v>
      </c>
      <c r="H39" s="491">
        <f t="shared" si="17"/>
        <v>102072.68567352968</v>
      </c>
      <c r="I39" s="511">
        <f t="shared" si="0"/>
        <v>0</v>
      </c>
      <c r="J39" s="511"/>
      <c r="K39" s="525"/>
      <c r="L39" s="514">
        <f t="shared" si="2"/>
        <v>0</v>
      </c>
      <c r="M39" s="525"/>
      <c r="N39" s="514">
        <f t="shared" si="3"/>
        <v>0</v>
      </c>
      <c r="O39" s="514">
        <f t="shared" si="4"/>
        <v>0</v>
      </c>
      <c r="P39" s="272"/>
    </row>
    <row r="40" spans="2:16">
      <c r="B40" s="195" t="str">
        <f t="shared" si="7"/>
        <v/>
      </c>
      <c r="C40" s="507">
        <f>IF(D11="","-",+C39+1)</f>
        <v>2040</v>
      </c>
      <c r="D40" s="523">
        <f>IF(F39+SUM(E$17:E39)=D$10,F39,D$10-SUM(E$17:E39))</f>
        <v>602633.0442030991</v>
      </c>
      <c r="E40" s="522">
        <f>IF(+I14&lt;F39,I14,D40)</f>
        <v>28347.536590909087</v>
      </c>
      <c r="F40" s="523">
        <f t="shared" si="15"/>
        <v>574285.50761218998</v>
      </c>
      <c r="G40" s="524">
        <f t="shared" si="16"/>
        <v>98684.385935360493</v>
      </c>
      <c r="H40" s="491">
        <f t="shared" si="17"/>
        <v>98684.385935360493</v>
      </c>
      <c r="I40" s="511">
        <f t="shared" si="0"/>
        <v>0</v>
      </c>
      <c r="J40" s="511"/>
      <c r="K40" s="525"/>
      <c r="L40" s="514">
        <f t="shared" si="2"/>
        <v>0</v>
      </c>
      <c r="M40" s="525"/>
      <c r="N40" s="514">
        <f t="shared" si="3"/>
        <v>0</v>
      </c>
      <c r="O40" s="514">
        <f t="shared" si="4"/>
        <v>0</v>
      </c>
      <c r="P40" s="272"/>
    </row>
    <row r="41" spans="2:16">
      <c r="B41" s="195" t="str">
        <f t="shared" si="7"/>
        <v/>
      </c>
      <c r="C41" s="507">
        <f>IF(D11="","-",+C40+1)</f>
        <v>2041</v>
      </c>
      <c r="D41" s="523">
        <f>IF(F40+SUM(E$17:E40)=D$10,F40,D$10-SUM(E$17:E40))</f>
        <v>574285.50761218998</v>
      </c>
      <c r="E41" s="522">
        <f>IF(+I14&lt;F40,I14,D41)</f>
        <v>28347.536590909087</v>
      </c>
      <c r="F41" s="523">
        <f t="shared" si="15"/>
        <v>545937.97102128086</v>
      </c>
      <c r="G41" s="524">
        <f t="shared" si="16"/>
        <v>95296.086197191311</v>
      </c>
      <c r="H41" s="491">
        <f t="shared" si="17"/>
        <v>95296.086197191311</v>
      </c>
      <c r="I41" s="511">
        <f t="shared" si="0"/>
        <v>0</v>
      </c>
      <c r="J41" s="511"/>
      <c r="K41" s="525"/>
      <c r="L41" s="514">
        <f t="shared" si="2"/>
        <v>0</v>
      </c>
      <c r="M41" s="525"/>
      <c r="N41" s="514">
        <f t="shared" si="3"/>
        <v>0</v>
      </c>
      <c r="O41" s="514">
        <f t="shared" si="4"/>
        <v>0</v>
      </c>
      <c r="P41" s="272"/>
    </row>
    <row r="42" spans="2:16">
      <c r="B42" s="195" t="str">
        <f t="shared" si="7"/>
        <v/>
      </c>
      <c r="C42" s="507">
        <f>IF(D11="","-",+C41+1)</f>
        <v>2042</v>
      </c>
      <c r="D42" s="523">
        <f>IF(F41+SUM(E$17:E41)=D$10,F41,D$10-SUM(E$17:E41))</f>
        <v>545937.97102128086</v>
      </c>
      <c r="E42" s="522">
        <f>IF(+I14&lt;F41,I14,D42)</f>
        <v>28347.536590909087</v>
      </c>
      <c r="F42" s="523">
        <f t="shared" si="15"/>
        <v>517590.4344303718</v>
      </c>
      <c r="G42" s="524">
        <f t="shared" si="16"/>
        <v>91907.786459022114</v>
      </c>
      <c r="H42" s="491">
        <f t="shared" si="17"/>
        <v>91907.786459022114</v>
      </c>
      <c r="I42" s="511">
        <f t="shared" si="0"/>
        <v>0</v>
      </c>
      <c r="J42" s="511"/>
      <c r="K42" s="525"/>
      <c r="L42" s="514">
        <f t="shared" si="2"/>
        <v>0</v>
      </c>
      <c r="M42" s="525"/>
      <c r="N42" s="514">
        <f t="shared" si="3"/>
        <v>0</v>
      </c>
      <c r="O42" s="514">
        <f t="shared" si="4"/>
        <v>0</v>
      </c>
      <c r="P42" s="272"/>
    </row>
    <row r="43" spans="2:16">
      <c r="B43" s="195" t="str">
        <f t="shared" si="7"/>
        <v/>
      </c>
      <c r="C43" s="507">
        <f>IF(D11="","-",+C42+1)</f>
        <v>2043</v>
      </c>
      <c r="D43" s="523">
        <f>IF(F42+SUM(E$17:E42)=D$10,F42,D$10-SUM(E$17:E42))</f>
        <v>517590.4344303718</v>
      </c>
      <c r="E43" s="522">
        <f>IF(+I14&lt;F42,I14,D43)</f>
        <v>28347.536590909087</v>
      </c>
      <c r="F43" s="523">
        <f t="shared" si="15"/>
        <v>489242.89783946273</v>
      </c>
      <c r="G43" s="524">
        <f t="shared" si="16"/>
        <v>88519.486720852947</v>
      </c>
      <c r="H43" s="491">
        <f t="shared" si="17"/>
        <v>88519.486720852947</v>
      </c>
      <c r="I43" s="511">
        <f t="shared" si="0"/>
        <v>0</v>
      </c>
      <c r="J43" s="511"/>
      <c r="K43" s="525"/>
      <c r="L43" s="514">
        <f t="shared" si="2"/>
        <v>0</v>
      </c>
      <c r="M43" s="525"/>
      <c r="N43" s="514">
        <f t="shared" si="3"/>
        <v>0</v>
      </c>
      <c r="O43" s="514">
        <f t="shared" si="4"/>
        <v>0</v>
      </c>
      <c r="P43" s="272"/>
    </row>
    <row r="44" spans="2:16">
      <c r="B44" s="195" t="str">
        <f t="shared" si="7"/>
        <v/>
      </c>
      <c r="C44" s="507">
        <f>IF(D11="","-",+C43+1)</f>
        <v>2044</v>
      </c>
      <c r="D44" s="523">
        <f>IF(F43+SUM(E$17:E43)=D$10,F43,D$10-SUM(E$17:E43))</f>
        <v>489242.89783946273</v>
      </c>
      <c r="E44" s="522">
        <f>IF(+I14&lt;F43,I14,D44)</f>
        <v>28347.536590909087</v>
      </c>
      <c r="F44" s="523">
        <f t="shared" si="15"/>
        <v>460895.36124855367</v>
      </c>
      <c r="G44" s="524">
        <f t="shared" si="16"/>
        <v>85131.186982683779</v>
      </c>
      <c r="H44" s="491">
        <f t="shared" si="17"/>
        <v>85131.186982683779</v>
      </c>
      <c r="I44" s="511">
        <f t="shared" si="0"/>
        <v>0</v>
      </c>
      <c r="J44" s="511"/>
      <c r="K44" s="525"/>
      <c r="L44" s="514">
        <f t="shared" si="2"/>
        <v>0</v>
      </c>
      <c r="M44" s="525"/>
      <c r="N44" s="514">
        <f t="shared" si="3"/>
        <v>0</v>
      </c>
      <c r="O44" s="514">
        <f t="shared" si="4"/>
        <v>0</v>
      </c>
      <c r="P44" s="272"/>
    </row>
    <row r="45" spans="2:16">
      <c r="B45" s="195" t="str">
        <f t="shared" si="7"/>
        <v/>
      </c>
      <c r="C45" s="507">
        <f>IF(D11="","-",+C44+1)</f>
        <v>2045</v>
      </c>
      <c r="D45" s="523">
        <f>IF(F44+SUM(E$17:E44)=D$10,F44,D$10-SUM(E$17:E44))</f>
        <v>460895.36124855367</v>
      </c>
      <c r="E45" s="522">
        <f>IF(+I14&lt;F44,I14,D45)</f>
        <v>28347.536590909087</v>
      </c>
      <c r="F45" s="523">
        <f t="shared" si="15"/>
        <v>432547.82465764461</v>
      </c>
      <c r="G45" s="524">
        <f t="shared" si="16"/>
        <v>81742.887244514612</v>
      </c>
      <c r="H45" s="491">
        <f t="shared" si="17"/>
        <v>81742.887244514612</v>
      </c>
      <c r="I45" s="511">
        <f t="shared" si="0"/>
        <v>0</v>
      </c>
      <c r="J45" s="511"/>
      <c r="K45" s="525"/>
      <c r="L45" s="514">
        <f t="shared" si="2"/>
        <v>0</v>
      </c>
      <c r="M45" s="525"/>
      <c r="N45" s="514">
        <f t="shared" si="3"/>
        <v>0</v>
      </c>
      <c r="O45" s="514">
        <f t="shared" si="4"/>
        <v>0</v>
      </c>
      <c r="P45" s="272"/>
    </row>
    <row r="46" spans="2:16">
      <c r="B46" s="195" t="str">
        <f t="shared" si="7"/>
        <v/>
      </c>
      <c r="C46" s="507">
        <f>IF(D11="","-",+C45+1)</f>
        <v>2046</v>
      </c>
      <c r="D46" s="523">
        <f>IF(F45+SUM(E$17:E45)=D$10,F45,D$10-SUM(E$17:E45))</f>
        <v>432547.82465764461</v>
      </c>
      <c r="E46" s="522">
        <f>IF(+I14&lt;F45,I14,D46)</f>
        <v>28347.536590909087</v>
      </c>
      <c r="F46" s="523">
        <f t="shared" si="15"/>
        <v>404200.28806673555</v>
      </c>
      <c r="G46" s="524">
        <f t="shared" si="16"/>
        <v>78354.58750634543</v>
      </c>
      <c r="H46" s="491">
        <f t="shared" si="17"/>
        <v>78354.58750634543</v>
      </c>
      <c r="I46" s="511">
        <f t="shared" si="0"/>
        <v>0</v>
      </c>
      <c r="J46" s="511"/>
      <c r="K46" s="525"/>
      <c r="L46" s="514">
        <f t="shared" si="2"/>
        <v>0</v>
      </c>
      <c r="M46" s="525"/>
      <c r="N46" s="514">
        <f t="shared" si="3"/>
        <v>0</v>
      </c>
      <c r="O46" s="514">
        <f t="shared" si="4"/>
        <v>0</v>
      </c>
      <c r="P46" s="272"/>
    </row>
    <row r="47" spans="2:16">
      <c r="B47" s="195" t="str">
        <f t="shared" si="7"/>
        <v/>
      </c>
      <c r="C47" s="507">
        <f>IF(D11="","-",+C46+1)</f>
        <v>2047</v>
      </c>
      <c r="D47" s="523">
        <f>IF(F46+SUM(E$17:E46)=D$10,F46,D$10-SUM(E$17:E46))</f>
        <v>404200.28806673555</v>
      </c>
      <c r="E47" s="522">
        <f>IF(+I14&lt;F46,I14,D47)</f>
        <v>28347.536590909087</v>
      </c>
      <c r="F47" s="523">
        <f t="shared" si="15"/>
        <v>375852.75147582649</v>
      </c>
      <c r="G47" s="524">
        <f t="shared" si="16"/>
        <v>74966.287768176262</v>
      </c>
      <c r="H47" s="491">
        <f t="shared" si="17"/>
        <v>74966.287768176262</v>
      </c>
      <c r="I47" s="511">
        <f t="shared" si="0"/>
        <v>0</v>
      </c>
      <c r="J47" s="511"/>
      <c r="K47" s="525"/>
      <c r="L47" s="514">
        <f t="shared" si="2"/>
        <v>0</v>
      </c>
      <c r="M47" s="525"/>
      <c r="N47" s="514">
        <f t="shared" si="3"/>
        <v>0</v>
      </c>
      <c r="O47" s="514">
        <f t="shared" si="4"/>
        <v>0</v>
      </c>
      <c r="P47" s="272"/>
    </row>
    <row r="48" spans="2:16">
      <c r="B48" s="195" t="str">
        <f t="shared" si="7"/>
        <v/>
      </c>
      <c r="C48" s="507">
        <f>IF(D11="","-",+C47+1)</f>
        <v>2048</v>
      </c>
      <c r="D48" s="523">
        <f>IF(F47+SUM(E$17:E47)=D$10,F47,D$10-SUM(E$17:E47))</f>
        <v>375852.75147582649</v>
      </c>
      <c r="E48" s="522">
        <f>IF(+I14&lt;F47,I14,D48)</f>
        <v>28347.536590909087</v>
      </c>
      <c r="F48" s="523">
        <f t="shared" si="15"/>
        <v>347505.21488491743</v>
      </c>
      <c r="G48" s="524">
        <f t="shared" si="16"/>
        <v>71577.98803000708</v>
      </c>
      <c r="H48" s="491">
        <f t="shared" si="17"/>
        <v>71577.98803000708</v>
      </c>
      <c r="I48" s="511">
        <f t="shared" si="0"/>
        <v>0</v>
      </c>
      <c r="J48" s="511"/>
      <c r="K48" s="525"/>
      <c r="L48" s="514">
        <f t="shared" si="2"/>
        <v>0</v>
      </c>
      <c r="M48" s="525"/>
      <c r="N48" s="514">
        <f t="shared" si="3"/>
        <v>0</v>
      </c>
      <c r="O48" s="514">
        <f t="shared" si="4"/>
        <v>0</v>
      </c>
      <c r="P48" s="272"/>
    </row>
    <row r="49" spans="2:16">
      <c r="B49" s="195" t="str">
        <f t="shared" si="7"/>
        <v/>
      </c>
      <c r="C49" s="507">
        <f>IF(D11="","-",+C48+1)</f>
        <v>2049</v>
      </c>
      <c r="D49" s="523">
        <f>IF(F48+SUM(E$17:E48)=D$10,F48,D$10-SUM(E$17:E48))</f>
        <v>347505.21488491743</v>
      </c>
      <c r="E49" s="522">
        <f>IF(+I14&lt;F48,I14,D49)</f>
        <v>28347.536590909087</v>
      </c>
      <c r="F49" s="523">
        <f t="shared" si="15"/>
        <v>319157.67829400836</v>
      </c>
      <c r="G49" s="524">
        <f t="shared" ref="G49:G72" si="18">+I$12*((D49+F49)/2)+E49</f>
        <v>68189.688291837912</v>
      </c>
      <c r="H49" s="491">
        <f t="shared" ref="H49:H72" si="19">+I$13*((D49+F49)/2)+E49</f>
        <v>68189.688291837912</v>
      </c>
      <c r="I49" s="511">
        <f t="shared" si="0"/>
        <v>0</v>
      </c>
      <c r="J49" s="511"/>
      <c r="K49" s="525"/>
      <c r="L49" s="514">
        <f t="shared" si="2"/>
        <v>0</v>
      </c>
      <c r="M49" s="525"/>
      <c r="N49" s="514">
        <f t="shared" si="3"/>
        <v>0</v>
      </c>
      <c r="O49" s="514">
        <f t="shared" si="4"/>
        <v>0</v>
      </c>
      <c r="P49" s="272"/>
    </row>
    <row r="50" spans="2:16">
      <c r="B50" s="195" t="str">
        <f t="shared" si="7"/>
        <v/>
      </c>
      <c r="C50" s="507">
        <f>IF(D11="","-",+C49+1)</f>
        <v>2050</v>
      </c>
      <c r="D50" s="523">
        <f>IF(F49+SUM(E$17:E49)=D$10,F49,D$10-SUM(E$17:E49))</f>
        <v>319157.67829400836</v>
      </c>
      <c r="E50" s="522">
        <f>IF(+I14&lt;F49,I14,D50)</f>
        <v>28347.536590909087</v>
      </c>
      <c r="F50" s="523">
        <f t="shared" si="15"/>
        <v>290810.1417030993</v>
      </c>
      <c r="G50" s="524">
        <f t="shared" si="18"/>
        <v>64801.38855366873</v>
      </c>
      <c r="H50" s="491">
        <f t="shared" si="19"/>
        <v>64801.38855366873</v>
      </c>
      <c r="I50" s="511">
        <f t="shared" si="0"/>
        <v>0</v>
      </c>
      <c r="J50" s="511"/>
      <c r="K50" s="525"/>
      <c r="L50" s="514">
        <f t="shared" si="2"/>
        <v>0</v>
      </c>
      <c r="M50" s="525"/>
      <c r="N50" s="514">
        <f t="shared" si="3"/>
        <v>0</v>
      </c>
      <c r="O50" s="514">
        <f t="shared" si="4"/>
        <v>0</v>
      </c>
      <c r="P50" s="272"/>
    </row>
    <row r="51" spans="2:16">
      <c r="B51" s="195" t="str">
        <f t="shared" si="7"/>
        <v/>
      </c>
      <c r="C51" s="507">
        <f>IF(D11="","-",+C50+1)</f>
        <v>2051</v>
      </c>
      <c r="D51" s="523">
        <f>IF(F50+SUM(E$17:E50)=D$10,F50,D$10-SUM(E$17:E50))</f>
        <v>290810.1417030993</v>
      </c>
      <c r="E51" s="522">
        <f>IF(+I14&lt;F50,I14,D51)</f>
        <v>28347.536590909087</v>
      </c>
      <c r="F51" s="523">
        <f t="shared" si="15"/>
        <v>262462.60511219024</v>
      </c>
      <c r="G51" s="524">
        <f t="shared" si="18"/>
        <v>61413.088815499563</v>
      </c>
      <c r="H51" s="491">
        <f t="shared" si="19"/>
        <v>61413.088815499563</v>
      </c>
      <c r="I51" s="511">
        <f t="shared" si="0"/>
        <v>0</v>
      </c>
      <c r="J51" s="511"/>
      <c r="K51" s="525"/>
      <c r="L51" s="514">
        <f t="shared" si="2"/>
        <v>0</v>
      </c>
      <c r="M51" s="525"/>
      <c r="N51" s="514">
        <f t="shared" si="3"/>
        <v>0</v>
      </c>
      <c r="O51" s="514">
        <f t="shared" si="4"/>
        <v>0</v>
      </c>
      <c r="P51" s="272"/>
    </row>
    <row r="52" spans="2:16">
      <c r="B52" s="195" t="str">
        <f t="shared" si="7"/>
        <v/>
      </c>
      <c r="C52" s="507">
        <f>IF(D11="","-",+C51+1)</f>
        <v>2052</v>
      </c>
      <c r="D52" s="523">
        <f>IF(F51+SUM(E$17:E51)=D$10,F51,D$10-SUM(E$17:E51))</f>
        <v>262462.60511219024</v>
      </c>
      <c r="E52" s="522">
        <f>IF(+I14&lt;F51,I14,D52)</f>
        <v>28347.536590909087</v>
      </c>
      <c r="F52" s="523">
        <f t="shared" si="15"/>
        <v>234115.06852128115</v>
      </c>
      <c r="G52" s="524">
        <f t="shared" si="18"/>
        <v>58024.789077330381</v>
      </c>
      <c r="H52" s="491">
        <f t="shared" si="19"/>
        <v>58024.789077330381</v>
      </c>
      <c r="I52" s="511">
        <f t="shared" si="0"/>
        <v>0</v>
      </c>
      <c r="J52" s="511"/>
      <c r="K52" s="525"/>
      <c r="L52" s="514">
        <f t="shared" si="2"/>
        <v>0</v>
      </c>
      <c r="M52" s="525"/>
      <c r="N52" s="514">
        <f t="shared" si="3"/>
        <v>0</v>
      </c>
      <c r="O52" s="514">
        <f t="shared" si="4"/>
        <v>0</v>
      </c>
      <c r="P52" s="272"/>
    </row>
    <row r="53" spans="2:16">
      <c r="B53" s="195" t="str">
        <f t="shared" si="7"/>
        <v/>
      </c>
      <c r="C53" s="507">
        <f>IF(D11="","-",+C52+1)</f>
        <v>2053</v>
      </c>
      <c r="D53" s="523">
        <f>IF(F52+SUM(E$17:E52)=D$10,F52,D$10-SUM(E$17:E52))</f>
        <v>234115.06852128115</v>
      </c>
      <c r="E53" s="522">
        <f>IF(+I14&lt;F52,I14,D53)</f>
        <v>28347.536590909087</v>
      </c>
      <c r="F53" s="523">
        <f t="shared" si="15"/>
        <v>205767.53193037206</v>
      </c>
      <c r="G53" s="524">
        <f t="shared" si="18"/>
        <v>54636.489339161199</v>
      </c>
      <c r="H53" s="491">
        <f t="shared" si="19"/>
        <v>54636.489339161199</v>
      </c>
      <c r="I53" s="511">
        <f t="shared" si="0"/>
        <v>0</v>
      </c>
      <c r="J53" s="511"/>
      <c r="K53" s="525"/>
      <c r="L53" s="514">
        <f t="shared" si="2"/>
        <v>0</v>
      </c>
      <c r="M53" s="525"/>
      <c r="N53" s="514">
        <f t="shared" si="3"/>
        <v>0</v>
      </c>
      <c r="O53" s="514">
        <f t="shared" si="4"/>
        <v>0</v>
      </c>
      <c r="P53" s="272"/>
    </row>
    <row r="54" spans="2:16">
      <c r="B54" s="195" t="str">
        <f t="shared" si="7"/>
        <v/>
      </c>
      <c r="C54" s="507">
        <f>IF(D11="","-",+C53+1)</f>
        <v>2054</v>
      </c>
      <c r="D54" s="523">
        <f>IF(F53+SUM(E$17:E53)=D$10,F53,D$10-SUM(E$17:E53))</f>
        <v>205767.53193037206</v>
      </c>
      <c r="E54" s="522">
        <f>IF(+I14&lt;F53,I14,D54)</f>
        <v>28347.536590909087</v>
      </c>
      <c r="F54" s="523">
        <f t="shared" si="15"/>
        <v>177419.99533946297</v>
      </c>
      <c r="G54" s="524">
        <f t="shared" si="18"/>
        <v>51248.189600992016</v>
      </c>
      <c r="H54" s="491">
        <f t="shared" si="19"/>
        <v>51248.189600992016</v>
      </c>
      <c r="I54" s="511">
        <f t="shared" si="0"/>
        <v>0</v>
      </c>
      <c r="J54" s="511"/>
      <c r="K54" s="525"/>
      <c r="L54" s="514">
        <f t="shared" si="2"/>
        <v>0</v>
      </c>
      <c r="M54" s="525"/>
      <c r="N54" s="514">
        <f t="shared" si="3"/>
        <v>0</v>
      </c>
      <c r="O54" s="514">
        <f t="shared" si="4"/>
        <v>0</v>
      </c>
      <c r="P54" s="272"/>
    </row>
    <row r="55" spans="2:16">
      <c r="B55" s="195" t="str">
        <f t="shared" si="7"/>
        <v/>
      </c>
      <c r="C55" s="507">
        <f>IF(D11="","-",+C54+1)</f>
        <v>2055</v>
      </c>
      <c r="D55" s="523">
        <f>IF(F54+SUM(E$17:E54)=D$10,F54,D$10-SUM(E$17:E54))</f>
        <v>177419.99533946297</v>
      </c>
      <c r="E55" s="522">
        <f>IF(+I14&lt;F54,I14,D55)</f>
        <v>28347.536590909087</v>
      </c>
      <c r="F55" s="523">
        <f t="shared" si="15"/>
        <v>149072.45874855388</v>
      </c>
      <c r="G55" s="524">
        <f t="shared" si="18"/>
        <v>47859.889862822849</v>
      </c>
      <c r="H55" s="491">
        <f t="shared" si="19"/>
        <v>47859.889862822849</v>
      </c>
      <c r="I55" s="511">
        <f t="shared" si="0"/>
        <v>0</v>
      </c>
      <c r="J55" s="511"/>
      <c r="K55" s="525"/>
      <c r="L55" s="514">
        <f t="shared" si="2"/>
        <v>0</v>
      </c>
      <c r="M55" s="525"/>
      <c r="N55" s="514">
        <f t="shared" si="3"/>
        <v>0</v>
      </c>
      <c r="O55" s="514">
        <f t="shared" si="4"/>
        <v>0</v>
      </c>
      <c r="P55" s="272"/>
    </row>
    <row r="56" spans="2:16">
      <c r="B56" s="195" t="str">
        <f t="shared" si="7"/>
        <v/>
      </c>
      <c r="C56" s="507">
        <f>IF(D11="","-",+C55+1)</f>
        <v>2056</v>
      </c>
      <c r="D56" s="523">
        <f>IF(F55+SUM(E$17:E55)=D$10,F55,D$10-SUM(E$17:E55))</f>
        <v>149072.45874855388</v>
      </c>
      <c r="E56" s="522">
        <f>IF(+I14&lt;F55,I14,D56)</f>
        <v>28347.536590909087</v>
      </c>
      <c r="F56" s="523">
        <f t="shared" si="15"/>
        <v>120724.92215764479</v>
      </c>
      <c r="G56" s="524">
        <f t="shared" si="18"/>
        <v>44471.590124653667</v>
      </c>
      <c r="H56" s="491">
        <f t="shared" si="19"/>
        <v>44471.590124653667</v>
      </c>
      <c r="I56" s="511">
        <f t="shared" si="0"/>
        <v>0</v>
      </c>
      <c r="J56" s="511"/>
      <c r="K56" s="525"/>
      <c r="L56" s="514">
        <f t="shared" si="2"/>
        <v>0</v>
      </c>
      <c r="M56" s="525"/>
      <c r="N56" s="514">
        <f t="shared" si="3"/>
        <v>0</v>
      </c>
      <c r="O56" s="514">
        <f t="shared" si="4"/>
        <v>0</v>
      </c>
      <c r="P56" s="272"/>
    </row>
    <row r="57" spans="2:16">
      <c r="B57" s="195" t="str">
        <f t="shared" si="7"/>
        <v/>
      </c>
      <c r="C57" s="507">
        <f>IF(D11="","-",+C56+1)</f>
        <v>2057</v>
      </c>
      <c r="D57" s="523">
        <f>IF(F56+SUM(E$17:E56)=D$10,F56,D$10-SUM(E$17:E56))</f>
        <v>120724.92215764479</v>
      </c>
      <c r="E57" s="522">
        <f>IF(+I14&lt;F56,I14,D57)</f>
        <v>28347.536590909087</v>
      </c>
      <c r="F57" s="523">
        <f t="shared" si="15"/>
        <v>92377.385566735698</v>
      </c>
      <c r="G57" s="524">
        <f t="shared" si="18"/>
        <v>41083.290386484485</v>
      </c>
      <c r="H57" s="491">
        <f t="shared" si="19"/>
        <v>41083.290386484485</v>
      </c>
      <c r="I57" s="511">
        <f t="shared" si="0"/>
        <v>0</v>
      </c>
      <c r="J57" s="511"/>
      <c r="K57" s="525"/>
      <c r="L57" s="514">
        <f t="shared" si="2"/>
        <v>0</v>
      </c>
      <c r="M57" s="525"/>
      <c r="N57" s="514">
        <f t="shared" si="3"/>
        <v>0</v>
      </c>
      <c r="O57" s="514">
        <f t="shared" si="4"/>
        <v>0</v>
      </c>
      <c r="P57" s="272"/>
    </row>
    <row r="58" spans="2:16">
      <c r="B58" s="195" t="str">
        <f t="shared" si="7"/>
        <v/>
      </c>
      <c r="C58" s="507">
        <f>IF(D11="","-",+C57+1)</f>
        <v>2058</v>
      </c>
      <c r="D58" s="523">
        <f>IF(F57+SUM(E$17:E57)=D$10,F57,D$10-SUM(E$17:E57))</f>
        <v>92377.385566735698</v>
      </c>
      <c r="E58" s="522">
        <f>IF(+I14&lt;F57,I14,D58)</f>
        <v>28347.536590909087</v>
      </c>
      <c r="F58" s="523">
        <f t="shared" si="15"/>
        <v>64029.848975826608</v>
      </c>
      <c r="G58" s="524">
        <f t="shared" si="18"/>
        <v>37694.99064831531</v>
      </c>
      <c r="H58" s="491">
        <f t="shared" si="19"/>
        <v>37694.99064831531</v>
      </c>
      <c r="I58" s="511">
        <f t="shared" si="0"/>
        <v>0</v>
      </c>
      <c r="J58" s="511"/>
      <c r="K58" s="525"/>
      <c r="L58" s="514">
        <f t="shared" si="2"/>
        <v>0</v>
      </c>
      <c r="M58" s="525"/>
      <c r="N58" s="514">
        <f t="shared" si="3"/>
        <v>0</v>
      </c>
      <c r="O58" s="514">
        <f t="shared" si="4"/>
        <v>0</v>
      </c>
      <c r="P58" s="272"/>
    </row>
    <row r="59" spans="2:16">
      <c r="B59" s="195" t="str">
        <f t="shared" si="7"/>
        <v/>
      </c>
      <c r="C59" s="507">
        <f>IF(D11="","-",+C58+1)</f>
        <v>2059</v>
      </c>
      <c r="D59" s="523">
        <f>IF(F58+SUM(E$17:E58)=D$10,F58,D$10-SUM(E$17:E58))</f>
        <v>64029.848975826608</v>
      </c>
      <c r="E59" s="522">
        <f>IF(+I14&lt;F58,I14,D59)</f>
        <v>28347.536590909087</v>
      </c>
      <c r="F59" s="523">
        <f t="shared" si="15"/>
        <v>35682.312384917517</v>
      </c>
      <c r="G59" s="524">
        <f t="shared" si="18"/>
        <v>34306.690910146135</v>
      </c>
      <c r="H59" s="491">
        <f t="shared" si="19"/>
        <v>34306.690910146135</v>
      </c>
      <c r="I59" s="511">
        <f t="shared" si="0"/>
        <v>0</v>
      </c>
      <c r="J59" s="511"/>
      <c r="K59" s="525"/>
      <c r="L59" s="514">
        <f t="shared" si="2"/>
        <v>0</v>
      </c>
      <c r="M59" s="525"/>
      <c r="N59" s="514">
        <f t="shared" si="3"/>
        <v>0</v>
      </c>
      <c r="O59" s="514">
        <f t="shared" si="4"/>
        <v>0</v>
      </c>
      <c r="P59" s="272"/>
    </row>
    <row r="60" spans="2:16">
      <c r="B60" s="195" t="str">
        <f t="shared" si="7"/>
        <v/>
      </c>
      <c r="C60" s="507">
        <f>IF(D11="","-",+C59+1)</f>
        <v>2060</v>
      </c>
      <c r="D60" s="523">
        <f>IF(F59+SUM(E$17:E59)=D$10,F59,D$10-SUM(E$17:E59))</f>
        <v>35682.312384917517</v>
      </c>
      <c r="E60" s="522">
        <f>IF(+I14&lt;F59,I14,D60)</f>
        <v>28347.536590909087</v>
      </c>
      <c r="F60" s="523">
        <f t="shared" si="15"/>
        <v>7334.7757940084302</v>
      </c>
      <c r="G60" s="524">
        <f t="shared" si="18"/>
        <v>30918.391171976953</v>
      </c>
      <c r="H60" s="491">
        <f t="shared" si="19"/>
        <v>30918.391171976953</v>
      </c>
      <c r="I60" s="511">
        <f t="shared" si="0"/>
        <v>0</v>
      </c>
      <c r="J60" s="511"/>
      <c r="K60" s="525"/>
      <c r="L60" s="514">
        <f t="shared" si="2"/>
        <v>0</v>
      </c>
      <c r="M60" s="525"/>
      <c r="N60" s="514">
        <f t="shared" si="3"/>
        <v>0</v>
      </c>
      <c r="O60" s="514">
        <f t="shared" si="4"/>
        <v>0</v>
      </c>
      <c r="P60" s="272"/>
    </row>
    <row r="61" spans="2:16">
      <c r="B61" s="195" t="str">
        <f t="shared" si="7"/>
        <v/>
      </c>
      <c r="C61" s="507">
        <f>IF(D11="","-",+C60+1)</f>
        <v>2061</v>
      </c>
      <c r="D61" s="523">
        <f>IF(F60+SUM(E$17:E60)=D$10,F60,D$10-SUM(E$17:E60))</f>
        <v>7334.7757940084302</v>
      </c>
      <c r="E61" s="522">
        <f>IF(+I14&lt;F60,I14,D61)</f>
        <v>7334.7757940084302</v>
      </c>
      <c r="F61" s="523">
        <f t="shared" si="15"/>
        <v>0</v>
      </c>
      <c r="G61" s="526">
        <f t="shared" si="18"/>
        <v>7773.1281500000696</v>
      </c>
      <c r="H61" s="491">
        <f t="shared" si="19"/>
        <v>7773.1281500000696</v>
      </c>
      <c r="I61" s="511">
        <f t="shared" si="0"/>
        <v>0</v>
      </c>
      <c r="J61" s="511"/>
      <c r="K61" s="525"/>
      <c r="L61" s="514">
        <f t="shared" si="2"/>
        <v>0</v>
      </c>
      <c r="M61" s="525"/>
      <c r="N61" s="514">
        <f t="shared" si="3"/>
        <v>0</v>
      </c>
      <c r="O61" s="514">
        <f t="shared" si="4"/>
        <v>0</v>
      </c>
      <c r="P61" s="272"/>
    </row>
    <row r="62" spans="2:16">
      <c r="B62" s="195" t="str">
        <f t="shared" si="7"/>
        <v/>
      </c>
      <c r="C62" s="507">
        <f>IF(D11="","-",+C61+1)</f>
        <v>2062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15"/>
        <v>0</v>
      </c>
      <c r="G62" s="526">
        <f t="shared" si="18"/>
        <v>0</v>
      </c>
      <c r="H62" s="491">
        <f t="shared" si="19"/>
        <v>0</v>
      </c>
      <c r="I62" s="511">
        <f t="shared" si="0"/>
        <v>0</v>
      </c>
      <c r="J62" s="511"/>
      <c r="K62" s="525"/>
      <c r="L62" s="514">
        <f t="shared" si="2"/>
        <v>0</v>
      </c>
      <c r="M62" s="525"/>
      <c r="N62" s="514">
        <f t="shared" si="3"/>
        <v>0</v>
      </c>
      <c r="O62" s="514">
        <f t="shared" si="4"/>
        <v>0</v>
      </c>
      <c r="P62" s="272"/>
    </row>
    <row r="63" spans="2:16">
      <c r="B63" s="195" t="str">
        <f t="shared" si="7"/>
        <v/>
      </c>
      <c r="C63" s="507">
        <f>IF(D11="","-",+C62+1)</f>
        <v>2063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15"/>
        <v>0</v>
      </c>
      <c r="G63" s="526">
        <f t="shared" si="18"/>
        <v>0</v>
      </c>
      <c r="H63" s="491">
        <f t="shared" si="19"/>
        <v>0</v>
      </c>
      <c r="I63" s="511">
        <f t="shared" si="0"/>
        <v>0</v>
      </c>
      <c r="J63" s="511"/>
      <c r="K63" s="525"/>
      <c r="L63" s="514">
        <f t="shared" si="2"/>
        <v>0</v>
      </c>
      <c r="M63" s="525"/>
      <c r="N63" s="514">
        <f t="shared" si="3"/>
        <v>0</v>
      </c>
      <c r="O63" s="514">
        <f t="shared" si="4"/>
        <v>0</v>
      </c>
      <c r="P63" s="272"/>
    </row>
    <row r="64" spans="2:16">
      <c r="B64" s="195" t="str">
        <f t="shared" si="7"/>
        <v/>
      </c>
      <c r="C64" s="507">
        <f>IF(D11="","-",+C63+1)</f>
        <v>2064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15"/>
        <v>0</v>
      </c>
      <c r="G64" s="526">
        <f t="shared" si="18"/>
        <v>0</v>
      </c>
      <c r="H64" s="491">
        <f t="shared" si="19"/>
        <v>0</v>
      </c>
      <c r="I64" s="511">
        <f t="shared" si="0"/>
        <v>0</v>
      </c>
      <c r="J64" s="511"/>
      <c r="K64" s="525"/>
      <c r="L64" s="514">
        <f t="shared" si="2"/>
        <v>0</v>
      </c>
      <c r="M64" s="525"/>
      <c r="N64" s="514">
        <f t="shared" si="3"/>
        <v>0</v>
      </c>
      <c r="O64" s="514">
        <f t="shared" si="4"/>
        <v>0</v>
      </c>
      <c r="P64" s="272"/>
    </row>
    <row r="65" spans="2:16">
      <c r="B65" s="195" t="str">
        <f t="shared" si="7"/>
        <v/>
      </c>
      <c r="C65" s="507">
        <f>IF(D11="","-",+C64+1)</f>
        <v>2065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15"/>
        <v>0</v>
      </c>
      <c r="G65" s="526">
        <f t="shared" si="18"/>
        <v>0</v>
      </c>
      <c r="H65" s="491">
        <f t="shared" si="19"/>
        <v>0</v>
      </c>
      <c r="I65" s="511">
        <f t="shared" si="0"/>
        <v>0</v>
      </c>
      <c r="J65" s="511"/>
      <c r="K65" s="525"/>
      <c r="L65" s="514">
        <f t="shared" si="2"/>
        <v>0</v>
      </c>
      <c r="M65" s="525"/>
      <c r="N65" s="514">
        <f t="shared" si="3"/>
        <v>0</v>
      </c>
      <c r="O65" s="514">
        <f t="shared" si="4"/>
        <v>0</v>
      </c>
      <c r="P65" s="272"/>
    </row>
    <row r="66" spans="2:16">
      <c r="B66" s="195" t="str">
        <f t="shared" si="7"/>
        <v/>
      </c>
      <c r="C66" s="507">
        <f>IF(D11="","-",+C65+1)</f>
        <v>2066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15"/>
        <v>0</v>
      </c>
      <c r="G66" s="526">
        <f t="shared" si="18"/>
        <v>0</v>
      </c>
      <c r="H66" s="491">
        <f t="shared" si="19"/>
        <v>0</v>
      </c>
      <c r="I66" s="511">
        <f t="shared" si="0"/>
        <v>0</v>
      </c>
      <c r="J66" s="511"/>
      <c r="K66" s="525"/>
      <c r="L66" s="514">
        <f t="shared" si="2"/>
        <v>0</v>
      </c>
      <c r="M66" s="525"/>
      <c r="N66" s="514">
        <f t="shared" si="3"/>
        <v>0</v>
      </c>
      <c r="O66" s="514">
        <f t="shared" si="4"/>
        <v>0</v>
      </c>
      <c r="P66" s="272"/>
    </row>
    <row r="67" spans="2:16">
      <c r="B67" s="195" t="str">
        <f t="shared" si="7"/>
        <v/>
      </c>
      <c r="C67" s="507">
        <f>IF(D11="","-",+C66+1)</f>
        <v>2067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15"/>
        <v>0</v>
      </c>
      <c r="G67" s="526">
        <f t="shared" si="18"/>
        <v>0</v>
      </c>
      <c r="H67" s="491">
        <f t="shared" si="19"/>
        <v>0</v>
      </c>
      <c r="I67" s="511">
        <f t="shared" si="0"/>
        <v>0</v>
      </c>
      <c r="J67" s="511"/>
      <c r="K67" s="525"/>
      <c r="L67" s="514">
        <f t="shared" si="2"/>
        <v>0</v>
      </c>
      <c r="M67" s="525"/>
      <c r="N67" s="514">
        <f t="shared" si="3"/>
        <v>0</v>
      </c>
      <c r="O67" s="514">
        <f t="shared" si="4"/>
        <v>0</v>
      </c>
      <c r="P67" s="272"/>
    </row>
    <row r="68" spans="2:16">
      <c r="B68" s="195" t="str">
        <f t="shared" si="7"/>
        <v/>
      </c>
      <c r="C68" s="507">
        <f>IF(D11="","-",+C67+1)</f>
        <v>2068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15"/>
        <v>0</v>
      </c>
      <c r="G68" s="526">
        <f t="shared" si="18"/>
        <v>0</v>
      </c>
      <c r="H68" s="491">
        <f t="shared" si="19"/>
        <v>0</v>
      </c>
      <c r="I68" s="511">
        <f t="shared" si="0"/>
        <v>0</v>
      </c>
      <c r="J68" s="511"/>
      <c r="K68" s="525"/>
      <c r="L68" s="514">
        <f t="shared" si="2"/>
        <v>0</v>
      </c>
      <c r="M68" s="525"/>
      <c r="N68" s="514">
        <f t="shared" si="3"/>
        <v>0</v>
      </c>
      <c r="O68" s="514">
        <f t="shared" si="4"/>
        <v>0</v>
      </c>
      <c r="P68" s="272"/>
    </row>
    <row r="69" spans="2:16">
      <c r="B69" s="195" t="str">
        <f t="shared" si="7"/>
        <v/>
      </c>
      <c r="C69" s="507">
        <f>IF(D11="","-",+C68+1)</f>
        <v>2069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15"/>
        <v>0</v>
      </c>
      <c r="G69" s="526">
        <f t="shared" si="18"/>
        <v>0</v>
      </c>
      <c r="H69" s="491">
        <f t="shared" si="19"/>
        <v>0</v>
      </c>
      <c r="I69" s="511">
        <f t="shared" si="0"/>
        <v>0</v>
      </c>
      <c r="J69" s="511"/>
      <c r="K69" s="525"/>
      <c r="L69" s="514">
        <f t="shared" si="2"/>
        <v>0</v>
      </c>
      <c r="M69" s="525"/>
      <c r="N69" s="514">
        <f t="shared" si="3"/>
        <v>0</v>
      </c>
      <c r="O69" s="514">
        <f t="shared" si="4"/>
        <v>0</v>
      </c>
      <c r="P69" s="272"/>
    </row>
    <row r="70" spans="2:16">
      <c r="B70" s="195" t="str">
        <f t="shared" si="7"/>
        <v/>
      </c>
      <c r="C70" s="507">
        <f>IF(D11="","-",+C69+1)</f>
        <v>2070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15"/>
        <v>0</v>
      </c>
      <c r="G70" s="526">
        <f t="shared" si="18"/>
        <v>0</v>
      </c>
      <c r="H70" s="491">
        <f t="shared" si="19"/>
        <v>0</v>
      </c>
      <c r="I70" s="511">
        <f t="shared" si="0"/>
        <v>0</v>
      </c>
      <c r="J70" s="511"/>
      <c r="K70" s="525"/>
      <c r="L70" s="514">
        <f t="shared" si="2"/>
        <v>0</v>
      </c>
      <c r="M70" s="525"/>
      <c r="N70" s="514">
        <f t="shared" si="3"/>
        <v>0</v>
      </c>
      <c r="O70" s="514">
        <f t="shared" si="4"/>
        <v>0</v>
      </c>
      <c r="P70" s="272"/>
    </row>
    <row r="71" spans="2:16">
      <c r="B71" s="195" t="str">
        <f t="shared" si="7"/>
        <v/>
      </c>
      <c r="C71" s="507">
        <f>IF(D11="","-",+C70+1)</f>
        <v>2071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15"/>
        <v>0</v>
      </c>
      <c r="G71" s="526">
        <f t="shared" si="18"/>
        <v>0</v>
      </c>
      <c r="H71" s="491">
        <f t="shared" si="19"/>
        <v>0</v>
      </c>
      <c r="I71" s="511">
        <f t="shared" si="0"/>
        <v>0</v>
      </c>
      <c r="J71" s="511"/>
      <c r="K71" s="525"/>
      <c r="L71" s="514">
        <f t="shared" si="2"/>
        <v>0</v>
      </c>
      <c r="M71" s="525"/>
      <c r="N71" s="514">
        <f t="shared" si="3"/>
        <v>0</v>
      </c>
      <c r="O71" s="514">
        <f t="shared" si="4"/>
        <v>0</v>
      </c>
      <c r="P71" s="272"/>
    </row>
    <row r="72" spans="2:16" ht="13.5" thickBot="1">
      <c r="B72" s="195" t="str">
        <f t="shared" si="7"/>
        <v/>
      </c>
      <c r="C72" s="527">
        <f>IF(D11="","-",+C71+1)</f>
        <v>2072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15"/>
        <v>0</v>
      </c>
      <c r="G72" s="530">
        <f t="shared" si="18"/>
        <v>0</v>
      </c>
      <c r="H72" s="471">
        <f t="shared" si="19"/>
        <v>0</v>
      </c>
      <c r="I72" s="531">
        <f t="shared" si="0"/>
        <v>0</v>
      </c>
      <c r="J72" s="511"/>
      <c r="K72" s="532"/>
      <c r="L72" s="533">
        <f t="shared" si="2"/>
        <v>0</v>
      </c>
      <c r="M72" s="532"/>
      <c r="N72" s="533">
        <f t="shared" si="3"/>
        <v>0</v>
      </c>
      <c r="O72" s="533">
        <f t="shared" si="4"/>
        <v>0</v>
      </c>
      <c r="P72" s="272"/>
    </row>
    <row r="73" spans="2:16">
      <c r="C73" s="374" t="s">
        <v>78</v>
      </c>
      <c r="D73" s="375"/>
      <c r="E73" s="375">
        <f>SUM(E17:E72)</f>
        <v>1247291.6100000001</v>
      </c>
      <c r="F73" s="375"/>
      <c r="G73" s="375">
        <f>SUM(G17:G72)</f>
        <v>4460182.9514046777</v>
      </c>
      <c r="H73" s="375">
        <f>SUM(H17:H72)</f>
        <v>4460182.9514046777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2:16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2:16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2:16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2:16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272"/>
      <c r="P77" s="272"/>
    </row>
    <row r="78" spans="2:16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2:16"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  <c r="O79" s="269"/>
      <c r="P79" s="269"/>
    </row>
    <row r="80" spans="2:16" ht="18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6">
      <c r="B81" s="269"/>
      <c r="C81" s="340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6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</row>
    <row r="83" spans="1:16" ht="20.25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451" t="str">
        <f ca="1">P1</f>
        <v>SWEPCO Project 62 of 75</v>
      </c>
    </row>
    <row r="84" spans="1:16" ht="18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538" t="s">
        <v>128</v>
      </c>
    </row>
    <row r="85" spans="1:16" ht="18.7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</row>
    <row r="86" spans="1:16" ht="15.75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2022</v>
      </c>
      <c r="M86" s="541" t="s">
        <v>9</v>
      </c>
      <c r="N86" s="542" t="s">
        <v>159</v>
      </c>
      <c r="O86" s="543" t="s">
        <v>11</v>
      </c>
      <c r="P86" s="269"/>
    </row>
    <row r="87" spans="1:16" ht="1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391</v>
      </c>
      <c r="M87" s="546">
        <f>IF(J92&lt;D11,0,VLOOKUP(J92,C17:O72,9))</f>
        <v>153469.16100420433</v>
      </c>
      <c r="N87" s="546">
        <f>IF(J92&lt;D11,0,VLOOKUP(J92,C17:O72,11))</f>
        <v>153469.16100420433</v>
      </c>
      <c r="O87" s="547">
        <f>+N87-M87</f>
        <v>0</v>
      </c>
      <c r="P87" s="269"/>
    </row>
    <row r="88" spans="1:16" ht="15.7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392</v>
      </c>
      <c r="M88" s="550">
        <f>IF(J92&lt;D11,0,VLOOKUP(J92,C99:P154,6))</f>
        <v>158761.1035965512</v>
      </c>
      <c r="N88" s="550">
        <f>IF(J92&lt;D11,0,VLOOKUP(J92,C99:P154,7))</f>
        <v>158761.1035965512</v>
      </c>
      <c r="O88" s="551">
        <f>+N88-M88</f>
        <v>0</v>
      </c>
      <c r="P88" s="269"/>
    </row>
    <row r="89" spans="1:16" ht="13.5" thickBot="1">
      <c r="C89" s="467" t="s">
        <v>84</v>
      </c>
      <c r="D89" s="552" t="str">
        <f>+D7</f>
        <v>Letourneau 69 kV Capacitor Bank Addition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5291.9425923468661</v>
      </c>
      <c r="N89" s="555">
        <f>+N88-N87</f>
        <v>5291.9425923468661</v>
      </c>
      <c r="O89" s="556">
        <f>+O88-O87</f>
        <v>0</v>
      </c>
      <c r="P89" s="269"/>
    </row>
    <row r="90" spans="1:16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</row>
    <row r="91" spans="1:16" ht="13.5" thickBot="1">
      <c r="A91" s="191"/>
      <c r="C91" s="558" t="s">
        <v>85</v>
      </c>
      <c r="D91" s="559" t="str">
        <f>+D9</f>
        <v>TP2015106</v>
      </c>
      <c r="E91" s="560"/>
      <c r="F91" s="560"/>
      <c r="G91" s="560"/>
      <c r="H91" s="560"/>
      <c r="I91" s="560"/>
      <c r="J91" s="560"/>
      <c r="K91" s="562"/>
      <c r="P91" s="481"/>
    </row>
    <row r="92" spans="1:16">
      <c r="C92" s="486" t="s">
        <v>51</v>
      </c>
      <c r="D92" s="564">
        <v>1247292</v>
      </c>
      <c r="E92" s="340" t="s">
        <v>86</v>
      </c>
      <c r="H92" s="484"/>
      <c r="I92" s="484"/>
      <c r="J92" s="485">
        <f>+'SWE.WS.G.BPU.ATRR.True-up'!M16</f>
        <v>2022</v>
      </c>
      <c r="K92" s="480"/>
      <c r="L92" s="375" t="s">
        <v>87</v>
      </c>
      <c r="P92" s="272"/>
    </row>
    <row r="93" spans="1:16">
      <c r="C93" s="486" t="s">
        <v>54</v>
      </c>
      <c r="D93" s="563">
        <f>IF(D11=I10,"",D11)</f>
        <v>2017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</row>
    <row r="94" spans="1:16">
      <c r="C94" s="486" t="s">
        <v>56</v>
      </c>
      <c r="D94" s="564">
        <f>IF(D11=I10,"",D12)</f>
        <v>6</v>
      </c>
      <c r="E94" s="486" t="s">
        <v>57</v>
      </c>
      <c r="F94" s="484"/>
      <c r="G94" s="484"/>
      <c r="J94" s="490">
        <f>'SWE.WS.G.BPU.ATRR.True-up'!$F$81</f>
        <v>0.11351422637179906</v>
      </c>
      <c r="K94" s="425"/>
      <c r="L94" s="183" t="s">
        <v>88</v>
      </c>
      <c r="P94" s="272"/>
    </row>
    <row r="95" spans="1:16">
      <c r="C95" s="486" t="s">
        <v>59</v>
      </c>
      <c r="D95" s="488">
        <f>'SWE.WS.G.BPU.ATRR.True-up'!F$93</f>
        <v>41</v>
      </c>
      <c r="E95" s="486" t="s">
        <v>60</v>
      </c>
      <c r="F95" s="484"/>
      <c r="G95" s="484"/>
      <c r="J95" s="490">
        <f>IF(H87="",J94,'SWE.WS.G.BPU.ATRR.True-up'!$F$80)</f>
        <v>0.11351422637179906</v>
      </c>
      <c r="K95" s="324"/>
      <c r="L95" s="375" t="s">
        <v>61</v>
      </c>
      <c r="M95" s="324"/>
      <c r="N95" s="324"/>
      <c r="O95" s="324"/>
      <c r="P95" s="272"/>
    </row>
    <row r="96" spans="1:16" ht="13.5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30421.756097560974</v>
      </c>
      <c r="K96" s="375"/>
      <c r="L96" s="375"/>
      <c r="M96" s="375"/>
      <c r="N96" s="375"/>
      <c r="O96" s="375"/>
      <c r="P96" s="272"/>
    </row>
    <row r="97" spans="1:16" ht="38.25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388</v>
      </c>
      <c r="I97" s="495" t="s">
        <v>389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</row>
    <row r="98" spans="1:16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602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</row>
    <row r="99" spans="1:16">
      <c r="C99" s="507">
        <f>IF(D93= "","-",D93)</f>
        <v>2017</v>
      </c>
      <c r="D99" s="649">
        <v>0</v>
      </c>
      <c r="E99" s="650">
        <v>14811.392857142857</v>
      </c>
      <c r="F99" s="651">
        <v>1229345.607142857</v>
      </c>
      <c r="G99" s="652">
        <v>614672.80357142852</v>
      </c>
      <c r="H99" s="653">
        <v>89476.594305664243</v>
      </c>
      <c r="I99" s="654">
        <v>89476.594305664243</v>
      </c>
      <c r="J99" s="514">
        <f t="shared" ref="J99:J130" si="20">+I99-H99</f>
        <v>0</v>
      </c>
      <c r="K99" s="514"/>
      <c r="L99" s="512">
        <f>+H99</f>
        <v>89476.594305664243</v>
      </c>
      <c r="M99" s="513">
        <f t="shared" ref="M99:M130" si="21">IF(L99&lt;&gt;0,+H99-L99,0)</f>
        <v>0</v>
      </c>
      <c r="N99" s="512">
        <f>+I99</f>
        <v>89476.594305664243</v>
      </c>
      <c r="O99" s="513">
        <f t="shared" ref="O99:O130" si="22">IF(N99&lt;&gt;0,+I99-N99,0)</f>
        <v>0</v>
      </c>
      <c r="P99" s="513">
        <f t="shared" ref="P99:P130" si="23">+O99-M99</f>
        <v>0</v>
      </c>
    </row>
    <row r="100" spans="1:16">
      <c r="B100" s="195" t="str">
        <f>IF(D100=F99,"","IU")</f>
        <v>IU</v>
      </c>
      <c r="C100" s="507">
        <f>IF(D93="","-",+C99+1)</f>
        <v>2018</v>
      </c>
      <c r="D100" s="629">
        <v>1232480.607142857</v>
      </c>
      <c r="E100" s="630">
        <v>29697.428571428572</v>
      </c>
      <c r="F100" s="631">
        <v>1202783.1785714284</v>
      </c>
      <c r="G100" s="631">
        <v>1217631.8928571427</v>
      </c>
      <c r="H100" s="633">
        <v>158284.94029757322</v>
      </c>
      <c r="I100" s="634">
        <v>158284.94029757322</v>
      </c>
      <c r="J100" s="514">
        <f t="shared" si="20"/>
        <v>0</v>
      </c>
      <c r="K100" s="514"/>
      <c r="L100" s="655">
        <f>+H100</f>
        <v>158284.94029757322</v>
      </c>
      <c r="M100" s="514">
        <f t="shared" si="21"/>
        <v>0</v>
      </c>
      <c r="N100" s="655">
        <f>+I100</f>
        <v>158284.94029757322</v>
      </c>
      <c r="O100" s="514">
        <f t="shared" si="22"/>
        <v>0</v>
      </c>
      <c r="P100" s="514">
        <f t="shared" si="23"/>
        <v>0</v>
      </c>
    </row>
    <row r="101" spans="1:16">
      <c r="B101" s="195" t="str">
        <f t="shared" ref="B101:B154" si="24">IF(D101=F100,"","IU")</f>
        <v/>
      </c>
      <c r="C101" s="507">
        <f>IF(D93="","-",+C100+1)</f>
        <v>2019</v>
      </c>
      <c r="D101" s="629">
        <v>1202783.1785714284</v>
      </c>
      <c r="E101" s="630">
        <v>29006.79069767442</v>
      </c>
      <c r="F101" s="631">
        <v>1173776.3878737539</v>
      </c>
      <c r="G101" s="631">
        <v>1188279.783222591</v>
      </c>
      <c r="H101" s="633">
        <v>156200.90813870312</v>
      </c>
      <c r="I101" s="634">
        <v>156200.90813870312</v>
      </c>
      <c r="J101" s="514">
        <f t="shared" si="20"/>
        <v>0</v>
      </c>
      <c r="K101" s="514"/>
      <c r="L101" s="655">
        <f>+H101</f>
        <v>156200.90813870312</v>
      </c>
      <c r="M101" s="514">
        <f t="shared" ref="M101:M102" si="25">IF(L101&lt;&gt;0,+H101-L101,0)</f>
        <v>0</v>
      </c>
      <c r="N101" s="655">
        <f>+I101</f>
        <v>156200.90813870312</v>
      </c>
      <c r="O101" s="514">
        <f t="shared" si="22"/>
        <v>0</v>
      </c>
      <c r="P101" s="514">
        <f t="shared" si="23"/>
        <v>0</v>
      </c>
    </row>
    <row r="102" spans="1:16">
      <c r="B102" s="195" t="str">
        <f t="shared" si="24"/>
        <v/>
      </c>
      <c r="C102" s="507">
        <f>IF(D93="","-",+C101+1)</f>
        <v>2020</v>
      </c>
      <c r="D102" s="629">
        <v>1173776.3878737539</v>
      </c>
      <c r="E102" s="630">
        <v>29697.428571428572</v>
      </c>
      <c r="F102" s="631">
        <v>1144078.9593023253</v>
      </c>
      <c r="G102" s="631">
        <v>1158927.6735880396</v>
      </c>
      <c r="H102" s="633">
        <v>154367.72001045776</v>
      </c>
      <c r="I102" s="634">
        <v>154367.72001045776</v>
      </c>
      <c r="J102" s="514">
        <f t="shared" si="20"/>
        <v>0</v>
      </c>
      <c r="K102" s="514"/>
      <c r="L102" s="655">
        <f>+H102</f>
        <v>154367.72001045776</v>
      </c>
      <c r="M102" s="514">
        <f t="shared" si="25"/>
        <v>0</v>
      </c>
      <c r="N102" s="655">
        <f>+I102</f>
        <v>154367.72001045776</v>
      </c>
      <c r="O102" s="514">
        <f t="shared" si="22"/>
        <v>0</v>
      </c>
      <c r="P102" s="514">
        <f t="shared" si="23"/>
        <v>0</v>
      </c>
    </row>
    <row r="103" spans="1:16">
      <c r="B103" s="195" t="str">
        <f t="shared" si="24"/>
        <v/>
      </c>
      <c r="C103" s="507">
        <f>IF(D93="","-",+C102+1)</f>
        <v>2021</v>
      </c>
      <c r="D103" s="629">
        <v>1144078.9593023253</v>
      </c>
      <c r="E103" s="630">
        <v>30421.756097560974</v>
      </c>
      <c r="F103" s="631">
        <v>1113657.2032047643</v>
      </c>
      <c r="G103" s="631">
        <v>1128868.0812535449</v>
      </c>
      <c r="H103" s="633">
        <v>158564.34301687434</v>
      </c>
      <c r="I103" s="634">
        <v>158564.34301687434</v>
      </c>
      <c r="J103" s="514">
        <f t="shared" si="20"/>
        <v>0</v>
      </c>
      <c r="K103" s="514"/>
      <c r="L103" s="655">
        <f>+H103</f>
        <v>158564.34301687434</v>
      </c>
      <c r="M103" s="514">
        <f t="shared" ref="M103" si="26">IF(L103&lt;&gt;0,+H103-L103,0)</f>
        <v>0</v>
      </c>
      <c r="N103" s="655">
        <f>+I103</f>
        <v>158564.34301687434</v>
      </c>
      <c r="O103" s="514">
        <f t="shared" ref="O103" si="27">IF(N103&lt;&gt;0,+I103-N103,0)</f>
        <v>0</v>
      </c>
      <c r="P103" s="514">
        <f t="shared" ref="P103" si="28">+O103-M103</f>
        <v>0</v>
      </c>
    </row>
    <row r="104" spans="1:16">
      <c r="B104" s="195" t="str">
        <f t="shared" si="24"/>
        <v/>
      </c>
      <c r="C104" s="673">
        <f>IF(D93="","-",+C103+1)</f>
        <v>2022</v>
      </c>
      <c r="D104" s="374">
        <v>1113657.2032047643</v>
      </c>
      <c r="E104" s="522">
        <v>29697.428571428572</v>
      </c>
      <c r="F104" s="523">
        <v>1083959.7746333356</v>
      </c>
      <c r="G104" s="523">
        <v>1098808.48891905</v>
      </c>
      <c r="H104" s="526">
        <v>158761.1035965512</v>
      </c>
      <c r="I104" s="577">
        <v>158761.1035965512</v>
      </c>
      <c r="J104" s="514">
        <f t="shared" si="20"/>
        <v>0</v>
      </c>
      <c r="K104" s="514"/>
      <c r="L104" s="525"/>
      <c r="M104" s="514">
        <f t="shared" si="21"/>
        <v>0</v>
      </c>
      <c r="N104" s="525"/>
      <c r="O104" s="514">
        <f t="shared" si="22"/>
        <v>0</v>
      </c>
      <c r="P104" s="514">
        <f t="shared" si="23"/>
        <v>0</v>
      </c>
    </row>
    <row r="105" spans="1:16">
      <c r="B105" s="195" t="str">
        <f t="shared" si="24"/>
        <v/>
      </c>
      <c r="C105" s="507">
        <f>IF(D93="","-",+C104+1)</f>
        <v>2023</v>
      </c>
      <c r="D105" s="374">
        <f>IF(F104+SUM(E$99:E104)=D$92,F104,D$92-SUM(E$99:E104))</f>
        <v>1083959.7746333356</v>
      </c>
      <c r="E105" s="522">
        <f>IF(+J96&lt;F104,J96,D105)</f>
        <v>30421.756097560974</v>
      </c>
      <c r="F105" s="523">
        <f t="shared" ref="F105:F130" si="29">+D105-E105</f>
        <v>1053538.0185357747</v>
      </c>
      <c r="G105" s="523">
        <f t="shared" ref="G105:G130" si="30">+(F105+D105)/2</f>
        <v>1068748.896584555</v>
      </c>
      <c r="H105" s="526">
        <f t="shared" ref="H105:H154" si="31">+J$94*G105+E105</f>
        <v>151739.96027907063</v>
      </c>
      <c r="I105" s="577">
        <f t="shared" ref="I105:I154" si="32">+J$95*G105+E105</f>
        <v>151739.96027907063</v>
      </c>
      <c r="J105" s="514">
        <f t="shared" si="20"/>
        <v>0</v>
      </c>
      <c r="K105" s="514"/>
      <c r="L105" s="525"/>
      <c r="M105" s="514">
        <f t="shared" si="21"/>
        <v>0</v>
      </c>
      <c r="N105" s="525"/>
      <c r="O105" s="514">
        <f t="shared" si="22"/>
        <v>0</v>
      </c>
      <c r="P105" s="514">
        <f t="shared" si="23"/>
        <v>0</v>
      </c>
    </row>
    <row r="106" spans="1:16">
      <c r="B106" s="195" t="str">
        <f t="shared" si="24"/>
        <v/>
      </c>
      <c r="C106" s="507">
        <f>IF(D93="","-",+C105+1)</f>
        <v>2024</v>
      </c>
      <c r="D106" s="374">
        <f>IF(F105+SUM(E$99:E105)=D$92,F105,D$92-SUM(E$99:E105))</f>
        <v>1053538.0185357747</v>
      </c>
      <c r="E106" s="522">
        <f>IF(+J96&lt;F105,J96,D106)</f>
        <v>30421.756097560974</v>
      </c>
      <c r="F106" s="523">
        <f t="shared" si="29"/>
        <v>1023116.2624382137</v>
      </c>
      <c r="G106" s="523">
        <f t="shared" si="30"/>
        <v>1038327.1404869942</v>
      </c>
      <c r="H106" s="526">
        <f t="shared" si="31"/>
        <v>148286.65817078445</v>
      </c>
      <c r="I106" s="577">
        <f t="shared" si="32"/>
        <v>148286.65817078445</v>
      </c>
      <c r="J106" s="514">
        <f t="shared" si="20"/>
        <v>0</v>
      </c>
      <c r="K106" s="514"/>
      <c r="L106" s="525"/>
      <c r="M106" s="514">
        <f t="shared" si="21"/>
        <v>0</v>
      </c>
      <c r="N106" s="525"/>
      <c r="O106" s="514">
        <f t="shared" si="22"/>
        <v>0</v>
      </c>
      <c r="P106" s="514">
        <f t="shared" si="23"/>
        <v>0</v>
      </c>
    </row>
    <row r="107" spans="1:16">
      <c r="B107" s="195" t="str">
        <f t="shared" si="24"/>
        <v/>
      </c>
      <c r="C107" s="507">
        <f>IF(D93="","-",+C106+1)</f>
        <v>2025</v>
      </c>
      <c r="D107" s="374">
        <f>IF(F106+SUM(E$99:E106)=D$92,F106,D$92-SUM(E$99:E106))</f>
        <v>1023116.2624382137</v>
      </c>
      <c r="E107" s="522">
        <f>IF(+J96&lt;F106,J96,D107)</f>
        <v>30421.756097560974</v>
      </c>
      <c r="F107" s="523">
        <f t="shared" si="29"/>
        <v>992694.5063406527</v>
      </c>
      <c r="G107" s="523">
        <f t="shared" si="30"/>
        <v>1007905.3843894332</v>
      </c>
      <c r="H107" s="526">
        <f t="shared" si="31"/>
        <v>144833.35606249823</v>
      </c>
      <c r="I107" s="577">
        <f t="shared" si="32"/>
        <v>144833.35606249823</v>
      </c>
      <c r="J107" s="514">
        <f t="shared" si="20"/>
        <v>0</v>
      </c>
      <c r="K107" s="514"/>
      <c r="L107" s="525"/>
      <c r="M107" s="514">
        <f t="shared" si="21"/>
        <v>0</v>
      </c>
      <c r="N107" s="525"/>
      <c r="O107" s="514">
        <f t="shared" si="22"/>
        <v>0</v>
      </c>
      <c r="P107" s="514">
        <f t="shared" si="23"/>
        <v>0</v>
      </c>
    </row>
    <row r="108" spans="1:16">
      <c r="B108" s="195" t="str">
        <f t="shared" si="24"/>
        <v/>
      </c>
      <c r="C108" s="507">
        <f>IF(D93="","-",+C107+1)</f>
        <v>2026</v>
      </c>
      <c r="D108" s="374">
        <f>IF(F107+SUM(E$99:E107)=D$92,F107,D$92-SUM(E$99:E107))</f>
        <v>992694.5063406527</v>
      </c>
      <c r="E108" s="522">
        <f>IF(+J96&lt;F107,J96,D108)</f>
        <v>30421.756097560974</v>
      </c>
      <c r="F108" s="523">
        <f t="shared" si="29"/>
        <v>962272.75024309172</v>
      </c>
      <c r="G108" s="523">
        <f t="shared" si="30"/>
        <v>977483.62829187221</v>
      </c>
      <c r="H108" s="526">
        <f t="shared" si="31"/>
        <v>141380.05395421205</v>
      </c>
      <c r="I108" s="577">
        <f t="shared" si="32"/>
        <v>141380.05395421205</v>
      </c>
      <c r="J108" s="514">
        <f t="shared" si="20"/>
        <v>0</v>
      </c>
      <c r="K108" s="514"/>
      <c r="L108" s="525"/>
      <c r="M108" s="514">
        <f t="shared" si="21"/>
        <v>0</v>
      </c>
      <c r="N108" s="525"/>
      <c r="O108" s="514">
        <f t="shared" si="22"/>
        <v>0</v>
      </c>
      <c r="P108" s="514">
        <f t="shared" si="23"/>
        <v>0</v>
      </c>
    </row>
    <row r="109" spans="1:16">
      <c r="B109" s="195" t="str">
        <f t="shared" si="24"/>
        <v/>
      </c>
      <c r="C109" s="507">
        <f>IF(D93="","-",+C108+1)</f>
        <v>2027</v>
      </c>
      <c r="D109" s="374">
        <f>IF(F108+SUM(E$99:E108)=D$92,F108,D$92-SUM(E$99:E108))</f>
        <v>962272.75024309172</v>
      </c>
      <c r="E109" s="522">
        <f>IF(+J96&lt;F108,J96,D109)</f>
        <v>30421.756097560974</v>
      </c>
      <c r="F109" s="523">
        <f t="shared" si="29"/>
        <v>931850.99414553074</v>
      </c>
      <c r="G109" s="523">
        <f t="shared" si="30"/>
        <v>947061.87219431123</v>
      </c>
      <c r="H109" s="526">
        <f t="shared" si="31"/>
        <v>137926.75184592584</v>
      </c>
      <c r="I109" s="577">
        <f t="shared" si="32"/>
        <v>137926.75184592584</v>
      </c>
      <c r="J109" s="514">
        <f t="shared" si="20"/>
        <v>0</v>
      </c>
      <c r="K109" s="514"/>
      <c r="L109" s="525"/>
      <c r="M109" s="514">
        <f t="shared" si="21"/>
        <v>0</v>
      </c>
      <c r="N109" s="525"/>
      <c r="O109" s="514">
        <f t="shared" si="22"/>
        <v>0</v>
      </c>
      <c r="P109" s="514">
        <f t="shared" si="23"/>
        <v>0</v>
      </c>
    </row>
    <row r="110" spans="1:16">
      <c r="B110" s="195" t="str">
        <f t="shared" si="24"/>
        <v/>
      </c>
      <c r="C110" s="507">
        <f>IF(D93="","-",+C109+1)</f>
        <v>2028</v>
      </c>
      <c r="D110" s="374">
        <f>IF(F109+SUM(E$99:E109)=D$92,F109,D$92-SUM(E$99:E109))</f>
        <v>931850.99414553074</v>
      </c>
      <c r="E110" s="522">
        <f>IF(+J96&lt;F109,J96,D110)</f>
        <v>30421.756097560974</v>
      </c>
      <c r="F110" s="523">
        <f t="shared" si="29"/>
        <v>901429.23804796976</v>
      </c>
      <c r="G110" s="523">
        <f t="shared" si="30"/>
        <v>916640.11609675025</v>
      </c>
      <c r="H110" s="526">
        <f t="shared" si="31"/>
        <v>134473.44973763966</v>
      </c>
      <c r="I110" s="577">
        <f t="shared" si="32"/>
        <v>134473.44973763966</v>
      </c>
      <c r="J110" s="514">
        <f t="shared" si="20"/>
        <v>0</v>
      </c>
      <c r="K110" s="514"/>
      <c r="L110" s="525"/>
      <c r="M110" s="514">
        <f t="shared" si="21"/>
        <v>0</v>
      </c>
      <c r="N110" s="525"/>
      <c r="O110" s="514">
        <f t="shared" si="22"/>
        <v>0</v>
      </c>
      <c r="P110" s="514">
        <f t="shared" si="23"/>
        <v>0</v>
      </c>
    </row>
    <row r="111" spans="1:16">
      <c r="B111" s="195" t="str">
        <f t="shared" si="24"/>
        <v/>
      </c>
      <c r="C111" s="507">
        <f>IF(D93="","-",+C110+1)</f>
        <v>2029</v>
      </c>
      <c r="D111" s="374">
        <f>IF(F110+SUM(E$99:E110)=D$92,F110,D$92-SUM(E$99:E110))</f>
        <v>901429.23804796976</v>
      </c>
      <c r="E111" s="522">
        <f>IF(+J96&lt;F110,J96,D111)</f>
        <v>30421.756097560974</v>
      </c>
      <c r="F111" s="523">
        <f t="shared" si="29"/>
        <v>871007.48195040878</v>
      </c>
      <c r="G111" s="523">
        <f t="shared" si="30"/>
        <v>886218.35999918927</v>
      </c>
      <c r="H111" s="526">
        <f t="shared" si="31"/>
        <v>131020.14762935345</v>
      </c>
      <c r="I111" s="577">
        <f t="shared" si="32"/>
        <v>131020.14762935345</v>
      </c>
      <c r="J111" s="514">
        <f t="shared" si="20"/>
        <v>0</v>
      </c>
      <c r="K111" s="514"/>
      <c r="L111" s="525"/>
      <c r="M111" s="514">
        <f t="shared" si="21"/>
        <v>0</v>
      </c>
      <c r="N111" s="525"/>
      <c r="O111" s="514">
        <f t="shared" si="22"/>
        <v>0</v>
      </c>
      <c r="P111" s="514">
        <f t="shared" si="23"/>
        <v>0</v>
      </c>
    </row>
    <row r="112" spans="1:16">
      <c r="B112" s="195" t="str">
        <f t="shared" si="24"/>
        <v/>
      </c>
      <c r="C112" s="507">
        <f>IF(D93="","-",+C111+1)</f>
        <v>2030</v>
      </c>
      <c r="D112" s="374">
        <f>IF(F111+SUM(E$99:E111)=D$92,F111,D$92-SUM(E$99:E111))</f>
        <v>871007.48195040878</v>
      </c>
      <c r="E112" s="522">
        <f>IF(+J96&lt;F111,J96,D112)</f>
        <v>30421.756097560974</v>
      </c>
      <c r="F112" s="523">
        <f t="shared" si="29"/>
        <v>840585.7258528478</v>
      </c>
      <c r="G112" s="523">
        <f t="shared" si="30"/>
        <v>855796.60390162829</v>
      </c>
      <c r="H112" s="526">
        <f t="shared" si="31"/>
        <v>127566.84552106727</v>
      </c>
      <c r="I112" s="577">
        <f t="shared" si="32"/>
        <v>127566.84552106727</v>
      </c>
      <c r="J112" s="514">
        <f t="shared" si="20"/>
        <v>0</v>
      </c>
      <c r="K112" s="514"/>
      <c r="L112" s="525"/>
      <c r="M112" s="514">
        <f t="shared" si="21"/>
        <v>0</v>
      </c>
      <c r="N112" s="525"/>
      <c r="O112" s="514">
        <f t="shared" si="22"/>
        <v>0</v>
      </c>
      <c r="P112" s="514">
        <f t="shared" si="23"/>
        <v>0</v>
      </c>
    </row>
    <row r="113" spans="2:16">
      <c r="B113" s="195" t="str">
        <f t="shared" si="24"/>
        <v/>
      </c>
      <c r="C113" s="507">
        <f>IF(D93="","-",+C112+1)</f>
        <v>2031</v>
      </c>
      <c r="D113" s="374">
        <f>IF(F112+SUM(E$99:E112)=D$92,F112,D$92-SUM(E$99:E112))</f>
        <v>840585.7258528478</v>
      </c>
      <c r="E113" s="522">
        <f>IF(+J96&lt;F112,J96,D113)</f>
        <v>30421.756097560974</v>
      </c>
      <c r="F113" s="523">
        <f t="shared" si="29"/>
        <v>810163.96975528682</v>
      </c>
      <c r="G113" s="523">
        <f t="shared" si="30"/>
        <v>825374.84780406731</v>
      </c>
      <c r="H113" s="526">
        <f t="shared" si="31"/>
        <v>124113.54341278106</v>
      </c>
      <c r="I113" s="577">
        <f t="shared" si="32"/>
        <v>124113.54341278106</v>
      </c>
      <c r="J113" s="514">
        <f t="shared" si="20"/>
        <v>0</v>
      </c>
      <c r="K113" s="514"/>
      <c r="L113" s="525"/>
      <c r="M113" s="514">
        <f t="shared" si="21"/>
        <v>0</v>
      </c>
      <c r="N113" s="525"/>
      <c r="O113" s="514">
        <f t="shared" si="22"/>
        <v>0</v>
      </c>
      <c r="P113" s="514">
        <f t="shared" si="23"/>
        <v>0</v>
      </c>
    </row>
    <row r="114" spans="2:16">
      <c r="B114" s="195" t="str">
        <f t="shared" si="24"/>
        <v/>
      </c>
      <c r="C114" s="507">
        <f>IF(D93="","-",+C113+1)</f>
        <v>2032</v>
      </c>
      <c r="D114" s="374">
        <f>IF(F113+SUM(E$99:E113)=D$92,F113,D$92-SUM(E$99:E113))</f>
        <v>810163.96975528682</v>
      </c>
      <c r="E114" s="522">
        <f>IF(+J96&lt;F113,J96,D114)</f>
        <v>30421.756097560974</v>
      </c>
      <c r="F114" s="523">
        <f t="shared" si="29"/>
        <v>779742.21365772584</v>
      </c>
      <c r="G114" s="523">
        <f t="shared" si="30"/>
        <v>794953.09170650633</v>
      </c>
      <c r="H114" s="526">
        <f t="shared" si="31"/>
        <v>120660.24130449488</v>
      </c>
      <c r="I114" s="577">
        <f t="shared" si="32"/>
        <v>120660.24130449488</v>
      </c>
      <c r="J114" s="514">
        <f t="shared" si="20"/>
        <v>0</v>
      </c>
      <c r="K114" s="514"/>
      <c r="L114" s="525"/>
      <c r="M114" s="514">
        <f t="shared" si="21"/>
        <v>0</v>
      </c>
      <c r="N114" s="525"/>
      <c r="O114" s="514">
        <f t="shared" si="22"/>
        <v>0</v>
      </c>
      <c r="P114" s="514">
        <f t="shared" si="23"/>
        <v>0</v>
      </c>
    </row>
    <row r="115" spans="2:16">
      <c r="B115" s="195" t="str">
        <f t="shared" si="24"/>
        <v/>
      </c>
      <c r="C115" s="507">
        <f>IF(D93="","-",+C114+1)</f>
        <v>2033</v>
      </c>
      <c r="D115" s="374">
        <f>IF(F114+SUM(E$99:E114)=D$92,F114,D$92-SUM(E$99:E114))</f>
        <v>779742.21365772584</v>
      </c>
      <c r="E115" s="522">
        <f>IF(+J96&lt;F114,J96,D115)</f>
        <v>30421.756097560974</v>
      </c>
      <c r="F115" s="523">
        <f t="shared" si="29"/>
        <v>749320.45756016485</v>
      </c>
      <c r="G115" s="523">
        <f t="shared" si="30"/>
        <v>764531.33560894534</v>
      </c>
      <c r="H115" s="526">
        <f t="shared" si="31"/>
        <v>117206.93919620867</v>
      </c>
      <c r="I115" s="577">
        <f t="shared" si="32"/>
        <v>117206.93919620867</v>
      </c>
      <c r="J115" s="514">
        <f t="shared" si="20"/>
        <v>0</v>
      </c>
      <c r="K115" s="514"/>
      <c r="L115" s="525"/>
      <c r="M115" s="514">
        <f t="shared" si="21"/>
        <v>0</v>
      </c>
      <c r="N115" s="525"/>
      <c r="O115" s="514">
        <f t="shared" si="22"/>
        <v>0</v>
      </c>
      <c r="P115" s="514">
        <f t="shared" si="23"/>
        <v>0</v>
      </c>
    </row>
    <row r="116" spans="2:16">
      <c r="B116" s="195" t="str">
        <f t="shared" si="24"/>
        <v/>
      </c>
      <c r="C116" s="507">
        <f>IF(D93="","-",+C115+1)</f>
        <v>2034</v>
      </c>
      <c r="D116" s="374">
        <f>IF(F115+SUM(E$99:E115)=D$92,F115,D$92-SUM(E$99:E115))</f>
        <v>749320.45756016485</v>
      </c>
      <c r="E116" s="522">
        <f>IF(+J96&lt;F115,J96,D116)</f>
        <v>30421.756097560974</v>
      </c>
      <c r="F116" s="523">
        <f t="shared" si="29"/>
        <v>718898.70146260387</v>
      </c>
      <c r="G116" s="523">
        <f t="shared" si="30"/>
        <v>734109.57951138436</v>
      </c>
      <c r="H116" s="526">
        <f t="shared" si="31"/>
        <v>113753.63708792249</v>
      </c>
      <c r="I116" s="577">
        <f t="shared" si="32"/>
        <v>113753.63708792249</v>
      </c>
      <c r="J116" s="514">
        <f t="shared" si="20"/>
        <v>0</v>
      </c>
      <c r="K116" s="514"/>
      <c r="L116" s="525"/>
      <c r="M116" s="514">
        <f t="shared" si="21"/>
        <v>0</v>
      </c>
      <c r="N116" s="525"/>
      <c r="O116" s="514">
        <f t="shared" si="22"/>
        <v>0</v>
      </c>
      <c r="P116" s="514">
        <f t="shared" si="23"/>
        <v>0</v>
      </c>
    </row>
    <row r="117" spans="2:16">
      <c r="B117" s="195" t="str">
        <f t="shared" si="24"/>
        <v/>
      </c>
      <c r="C117" s="507">
        <f>IF(D93="","-",+C116+1)</f>
        <v>2035</v>
      </c>
      <c r="D117" s="374">
        <f>IF(F116+SUM(E$99:E116)=D$92,F116,D$92-SUM(E$99:E116))</f>
        <v>718898.70146260387</v>
      </c>
      <c r="E117" s="522">
        <f>IF(+J96&lt;F116,J96,D117)</f>
        <v>30421.756097560974</v>
      </c>
      <c r="F117" s="523">
        <f t="shared" si="29"/>
        <v>688476.94536504289</v>
      </c>
      <c r="G117" s="523">
        <f t="shared" si="30"/>
        <v>703687.82341382338</v>
      </c>
      <c r="H117" s="526">
        <f t="shared" si="31"/>
        <v>110300.33497963627</v>
      </c>
      <c r="I117" s="577">
        <f t="shared" si="32"/>
        <v>110300.33497963627</v>
      </c>
      <c r="J117" s="514">
        <f t="shared" si="20"/>
        <v>0</v>
      </c>
      <c r="K117" s="514"/>
      <c r="L117" s="525"/>
      <c r="M117" s="514">
        <f t="shared" si="21"/>
        <v>0</v>
      </c>
      <c r="N117" s="525"/>
      <c r="O117" s="514">
        <f t="shared" si="22"/>
        <v>0</v>
      </c>
      <c r="P117" s="514">
        <f t="shared" si="23"/>
        <v>0</v>
      </c>
    </row>
    <row r="118" spans="2:16">
      <c r="B118" s="195" t="str">
        <f t="shared" si="24"/>
        <v/>
      </c>
      <c r="C118" s="507">
        <f>IF(D93="","-",+C117+1)</f>
        <v>2036</v>
      </c>
      <c r="D118" s="374">
        <f>IF(F117+SUM(E$99:E117)=D$92,F117,D$92-SUM(E$99:E117))</f>
        <v>688476.94536504289</v>
      </c>
      <c r="E118" s="522">
        <f>IF(+J96&lt;F117,J96,D118)</f>
        <v>30421.756097560974</v>
      </c>
      <c r="F118" s="523">
        <f t="shared" si="29"/>
        <v>658055.18926748191</v>
      </c>
      <c r="G118" s="523">
        <f t="shared" si="30"/>
        <v>673266.0673162624</v>
      </c>
      <c r="H118" s="526">
        <f t="shared" si="31"/>
        <v>106847.03287135009</v>
      </c>
      <c r="I118" s="577">
        <f t="shared" si="32"/>
        <v>106847.03287135009</v>
      </c>
      <c r="J118" s="514">
        <f t="shared" si="20"/>
        <v>0</v>
      </c>
      <c r="K118" s="514"/>
      <c r="L118" s="525"/>
      <c r="M118" s="514">
        <f t="shared" si="21"/>
        <v>0</v>
      </c>
      <c r="N118" s="525"/>
      <c r="O118" s="514">
        <f t="shared" si="22"/>
        <v>0</v>
      </c>
      <c r="P118" s="514">
        <f t="shared" si="23"/>
        <v>0</v>
      </c>
    </row>
    <row r="119" spans="2:16">
      <c r="B119" s="195" t="str">
        <f t="shared" si="24"/>
        <v/>
      </c>
      <c r="C119" s="507">
        <f>IF(D93="","-",+C118+1)</f>
        <v>2037</v>
      </c>
      <c r="D119" s="374">
        <f>IF(F118+SUM(E$99:E118)=D$92,F118,D$92-SUM(E$99:E118))</f>
        <v>658055.18926748191</v>
      </c>
      <c r="E119" s="522">
        <f>IF(+J96&lt;F118,J96,D119)</f>
        <v>30421.756097560974</v>
      </c>
      <c r="F119" s="523">
        <f t="shared" si="29"/>
        <v>627633.43316992093</v>
      </c>
      <c r="G119" s="523">
        <f t="shared" si="30"/>
        <v>642844.31121870142</v>
      </c>
      <c r="H119" s="526">
        <f t="shared" si="31"/>
        <v>103393.73076306388</v>
      </c>
      <c r="I119" s="577">
        <f t="shared" si="32"/>
        <v>103393.73076306388</v>
      </c>
      <c r="J119" s="514">
        <f t="shared" si="20"/>
        <v>0</v>
      </c>
      <c r="K119" s="514"/>
      <c r="L119" s="525"/>
      <c r="M119" s="514">
        <f t="shared" si="21"/>
        <v>0</v>
      </c>
      <c r="N119" s="525"/>
      <c r="O119" s="514">
        <f t="shared" si="22"/>
        <v>0</v>
      </c>
      <c r="P119" s="514">
        <f t="shared" si="23"/>
        <v>0</v>
      </c>
    </row>
    <row r="120" spans="2:16">
      <c r="B120" s="195" t="str">
        <f t="shared" si="24"/>
        <v/>
      </c>
      <c r="C120" s="507">
        <f>IF(D93="","-",+C119+1)</f>
        <v>2038</v>
      </c>
      <c r="D120" s="374">
        <f>IF(F119+SUM(E$99:E119)=D$92,F119,D$92-SUM(E$99:E119))</f>
        <v>627633.43316992093</v>
      </c>
      <c r="E120" s="522">
        <f>IF(+J96&lt;F119,J96,D120)</f>
        <v>30421.756097560974</v>
      </c>
      <c r="F120" s="523">
        <f t="shared" si="29"/>
        <v>597211.67707235995</v>
      </c>
      <c r="G120" s="523">
        <f t="shared" si="30"/>
        <v>612422.55512114044</v>
      </c>
      <c r="H120" s="526">
        <f t="shared" si="31"/>
        <v>99940.428654777701</v>
      </c>
      <c r="I120" s="577">
        <f t="shared" si="32"/>
        <v>99940.428654777701</v>
      </c>
      <c r="J120" s="514">
        <f t="shared" si="20"/>
        <v>0</v>
      </c>
      <c r="K120" s="514"/>
      <c r="L120" s="525"/>
      <c r="M120" s="514">
        <f t="shared" si="21"/>
        <v>0</v>
      </c>
      <c r="N120" s="525"/>
      <c r="O120" s="514">
        <f t="shared" si="22"/>
        <v>0</v>
      </c>
      <c r="P120" s="514">
        <f t="shared" si="23"/>
        <v>0</v>
      </c>
    </row>
    <row r="121" spans="2:16">
      <c r="B121" s="195" t="str">
        <f t="shared" si="24"/>
        <v/>
      </c>
      <c r="C121" s="507">
        <f>IF(D93="","-",+C120+1)</f>
        <v>2039</v>
      </c>
      <c r="D121" s="374">
        <f>IF(F120+SUM(E$99:E120)=D$92,F120,D$92-SUM(E$99:E120))</f>
        <v>597211.67707235995</v>
      </c>
      <c r="E121" s="522">
        <f>IF(+J96&lt;F120,J96,D121)</f>
        <v>30421.756097560974</v>
      </c>
      <c r="F121" s="523">
        <f t="shared" si="29"/>
        <v>566789.92097479897</v>
      </c>
      <c r="G121" s="523">
        <f t="shared" si="30"/>
        <v>582000.79902357946</v>
      </c>
      <c r="H121" s="526">
        <f t="shared" si="31"/>
        <v>96487.12654649149</v>
      </c>
      <c r="I121" s="577">
        <f t="shared" si="32"/>
        <v>96487.12654649149</v>
      </c>
      <c r="J121" s="514">
        <f t="shared" si="20"/>
        <v>0</v>
      </c>
      <c r="K121" s="514"/>
      <c r="L121" s="525"/>
      <c r="M121" s="514">
        <f t="shared" si="21"/>
        <v>0</v>
      </c>
      <c r="N121" s="525"/>
      <c r="O121" s="514">
        <f t="shared" si="22"/>
        <v>0</v>
      </c>
      <c r="P121" s="514">
        <f t="shared" si="23"/>
        <v>0</v>
      </c>
    </row>
    <row r="122" spans="2:16">
      <c r="B122" s="195" t="str">
        <f t="shared" si="24"/>
        <v/>
      </c>
      <c r="C122" s="507">
        <f>IF(D93="","-",+C121+1)</f>
        <v>2040</v>
      </c>
      <c r="D122" s="374">
        <f>IF(F121+SUM(E$99:E121)=D$92,F121,D$92-SUM(E$99:E121))</f>
        <v>566789.92097479897</v>
      </c>
      <c r="E122" s="522">
        <f>IF(+J96&lt;F121,J96,D122)</f>
        <v>30421.756097560974</v>
      </c>
      <c r="F122" s="523">
        <f t="shared" si="29"/>
        <v>536368.16487723798</v>
      </c>
      <c r="G122" s="523">
        <f t="shared" si="30"/>
        <v>551579.04292601848</v>
      </c>
      <c r="H122" s="526">
        <f t="shared" si="31"/>
        <v>93033.824438205309</v>
      </c>
      <c r="I122" s="577">
        <f t="shared" si="32"/>
        <v>93033.824438205309</v>
      </c>
      <c r="J122" s="514">
        <f t="shared" si="20"/>
        <v>0</v>
      </c>
      <c r="K122" s="514"/>
      <c r="L122" s="525"/>
      <c r="M122" s="514">
        <f t="shared" si="21"/>
        <v>0</v>
      </c>
      <c r="N122" s="525"/>
      <c r="O122" s="514">
        <f t="shared" si="22"/>
        <v>0</v>
      </c>
      <c r="P122" s="514">
        <f t="shared" si="23"/>
        <v>0</v>
      </c>
    </row>
    <row r="123" spans="2:16">
      <c r="B123" s="195" t="str">
        <f t="shared" si="24"/>
        <v/>
      </c>
      <c r="C123" s="507">
        <f>IF(D93="","-",+C122+1)</f>
        <v>2041</v>
      </c>
      <c r="D123" s="374">
        <f>IF(F122+SUM(E$99:E122)=D$92,F122,D$92-SUM(E$99:E122))</f>
        <v>536368.16487723798</v>
      </c>
      <c r="E123" s="522">
        <f>IF(+J96&lt;F122,J96,D123)</f>
        <v>30421.756097560974</v>
      </c>
      <c r="F123" s="523">
        <f t="shared" si="29"/>
        <v>505946.408779677</v>
      </c>
      <c r="G123" s="523">
        <f t="shared" si="30"/>
        <v>521157.28682845749</v>
      </c>
      <c r="H123" s="526">
        <f t="shared" si="31"/>
        <v>89580.522329919113</v>
      </c>
      <c r="I123" s="577">
        <f t="shared" si="32"/>
        <v>89580.522329919113</v>
      </c>
      <c r="J123" s="514">
        <f t="shared" si="20"/>
        <v>0</v>
      </c>
      <c r="K123" s="514"/>
      <c r="L123" s="525"/>
      <c r="M123" s="514">
        <f t="shared" si="21"/>
        <v>0</v>
      </c>
      <c r="N123" s="525"/>
      <c r="O123" s="514">
        <f t="shared" si="22"/>
        <v>0</v>
      </c>
      <c r="P123" s="514">
        <f t="shared" si="23"/>
        <v>0</v>
      </c>
    </row>
    <row r="124" spans="2:16">
      <c r="B124" s="195" t="str">
        <f t="shared" si="24"/>
        <v/>
      </c>
      <c r="C124" s="507">
        <f>IF(D93="","-",+C123+1)</f>
        <v>2042</v>
      </c>
      <c r="D124" s="374">
        <f>IF(F123+SUM(E$99:E123)=D$92,F123,D$92-SUM(E$99:E123))</f>
        <v>505946.408779677</v>
      </c>
      <c r="E124" s="522">
        <f>IF(+J96&lt;F123,J96,D124)</f>
        <v>30421.756097560974</v>
      </c>
      <c r="F124" s="523">
        <f t="shared" si="29"/>
        <v>475524.65268211602</v>
      </c>
      <c r="G124" s="523">
        <f t="shared" si="30"/>
        <v>490735.53073089651</v>
      </c>
      <c r="H124" s="526">
        <f t="shared" si="31"/>
        <v>86127.220221632917</v>
      </c>
      <c r="I124" s="577">
        <f t="shared" si="32"/>
        <v>86127.220221632917</v>
      </c>
      <c r="J124" s="514">
        <f t="shared" si="20"/>
        <v>0</v>
      </c>
      <c r="K124" s="514"/>
      <c r="L124" s="525"/>
      <c r="M124" s="514">
        <f t="shared" si="21"/>
        <v>0</v>
      </c>
      <c r="N124" s="525"/>
      <c r="O124" s="514">
        <f t="shared" si="22"/>
        <v>0</v>
      </c>
      <c r="P124" s="514">
        <f t="shared" si="23"/>
        <v>0</v>
      </c>
    </row>
    <row r="125" spans="2:16">
      <c r="B125" s="195" t="str">
        <f t="shared" si="24"/>
        <v/>
      </c>
      <c r="C125" s="507">
        <f>IF(D93="","-",+C124+1)</f>
        <v>2043</v>
      </c>
      <c r="D125" s="374">
        <f>IF(F124+SUM(E$99:E124)=D$92,F124,D$92-SUM(E$99:E124))</f>
        <v>475524.65268211602</v>
      </c>
      <c r="E125" s="522">
        <f>IF(+J96&lt;F124,J96,D125)</f>
        <v>30421.756097560974</v>
      </c>
      <c r="F125" s="523">
        <f t="shared" si="29"/>
        <v>445102.89658455504</v>
      </c>
      <c r="G125" s="523">
        <f t="shared" si="30"/>
        <v>460313.77463333553</v>
      </c>
      <c r="H125" s="526">
        <f t="shared" si="31"/>
        <v>82673.918113346721</v>
      </c>
      <c r="I125" s="577">
        <f t="shared" si="32"/>
        <v>82673.918113346721</v>
      </c>
      <c r="J125" s="514">
        <f t="shared" si="20"/>
        <v>0</v>
      </c>
      <c r="K125" s="514"/>
      <c r="L125" s="525"/>
      <c r="M125" s="514">
        <f t="shared" si="21"/>
        <v>0</v>
      </c>
      <c r="N125" s="525"/>
      <c r="O125" s="514">
        <f t="shared" si="22"/>
        <v>0</v>
      </c>
      <c r="P125" s="514">
        <f t="shared" si="23"/>
        <v>0</v>
      </c>
    </row>
    <row r="126" spans="2:16">
      <c r="B126" s="195" t="str">
        <f t="shared" si="24"/>
        <v/>
      </c>
      <c r="C126" s="507">
        <f>IF(D93="","-",+C125+1)</f>
        <v>2044</v>
      </c>
      <c r="D126" s="374">
        <f>IF(F125+SUM(E$99:E125)=D$92,F125,D$92-SUM(E$99:E125))</f>
        <v>445102.89658455504</v>
      </c>
      <c r="E126" s="522">
        <f>IF(+J96&lt;F125,J96,D126)</f>
        <v>30421.756097560974</v>
      </c>
      <c r="F126" s="523">
        <f t="shared" si="29"/>
        <v>414681.14048699406</v>
      </c>
      <c r="G126" s="523">
        <f t="shared" si="30"/>
        <v>429892.01853577455</v>
      </c>
      <c r="H126" s="526">
        <f t="shared" si="31"/>
        <v>79220.616005060525</v>
      </c>
      <c r="I126" s="577">
        <f t="shared" si="32"/>
        <v>79220.616005060525</v>
      </c>
      <c r="J126" s="514">
        <f t="shared" si="20"/>
        <v>0</v>
      </c>
      <c r="K126" s="514"/>
      <c r="L126" s="525"/>
      <c r="M126" s="514">
        <f t="shared" si="21"/>
        <v>0</v>
      </c>
      <c r="N126" s="525"/>
      <c r="O126" s="514">
        <f t="shared" si="22"/>
        <v>0</v>
      </c>
      <c r="P126" s="514">
        <f t="shared" si="23"/>
        <v>0</v>
      </c>
    </row>
    <row r="127" spans="2:16">
      <c r="B127" s="195" t="str">
        <f t="shared" si="24"/>
        <v/>
      </c>
      <c r="C127" s="507">
        <f>IF(D93="","-",+C126+1)</f>
        <v>2045</v>
      </c>
      <c r="D127" s="374">
        <f>IF(F126+SUM(E$99:E126)=D$92,F126,D$92-SUM(E$99:E126))</f>
        <v>414681.14048699406</v>
      </c>
      <c r="E127" s="522">
        <f>IF(+J96&lt;F126,J96,D127)</f>
        <v>30421.756097560974</v>
      </c>
      <c r="F127" s="523">
        <f t="shared" si="29"/>
        <v>384259.38438943308</v>
      </c>
      <c r="G127" s="523">
        <f t="shared" si="30"/>
        <v>399470.26243821357</v>
      </c>
      <c r="H127" s="526">
        <f t="shared" si="31"/>
        <v>75767.313896774329</v>
      </c>
      <c r="I127" s="577">
        <f t="shared" si="32"/>
        <v>75767.313896774329</v>
      </c>
      <c r="J127" s="514">
        <f t="shared" si="20"/>
        <v>0</v>
      </c>
      <c r="K127" s="514"/>
      <c r="L127" s="525"/>
      <c r="M127" s="514">
        <f t="shared" si="21"/>
        <v>0</v>
      </c>
      <c r="N127" s="525"/>
      <c r="O127" s="514">
        <f t="shared" si="22"/>
        <v>0</v>
      </c>
      <c r="P127" s="514">
        <f t="shared" si="23"/>
        <v>0</v>
      </c>
    </row>
    <row r="128" spans="2:16">
      <c r="B128" s="195" t="str">
        <f t="shared" si="24"/>
        <v/>
      </c>
      <c r="C128" s="507">
        <f>IF(D93="","-",+C127+1)</f>
        <v>2046</v>
      </c>
      <c r="D128" s="374">
        <f>IF(F127+SUM(E$99:E127)=D$92,F127,D$92-SUM(E$99:E127))</f>
        <v>384259.38438943308</v>
      </c>
      <c r="E128" s="522">
        <f>IF(+J96&lt;F127,J96,D128)</f>
        <v>30421.756097560974</v>
      </c>
      <c r="F128" s="523">
        <f t="shared" si="29"/>
        <v>353837.6282918721</v>
      </c>
      <c r="G128" s="523">
        <f t="shared" si="30"/>
        <v>369048.50634065259</v>
      </c>
      <c r="H128" s="526">
        <f t="shared" si="31"/>
        <v>72314.011788488133</v>
      </c>
      <c r="I128" s="577">
        <f t="shared" si="32"/>
        <v>72314.011788488133</v>
      </c>
      <c r="J128" s="514">
        <f t="shared" si="20"/>
        <v>0</v>
      </c>
      <c r="K128" s="514"/>
      <c r="L128" s="525"/>
      <c r="M128" s="514">
        <f t="shared" si="21"/>
        <v>0</v>
      </c>
      <c r="N128" s="525"/>
      <c r="O128" s="514">
        <f t="shared" si="22"/>
        <v>0</v>
      </c>
      <c r="P128" s="514">
        <f t="shared" si="23"/>
        <v>0</v>
      </c>
    </row>
    <row r="129" spans="2:16">
      <c r="B129" s="195" t="str">
        <f t="shared" si="24"/>
        <v/>
      </c>
      <c r="C129" s="507">
        <f>IF(D93="","-",+C128+1)</f>
        <v>2047</v>
      </c>
      <c r="D129" s="374">
        <f>IF(F128+SUM(E$99:E128)=D$92,F128,D$92-SUM(E$99:E128))</f>
        <v>353837.6282918721</v>
      </c>
      <c r="E129" s="522">
        <f>IF(+J96&lt;F128,J96,D129)</f>
        <v>30421.756097560974</v>
      </c>
      <c r="F129" s="523">
        <f t="shared" si="29"/>
        <v>323415.87219431112</v>
      </c>
      <c r="G129" s="523">
        <f t="shared" si="30"/>
        <v>338626.75024309161</v>
      </c>
      <c r="H129" s="526">
        <f t="shared" si="31"/>
        <v>68860.709680201937</v>
      </c>
      <c r="I129" s="577">
        <f t="shared" si="32"/>
        <v>68860.709680201937</v>
      </c>
      <c r="J129" s="514">
        <f t="shared" si="20"/>
        <v>0</v>
      </c>
      <c r="K129" s="514"/>
      <c r="L129" s="525"/>
      <c r="M129" s="514">
        <f t="shared" si="21"/>
        <v>0</v>
      </c>
      <c r="N129" s="525"/>
      <c r="O129" s="514">
        <f t="shared" si="22"/>
        <v>0</v>
      </c>
      <c r="P129" s="514">
        <f t="shared" si="23"/>
        <v>0</v>
      </c>
    </row>
    <row r="130" spans="2:16">
      <c r="B130" s="195" t="str">
        <f t="shared" si="24"/>
        <v/>
      </c>
      <c r="C130" s="507">
        <f>IF(D93="","-",+C129+1)</f>
        <v>2048</v>
      </c>
      <c r="D130" s="374">
        <f>IF(F129+SUM(E$99:E129)=D$92,F129,D$92-SUM(E$99:E129))</f>
        <v>323415.87219431112</v>
      </c>
      <c r="E130" s="522">
        <f>IF(+J96&lt;F129,J96,D130)</f>
        <v>30421.756097560974</v>
      </c>
      <c r="F130" s="523">
        <f t="shared" si="29"/>
        <v>292994.11609675013</v>
      </c>
      <c r="G130" s="523">
        <f t="shared" si="30"/>
        <v>308204.99414553063</v>
      </c>
      <c r="H130" s="526">
        <f t="shared" si="31"/>
        <v>65407.407571915741</v>
      </c>
      <c r="I130" s="577">
        <f t="shared" si="32"/>
        <v>65407.407571915741</v>
      </c>
      <c r="J130" s="514">
        <f t="shared" si="20"/>
        <v>0</v>
      </c>
      <c r="K130" s="514"/>
      <c r="L130" s="525"/>
      <c r="M130" s="514">
        <f t="shared" si="21"/>
        <v>0</v>
      </c>
      <c r="N130" s="525"/>
      <c r="O130" s="514">
        <f t="shared" si="22"/>
        <v>0</v>
      </c>
      <c r="P130" s="514">
        <f t="shared" si="23"/>
        <v>0</v>
      </c>
    </row>
    <row r="131" spans="2:16">
      <c r="B131" s="195" t="str">
        <f t="shared" si="24"/>
        <v/>
      </c>
      <c r="C131" s="507">
        <f>IF(D93="","-",+C130+1)</f>
        <v>2049</v>
      </c>
      <c r="D131" s="374">
        <f>IF(F130+SUM(E$99:E130)=D$92,F130,D$92-SUM(E$99:E130))</f>
        <v>292994.11609675013</v>
      </c>
      <c r="E131" s="522">
        <f>IF(+J96&lt;F130,J96,D131)</f>
        <v>30421.756097560974</v>
      </c>
      <c r="F131" s="523">
        <f t="shared" ref="F131:F154" si="33">+D131-E131</f>
        <v>262572.35999918915</v>
      </c>
      <c r="G131" s="523">
        <f t="shared" ref="G131:G154" si="34">+(F131+D131)/2</f>
        <v>277783.23804796964</v>
      </c>
      <c r="H131" s="526">
        <f t="shared" si="31"/>
        <v>61954.105463629545</v>
      </c>
      <c r="I131" s="577">
        <f t="shared" si="32"/>
        <v>61954.105463629545</v>
      </c>
      <c r="J131" s="514">
        <f t="shared" ref="J131:J154" si="35">+I541-H541</f>
        <v>0</v>
      </c>
      <c r="K131" s="514"/>
      <c r="L131" s="525"/>
      <c r="M131" s="514">
        <f t="shared" ref="M131:M154" si="36">IF(L541&lt;&gt;0,+H541-L541,0)</f>
        <v>0</v>
      </c>
      <c r="N131" s="525"/>
      <c r="O131" s="514">
        <f t="shared" ref="O131:O154" si="37">IF(N541&lt;&gt;0,+I541-N541,0)</f>
        <v>0</v>
      </c>
      <c r="P131" s="514">
        <f t="shared" ref="P131:P154" si="38">+O541-M541</f>
        <v>0</v>
      </c>
    </row>
    <row r="132" spans="2:16">
      <c r="B132" s="195" t="str">
        <f t="shared" si="24"/>
        <v/>
      </c>
      <c r="C132" s="507">
        <f>IF(D93="","-",+C131+1)</f>
        <v>2050</v>
      </c>
      <c r="D132" s="374">
        <f>IF(F131+SUM(E$99:E131)=D$92,F131,D$92-SUM(E$99:E131))</f>
        <v>262572.35999918915</v>
      </c>
      <c r="E132" s="522">
        <f>IF(+J96&lt;F131,J96,D132)</f>
        <v>30421.756097560974</v>
      </c>
      <c r="F132" s="523">
        <f t="shared" si="33"/>
        <v>232150.60390162817</v>
      </c>
      <c r="G132" s="523">
        <f t="shared" si="34"/>
        <v>247361.48195040866</v>
      </c>
      <c r="H132" s="526">
        <f t="shared" si="31"/>
        <v>58500.803355343349</v>
      </c>
      <c r="I132" s="577">
        <f t="shared" si="32"/>
        <v>58500.803355343349</v>
      </c>
      <c r="J132" s="514">
        <f t="shared" si="35"/>
        <v>0</v>
      </c>
      <c r="K132" s="514"/>
      <c r="L132" s="525"/>
      <c r="M132" s="514">
        <f t="shared" si="36"/>
        <v>0</v>
      </c>
      <c r="N132" s="525"/>
      <c r="O132" s="514">
        <f t="shared" si="37"/>
        <v>0</v>
      </c>
      <c r="P132" s="514">
        <f t="shared" si="38"/>
        <v>0</v>
      </c>
    </row>
    <row r="133" spans="2:16">
      <c r="B133" s="195" t="str">
        <f t="shared" si="24"/>
        <v/>
      </c>
      <c r="C133" s="507">
        <f>IF(D93="","-",+C132+1)</f>
        <v>2051</v>
      </c>
      <c r="D133" s="374">
        <f>IF(F132+SUM(E$99:E132)=D$92,F132,D$92-SUM(E$99:E132))</f>
        <v>232150.60390162817</v>
      </c>
      <c r="E133" s="522">
        <f>IF(+J96&lt;F132,J96,D133)</f>
        <v>30421.756097560974</v>
      </c>
      <c r="F133" s="523">
        <f t="shared" si="33"/>
        <v>201728.84780406719</v>
      </c>
      <c r="G133" s="523">
        <f t="shared" si="34"/>
        <v>216939.72585284768</v>
      </c>
      <c r="H133" s="526">
        <f t="shared" si="31"/>
        <v>55047.501247057153</v>
      </c>
      <c r="I133" s="577">
        <f t="shared" si="32"/>
        <v>55047.501247057153</v>
      </c>
      <c r="J133" s="514">
        <f t="shared" si="35"/>
        <v>0</v>
      </c>
      <c r="K133" s="514"/>
      <c r="L133" s="525"/>
      <c r="M133" s="514">
        <f t="shared" si="36"/>
        <v>0</v>
      </c>
      <c r="N133" s="525"/>
      <c r="O133" s="514">
        <f t="shared" si="37"/>
        <v>0</v>
      </c>
      <c r="P133" s="514">
        <f t="shared" si="38"/>
        <v>0</v>
      </c>
    </row>
    <row r="134" spans="2:16">
      <c r="B134" s="195" t="str">
        <f t="shared" si="24"/>
        <v/>
      </c>
      <c r="C134" s="507">
        <f>IF(D93="","-",+C133+1)</f>
        <v>2052</v>
      </c>
      <c r="D134" s="374">
        <f>IF(F133+SUM(E$99:E133)=D$92,F133,D$92-SUM(E$99:E133))</f>
        <v>201728.84780406719</v>
      </c>
      <c r="E134" s="522">
        <f>IF(+J96&lt;F133,J96,D134)</f>
        <v>30421.756097560974</v>
      </c>
      <c r="F134" s="523">
        <f t="shared" si="33"/>
        <v>171307.09170650621</v>
      </c>
      <c r="G134" s="523">
        <f t="shared" si="34"/>
        <v>186517.9697552867</v>
      </c>
      <c r="H134" s="526">
        <f t="shared" si="31"/>
        <v>51594.199138770957</v>
      </c>
      <c r="I134" s="577">
        <f t="shared" si="32"/>
        <v>51594.199138770957</v>
      </c>
      <c r="J134" s="514">
        <f t="shared" si="35"/>
        <v>0</v>
      </c>
      <c r="K134" s="514"/>
      <c r="L134" s="525"/>
      <c r="M134" s="514">
        <f t="shared" si="36"/>
        <v>0</v>
      </c>
      <c r="N134" s="525"/>
      <c r="O134" s="514">
        <f t="shared" si="37"/>
        <v>0</v>
      </c>
      <c r="P134" s="514">
        <f t="shared" si="38"/>
        <v>0</v>
      </c>
    </row>
    <row r="135" spans="2:16">
      <c r="B135" s="195" t="str">
        <f t="shared" si="24"/>
        <v/>
      </c>
      <c r="C135" s="507">
        <f>IF(D93="","-",+C134+1)</f>
        <v>2053</v>
      </c>
      <c r="D135" s="374">
        <f>IF(F134+SUM(E$99:E134)=D$92,F134,D$92-SUM(E$99:E134))</f>
        <v>171307.09170650621</v>
      </c>
      <c r="E135" s="522">
        <f>IF(+J96&lt;F134,J96,D135)</f>
        <v>30421.756097560974</v>
      </c>
      <c r="F135" s="523">
        <f t="shared" si="33"/>
        <v>140885.33560894523</v>
      </c>
      <c r="G135" s="523">
        <f t="shared" si="34"/>
        <v>156096.21365772572</v>
      </c>
      <c r="H135" s="526">
        <f t="shared" si="31"/>
        <v>48140.897030484761</v>
      </c>
      <c r="I135" s="577">
        <f t="shared" si="32"/>
        <v>48140.897030484761</v>
      </c>
      <c r="J135" s="514">
        <f t="shared" si="35"/>
        <v>0</v>
      </c>
      <c r="K135" s="514"/>
      <c r="L135" s="525"/>
      <c r="M135" s="514">
        <f t="shared" si="36"/>
        <v>0</v>
      </c>
      <c r="N135" s="525"/>
      <c r="O135" s="514">
        <f t="shared" si="37"/>
        <v>0</v>
      </c>
      <c r="P135" s="514">
        <f t="shared" si="38"/>
        <v>0</v>
      </c>
    </row>
    <row r="136" spans="2:16">
      <c r="B136" s="195" t="str">
        <f t="shared" si="24"/>
        <v/>
      </c>
      <c r="C136" s="507">
        <f>IF(D93="","-",+C135+1)</f>
        <v>2054</v>
      </c>
      <c r="D136" s="374">
        <f>IF(F135+SUM(E$99:E135)=D$92,F135,D$92-SUM(E$99:E135))</f>
        <v>140885.33560894523</v>
      </c>
      <c r="E136" s="522">
        <f>IF(+J96&lt;F135,J96,D136)</f>
        <v>30421.756097560974</v>
      </c>
      <c r="F136" s="523">
        <f t="shared" si="33"/>
        <v>110463.57951138425</v>
      </c>
      <c r="G136" s="523">
        <f t="shared" si="34"/>
        <v>125674.45756016474</v>
      </c>
      <c r="H136" s="526">
        <f t="shared" si="31"/>
        <v>44687.594922198565</v>
      </c>
      <c r="I136" s="577">
        <f t="shared" si="32"/>
        <v>44687.594922198565</v>
      </c>
      <c r="J136" s="514">
        <f t="shared" si="35"/>
        <v>0</v>
      </c>
      <c r="K136" s="514"/>
      <c r="L136" s="525"/>
      <c r="M136" s="514">
        <f t="shared" si="36"/>
        <v>0</v>
      </c>
      <c r="N136" s="525"/>
      <c r="O136" s="514">
        <f t="shared" si="37"/>
        <v>0</v>
      </c>
      <c r="P136" s="514">
        <f t="shared" si="38"/>
        <v>0</v>
      </c>
    </row>
    <row r="137" spans="2:16">
      <c r="B137" s="195" t="str">
        <f t="shared" si="24"/>
        <v/>
      </c>
      <c r="C137" s="507">
        <f>IF(D93="","-",+C136+1)</f>
        <v>2055</v>
      </c>
      <c r="D137" s="374">
        <f>IF(F136+SUM(E$99:E136)=D$92,F136,D$92-SUM(E$99:E136))</f>
        <v>110463.57951138425</v>
      </c>
      <c r="E137" s="522">
        <f>IF(+J96&lt;F136,J96,D137)</f>
        <v>30421.756097560974</v>
      </c>
      <c r="F137" s="523">
        <f t="shared" si="33"/>
        <v>80041.823413823266</v>
      </c>
      <c r="G137" s="523">
        <f t="shared" si="34"/>
        <v>95252.701462603756</v>
      </c>
      <c r="H137" s="526">
        <f t="shared" si="31"/>
        <v>41234.292813912369</v>
      </c>
      <c r="I137" s="577">
        <f t="shared" si="32"/>
        <v>41234.292813912369</v>
      </c>
      <c r="J137" s="514">
        <f t="shared" si="35"/>
        <v>0</v>
      </c>
      <c r="K137" s="514"/>
      <c r="L137" s="525"/>
      <c r="M137" s="514">
        <f t="shared" si="36"/>
        <v>0</v>
      </c>
      <c r="N137" s="525"/>
      <c r="O137" s="514">
        <f t="shared" si="37"/>
        <v>0</v>
      </c>
      <c r="P137" s="514">
        <f t="shared" si="38"/>
        <v>0</v>
      </c>
    </row>
    <row r="138" spans="2:16">
      <c r="B138" s="195" t="str">
        <f t="shared" si="24"/>
        <v/>
      </c>
      <c r="C138" s="507">
        <f>IF(D93="","-",+C137+1)</f>
        <v>2056</v>
      </c>
      <c r="D138" s="374">
        <f>IF(F137+SUM(E$99:E137)=D$92,F137,D$92-SUM(E$99:E137))</f>
        <v>80041.823413823266</v>
      </c>
      <c r="E138" s="522">
        <f>IF(+J96&lt;F137,J96,D138)</f>
        <v>30421.756097560974</v>
      </c>
      <c r="F138" s="523">
        <f t="shared" si="33"/>
        <v>49620.067316262292</v>
      </c>
      <c r="G138" s="523">
        <f t="shared" si="34"/>
        <v>64830.945365042775</v>
      </c>
      <c r="H138" s="526">
        <f t="shared" si="31"/>
        <v>37780.990705626173</v>
      </c>
      <c r="I138" s="577">
        <f t="shared" si="32"/>
        <v>37780.990705626173</v>
      </c>
      <c r="J138" s="514">
        <f t="shared" si="35"/>
        <v>0</v>
      </c>
      <c r="K138" s="514"/>
      <c r="L138" s="525"/>
      <c r="M138" s="514">
        <f t="shared" si="36"/>
        <v>0</v>
      </c>
      <c r="N138" s="525"/>
      <c r="O138" s="514">
        <f t="shared" si="37"/>
        <v>0</v>
      </c>
      <c r="P138" s="514">
        <f t="shared" si="38"/>
        <v>0</v>
      </c>
    </row>
    <row r="139" spans="2:16">
      <c r="B139" s="195" t="str">
        <f t="shared" si="24"/>
        <v/>
      </c>
      <c r="C139" s="507">
        <f>IF(D93="","-",+C138+1)</f>
        <v>2057</v>
      </c>
      <c r="D139" s="374">
        <f>IF(F138+SUM(E$99:E138)=D$92,F138,D$92-SUM(E$99:E138))</f>
        <v>49620.067316262292</v>
      </c>
      <c r="E139" s="522">
        <f>IF(+J96&lt;F138,J96,D139)</f>
        <v>30421.756097560974</v>
      </c>
      <c r="F139" s="523">
        <f t="shared" si="33"/>
        <v>19198.311218701318</v>
      </c>
      <c r="G139" s="523">
        <f t="shared" si="34"/>
        <v>34409.189267481808</v>
      </c>
      <c r="H139" s="526">
        <f t="shared" si="31"/>
        <v>34327.688597339984</v>
      </c>
      <c r="I139" s="577">
        <f t="shared" si="32"/>
        <v>34327.688597339984</v>
      </c>
      <c r="J139" s="514">
        <f t="shared" si="35"/>
        <v>0</v>
      </c>
      <c r="K139" s="514"/>
      <c r="L139" s="525"/>
      <c r="M139" s="514">
        <f t="shared" si="36"/>
        <v>0</v>
      </c>
      <c r="N139" s="525"/>
      <c r="O139" s="514">
        <f t="shared" si="37"/>
        <v>0</v>
      </c>
      <c r="P139" s="514">
        <f t="shared" si="38"/>
        <v>0</v>
      </c>
    </row>
    <row r="140" spans="2:16">
      <c r="B140" s="195" t="str">
        <f t="shared" si="24"/>
        <v/>
      </c>
      <c r="C140" s="507">
        <f>IF(D93="","-",+C139+1)</f>
        <v>2058</v>
      </c>
      <c r="D140" s="374">
        <f>IF(F139+SUM(E$99:E139)=D$92,F139,D$92-SUM(E$99:E139))</f>
        <v>19198.311218701318</v>
      </c>
      <c r="E140" s="522">
        <f>IF(+J96&lt;F139,J96,D140)</f>
        <v>19198.311218701318</v>
      </c>
      <c r="F140" s="523">
        <f t="shared" si="33"/>
        <v>0</v>
      </c>
      <c r="G140" s="523">
        <f t="shared" si="34"/>
        <v>9599.1556093506588</v>
      </c>
      <c r="H140" s="526">
        <f t="shared" si="31"/>
        <v>20287.951941519274</v>
      </c>
      <c r="I140" s="577">
        <f t="shared" si="32"/>
        <v>20287.951941519274</v>
      </c>
      <c r="J140" s="514">
        <f t="shared" si="35"/>
        <v>0</v>
      </c>
      <c r="K140" s="514"/>
      <c r="L140" s="525"/>
      <c r="M140" s="514">
        <f t="shared" si="36"/>
        <v>0</v>
      </c>
      <c r="N140" s="525"/>
      <c r="O140" s="514">
        <f t="shared" si="37"/>
        <v>0</v>
      </c>
      <c r="P140" s="514">
        <f t="shared" si="38"/>
        <v>0</v>
      </c>
    </row>
    <row r="141" spans="2:16">
      <c r="B141" s="195" t="str">
        <f t="shared" si="24"/>
        <v/>
      </c>
      <c r="C141" s="507">
        <f>IF(D93="","-",+C140+1)</f>
        <v>2059</v>
      </c>
      <c r="D141" s="374">
        <f>IF(F140+SUM(E$99:E140)=D$92,F140,D$92-SUM(E$99:E140))</f>
        <v>0</v>
      </c>
      <c r="E141" s="522">
        <f>IF(+J96&lt;F140,J96,D141)</f>
        <v>0</v>
      </c>
      <c r="F141" s="523">
        <f t="shared" si="33"/>
        <v>0</v>
      </c>
      <c r="G141" s="523">
        <f t="shared" si="34"/>
        <v>0</v>
      </c>
      <c r="H141" s="526">
        <f t="shared" si="31"/>
        <v>0</v>
      </c>
      <c r="I141" s="577">
        <f t="shared" si="32"/>
        <v>0</v>
      </c>
      <c r="J141" s="514">
        <f t="shared" si="35"/>
        <v>0</v>
      </c>
      <c r="K141" s="514"/>
      <c r="L141" s="525"/>
      <c r="M141" s="514">
        <f t="shared" si="36"/>
        <v>0</v>
      </c>
      <c r="N141" s="525"/>
      <c r="O141" s="514">
        <f t="shared" si="37"/>
        <v>0</v>
      </c>
      <c r="P141" s="514">
        <f t="shared" si="38"/>
        <v>0</v>
      </c>
    </row>
    <row r="142" spans="2:16">
      <c r="B142" s="195" t="str">
        <f t="shared" si="24"/>
        <v/>
      </c>
      <c r="C142" s="507">
        <f>IF(D93="","-",+C141+1)</f>
        <v>2060</v>
      </c>
      <c r="D142" s="374">
        <f>IF(F141+SUM(E$99:E141)=D$92,F141,D$92-SUM(E$99:E141))</f>
        <v>0</v>
      </c>
      <c r="E142" s="522">
        <f>IF(+J96&lt;F141,J96,D142)</f>
        <v>0</v>
      </c>
      <c r="F142" s="523">
        <f t="shared" si="33"/>
        <v>0</v>
      </c>
      <c r="G142" s="523">
        <f t="shared" si="34"/>
        <v>0</v>
      </c>
      <c r="H142" s="526">
        <f t="shared" si="31"/>
        <v>0</v>
      </c>
      <c r="I142" s="577">
        <f t="shared" si="32"/>
        <v>0</v>
      </c>
      <c r="J142" s="514">
        <f t="shared" si="35"/>
        <v>0</v>
      </c>
      <c r="K142" s="514"/>
      <c r="L142" s="525"/>
      <c r="M142" s="514">
        <f t="shared" si="36"/>
        <v>0</v>
      </c>
      <c r="N142" s="525"/>
      <c r="O142" s="514">
        <f t="shared" si="37"/>
        <v>0</v>
      </c>
      <c r="P142" s="514">
        <f t="shared" si="38"/>
        <v>0</v>
      </c>
    </row>
    <row r="143" spans="2:16">
      <c r="B143" s="195" t="str">
        <f t="shared" si="24"/>
        <v/>
      </c>
      <c r="C143" s="507">
        <f>IF(D93="","-",+C142+1)</f>
        <v>2061</v>
      </c>
      <c r="D143" s="374">
        <f>IF(F142+SUM(E$99:E142)=D$92,F142,D$92-SUM(E$99:E142))</f>
        <v>0</v>
      </c>
      <c r="E143" s="522">
        <f>IF(+J96&lt;F142,J96,D143)</f>
        <v>0</v>
      </c>
      <c r="F143" s="523">
        <f t="shared" si="33"/>
        <v>0</v>
      </c>
      <c r="G143" s="523">
        <f t="shared" si="34"/>
        <v>0</v>
      </c>
      <c r="H143" s="526">
        <f t="shared" si="31"/>
        <v>0</v>
      </c>
      <c r="I143" s="577">
        <f t="shared" si="32"/>
        <v>0</v>
      </c>
      <c r="J143" s="514">
        <f t="shared" si="35"/>
        <v>0</v>
      </c>
      <c r="K143" s="514"/>
      <c r="L143" s="525"/>
      <c r="M143" s="514">
        <f t="shared" si="36"/>
        <v>0</v>
      </c>
      <c r="N143" s="525"/>
      <c r="O143" s="514">
        <f t="shared" si="37"/>
        <v>0</v>
      </c>
      <c r="P143" s="514">
        <f t="shared" si="38"/>
        <v>0</v>
      </c>
    </row>
    <row r="144" spans="2:16">
      <c r="B144" s="195" t="str">
        <f t="shared" si="24"/>
        <v/>
      </c>
      <c r="C144" s="507">
        <f>IF(D93="","-",+C143+1)</f>
        <v>2062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33"/>
        <v>0</v>
      </c>
      <c r="G144" s="523">
        <f t="shared" si="34"/>
        <v>0</v>
      </c>
      <c r="H144" s="526">
        <f t="shared" si="31"/>
        <v>0</v>
      </c>
      <c r="I144" s="577">
        <f t="shared" si="32"/>
        <v>0</v>
      </c>
      <c r="J144" s="514">
        <f t="shared" si="35"/>
        <v>0</v>
      </c>
      <c r="K144" s="514"/>
      <c r="L144" s="525"/>
      <c r="M144" s="514">
        <f t="shared" si="36"/>
        <v>0</v>
      </c>
      <c r="N144" s="525"/>
      <c r="O144" s="514">
        <f t="shared" si="37"/>
        <v>0</v>
      </c>
      <c r="P144" s="514">
        <f t="shared" si="38"/>
        <v>0</v>
      </c>
    </row>
    <row r="145" spans="2:16">
      <c r="B145" s="195" t="str">
        <f t="shared" si="24"/>
        <v/>
      </c>
      <c r="C145" s="507">
        <f>IF(D93="","-",+C144+1)</f>
        <v>2063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33"/>
        <v>0</v>
      </c>
      <c r="G145" s="523">
        <f t="shared" si="34"/>
        <v>0</v>
      </c>
      <c r="H145" s="526">
        <f t="shared" si="31"/>
        <v>0</v>
      </c>
      <c r="I145" s="577">
        <f t="shared" si="32"/>
        <v>0</v>
      </c>
      <c r="J145" s="514">
        <f t="shared" si="35"/>
        <v>0</v>
      </c>
      <c r="K145" s="514"/>
      <c r="L145" s="525"/>
      <c r="M145" s="514">
        <f t="shared" si="36"/>
        <v>0</v>
      </c>
      <c r="N145" s="525"/>
      <c r="O145" s="514">
        <f t="shared" si="37"/>
        <v>0</v>
      </c>
      <c r="P145" s="514">
        <f t="shared" si="38"/>
        <v>0</v>
      </c>
    </row>
    <row r="146" spans="2:16">
      <c r="B146" s="195" t="str">
        <f t="shared" si="24"/>
        <v/>
      </c>
      <c r="C146" s="507">
        <f>IF(D93="","-",+C145+1)</f>
        <v>2064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33"/>
        <v>0</v>
      </c>
      <c r="G146" s="523">
        <f t="shared" si="34"/>
        <v>0</v>
      </c>
      <c r="H146" s="526">
        <f t="shared" si="31"/>
        <v>0</v>
      </c>
      <c r="I146" s="577">
        <f t="shared" si="32"/>
        <v>0</v>
      </c>
      <c r="J146" s="514">
        <f t="shared" si="35"/>
        <v>0</v>
      </c>
      <c r="K146" s="514"/>
      <c r="L146" s="525"/>
      <c r="M146" s="514">
        <f t="shared" si="36"/>
        <v>0</v>
      </c>
      <c r="N146" s="525"/>
      <c r="O146" s="514">
        <f t="shared" si="37"/>
        <v>0</v>
      </c>
      <c r="P146" s="514">
        <f t="shared" si="38"/>
        <v>0</v>
      </c>
    </row>
    <row r="147" spans="2:16">
      <c r="B147" s="195" t="str">
        <f t="shared" si="24"/>
        <v/>
      </c>
      <c r="C147" s="507">
        <f>IF(D93="","-",+C146+1)</f>
        <v>2065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33"/>
        <v>0</v>
      </c>
      <c r="G147" s="523">
        <f t="shared" si="34"/>
        <v>0</v>
      </c>
      <c r="H147" s="526">
        <f t="shared" si="31"/>
        <v>0</v>
      </c>
      <c r="I147" s="577">
        <f t="shared" si="32"/>
        <v>0</v>
      </c>
      <c r="J147" s="514">
        <f t="shared" si="35"/>
        <v>0</v>
      </c>
      <c r="K147" s="514"/>
      <c r="L147" s="525"/>
      <c r="M147" s="514">
        <f t="shared" si="36"/>
        <v>0</v>
      </c>
      <c r="N147" s="525"/>
      <c r="O147" s="514">
        <f t="shared" si="37"/>
        <v>0</v>
      </c>
      <c r="P147" s="514">
        <f t="shared" si="38"/>
        <v>0</v>
      </c>
    </row>
    <row r="148" spans="2:16">
      <c r="B148" s="195" t="str">
        <f t="shared" si="24"/>
        <v/>
      </c>
      <c r="C148" s="507">
        <f>IF(D93="","-",+C147+1)</f>
        <v>2066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33"/>
        <v>0</v>
      </c>
      <c r="G148" s="523">
        <f t="shared" si="34"/>
        <v>0</v>
      </c>
      <c r="H148" s="526">
        <f t="shared" si="31"/>
        <v>0</v>
      </c>
      <c r="I148" s="577">
        <f t="shared" si="32"/>
        <v>0</v>
      </c>
      <c r="J148" s="514">
        <f t="shared" si="35"/>
        <v>0</v>
      </c>
      <c r="K148" s="514"/>
      <c r="L148" s="525"/>
      <c r="M148" s="514">
        <f t="shared" si="36"/>
        <v>0</v>
      </c>
      <c r="N148" s="525"/>
      <c r="O148" s="514">
        <f t="shared" si="37"/>
        <v>0</v>
      </c>
      <c r="P148" s="514">
        <f t="shared" si="38"/>
        <v>0</v>
      </c>
    </row>
    <row r="149" spans="2:16">
      <c r="B149" s="195" t="str">
        <f t="shared" si="24"/>
        <v/>
      </c>
      <c r="C149" s="507">
        <f>IF(D93="","-",+C148+1)</f>
        <v>2067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33"/>
        <v>0</v>
      </c>
      <c r="G149" s="523">
        <f t="shared" si="34"/>
        <v>0</v>
      </c>
      <c r="H149" s="526">
        <f t="shared" si="31"/>
        <v>0</v>
      </c>
      <c r="I149" s="577">
        <f t="shared" si="32"/>
        <v>0</v>
      </c>
      <c r="J149" s="514">
        <f t="shared" si="35"/>
        <v>0</v>
      </c>
      <c r="K149" s="514"/>
      <c r="L149" s="525"/>
      <c r="M149" s="514">
        <f t="shared" si="36"/>
        <v>0</v>
      </c>
      <c r="N149" s="525"/>
      <c r="O149" s="514">
        <f t="shared" si="37"/>
        <v>0</v>
      </c>
      <c r="P149" s="514">
        <f t="shared" si="38"/>
        <v>0</v>
      </c>
    </row>
    <row r="150" spans="2:16">
      <c r="B150" s="195" t="str">
        <f t="shared" si="24"/>
        <v/>
      </c>
      <c r="C150" s="507">
        <f>IF(D93="","-",+C149+1)</f>
        <v>2068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33"/>
        <v>0</v>
      </c>
      <c r="G150" s="523">
        <f t="shared" si="34"/>
        <v>0</v>
      </c>
      <c r="H150" s="526">
        <f t="shared" si="31"/>
        <v>0</v>
      </c>
      <c r="I150" s="577">
        <f t="shared" si="32"/>
        <v>0</v>
      </c>
      <c r="J150" s="514">
        <f t="shared" si="35"/>
        <v>0</v>
      </c>
      <c r="K150" s="514"/>
      <c r="L150" s="525"/>
      <c r="M150" s="514">
        <f t="shared" si="36"/>
        <v>0</v>
      </c>
      <c r="N150" s="525"/>
      <c r="O150" s="514">
        <f t="shared" si="37"/>
        <v>0</v>
      </c>
      <c r="P150" s="514">
        <f t="shared" si="38"/>
        <v>0</v>
      </c>
    </row>
    <row r="151" spans="2:16">
      <c r="B151" s="195" t="str">
        <f t="shared" si="24"/>
        <v/>
      </c>
      <c r="C151" s="507">
        <f>IF(D93="","-",+C150+1)</f>
        <v>2069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33"/>
        <v>0</v>
      </c>
      <c r="G151" s="523">
        <f t="shared" si="34"/>
        <v>0</v>
      </c>
      <c r="H151" s="526">
        <f t="shared" si="31"/>
        <v>0</v>
      </c>
      <c r="I151" s="577">
        <f t="shared" si="32"/>
        <v>0</v>
      </c>
      <c r="J151" s="514">
        <f t="shared" si="35"/>
        <v>0</v>
      </c>
      <c r="K151" s="514"/>
      <c r="L151" s="525"/>
      <c r="M151" s="514">
        <f t="shared" si="36"/>
        <v>0</v>
      </c>
      <c r="N151" s="525"/>
      <c r="O151" s="514">
        <f t="shared" si="37"/>
        <v>0</v>
      </c>
      <c r="P151" s="514">
        <f t="shared" si="38"/>
        <v>0</v>
      </c>
    </row>
    <row r="152" spans="2:16">
      <c r="B152" s="195" t="str">
        <f t="shared" si="24"/>
        <v/>
      </c>
      <c r="C152" s="507">
        <f>IF(D93="","-",+C151+1)</f>
        <v>2070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33"/>
        <v>0</v>
      </c>
      <c r="G152" s="523">
        <f t="shared" si="34"/>
        <v>0</v>
      </c>
      <c r="H152" s="526">
        <f t="shared" si="31"/>
        <v>0</v>
      </c>
      <c r="I152" s="577">
        <f t="shared" si="32"/>
        <v>0</v>
      </c>
      <c r="J152" s="514">
        <f t="shared" si="35"/>
        <v>0</v>
      </c>
      <c r="K152" s="514"/>
      <c r="L152" s="525"/>
      <c r="M152" s="514">
        <f t="shared" si="36"/>
        <v>0</v>
      </c>
      <c r="N152" s="525"/>
      <c r="O152" s="514">
        <f t="shared" si="37"/>
        <v>0</v>
      </c>
      <c r="P152" s="514">
        <f t="shared" si="38"/>
        <v>0</v>
      </c>
    </row>
    <row r="153" spans="2:16">
      <c r="B153" s="195" t="str">
        <f t="shared" si="24"/>
        <v/>
      </c>
      <c r="C153" s="507">
        <f>IF(D93="","-",+C152+1)</f>
        <v>2071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33"/>
        <v>0</v>
      </c>
      <c r="G153" s="523">
        <f t="shared" si="34"/>
        <v>0</v>
      </c>
      <c r="H153" s="526">
        <f t="shared" si="31"/>
        <v>0</v>
      </c>
      <c r="I153" s="577">
        <f t="shared" si="32"/>
        <v>0</v>
      </c>
      <c r="J153" s="514">
        <f t="shared" si="35"/>
        <v>0</v>
      </c>
      <c r="K153" s="514"/>
      <c r="L153" s="525"/>
      <c r="M153" s="514">
        <f t="shared" si="36"/>
        <v>0</v>
      </c>
      <c r="N153" s="525"/>
      <c r="O153" s="514">
        <f t="shared" si="37"/>
        <v>0</v>
      </c>
      <c r="P153" s="514">
        <f t="shared" si="38"/>
        <v>0</v>
      </c>
    </row>
    <row r="154" spans="2:16" ht="13.5" thickBot="1">
      <c r="B154" s="195" t="str">
        <f t="shared" si="24"/>
        <v/>
      </c>
      <c r="C154" s="527">
        <f>IF(D93="","-",+C153+1)</f>
        <v>2072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33"/>
        <v>0</v>
      </c>
      <c r="G154" s="528">
        <f t="shared" si="34"/>
        <v>0</v>
      </c>
      <c r="H154" s="530">
        <f t="shared" si="31"/>
        <v>0</v>
      </c>
      <c r="I154" s="579">
        <f t="shared" si="32"/>
        <v>0</v>
      </c>
      <c r="J154" s="533">
        <f t="shared" si="35"/>
        <v>0</v>
      </c>
      <c r="K154" s="514"/>
      <c r="L154" s="532"/>
      <c r="M154" s="533">
        <f t="shared" si="36"/>
        <v>0</v>
      </c>
      <c r="N154" s="532"/>
      <c r="O154" s="533">
        <f t="shared" si="37"/>
        <v>0</v>
      </c>
      <c r="P154" s="533">
        <f t="shared" si="38"/>
        <v>0</v>
      </c>
    </row>
    <row r="155" spans="2:16">
      <c r="C155" s="374" t="s">
        <v>78</v>
      </c>
      <c r="D155" s="375"/>
      <c r="E155" s="375">
        <f>SUM(E99:E154)</f>
        <v>1247291.9999999995</v>
      </c>
      <c r="F155" s="375"/>
      <c r="G155" s="375"/>
      <c r="H155" s="375">
        <f>SUM(H99:H154)</f>
        <v>4152127.416644528</v>
      </c>
      <c r="I155" s="375">
        <f>SUM(I99:I154)</f>
        <v>4152127.416644528</v>
      </c>
      <c r="J155" s="375">
        <f>SUM(J99:J154)</f>
        <v>0</v>
      </c>
      <c r="K155" s="375"/>
      <c r="L155" s="375"/>
      <c r="M155" s="375"/>
      <c r="N155" s="375"/>
      <c r="O155" s="375"/>
      <c r="P155" s="269"/>
    </row>
    <row r="156" spans="2:16">
      <c r="C156" s="183" t="s">
        <v>92</v>
      </c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</row>
    <row r="157" spans="2:16">
      <c r="C157" s="580"/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</row>
    <row r="158" spans="2:16">
      <c r="C158" s="614" t="s">
        <v>132</v>
      </c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</row>
    <row r="159" spans="2:16">
      <c r="C159" s="467" t="s">
        <v>79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</row>
    <row r="160" spans="2:16">
      <c r="C160" s="581" t="s">
        <v>80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</row>
    <row r="161" spans="3:16">
      <c r="C161" s="581"/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</row>
    <row r="162" spans="3:16" ht="18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635" t="s">
        <v>131</v>
      </c>
    </row>
  </sheetData>
  <conditionalFormatting sqref="C18:C72">
    <cfRule type="cellIs" dxfId="35" priority="2" stopIfTrue="1" operator="equal">
      <formula>$I$10</formula>
    </cfRule>
  </conditionalFormatting>
  <conditionalFormatting sqref="C99:C154">
    <cfRule type="cellIs" dxfId="34" priority="3" stopIfTrue="1" operator="equal">
      <formula>$J$92</formula>
    </cfRule>
  </conditionalFormatting>
  <conditionalFormatting sqref="C17">
    <cfRule type="cellIs" dxfId="33" priority="1" stopIfTrue="1" operator="equal">
      <formula>$I$10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Sheet112"/>
  <dimension ref="A1:P162"/>
  <sheetViews>
    <sheetView topLeftCell="A87" zoomScaleNormal="100" zoomScaleSheetLayoutView="80" workbookViewId="0">
      <selection activeCell="D99" sqref="D99:I104"/>
    </sheetView>
  </sheetViews>
  <sheetFormatPr defaultColWidth="8.7109375" defaultRowHeight="12.75" customHeight="1"/>
  <cols>
    <col min="1" max="1" width="4.7109375" style="183" customWidth="1"/>
    <col min="2" max="2" width="6.7109375" style="183" customWidth="1"/>
    <col min="3" max="3" width="23.28515625" style="183" customWidth="1"/>
    <col min="4" max="8" width="17.7109375" style="183" customWidth="1"/>
    <col min="9" max="9" width="20.42578125" style="183" customWidth="1"/>
    <col min="10" max="10" width="16.42578125" style="183" customWidth="1"/>
    <col min="11" max="11" width="17.7109375" style="183" customWidth="1"/>
    <col min="12" max="12" width="16.140625" style="183" customWidth="1"/>
    <col min="13" max="13" width="17.7109375" style="183" customWidth="1"/>
    <col min="14" max="14" width="16.7109375" style="183" customWidth="1"/>
    <col min="15" max="15" width="16.85546875" style="183" customWidth="1"/>
    <col min="16" max="16" width="24.42578125" style="183" customWidth="1"/>
    <col min="17" max="17" width="9.140625" style="183" customWidth="1"/>
    <col min="18" max="22" width="8.7109375" style="183"/>
    <col min="23" max="23" width="9.140625" style="183" customWidth="1"/>
    <col min="24" max="16384" width="8.7109375" style="183"/>
  </cols>
  <sheetData>
    <row r="1" spans="1:16" ht="20.25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63 of 75</v>
      </c>
    </row>
    <row r="2" spans="1:16" ht="18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538" t="s">
        <v>129</v>
      </c>
    </row>
    <row r="3" spans="1:16" ht="18.75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/>
      <c r="P3" s="623">
        <v>1</v>
      </c>
    </row>
    <row r="4" spans="1:16" ht="15.75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6" ht="1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569634.67373494396</v>
      </c>
      <c r="P5" s="269"/>
    </row>
    <row r="6" spans="1:16" ht="15.7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569634.67373494396</v>
      </c>
      <c r="O6" s="269"/>
      <c r="P6" s="269"/>
    </row>
    <row r="7" spans="1:16" ht="13.5" thickBot="1">
      <c r="C7" s="467" t="s">
        <v>48</v>
      </c>
      <c r="D7" s="624" t="s">
        <v>383</v>
      </c>
      <c r="E7" s="269"/>
      <c r="F7" s="269"/>
      <c r="G7" s="269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6" ht="13.5" thickBot="1">
      <c r="C8" s="472"/>
      <c r="D8" s="625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6" ht="13.5" thickBot="1">
      <c r="C9" s="476" t="s">
        <v>50</v>
      </c>
      <c r="D9" s="477" t="s">
        <v>409</v>
      </c>
      <c r="E9" s="637" t="s">
        <v>410</v>
      </c>
      <c r="F9" s="478"/>
      <c r="G9" s="478"/>
      <c r="H9" s="478"/>
      <c r="I9" s="479"/>
      <c r="J9" s="480"/>
      <c r="O9" s="481"/>
      <c r="P9" s="272"/>
    </row>
    <row r="10" spans="1:16">
      <c r="C10" s="482" t="s">
        <v>51</v>
      </c>
      <c r="D10" s="483">
        <v>4648771.29</v>
      </c>
      <c r="E10" s="353" t="s">
        <v>52</v>
      </c>
      <c r="F10" s="481"/>
      <c r="G10" s="484"/>
      <c r="H10" s="484"/>
      <c r="I10" s="485">
        <f>+'SWE.WS.F.BPU.ATRR.Projected'!L19</f>
        <v>2024</v>
      </c>
      <c r="J10" s="480"/>
      <c r="K10" s="375" t="s">
        <v>53</v>
      </c>
      <c r="O10" s="272"/>
      <c r="P10" s="272"/>
    </row>
    <row r="11" spans="1:16">
      <c r="C11" s="486" t="s">
        <v>54</v>
      </c>
      <c r="D11" s="487">
        <v>2017</v>
      </c>
      <c r="E11" s="486" t="s">
        <v>55</v>
      </c>
      <c r="F11" s="484"/>
      <c r="G11" s="233"/>
      <c r="H11" s="233"/>
      <c r="I11" s="488">
        <f>IF(G5="",0,'SWE.WS.F.BPU.ATRR.Projected'!F$13)</f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6">
      <c r="C12" s="486" t="s">
        <v>56</v>
      </c>
      <c r="D12" s="483">
        <v>12</v>
      </c>
      <c r="E12" s="486" t="s">
        <v>57</v>
      </c>
      <c r="F12" s="484"/>
      <c r="G12" s="233"/>
      <c r="H12" s="233"/>
      <c r="I12" s="490">
        <f>'SWE.WS.F.BPU.ATRR.Projected'!$F$81</f>
        <v>0.11952713165403545</v>
      </c>
      <c r="J12" s="425"/>
      <c r="K12" s="183" t="s">
        <v>58</v>
      </c>
      <c r="O12" s="272"/>
      <c r="P12" s="272"/>
    </row>
    <row r="13" spans="1:16">
      <c r="C13" s="486" t="s">
        <v>59</v>
      </c>
      <c r="D13" s="488">
        <f>+'SWE.WS.F.BPU.ATRR.Projected'!F$93</f>
        <v>44</v>
      </c>
      <c r="E13" s="486" t="s">
        <v>60</v>
      </c>
      <c r="F13" s="484"/>
      <c r="G13" s="233"/>
      <c r="H13" s="233"/>
      <c r="I13" s="490">
        <f>IF(G5="",I12,'SWE.WS.F.BPU.ATRR.Projected'!$F$80)</f>
        <v>0.11952713165403545</v>
      </c>
      <c r="J13" s="425"/>
      <c r="K13" s="375" t="s">
        <v>61</v>
      </c>
      <c r="L13" s="324"/>
      <c r="M13" s="324"/>
      <c r="N13" s="324"/>
      <c r="O13" s="272"/>
      <c r="P13" s="272"/>
    </row>
    <row r="14" spans="1:16" ht="13.5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105653.89295454546</v>
      </c>
      <c r="J14" s="375"/>
      <c r="K14" s="375"/>
      <c r="L14" s="375"/>
      <c r="M14" s="375"/>
      <c r="N14" s="375"/>
      <c r="O14" s="272"/>
      <c r="P14" s="272"/>
    </row>
    <row r="15" spans="1:16" ht="38.25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388</v>
      </c>
      <c r="H15" s="495" t="s">
        <v>389</v>
      </c>
      <c r="I15" s="492" t="s">
        <v>68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6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600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>
      <c r="C17" s="507">
        <f>IF(D11= "","-",D11)</f>
        <v>2017</v>
      </c>
      <c r="D17" s="649">
        <v>0</v>
      </c>
      <c r="E17" s="658">
        <v>0</v>
      </c>
      <c r="F17" s="651">
        <v>5508000</v>
      </c>
      <c r="G17" s="659">
        <v>341200.03757960664</v>
      </c>
      <c r="H17" s="657">
        <v>341200.03757960664</v>
      </c>
      <c r="I17" s="511">
        <f t="shared" ref="I17:I72" si="0">H17-G17</f>
        <v>0</v>
      </c>
      <c r="J17" s="511"/>
      <c r="K17" s="512">
        <f t="shared" ref="K17:K22" si="1">+G17</f>
        <v>341200.03757960664</v>
      </c>
      <c r="L17" s="513">
        <f t="shared" ref="L17:L72" si="2">IF(K17&lt;&gt;0,+G17-K17,0)</f>
        <v>0</v>
      </c>
      <c r="M17" s="512">
        <f t="shared" ref="M17:M22" si="3">+H17</f>
        <v>341200.03757960664</v>
      </c>
      <c r="N17" s="513">
        <f t="shared" ref="N17:N72" si="4">IF(M17&lt;&gt;0,+H17-M17,0)</f>
        <v>0</v>
      </c>
      <c r="O17" s="514">
        <f t="shared" ref="O17:O72" si="5">+N17-L17</f>
        <v>0</v>
      </c>
      <c r="P17" s="272"/>
    </row>
    <row r="18" spans="2:16">
      <c r="B18" s="195" t="str">
        <f>IF(D18=F17,"","IU")</f>
        <v/>
      </c>
      <c r="C18" s="507">
        <f>IF(D11="","-",+C17+1)</f>
        <v>2018</v>
      </c>
      <c r="D18" s="631">
        <v>5508000</v>
      </c>
      <c r="E18" s="630">
        <v>134341.46341463414</v>
      </c>
      <c r="F18" s="631">
        <v>5373658.5365853654</v>
      </c>
      <c r="G18" s="630">
        <v>825838.75669079332</v>
      </c>
      <c r="H18" s="639">
        <v>825838.75669079332</v>
      </c>
      <c r="I18" s="511">
        <f t="shared" si="0"/>
        <v>0</v>
      </c>
      <c r="J18" s="511"/>
      <c r="K18" s="518">
        <f t="shared" si="1"/>
        <v>825838.75669079332</v>
      </c>
      <c r="L18" s="519">
        <f t="shared" si="2"/>
        <v>0</v>
      </c>
      <c r="M18" s="518">
        <f t="shared" si="3"/>
        <v>825838.75669079332</v>
      </c>
      <c r="N18" s="514">
        <f t="shared" si="4"/>
        <v>0</v>
      </c>
      <c r="O18" s="514">
        <f t="shared" si="5"/>
        <v>0</v>
      </c>
      <c r="P18" s="272"/>
    </row>
    <row r="19" spans="2:16">
      <c r="B19" s="195" t="str">
        <f>IF(D19=F18,"","IU")</f>
        <v/>
      </c>
      <c r="C19" s="507">
        <f>IF(D11="","-",+C18+1)</f>
        <v>2019</v>
      </c>
      <c r="D19" s="631">
        <v>5373658.5365853654</v>
      </c>
      <c r="E19" s="630">
        <v>134341.46341463414</v>
      </c>
      <c r="F19" s="631">
        <v>5239317.0731707308</v>
      </c>
      <c r="G19" s="630">
        <v>808764.74944940675</v>
      </c>
      <c r="H19" s="639">
        <v>808764.74944940675</v>
      </c>
      <c r="I19" s="511">
        <f t="shared" si="0"/>
        <v>0</v>
      </c>
      <c r="J19" s="511"/>
      <c r="K19" s="518">
        <f t="shared" si="1"/>
        <v>808764.74944940675</v>
      </c>
      <c r="L19" s="519">
        <f t="shared" ref="L19" si="6">IF(K19&lt;&gt;0,+G19-K19,0)</f>
        <v>0</v>
      </c>
      <c r="M19" s="518">
        <f t="shared" si="3"/>
        <v>808764.74944940675</v>
      </c>
      <c r="N19" s="514">
        <f t="shared" si="4"/>
        <v>0</v>
      </c>
      <c r="O19" s="514">
        <f t="shared" si="5"/>
        <v>0</v>
      </c>
      <c r="P19" s="272"/>
    </row>
    <row r="20" spans="2:16">
      <c r="B20" s="195" t="str">
        <f t="shared" ref="B20:B72" si="7">IF(D20=F19,"","IU")</f>
        <v>IU</v>
      </c>
      <c r="C20" s="507">
        <f>IF(D11="","-",+C19+1)</f>
        <v>2020</v>
      </c>
      <c r="D20" s="631">
        <v>4380853.0731707318</v>
      </c>
      <c r="E20" s="630">
        <v>113403.31707317074</v>
      </c>
      <c r="F20" s="631">
        <v>4267449.7560975607</v>
      </c>
      <c r="G20" s="630">
        <v>555917.3208188233</v>
      </c>
      <c r="H20" s="639">
        <v>555917.3208188233</v>
      </c>
      <c r="I20" s="511">
        <f t="shared" si="0"/>
        <v>0</v>
      </c>
      <c r="J20" s="511"/>
      <c r="K20" s="518">
        <f t="shared" si="1"/>
        <v>555917.3208188233</v>
      </c>
      <c r="L20" s="519">
        <f t="shared" ref="L20" si="8">IF(K20&lt;&gt;0,+G20-K20,0)</f>
        <v>0</v>
      </c>
      <c r="M20" s="518">
        <f t="shared" si="3"/>
        <v>555917.3208188233</v>
      </c>
      <c r="N20" s="514">
        <f t="shared" si="4"/>
        <v>0</v>
      </c>
      <c r="O20" s="514">
        <f t="shared" si="5"/>
        <v>0</v>
      </c>
      <c r="P20" s="272"/>
    </row>
    <row r="21" spans="2:16">
      <c r="B21" s="195" t="str">
        <f t="shared" si="7"/>
        <v>IU</v>
      </c>
      <c r="C21" s="507">
        <f>IF(D11="","-",+C20+1)</f>
        <v>2021</v>
      </c>
      <c r="D21" s="631">
        <v>4272933.1962563815</v>
      </c>
      <c r="E21" s="630">
        <v>110685.02380952382</v>
      </c>
      <c r="F21" s="631">
        <v>4162248.1724468577</v>
      </c>
      <c r="G21" s="630">
        <v>557768.80548021838</v>
      </c>
      <c r="H21" s="639">
        <v>557768.80548021838</v>
      </c>
      <c r="I21" s="511">
        <f t="shared" si="0"/>
        <v>0</v>
      </c>
      <c r="J21" s="511"/>
      <c r="K21" s="518">
        <f t="shared" si="1"/>
        <v>557768.80548021838</v>
      </c>
      <c r="L21" s="519">
        <f t="shared" ref="L21" si="9">IF(K21&lt;&gt;0,+G21-K21,0)</f>
        <v>0</v>
      </c>
      <c r="M21" s="518">
        <f t="shared" si="3"/>
        <v>557768.80548021838</v>
      </c>
      <c r="N21" s="514">
        <f t="shared" si="4"/>
        <v>0</v>
      </c>
      <c r="O21" s="514">
        <f t="shared" si="5"/>
        <v>0</v>
      </c>
      <c r="P21" s="272"/>
    </row>
    <row r="22" spans="2:16">
      <c r="B22" s="195" t="str">
        <f t="shared" si="7"/>
        <v>IU</v>
      </c>
      <c r="C22" s="507">
        <f>IF(D11="","-",+C21+1)</f>
        <v>2022</v>
      </c>
      <c r="D22" s="631">
        <v>4155999.7322880374</v>
      </c>
      <c r="E22" s="630">
        <v>110685.02380952382</v>
      </c>
      <c r="F22" s="631">
        <v>4045314.7084785136</v>
      </c>
      <c r="G22" s="630">
        <v>571779.72158256301</v>
      </c>
      <c r="H22" s="639">
        <v>571779.72158256301</v>
      </c>
      <c r="I22" s="511">
        <f t="shared" si="0"/>
        <v>0</v>
      </c>
      <c r="J22" s="511"/>
      <c r="K22" s="518">
        <f t="shared" si="1"/>
        <v>571779.72158256301</v>
      </c>
      <c r="L22" s="519">
        <f t="shared" ref="L22" si="10">IF(K22&lt;&gt;0,+G22-K22,0)</f>
        <v>0</v>
      </c>
      <c r="M22" s="518">
        <f t="shared" si="3"/>
        <v>571779.72158256301</v>
      </c>
      <c r="N22" s="514">
        <f t="shared" si="4"/>
        <v>0</v>
      </c>
      <c r="O22" s="514">
        <f t="shared" si="5"/>
        <v>0</v>
      </c>
      <c r="P22" s="272"/>
    </row>
    <row r="23" spans="2:16">
      <c r="B23" s="195" t="str">
        <f t="shared" si="7"/>
        <v>IU</v>
      </c>
      <c r="C23" s="507">
        <f>IF(D11="","-",+C22+1)</f>
        <v>2023</v>
      </c>
      <c r="D23" s="631">
        <v>4045314.9984785132</v>
      </c>
      <c r="E23" s="630">
        <v>110685.03071428572</v>
      </c>
      <c r="F23" s="631">
        <v>3934629.9677642277</v>
      </c>
      <c r="G23" s="630">
        <v>614725.43863410503</v>
      </c>
      <c r="H23" s="639">
        <v>614725.43863410503</v>
      </c>
      <c r="I23" s="511">
        <f t="shared" si="0"/>
        <v>0</v>
      </c>
      <c r="J23" s="511"/>
      <c r="K23" s="518">
        <f t="shared" ref="K23" si="11">+G23</f>
        <v>614725.43863410503</v>
      </c>
      <c r="L23" s="519">
        <f t="shared" ref="L23" si="12">IF(K23&lt;&gt;0,+G23-K23,0)</f>
        <v>0</v>
      </c>
      <c r="M23" s="518">
        <f t="shared" ref="M23" si="13">+H23</f>
        <v>614725.43863410503</v>
      </c>
      <c r="N23" s="514">
        <f t="shared" ref="N23" si="14">IF(M23&lt;&gt;0,+H23-M23,0)</f>
        <v>0</v>
      </c>
      <c r="O23" s="514">
        <f t="shared" ref="O23" si="15">+N23-L23</f>
        <v>0</v>
      </c>
      <c r="P23" s="272"/>
    </row>
    <row r="24" spans="2:16">
      <c r="B24" s="195" t="str">
        <f t="shared" si="7"/>
        <v/>
      </c>
      <c r="C24" s="673">
        <f>IF(D11="","-",+C23+1)</f>
        <v>2024</v>
      </c>
      <c r="D24" s="523">
        <f>IF(F23+SUM(E$17:E23)=D$10,F23,D$10-SUM(E$17:E23))</f>
        <v>3934629.9677642277</v>
      </c>
      <c r="E24" s="522">
        <f>IF(+I14&lt;F23,I14,D24)</f>
        <v>105653.89295454546</v>
      </c>
      <c r="F24" s="523">
        <f t="shared" ref="F24:F72" si="16">+D24-E24</f>
        <v>3828976.0748096821</v>
      </c>
      <c r="G24" s="524">
        <f t="shared" ref="G24:G48" si="17">+I$12*((D24+F24)/2)+E24</f>
        <v>569634.67373494396</v>
      </c>
      <c r="H24" s="491">
        <f t="shared" ref="H24:H48" si="18">+I$13*((D24+F24)/2)+E24</f>
        <v>569634.67373494396</v>
      </c>
      <c r="I24" s="511">
        <f t="shared" si="0"/>
        <v>0</v>
      </c>
      <c r="J24" s="511"/>
      <c r="K24" s="525"/>
      <c r="L24" s="514">
        <f t="shared" si="2"/>
        <v>0</v>
      </c>
      <c r="M24" s="525"/>
      <c r="N24" s="514">
        <f t="shared" si="4"/>
        <v>0</v>
      </c>
      <c r="O24" s="514">
        <f t="shared" si="5"/>
        <v>0</v>
      </c>
      <c r="P24" s="272"/>
    </row>
    <row r="25" spans="2:16">
      <c r="B25" s="195" t="str">
        <f t="shared" si="7"/>
        <v/>
      </c>
      <c r="C25" s="507">
        <f>IF(D11="","-",+C24+1)</f>
        <v>2025</v>
      </c>
      <c r="D25" s="523">
        <f>IF(F24+SUM(E$17:E24)=D$10,F24,D$10-SUM(E$17:E24))</f>
        <v>3828976.0748096821</v>
      </c>
      <c r="E25" s="522">
        <f>IF(+I14&lt;F24,I14,D25)</f>
        <v>105653.89295454546</v>
      </c>
      <c r="F25" s="523">
        <f t="shared" si="16"/>
        <v>3723322.1818551365</v>
      </c>
      <c r="G25" s="524">
        <f t="shared" si="17"/>
        <v>557006.1669620045</v>
      </c>
      <c r="H25" s="491">
        <f t="shared" si="18"/>
        <v>557006.1669620045</v>
      </c>
      <c r="I25" s="511">
        <f t="shared" si="0"/>
        <v>0</v>
      </c>
      <c r="J25" s="511"/>
      <c r="K25" s="525"/>
      <c r="L25" s="514">
        <f t="shared" si="2"/>
        <v>0</v>
      </c>
      <c r="M25" s="525"/>
      <c r="N25" s="514">
        <f t="shared" si="4"/>
        <v>0</v>
      </c>
      <c r="O25" s="514">
        <f t="shared" si="5"/>
        <v>0</v>
      </c>
      <c r="P25" s="272"/>
    </row>
    <row r="26" spans="2:16">
      <c r="B26" s="195" t="str">
        <f t="shared" si="7"/>
        <v/>
      </c>
      <c r="C26" s="507">
        <f>IF(D11="","-",+C25+1)</f>
        <v>2026</v>
      </c>
      <c r="D26" s="523">
        <f>IF(F25+SUM(E$17:E25)=D$10,F25,D$10-SUM(E$17:E25))</f>
        <v>3723322.1818551365</v>
      </c>
      <c r="E26" s="522">
        <f>IF(+I14&lt;F25,I14,D26)</f>
        <v>105653.89295454546</v>
      </c>
      <c r="F26" s="523">
        <f t="shared" si="16"/>
        <v>3617668.288900591</v>
      </c>
      <c r="G26" s="524">
        <f t="shared" si="17"/>
        <v>544377.66018906527</v>
      </c>
      <c r="H26" s="491">
        <f t="shared" si="18"/>
        <v>544377.66018906527</v>
      </c>
      <c r="I26" s="511">
        <f t="shared" si="0"/>
        <v>0</v>
      </c>
      <c r="J26" s="511"/>
      <c r="K26" s="525"/>
      <c r="L26" s="514">
        <f t="shared" si="2"/>
        <v>0</v>
      </c>
      <c r="M26" s="525"/>
      <c r="N26" s="514">
        <f t="shared" si="4"/>
        <v>0</v>
      </c>
      <c r="O26" s="514">
        <f t="shared" si="5"/>
        <v>0</v>
      </c>
      <c r="P26" s="272"/>
    </row>
    <row r="27" spans="2:16">
      <c r="B27" s="195" t="str">
        <f t="shared" si="7"/>
        <v/>
      </c>
      <c r="C27" s="507">
        <f>IF(D11="","-",+C26+1)</f>
        <v>2027</v>
      </c>
      <c r="D27" s="523">
        <f>IF(F26+SUM(E$17:E26)=D$10,F26,D$10-SUM(E$17:E26))</f>
        <v>3617668.288900591</v>
      </c>
      <c r="E27" s="522">
        <f>IF(+I14&lt;F26,I14,D27)</f>
        <v>105653.89295454546</v>
      </c>
      <c r="F27" s="523">
        <f t="shared" si="16"/>
        <v>3512014.3959460454</v>
      </c>
      <c r="G27" s="524">
        <f t="shared" si="17"/>
        <v>531749.1534161258</v>
      </c>
      <c r="H27" s="491">
        <f t="shared" si="18"/>
        <v>531749.1534161258</v>
      </c>
      <c r="I27" s="511">
        <f t="shared" si="0"/>
        <v>0</v>
      </c>
      <c r="J27" s="511"/>
      <c r="K27" s="525"/>
      <c r="L27" s="514">
        <f t="shared" si="2"/>
        <v>0</v>
      </c>
      <c r="M27" s="525"/>
      <c r="N27" s="514">
        <f t="shared" si="4"/>
        <v>0</v>
      </c>
      <c r="O27" s="514">
        <f t="shared" si="5"/>
        <v>0</v>
      </c>
      <c r="P27" s="272"/>
    </row>
    <row r="28" spans="2:16">
      <c r="B28" s="195" t="str">
        <f t="shared" si="7"/>
        <v/>
      </c>
      <c r="C28" s="507">
        <f>IF(D11="","-",+C27+1)</f>
        <v>2028</v>
      </c>
      <c r="D28" s="523">
        <f>IF(F27+SUM(E$17:E27)=D$10,F27,D$10-SUM(E$17:E27))</f>
        <v>3512014.3959460454</v>
      </c>
      <c r="E28" s="522">
        <f>IF(+I14&lt;F27,I14,D28)</f>
        <v>105653.89295454546</v>
      </c>
      <c r="F28" s="523">
        <f t="shared" si="16"/>
        <v>3406360.5029914998</v>
      </c>
      <c r="G28" s="524">
        <f t="shared" si="17"/>
        <v>519120.64664318657</v>
      </c>
      <c r="H28" s="491">
        <f t="shared" si="18"/>
        <v>519120.64664318657</v>
      </c>
      <c r="I28" s="511">
        <f t="shared" si="0"/>
        <v>0</v>
      </c>
      <c r="J28" s="511"/>
      <c r="K28" s="525"/>
      <c r="L28" s="514">
        <f t="shared" si="2"/>
        <v>0</v>
      </c>
      <c r="M28" s="525"/>
      <c r="N28" s="514">
        <f t="shared" si="4"/>
        <v>0</v>
      </c>
      <c r="O28" s="514">
        <f t="shared" si="5"/>
        <v>0</v>
      </c>
      <c r="P28" s="272"/>
    </row>
    <row r="29" spans="2:16">
      <c r="B29" s="195" t="str">
        <f t="shared" si="7"/>
        <v/>
      </c>
      <c r="C29" s="507">
        <f>IF(D11="","-",+C28+1)</f>
        <v>2029</v>
      </c>
      <c r="D29" s="523">
        <f>IF(F28+SUM(E$17:E28)=D$10,F28,D$10-SUM(E$17:E28))</f>
        <v>3406360.5029914998</v>
      </c>
      <c r="E29" s="522">
        <f>IF(+I14&lt;F28,I14,D29)</f>
        <v>105653.89295454546</v>
      </c>
      <c r="F29" s="523">
        <f t="shared" si="16"/>
        <v>3300706.6100369543</v>
      </c>
      <c r="G29" s="524">
        <f t="shared" si="17"/>
        <v>506492.13987024716</v>
      </c>
      <c r="H29" s="491">
        <f t="shared" si="18"/>
        <v>506492.13987024716</v>
      </c>
      <c r="I29" s="511">
        <f t="shared" si="0"/>
        <v>0</v>
      </c>
      <c r="J29" s="511"/>
      <c r="K29" s="525"/>
      <c r="L29" s="514">
        <f t="shared" si="2"/>
        <v>0</v>
      </c>
      <c r="M29" s="525"/>
      <c r="N29" s="514">
        <f t="shared" si="4"/>
        <v>0</v>
      </c>
      <c r="O29" s="514">
        <f t="shared" si="5"/>
        <v>0</v>
      </c>
      <c r="P29" s="272"/>
    </row>
    <row r="30" spans="2:16">
      <c r="B30" s="195" t="str">
        <f t="shared" si="7"/>
        <v/>
      </c>
      <c r="C30" s="507">
        <f>IF(D11="","-",+C29+1)</f>
        <v>2030</v>
      </c>
      <c r="D30" s="523">
        <f>IF(F29+SUM(E$17:E29)=D$10,F29,D$10-SUM(E$17:E29))</f>
        <v>3300706.6100369543</v>
      </c>
      <c r="E30" s="522">
        <f>IF(+I14&lt;F29,I14,D30)</f>
        <v>105653.89295454546</v>
      </c>
      <c r="F30" s="523">
        <f t="shared" si="16"/>
        <v>3195052.7170824087</v>
      </c>
      <c r="G30" s="524">
        <f t="shared" si="17"/>
        <v>493863.63309730787</v>
      </c>
      <c r="H30" s="491">
        <f t="shared" si="18"/>
        <v>493863.63309730787</v>
      </c>
      <c r="I30" s="511">
        <f t="shared" si="0"/>
        <v>0</v>
      </c>
      <c r="J30" s="511"/>
      <c r="K30" s="525"/>
      <c r="L30" s="514">
        <f t="shared" si="2"/>
        <v>0</v>
      </c>
      <c r="M30" s="525"/>
      <c r="N30" s="514">
        <f t="shared" si="4"/>
        <v>0</v>
      </c>
      <c r="O30" s="514">
        <f t="shared" si="5"/>
        <v>0</v>
      </c>
      <c r="P30" s="272"/>
    </row>
    <row r="31" spans="2:16">
      <c r="B31" s="195" t="str">
        <f t="shared" si="7"/>
        <v/>
      </c>
      <c r="C31" s="507">
        <f>IF(D11="","-",+C30+1)</f>
        <v>2031</v>
      </c>
      <c r="D31" s="523">
        <f>IF(F30+SUM(E$17:E30)=D$10,F30,D$10-SUM(E$17:E30))</f>
        <v>3195052.7170824087</v>
      </c>
      <c r="E31" s="522">
        <f>IF(+I14&lt;F30,I14,D31)</f>
        <v>105653.89295454546</v>
      </c>
      <c r="F31" s="523">
        <f t="shared" si="16"/>
        <v>3089398.8241278632</v>
      </c>
      <c r="G31" s="524">
        <f t="shared" si="17"/>
        <v>481235.12632436847</v>
      </c>
      <c r="H31" s="491">
        <f t="shared" si="18"/>
        <v>481235.12632436847</v>
      </c>
      <c r="I31" s="511">
        <f t="shared" si="0"/>
        <v>0</v>
      </c>
      <c r="J31" s="511"/>
      <c r="K31" s="525"/>
      <c r="L31" s="514">
        <f t="shared" si="2"/>
        <v>0</v>
      </c>
      <c r="M31" s="525"/>
      <c r="N31" s="514">
        <f t="shared" si="4"/>
        <v>0</v>
      </c>
      <c r="O31" s="514">
        <f t="shared" si="5"/>
        <v>0</v>
      </c>
      <c r="P31" s="272"/>
    </row>
    <row r="32" spans="2:16">
      <c r="B32" s="195" t="str">
        <f t="shared" si="7"/>
        <v/>
      </c>
      <c r="C32" s="507">
        <f>IF(D11="","-",+C31+1)</f>
        <v>2032</v>
      </c>
      <c r="D32" s="523">
        <f>IF(F31+SUM(E$17:E31)=D$10,F31,D$10-SUM(E$17:E31))</f>
        <v>3089398.8241278632</v>
      </c>
      <c r="E32" s="522">
        <f>IF(+I14&lt;F31,I14,D32)</f>
        <v>105653.89295454546</v>
      </c>
      <c r="F32" s="523">
        <f t="shared" si="16"/>
        <v>2983744.9311733176</v>
      </c>
      <c r="G32" s="524">
        <f t="shared" si="17"/>
        <v>468606.61955142918</v>
      </c>
      <c r="H32" s="491">
        <f t="shared" si="18"/>
        <v>468606.61955142918</v>
      </c>
      <c r="I32" s="511">
        <f t="shared" si="0"/>
        <v>0</v>
      </c>
      <c r="J32" s="511"/>
      <c r="K32" s="525"/>
      <c r="L32" s="514">
        <f t="shared" si="2"/>
        <v>0</v>
      </c>
      <c r="M32" s="525"/>
      <c r="N32" s="514">
        <f t="shared" si="4"/>
        <v>0</v>
      </c>
      <c r="O32" s="514">
        <f t="shared" si="5"/>
        <v>0</v>
      </c>
      <c r="P32" s="272"/>
    </row>
    <row r="33" spans="2:16">
      <c r="B33" s="195" t="str">
        <f t="shared" si="7"/>
        <v/>
      </c>
      <c r="C33" s="507">
        <f>IF(D11="","-",+C32+1)</f>
        <v>2033</v>
      </c>
      <c r="D33" s="523">
        <f>IF(F32+SUM(E$17:E32)=D$10,F32,D$10-SUM(E$17:E32))</f>
        <v>2983744.9311733176</v>
      </c>
      <c r="E33" s="522">
        <f>IF(+I14&lt;F32,I14,D33)</f>
        <v>105653.89295454546</v>
      </c>
      <c r="F33" s="523">
        <f t="shared" si="16"/>
        <v>2878091.038218772</v>
      </c>
      <c r="G33" s="524">
        <f t="shared" si="17"/>
        <v>455978.11277848983</v>
      </c>
      <c r="H33" s="491">
        <f t="shared" si="18"/>
        <v>455978.11277848983</v>
      </c>
      <c r="I33" s="511">
        <f t="shared" si="0"/>
        <v>0</v>
      </c>
      <c r="J33" s="511"/>
      <c r="K33" s="525"/>
      <c r="L33" s="514">
        <f t="shared" si="2"/>
        <v>0</v>
      </c>
      <c r="M33" s="525"/>
      <c r="N33" s="514">
        <f t="shared" si="4"/>
        <v>0</v>
      </c>
      <c r="O33" s="514">
        <f t="shared" si="5"/>
        <v>0</v>
      </c>
      <c r="P33" s="272"/>
    </row>
    <row r="34" spans="2:16">
      <c r="B34" s="195" t="str">
        <f t="shared" si="7"/>
        <v/>
      </c>
      <c r="C34" s="507">
        <f>IF(D11="","-",+C33+1)</f>
        <v>2034</v>
      </c>
      <c r="D34" s="523">
        <f>IF(F33+SUM(E$17:E33)=D$10,F33,D$10-SUM(E$17:E33))</f>
        <v>2878091.038218772</v>
      </c>
      <c r="E34" s="522">
        <f>IF(+I14&lt;F33,I14,D34)</f>
        <v>105653.89295454546</v>
      </c>
      <c r="F34" s="523">
        <f t="shared" si="16"/>
        <v>2772437.1452642265</v>
      </c>
      <c r="G34" s="524">
        <f t="shared" si="17"/>
        <v>443349.60600555054</v>
      </c>
      <c r="H34" s="491">
        <f t="shared" si="18"/>
        <v>443349.60600555054</v>
      </c>
      <c r="I34" s="511">
        <f t="shared" si="0"/>
        <v>0</v>
      </c>
      <c r="J34" s="511"/>
      <c r="K34" s="525"/>
      <c r="L34" s="514">
        <f t="shared" si="2"/>
        <v>0</v>
      </c>
      <c r="M34" s="525"/>
      <c r="N34" s="514">
        <f t="shared" si="4"/>
        <v>0</v>
      </c>
      <c r="O34" s="514">
        <f t="shared" si="5"/>
        <v>0</v>
      </c>
      <c r="P34" s="272"/>
    </row>
    <row r="35" spans="2:16">
      <c r="B35" s="195" t="str">
        <f t="shared" si="7"/>
        <v/>
      </c>
      <c r="C35" s="507">
        <f>IF(D11="","-",+C34+1)</f>
        <v>2035</v>
      </c>
      <c r="D35" s="523">
        <f>IF(F34+SUM(E$17:E34)=D$10,F34,D$10-SUM(E$17:E34))</f>
        <v>2772437.1452642265</v>
      </c>
      <c r="E35" s="522">
        <f>IF(+I14&lt;F34,I14,D35)</f>
        <v>105653.89295454546</v>
      </c>
      <c r="F35" s="523">
        <f t="shared" si="16"/>
        <v>2666783.2523096809</v>
      </c>
      <c r="G35" s="524">
        <f t="shared" si="17"/>
        <v>430721.09923261113</v>
      </c>
      <c r="H35" s="491">
        <f t="shared" si="18"/>
        <v>430721.09923261113</v>
      </c>
      <c r="I35" s="511">
        <f t="shared" si="0"/>
        <v>0</v>
      </c>
      <c r="J35" s="511"/>
      <c r="K35" s="525"/>
      <c r="L35" s="514">
        <f t="shared" si="2"/>
        <v>0</v>
      </c>
      <c r="M35" s="525"/>
      <c r="N35" s="514">
        <f t="shared" si="4"/>
        <v>0</v>
      </c>
      <c r="O35" s="514">
        <f t="shared" si="5"/>
        <v>0</v>
      </c>
      <c r="P35" s="272"/>
    </row>
    <row r="36" spans="2:16">
      <c r="B36" s="195" t="str">
        <f t="shared" si="7"/>
        <v/>
      </c>
      <c r="C36" s="507">
        <f>IF(D11="","-",+C35+1)</f>
        <v>2036</v>
      </c>
      <c r="D36" s="523">
        <f>IF(F35+SUM(E$17:E35)=D$10,F35,D$10-SUM(E$17:E35))</f>
        <v>2666783.2523096809</v>
      </c>
      <c r="E36" s="522">
        <f>IF(+I14&lt;F35,I14,D36)</f>
        <v>105653.89295454546</v>
      </c>
      <c r="F36" s="523">
        <f t="shared" si="16"/>
        <v>2561129.3593551354</v>
      </c>
      <c r="G36" s="524">
        <f t="shared" si="17"/>
        <v>418092.59245967184</v>
      </c>
      <c r="H36" s="491">
        <f t="shared" si="18"/>
        <v>418092.59245967184</v>
      </c>
      <c r="I36" s="511">
        <f t="shared" si="0"/>
        <v>0</v>
      </c>
      <c r="J36" s="511"/>
      <c r="K36" s="525"/>
      <c r="L36" s="514">
        <f t="shared" si="2"/>
        <v>0</v>
      </c>
      <c r="M36" s="525"/>
      <c r="N36" s="514">
        <f t="shared" si="4"/>
        <v>0</v>
      </c>
      <c r="O36" s="514">
        <f t="shared" si="5"/>
        <v>0</v>
      </c>
      <c r="P36" s="272"/>
    </row>
    <row r="37" spans="2:16">
      <c r="B37" s="195" t="str">
        <f t="shared" si="7"/>
        <v/>
      </c>
      <c r="C37" s="507">
        <f>IF(D11="","-",+C36+1)</f>
        <v>2037</v>
      </c>
      <c r="D37" s="523">
        <f>IF(F36+SUM(E$17:E36)=D$10,F36,D$10-SUM(E$17:E36))</f>
        <v>2561129.3593551354</v>
      </c>
      <c r="E37" s="522">
        <f>IF(+I14&lt;F36,I14,D37)</f>
        <v>105653.89295454546</v>
      </c>
      <c r="F37" s="523">
        <f t="shared" si="16"/>
        <v>2455475.4664005898</v>
      </c>
      <c r="G37" s="524">
        <f t="shared" si="17"/>
        <v>405464.08568673249</v>
      </c>
      <c r="H37" s="491">
        <f t="shared" si="18"/>
        <v>405464.08568673249</v>
      </c>
      <c r="I37" s="511">
        <f t="shared" si="0"/>
        <v>0</v>
      </c>
      <c r="J37" s="511"/>
      <c r="K37" s="525"/>
      <c r="L37" s="514">
        <f t="shared" si="2"/>
        <v>0</v>
      </c>
      <c r="M37" s="525"/>
      <c r="N37" s="514">
        <f t="shared" si="4"/>
        <v>0</v>
      </c>
      <c r="O37" s="514">
        <f t="shared" si="5"/>
        <v>0</v>
      </c>
      <c r="P37" s="272"/>
    </row>
    <row r="38" spans="2:16">
      <c r="B38" s="195" t="str">
        <f t="shared" si="7"/>
        <v/>
      </c>
      <c r="C38" s="507">
        <f>IF(D11="","-",+C37+1)</f>
        <v>2038</v>
      </c>
      <c r="D38" s="523">
        <f>IF(F37+SUM(E$17:E37)=D$10,F37,D$10-SUM(E$17:E37))</f>
        <v>2455475.4664005898</v>
      </c>
      <c r="E38" s="522">
        <f>IF(+I14&lt;F37,I14,D38)</f>
        <v>105653.89295454546</v>
      </c>
      <c r="F38" s="523">
        <f t="shared" si="16"/>
        <v>2349821.5734460442</v>
      </c>
      <c r="G38" s="524">
        <f t="shared" si="17"/>
        <v>392835.5789137932</v>
      </c>
      <c r="H38" s="491">
        <f t="shared" si="18"/>
        <v>392835.5789137932</v>
      </c>
      <c r="I38" s="511">
        <f t="shared" si="0"/>
        <v>0</v>
      </c>
      <c r="J38" s="511"/>
      <c r="K38" s="525"/>
      <c r="L38" s="514">
        <f t="shared" si="2"/>
        <v>0</v>
      </c>
      <c r="M38" s="525"/>
      <c r="N38" s="514">
        <f t="shared" si="4"/>
        <v>0</v>
      </c>
      <c r="O38" s="514">
        <f t="shared" si="5"/>
        <v>0</v>
      </c>
      <c r="P38" s="272"/>
    </row>
    <row r="39" spans="2:16">
      <c r="B39" s="195" t="str">
        <f t="shared" si="7"/>
        <v/>
      </c>
      <c r="C39" s="507">
        <f>IF(D11="","-",+C38+1)</f>
        <v>2039</v>
      </c>
      <c r="D39" s="523">
        <f>IF(F38+SUM(E$17:E38)=D$10,F38,D$10-SUM(E$17:E38))</f>
        <v>2349821.5734460442</v>
      </c>
      <c r="E39" s="522">
        <f>IF(+I14&lt;F38,I14,D39)</f>
        <v>105653.89295454546</v>
      </c>
      <c r="F39" s="523">
        <f t="shared" si="16"/>
        <v>2244167.6804914987</v>
      </c>
      <c r="G39" s="524">
        <f t="shared" si="17"/>
        <v>380207.07214085379</v>
      </c>
      <c r="H39" s="491">
        <f t="shared" si="18"/>
        <v>380207.07214085379</v>
      </c>
      <c r="I39" s="511">
        <f t="shared" si="0"/>
        <v>0</v>
      </c>
      <c r="J39" s="511"/>
      <c r="K39" s="525"/>
      <c r="L39" s="514">
        <f t="shared" si="2"/>
        <v>0</v>
      </c>
      <c r="M39" s="525"/>
      <c r="N39" s="514">
        <f t="shared" si="4"/>
        <v>0</v>
      </c>
      <c r="O39" s="514">
        <f t="shared" si="5"/>
        <v>0</v>
      </c>
      <c r="P39" s="272"/>
    </row>
    <row r="40" spans="2:16">
      <c r="B40" s="195" t="str">
        <f t="shared" si="7"/>
        <v/>
      </c>
      <c r="C40" s="507">
        <f>IF(D11="","-",+C39+1)</f>
        <v>2040</v>
      </c>
      <c r="D40" s="523">
        <f>IF(F39+SUM(E$17:E39)=D$10,F39,D$10-SUM(E$17:E39))</f>
        <v>2244167.6804914987</v>
      </c>
      <c r="E40" s="522">
        <f>IF(+I14&lt;F39,I14,D40)</f>
        <v>105653.89295454546</v>
      </c>
      <c r="F40" s="523">
        <f t="shared" si="16"/>
        <v>2138513.7875369531</v>
      </c>
      <c r="G40" s="524">
        <f t="shared" si="17"/>
        <v>367578.56536791456</v>
      </c>
      <c r="H40" s="491">
        <f t="shared" si="18"/>
        <v>367578.56536791456</v>
      </c>
      <c r="I40" s="511">
        <f t="shared" si="0"/>
        <v>0</v>
      </c>
      <c r="J40" s="511"/>
      <c r="K40" s="525"/>
      <c r="L40" s="514">
        <f t="shared" si="2"/>
        <v>0</v>
      </c>
      <c r="M40" s="525"/>
      <c r="N40" s="514">
        <f t="shared" si="4"/>
        <v>0</v>
      </c>
      <c r="O40" s="514">
        <f t="shared" si="5"/>
        <v>0</v>
      </c>
      <c r="P40" s="272"/>
    </row>
    <row r="41" spans="2:16">
      <c r="B41" s="195" t="str">
        <f t="shared" si="7"/>
        <v/>
      </c>
      <c r="C41" s="507">
        <f>IF(D11="","-",+C40+1)</f>
        <v>2041</v>
      </c>
      <c r="D41" s="523">
        <f>IF(F40+SUM(E$17:E40)=D$10,F40,D$10-SUM(E$17:E40))</f>
        <v>2138513.7875369531</v>
      </c>
      <c r="E41" s="522">
        <f>IF(+I14&lt;F40,I14,D41)</f>
        <v>105653.89295454546</v>
      </c>
      <c r="F41" s="523">
        <f t="shared" si="16"/>
        <v>2032859.8945824075</v>
      </c>
      <c r="G41" s="524">
        <f t="shared" si="17"/>
        <v>354950.05859497515</v>
      </c>
      <c r="H41" s="491">
        <f t="shared" si="18"/>
        <v>354950.05859497515</v>
      </c>
      <c r="I41" s="511">
        <f t="shared" si="0"/>
        <v>0</v>
      </c>
      <c r="J41" s="511"/>
      <c r="K41" s="525"/>
      <c r="L41" s="514">
        <f t="shared" si="2"/>
        <v>0</v>
      </c>
      <c r="M41" s="525"/>
      <c r="N41" s="514">
        <f t="shared" si="4"/>
        <v>0</v>
      </c>
      <c r="O41" s="514">
        <f t="shared" si="5"/>
        <v>0</v>
      </c>
      <c r="P41" s="272"/>
    </row>
    <row r="42" spans="2:16">
      <c r="B42" s="195" t="str">
        <f t="shared" si="7"/>
        <v/>
      </c>
      <c r="C42" s="507">
        <f>IF(D11="","-",+C41+1)</f>
        <v>2042</v>
      </c>
      <c r="D42" s="523">
        <f>IF(F41+SUM(E$17:E41)=D$10,F41,D$10-SUM(E$17:E41))</f>
        <v>2032859.8945824075</v>
      </c>
      <c r="E42" s="522">
        <f>IF(+I14&lt;F41,I14,D42)</f>
        <v>105653.89295454546</v>
      </c>
      <c r="F42" s="523">
        <f t="shared" si="16"/>
        <v>1927206.001627862</v>
      </c>
      <c r="G42" s="524">
        <f t="shared" si="17"/>
        <v>342321.55182203586</v>
      </c>
      <c r="H42" s="491">
        <f t="shared" si="18"/>
        <v>342321.55182203586</v>
      </c>
      <c r="I42" s="511">
        <f t="shared" si="0"/>
        <v>0</v>
      </c>
      <c r="J42" s="511"/>
      <c r="K42" s="525"/>
      <c r="L42" s="514">
        <f t="shared" si="2"/>
        <v>0</v>
      </c>
      <c r="M42" s="525"/>
      <c r="N42" s="514">
        <f t="shared" si="4"/>
        <v>0</v>
      </c>
      <c r="O42" s="514">
        <f t="shared" si="5"/>
        <v>0</v>
      </c>
      <c r="P42" s="272"/>
    </row>
    <row r="43" spans="2:16">
      <c r="B43" s="195" t="str">
        <f t="shared" si="7"/>
        <v/>
      </c>
      <c r="C43" s="507">
        <f>IF(D11="","-",+C42+1)</f>
        <v>2043</v>
      </c>
      <c r="D43" s="523">
        <f>IF(F42+SUM(E$17:E42)=D$10,F42,D$10-SUM(E$17:E42))</f>
        <v>1927206.001627862</v>
      </c>
      <c r="E43" s="522">
        <f>IF(+I14&lt;F42,I14,D43)</f>
        <v>105653.89295454546</v>
      </c>
      <c r="F43" s="523">
        <f t="shared" si="16"/>
        <v>1821552.1086733164</v>
      </c>
      <c r="G43" s="524">
        <f t="shared" si="17"/>
        <v>329693.04504909652</v>
      </c>
      <c r="H43" s="491">
        <f t="shared" si="18"/>
        <v>329693.04504909652</v>
      </c>
      <c r="I43" s="511">
        <f t="shared" si="0"/>
        <v>0</v>
      </c>
      <c r="J43" s="511"/>
      <c r="K43" s="525"/>
      <c r="L43" s="514">
        <f t="shared" si="2"/>
        <v>0</v>
      </c>
      <c r="M43" s="525"/>
      <c r="N43" s="514">
        <f t="shared" si="4"/>
        <v>0</v>
      </c>
      <c r="O43" s="514">
        <f t="shared" si="5"/>
        <v>0</v>
      </c>
      <c r="P43" s="272"/>
    </row>
    <row r="44" spans="2:16">
      <c r="B44" s="195" t="str">
        <f t="shared" si="7"/>
        <v/>
      </c>
      <c r="C44" s="507">
        <f>IF(D11="","-",+C43+1)</f>
        <v>2044</v>
      </c>
      <c r="D44" s="523">
        <f>IF(F43+SUM(E$17:E43)=D$10,F43,D$10-SUM(E$17:E43))</f>
        <v>1821552.1086733164</v>
      </c>
      <c r="E44" s="522">
        <f>IF(+I14&lt;F43,I14,D44)</f>
        <v>105653.89295454546</v>
      </c>
      <c r="F44" s="523">
        <f t="shared" si="16"/>
        <v>1715898.2157187709</v>
      </c>
      <c r="G44" s="524">
        <f t="shared" si="17"/>
        <v>317064.53827615717</v>
      </c>
      <c r="H44" s="491">
        <f t="shared" si="18"/>
        <v>317064.53827615717</v>
      </c>
      <c r="I44" s="511">
        <f t="shared" si="0"/>
        <v>0</v>
      </c>
      <c r="J44" s="511"/>
      <c r="K44" s="525"/>
      <c r="L44" s="514">
        <f t="shared" si="2"/>
        <v>0</v>
      </c>
      <c r="M44" s="525"/>
      <c r="N44" s="514">
        <f t="shared" si="4"/>
        <v>0</v>
      </c>
      <c r="O44" s="514">
        <f t="shared" si="5"/>
        <v>0</v>
      </c>
      <c r="P44" s="272"/>
    </row>
    <row r="45" spans="2:16">
      <c r="B45" s="195" t="str">
        <f t="shared" si="7"/>
        <v/>
      </c>
      <c r="C45" s="507">
        <f>IF(D11="","-",+C44+1)</f>
        <v>2045</v>
      </c>
      <c r="D45" s="523">
        <f>IF(F44+SUM(E$17:E44)=D$10,F44,D$10-SUM(E$17:E44))</f>
        <v>1715898.2157187709</v>
      </c>
      <c r="E45" s="522">
        <f>IF(+I14&lt;F44,I14,D45)</f>
        <v>105653.89295454546</v>
      </c>
      <c r="F45" s="523">
        <f t="shared" si="16"/>
        <v>1610244.3227642253</v>
      </c>
      <c r="G45" s="524">
        <f t="shared" si="17"/>
        <v>304436.03150321782</v>
      </c>
      <c r="H45" s="491">
        <f t="shared" si="18"/>
        <v>304436.03150321782</v>
      </c>
      <c r="I45" s="511">
        <f t="shared" si="0"/>
        <v>0</v>
      </c>
      <c r="J45" s="511"/>
      <c r="K45" s="525"/>
      <c r="L45" s="514">
        <f t="shared" si="2"/>
        <v>0</v>
      </c>
      <c r="M45" s="525"/>
      <c r="N45" s="514">
        <f t="shared" si="4"/>
        <v>0</v>
      </c>
      <c r="O45" s="514">
        <f t="shared" si="5"/>
        <v>0</v>
      </c>
      <c r="P45" s="272"/>
    </row>
    <row r="46" spans="2:16">
      <c r="B46" s="195" t="str">
        <f t="shared" si="7"/>
        <v/>
      </c>
      <c r="C46" s="507">
        <f>IF(D11="","-",+C45+1)</f>
        <v>2046</v>
      </c>
      <c r="D46" s="523">
        <f>IF(F45+SUM(E$17:E45)=D$10,F45,D$10-SUM(E$17:E45))</f>
        <v>1610244.3227642253</v>
      </c>
      <c r="E46" s="522">
        <f>IF(+I14&lt;F45,I14,D46)</f>
        <v>105653.89295454546</v>
      </c>
      <c r="F46" s="523">
        <f t="shared" si="16"/>
        <v>1504590.4298096797</v>
      </c>
      <c r="G46" s="524">
        <f t="shared" si="17"/>
        <v>291807.52473027847</v>
      </c>
      <c r="H46" s="491">
        <f t="shared" si="18"/>
        <v>291807.52473027847</v>
      </c>
      <c r="I46" s="511">
        <f t="shared" si="0"/>
        <v>0</v>
      </c>
      <c r="J46" s="511"/>
      <c r="K46" s="525"/>
      <c r="L46" s="514">
        <f t="shared" si="2"/>
        <v>0</v>
      </c>
      <c r="M46" s="525"/>
      <c r="N46" s="514">
        <f t="shared" si="4"/>
        <v>0</v>
      </c>
      <c r="O46" s="514">
        <f t="shared" si="5"/>
        <v>0</v>
      </c>
      <c r="P46" s="272"/>
    </row>
    <row r="47" spans="2:16">
      <c r="B47" s="195" t="str">
        <f t="shared" si="7"/>
        <v/>
      </c>
      <c r="C47" s="507">
        <f>IF(D11="","-",+C46+1)</f>
        <v>2047</v>
      </c>
      <c r="D47" s="523">
        <f>IF(F46+SUM(E$17:E46)=D$10,F46,D$10-SUM(E$17:E46))</f>
        <v>1504590.4298096797</v>
      </c>
      <c r="E47" s="522">
        <f>IF(+I14&lt;F46,I14,D47)</f>
        <v>105653.89295454546</v>
      </c>
      <c r="F47" s="523">
        <f t="shared" si="16"/>
        <v>1398936.5368551342</v>
      </c>
      <c r="G47" s="524">
        <f t="shared" si="17"/>
        <v>279179.01795733918</v>
      </c>
      <c r="H47" s="491">
        <f t="shared" si="18"/>
        <v>279179.01795733918</v>
      </c>
      <c r="I47" s="511">
        <f t="shared" si="0"/>
        <v>0</v>
      </c>
      <c r="J47" s="511"/>
      <c r="K47" s="525"/>
      <c r="L47" s="514">
        <f t="shared" si="2"/>
        <v>0</v>
      </c>
      <c r="M47" s="525"/>
      <c r="N47" s="514">
        <f t="shared" si="4"/>
        <v>0</v>
      </c>
      <c r="O47" s="514">
        <f t="shared" si="5"/>
        <v>0</v>
      </c>
      <c r="P47" s="272"/>
    </row>
    <row r="48" spans="2:16">
      <c r="B48" s="195" t="str">
        <f t="shared" si="7"/>
        <v/>
      </c>
      <c r="C48" s="507">
        <f>IF(D11="","-",+C47+1)</f>
        <v>2048</v>
      </c>
      <c r="D48" s="523">
        <f>IF(F47+SUM(E$17:E47)=D$10,F47,D$10-SUM(E$17:E47))</f>
        <v>1398936.5368551342</v>
      </c>
      <c r="E48" s="522">
        <f>IF(+I14&lt;F47,I14,D48)</f>
        <v>105653.89295454546</v>
      </c>
      <c r="F48" s="523">
        <f t="shared" si="16"/>
        <v>1293282.6439005886</v>
      </c>
      <c r="G48" s="524">
        <f t="shared" si="17"/>
        <v>266550.51118439983</v>
      </c>
      <c r="H48" s="491">
        <f t="shared" si="18"/>
        <v>266550.51118439983</v>
      </c>
      <c r="I48" s="511">
        <f t="shared" si="0"/>
        <v>0</v>
      </c>
      <c r="J48" s="511"/>
      <c r="K48" s="525"/>
      <c r="L48" s="514">
        <f t="shared" si="2"/>
        <v>0</v>
      </c>
      <c r="M48" s="525"/>
      <c r="N48" s="514">
        <f t="shared" si="4"/>
        <v>0</v>
      </c>
      <c r="O48" s="514">
        <f t="shared" si="5"/>
        <v>0</v>
      </c>
      <c r="P48" s="272"/>
    </row>
    <row r="49" spans="2:16">
      <c r="B49" s="195" t="str">
        <f t="shared" si="7"/>
        <v/>
      </c>
      <c r="C49" s="507">
        <f>IF(D11="","-",+C48+1)</f>
        <v>2049</v>
      </c>
      <c r="D49" s="523">
        <f>IF(F48+SUM(E$17:E48)=D$10,F48,D$10-SUM(E$17:E48))</f>
        <v>1293282.6439005886</v>
      </c>
      <c r="E49" s="522">
        <f>IF(+I14&lt;F48,I14,D49)</f>
        <v>105653.89295454546</v>
      </c>
      <c r="F49" s="523">
        <f t="shared" si="16"/>
        <v>1187628.7509460431</v>
      </c>
      <c r="G49" s="524">
        <f t="shared" ref="G49:G72" si="19">+I$12*((D49+F49)/2)+E49</f>
        <v>253922.00441146048</v>
      </c>
      <c r="H49" s="491">
        <f t="shared" ref="H49:H72" si="20">+I$13*((D49+F49)/2)+E49</f>
        <v>253922.00441146048</v>
      </c>
      <c r="I49" s="511">
        <f t="shared" si="0"/>
        <v>0</v>
      </c>
      <c r="J49" s="511"/>
      <c r="K49" s="525"/>
      <c r="L49" s="514">
        <f t="shared" si="2"/>
        <v>0</v>
      </c>
      <c r="M49" s="525"/>
      <c r="N49" s="514">
        <f t="shared" si="4"/>
        <v>0</v>
      </c>
      <c r="O49" s="514">
        <f t="shared" si="5"/>
        <v>0</v>
      </c>
      <c r="P49" s="272"/>
    </row>
    <row r="50" spans="2:16">
      <c r="B50" s="195" t="str">
        <f t="shared" si="7"/>
        <v/>
      </c>
      <c r="C50" s="507">
        <f>IF(D11="","-",+C49+1)</f>
        <v>2050</v>
      </c>
      <c r="D50" s="523">
        <f>IF(F49+SUM(E$17:E49)=D$10,F49,D$10-SUM(E$17:E49))</f>
        <v>1187628.7509460431</v>
      </c>
      <c r="E50" s="522">
        <f>IF(+I14&lt;F49,I14,D50)</f>
        <v>105653.89295454546</v>
      </c>
      <c r="F50" s="523">
        <f t="shared" si="16"/>
        <v>1081974.8579914975</v>
      </c>
      <c r="G50" s="524">
        <f t="shared" si="19"/>
        <v>241293.49763852113</v>
      </c>
      <c r="H50" s="491">
        <f t="shared" si="20"/>
        <v>241293.49763852113</v>
      </c>
      <c r="I50" s="511">
        <f t="shared" si="0"/>
        <v>0</v>
      </c>
      <c r="J50" s="511"/>
      <c r="K50" s="525"/>
      <c r="L50" s="514">
        <f t="shared" si="2"/>
        <v>0</v>
      </c>
      <c r="M50" s="525"/>
      <c r="N50" s="514">
        <f t="shared" si="4"/>
        <v>0</v>
      </c>
      <c r="O50" s="514">
        <f t="shared" si="5"/>
        <v>0</v>
      </c>
      <c r="P50" s="272"/>
    </row>
    <row r="51" spans="2:16">
      <c r="B51" s="195" t="str">
        <f t="shared" si="7"/>
        <v/>
      </c>
      <c r="C51" s="507">
        <f>IF(D11="","-",+C50+1)</f>
        <v>2051</v>
      </c>
      <c r="D51" s="523">
        <f>IF(F50+SUM(E$17:E50)=D$10,F50,D$10-SUM(E$17:E50))</f>
        <v>1081974.8579914975</v>
      </c>
      <c r="E51" s="522">
        <f>IF(+I14&lt;F50,I14,D51)</f>
        <v>105653.89295454546</v>
      </c>
      <c r="F51" s="523">
        <f t="shared" si="16"/>
        <v>976320.96503695205</v>
      </c>
      <c r="G51" s="524">
        <f t="shared" si="19"/>
        <v>228664.99086558181</v>
      </c>
      <c r="H51" s="491">
        <f t="shared" si="20"/>
        <v>228664.99086558181</v>
      </c>
      <c r="I51" s="511">
        <f t="shared" si="0"/>
        <v>0</v>
      </c>
      <c r="J51" s="511"/>
      <c r="K51" s="525"/>
      <c r="L51" s="514">
        <f t="shared" si="2"/>
        <v>0</v>
      </c>
      <c r="M51" s="525"/>
      <c r="N51" s="514">
        <f t="shared" si="4"/>
        <v>0</v>
      </c>
      <c r="O51" s="514">
        <f t="shared" si="5"/>
        <v>0</v>
      </c>
      <c r="P51" s="272"/>
    </row>
    <row r="52" spans="2:16">
      <c r="B52" s="195" t="str">
        <f t="shared" si="7"/>
        <v/>
      </c>
      <c r="C52" s="507">
        <f>IF(D11="","-",+C51+1)</f>
        <v>2052</v>
      </c>
      <c r="D52" s="523">
        <f>IF(F51+SUM(E$17:E51)=D$10,F51,D$10-SUM(E$17:E51))</f>
        <v>976320.96503695205</v>
      </c>
      <c r="E52" s="522">
        <f>IF(+I14&lt;F51,I14,D52)</f>
        <v>105653.89295454546</v>
      </c>
      <c r="F52" s="523">
        <f t="shared" si="16"/>
        <v>870667.07208240661</v>
      </c>
      <c r="G52" s="524">
        <f t="shared" si="19"/>
        <v>216036.48409264249</v>
      </c>
      <c r="H52" s="491">
        <f t="shared" si="20"/>
        <v>216036.48409264249</v>
      </c>
      <c r="I52" s="511">
        <f t="shared" si="0"/>
        <v>0</v>
      </c>
      <c r="J52" s="511"/>
      <c r="K52" s="525"/>
      <c r="L52" s="514">
        <f t="shared" si="2"/>
        <v>0</v>
      </c>
      <c r="M52" s="525"/>
      <c r="N52" s="514">
        <f t="shared" si="4"/>
        <v>0</v>
      </c>
      <c r="O52" s="514">
        <f t="shared" si="5"/>
        <v>0</v>
      </c>
      <c r="P52" s="272"/>
    </row>
    <row r="53" spans="2:16">
      <c r="B53" s="195" t="str">
        <f t="shared" si="7"/>
        <v/>
      </c>
      <c r="C53" s="507">
        <f>IF(D11="","-",+C52+1)</f>
        <v>2053</v>
      </c>
      <c r="D53" s="523">
        <f>IF(F52+SUM(E$17:E52)=D$10,F52,D$10-SUM(E$17:E52))</f>
        <v>870667.07208240661</v>
      </c>
      <c r="E53" s="522">
        <f>IF(+I14&lt;F52,I14,D53)</f>
        <v>105653.89295454546</v>
      </c>
      <c r="F53" s="523">
        <f t="shared" si="16"/>
        <v>765013.17912786116</v>
      </c>
      <c r="G53" s="524">
        <f t="shared" si="19"/>
        <v>203407.97731970318</v>
      </c>
      <c r="H53" s="491">
        <f t="shared" si="20"/>
        <v>203407.97731970318</v>
      </c>
      <c r="I53" s="511">
        <f t="shared" si="0"/>
        <v>0</v>
      </c>
      <c r="J53" s="511"/>
      <c r="K53" s="525"/>
      <c r="L53" s="514">
        <f t="shared" si="2"/>
        <v>0</v>
      </c>
      <c r="M53" s="525"/>
      <c r="N53" s="514">
        <f t="shared" si="4"/>
        <v>0</v>
      </c>
      <c r="O53" s="514">
        <f t="shared" si="5"/>
        <v>0</v>
      </c>
      <c r="P53" s="272"/>
    </row>
    <row r="54" spans="2:16">
      <c r="B54" s="195" t="str">
        <f t="shared" si="7"/>
        <v/>
      </c>
      <c r="C54" s="507">
        <f>IF(D11="","-",+C53+1)</f>
        <v>2054</v>
      </c>
      <c r="D54" s="523">
        <f>IF(F53+SUM(E$17:E53)=D$10,F53,D$10-SUM(E$17:E53))</f>
        <v>765013.17912786116</v>
      </c>
      <c r="E54" s="522">
        <f>IF(+I14&lt;F53,I14,D54)</f>
        <v>105653.89295454546</v>
      </c>
      <c r="F54" s="523">
        <f t="shared" si="16"/>
        <v>659359.28617331572</v>
      </c>
      <c r="G54" s="524">
        <f t="shared" si="19"/>
        <v>190779.47054676386</v>
      </c>
      <c r="H54" s="491">
        <f t="shared" si="20"/>
        <v>190779.47054676386</v>
      </c>
      <c r="I54" s="511">
        <f t="shared" si="0"/>
        <v>0</v>
      </c>
      <c r="J54" s="511"/>
      <c r="K54" s="525"/>
      <c r="L54" s="514">
        <f t="shared" si="2"/>
        <v>0</v>
      </c>
      <c r="M54" s="525"/>
      <c r="N54" s="514">
        <f t="shared" si="4"/>
        <v>0</v>
      </c>
      <c r="O54" s="514">
        <f t="shared" si="5"/>
        <v>0</v>
      </c>
      <c r="P54" s="272"/>
    </row>
    <row r="55" spans="2:16">
      <c r="B55" s="195" t="str">
        <f t="shared" si="7"/>
        <v/>
      </c>
      <c r="C55" s="507">
        <f>IF(D11="","-",+C54+1)</f>
        <v>2055</v>
      </c>
      <c r="D55" s="523">
        <f>IF(F54+SUM(E$17:E54)=D$10,F54,D$10-SUM(E$17:E54))</f>
        <v>659359.28617331572</v>
      </c>
      <c r="E55" s="522">
        <f>IF(+I14&lt;F54,I14,D55)</f>
        <v>105653.89295454546</v>
      </c>
      <c r="F55" s="523">
        <f t="shared" si="16"/>
        <v>553705.39321877027</v>
      </c>
      <c r="G55" s="524">
        <f t="shared" si="19"/>
        <v>178150.96377382454</v>
      </c>
      <c r="H55" s="491">
        <f t="shared" si="20"/>
        <v>178150.96377382454</v>
      </c>
      <c r="I55" s="511">
        <f t="shared" si="0"/>
        <v>0</v>
      </c>
      <c r="J55" s="511"/>
      <c r="K55" s="525"/>
      <c r="L55" s="514">
        <f t="shared" si="2"/>
        <v>0</v>
      </c>
      <c r="M55" s="525"/>
      <c r="N55" s="514">
        <f t="shared" si="4"/>
        <v>0</v>
      </c>
      <c r="O55" s="514">
        <f t="shared" si="5"/>
        <v>0</v>
      </c>
      <c r="P55" s="272"/>
    </row>
    <row r="56" spans="2:16">
      <c r="B56" s="195" t="str">
        <f t="shared" si="7"/>
        <v/>
      </c>
      <c r="C56" s="507">
        <f>IF(D11="","-",+C55+1)</f>
        <v>2056</v>
      </c>
      <c r="D56" s="523">
        <f>IF(F55+SUM(E$17:E55)=D$10,F55,D$10-SUM(E$17:E55))</f>
        <v>553705.39321877027</v>
      </c>
      <c r="E56" s="522">
        <f>IF(+I14&lt;F55,I14,D56)</f>
        <v>105653.89295454546</v>
      </c>
      <c r="F56" s="523">
        <f t="shared" si="16"/>
        <v>448051.50026422483</v>
      </c>
      <c r="G56" s="524">
        <f t="shared" si="19"/>
        <v>165522.45700088522</v>
      </c>
      <c r="H56" s="491">
        <f t="shared" si="20"/>
        <v>165522.45700088522</v>
      </c>
      <c r="I56" s="511">
        <f t="shared" si="0"/>
        <v>0</v>
      </c>
      <c r="J56" s="511"/>
      <c r="K56" s="525"/>
      <c r="L56" s="514">
        <f t="shared" si="2"/>
        <v>0</v>
      </c>
      <c r="M56" s="525"/>
      <c r="N56" s="514">
        <f t="shared" si="4"/>
        <v>0</v>
      </c>
      <c r="O56" s="514">
        <f t="shared" si="5"/>
        <v>0</v>
      </c>
      <c r="P56" s="272"/>
    </row>
    <row r="57" spans="2:16">
      <c r="B57" s="195" t="str">
        <f t="shared" si="7"/>
        <v/>
      </c>
      <c r="C57" s="507">
        <f>IF(D11="","-",+C56+1)</f>
        <v>2057</v>
      </c>
      <c r="D57" s="523">
        <f>IF(F56+SUM(E$17:E56)=D$10,F56,D$10-SUM(E$17:E56))</f>
        <v>448051.50026422483</v>
      </c>
      <c r="E57" s="522">
        <f>IF(+I14&lt;F56,I14,D57)</f>
        <v>105653.89295454546</v>
      </c>
      <c r="F57" s="523">
        <f t="shared" si="16"/>
        <v>342397.60730967938</v>
      </c>
      <c r="G57" s="524">
        <f t="shared" si="19"/>
        <v>152893.9502279459</v>
      </c>
      <c r="H57" s="491">
        <f t="shared" si="20"/>
        <v>152893.9502279459</v>
      </c>
      <c r="I57" s="511">
        <f t="shared" si="0"/>
        <v>0</v>
      </c>
      <c r="J57" s="511"/>
      <c r="K57" s="525"/>
      <c r="L57" s="514">
        <f t="shared" si="2"/>
        <v>0</v>
      </c>
      <c r="M57" s="525"/>
      <c r="N57" s="514">
        <f t="shared" si="4"/>
        <v>0</v>
      </c>
      <c r="O57" s="514">
        <f t="shared" si="5"/>
        <v>0</v>
      </c>
      <c r="P57" s="272"/>
    </row>
    <row r="58" spans="2:16">
      <c r="B58" s="195" t="str">
        <f t="shared" si="7"/>
        <v/>
      </c>
      <c r="C58" s="507">
        <f>IF(D11="","-",+C57+1)</f>
        <v>2058</v>
      </c>
      <c r="D58" s="523">
        <f>IF(F57+SUM(E$17:E57)=D$10,F57,D$10-SUM(E$17:E57))</f>
        <v>342397.60730967938</v>
      </c>
      <c r="E58" s="522">
        <f>IF(+I14&lt;F57,I14,D58)</f>
        <v>105653.89295454546</v>
      </c>
      <c r="F58" s="523">
        <f t="shared" si="16"/>
        <v>236743.71435513394</v>
      </c>
      <c r="G58" s="524">
        <f t="shared" si="19"/>
        <v>140265.44345500658</v>
      </c>
      <c r="H58" s="491">
        <f t="shared" si="20"/>
        <v>140265.44345500658</v>
      </c>
      <c r="I58" s="511">
        <f t="shared" si="0"/>
        <v>0</v>
      </c>
      <c r="J58" s="511"/>
      <c r="K58" s="525"/>
      <c r="L58" s="514">
        <f t="shared" si="2"/>
        <v>0</v>
      </c>
      <c r="M58" s="525"/>
      <c r="N58" s="514">
        <f t="shared" si="4"/>
        <v>0</v>
      </c>
      <c r="O58" s="514">
        <f t="shared" si="5"/>
        <v>0</v>
      </c>
      <c r="P58" s="272"/>
    </row>
    <row r="59" spans="2:16">
      <c r="B59" s="195" t="str">
        <f t="shared" si="7"/>
        <v/>
      </c>
      <c r="C59" s="507">
        <f>IF(D11="","-",+C58+1)</f>
        <v>2059</v>
      </c>
      <c r="D59" s="523">
        <f>IF(F58+SUM(E$17:E58)=D$10,F58,D$10-SUM(E$17:E58))</f>
        <v>236743.71435513394</v>
      </c>
      <c r="E59" s="522">
        <f>IF(+I14&lt;F58,I14,D59)</f>
        <v>105653.89295454546</v>
      </c>
      <c r="F59" s="523">
        <f t="shared" si="16"/>
        <v>131089.82140058849</v>
      </c>
      <c r="G59" s="524">
        <f t="shared" si="19"/>
        <v>127636.93668206726</v>
      </c>
      <c r="H59" s="491">
        <f t="shared" si="20"/>
        <v>127636.93668206726</v>
      </c>
      <c r="I59" s="511">
        <f t="shared" si="0"/>
        <v>0</v>
      </c>
      <c r="J59" s="511"/>
      <c r="K59" s="525"/>
      <c r="L59" s="514">
        <f t="shared" si="2"/>
        <v>0</v>
      </c>
      <c r="M59" s="525"/>
      <c r="N59" s="514">
        <f t="shared" si="4"/>
        <v>0</v>
      </c>
      <c r="O59" s="514">
        <f t="shared" si="5"/>
        <v>0</v>
      </c>
      <c r="P59" s="272"/>
    </row>
    <row r="60" spans="2:16">
      <c r="B60" s="195" t="str">
        <f t="shared" si="7"/>
        <v/>
      </c>
      <c r="C60" s="507">
        <f>IF(D11="","-",+C59+1)</f>
        <v>2060</v>
      </c>
      <c r="D60" s="523">
        <f>IF(F59+SUM(E$17:E59)=D$10,F59,D$10-SUM(E$17:E59))</f>
        <v>131089.82140058849</v>
      </c>
      <c r="E60" s="522">
        <f>IF(+I14&lt;F59,I14,D60)</f>
        <v>105653.89295454546</v>
      </c>
      <c r="F60" s="523">
        <f t="shared" si="16"/>
        <v>25435.928446043035</v>
      </c>
      <c r="G60" s="524">
        <f t="shared" si="19"/>
        <v>115008.42990912794</v>
      </c>
      <c r="H60" s="491">
        <f t="shared" si="20"/>
        <v>115008.42990912794</v>
      </c>
      <c r="I60" s="511">
        <f t="shared" si="0"/>
        <v>0</v>
      </c>
      <c r="J60" s="511"/>
      <c r="K60" s="525"/>
      <c r="L60" s="514">
        <f t="shared" si="2"/>
        <v>0</v>
      </c>
      <c r="M60" s="525"/>
      <c r="N60" s="514">
        <f t="shared" si="4"/>
        <v>0</v>
      </c>
      <c r="O60" s="514">
        <f t="shared" si="5"/>
        <v>0</v>
      </c>
      <c r="P60" s="272"/>
    </row>
    <row r="61" spans="2:16">
      <c r="B61" s="195" t="str">
        <f t="shared" si="7"/>
        <v/>
      </c>
      <c r="C61" s="507">
        <f>IF(D11="","-",+C60+1)</f>
        <v>2061</v>
      </c>
      <c r="D61" s="523">
        <f>IF(F60+SUM(E$17:E60)=D$10,F60,D$10-SUM(E$17:E60))</f>
        <v>25435.928446043035</v>
      </c>
      <c r="E61" s="522">
        <f>IF(+I14&lt;F60,I14,D61)</f>
        <v>25435.928446043035</v>
      </c>
      <c r="F61" s="523">
        <f t="shared" si="16"/>
        <v>0</v>
      </c>
      <c r="G61" s="526">
        <f t="shared" si="19"/>
        <v>26956.070230099442</v>
      </c>
      <c r="H61" s="491">
        <f t="shared" si="20"/>
        <v>26956.070230099442</v>
      </c>
      <c r="I61" s="511">
        <f t="shared" si="0"/>
        <v>0</v>
      </c>
      <c r="J61" s="511"/>
      <c r="K61" s="525"/>
      <c r="L61" s="514">
        <f t="shared" si="2"/>
        <v>0</v>
      </c>
      <c r="M61" s="525"/>
      <c r="N61" s="514">
        <f t="shared" si="4"/>
        <v>0</v>
      </c>
      <c r="O61" s="514">
        <f t="shared" si="5"/>
        <v>0</v>
      </c>
      <c r="P61" s="272"/>
    </row>
    <row r="62" spans="2:16">
      <c r="B62" s="195" t="str">
        <f t="shared" si="7"/>
        <v/>
      </c>
      <c r="C62" s="507">
        <f>IF(D11="","-",+C61+1)</f>
        <v>2062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16"/>
        <v>0</v>
      </c>
      <c r="G62" s="526">
        <f t="shared" si="19"/>
        <v>0</v>
      </c>
      <c r="H62" s="491">
        <f t="shared" si="20"/>
        <v>0</v>
      </c>
      <c r="I62" s="511">
        <f t="shared" si="0"/>
        <v>0</v>
      </c>
      <c r="J62" s="511"/>
      <c r="K62" s="525"/>
      <c r="L62" s="514">
        <f t="shared" si="2"/>
        <v>0</v>
      </c>
      <c r="M62" s="525"/>
      <c r="N62" s="514">
        <f t="shared" si="4"/>
        <v>0</v>
      </c>
      <c r="O62" s="514">
        <f t="shared" si="5"/>
        <v>0</v>
      </c>
      <c r="P62" s="272"/>
    </row>
    <row r="63" spans="2:16">
      <c r="B63" s="195" t="str">
        <f t="shared" si="7"/>
        <v/>
      </c>
      <c r="C63" s="507">
        <f>IF(D11="","-",+C62+1)</f>
        <v>2063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16"/>
        <v>0</v>
      </c>
      <c r="G63" s="526">
        <f t="shared" si="19"/>
        <v>0</v>
      </c>
      <c r="H63" s="491">
        <f t="shared" si="20"/>
        <v>0</v>
      </c>
      <c r="I63" s="511">
        <f t="shared" si="0"/>
        <v>0</v>
      </c>
      <c r="J63" s="511"/>
      <c r="K63" s="525"/>
      <c r="L63" s="514">
        <f t="shared" si="2"/>
        <v>0</v>
      </c>
      <c r="M63" s="525"/>
      <c r="N63" s="514">
        <f t="shared" si="4"/>
        <v>0</v>
      </c>
      <c r="O63" s="514">
        <f t="shared" si="5"/>
        <v>0</v>
      </c>
      <c r="P63" s="272"/>
    </row>
    <row r="64" spans="2:16">
      <c r="B64" s="195" t="str">
        <f t="shared" si="7"/>
        <v/>
      </c>
      <c r="C64" s="507">
        <f>IF(D11="","-",+C63+1)</f>
        <v>2064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16"/>
        <v>0</v>
      </c>
      <c r="G64" s="526">
        <f t="shared" si="19"/>
        <v>0</v>
      </c>
      <c r="H64" s="491">
        <f t="shared" si="20"/>
        <v>0</v>
      </c>
      <c r="I64" s="511">
        <f t="shared" si="0"/>
        <v>0</v>
      </c>
      <c r="J64" s="511"/>
      <c r="K64" s="525"/>
      <c r="L64" s="514">
        <f t="shared" si="2"/>
        <v>0</v>
      </c>
      <c r="M64" s="525"/>
      <c r="N64" s="514">
        <f t="shared" si="4"/>
        <v>0</v>
      </c>
      <c r="O64" s="514">
        <f t="shared" si="5"/>
        <v>0</v>
      </c>
      <c r="P64" s="272"/>
    </row>
    <row r="65" spans="2:16">
      <c r="B65" s="195" t="str">
        <f t="shared" si="7"/>
        <v/>
      </c>
      <c r="C65" s="507">
        <f>IF(D11="","-",+C64+1)</f>
        <v>2065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16"/>
        <v>0</v>
      </c>
      <c r="G65" s="526">
        <f t="shared" si="19"/>
        <v>0</v>
      </c>
      <c r="H65" s="491">
        <f t="shared" si="20"/>
        <v>0</v>
      </c>
      <c r="I65" s="511">
        <f t="shared" si="0"/>
        <v>0</v>
      </c>
      <c r="J65" s="511"/>
      <c r="K65" s="525"/>
      <c r="L65" s="514">
        <f t="shared" si="2"/>
        <v>0</v>
      </c>
      <c r="M65" s="525"/>
      <c r="N65" s="514">
        <f t="shared" si="4"/>
        <v>0</v>
      </c>
      <c r="O65" s="514">
        <f t="shared" si="5"/>
        <v>0</v>
      </c>
      <c r="P65" s="272"/>
    </row>
    <row r="66" spans="2:16">
      <c r="B66" s="195" t="str">
        <f t="shared" si="7"/>
        <v/>
      </c>
      <c r="C66" s="507">
        <f>IF(D11="","-",+C65+1)</f>
        <v>2066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16"/>
        <v>0</v>
      </c>
      <c r="G66" s="526">
        <f t="shared" si="19"/>
        <v>0</v>
      </c>
      <c r="H66" s="491">
        <f t="shared" si="20"/>
        <v>0</v>
      </c>
      <c r="I66" s="511">
        <f t="shared" si="0"/>
        <v>0</v>
      </c>
      <c r="J66" s="511"/>
      <c r="K66" s="525"/>
      <c r="L66" s="514">
        <f t="shared" si="2"/>
        <v>0</v>
      </c>
      <c r="M66" s="525"/>
      <c r="N66" s="514">
        <f t="shared" si="4"/>
        <v>0</v>
      </c>
      <c r="O66" s="514">
        <f t="shared" si="5"/>
        <v>0</v>
      </c>
      <c r="P66" s="272"/>
    </row>
    <row r="67" spans="2:16">
      <c r="B67" s="195" t="str">
        <f t="shared" si="7"/>
        <v/>
      </c>
      <c r="C67" s="507">
        <f>IF(D11="","-",+C66+1)</f>
        <v>2067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16"/>
        <v>0</v>
      </c>
      <c r="G67" s="526">
        <f t="shared" si="19"/>
        <v>0</v>
      </c>
      <c r="H67" s="491">
        <f t="shared" si="20"/>
        <v>0</v>
      </c>
      <c r="I67" s="511">
        <f t="shared" si="0"/>
        <v>0</v>
      </c>
      <c r="J67" s="511"/>
      <c r="K67" s="525"/>
      <c r="L67" s="514">
        <f t="shared" si="2"/>
        <v>0</v>
      </c>
      <c r="M67" s="525"/>
      <c r="N67" s="514">
        <f t="shared" si="4"/>
        <v>0</v>
      </c>
      <c r="O67" s="514">
        <f t="shared" si="5"/>
        <v>0</v>
      </c>
      <c r="P67" s="272"/>
    </row>
    <row r="68" spans="2:16">
      <c r="B68" s="195" t="str">
        <f t="shared" si="7"/>
        <v/>
      </c>
      <c r="C68" s="507">
        <f>IF(D11="","-",+C67+1)</f>
        <v>2068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16"/>
        <v>0</v>
      </c>
      <c r="G68" s="526">
        <f t="shared" si="19"/>
        <v>0</v>
      </c>
      <c r="H68" s="491">
        <f t="shared" si="20"/>
        <v>0</v>
      </c>
      <c r="I68" s="511">
        <f t="shared" si="0"/>
        <v>0</v>
      </c>
      <c r="J68" s="511"/>
      <c r="K68" s="525"/>
      <c r="L68" s="514">
        <f t="shared" si="2"/>
        <v>0</v>
      </c>
      <c r="M68" s="525"/>
      <c r="N68" s="514">
        <f t="shared" si="4"/>
        <v>0</v>
      </c>
      <c r="O68" s="514">
        <f t="shared" si="5"/>
        <v>0</v>
      </c>
      <c r="P68" s="272"/>
    </row>
    <row r="69" spans="2:16">
      <c r="B69" s="195" t="str">
        <f t="shared" si="7"/>
        <v/>
      </c>
      <c r="C69" s="507">
        <f>IF(D11="","-",+C68+1)</f>
        <v>2069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16"/>
        <v>0</v>
      </c>
      <c r="G69" s="526">
        <f t="shared" si="19"/>
        <v>0</v>
      </c>
      <c r="H69" s="491">
        <f t="shared" si="20"/>
        <v>0</v>
      </c>
      <c r="I69" s="511">
        <f t="shared" si="0"/>
        <v>0</v>
      </c>
      <c r="J69" s="511"/>
      <c r="K69" s="525"/>
      <c r="L69" s="514">
        <f t="shared" si="2"/>
        <v>0</v>
      </c>
      <c r="M69" s="525"/>
      <c r="N69" s="514">
        <f t="shared" si="4"/>
        <v>0</v>
      </c>
      <c r="O69" s="514">
        <f t="shared" si="5"/>
        <v>0</v>
      </c>
      <c r="P69" s="272"/>
    </row>
    <row r="70" spans="2:16">
      <c r="B70" s="195" t="str">
        <f t="shared" si="7"/>
        <v/>
      </c>
      <c r="C70" s="507">
        <f>IF(D11="","-",+C69+1)</f>
        <v>2070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16"/>
        <v>0</v>
      </c>
      <c r="G70" s="526">
        <f t="shared" si="19"/>
        <v>0</v>
      </c>
      <c r="H70" s="491">
        <f t="shared" si="20"/>
        <v>0</v>
      </c>
      <c r="I70" s="511">
        <f t="shared" si="0"/>
        <v>0</v>
      </c>
      <c r="J70" s="511"/>
      <c r="K70" s="525"/>
      <c r="L70" s="514">
        <f t="shared" si="2"/>
        <v>0</v>
      </c>
      <c r="M70" s="525"/>
      <c r="N70" s="514">
        <f t="shared" si="4"/>
        <v>0</v>
      </c>
      <c r="O70" s="514">
        <f t="shared" si="5"/>
        <v>0</v>
      </c>
      <c r="P70" s="272"/>
    </row>
    <row r="71" spans="2:16">
      <c r="B71" s="195" t="str">
        <f t="shared" si="7"/>
        <v/>
      </c>
      <c r="C71" s="507">
        <f>IF(D11="","-",+C70+1)</f>
        <v>2071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16"/>
        <v>0</v>
      </c>
      <c r="G71" s="526">
        <f t="shared" si="19"/>
        <v>0</v>
      </c>
      <c r="H71" s="491">
        <f t="shared" si="20"/>
        <v>0</v>
      </c>
      <c r="I71" s="511">
        <f t="shared" si="0"/>
        <v>0</v>
      </c>
      <c r="J71" s="511"/>
      <c r="K71" s="525"/>
      <c r="L71" s="514">
        <f t="shared" si="2"/>
        <v>0</v>
      </c>
      <c r="M71" s="525"/>
      <c r="N71" s="514">
        <f t="shared" si="4"/>
        <v>0</v>
      </c>
      <c r="O71" s="514">
        <f t="shared" si="5"/>
        <v>0</v>
      </c>
      <c r="P71" s="272"/>
    </row>
    <row r="72" spans="2:16" ht="13.5" thickBot="1">
      <c r="B72" s="195" t="str">
        <f t="shared" si="7"/>
        <v/>
      </c>
      <c r="C72" s="527">
        <f>IF(D11="","-",+C71+1)</f>
        <v>2072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16"/>
        <v>0</v>
      </c>
      <c r="G72" s="530">
        <f t="shared" si="19"/>
        <v>0</v>
      </c>
      <c r="H72" s="471">
        <f t="shared" si="20"/>
        <v>0</v>
      </c>
      <c r="I72" s="531">
        <f t="shared" si="0"/>
        <v>0</v>
      </c>
      <c r="J72" s="511"/>
      <c r="K72" s="532"/>
      <c r="L72" s="533">
        <f t="shared" si="2"/>
        <v>0</v>
      </c>
      <c r="M72" s="532"/>
      <c r="N72" s="533">
        <f t="shared" si="4"/>
        <v>0</v>
      </c>
      <c r="O72" s="533">
        <f t="shared" si="5"/>
        <v>0</v>
      </c>
      <c r="P72" s="272"/>
    </row>
    <row r="73" spans="2:16">
      <c r="C73" s="374" t="s">
        <v>78</v>
      </c>
      <c r="D73" s="375"/>
      <c r="E73" s="375">
        <f>SUM(E17:E72)</f>
        <v>4648771.2899999991</v>
      </c>
      <c r="F73" s="375"/>
      <c r="G73" s="375">
        <f>SUM(G17:G72)</f>
        <v>16968848.317880943</v>
      </c>
      <c r="H73" s="375">
        <f>SUM(H17:H72)</f>
        <v>16968848.317880943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2:16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2:16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2:16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2:16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272"/>
      <c r="P77" s="272"/>
    </row>
    <row r="78" spans="2:16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2:16"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  <c r="O79" s="269"/>
      <c r="P79" s="269"/>
    </row>
    <row r="80" spans="2:16" ht="18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6">
      <c r="B81" s="269"/>
      <c r="C81" s="340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6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</row>
    <row r="83" spans="1:16" ht="20.25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451" t="str">
        <f ca="1">P1</f>
        <v>SWEPCO Project 63 of 75</v>
      </c>
    </row>
    <row r="84" spans="1:16" ht="18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538" t="s">
        <v>128</v>
      </c>
    </row>
    <row r="85" spans="1:16" ht="18.7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</row>
    <row r="86" spans="1:16" ht="15.75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2022</v>
      </c>
      <c r="M86" s="541" t="s">
        <v>9</v>
      </c>
      <c r="N86" s="542" t="s">
        <v>159</v>
      </c>
      <c r="O86" s="543" t="s">
        <v>11</v>
      </c>
      <c r="P86" s="269"/>
    </row>
    <row r="87" spans="1:16" ht="1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391</v>
      </c>
      <c r="M87" s="546">
        <f>IF(J92&lt;D11,0,VLOOKUP(J92,C17:O72,9))</f>
        <v>571779.72158256301</v>
      </c>
      <c r="N87" s="546">
        <f>IF(J92&lt;D11,0,VLOOKUP(J92,C17:O72,11))</f>
        <v>571779.72158256301</v>
      </c>
      <c r="O87" s="547">
        <f>+N87-M87</f>
        <v>0</v>
      </c>
      <c r="P87" s="269"/>
    </row>
    <row r="88" spans="1:16" ht="15.7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392</v>
      </c>
      <c r="M88" s="550">
        <f>IF(J92&lt;D11,0,VLOOKUP(J92,C99:P154,6))</f>
        <v>598199.04164070182</v>
      </c>
      <c r="N88" s="550">
        <f>IF(J92&lt;D11,0,VLOOKUP(J92,C99:P154,7))</f>
        <v>598199.04164070182</v>
      </c>
      <c r="O88" s="551">
        <f>+N88-M88</f>
        <v>0</v>
      </c>
      <c r="P88" s="269"/>
    </row>
    <row r="89" spans="1:16" ht="13.5" thickBot="1">
      <c r="C89" s="467" t="s">
        <v>84</v>
      </c>
      <c r="D89" s="552" t="str">
        <f>+D7</f>
        <v>Brooks Street - Edwards Street 69 kV Line Rebuild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26419.320058138808</v>
      </c>
      <c r="N89" s="555">
        <f>+N88-N87</f>
        <v>26419.320058138808</v>
      </c>
      <c r="O89" s="556">
        <f>+O88-O87</f>
        <v>0</v>
      </c>
      <c r="P89" s="269"/>
    </row>
    <row r="90" spans="1:16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</row>
    <row r="91" spans="1:16" ht="13.5" thickBot="1">
      <c r="A91" s="191"/>
      <c r="C91" s="558" t="s">
        <v>85</v>
      </c>
      <c r="D91" s="559" t="str">
        <f>+D9</f>
        <v>TP2014138</v>
      </c>
      <c r="E91" s="560"/>
      <c r="F91" s="560"/>
      <c r="G91" s="560"/>
      <c r="H91" s="560"/>
      <c r="I91" s="560"/>
      <c r="J91" s="560"/>
      <c r="K91" s="562"/>
      <c r="P91" s="481"/>
    </row>
    <row r="92" spans="1:16">
      <c r="C92" s="486" t="s">
        <v>51</v>
      </c>
      <c r="D92" s="564">
        <v>4648771</v>
      </c>
      <c r="E92" s="340" t="s">
        <v>86</v>
      </c>
      <c r="H92" s="484"/>
      <c r="I92" s="484"/>
      <c r="J92" s="485">
        <f>+'SWE.WS.G.BPU.ATRR.True-up'!M16</f>
        <v>2022</v>
      </c>
      <c r="K92" s="480"/>
      <c r="L92" s="375" t="s">
        <v>87</v>
      </c>
      <c r="P92" s="272"/>
    </row>
    <row r="93" spans="1:16">
      <c r="C93" s="486" t="s">
        <v>54</v>
      </c>
      <c r="D93" s="563">
        <f>IF(D11=I10,"",D11)</f>
        <v>2017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</row>
    <row r="94" spans="1:16">
      <c r="C94" s="486" t="s">
        <v>56</v>
      </c>
      <c r="D94" s="564">
        <f>IF(D11=I10,"",D12)</f>
        <v>12</v>
      </c>
      <c r="E94" s="486" t="s">
        <v>57</v>
      </c>
      <c r="F94" s="484"/>
      <c r="G94" s="484"/>
      <c r="J94" s="490">
        <f>'SWE.WS.G.BPU.ATRR.True-up'!$F$81</f>
        <v>0.11351422637179906</v>
      </c>
      <c r="K94" s="425"/>
      <c r="L94" s="183" t="s">
        <v>88</v>
      </c>
      <c r="P94" s="272"/>
    </row>
    <row r="95" spans="1:16">
      <c r="C95" s="486" t="s">
        <v>59</v>
      </c>
      <c r="D95" s="488">
        <f>'SWE.WS.G.BPU.ATRR.True-up'!F$93</f>
        <v>41</v>
      </c>
      <c r="E95" s="486" t="s">
        <v>60</v>
      </c>
      <c r="F95" s="484"/>
      <c r="G95" s="484"/>
      <c r="J95" s="490">
        <f>IF(H87="",J94,'SWE.WS.G.BPU.ATRR.True-up'!$F$80)</f>
        <v>0.11351422637179906</v>
      </c>
      <c r="K95" s="324"/>
      <c r="L95" s="375" t="s">
        <v>61</v>
      </c>
      <c r="M95" s="324"/>
      <c r="N95" s="324"/>
      <c r="O95" s="324"/>
      <c r="P95" s="272"/>
    </row>
    <row r="96" spans="1:16" ht="13.5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113384.65853658537</v>
      </c>
      <c r="K96" s="375"/>
      <c r="L96" s="375"/>
      <c r="M96" s="375"/>
      <c r="N96" s="375"/>
      <c r="O96" s="375"/>
      <c r="P96" s="272"/>
    </row>
    <row r="97" spans="1:16" ht="38.25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388</v>
      </c>
      <c r="I97" s="495" t="s">
        <v>389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</row>
    <row r="98" spans="1:16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602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</row>
    <row r="99" spans="1:16">
      <c r="C99" s="507">
        <f>IF(D93= "","-",D93)</f>
        <v>2017</v>
      </c>
      <c r="D99" s="649">
        <v>0</v>
      </c>
      <c r="E99" s="650">
        <v>0</v>
      </c>
      <c r="F99" s="651">
        <v>3816677</v>
      </c>
      <c r="G99" s="652">
        <v>1908338.5</v>
      </c>
      <c r="H99" s="653">
        <v>231808.65934946379</v>
      </c>
      <c r="I99" s="654">
        <v>231808.65934946379</v>
      </c>
      <c r="J99" s="514">
        <f t="shared" ref="J99:J130" si="21">+I99-H99</f>
        <v>0</v>
      </c>
      <c r="K99" s="514"/>
      <c r="L99" s="512">
        <f>+H99</f>
        <v>231808.65934946379</v>
      </c>
      <c r="M99" s="513">
        <f t="shared" ref="M99:M130" si="22">IF(L99&lt;&gt;0,+H99-L99,0)</f>
        <v>0</v>
      </c>
      <c r="N99" s="512">
        <f>+I99</f>
        <v>231808.65934946379</v>
      </c>
      <c r="O99" s="513">
        <f t="shared" ref="O99:O130" si="23">IF(N99&lt;&gt;0,+I99-N99,0)</f>
        <v>0</v>
      </c>
      <c r="P99" s="513">
        <f t="shared" ref="P99:P130" si="24">+O99-M99</f>
        <v>0</v>
      </c>
    </row>
    <row r="100" spans="1:16">
      <c r="B100" s="195" t="str">
        <f>IF(D100=F99,"","IU")</f>
        <v>IU</v>
      </c>
      <c r="C100" s="507">
        <f>IF(D93="","-",+C99+1)</f>
        <v>2018</v>
      </c>
      <c r="D100" s="629">
        <v>4649536</v>
      </c>
      <c r="E100" s="630">
        <v>110703.23809523809</v>
      </c>
      <c r="F100" s="631">
        <v>4538832.7619047621</v>
      </c>
      <c r="G100" s="631">
        <v>4594184.3809523806</v>
      </c>
      <c r="H100" s="633">
        <v>595870.17682545946</v>
      </c>
      <c r="I100" s="634">
        <v>595870.17682545946</v>
      </c>
      <c r="J100" s="514">
        <f t="shared" si="21"/>
        <v>0</v>
      </c>
      <c r="K100" s="514"/>
      <c r="L100" s="655">
        <f>+H100</f>
        <v>595870.17682545946</v>
      </c>
      <c r="M100" s="514">
        <f t="shared" si="22"/>
        <v>0</v>
      </c>
      <c r="N100" s="655">
        <f>+I100</f>
        <v>595870.17682545946</v>
      </c>
      <c r="O100" s="514">
        <f t="shared" si="23"/>
        <v>0</v>
      </c>
      <c r="P100" s="514">
        <f t="shared" si="24"/>
        <v>0</v>
      </c>
    </row>
    <row r="101" spans="1:16">
      <c r="B101" s="195" t="str">
        <f t="shared" ref="B101:B154" si="25">IF(D101=F100,"","IU")</f>
        <v>IU</v>
      </c>
      <c r="C101" s="507">
        <f>IF(D93="","-",+C100+1)</f>
        <v>2019</v>
      </c>
      <c r="D101" s="629">
        <v>4538067.7619047621</v>
      </c>
      <c r="E101" s="630">
        <v>108110.95348837209</v>
      </c>
      <c r="F101" s="631">
        <v>4429956.8084163899</v>
      </c>
      <c r="G101" s="631">
        <v>4484012.285160576</v>
      </c>
      <c r="H101" s="633">
        <v>588082.07919327903</v>
      </c>
      <c r="I101" s="634">
        <v>588082.07919327903</v>
      </c>
      <c r="J101" s="514">
        <f t="shared" si="21"/>
        <v>0</v>
      </c>
      <c r="K101" s="514"/>
      <c r="L101" s="655">
        <f>+H101</f>
        <v>588082.07919327903</v>
      </c>
      <c r="M101" s="514">
        <f t="shared" ref="M101:M102" si="26">IF(L101&lt;&gt;0,+H101-L101,0)</f>
        <v>0</v>
      </c>
      <c r="N101" s="655">
        <f>+I101</f>
        <v>588082.07919327903</v>
      </c>
      <c r="O101" s="514">
        <f t="shared" si="23"/>
        <v>0</v>
      </c>
      <c r="P101" s="514">
        <f t="shared" si="24"/>
        <v>0</v>
      </c>
    </row>
    <row r="102" spans="1:16">
      <c r="B102" s="195" t="str">
        <f t="shared" si="25"/>
        <v/>
      </c>
      <c r="C102" s="507">
        <f>IF(D93="","-",+C101+1)</f>
        <v>2020</v>
      </c>
      <c r="D102" s="629">
        <v>4429956.8084163899</v>
      </c>
      <c r="E102" s="630">
        <v>110685.02380952382</v>
      </c>
      <c r="F102" s="631">
        <v>4319271.7846068656</v>
      </c>
      <c r="G102" s="631">
        <v>4374614.2965116277</v>
      </c>
      <c r="H102" s="633">
        <v>581279.04939779744</v>
      </c>
      <c r="I102" s="634">
        <v>581279.04939779744</v>
      </c>
      <c r="J102" s="514">
        <f t="shared" si="21"/>
        <v>0</v>
      </c>
      <c r="K102" s="514"/>
      <c r="L102" s="655">
        <f>+H102</f>
        <v>581279.04939779744</v>
      </c>
      <c r="M102" s="514">
        <f t="shared" si="26"/>
        <v>0</v>
      </c>
      <c r="N102" s="655">
        <f>+I102</f>
        <v>581279.04939779744</v>
      </c>
      <c r="O102" s="514">
        <f t="shared" si="23"/>
        <v>0</v>
      </c>
      <c r="P102" s="514">
        <f t="shared" si="24"/>
        <v>0</v>
      </c>
    </row>
    <row r="103" spans="1:16">
      <c r="B103" s="195" t="str">
        <f t="shared" si="25"/>
        <v/>
      </c>
      <c r="C103" s="507">
        <f>IF(D93="","-",+C102+1)</f>
        <v>2021</v>
      </c>
      <c r="D103" s="629">
        <v>4319271.7846068656</v>
      </c>
      <c r="E103" s="630">
        <v>113384.65853658537</v>
      </c>
      <c r="F103" s="631">
        <v>4205887.1260702806</v>
      </c>
      <c r="G103" s="631">
        <v>4262579.4553385731</v>
      </c>
      <c r="H103" s="633">
        <v>597248.06775766809</v>
      </c>
      <c r="I103" s="634">
        <v>597248.06775766809</v>
      </c>
      <c r="J103" s="514">
        <f t="shared" si="21"/>
        <v>0</v>
      </c>
      <c r="K103" s="514"/>
      <c r="L103" s="655">
        <f>+H103</f>
        <v>597248.06775766809</v>
      </c>
      <c r="M103" s="514">
        <f t="shared" ref="M103" si="27">IF(L103&lt;&gt;0,+H103-L103,0)</f>
        <v>0</v>
      </c>
      <c r="N103" s="655">
        <f>+I103</f>
        <v>597248.06775766809</v>
      </c>
      <c r="O103" s="514">
        <f t="shared" ref="O103" si="28">IF(N103&lt;&gt;0,+I103-N103,0)</f>
        <v>0</v>
      </c>
      <c r="P103" s="514">
        <f t="shared" ref="P103" si="29">+O103-M103</f>
        <v>0</v>
      </c>
    </row>
    <row r="104" spans="1:16">
      <c r="B104" s="195" t="str">
        <f t="shared" si="25"/>
        <v/>
      </c>
      <c r="C104" s="673">
        <f>IF(D93="","-",+C103+1)</f>
        <v>2022</v>
      </c>
      <c r="D104" s="374">
        <v>4205887.1260702806</v>
      </c>
      <c r="E104" s="522">
        <v>110685.02380952382</v>
      </c>
      <c r="F104" s="523">
        <v>4095202.1022607568</v>
      </c>
      <c r="G104" s="523">
        <v>4150544.6141655184</v>
      </c>
      <c r="H104" s="526">
        <v>598199.04164070182</v>
      </c>
      <c r="I104" s="577">
        <v>598199.04164070182</v>
      </c>
      <c r="J104" s="514">
        <f t="shared" si="21"/>
        <v>0</v>
      </c>
      <c r="K104" s="514"/>
      <c r="L104" s="525"/>
      <c r="M104" s="514">
        <f t="shared" si="22"/>
        <v>0</v>
      </c>
      <c r="N104" s="525"/>
      <c r="O104" s="514">
        <f t="shared" si="23"/>
        <v>0</v>
      </c>
      <c r="P104" s="514">
        <f t="shared" si="24"/>
        <v>0</v>
      </c>
    </row>
    <row r="105" spans="1:16">
      <c r="B105" s="195" t="str">
        <f t="shared" si="25"/>
        <v/>
      </c>
      <c r="C105" s="507">
        <f>IF(D93="","-",+C104+1)</f>
        <v>2023</v>
      </c>
      <c r="D105" s="374">
        <f>IF(F104+SUM(E$99:E104)=D$92,F104,D$92-SUM(E$99:E104))</f>
        <v>4095202.1022607568</v>
      </c>
      <c r="E105" s="522">
        <f>IF(+J96&lt;F104,J96,D105)</f>
        <v>113384.65853658537</v>
      </c>
      <c r="F105" s="523">
        <f t="shared" ref="F105:F130" si="30">+D105-E105</f>
        <v>3981817.4437241713</v>
      </c>
      <c r="G105" s="523">
        <f t="shared" ref="G105:G130" si="31">+(F105+D105)/2</f>
        <v>4038509.7729924638</v>
      </c>
      <c r="H105" s="526">
        <f t="shared" ref="H105:H154" si="32">+J$94*G105+E105</f>
        <v>571812.97111277469</v>
      </c>
      <c r="I105" s="577">
        <f t="shared" ref="I105:I154" si="33">+J$95*G105+E105</f>
        <v>571812.97111277469</v>
      </c>
      <c r="J105" s="514">
        <f t="shared" si="21"/>
        <v>0</v>
      </c>
      <c r="K105" s="514"/>
      <c r="L105" s="525"/>
      <c r="M105" s="514">
        <f t="shared" si="22"/>
        <v>0</v>
      </c>
      <c r="N105" s="525"/>
      <c r="O105" s="514">
        <f t="shared" si="23"/>
        <v>0</v>
      </c>
      <c r="P105" s="514">
        <f t="shared" si="24"/>
        <v>0</v>
      </c>
    </row>
    <row r="106" spans="1:16">
      <c r="B106" s="195" t="str">
        <f t="shared" si="25"/>
        <v/>
      </c>
      <c r="C106" s="507">
        <f>IF(D93="","-",+C105+1)</f>
        <v>2024</v>
      </c>
      <c r="D106" s="374">
        <f>IF(F105+SUM(E$99:E105)=D$92,F105,D$92-SUM(E$99:E105))</f>
        <v>3981817.4437241713</v>
      </c>
      <c r="E106" s="522">
        <f>IF(+J96&lt;F105,J96,D106)</f>
        <v>113384.65853658537</v>
      </c>
      <c r="F106" s="523">
        <f t="shared" si="30"/>
        <v>3868432.7851875857</v>
      </c>
      <c r="G106" s="523">
        <f t="shared" si="31"/>
        <v>3925125.1144558787</v>
      </c>
      <c r="H106" s="526">
        <f t="shared" si="32"/>
        <v>558942.19931656367</v>
      </c>
      <c r="I106" s="577">
        <f t="shared" si="33"/>
        <v>558942.19931656367</v>
      </c>
      <c r="J106" s="514">
        <f t="shared" si="21"/>
        <v>0</v>
      </c>
      <c r="K106" s="514"/>
      <c r="L106" s="525"/>
      <c r="M106" s="514">
        <f t="shared" si="22"/>
        <v>0</v>
      </c>
      <c r="N106" s="525"/>
      <c r="O106" s="514">
        <f t="shared" si="23"/>
        <v>0</v>
      </c>
      <c r="P106" s="514">
        <f t="shared" si="24"/>
        <v>0</v>
      </c>
    </row>
    <row r="107" spans="1:16">
      <c r="B107" s="195" t="str">
        <f t="shared" si="25"/>
        <v/>
      </c>
      <c r="C107" s="507">
        <f>IF(D93="","-",+C106+1)</f>
        <v>2025</v>
      </c>
      <c r="D107" s="374">
        <f>IF(F106+SUM(E$99:E106)=D$92,F106,D$92-SUM(E$99:E106))</f>
        <v>3868432.7851875857</v>
      </c>
      <c r="E107" s="522">
        <f>IF(+J96&lt;F106,J96,D107)</f>
        <v>113384.65853658537</v>
      </c>
      <c r="F107" s="523">
        <f t="shared" si="30"/>
        <v>3755048.1266510002</v>
      </c>
      <c r="G107" s="523">
        <f t="shared" si="31"/>
        <v>3811740.4559192928</v>
      </c>
      <c r="H107" s="526">
        <f t="shared" si="32"/>
        <v>546071.42752035253</v>
      </c>
      <c r="I107" s="577">
        <f t="shared" si="33"/>
        <v>546071.42752035253</v>
      </c>
      <c r="J107" s="514">
        <f t="shared" si="21"/>
        <v>0</v>
      </c>
      <c r="K107" s="514"/>
      <c r="L107" s="525"/>
      <c r="M107" s="514">
        <f t="shared" si="22"/>
        <v>0</v>
      </c>
      <c r="N107" s="525"/>
      <c r="O107" s="514">
        <f t="shared" si="23"/>
        <v>0</v>
      </c>
      <c r="P107" s="514">
        <f t="shared" si="24"/>
        <v>0</v>
      </c>
    </row>
    <row r="108" spans="1:16">
      <c r="B108" s="195" t="str">
        <f t="shared" si="25"/>
        <v/>
      </c>
      <c r="C108" s="507">
        <f>IF(D93="","-",+C107+1)</f>
        <v>2026</v>
      </c>
      <c r="D108" s="374">
        <f>IF(F107+SUM(E$99:E107)=D$92,F107,D$92-SUM(E$99:E107))</f>
        <v>3755048.1266510002</v>
      </c>
      <c r="E108" s="522">
        <f>IF(+J96&lt;F107,J96,D108)</f>
        <v>113384.65853658537</v>
      </c>
      <c r="F108" s="523">
        <f t="shared" si="30"/>
        <v>3641663.4681144147</v>
      </c>
      <c r="G108" s="523">
        <f t="shared" si="31"/>
        <v>3698355.7973827077</v>
      </c>
      <c r="H108" s="526">
        <f t="shared" si="32"/>
        <v>533200.65572414151</v>
      </c>
      <c r="I108" s="577">
        <f t="shared" si="33"/>
        <v>533200.65572414151</v>
      </c>
      <c r="J108" s="514">
        <f t="shared" si="21"/>
        <v>0</v>
      </c>
      <c r="K108" s="514"/>
      <c r="L108" s="525"/>
      <c r="M108" s="514">
        <f t="shared" si="22"/>
        <v>0</v>
      </c>
      <c r="N108" s="525"/>
      <c r="O108" s="514">
        <f t="shared" si="23"/>
        <v>0</v>
      </c>
      <c r="P108" s="514">
        <f t="shared" si="24"/>
        <v>0</v>
      </c>
    </row>
    <row r="109" spans="1:16">
      <c r="B109" s="195" t="str">
        <f t="shared" si="25"/>
        <v/>
      </c>
      <c r="C109" s="507">
        <f>IF(D93="","-",+C108+1)</f>
        <v>2027</v>
      </c>
      <c r="D109" s="374">
        <f>IF(F108+SUM(E$99:E108)=D$92,F108,D$92-SUM(E$99:E108))</f>
        <v>3641663.4681144147</v>
      </c>
      <c r="E109" s="522">
        <f>IF(+J96&lt;F108,J96,D109)</f>
        <v>113384.65853658537</v>
      </c>
      <c r="F109" s="523">
        <f t="shared" si="30"/>
        <v>3528278.8095778292</v>
      </c>
      <c r="G109" s="523">
        <f t="shared" si="31"/>
        <v>3584971.1388461217</v>
      </c>
      <c r="H109" s="526">
        <f t="shared" si="32"/>
        <v>520329.88392793026</v>
      </c>
      <c r="I109" s="577">
        <f t="shared" si="33"/>
        <v>520329.88392793026</v>
      </c>
      <c r="J109" s="514">
        <f t="shared" si="21"/>
        <v>0</v>
      </c>
      <c r="K109" s="514"/>
      <c r="L109" s="525"/>
      <c r="M109" s="514">
        <f t="shared" si="22"/>
        <v>0</v>
      </c>
      <c r="N109" s="525"/>
      <c r="O109" s="514">
        <f t="shared" si="23"/>
        <v>0</v>
      </c>
      <c r="P109" s="514">
        <f t="shared" si="24"/>
        <v>0</v>
      </c>
    </row>
    <row r="110" spans="1:16">
      <c r="B110" s="195" t="str">
        <f t="shared" si="25"/>
        <v/>
      </c>
      <c r="C110" s="507">
        <f>IF(D93="","-",+C109+1)</f>
        <v>2028</v>
      </c>
      <c r="D110" s="374">
        <f>IF(F109+SUM(E$99:E109)=D$92,F109,D$92-SUM(E$99:E109))</f>
        <v>3528278.8095778292</v>
      </c>
      <c r="E110" s="522">
        <f>IF(+J96&lt;F109,J96,D110)</f>
        <v>113384.65853658537</v>
      </c>
      <c r="F110" s="523">
        <f t="shared" si="30"/>
        <v>3414894.1510412437</v>
      </c>
      <c r="G110" s="523">
        <f t="shared" si="31"/>
        <v>3471586.4803095367</v>
      </c>
      <c r="H110" s="526">
        <f t="shared" si="32"/>
        <v>507459.11213171924</v>
      </c>
      <c r="I110" s="577">
        <f t="shared" si="33"/>
        <v>507459.11213171924</v>
      </c>
      <c r="J110" s="514">
        <f t="shared" si="21"/>
        <v>0</v>
      </c>
      <c r="K110" s="514"/>
      <c r="L110" s="525"/>
      <c r="M110" s="514">
        <f t="shared" si="22"/>
        <v>0</v>
      </c>
      <c r="N110" s="525"/>
      <c r="O110" s="514">
        <f t="shared" si="23"/>
        <v>0</v>
      </c>
      <c r="P110" s="514">
        <f t="shared" si="24"/>
        <v>0</v>
      </c>
    </row>
    <row r="111" spans="1:16">
      <c r="B111" s="195" t="str">
        <f t="shared" si="25"/>
        <v/>
      </c>
      <c r="C111" s="507">
        <f>IF(D93="","-",+C110+1)</f>
        <v>2029</v>
      </c>
      <c r="D111" s="374">
        <f>IF(F110+SUM(E$99:E110)=D$92,F110,D$92-SUM(E$99:E110))</f>
        <v>3414894.1510412437</v>
      </c>
      <c r="E111" s="522">
        <f>IF(+J96&lt;F110,J96,D111)</f>
        <v>113384.65853658537</v>
      </c>
      <c r="F111" s="523">
        <f t="shared" si="30"/>
        <v>3301509.4925046582</v>
      </c>
      <c r="G111" s="523">
        <f t="shared" si="31"/>
        <v>3358201.8217729507</v>
      </c>
      <c r="H111" s="526">
        <f t="shared" si="32"/>
        <v>494588.34033550811</v>
      </c>
      <c r="I111" s="577">
        <f t="shared" si="33"/>
        <v>494588.34033550811</v>
      </c>
      <c r="J111" s="514">
        <f t="shared" si="21"/>
        <v>0</v>
      </c>
      <c r="K111" s="514"/>
      <c r="L111" s="525"/>
      <c r="M111" s="514">
        <f t="shared" si="22"/>
        <v>0</v>
      </c>
      <c r="N111" s="525"/>
      <c r="O111" s="514">
        <f t="shared" si="23"/>
        <v>0</v>
      </c>
      <c r="P111" s="514">
        <f t="shared" si="24"/>
        <v>0</v>
      </c>
    </row>
    <row r="112" spans="1:16">
      <c r="B112" s="195" t="str">
        <f t="shared" si="25"/>
        <v/>
      </c>
      <c r="C112" s="507">
        <f>IF(D93="","-",+C111+1)</f>
        <v>2030</v>
      </c>
      <c r="D112" s="374">
        <f>IF(F111+SUM(E$99:E111)=D$92,F111,D$92-SUM(E$99:E111))</f>
        <v>3301509.4925046582</v>
      </c>
      <c r="E112" s="522">
        <f>IF(+J96&lt;F111,J96,D112)</f>
        <v>113384.65853658537</v>
      </c>
      <c r="F112" s="523">
        <f t="shared" si="30"/>
        <v>3188124.8339680727</v>
      </c>
      <c r="G112" s="523">
        <f t="shared" si="31"/>
        <v>3244817.1632363657</v>
      </c>
      <c r="H112" s="526">
        <f t="shared" si="32"/>
        <v>481717.56853929709</v>
      </c>
      <c r="I112" s="577">
        <f t="shared" si="33"/>
        <v>481717.56853929709</v>
      </c>
      <c r="J112" s="514">
        <f t="shared" si="21"/>
        <v>0</v>
      </c>
      <c r="K112" s="514"/>
      <c r="L112" s="525"/>
      <c r="M112" s="514">
        <f t="shared" si="22"/>
        <v>0</v>
      </c>
      <c r="N112" s="525"/>
      <c r="O112" s="514">
        <f t="shared" si="23"/>
        <v>0</v>
      </c>
      <c r="P112" s="514">
        <f t="shared" si="24"/>
        <v>0</v>
      </c>
    </row>
    <row r="113" spans="2:16">
      <c r="B113" s="195" t="str">
        <f t="shared" si="25"/>
        <v/>
      </c>
      <c r="C113" s="507">
        <f>IF(D93="","-",+C112+1)</f>
        <v>2031</v>
      </c>
      <c r="D113" s="374">
        <f>IF(F112+SUM(E$99:E112)=D$92,F112,D$92-SUM(E$99:E112))</f>
        <v>3188124.8339680727</v>
      </c>
      <c r="E113" s="522">
        <f>IF(+J96&lt;F112,J96,D113)</f>
        <v>113384.65853658537</v>
      </c>
      <c r="F113" s="523">
        <f t="shared" si="30"/>
        <v>3074740.1754314872</v>
      </c>
      <c r="G113" s="523">
        <f t="shared" si="31"/>
        <v>3131432.5046997797</v>
      </c>
      <c r="H113" s="526">
        <f t="shared" si="32"/>
        <v>468846.79674308584</v>
      </c>
      <c r="I113" s="577">
        <f t="shared" si="33"/>
        <v>468846.79674308584</v>
      </c>
      <c r="J113" s="514">
        <f t="shared" si="21"/>
        <v>0</v>
      </c>
      <c r="K113" s="514"/>
      <c r="L113" s="525"/>
      <c r="M113" s="514">
        <f t="shared" si="22"/>
        <v>0</v>
      </c>
      <c r="N113" s="525"/>
      <c r="O113" s="514">
        <f t="shared" si="23"/>
        <v>0</v>
      </c>
      <c r="P113" s="514">
        <f t="shared" si="24"/>
        <v>0</v>
      </c>
    </row>
    <row r="114" spans="2:16">
      <c r="B114" s="195" t="str">
        <f t="shared" si="25"/>
        <v/>
      </c>
      <c r="C114" s="507">
        <f>IF(D93="","-",+C113+1)</f>
        <v>2032</v>
      </c>
      <c r="D114" s="374">
        <f>IF(F113+SUM(E$99:E113)=D$92,F113,D$92-SUM(E$99:E113))</f>
        <v>3074740.1754314872</v>
      </c>
      <c r="E114" s="522">
        <f>IF(+J96&lt;F113,J96,D114)</f>
        <v>113384.65853658537</v>
      </c>
      <c r="F114" s="523">
        <f t="shared" si="30"/>
        <v>2961355.5168949016</v>
      </c>
      <c r="G114" s="523">
        <f t="shared" si="31"/>
        <v>3018047.8461631946</v>
      </c>
      <c r="H114" s="526">
        <f t="shared" si="32"/>
        <v>455976.02494687482</v>
      </c>
      <c r="I114" s="577">
        <f t="shared" si="33"/>
        <v>455976.02494687482</v>
      </c>
      <c r="J114" s="514">
        <f t="shared" si="21"/>
        <v>0</v>
      </c>
      <c r="K114" s="514"/>
      <c r="L114" s="525"/>
      <c r="M114" s="514">
        <f t="shared" si="22"/>
        <v>0</v>
      </c>
      <c r="N114" s="525"/>
      <c r="O114" s="514">
        <f t="shared" si="23"/>
        <v>0</v>
      </c>
      <c r="P114" s="514">
        <f t="shared" si="24"/>
        <v>0</v>
      </c>
    </row>
    <row r="115" spans="2:16">
      <c r="B115" s="195" t="str">
        <f t="shared" si="25"/>
        <v/>
      </c>
      <c r="C115" s="507">
        <f>IF(D93="","-",+C114+1)</f>
        <v>2033</v>
      </c>
      <c r="D115" s="374">
        <f>IF(F114+SUM(E$99:E114)=D$92,F114,D$92-SUM(E$99:E114))</f>
        <v>2961355.5168949016</v>
      </c>
      <c r="E115" s="522">
        <f>IF(+J96&lt;F114,J96,D115)</f>
        <v>113384.65853658537</v>
      </c>
      <c r="F115" s="523">
        <f t="shared" si="30"/>
        <v>2847970.8583583161</v>
      </c>
      <c r="G115" s="523">
        <f t="shared" si="31"/>
        <v>2904663.1876266086</v>
      </c>
      <c r="H115" s="526">
        <f t="shared" si="32"/>
        <v>443105.25315066369</v>
      </c>
      <c r="I115" s="577">
        <f t="shared" si="33"/>
        <v>443105.25315066369</v>
      </c>
      <c r="J115" s="514">
        <f t="shared" si="21"/>
        <v>0</v>
      </c>
      <c r="K115" s="514"/>
      <c r="L115" s="525"/>
      <c r="M115" s="514">
        <f t="shared" si="22"/>
        <v>0</v>
      </c>
      <c r="N115" s="525"/>
      <c r="O115" s="514">
        <f t="shared" si="23"/>
        <v>0</v>
      </c>
      <c r="P115" s="514">
        <f t="shared" si="24"/>
        <v>0</v>
      </c>
    </row>
    <row r="116" spans="2:16">
      <c r="B116" s="195" t="str">
        <f t="shared" si="25"/>
        <v/>
      </c>
      <c r="C116" s="507">
        <f>IF(D93="","-",+C115+1)</f>
        <v>2034</v>
      </c>
      <c r="D116" s="374">
        <f>IF(F115+SUM(E$99:E115)=D$92,F115,D$92-SUM(E$99:E115))</f>
        <v>2847970.8583583161</v>
      </c>
      <c r="E116" s="522">
        <f>IF(+J96&lt;F115,J96,D116)</f>
        <v>113384.65853658537</v>
      </c>
      <c r="F116" s="523">
        <f t="shared" si="30"/>
        <v>2734586.1998217306</v>
      </c>
      <c r="G116" s="523">
        <f t="shared" si="31"/>
        <v>2791278.5290900236</v>
      </c>
      <c r="H116" s="526">
        <f t="shared" si="32"/>
        <v>430234.48135445267</v>
      </c>
      <c r="I116" s="577">
        <f t="shared" si="33"/>
        <v>430234.48135445267</v>
      </c>
      <c r="J116" s="514">
        <f t="shared" si="21"/>
        <v>0</v>
      </c>
      <c r="K116" s="514"/>
      <c r="L116" s="525"/>
      <c r="M116" s="514">
        <f t="shared" si="22"/>
        <v>0</v>
      </c>
      <c r="N116" s="525"/>
      <c r="O116" s="514">
        <f t="shared" si="23"/>
        <v>0</v>
      </c>
      <c r="P116" s="514">
        <f t="shared" si="24"/>
        <v>0</v>
      </c>
    </row>
    <row r="117" spans="2:16">
      <c r="B117" s="195" t="str">
        <f t="shared" si="25"/>
        <v/>
      </c>
      <c r="C117" s="507">
        <f>IF(D93="","-",+C116+1)</f>
        <v>2035</v>
      </c>
      <c r="D117" s="374">
        <f>IF(F116+SUM(E$99:E116)=D$92,F116,D$92-SUM(E$99:E116))</f>
        <v>2734586.1998217306</v>
      </c>
      <c r="E117" s="522">
        <f>IF(+J96&lt;F116,J96,D117)</f>
        <v>113384.65853658537</v>
      </c>
      <c r="F117" s="523">
        <f t="shared" si="30"/>
        <v>2621201.5412851451</v>
      </c>
      <c r="G117" s="523">
        <f t="shared" si="31"/>
        <v>2677893.8705534376</v>
      </c>
      <c r="H117" s="526">
        <f t="shared" si="32"/>
        <v>417363.70955824142</v>
      </c>
      <c r="I117" s="577">
        <f t="shared" si="33"/>
        <v>417363.70955824142</v>
      </c>
      <c r="J117" s="514">
        <f t="shared" si="21"/>
        <v>0</v>
      </c>
      <c r="K117" s="514"/>
      <c r="L117" s="525"/>
      <c r="M117" s="514">
        <f t="shared" si="22"/>
        <v>0</v>
      </c>
      <c r="N117" s="525"/>
      <c r="O117" s="514">
        <f t="shared" si="23"/>
        <v>0</v>
      </c>
      <c r="P117" s="514">
        <f t="shared" si="24"/>
        <v>0</v>
      </c>
    </row>
    <row r="118" spans="2:16">
      <c r="B118" s="195" t="str">
        <f t="shared" si="25"/>
        <v/>
      </c>
      <c r="C118" s="507">
        <f>IF(D93="","-",+C117+1)</f>
        <v>2036</v>
      </c>
      <c r="D118" s="374">
        <f>IF(F117+SUM(E$99:E117)=D$92,F117,D$92-SUM(E$99:E117))</f>
        <v>2621201.5412851451</v>
      </c>
      <c r="E118" s="522">
        <f>IF(+J96&lt;F117,J96,D118)</f>
        <v>113384.65853658537</v>
      </c>
      <c r="F118" s="523">
        <f t="shared" si="30"/>
        <v>2507816.8827485596</v>
      </c>
      <c r="G118" s="523">
        <f t="shared" si="31"/>
        <v>2564509.2120168526</v>
      </c>
      <c r="H118" s="526">
        <f t="shared" si="32"/>
        <v>404492.9377620304</v>
      </c>
      <c r="I118" s="577">
        <f t="shared" si="33"/>
        <v>404492.9377620304</v>
      </c>
      <c r="J118" s="514">
        <f t="shared" si="21"/>
        <v>0</v>
      </c>
      <c r="K118" s="514"/>
      <c r="L118" s="525"/>
      <c r="M118" s="514">
        <f t="shared" si="22"/>
        <v>0</v>
      </c>
      <c r="N118" s="525"/>
      <c r="O118" s="514">
        <f t="shared" si="23"/>
        <v>0</v>
      </c>
      <c r="P118" s="514">
        <f t="shared" si="24"/>
        <v>0</v>
      </c>
    </row>
    <row r="119" spans="2:16">
      <c r="B119" s="195" t="str">
        <f t="shared" si="25"/>
        <v/>
      </c>
      <c r="C119" s="507">
        <f>IF(D93="","-",+C118+1)</f>
        <v>2037</v>
      </c>
      <c r="D119" s="374">
        <f>IF(F118+SUM(E$99:E118)=D$92,F118,D$92-SUM(E$99:E118))</f>
        <v>2507816.8827485596</v>
      </c>
      <c r="E119" s="522">
        <f>IF(+J96&lt;F118,J96,D119)</f>
        <v>113384.65853658537</v>
      </c>
      <c r="F119" s="523">
        <f t="shared" si="30"/>
        <v>2394432.2242119741</v>
      </c>
      <c r="G119" s="523">
        <f t="shared" si="31"/>
        <v>2451124.5534802666</v>
      </c>
      <c r="H119" s="526">
        <f t="shared" si="32"/>
        <v>391622.16596581927</v>
      </c>
      <c r="I119" s="577">
        <f t="shared" si="33"/>
        <v>391622.16596581927</v>
      </c>
      <c r="J119" s="514">
        <f t="shared" si="21"/>
        <v>0</v>
      </c>
      <c r="K119" s="514"/>
      <c r="L119" s="525"/>
      <c r="M119" s="514">
        <f t="shared" si="22"/>
        <v>0</v>
      </c>
      <c r="N119" s="525"/>
      <c r="O119" s="514">
        <f t="shared" si="23"/>
        <v>0</v>
      </c>
      <c r="P119" s="514">
        <f t="shared" si="24"/>
        <v>0</v>
      </c>
    </row>
    <row r="120" spans="2:16">
      <c r="B120" s="195" t="str">
        <f t="shared" si="25"/>
        <v/>
      </c>
      <c r="C120" s="507">
        <f>IF(D93="","-",+C119+1)</f>
        <v>2038</v>
      </c>
      <c r="D120" s="374">
        <f>IF(F119+SUM(E$99:E119)=D$92,F119,D$92-SUM(E$99:E119))</f>
        <v>2394432.2242119741</v>
      </c>
      <c r="E120" s="522">
        <f>IF(+J96&lt;F119,J96,D120)</f>
        <v>113384.65853658537</v>
      </c>
      <c r="F120" s="523">
        <f t="shared" si="30"/>
        <v>2281047.5656753886</v>
      </c>
      <c r="G120" s="523">
        <f t="shared" si="31"/>
        <v>2337739.8949436815</v>
      </c>
      <c r="H120" s="526">
        <f t="shared" si="32"/>
        <v>378751.39416960813</v>
      </c>
      <c r="I120" s="577">
        <f t="shared" si="33"/>
        <v>378751.39416960813</v>
      </c>
      <c r="J120" s="514">
        <f t="shared" si="21"/>
        <v>0</v>
      </c>
      <c r="K120" s="514"/>
      <c r="L120" s="525"/>
      <c r="M120" s="514">
        <f t="shared" si="22"/>
        <v>0</v>
      </c>
      <c r="N120" s="525"/>
      <c r="O120" s="514">
        <f t="shared" si="23"/>
        <v>0</v>
      </c>
      <c r="P120" s="514">
        <f t="shared" si="24"/>
        <v>0</v>
      </c>
    </row>
    <row r="121" spans="2:16">
      <c r="B121" s="195" t="str">
        <f t="shared" si="25"/>
        <v/>
      </c>
      <c r="C121" s="507">
        <f>IF(D93="","-",+C120+1)</f>
        <v>2039</v>
      </c>
      <c r="D121" s="374">
        <f>IF(F120+SUM(E$99:E120)=D$92,F120,D$92-SUM(E$99:E120))</f>
        <v>2281047.5656753886</v>
      </c>
      <c r="E121" s="522">
        <f>IF(+J96&lt;F120,J96,D121)</f>
        <v>113384.65853658537</v>
      </c>
      <c r="F121" s="523">
        <f t="shared" si="30"/>
        <v>2167662.907138803</v>
      </c>
      <c r="G121" s="523">
        <f t="shared" si="31"/>
        <v>2224355.2364070956</v>
      </c>
      <c r="H121" s="526">
        <f t="shared" si="32"/>
        <v>365880.622373397</v>
      </c>
      <c r="I121" s="577">
        <f t="shared" si="33"/>
        <v>365880.622373397</v>
      </c>
      <c r="J121" s="514">
        <f t="shared" si="21"/>
        <v>0</v>
      </c>
      <c r="K121" s="514"/>
      <c r="L121" s="525"/>
      <c r="M121" s="514">
        <f t="shared" si="22"/>
        <v>0</v>
      </c>
      <c r="N121" s="525"/>
      <c r="O121" s="514">
        <f t="shared" si="23"/>
        <v>0</v>
      </c>
      <c r="P121" s="514">
        <f t="shared" si="24"/>
        <v>0</v>
      </c>
    </row>
    <row r="122" spans="2:16">
      <c r="B122" s="195" t="str">
        <f t="shared" si="25"/>
        <v/>
      </c>
      <c r="C122" s="507">
        <f>IF(D93="","-",+C121+1)</f>
        <v>2040</v>
      </c>
      <c r="D122" s="374">
        <f>IF(F121+SUM(E$99:E121)=D$92,F121,D$92-SUM(E$99:E121))</f>
        <v>2167662.907138803</v>
      </c>
      <c r="E122" s="522">
        <f>IF(+J96&lt;F121,J96,D122)</f>
        <v>113384.65853658537</v>
      </c>
      <c r="F122" s="523">
        <f t="shared" si="30"/>
        <v>2054278.2486022178</v>
      </c>
      <c r="G122" s="523">
        <f t="shared" si="31"/>
        <v>2110970.5778705105</v>
      </c>
      <c r="H122" s="526">
        <f t="shared" si="32"/>
        <v>353009.85057718598</v>
      </c>
      <c r="I122" s="577">
        <f t="shared" si="33"/>
        <v>353009.85057718598</v>
      </c>
      <c r="J122" s="514">
        <f t="shared" si="21"/>
        <v>0</v>
      </c>
      <c r="K122" s="514"/>
      <c r="L122" s="525"/>
      <c r="M122" s="514">
        <f t="shared" si="22"/>
        <v>0</v>
      </c>
      <c r="N122" s="525"/>
      <c r="O122" s="514">
        <f t="shared" si="23"/>
        <v>0</v>
      </c>
      <c r="P122" s="514">
        <f t="shared" si="24"/>
        <v>0</v>
      </c>
    </row>
    <row r="123" spans="2:16">
      <c r="B123" s="195" t="str">
        <f t="shared" si="25"/>
        <v/>
      </c>
      <c r="C123" s="507">
        <f>IF(D93="","-",+C122+1)</f>
        <v>2041</v>
      </c>
      <c r="D123" s="374">
        <f>IF(F122+SUM(E$99:E122)=D$92,F122,D$92-SUM(E$99:E122))</f>
        <v>2054278.2486022178</v>
      </c>
      <c r="E123" s="522">
        <f>IF(+J96&lt;F122,J96,D123)</f>
        <v>113384.65853658537</v>
      </c>
      <c r="F123" s="523">
        <f t="shared" si="30"/>
        <v>1940893.5900656325</v>
      </c>
      <c r="G123" s="523">
        <f t="shared" si="31"/>
        <v>1997585.919333925</v>
      </c>
      <c r="H123" s="526">
        <f t="shared" si="32"/>
        <v>340139.07878097484</v>
      </c>
      <c r="I123" s="577">
        <f t="shared" si="33"/>
        <v>340139.07878097484</v>
      </c>
      <c r="J123" s="514">
        <f t="shared" si="21"/>
        <v>0</v>
      </c>
      <c r="K123" s="514"/>
      <c r="L123" s="525"/>
      <c r="M123" s="514">
        <f t="shared" si="22"/>
        <v>0</v>
      </c>
      <c r="N123" s="525"/>
      <c r="O123" s="514">
        <f t="shared" si="23"/>
        <v>0</v>
      </c>
      <c r="P123" s="514">
        <f t="shared" si="24"/>
        <v>0</v>
      </c>
    </row>
    <row r="124" spans="2:16">
      <c r="B124" s="195" t="str">
        <f t="shared" si="25"/>
        <v/>
      </c>
      <c r="C124" s="507">
        <f>IF(D93="","-",+C123+1)</f>
        <v>2042</v>
      </c>
      <c r="D124" s="374">
        <f>IF(F123+SUM(E$99:E123)=D$92,F123,D$92-SUM(E$99:E123))</f>
        <v>1940893.5900656325</v>
      </c>
      <c r="E124" s="522">
        <f>IF(+J96&lt;F123,J96,D124)</f>
        <v>113384.65853658537</v>
      </c>
      <c r="F124" s="523">
        <f t="shared" si="30"/>
        <v>1827508.9315290472</v>
      </c>
      <c r="G124" s="523">
        <f t="shared" si="31"/>
        <v>1884201.26079734</v>
      </c>
      <c r="H124" s="526">
        <f t="shared" si="32"/>
        <v>327268.30698476383</v>
      </c>
      <c r="I124" s="577">
        <f t="shared" si="33"/>
        <v>327268.30698476383</v>
      </c>
      <c r="J124" s="514">
        <f t="shared" si="21"/>
        <v>0</v>
      </c>
      <c r="K124" s="514"/>
      <c r="L124" s="525"/>
      <c r="M124" s="514">
        <f t="shared" si="22"/>
        <v>0</v>
      </c>
      <c r="N124" s="525"/>
      <c r="O124" s="514">
        <f t="shared" si="23"/>
        <v>0</v>
      </c>
      <c r="P124" s="514">
        <f t="shared" si="24"/>
        <v>0</v>
      </c>
    </row>
    <row r="125" spans="2:16">
      <c r="B125" s="195" t="str">
        <f t="shared" si="25"/>
        <v/>
      </c>
      <c r="C125" s="507">
        <f>IF(D93="","-",+C124+1)</f>
        <v>2043</v>
      </c>
      <c r="D125" s="374">
        <f>IF(F124+SUM(E$99:E124)=D$92,F124,D$92-SUM(E$99:E124))</f>
        <v>1827508.9315290472</v>
      </c>
      <c r="E125" s="522">
        <f>IF(+J96&lt;F124,J96,D125)</f>
        <v>113384.65853658537</v>
      </c>
      <c r="F125" s="523">
        <f t="shared" si="30"/>
        <v>1714124.2729924619</v>
      </c>
      <c r="G125" s="523">
        <f t="shared" si="31"/>
        <v>1770816.6022607544</v>
      </c>
      <c r="H125" s="526">
        <f t="shared" si="32"/>
        <v>314397.53518855269</v>
      </c>
      <c r="I125" s="577">
        <f t="shared" si="33"/>
        <v>314397.53518855269</v>
      </c>
      <c r="J125" s="514">
        <f t="shared" si="21"/>
        <v>0</v>
      </c>
      <c r="K125" s="514"/>
      <c r="L125" s="525"/>
      <c r="M125" s="514">
        <f t="shared" si="22"/>
        <v>0</v>
      </c>
      <c r="N125" s="525"/>
      <c r="O125" s="514">
        <f t="shared" si="23"/>
        <v>0</v>
      </c>
      <c r="P125" s="514">
        <f t="shared" si="24"/>
        <v>0</v>
      </c>
    </row>
    <row r="126" spans="2:16">
      <c r="B126" s="195" t="str">
        <f t="shared" si="25"/>
        <v/>
      </c>
      <c r="C126" s="507">
        <f>IF(D93="","-",+C125+1)</f>
        <v>2044</v>
      </c>
      <c r="D126" s="374">
        <f>IF(F125+SUM(E$99:E125)=D$92,F125,D$92-SUM(E$99:E125))</f>
        <v>1714124.2729924619</v>
      </c>
      <c r="E126" s="522">
        <f>IF(+J96&lt;F125,J96,D126)</f>
        <v>113384.65853658537</v>
      </c>
      <c r="F126" s="523">
        <f t="shared" si="30"/>
        <v>1600739.6144558766</v>
      </c>
      <c r="G126" s="523">
        <f t="shared" si="31"/>
        <v>1657431.9437241694</v>
      </c>
      <c r="H126" s="526">
        <f t="shared" si="32"/>
        <v>301526.76339234167</v>
      </c>
      <c r="I126" s="577">
        <f t="shared" si="33"/>
        <v>301526.76339234167</v>
      </c>
      <c r="J126" s="514">
        <f t="shared" si="21"/>
        <v>0</v>
      </c>
      <c r="K126" s="514"/>
      <c r="L126" s="525"/>
      <c r="M126" s="514">
        <f t="shared" si="22"/>
        <v>0</v>
      </c>
      <c r="N126" s="525"/>
      <c r="O126" s="514">
        <f t="shared" si="23"/>
        <v>0</v>
      </c>
      <c r="P126" s="514">
        <f t="shared" si="24"/>
        <v>0</v>
      </c>
    </row>
    <row r="127" spans="2:16">
      <c r="B127" s="195" t="str">
        <f t="shared" si="25"/>
        <v/>
      </c>
      <c r="C127" s="507">
        <f>IF(D93="","-",+C126+1)</f>
        <v>2045</v>
      </c>
      <c r="D127" s="374">
        <f>IF(F126+SUM(E$99:E126)=D$92,F126,D$92-SUM(E$99:E126))</f>
        <v>1600739.6144558766</v>
      </c>
      <c r="E127" s="522">
        <f>IF(+J96&lt;F126,J96,D127)</f>
        <v>113384.65853658537</v>
      </c>
      <c r="F127" s="523">
        <f t="shared" si="30"/>
        <v>1487354.9559192914</v>
      </c>
      <c r="G127" s="523">
        <f t="shared" si="31"/>
        <v>1544047.2851875839</v>
      </c>
      <c r="H127" s="526">
        <f t="shared" si="32"/>
        <v>288655.99159613054</v>
      </c>
      <c r="I127" s="577">
        <f t="shared" si="33"/>
        <v>288655.99159613054</v>
      </c>
      <c r="J127" s="514">
        <f t="shared" si="21"/>
        <v>0</v>
      </c>
      <c r="K127" s="514"/>
      <c r="L127" s="525"/>
      <c r="M127" s="514">
        <f t="shared" si="22"/>
        <v>0</v>
      </c>
      <c r="N127" s="525"/>
      <c r="O127" s="514">
        <f t="shared" si="23"/>
        <v>0</v>
      </c>
      <c r="P127" s="514">
        <f t="shared" si="24"/>
        <v>0</v>
      </c>
    </row>
    <row r="128" spans="2:16">
      <c r="B128" s="195" t="str">
        <f t="shared" si="25"/>
        <v/>
      </c>
      <c r="C128" s="507">
        <f>IF(D93="","-",+C127+1)</f>
        <v>2046</v>
      </c>
      <c r="D128" s="374">
        <f>IF(F127+SUM(E$99:E127)=D$92,F127,D$92-SUM(E$99:E127))</f>
        <v>1487354.9559192914</v>
      </c>
      <c r="E128" s="522">
        <f>IF(+J96&lt;F127,J96,D128)</f>
        <v>113384.65853658537</v>
      </c>
      <c r="F128" s="523">
        <f t="shared" si="30"/>
        <v>1373970.2973827061</v>
      </c>
      <c r="G128" s="523">
        <f t="shared" si="31"/>
        <v>1430662.6266509988</v>
      </c>
      <c r="H128" s="526">
        <f t="shared" si="32"/>
        <v>275785.21979991952</v>
      </c>
      <c r="I128" s="577">
        <f t="shared" si="33"/>
        <v>275785.21979991952</v>
      </c>
      <c r="J128" s="514">
        <f t="shared" si="21"/>
        <v>0</v>
      </c>
      <c r="K128" s="514"/>
      <c r="L128" s="525"/>
      <c r="M128" s="514">
        <f t="shared" si="22"/>
        <v>0</v>
      </c>
      <c r="N128" s="525"/>
      <c r="O128" s="514">
        <f t="shared" si="23"/>
        <v>0</v>
      </c>
      <c r="P128" s="514">
        <f t="shared" si="24"/>
        <v>0</v>
      </c>
    </row>
    <row r="129" spans="2:16">
      <c r="B129" s="195" t="str">
        <f t="shared" si="25"/>
        <v/>
      </c>
      <c r="C129" s="507">
        <f>IF(D93="","-",+C128+1)</f>
        <v>2047</v>
      </c>
      <c r="D129" s="374">
        <f>IF(F128+SUM(E$99:E128)=D$92,F128,D$92-SUM(E$99:E128))</f>
        <v>1373970.2973827061</v>
      </c>
      <c r="E129" s="522">
        <f>IF(+J96&lt;F128,J96,D129)</f>
        <v>113384.65853658537</v>
      </c>
      <c r="F129" s="523">
        <f t="shared" si="30"/>
        <v>1260585.6388461208</v>
      </c>
      <c r="G129" s="523">
        <f t="shared" si="31"/>
        <v>1317277.9681144133</v>
      </c>
      <c r="H129" s="526">
        <f t="shared" si="32"/>
        <v>262914.44800370838</v>
      </c>
      <c r="I129" s="577">
        <f t="shared" si="33"/>
        <v>262914.44800370838</v>
      </c>
      <c r="J129" s="514">
        <f t="shared" si="21"/>
        <v>0</v>
      </c>
      <c r="K129" s="514"/>
      <c r="L129" s="525"/>
      <c r="M129" s="514">
        <f t="shared" si="22"/>
        <v>0</v>
      </c>
      <c r="N129" s="525"/>
      <c r="O129" s="514">
        <f t="shared" si="23"/>
        <v>0</v>
      </c>
      <c r="P129" s="514">
        <f t="shared" si="24"/>
        <v>0</v>
      </c>
    </row>
    <row r="130" spans="2:16">
      <c r="B130" s="195" t="str">
        <f t="shared" si="25"/>
        <v/>
      </c>
      <c r="C130" s="507">
        <f>IF(D93="","-",+C129+1)</f>
        <v>2048</v>
      </c>
      <c r="D130" s="374">
        <f>IF(F129+SUM(E$99:E129)=D$92,F129,D$92-SUM(E$99:E129))</f>
        <v>1260585.6388461208</v>
      </c>
      <c r="E130" s="522">
        <f>IF(+J96&lt;F129,J96,D130)</f>
        <v>113384.65853658537</v>
      </c>
      <c r="F130" s="523">
        <f t="shared" si="30"/>
        <v>1147200.9803095355</v>
      </c>
      <c r="G130" s="523">
        <f t="shared" si="31"/>
        <v>1203893.3095778283</v>
      </c>
      <c r="H130" s="526">
        <f t="shared" si="32"/>
        <v>250043.67620749734</v>
      </c>
      <c r="I130" s="577">
        <f t="shared" si="33"/>
        <v>250043.67620749734</v>
      </c>
      <c r="J130" s="514">
        <f t="shared" si="21"/>
        <v>0</v>
      </c>
      <c r="K130" s="514"/>
      <c r="L130" s="525"/>
      <c r="M130" s="514">
        <f t="shared" si="22"/>
        <v>0</v>
      </c>
      <c r="N130" s="525"/>
      <c r="O130" s="514">
        <f t="shared" si="23"/>
        <v>0</v>
      </c>
      <c r="P130" s="514">
        <f t="shared" si="24"/>
        <v>0</v>
      </c>
    </row>
    <row r="131" spans="2:16">
      <c r="B131" s="195" t="str">
        <f t="shared" si="25"/>
        <v/>
      </c>
      <c r="C131" s="507">
        <f>IF(D93="","-",+C130+1)</f>
        <v>2049</v>
      </c>
      <c r="D131" s="374">
        <f>IF(F130+SUM(E$99:E130)=D$92,F130,D$92-SUM(E$99:E130))</f>
        <v>1147200.9803095355</v>
      </c>
      <c r="E131" s="522">
        <f>IF(+J96&lt;F130,J96,D131)</f>
        <v>113384.65853658537</v>
      </c>
      <c r="F131" s="523">
        <f t="shared" ref="F131:F154" si="34">+D131-E131</f>
        <v>1033816.3217729501</v>
      </c>
      <c r="G131" s="523">
        <f t="shared" ref="G131:G154" si="35">+(F131+D131)/2</f>
        <v>1090508.6510412428</v>
      </c>
      <c r="H131" s="526">
        <f t="shared" si="32"/>
        <v>237172.90441128623</v>
      </c>
      <c r="I131" s="577">
        <f t="shared" si="33"/>
        <v>237172.90441128623</v>
      </c>
      <c r="J131" s="514">
        <f t="shared" ref="J131:J154" si="36">+I541-H541</f>
        <v>0</v>
      </c>
      <c r="K131" s="514"/>
      <c r="L131" s="525"/>
      <c r="M131" s="514">
        <f t="shared" ref="M131:M154" si="37">IF(L541&lt;&gt;0,+H541-L541,0)</f>
        <v>0</v>
      </c>
      <c r="N131" s="525"/>
      <c r="O131" s="514">
        <f t="shared" ref="O131:O154" si="38">IF(N541&lt;&gt;0,+I541-N541,0)</f>
        <v>0</v>
      </c>
      <c r="P131" s="514">
        <f t="shared" ref="P131:P154" si="39">+O541-M541</f>
        <v>0</v>
      </c>
    </row>
    <row r="132" spans="2:16">
      <c r="B132" s="195" t="str">
        <f t="shared" si="25"/>
        <v/>
      </c>
      <c r="C132" s="507">
        <f>IF(D93="","-",+C131+1)</f>
        <v>2050</v>
      </c>
      <c r="D132" s="374">
        <f>IF(F131+SUM(E$99:E131)=D$92,F131,D$92-SUM(E$99:E131))</f>
        <v>1033816.3217729501</v>
      </c>
      <c r="E132" s="522">
        <f>IF(+J96&lt;F131,J96,D132)</f>
        <v>113384.65853658537</v>
      </c>
      <c r="F132" s="523">
        <f t="shared" si="34"/>
        <v>920431.66323636472</v>
      </c>
      <c r="G132" s="523">
        <f t="shared" si="35"/>
        <v>977123.99250465748</v>
      </c>
      <c r="H132" s="526">
        <f t="shared" si="32"/>
        <v>224302.13261507516</v>
      </c>
      <c r="I132" s="577">
        <f t="shared" si="33"/>
        <v>224302.13261507516</v>
      </c>
      <c r="J132" s="514">
        <f t="shared" si="36"/>
        <v>0</v>
      </c>
      <c r="K132" s="514"/>
      <c r="L132" s="525"/>
      <c r="M132" s="514">
        <f t="shared" si="37"/>
        <v>0</v>
      </c>
      <c r="N132" s="525"/>
      <c r="O132" s="514">
        <f t="shared" si="38"/>
        <v>0</v>
      </c>
      <c r="P132" s="514">
        <f t="shared" si="39"/>
        <v>0</v>
      </c>
    </row>
    <row r="133" spans="2:16">
      <c r="B133" s="195" t="str">
        <f t="shared" si="25"/>
        <v/>
      </c>
      <c r="C133" s="507">
        <f>IF(D93="","-",+C132+1)</f>
        <v>2051</v>
      </c>
      <c r="D133" s="374">
        <f>IF(F132+SUM(E$99:E132)=D$92,F132,D$92-SUM(E$99:E132))</f>
        <v>920431.66323636472</v>
      </c>
      <c r="E133" s="522">
        <f>IF(+J96&lt;F132,J96,D133)</f>
        <v>113384.65853658537</v>
      </c>
      <c r="F133" s="523">
        <f t="shared" si="34"/>
        <v>807047.00469977933</v>
      </c>
      <c r="G133" s="523">
        <f t="shared" si="35"/>
        <v>863739.33396807197</v>
      </c>
      <c r="H133" s="526">
        <f t="shared" si="32"/>
        <v>211431.36081886402</v>
      </c>
      <c r="I133" s="577">
        <f t="shared" si="33"/>
        <v>211431.36081886402</v>
      </c>
      <c r="J133" s="514">
        <f t="shared" si="36"/>
        <v>0</v>
      </c>
      <c r="K133" s="514"/>
      <c r="L133" s="525"/>
      <c r="M133" s="514">
        <f t="shared" si="37"/>
        <v>0</v>
      </c>
      <c r="N133" s="525"/>
      <c r="O133" s="514">
        <f t="shared" si="38"/>
        <v>0</v>
      </c>
      <c r="P133" s="514">
        <f t="shared" si="39"/>
        <v>0</v>
      </c>
    </row>
    <row r="134" spans="2:16">
      <c r="B134" s="195" t="str">
        <f t="shared" si="25"/>
        <v/>
      </c>
      <c r="C134" s="507">
        <f>IF(D93="","-",+C133+1)</f>
        <v>2052</v>
      </c>
      <c r="D134" s="374">
        <f>IF(F133+SUM(E$99:E133)=D$92,F133,D$92-SUM(E$99:E133))</f>
        <v>807047.00469977933</v>
      </c>
      <c r="E134" s="522">
        <f>IF(+J96&lt;F133,J96,D134)</f>
        <v>113384.65853658537</v>
      </c>
      <c r="F134" s="523">
        <f t="shared" si="34"/>
        <v>693662.34616319393</v>
      </c>
      <c r="G134" s="523">
        <f t="shared" si="35"/>
        <v>750354.67543148668</v>
      </c>
      <c r="H134" s="526">
        <f t="shared" si="32"/>
        <v>198560.58902265294</v>
      </c>
      <c r="I134" s="577">
        <f t="shared" si="33"/>
        <v>198560.58902265294</v>
      </c>
      <c r="J134" s="514">
        <f t="shared" si="36"/>
        <v>0</v>
      </c>
      <c r="K134" s="514"/>
      <c r="L134" s="525"/>
      <c r="M134" s="514">
        <f t="shared" si="37"/>
        <v>0</v>
      </c>
      <c r="N134" s="525"/>
      <c r="O134" s="514">
        <f t="shared" si="38"/>
        <v>0</v>
      </c>
      <c r="P134" s="514">
        <f t="shared" si="39"/>
        <v>0</v>
      </c>
    </row>
    <row r="135" spans="2:16">
      <c r="B135" s="195" t="str">
        <f t="shared" si="25"/>
        <v/>
      </c>
      <c r="C135" s="507">
        <f>IF(D93="","-",+C134+1)</f>
        <v>2053</v>
      </c>
      <c r="D135" s="374">
        <f>IF(F134+SUM(E$99:E134)=D$92,F134,D$92-SUM(E$99:E134))</f>
        <v>693662.34616319393</v>
      </c>
      <c r="E135" s="522">
        <f>IF(+J96&lt;F134,J96,D135)</f>
        <v>113384.65853658537</v>
      </c>
      <c r="F135" s="523">
        <f t="shared" si="34"/>
        <v>580277.68762660853</v>
      </c>
      <c r="G135" s="523">
        <f t="shared" si="35"/>
        <v>636970.01689490117</v>
      </c>
      <c r="H135" s="526">
        <f t="shared" si="32"/>
        <v>185689.81722644187</v>
      </c>
      <c r="I135" s="577">
        <f t="shared" si="33"/>
        <v>185689.81722644187</v>
      </c>
      <c r="J135" s="514">
        <f t="shared" si="36"/>
        <v>0</v>
      </c>
      <c r="K135" s="514"/>
      <c r="L135" s="525"/>
      <c r="M135" s="514">
        <f t="shared" si="37"/>
        <v>0</v>
      </c>
      <c r="N135" s="525"/>
      <c r="O135" s="514">
        <f t="shared" si="38"/>
        <v>0</v>
      </c>
      <c r="P135" s="514">
        <f t="shared" si="39"/>
        <v>0</v>
      </c>
    </row>
    <row r="136" spans="2:16">
      <c r="B136" s="195" t="str">
        <f t="shared" si="25"/>
        <v/>
      </c>
      <c r="C136" s="507">
        <f>IF(D93="","-",+C135+1)</f>
        <v>2054</v>
      </c>
      <c r="D136" s="374">
        <f>IF(F135+SUM(E$99:E135)=D$92,F135,D$92-SUM(E$99:E135))</f>
        <v>580277.68762660853</v>
      </c>
      <c r="E136" s="522">
        <f>IF(+J96&lt;F135,J96,D136)</f>
        <v>113384.65853658537</v>
      </c>
      <c r="F136" s="523">
        <f t="shared" si="34"/>
        <v>466893.02909002313</v>
      </c>
      <c r="G136" s="523">
        <f t="shared" si="35"/>
        <v>523585.35835831583</v>
      </c>
      <c r="H136" s="526">
        <f t="shared" si="32"/>
        <v>172819.04543023076</v>
      </c>
      <c r="I136" s="577">
        <f t="shared" si="33"/>
        <v>172819.04543023076</v>
      </c>
      <c r="J136" s="514">
        <f t="shared" si="36"/>
        <v>0</v>
      </c>
      <c r="K136" s="514"/>
      <c r="L136" s="525"/>
      <c r="M136" s="514">
        <f t="shared" si="37"/>
        <v>0</v>
      </c>
      <c r="N136" s="525"/>
      <c r="O136" s="514">
        <f t="shared" si="38"/>
        <v>0</v>
      </c>
      <c r="P136" s="514">
        <f t="shared" si="39"/>
        <v>0</v>
      </c>
    </row>
    <row r="137" spans="2:16">
      <c r="B137" s="195" t="str">
        <f t="shared" si="25"/>
        <v/>
      </c>
      <c r="C137" s="507">
        <f>IF(D93="","-",+C136+1)</f>
        <v>2055</v>
      </c>
      <c r="D137" s="374">
        <f>IF(F136+SUM(E$99:E136)=D$92,F136,D$92-SUM(E$99:E136))</f>
        <v>466893.02909002313</v>
      </c>
      <c r="E137" s="522">
        <f>IF(+J96&lt;F136,J96,D137)</f>
        <v>113384.65853658537</v>
      </c>
      <c r="F137" s="523">
        <f t="shared" si="34"/>
        <v>353508.37055343774</v>
      </c>
      <c r="G137" s="523">
        <f t="shared" si="35"/>
        <v>410200.69982173044</v>
      </c>
      <c r="H137" s="526">
        <f t="shared" si="32"/>
        <v>159948.27363401966</v>
      </c>
      <c r="I137" s="577">
        <f t="shared" si="33"/>
        <v>159948.27363401966</v>
      </c>
      <c r="J137" s="514">
        <f t="shared" si="36"/>
        <v>0</v>
      </c>
      <c r="K137" s="514"/>
      <c r="L137" s="525"/>
      <c r="M137" s="514">
        <f t="shared" si="37"/>
        <v>0</v>
      </c>
      <c r="N137" s="525"/>
      <c r="O137" s="514">
        <f t="shared" si="38"/>
        <v>0</v>
      </c>
      <c r="P137" s="514">
        <f t="shared" si="39"/>
        <v>0</v>
      </c>
    </row>
    <row r="138" spans="2:16">
      <c r="B138" s="195" t="str">
        <f t="shared" si="25"/>
        <v/>
      </c>
      <c r="C138" s="507">
        <f>IF(D93="","-",+C137+1)</f>
        <v>2056</v>
      </c>
      <c r="D138" s="374">
        <f>IF(F137+SUM(E$99:E137)=D$92,F137,D$92-SUM(E$99:E137))</f>
        <v>353508.37055343774</v>
      </c>
      <c r="E138" s="522">
        <f>IF(+J96&lt;F137,J96,D138)</f>
        <v>113384.65853658537</v>
      </c>
      <c r="F138" s="523">
        <f t="shared" si="34"/>
        <v>240123.71201685237</v>
      </c>
      <c r="G138" s="523">
        <f t="shared" si="35"/>
        <v>296816.04128514504</v>
      </c>
      <c r="H138" s="526">
        <f t="shared" si="32"/>
        <v>147077.50183780858</v>
      </c>
      <c r="I138" s="577">
        <f t="shared" si="33"/>
        <v>147077.50183780858</v>
      </c>
      <c r="J138" s="514">
        <f t="shared" si="36"/>
        <v>0</v>
      </c>
      <c r="K138" s="514"/>
      <c r="L138" s="525"/>
      <c r="M138" s="514">
        <f t="shared" si="37"/>
        <v>0</v>
      </c>
      <c r="N138" s="525"/>
      <c r="O138" s="514">
        <f t="shared" si="38"/>
        <v>0</v>
      </c>
      <c r="P138" s="514">
        <f t="shared" si="39"/>
        <v>0</v>
      </c>
    </row>
    <row r="139" spans="2:16">
      <c r="B139" s="195" t="str">
        <f t="shared" si="25"/>
        <v/>
      </c>
      <c r="C139" s="507">
        <f>IF(D93="","-",+C138+1)</f>
        <v>2057</v>
      </c>
      <c r="D139" s="374">
        <f>IF(F138+SUM(E$99:E138)=D$92,F138,D$92-SUM(E$99:E138))</f>
        <v>240123.71201685237</v>
      </c>
      <c r="E139" s="522">
        <f>IF(+J96&lt;F138,J96,D139)</f>
        <v>113384.65853658537</v>
      </c>
      <c r="F139" s="523">
        <f t="shared" si="34"/>
        <v>126739.053480267</v>
      </c>
      <c r="G139" s="523">
        <f t="shared" si="35"/>
        <v>183431.3827485597</v>
      </c>
      <c r="H139" s="526">
        <f t="shared" si="32"/>
        <v>134206.7300415975</v>
      </c>
      <c r="I139" s="577">
        <f t="shared" si="33"/>
        <v>134206.7300415975</v>
      </c>
      <c r="J139" s="514">
        <f t="shared" si="36"/>
        <v>0</v>
      </c>
      <c r="K139" s="514"/>
      <c r="L139" s="525"/>
      <c r="M139" s="514">
        <f t="shared" si="37"/>
        <v>0</v>
      </c>
      <c r="N139" s="525"/>
      <c r="O139" s="514">
        <f t="shared" si="38"/>
        <v>0</v>
      </c>
      <c r="P139" s="514">
        <f t="shared" si="39"/>
        <v>0</v>
      </c>
    </row>
    <row r="140" spans="2:16">
      <c r="B140" s="195" t="str">
        <f t="shared" si="25"/>
        <v/>
      </c>
      <c r="C140" s="507">
        <f>IF(D93="","-",+C139+1)</f>
        <v>2058</v>
      </c>
      <c r="D140" s="374">
        <f>IF(F139+SUM(E$99:E139)=D$92,F139,D$92-SUM(E$99:E139))</f>
        <v>126739.053480267</v>
      </c>
      <c r="E140" s="522">
        <f>IF(+J96&lt;F139,J96,D140)</f>
        <v>113384.65853658537</v>
      </c>
      <c r="F140" s="523">
        <f t="shared" si="34"/>
        <v>13354.394943681633</v>
      </c>
      <c r="G140" s="523">
        <f t="shared" si="35"/>
        <v>70046.724211974317</v>
      </c>
      <c r="H140" s="526">
        <f t="shared" si="32"/>
        <v>121335.9582453864</v>
      </c>
      <c r="I140" s="577">
        <f t="shared" si="33"/>
        <v>121335.9582453864</v>
      </c>
      <c r="J140" s="514">
        <f t="shared" si="36"/>
        <v>0</v>
      </c>
      <c r="K140" s="514"/>
      <c r="L140" s="525"/>
      <c r="M140" s="514">
        <f t="shared" si="37"/>
        <v>0</v>
      </c>
      <c r="N140" s="525"/>
      <c r="O140" s="514">
        <f t="shared" si="38"/>
        <v>0</v>
      </c>
      <c r="P140" s="514">
        <f t="shared" si="39"/>
        <v>0</v>
      </c>
    </row>
    <row r="141" spans="2:16">
      <c r="B141" s="195" t="str">
        <f t="shared" si="25"/>
        <v/>
      </c>
      <c r="C141" s="507">
        <f>IF(D93="","-",+C140+1)</f>
        <v>2059</v>
      </c>
      <c r="D141" s="374">
        <f>IF(F140+SUM(E$99:E140)=D$92,F140,D$92-SUM(E$99:E140))</f>
        <v>13354.394943681633</v>
      </c>
      <c r="E141" s="522">
        <f>IF(+J96&lt;F140,J96,D141)</f>
        <v>13354.394943681633</v>
      </c>
      <c r="F141" s="523">
        <f t="shared" si="34"/>
        <v>0</v>
      </c>
      <c r="G141" s="523">
        <f t="shared" si="35"/>
        <v>6677.1974718408164</v>
      </c>
      <c r="H141" s="526">
        <f t="shared" si="32"/>
        <v>14112.351849029375</v>
      </c>
      <c r="I141" s="577">
        <f t="shared" si="33"/>
        <v>14112.351849029375</v>
      </c>
      <c r="J141" s="514">
        <f t="shared" si="36"/>
        <v>0</v>
      </c>
      <c r="K141" s="514"/>
      <c r="L141" s="525"/>
      <c r="M141" s="514">
        <f t="shared" si="37"/>
        <v>0</v>
      </c>
      <c r="N141" s="525"/>
      <c r="O141" s="514">
        <f t="shared" si="38"/>
        <v>0</v>
      </c>
      <c r="P141" s="514">
        <f t="shared" si="39"/>
        <v>0</v>
      </c>
    </row>
    <row r="142" spans="2:16">
      <c r="B142" s="195" t="str">
        <f t="shared" si="25"/>
        <v/>
      </c>
      <c r="C142" s="507">
        <f>IF(D93="","-",+C141+1)</f>
        <v>2060</v>
      </c>
      <c r="D142" s="374">
        <f>IF(F141+SUM(E$99:E141)=D$92,F141,D$92-SUM(E$99:E141))</f>
        <v>0</v>
      </c>
      <c r="E142" s="522">
        <f>IF(+J96&lt;F141,J96,D142)</f>
        <v>0</v>
      </c>
      <c r="F142" s="523">
        <f t="shared" si="34"/>
        <v>0</v>
      </c>
      <c r="G142" s="523">
        <f t="shared" si="35"/>
        <v>0</v>
      </c>
      <c r="H142" s="526">
        <f t="shared" si="32"/>
        <v>0</v>
      </c>
      <c r="I142" s="577">
        <f t="shared" si="33"/>
        <v>0</v>
      </c>
      <c r="J142" s="514">
        <f t="shared" si="36"/>
        <v>0</v>
      </c>
      <c r="K142" s="514"/>
      <c r="L142" s="525"/>
      <c r="M142" s="514">
        <f t="shared" si="37"/>
        <v>0</v>
      </c>
      <c r="N142" s="525"/>
      <c r="O142" s="514">
        <f t="shared" si="38"/>
        <v>0</v>
      </c>
      <c r="P142" s="514">
        <f t="shared" si="39"/>
        <v>0</v>
      </c>
    </row>
    <row r="143" spans="2:16">
      <c r="B143" s="195" t="str">
        <f t="shared" si="25"/>
        <v/>
      </c>
      <c r="C143" s="507">
        <f>IF(D93="","-",+C142+1)</f>
        <v>2061</v>
      </c>
      <c r="D143" s="374">
        <f>IF(F142+SUM(E$99:E142)=D$92,F142,D$92-SUM(E$99:E142))</f>
        <v>0</v>
      </c>
      <c r="E143" s="522">
        <f>IF(+J96&lt;F142,J96,D143)</f>
        <v>0</v>
      </c>
      <c r="F143" s="523">
        <f t="shared" si="34"/>
        <v>0</v>
      </c>
      <c r="G143" s="523">
        <f t="shared" si="35"/>
        <v>0</v>
      </c>
      <c r="H143" s="526">
        <f t="shared" si="32"/>
        <v>0</v>
      </c>
      <c r="I143" s="577">
        <f t="shared" si="33"/>
        <v>0</v>
      </c>
      <c r="J143" s="514">
        <f t="shared" si="36"/>
        <v>0</v>
      </c>
      <c r="K143" s="514"/>
      <c r="L143" s="525"/>
      <c r="M143" s="514">
        <f t="shared" si="37"/>
        <v>0</v>
      </c>
      <c r="N143" s="525"/>
      <c r="O143" s="514">
        <f t="shared" si="38"/>
        <v>0</v>
      </c>
      <c r="P143" s="514">
        <f t="shared" si="39"/>
        <v>0</v>
      </c>
    </row>
    <row r="144" spans="2:16">
      <c r="B144" s="195" t="str">
        <f t="shared" si="25"/>
        <v/>
      </c>
      <c r="C144" s="507">
        <f>IF(D93="","-",+C143+1)</f>
        <v>2062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34"/>
        <v>0</v>
      </c>
      <c r="G144" s="523">
        <f t="shared" si="35"/>
        <v>0</v>
      </c>
      <c r="H144" s="526">
        <f t="shared" si="32"/>
        <v>0</v>
      </c>
      <c r="I144" s="577">
        <f t="shared" si="33"/>
        <v>0</v>
      </c>
      <c r="J144" s="514">
        <f t="shared" si="36"/>
        <v>0</v>
      </c>
      <c r="K144" s="514"/>
      <c r="L144" s="525"/>
      <c r="M144" s="514">
        <f t="shared" si="37"/>
        <v>0</v>
      </c>
      <c r="N144" s="525"/>
      <c r="O144" s="514">
        <f t="shared" si="38"/>
        <v>0</v>
      </c>
      <c r="P144" s="514">
        <f t="shared" si="39"/>
        <v>0</v>
      </c>
    </row>
    <row r="145" spans="2:16">
      <c r="B145" s="195" t="str">
        <f t="shared" si="25"/>
        <v/>
      </c>
      <c r="C145" s="507">
        <f>IF(D93="","-",+C144+1)</f>
        <v>2063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34"/>
        <v>0</v>
      </c>
      <c r="G145" s="523">
        <f t="shared" si="35"/>
        <v>0</v>
      </c>
      <c r="H145" s="526">
        <f t="shared" si="32"/>
        <v>0</v>
      </c>
      <c r="I145" s="577">
        <f t="shared" si="33"/>
        <v>0</v>
      </c>
      <c r="J145" s="514">
        <f t="shared" si="36"/>
        <v>0</v>
      </c>
      <c r="K145" s="514"/>
      <c r="L145" s="525"/>
      <c r="M145" s="514">
        <f t="shared" si="37"/>
        <v>0</v>
      </c>
      <c r="N145" s="525"/>
      <c r="O145" s="514">
        <f t="shared" si="38"/>
        <v>0</v>
      </c>
      <c r="P145" s="514">
        <f t="shared" si="39"/>
        <v>0</v>
      </c>
    </row>
    <row r="146" spans="2:16">
      <c r="B146" s="195" t="str">
        <f t="shared" si="25"/>
        <v/>
      </c>
      <c r="C146" s="507">
        <f>IF(D93="","-",+C145+1)</f>
        <v>2064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34"/>
        <v>0</v>
      </c>
      <c r="G146" s="523">
        <f t="shared" si="35"/>
        <v>0</v>
      </c>
      <c r="H146" s="526">
        <f t="shared" si="32"/>
        <v>0</v>
      </c>
      <c r="I146" s="577">
        <f t="shared" si="33"/>
        <v>0</v>
      </c>
      <c r="J146" s="514">
        <f t="shared" si="36"/>
        <v>0</v>
      </c>
      <c r="K146" s="514"/>
      <c r="L146" s="525"/>
      <c r="M146" s="514">
        <f t="shared" si="37"/>
        <v>0</v>
      </c>
      <c r="N146" s="525"/>
      <c r="O146" s="514">
        <f t="shared" si="38"/>
        <v>0</v>
      </c>
      <c r="P146" s="514">
        <f t="shared" si="39"/>
        <v>0</v>
      </c>
    </row>
    <row r="147" spans="2:16">
      <c r="B147" s="195" t="str">
        <f t="shared" si="25"/>
        <v/>
      </c>
      <c r="C147" s="507">
        <f>IF(D93="","-",+C146+1)</f>
        <v>2065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34"/>
        <v>0</v>
      </c>
      <c r="G147" s="523">
        <f t="shared" si="35"/>
        <v>0</v>
      </c>
      <c r="H147" s="526">
        <f t="shared" si="32"/>
        <v>0</v>
      </c>
      <c r="I147" s="577">
        <f t="shared" si="33"/>
        <v>0</v>
      </c>
      <c r="J147" s="514">
        <f t="shared" si="36"/>
        <v>0</v>
      </c>
      <c r="K147" s="514"/>
      <c r="L147" s="525"/>
      <c r="M147" s="514">
        <f t="shared" si="37"/>
        <v>0</v>
      </c>
      <c r="N147" s="525"/>
      <c r="O147" s="514">
        <f t="shared" si="38"/>
        <v>0</v>
      </c>
      <c r="P147" s="514">
        <f t="shared" si="39"/>
        <v>0</v>
      </c>
    </row>
    <row r="148" spans="2:16">
      <c r="B148" s="195" t="str">
        <f t="shared" si="25"/>
        <v/>
      </c>
      <c r="C148" s="507">
        <f>IF(D93="","-",+C147+1)</f>
        <v>2066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34"/>
        <v>0</v>
      </c>
      <c r="G148" s="523">
        <f t="shared" si="35"/>
        <v>0</v>
      </c>
      <c r="H148" s="526">
        <f t="shared" si="32"/>
        <v>0</v>
      </c>
      <c r="I148" s="577">
        <f t="shared" si="33"/>
        <v>0</v>
      </c>
      <c r="J148" s="514">
        <f t="shared" si="36"/>
        <v>0</v>
      </c>
      <c r="K148" s="514"/>
      <c r="L148" s="525"/>
      <c r="M148" s="514">
        <f t="shared" si="37"/>
        <v>0</v>
      </c>
      <c r="N148" s="525"/>
      <c r="O148" s="514">
        <f t="shared" si="38"/>
        <v>0</v>
      </c>
      <c r="P148" s="514">
        <f t="shared" si="39"/>
        <v>0</v>
      </c>
    </row>
    <row r="149" spans="2:16">
      <c r="B149" s="195" t="str">
        <f t="shared" si="25"/>
        <v/>
      </c>
      <c r="C149" s="507">
        <f>IF(D93="","-",+C148+1)</f>
        <v>2067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34"/>
        <v>0</v>
      </c>
      <c r="G149" s="523">
        <f t="shared" si="35"/>
        <v>0</v>
      </c>
      <c r="H149" s="526">
        <f t="shared" si="32"/>
        <v>0</v>
      </c>
      <c r="I149" s="577">
        <f t="shared" si="33"/>
        <v>0</v>
      </c>
      <c r="J149" s="514">
        <f t="shared" si="36"/>
        <v>0</v>
      </c>
      <c r="K149" s="514"/>
      <c r="L149" s="525"/>
      <c r="M149" s="514">
        <f t="shared" si="37"/>
        <v>0</v>
      </c>
      <c r="N149" s="525"/>
      <c r="O149" s="514">
        <f t="shared" si="38"/>
        <v>0</v>
      </c>
      <c r="P149" s="514">
        <f t="shared" si="39"/>
        <v>0</v>
      </c>
    </row>
    <row r="150" spans="2:16">
      <c r="B150" s="195" t="str">
        <f t="shared" si="25"/>
        <v/>
      </c>
      <c r="C150" s="507">
        <f>IF(D93="","-",+C149+1)</f>
        <v>2068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34"/>
        <v>0</v>
      </c>
      <c r="G150" s="523">
        <f t="shared" si="35"/>
        <v>0</v>
      </c>
      <c r="H150" s="526">
        <f t="shared" si="32"/>
        <v>0</v>
      </c>
      <c r="I150" s="577">
        <f t="shared" si="33"/>
        <v>0</v>
      </c>
      <c r="J150" s="514">
        <f t="shared" si="36"/>
        <v>0</v>
      </c>
      <c r="K150" s="514"/>
      <c r="L150" s="525"/>
      <c r="M150" s="514">
        <f t="shared" si="37"/>
        <v>0</v>
      </c>
      <c r="N150" s="525"/>
      <c r="O150" s="514">
        <f t="shared" si="38"/>
        <v>0</v>
      </c>
      <c r="P150" s="514">
        <f t="shared" si="39"/>
        <v>0</v>
      </c>
    </row>
    <row r="151" spans="2:16">
      <c r="B151" s="195" t="str">
        <f t="shared" si="25"/>
        <v/>
      </c>
      <c r="C151" s="507">
        <f>IF(D93="","-",+C150+1)</f>
        <v>2069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34"/>
        <v>0</v>
      </c>
      <c r="G151" s="523">
        <f t="shared" si="35"/>
        <v>0</v>
      </c>
      <c r="H151" s="526">
        <f t="shared" si="32"/>
        <v>0</v>
      </c>
      <c r="I151" s="577">
        <f t="shared" si="33"/>
        <v>0</v>
      </c>
      <c r="J151" s="514">
        <f t="shared" si="36"/>
        <v>0</v>
      </c>
      <c r="K151" s="514"/>
      <c r="L151" s="525"/>
      <c r="M151" s="514">
        <f t="shared" si="37"/>
        <v>0</v>
      </c>
      <c r="N151" s="525"/>
      <c r="O151" s="514">
        <f t="shared" si="38"/>
        <v>0</v>
      </c>
      <c r="P151" s="514">
        <f t="shared" si="39"/>
        <v>0</v>
      </c>
    </row>
    <row r="152" spans="2:16">
      <c r="B152" s="195" t="str">
        <f t="shared" si="25"/>
        <v/>
      </c>
      <c r="C152" s="507">
        <f>IF(D93="","-",+C151+1)</f>
        <v>2070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34"/>
        <v>0</v>
      </c>
      <c r="G152" s="523">
        <f t="shared" si="35"/>
        <v>0</v>
      </c>
      <c r="H152" s="526">
        <f t="shared" si="32"/>
        <v>0</v>
      </c>
      <c r="I152" s="577">
        <f t="shared" si="33"/>
        <v>0</v>
      </c>
      <c r="J152" s="514">
        <f t="shared" si="36"/>
        <v>0</v>
      </c>
      <c r="K152" s="514"/>
      <c r="L152" s="525"/>
      <c r="M152" s="514">
        <f t="shared" si="37"/>
        <v>0</v>
      </c>
      <c r="N152" s="525"/>
      <c r="O152" s="514">
        <f t="shared" si="38"/>
        <v>0</v>
      </c>
      <c r="P152" s="514">
        <f t="shared" si="39"/>
        <v>0</v>
      </c>
    </row>
    <row r="153" spans="2:16">
      <c r="B153" s="195" t="str">
        <f t="shared" si="25"/>
        <v/>
      </c>
      <c r="C153" s="507">
        <f>IF(D93="","-",+C152+1)</f>
        <v>2071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34"/>
        <v>0</v>
      </c>
      <c r="G153" s="523">
        <f t="shared" si="35"/>
        <v>0</v>
      </c>
      <c r="H153" s="526">
        <f t="shared" si="32"/>
        <v>0</v>
      </c>
      <c r="I153" s="577">
        <f t="shared" si="33"/>
        <v>0</v>
      </c>
      <c r="J153" s="514">
        <f t="shared" si="36"/>
        <v>0</v>
      </c>
      <c r="K153" s="514"/>
      <c r="L153" s="525"/>
      <c r="M153" s="514">
        <f t="shared" si="37"/>
        <v>0</v>
      </c>
      <c r="N153" s="525"/>
      <c r="O153" s="514">
        <f t="shared" si="38"/>
        <v>0</v>
      </c>
      <c r="P153" s="514">
        <f t="shared" si="39"/>
        <v>0</v>
      </c>
    </row>
    <row r="154" spans="2:16" ht="13.5" thickBot="1">
      <c r="B154" s="195" t="str">
        <f t="shared" si="25"/>
        <v/>
      </c>
      <c r="C154" s="527">
        <f>IF(D93="","-",+C153+1)</f>
        <v>2072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34"/>
        <v>0</v>
      </c>
      <c r="G154" s="528">
        <f t="shared" si="35"/>
        <v>0</v>
      </c>
      <c r="H154" s="530">
        <f t="shared" si="32"/>
        <v>0</v>
      </c>
      <c r="I154" s="579">
        <f t="shared" si="33"/>
        <v>0</v>
      </c>
      <c r="J154" s="533">
        <f t="shared" si="36"/>
        <v>0</v>
      </c>
      <c r="K154" s="514"/>
      <c r="L154" s="532"/>
      <c r="M154" s="533">
        <f t="shared" si="37"/>
        <v>0</v>
      </c>
      <c r="N154" s="532"/>
      <c r="O154" s="533">
        <f t="shared" si="38"/>
        <v>0</v>
      </c>
      <c r="P154" s="533">
        <f t="shared" si="39"/>
        <v>0</v>
      </c>
    </row>
    <row r="155" spans="2:16">
      <c r="C155" s="374" t="s">
        <v>78</v>
      </c>
      <c r="D155" s="375"/>
      <c r="E155" s="375">
        <f>SUM(E99:E154)</f>
        <v>4648770.9999999991</v>
      </c>
      <c r="F155" s="375"/>
      <c r="G155" s="375"/>
      <c r="H155" s="375">
        <f>SUM(H99:H154)</f>
        <v>15683280.1544603</v>
      </c>
      <c r="I155" s="375">
        <f>SUM(I99:I154)</f>
        <v>15683280.1544603</v>
      </c>
      <c r="J155" s="375">
        <f>SUM(J99:J154)</f>
        <v>0</v>
      </c>
      <c r="K155" s="375"/>
      <c r="L155" s="375"/>
      <c r="M155" s="375"/>
      <c r="N155" s="375"/>
      <c r="O155" s="375"/>
      <c r="P155" s="269"/>
    </row>
    <row r="156" spans="2:16">
      <c r="C156" s="183" t="s">
        <v>92</v>
      </c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</row>
    <row r="157" spans="2:16">
      <c r="C157" s="580"/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</row>
    <row r="158" spans="2:16">
      <c r="C158" s="614" t="s">
        <v>132</v>
      </c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</row>
    <row r="159" spans="2:16">
      <c r="C159" s="467" t="s">
        <v>79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</row>
    <row r="160" spans="2:16">
      <c r="C160" s="581" t="s">
        <v>80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</row>
    <row r="161" spans="3:16">
      <c r="C161" s="581"/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</row>
    <row r="162" spans="3:16" ht="18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635" t="s">
        <v>131</v>
      </c>
    </row>
  </sheetData>
  <conditionalFormatting sqref="C18:C72">
    <cfRule type="cellIs" dxfId="32" priority="2" stopIfTrue="1" operator="equal">
      <formula>$I$10</formula>
    </cfRule>
  </conditionalFormatting>
  <conditionalFormatting sqref="C99:C154">
    <cfRule type="cellIs" dxfId="31" priority="3" stopIfTrue="1" operator="equal">
      <formula>$J$92</formula>
    </cfRule>
  </conditionalFormatting>
  <conditionalFormatting sqref="C17">
    <cfRule type="cellIs" dxfId="30" priority="1" stopIfTrue="1" operator="equal">
      <formula>$I$10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Sheet113"/>
  <dimension ref="A1:P162"/>
  <sheetViews>
    <sheetView topLeftCell="A93" zoomScaleNormal="100" zoomScaleSheetLayoutView="80" workbookViewId="0">
      <selection activeCell="D99" sqref="D99:I104"/>
    </sheetView>
  </sheetViews>
  <sheetFormatPr defaultColWidth="8.7109375" defaultRowHeight="12.75" customHeight="1"/>
  <cols>
    <col min="1" max="1" width="4.7109375" style="183" customWidth="1"/>
    <col min="2" max="2" width="6.7109375" style="183" customWidth="1"/>
    <col min="3" max="3" width="23.28515625" style="183" customWidth="1"/>
    <col min="4" max="8" width="17.7109375" style="183" customWidth="1"/>
    <col min="9" max="9" width="20.42578125" style="183" customWidth="1"/>
    <col min="10" max="10" width="16.42578125" style="183" customWidth="1"/>
    <col min="11" max="11" width="17.7109375" style="183" customWidth="1"/>
    <col min="12" max="12" width="16.140625" style="183" customWidth="1"/>
    <col min="13" max="13" width="17.7109375" style="183" customWidth="1"/>
    <col min="14" max="14" width="16.7109375" style="183" customWidth="1"/>
    <col min="15" max="15" width="16.85546875" style="183" customWidth="1"/>
    <col min="16" max="16" width="24.42578125" style="183" customWidth="1"/>
    <col min="17" max="17" width="9.140625" style="183" customWidth="1"/>
    <col min="18" max="22" width="8.7109375" style="183"/>
    <col min="23" max="23" width="9.140625" style="183" customWidth="1"/>
    <col min="24" max="16384" width="8.7109375" style="183"/>
  </cols>
  <sheetData>
    <row r="1" spans="1:16" ht="20.25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64 of 75</v>
      </c>
    </row>
    <row r="2" spans="1:16" ht="18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538" t="s">
        <v>129</v>
      </c>
    </row>
    <row r="3" spans="1:16" ht="18.75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/>
      <c r="P3" s="623">
        <v>1</v>
      </c>
    </row>
    <row r="4" spans="1:16" ht="15.75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6" ht="1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2128591.689881511</v>
      </c>
      <c r="P5" s="269"/>
    </row>
    <row r="6" spans="1:16" ht="15.7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2128591.689881511</v>
      </c>
      <c r="O6" s="269"/>
      <c r="P6" s="269"/>
    </row>
    <row r="7" spans="1:16" ht="13.5" thickBot="1">
      <c r="C7" s="467" t="s">
        <v>48</v>
      </c>
      <c r="D7" s="624" t="s">
        <v>384</v>
      </c>
      <c r="E7" s="269"/>
      <c r="F7" s="269"/>
      <c r="G7" s="269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6" ht="13.5" thickBot="1">
      <c r="C8" s="472"/>
      <c r="D8" s="625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6" ht="13.5" thickBot="1">
      <c r="C9" s="476" t="s">
        <v>50</v>
      </c>
      <c r="D9" s="477" t="s">
        <v>411</v>
      </c>
      <c r="E9" s="637" t="s">
        <v>412</v>
      </c>
      <c r="F9" s="478"/>
      <c r="G9" s="478"/>
      <c r="H9" s="478"/>
      <c r="I9" s="479"/>
      <c r="J9" s="480"/>
      <c r="O9" s="481"/>
      <c r="P9" s="272"/>
    </row>
    <row r="10" spans="1:16">
      <c r="C10" s="482" t="s">
        <v>51</v>
      </c>
      <c r="D10" s="483">
        <v>17159057.350000001</v>
      </c>
      <c r="E10" s="353" t="s">
        <v>52</v>
      </c>
      <c r="F10" s="481"/>
      <c r="G10" s="484"/>
      <c r="H10" s="484"/>
      <c r="I10" s="485">
        <f>+'SWE.WS.F.BPU.ATRR.Projected'!L19</f>
        <v>2024</v>
      </c>
      <c r="J10" s="480"/>
      <c r="K10" s="375" t="s">
        <v>53</v>
      </c>
      <c r="O10" s="272"/>
      <c r="P10" s="272"/>
    </row>
    <row r="11" spans="1:16">
      <c r="C11" s="486" t="s">
        <v>54</v>
      </c>
      <c r="D11" s="487">
        <v>2017</v>
      </c>
      <c r="E11" s="486" t="s">
        <v>55</v>
      </c>
      <c r="F11" s="484"/>
      <c r="G11" s="233"/>
      <c r="H11" s="233"/>
      <c r="I11" s="488">
        <f>IF(G5="",0,'SWE.WS.F.BPU.ATRR.Projected'!F$13)</f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6">
      <c r="C12" s="486" t="s">
        <v>56</v>
      </c>
      <c r="D12" s="483">
        <v>4</v>
      </c>
      <c r="E12" s="486" t="s">
        <v>57</v>
      </c>
      <c r="F12" s="484"/>
      <c r="G12" s="233"/>
      <c r="H12" s="233"/>
      <c r="I12" s="490">
        <f>'SWE.WS.F.BPU.ATRR.Projected'!$F$81</f>
        <v>0.11952713165403545</v>
      </c>
      <c r="J12" s="425"/>
      <c r="K12" s="183" t="s">
        <v>58</v>
      </c>
      <c r="O12" s="272"/>
      <c r="P12" s="272"/>
    </row>
    <row r="13" spans="1:16">
      <c r="C13" s="486" t="s">
        <v>59</v>
      </c>
      <c r="D13" s="488">
        <f>+'SWE.WS.F.BPU.ATRR.Projected'!F$93</f>
        <v>44</v>
      </c>
      <c r="E13" s="486" t="s">
        <v>60</v>
      </c>
      <c r="F13" s="484"/>
      <c r="G13" s="233"/>
      <c r="H13" s="233"/>
      <c r="I13" s="490">
        <f>IF(G5="",I12,'SWE.WS.F.BPU.ATRR.Projected'!$F$80)</f>
        <v>0.11952713165403545</v>
      </c>
      <c r="J13" s="425"/>
      <c r="K13" s="375" t="s">
        <v>61</v>
      </c>
      <c r="L13" s="324"/>
      <c r="M13" s="324"/>
      <c r="N13" s="324"/>
      <c r="O13" s="272"/>
      <c r="P13" s="272"/>
    </row>
    <row r="14" spans="1:16" ht="13.5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389978.57613636367</v>
      </c>
      <c r="J14" s="375"/>
      <c r="K14" s="375"/>
      <c r="L14" s="375"/>
      <c r="M14" s="375"/>
      <c r="N14" s="375"/>
      <c r="O14" s="272"/>
      <c r="P14" s="272"/>
    </row>
    <row r="15" spans="1:16" ht="38.25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388</v>
      </c>
      <c r="H15" s="495" t="s">
        <v>389</v>
      </c>
      <c r="I15" s="492" t="s">
        <v>68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6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600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>
      <c r="C17" s="507">
        <f>IF(D11= "","-",D11)</f>
        <v>2017</v>
      </c>
      <c r="D17" s="649" t="s">
        <v>435</v>
      </c>
      <c r="E17" s="658" t="s">
        <v>435</v>
      </c>
      <c r="F17" s="651">
        <v>12938000</v>
      </c>
      <c r="G17" s="659">
        <v>801461</v>
      </c>
      <c r="H17" s="657">
        <v>801461</v>
      </c>
      <c r="I17" s="511">
        <f t="shared" ref="I17:I72" si="0">H17-G17</f>
        <v>0</v>
      </c>
      <c r="J17" s="511"/>
      <c r="K17" s="512">
        <f t="shared" ref="K17:K22" si="1">+G17</f>
        <v>801461</v>
      </c>
      <c r="L17" s="513">
        <f t="shared" ref="L17:L72" si="2">IF(K17&lt;&gt;0,+G17-K17,0)</f>
        <v>0</v>
      </c>
      <c r="M17" s="512">
        <f t="shared" ref="M17:M22" si="3">+H17</f>
        <v>801461</v>
      </c>
      <c r="N17" s="513">
        <f t="shared" ref="N17:N72" si="4">IF(M17&lt;&gt;0,+H17-M17,0)</f>
        <v>0</v>
      </c>
      <c r="O17" s="514">
        <f t="shared" ref="O17:O72" si="5">+N17-L17</f>
        <v>0</v>
      </c>
      <c r="P17" s="272"/>
    </row>
    <row r="18" spans="2:16">
      <c r="B18" s="195" t="str">
        <f>IF(D18=F17,"","IU")</f>
        <v>IU</v>
      </c>
      <c r="C18" s="507">
        <f>IF(D11="","-",+C17+1)</f>
        <v>2018</v>
      </c>
      <c r="D18" s="631">
        <v>15870000</v>
      </c>
      <c r="E18" s="630">
        <v>387073.1707317073</v>
      </c>
      <c r="F18" s="631">
        <v>15482926.829268293</v>
      </c>
      <c r="G18" s="630">
        <v>2379459.1627964582</v>
      </c>
      <c r="H18" s="639">
        <v>2379459.1627964582</v>
      </c>
      <c r="I18" s="511">
        <f t="shared" si="0"/>
        <v>0</v>
      </c>
      <c r="J18" s="511"/>
      <c r="K18" s="518">
        <f t="shared" si="1"/>
        <v>2379459.1627964582</v>
      </c>
      <c r="L18" s="519">
        <f t="shared" si="2"/>
        <v>0</v>
      </c>
      <c r="M18" s="518">
        <f t="shared" si="3"/>
        <v>2379459.1627964582</v>
      </c>
      <c r="N18" s="514">
        <f t="shared" si="4"/>
        <v>0</v>
      </c>
      <c r="O18" s="514">
        <f t="shared" si="5"/>
        <v>0</v>
      </c>
      <c r="P18" s="272"/>
    </row>
    <row r="19" spans="2:16">
      <c r="B19" s="195" t="str">
        <f>IF(D19=F18,"","IU")</f>
        <v/>
      </c>
      <c r="C19" s="507">
        <f>IF(D11="","-",+C18+1)</f>
        <v>2019</v>
      </c>
      <c r="D19" s="631">
        <v>15482926.829268293</v>
      </c>
      <c r="E19" s="630">
        <v>387073.1707317073</v>
      </c>
      <c r="F19" s="631">
        <v>15095853.658536587</v>
      </c>
      <c r="G19" s="630">
        <v>2330264.4469430079</v>
      </c>
      <c r="H19" s="639">
        <v>2330264.4469430079</v>
      </c>
      <c r="I19" s="511">
        <f t="shared" si="0"/>
        <v>0</v>
      </c>
      <c r="J19" s="511"/>
      <c r="K19" s="518">
        <f t="shared" si="1"/>
        <v>2330264.4469430079</v>
      </c>
      <c r="L19" s="519">
        <f t="shared" ref="L19" si="6">IF(K19&lt;&gt;0,+G19-K19,0)</f>
        <v>0</v>
      </c>
      <c r="M19" s="518">
        <f t="shared" si="3"/>
        <v>2330264.4469430079</v>
      </c>
      <c r="N19" s="514">
        <f t="shared" si="4"/>
        <v>0</v>
      </c>
      <c r="O19" s="514">
        <f t="shared" si="5"/>
        <v>0</v>
      </c>
      <c r="P19" s="272"/>
    </row>
    <row r="20" spans="2:16">
      <c r="B20" s="195" t="str">
        <f t="shared" ref="B20:B72" si="7">IF(D20=F19,"","IU")</f>
        <v>IU</v>
      </c>
      <c r="C20" s="507">
        <f>IF(D11="","-",+C19+1)</f>
        <v>2020</v>
      </c>
      <c r="D20" s="631">
        <v>16384910.658536585</v>
      </c>
      <c r="E20" s="630">
        <v>418513.58536585368</v>
      </c>
      <c r="F20" s="631">
        <v>15966397.073170731</v>
      </c>
      <c r="G20" s="630">
        <v>2073856.4882897006</v>
      </c>
      <c r="H20" s="639">
        <v>2073856.4882897006</v>
      </c>
      <c r="I20" s="511">
        <f t="shared" si="0"/>
        <v>0</v>
      </c>
      <c r="J20" s="511"/>
      <c r="K20" s="518">
        <f t="shared" si="1"/>
        <v>2073856.4882897006</v>
      </c>
      <c r="L20" s="519">
        <f t="shared" ref="L20" si="8">IF(K20&lt;&gt;0,+G20-K20,0)</f>
        <v>0</v>
      </c>
      <c r="M20" s="518">
        <f t="shared" si="3"/>
        <v>2073856.4882897006</v>
      </c>
      <c r="N20" s="514">
        <f t="shared" si="4"/>
        <v>0</v>
      </c>
      <c r="O20" s="514">
        <f t="shared" si="5"/>
        <v>0</v>
      </c>
      <c r="P20" s="272"/>
    </row>
    <row r="21" spans="2:16">
      <c r="B21" s="195" t="str">
        <f t="shared" si="7"/>
        <v>IU</v>
      </c>
      <c r="C21" s="507">
        <f>IF(D11="","-",+C20+1)</f>
        <v>2021</v>
      </c>
      <c r="D21" s="631">
        <v>15984400.476460578</v>
      </c>
      <c r="E21" s="630">
        <v>408548.97619047621</v>
      </c>
      <c r="F21" s="631">
        <v>15575851.500270102</v>
      </c>
      <c r="G21" s="630">
        <v>2081314.0523024015</v>
      </c>
      <c r="H21" s="639">
        <v>2081314.0523024015</v>
      </c>
      <c r="I21" s="511">
        <f t="shared" si="0"/>
        <v>0</v>
      </c>
      <c r="J21" s="511"/>
      <c r="K21" s="518">
        <f t="shared" si="1"/>
        <v>2081314.0523024015</v>
      </c>
      <c r="L21" s="519">
        <f t="shared" ref="L21" si="9">IF(K21&lt;&gt;0,+G21-K21,0)</f>
        <v>0</v>
      </c>
      <c r="M21" s="518">
        <f t="shared" si="3"/>
        <v>2081314.0523024015</v>
      </c>
      <c r="N21" s="514">
        <f t="shared" si="4"/>
        <v>0</v>
      </c>
      <c r="O21" s="514">
        <f t="shared" si="5"/>
        <v>0</v>
      </c>
      <c r="P21" s="272"/>
    </row>
    <row r="22" spans="2:16">
      <c r="B22" s="195" t="str">
        <f t="shared" si="7"/>
        <v>IU</v>
      </c>
      <c r="C22" s="507">
        <f>IF(D11="","-",+C21+1)</f>
        <v>2022</v>
      </c>
      <c r="D22" s="631">
        <v>15557848.096980255</v>
      </c>
      <c r="E22" s="630">
        <v>408548.97619047621</v>
      </c>
      <c r="F22" s="631">
        <v>15149299.120789779</v>
      </c>
      <c r="G22" s="630">
        <v>2134967.6945692962</v>
      </c>
      <c r="H22" s="639">
        <v>2134967.6945692962</v>
      </c>
      <c r="I22" s="511">
        <f t="shared" si="0"/>
        <v>0</v>
      </c>
      <c r="J22" s="511"/>
      <c r="K22" s="518">
        <f t="shared" si="1"/>
        <v>2134967.6945692962</v>
      </c>
      <c r="L22" s="519">
        <f t="shared" ref="L22" si="10">IF(K22&lt;&gt;0,+G22-K22,0)</f>
        <v>0</v>
      </c>
      <c r="M22" s="518">
        <f t="shared" si="3"/>
        <v>2134967.6945692962</v>
      </c>
      <c r="N22" s="514">
        <f t="shared" si="4"/>
        <v>0</v>
      </c>
      <c r="O22" s="514">
        <f t="shared" si="5"/>
        <v>0</v>
      </c>
      <c r="P22" s="272"/>
    </row>
    <row r="23" spans="2:16">
      <c r="B23" s="195" t="str">
        <f t="shared" si="7"/>
        <v>IU</v>
      </c>
      <c r="C23" s="507">
        <f>IF(D11="","-",+C22+1)</f>
        <v>2023</v>
      </c>
      <c r="D23" s="631">
        <v>15149299.470789781</v>
      </c>
      <c r="E23" s="630">
        <v>408548.98452380957</v>
      </c>
      <c r="F23" s="631">
        <v>14740750.48626597</v>
      </c>
      <c r="G23" s="630">
        <v>2296505.9863365302</v>
      </c>
      <c r="H23" s="639">
        <v>2296505.9863365302</v>
      </c>
      <c r="I23" s="511">
        <f t="shared" si="0"/>
        <v>0</v>
      </c>
      <c r="J23" s="511"/>
      <c r="K23" s="518">
        <f t="shared" ref="K23" si="11">+G23</f>
        <v>2296505.9863365302</v>
      </c>
      <c r="L23" s="519">
        <f t="shared" ref="L23" si="12">IF(K23&lt;&gt;0,+G23-K23,0)</f>
        <v>0</v>
      </c>
      <c r="M23" s="518">
        <f t="shared" ref="M23" si="13">+H23</f>
        <v>2296505.9863365302</v>
      </c>
      <c r="N23" s="514">
        <f t="shared" ref="N23" si="14">IF(M23&lt;&gt;0,+H23-M23,0)</f>
        <v>0</v>
      </c>
      <c r="O23" s="514">
        <f t="shared" ref="O23" si="15">+N23-L23</f>
        <v>0</v>
      </c>
      <c r="P23" s="272"/>
    </row>
    <row r="24" spans="2:16">
      <c r="B24" s="195" t="str">
        <f t="shared" si="7"/>
        <v/>
      </c>
      <c r="C24" s="673">
        <f>IF(D11="","-",+C23+1)</f>
        <v>2024</v>
      </c>
      <c r="D24" s="523">
        <f>IF(F23+SUM(E$17:E23)=D$10,F23,D$10-SUM(E$17:E23))</f>
        <v>14740750.48626597</v>
      </c>
      <c r="E24" s="522">
        <f>IF(+I14&lt;F23,I14,D24)</f>
        <v>389978.57613636367</v>
      </c>
      <c r="F24" s="523">
        <f t="shared" ref="F24:F72" si="16">+D24-E24</f>
        <v>14350771.910129607</v>
      </c>
      <c r="G24" s="524">
        <f t="shared" ref="G24:G48" si="17">+I$12*((D24+F24)/2)+E24</f>
        <v>2128591.689881511</v>
      </c>
      <c r="H24" s="491">
        <f t="shared" ref="H24:H48" si="18">+I$13*((D24+F24)/2)+E24</f>
        <v>2128591.689881511</v>
      </c>
      <c r="I24" s="511">
        <f t="shared" si="0"/>
        <v>0</v>
      </c>
      <c r="J24" s="511"/>
      <c r="K24" s="525"/>
      <c r="L24" s="514">
        <f t="shared" si="2"/>
        <v>0</v>
      </c>
      <c r="M24" s="525"/>
      <c r="N24" s="514">
        <f t="shared" si="4"/>
        <v>0</v>
      </c>
      <c r="O24" s="514">
        <f t="shared" si="5"/>
        <v>0</v>
      </c>
      <c r="P24" s="272"/>
    </row>
    <row r="25" spans="2:16">
      <c r="B25" s="195" t="str">
        <f t="shared" si="7"/>
        <v/>
      </c>
      <c r="C25" s="507">
        <f>IF(D11="","-",+C24+1)</f>
        <v>2025</v>
      </c>
      <c r="D25" s="523">
        <f>IF(F24+SUM(E$17:E24)=D$10,F24,D$10-SUM(E$17:E24))</f>
        <v>14350771.910129607</v>
      </c>
      <c r="E25" s="522">
        <f>IF(+I14&lt;F24,I14,D25)</f>
        <v>389978.57613636367</v>
      </c>
      <c r="F25" s="523">
        <f t="shared" si="16"/>
        <v>13960793.333993243</v>
      </c>
      <c r="G25" s="524">
        <f t="shared" si="17"/>
        <v>2081978.6692694065</v>
      </c>
      <c r="H25" s="491">
        <f t="shared" si="18"/>
        <v>2081978.6692694065</v>
      </c>
      <c r="I25" s="511">
        <f t="shared" si="0"/>
        <v>0</v>
      </c>
      <c r="J25" s="511"/>
      <c r="K25" s="525"/>
      <c r="L25" s="514">
        <f t="shared" si="2"/>
        <v>0</v>
      </c>
      <c r="M25" s="525"/>
      <c r="N25" s="514">
        <f t="shared" si="4"/>
        <v>0</v>
      </c>
      <c r="O25" s="514">
        <f t="shared" si="5"/>
        <v>0</v>
      </c>
      <c r="P25" s="272"/>
    </row>
    <row r="26" spans="2:16">
      <c r="B26" s="195" t="str">
        <f t="shared" si="7"/>
        <v/>
      </c>
      <c r="C26" s="507">
        <f>IF(D11="","-",+C25+1)</f>
        <v>2026</v>
      </c>
      <c r="D26" s="523">
        <f>IF(F25+SUM(E$17:E25)=D$10,F25,D$10-SUM(E$17:E25))</f>
        <v>13960793.333993243</v>
      </c>
      <c r="E26" s="522">
        <f>IF(+I14&lt;F25,I14,D26)</f>
        <v>389978.57613636367</v>
      </c>
      <c r="F26" s="523">
        <f t="shared" si="16"/>
        <v>13570814.757856879</v>
      </c>
      <c r="G26" s="524">
        <f t="shared" si="17"/>
        <v>2035365.6486573024</v>
      </c>
      <c r="H26" s="491">
        <f t="shared" si="18"/>
        <v>2035365.6486573024</v>
      </c>
      <c r="I26" s="511">
        <f t="shared" si="0"/>
        <v>0</v>
      </c>
      <c r="J26" s="511"/>
      <c r="K26" s="525"/>
      <c r="L26" s="514">
        <f t="shared" si="2"/>
        <v>0</v>
      </c>
      <c r="M26" s="525"/>
      <c r="N26" s="514">
        <f t="shared" si="4"/>
        <v>0</v>
      </c>
      <c r="O26" s="514">
        <f t="shared" si="5"/>
        <v>0</v>
      </c>
      <c r="P26" s="272"/>
    </row>
    <row r="27" spans="2:16">
      <c r="B27" s="195" t="str">
        <f t="shared" si="7"/>
        <v/>
      </c>
      <c r="C27" s="507">
        <f>IF(D11="","-",+C26+1)</f>
        <v>2027</v>
      </c>
      <c r="D27" s="523">
        <f>IF(F26+SUM(E$17:E26)=D$10,F26,D$10-SUM(E$17:E26))</f>
        <v>13570814.757856879</v>
      </c>
      <c r="E27" s="522">
        <f>IF(+I14&lt;F26,I14,D27)</f>
        <v>389978.57613636367</v>
      </c>
      <c r="F27" s="523">
        <f t="shared" si="16"/>
        <v>13180836.181720516</v>
      </c>
      <c r="G27" s="524">
        <f t="shared" si="17"/>
        <v>1988752.6280451978</v>
      </c>
      <c r="H27" s="491">
        <f t="shared" si="18"/>
        <v>1988752.6280451978</v>
      </c>
      <c r="I27" s="511">
        <f t="shared" si="0"/>
        <v>0</v>
      </c>
      <c r="J27" s="511"/>
      <c r="K27" s="525"/>
      <c r="L27" s="514">
        <f t="shared" si="2"/>
        <v>0</v>
      </c>
      <c r="M27" s="525"/>
      <c r="N27" s="514">
        <f t="shared" si="4"/>
        <v>0</v>
      </c>
      <c r="O27" s="514">
        <f t="shared" si="5"/>
        <v>0</v>
      </c>
      <c r="P27" s="272"/>
    </row>
    <row r="28" spans="2:16">
      <c r="B28" s="195" t="str">
        <f t="shared" si="7"/>
        <v/>
      </c>
      <c r="C28" s="507">
        <f>IF(D11="","-",+C27+1)</f>
        <v>2028</v>
      </c>
      <c r="D28" s="523">
        <f>IF(F27+SUM(E$17:E27)=D$10,F27,D$10-SUM(E$17:E27))</f>
        <v>13180836.181720516</v>
      </c>
      <c r="E28" s="522">
        <f>IF(+I14&lt;F27,I14,D28)</f>
        <v>389978.57613636367</v>
      </c>
      <c r="F28" s="523">
        <f t="shared" si="16"/>
        <v>12790857.605584152</v>
      </c>
      <c r="G28" s="524">
        <f t="shared" si="17"/>
        <v>1942139.6074330935</v>
      </c>
      <c r="H28" s="491">
        <f t="shared" si="18"/>
        <v>1942139.6074330935</v>
      </c>
      <c r="I28" s="511">
        <f t="shared" si="0"/>
        <v>0</v>
      </c>
      <c r="J28" s="511"/>
      <c r="K28" s="525"/>
      <c r="L28" s="514">
        <f t="shared" si="2"/>
        <v>0</v>
      </c>
      <c r="M28" s="525"/>
      <c r="N28" s="514">
        <f t="shared" si="4"/>
        <v>0</v>
      </c>
      <c r="O28" s="514">
        <f t="shared" si="5"/>
        <v>0</v>
      </c>
      <c r="P28" s="272"/>
    </row>
    <row r="29" spans="2:16">
      <c r="B29" s="195" t="str">
        <f t="shared" si="7"/>
        <v/>
      </c>
      <c r="C29" s="507">
        <f>IF(D11="","-",+C28+1)</f>
        <v>2029</v>
      </c>
      <c r="D29" s="523">
        <f>IF(F28+SUM(E$17:E28)=D$10,F28,D$10-SUM(E$17:E28))</f>
        <v>12790857.605584152</v>
      </c>
      <c r="E29" s="522">
        <f>IF(+I14&lt;F28,I14,D29)</f>
        <v>389978.57613636367</v>
      </c>
      <c r="F29" s="523">
        <f t="shared" si="16"/>
        <v>12400879.029447788</v>
      </c>
      <c r="G29" s="524">
        <f t="shared" si="17"/>
        <v>1895526.5868209889</v>
      </c>
      <c r="H29" s="491">
        <f t="shared" si="18"/>
        <v>1895526.5868209889</v>
      </c>
      <c r="I29" s="511">
        <f t="shared" si="0"/>
        <v>0</v>
      </c>
      <c r="J29" s="511"/>
      <c r="K29" s="525"/>
      <c r="L29" s="514">
        <f t="shared" si="2"/>
        <v>0</v>
      </c>
      <c r="M29" s="525"/>
      <c r="N29" s="514">
        <f t="shared" si="4"/>
        <v>0</v>
      </c>
      <c r="O29" s="514">
        <f t="shared" si="5"/>
        <v>0</v>
      </c>
      <c r="P29" s="272"/>
    </row>
    <row r="30" spans="2:16">
      <c r="B30" s="195" t="str">
        <f t="shared" si="7"/>
        <v/>
      </c>
      <c r="C30" s="507">
        <f>IF(D11="","-",+C29+1)</f>
        <v>2030</v>
      </c>
      <c r="D30" s="523">
        <f>IF(F29+SUM(E$17:E29)=D$10,F29,D$10-SUM(E$17:E29))</f>
        <v>12400879.029447788</v>
      </c>
      <c r="E30" s="522">
        <f>IF(+I14&lt;F29,I14,D30)</f>
        <v>389978.57613636367</v>
      </c>
      <c r="F30" s="523">
        <f t="shared" si="16"/>
        <v>12010900.453311425</v>
      </c>
      <c r="G30" s="524">
        <f t="shared" si="17"/>
        <v>1848913.5662088846</v>
      </c>
      <c r="H30" s="491">
        <f t="shared" si="18"/>
        <v>1848913.5662088846</v>
      </c>
      <c r="I30" s="511">
        <f t="shared" si="0"/>
        <v>0</v>
      </c>
      <c r="J30" s="511"/>
      <c r="K30" s="525"/>
      <c r="L30" s="514">
        <f t="shared" si="2"/>
        <v>0</v>
      </c>
      <c r="M30" s="525"/>
      <c r="N30" s="514">
        <f t="shared" si="4"/>
        <v>0</v>
      </c>
      <c r="O30" s="514">
        <f t="shared" si="5"/>
        <v>0</v>
      </c>
      <c r="P30" s="272"/>
    </row>
    <row r="31" spans="2:16">
      <c r="B31" s="195" t="str">
        <f t="shared" si="7"/>
        <v/>
      </c>
      <c r="C31" s="507">
        <f>IF(D11="","-",+C30+1)</f>
        <v>2031</v>
      </c>
      <c r="D31" s="523">
        <f>IF(F30+SUM(E$17:E30)=D$10,F30,D$10-SUM(E$17:E30))</f>
        <v>12010900.453311425</v>
      </c>
      <c r="E31" s="522">
        <f>IF(+I14&lt;F30,I14,D31)</f>
        <v>389978.57613636367</v>
      </c>
      <c r="F31" s="523">
        <f t="shared" si="16"/>
        <v>11620921.877175061</v>
      </c>
      <c r="G31" s="524">
        <f t="shared" si="17"/>
        <v>1802300.54559678</v>
      </c>
      <c r="H31" s="491">
        <f t="shared" si="18"/>
        <v>1802300.54559678</v>
      </c>
      <c r="I31" s="511">
        <f t="shared" si="0"/>
        <v>0</v>
      </c>
      <c r="J31" s="511"/>
      <c r="K31" s="525"/>
      <c r="L31" s="514">
        <f t="shared" si="2"/>
        <v>0</v>
      </c>
      <c r="M31" s="525"/>
      <c r="N31" s="514">
        <f t="shared" si="4"/>
        <v>0</v>
      </c>
      <c r="O31" s="514">
        <f t="shared" si="5"/>
        <v>0</v>
      </c>
      <c r="P31" s="272"/>
    </row>
    <row r="32" spans="2:16">
      <c r="B32" s="195" t="str">
        <f t="shared" si="7"/>
        <v/>
      </c>
      <c r="C32" s="507">
        <f>IF(D11="","-",+C31+1)</f>
        <v>2032</v>
      </c>
      <c r="D32" s="523">
        <f>IF(F31+SUM(E$17:E31)=D$10,F31,D$10-SUM(E$17:E31))</f>
        <v>11620921.877175061</v>
      </c>
      <c r="E32" s="522">
        <f>IF(+I14&lt;F31,I14,D32)</f>
        <v>389978.57613636367</v>
      </c>
      <c r="F32" s="523">
        <f t="shared" si="16"/>
        <v>11230943.301038697</v>
      </c>
      <c r="G32" s="524">
        <f t="shared" si="17"/>
        <v>1755687.5249846759</v>
      </c>
      <c r="H32" s="491">
        <f t="shared" si="18"/>
        <v>1755687.5249846759</v>
      </c>
      <c r="I32" s="511">
        <f t="shared" si="0"/>
        <v>0</v>
      </c>
      <c r="J32" s="511"/>
      <c r="K32" s="525"/>
      <c r="L32" s="514">
        <f t="shared" si="2"/>
        <v>0</v>
      </c>
      <c r="M32" s="525"/>
      <c r="N32" s="514">
        <f t="shared" si="4"/>
        <v>0</v>
      </c>
      <c r="O32" s="514">
        <f t="shared" si="5"/>
        <v>0</v>
      </c>
      <c r="P32" s="272"/>
    </row>
    <row r="33" spans="2:16">
      <c r="B33" s="195" t="str">
        <f t="shared" si="7"/>
        <v/>
      </c>
      <c r="C33" s="507">
        <f>IF(D11="","-",+C32+1)</f>
        <v>2033</v>
      </c>
      <c r="D33" s="523">
        <f>IF(F32+SUM(E$17:E32)=D$10,F32,D$10-SUM(E$17:E32))</f>
        <v>11230943.301038697</v>
      </c>
      <c r="E33" s="522">
        <f>IF(+I14&lt;F32,I14,D33)</f>
        <v>389978.57613636367</v>
      </c>
      <c r="F33" s="523">
        <f t="shared" si="16"/>
        <v>10840964.724902334</v>
      </c>
      <c r="G33" s="524">
        <f t="shared" si="17"/>
        <v>1709074.5043725711</v>
      </c>
      <c r="H33" s="491">
        <f t="shared" si="18"/>
        <v>1709074.5043725711</v>
      </c>
      <c r="I33" s="511">
        <f t="shared" si="0"/>
        <v>0</v>
      </c>
      <c r="J33" s="511"/>
      <c r="K33" s="525"/>
      <c r="L33" s="514">
        <f t="shared" si="2"/>
        <v>0</v>
      </c>
      <c r="M33" s="525"/>
      <c r="N33" s="514">
        <f t="shared" si="4"/>
        <v>0</v>
      </c>
      <c r="O33" s="514">
        <f t="shared" si="5"/>
        <v>0</v>
      </c>
      <c r="P33" s="272"/>
    </row>
    <row r="34" spans="2:16">
      <c r="B34" s="195" t="str">
        <f t="shared" si="7"/>
        <v/>
      </c>
      <c r="C34" s="507">
        <f>IF(D11="","-",+C33+1)</f>
        <v>2034</v>
      </c>
      <c r="D34" s="523">
        <f>IF(F33+SUM(E$17:E33)=D$10,F33,D$10-SUM(E$17:E33))</f>
        <v>10840964.724902334</v>
      </c>
      <c r="E34" s="522">
        <f>IF(+I14&lt;F33,I14,D34)</f>
        <v>389978.57613636367</v>
      </c>
      <c r="F34" s="523">
        <f t="shared" si="16"/>
        <v>10450986.14876597</v>
      </c>
      <c r="G34" s="524">
        <f t="shared" si="17"/>
        <v>1662461.483760467</v>
      </c>
      <c r="H34" s="491">
        <f t="shared" si="18"/>
        <v>1662461.483760467</v>
      </c>
      <c r="I34" s="511">
        <f t="shared" si="0"/>
        <v>0</v>
      </c>
      <c r="J34" s="511"/>
      <c r="K34" s="525"/>
      <c r="L34" s="514">
        <f t="shared" si="2"/>
        <v>0</v>
      </c>
      <c r="M34" s="525"/>
      <c r="N34" s="514">
        <f t="shared" si="4"/>
        <v>0</v>
      </c>
      <c r="O34" s="514">
        <f t="shared" si="5"/>
        <v>0</v>
      </c>
      <c r="P34" s="272"/>
    </row>
    <row r="35" spans="2:16">
      <c r="B35" s="195" t="str">
        <f t="shared" si="7"/>
        <v/>
      </c>
      <c r="C35" s="507">
        <f>IF(D11="","-",+C34+1)</f>
        <v>2035</v>
      </c>
      <c r="D35" s="523">
        <f>IF(F34+SUM(E$17:E34)=D$10,F34,D$10-SUM(E$17:E34))</f>
        <v>10450986.14876597</v>
      </c>
      <c r="E35" s="522">
        <f>IF(+I14&lt;F34,I14,D35)</f>
        <v>389978.57613636367</v>
      </c>
      <c r="F35" s="523">
        <f t="shared" si="16"/>
        <v>10061007.572629606</v>
      </c>
      <c r="G35" s="524">
        <f t="shared" si="17"/>
        <v>1615848.4631483622</v>
      </c>
      <c r="H35" s="491">
        <f t="shared" si="18"/>
        <v>1615848.4631483622</v>
      </c>
      <c r="I35" s="511">
        <f t="shared" si="0"/>
        <v>0</v>
      </c>
      <c r="J35" s="511"/>
      <c r="K35" s="525"/>
      <c r="L35" s="514">
        <f t="shared" si="2"/>
        <v>0</v>
      </c>
      <c r="M35" s="525"/>
      <c r="N35" s="514">
        <f t="shared" si="4"/>
        <v>0</v>
      </c>
      <c r="O35" s="514">
        <f t="shared" si="5"/>
        <v>0</v>
      </c>
      <c r="P35" s="272"/>
    </row>
    <row r="36" spans="2:16">
      <c r="B36" s="195" t="str">
        <f t="shared" si="7"/>
        <v/>
      </c>
      <c r="C36" s="507">
        <f>IF(D11="","-",+C35+1)</f>
        <v>2036</v>
      </c>
      <c r="D36" s="523">
        <f>IF(F35+SUM(E$17:E35)=D$10,F35,D$10-SUM(E$17:E35))</f>
        <v>10061007.572629606</v>
      </c>
      <c r="E36" s="522">
        <f>IF(+I14&lt;F35,I14,D36)</f>
        <v>389978.57613636367</v>
      </c>
      <c r="F36" s="523">
        <f t="shared" si="16"/>
        <v>9671028.9964932427</v>
      </c>
      <c r="G36" s="524">
        <f t="shared" si="17"/>
        <v>1569235.4425362581</v>
      </c>
      <c r="H36" s="491">
        <f t="shared" si="18"/>
        <v>1569235.4425362581</v>
      </c>
      <c r="I36" s="511">
        <f t="shared" si="0"/>
        <v>0</v>
      </c>
      <c r="J36" s="511"/>
      <c r="K36" s="525"/>
      <c r="L36" s="514">
        <f t="shared" si="2"/>
        <v>0</v>
      </c>
      <c r="M36" s="525"/>
      <c r="N36" s="514">
        <f t="shared" si="4"/>
        <v>0</v>
      </c>
      <c r="O36" s="514">
        <f t="shared" si="5"/>
        <v>0</v>
      </c>
      <c r="P36" s="272"/>
    </row>
    <row r="37" spans="2:16">
      <c r="B37" s="195" t="str">
        <f t="shared" si="7"/>
        <v/>
      </c>
      <c r="C37" s="507">
        <f>IF(D11="","-",+C36+1)</f>
        <v>2037</v>
      </c>
      <c r="D37" s="523">
        <f>IF(F36+SUM(E$17:E36)=D$10,F36,D$10-SUM(E$17:E36))</f>
        <v>9671028.9964932427</v>
      </c>
      <c r="E37" s="522">
        <f>IF(+I14&lt;F36,I14,D37)</f>
        <v>389978.57613636367</v>
      </c>
      <c r="F37" s="523">
        <f t="shared" si="16"/>
        <v>9281050.420356879</v>
      </c>
      <c r="G37" s="524">
        <f t="shared" si="17"/>
        <v>1522622.4219241536</v>
      </c>
      <c r="H37" s="491">
        <f t="shared" si="18"/>
        <v>1522622.4219241536</v>
      </c>
      <c r="I37" s="511">
        <f t="shared" si="0"/>
        <v>0</v>
      </c>
      <c r="J37" s="511"/>
      <c r="K37" s="525"/>
      <c r="L37" s="514">
        <f t="shared" si="2"/>
        <v>0</v>
      </c>
      <c r="M37" s="525"/>
      <c r="N37" s="514">
        <f t="shared" si="4"/>
        <v>0</v>
      </c>
      <c r="O37" s="514">
        <f t="shared" si="5"/>
        <v>0</v>
      </c>
      <c r="P37" s="272"/>
    </row>
    <row r="38" spans="2:16">
      <c r="B38" s="195" t="str">
        <f t="shared" si="7"/>
        <v/>
      </c>
      <c r="C38" s="507">
        <f>IF(D11="","-",+C37+1)</f>
        <v>2038</v>
      </c>
      <c r="D38" s="523">
        <f>IF(F37+SUM(E$17:E37)=D$10,F37,D$10-SUM(E$17:E37))</f>
        <v>9281050.420356879</v>
      </c>
      <c r="E38" s="522">
        <f>IF(+I14&lt;F37,I14,D38)</f>
        <v>389978.57613636367</v>
      </c>
      <c r="F38" s="523">
        <f t="shared" si="16"/>
        <v>8891071.8442205153</v>
      </c>
      <c r="G38" s="524">
        <f t="shared" si="17"/>
        <v>1476009.4013120492</v>
      </c>
      <c r="H38" s="491">
        <f t="shared" si="18"/>
        <v>1476009.4013120492</v>
      </c>
      <c r="I38" s="511">
        <f t="shared" si="0"/>
        <v>0</v>
      </c>
      <c r="J38" s="511"/>
      <c r="K38" s="525"/>
      <c r="L38" s="514">
        <f t="shared" si="2"/>
        <v>0</v>
      </c>
      <c r="M38" s="525"/>
      <c r="N38" s="514">
        <f t="shared" si="4"/>
        <v>0</v>
      </c>
      <c r="O38" s="514">
        <f t="shared" si="5"/>
        <v>0</v>
      </c>
      <c r="P38" s="272"/>
    </row>
    <row r="39" spans="2:16">
      <c r="B39" s="195" t="str">
        <f t="shared" si="7"/>
        <v/>
      </c>
      <c r="C39" s="507">
        <f>IF(D11="","-",+C38+1)</f>
        <v>2039</v>
      </c>
      <c r="D39" s="523">
        <f>IF(F38+SUM(E$17:E38)=D$10,F38,D$10-SUM(E$17:E38))</f>
        <v>8891071.8442205153</v>
      </c>
      <c r="E39" s="522">
        <f>IF(+I14&lt;F38,I14,D39)</f>
        <v>389978.57613636367</v>
      </c>
      <c r="F39" s="523">
        <f t="shared" si="16"/>
        <v>8501093.2680841517</v>
      </c>
      <c r="G39" s="524">
        <f t="shared" si="17"/>
        <v>1429396.3806999447</v>
      </c>
      <c r="H39" s="491">
        <f t="shared" si="18"/>
        <v>1429396.3806999447</v>
      </c>
      <c r="I39" s="511">
        <f t="shared" si="0"/>
        <v>0</v>
      </c>
      <c r="J39" s="511"/>
      <c r="K39" s="525"/>
      <c r="L39" s="514">
        <f t="shared" si="2"/>
        <v>0</v>
      </c>
      <c r="M39" s="525"/>
      <c r="N39" s="514">
        <f t="shared" si="4"/>
        <v>0</v>
      </c>
      <c r="O39" s="514">
        <f t="shared" si="5"/>
        <v>0</v>
      </c>
      <c r="P39" s="272"/>
    </row>
    <row r="40" spans="2:16">
      <c r="B40" s="195" t="str">
        <f t="shared" si="7"/>
        <v/>
      </c>
      <c r="C40" s="507">
        <f>IF(D11="","-",+C39+1)</f>
        <v>2040</v>
      </c>
      <c r="D40" s="523">
        <f>IF(F39+SUM(E$17:E39)=D$10,F39,D$10-SUM(E$17:E39))</f>
        <v>8501093.2680841517</v>
      </c>
      <c r="E40" s="522">
        <f>IF(+I14&lt;F39,I14,D40)</f>
        <v>389978.57613636367</v>
      </c>
      <c r="F40" s="523">
        <f t="shared" si="16"/>
        <v>8111114.691947788</v>
      </c>
      <c r="G40" s="524">
        <f t="shared" si="17"/>
        <v>1382783.3600878404</v>
      </c>
      <c r="H40" s="491">
        <f t="shared" si="18"/>
        <v>1382783.3600878404</v>
      </c>
      <c r="I40" s="511">
        <f t="shared" si="0"/>
        <v>0</v>
      </c>
      <c r="J40" s="511"/>
      <c r="K40" s="525"/>
      <c r="L40" s="514">
        <f t="shared" si="2"/>
        <v>0</v>
      </c>
      <c r="M40" s="525"/>
      <c r="N40" s="514">
        <f t="shared" si="4"/>
        <v>0</v>
      </c>
      <c r="O40" s="514">
        <f t="shared" si="5"/>
        <v>0</v>
      </c>
      <c r="P40" s="272"/>
    </row>
    <row r="41" spans="2:16">
      <c r="B41" s="195" t="str">
        <f t="shared" si="7"/>
        <v/>
      </c>
      <c r="C41" s="507">
        <f>IF(D11="","-",+C40+1)</f>
        <v>2041</v>
      </c>
      <c r="D41" s="523">
        <f>IF(F40+SUM(E$17:E40)=D$10,F40,D$10-SUM(E$17:E40))</f>
        <v>8111114.691947788</v>
      </c>
      <c r="E41" s="522">
        <f>IF(+I14&lt;F40,I14,D41)</f>
        <v>389978.57613636367</v>
      </c>
      <c r="F41" s="523">
        <f t="shared" si="16"/>
        <v>7721136.1158114243</v>
      </c>
      <c r="G41" s="524">
        <f t="shared" si="17"/>
        <v>1336170.339475736</v>
      </c>
      <c r="H41" s="491">
        <f t="shared" si="18"/>
        <v>1336170.339475736</v>
      </c>
      <c r="I41" s="511">
        <f t="shared" si="0"/>
        <v>0</v>
      </c>
      <c r="J41" s="511"/>
      <c r="K41" s="525"/>
      <c r="L41" s="514">
        <f t="shared" si="2"/>
        <v>0</v>
      </c>
      <c r="M41" s="525"/>
      <c r="N41" s="514">
        <f t="shared" si="4"/>
        <v>0</v>
      </c>
      <c r="O41" s="514">
        <f t="shared" si="5"/>
        <v>0</v>
      </c>
      <c r="P41" s="272"/>
    </row>
    <row r="42" spans="2:16">
      <c r="B42" s="195" t="str">
        <f t="shared" si="7"/>
        <v/>
      </c>
      <c r="C42" s="507">
        <f>IF(D11="","-",+C41+1)</f>
        <v>2042</v>
      </c>
      <c r="D42" s="523">
        <f>IF(F41+SUM(E$17:E41)=D$10,F41,D$10-SUM(E$17:E41))</f>
        <v>7721136.1158114243</v>
      </c>
      <c r="E42" s="522">
        <f>IF(+I14&lt;F41,I14,D42)</f>
        <v>389978.57613636367</v>
      </c>
      <c r="F42" s="523">
        <f t="shared" si="16"/>
        <v>7331157.5396750607</v>
      </c>
      <c r="G42" s="524">
        <f t="shared" si="17"/>
        <v>1289557.3188636315</v>
      </c>
      <c r="H42" s="491">
        <f t="shared" si="18"/>
        <v>1289557.3188636315</v>
      </c>
      <c r="I42" s="511">
        <f t="shared" si="0"/>
        <v>0</v>
      </c>
      <c r="J42" s="511"/>
      <c r="K42" s="525"/>
      <c r="L42" s="514">
        <f t="shared" si="2"/>
        <v>0</v>
      </c>
      <c r="M42" s="525"/>
      <c r="N42" s="514">
        <f t="shared" si="4"/>
        <v>0</v>
      </c>
      <c r="O42" s="514">
        <f t="shared" si="5"/>
        <v>0</v>
      </c>
      <c r="P42" s="272"/>
    </row>
    <row r="43" spans="2:16">
      <c r="B43" s="195" t="str">
        <f t="shared" si="7"/>
        <v/>
      </c>
      <c r="C43" s="507">
        <f>IF(D11="","-",+C42+1)</f>
        <v>2043</v>
      </c>
      <c r="D43" s="523">
        <f>IF(F42+SUM(E$17:E42)=D$10,F42,D$10-SUM(E$17:E42))</f>
        <v>7331157.5396750607</v>
      </c>
      <c r="E43" s="522">
        <f>IF(+I14&lt;F42,I14,D43)</f>
        <v>389978.57613636367</v>
      </c>
      <c r="F43" s="523">
        <f t="shared" si="16"/>
        <v>6941178.963538697</v>
      </c>
      <c r="G43" s="524">
        <f t="shared" si="17"/>
        <v>1242944.2982515269</v>
      </c>
      <c r="H43" s="491">
        <f t="shared" si="18"/>
        <v>1242944.2982515269</v>
      </c>
      <c r="I43" s="511">
        <f t="shared" si="0"/>
        <v>0</v>
      </c>
      <c r="J43" s="511"/>
      <c r="K43" s="525"/>
      <c r="L43" s="514">
        <f t="shared" si="2"/>
        <v>0</v>
      </c>
      <c r="M43" s="525"/>
      <c r="N43" s="514">
        <f t="shared" si="4"/>
        <v>0</v>
      </c>
      <c r="O43" s="514">
        <f t="shared" si="5"/>
        <v>0</v>
      </c>
      <c r="P43" s="272"/>
    </row>
    <row r="44" spans="2:16">
      <c r="B44" s="195" t="str">
        <f t="shared" si="7"/>
        <v/>
      </c>
      <c r="C44" s="507">
        <f>IF(D11="","-",+C43+1)</f>
        <v>2044</v>
      </c>
      <c r="D44" s="523">
        <f>IF(F43+SUM(E$17:E43)=D$10,F43,D$10-SUM(E$17:E43))</f>
        <v>6941178.963538697</v>
      </c>
      <c r="E44" s="522">
        <f>IF(+I14&lt;F43,I14,D44)</f>
        <v>389978.57613636367</v>
      </c>
      <c r="F44" s="523">
        <f t="shared" si="16"/>
        <v>6551200.3874023333</v>
      </c>
      <c r="G44" s="524">
        <f t="shared" si="17"/>
        <v>1196331.2776394226</v>
      </c>
      <c r="H44" s="491">
        <f t="shared" si="18"/>
        <v>1196331.2776394226</v>
      </c>
      <c r="I44" s="511">
        <f t="shared" si="0"/>
        <v>0</v>
      </c>
      <c r="J44" s="511"/>
      <c r="K44" s="525"/>
      <c r="L44" s="514">
        <f t="shared" si="2"/>
        <v>0</v>
      </c>
      <c r="M44" s="525"/>
      <c r="N44" s="514">
        <f t="shared" si="4"/>
        <v>0</v>
      </c>
      <c r="O44" s="514">
        <f t="shared" si="5"/>
        <v>0</v>
      </c>
      <c r="P44" s="272"/>
    </row>
    <row r="45" spans="2:16">
      <c r="B45" s="195" t="str">
        <f t="shared" si="7"/>
        <v/>
      </c>
      <c r="C45" s="507">
        <f>IF(D11="","-",+C44+1)</f>
        <v>2045</v>
      </c>
      <c r="D45" s="523">
        <f>IF(F44+SUM(E$17:E44)=D$10,F44,D$10-SUM(E$17:E44))</f>
        <v>6551200.3874023333</v>
      </c>
      <c r="E45" s="522">
        <f>IF(+I14&lt;F44,I14,D45)</f>
        <v>389978.57613636367</v>
      </c>
      <c r="F45" s="523">
        <f t="shared" si="16"/>
        <v>6161221.8112659696</v>
      </c>
      <c r="G45" s="524">
        <f t="shared" si="17"/>
        <v>1149718.2570273182</v>
      </c>
      <c r="H45" s="491">
        <f t="shared" si="18"/>
        <v>1149718.2570273182</v>
      </c>
      <c r="I45" s="511">
        <f t="shared" si="0"/>
        <v>0</v>
      </c>
      <c r="J45" s="511"/>
      <c r="K45" s="525"/>
      <c r="L45" s="514">
        <f t="shared" si="2"/>
        <v>0</v>
      </c>
      <c r="M45" s="525"/>
      <c r="N45" s="514">
        <f t="shared" si="4"/>
        <v>0</v>
      </c>
      <c r="O45" s="514">
        <f t="shared" si="5"/>
        <v>0</v>
      </c>
      <c r="P45" s="272"/>
    </row>
    <row r="46" spans="2:16">
      <c r="B46" s="195" t="str">
        <f t="shared" si="7"/>
        <v/>
      </c>
      <c r="C46" s="507">
        <f>IF(D11="","-",+C45+1)</f>
        <v>2046</v>
      </c>
      <c r="D46" s="523">
        <f>IF(F45+SUM(E$17:E45)=D$10,F45,D$10-SUM(E$17:E45))</f>
        <v>6161221.8112659696</v>
      </c>
      <c r="E46" s="522">
        <f>IF(+I14&lt;F45,I14,D46)</f>
        <v>389978.57613636367</v>
      </c>
      <c r="F46" s="523">
        <f t="shared" si="16"/>
        <v>5771243.235129606</v>
      </c>
      <c r="G46" s="524">
        <f t="shared" si="17"/>
        <v>1103105.2364152139</v>
      </c>
      <c r="H46" s="491">
        <f t="shared" si="18"/>
        <v>1103105.2364152139</v>
      </c>
      <c r="I46" s="511">
        <f t="shared" si="0"/>
        <v>0</v>
      </c>
      <c r="J46" s="511"/>
      <c r="K46" s="525"/>
      <c r="L46" s="514">
        <f t="shared" si="2"/>
        <v>0</v>
      </c>
      <c r="M46" s="525"/>
      <c r="N46" s="514">
        <f t="shared" si="4"/>
        <v>0</v>
      </c>
      <c r="O46" s="514">
        <f t="shared" si="5"/>
        <v>0</v>
      </c>
      <c r="P46" s="272"/>
    </row>
    <row r="47" spans="2:16">
      <c r="B47" s="195" t="str">
        <f t="shared" si="7"/>
        <v/>
      </c>
      <c r="C47" s="507">
        <f>IF(D11="","-",+C46+1)</f>
        <v>2047</v>
      </c>
      <c r="D47" s="523">
        <f>IF(F46+SUM(E$17:E46)=D$10,F46,D$10-SUM(E$17:E46))</f>
        <v>5771243.235129606</v>
      </c>
      <c r="E47" s="522">
        <f>IF(+I14&lt;F46,I14,D47)</f>
        <v>389978.57613636367</v>
      </c>
      <c r="F47" s="523">
        <f t="shared" si="16"/>
        <v>5381264.6589932423</v>
      </c>
      <c r="G47" s="524">
        <f t="shared" si="17"/>
        <v>1056492.2158031093</v>
      </c>
      <c r="H47" s="491">
        <f t="shared" si="18"/>
        <v>1056492.2158031093</v>
      </c>
      <c r="I47" s="511">
        <f t="shared" si="0"/>
        <v>0</v>
      </c>
      <c r="J47" s="511"/>
      <c r="K47" s="525"/>
      <c r="L47" s="514">
        <f t="shared" si="2"/>
        <v>0</v>
      </c>
      <c r="M47" s="525"/>
      <c r="N47" s="514">
        <f t="shared" si="4"/>
        <v>0</v>
      </c>
      <c r="O47" s="514">
        <f t="shared" si="5"/>
        <v>0</v>
      </c>
      <c r="P47" s="272"/>
    </row>
    <row r="48" spans="2:16">
      <c r="B48" s="195" t="str">
        <f t="shared" si="7"/>
        <v/>
      </c>
      <c r="C48" s="507">
        <f>IF(D11="","-",+C47+1)</f>
        <v>2048</v>
      </c>
      <c r="D48" s="523">
        <f>IF(F47+SUM(E$17:E47)=D$10,F47,D$10-SUM(E$17:E47))</f>
        <v>5381264.6589932423</v>
      </c>
      <c r="E48" s="522">
        <f>IF(+I14&lt;F47,I14,D48)</f>
        <v>389978.57613636367</v>
      </c>
      <c r="F48" s="523">
        <f t="shared" si="16"/>
        <v>4991286.0828568786</v>
      </c>
      <c r="G48" s="524">
        <f t="shared" si="17"/>
        <v>1009879.1951910049</v>
      </c>
      <c r="H48" s="491">
        <f t="shared" si="18"/>
        <v>1009879.1951910049</v>
      </c>
      <c r="I48" s="511">
        <f t="shared" si="0"/>
        <v>0</v>
      </c>
      <c r="J48" s="511"/>
      <c r="K48" s="525"/>
      <c r="L48" s="514">
        <f t="shared" si="2"/>
        <v>0</v>
      </c>
      <c r="M48" s="525"/>
      <c r="N48" s="514">
        <f t="shared" si="4"/>
        <v>0</v>
      </c>
      <c r="O48" s="514">
        <f t="shared" si="5"/>
        <v>0</v>
      </c>
      <c r="P48" s="272"/>
    </row>
    <row r="49" spans="2:16">
      <c r="B49" s="195" t="str">
        <f t="shared" si="7"/>
        <v/>
      </c>
      <c r="C49" s="507">
        <f>IF(D11="","-",+C48+1)</f>
        <v>2049</v>
      </c>
      <c r="D49" s="523">
        <f>IF(F48+SUM(E$17:E48)=D$10,F48,D$10-SUM(E$17:E48))</f>
        <v>4991286.0828568786</v>
      </c>
      <c r="E49" s="522">
        <f>IF(+I14&lt;F48,I14,D49)</f>
        <v>389978.57613636367</v>
      </c>
      <c r="F49" s="523">
        <f t="shared" si="16"/>
        <v>4601307.506720515</v>
      </c>
      <c r="G49" s="524">
        <f t="shared" ref="G49:G72" si="19">+I$12*((D49+F49)/2)+E49</f>
        <v>963266.17457890045</v>
      </c>
      <c r="H49" s="491">
        <f t="shared" ref="H49:H72" si="20">+I$13*((D49+F49)/2)+E49</f>
        <v>963266.17457890045</v>
      </c>
      <c r="I49" s="511">
        <f t="shared" si="0"/>
        <v>0</v>
      </c>
      <c r="J49" s="511"/>
      <c r="K49" s="525"/>
      <c r="L49" s="514">
        <f t="shared" si="2"/>
        <v>0</v>
      </c>
      <c r="M49" s="525"/>
      <c r="N49" s="514">
        <f t="shared" si="4"/>
        <v>0</v>
      </c>
      <c r="O49" s="514">
        <f t="shared" si="5"/>
        <v>0</v>
      </c>
      <c r="P49" s="272"/>
    </row>
    <row r="50" spans="2:16">
      <c r="B50" s="195" t="str">
        <f t="shared" si="7"/>
        <v/>
      </c>
      <c r="C50" s="507">
        <f>IF(D11="","-",+C49+1)</f>
        <v>2050</v>
      </c>
      <c r="D50" s="523">
        <f>IF(F49+SUM(E$17:E49)=D$10,F49,D$10-SUM(E$17:E49))</f>
        <v>4601307.506720515</v>
      </c>
      <c r="E50" s="522">
        <f>IF(+I14&lt;F49,I14,D50)</f>
        <v>389978.57613636367</v>
      </c>
      <c r="F50" s="523">
        <f t="shared" si="16"/>
        <v>4211328.9305841513</v>
      </c>
      <c r="G50" s="524">
        <f t="shared" si="19"/>
        <v>916653.153966796</v>
      </c>
      <c r="H50" s="491">
        <f t="shared" si="20"/>
        <v>916653.153966796</v>
      </c>
      <c r="I50" s="511">
        <f t="shared" si="0"/>
        <v>0</v>
      </c>
      <c r="J50" s="511"/>
      <c r="K50" s="525"/>
      <c r="L50" s="514">
        <f t="shared" si="2"/>
        <v>0</v>
      </c>
      <c r="M50" s="525"/>
      <c r="N50" s="514">
        <f t="shared" si="4"/>
        <v>0</v>
      </c>
      <c r="O50" s="514">
        <f t="shared" si="5"/>
        <v>0</v>
      </c>
      <c r="P50" s="272"/>
    </row>
    <row r="51" spans="2:16">
      <c r="B51" s="195" t="str">
        <f t="shared" si="7"/>
        <v/>
      </c>
      <c r="C51" s="507">
        <f>IF(D11="","-",+C50+1)</f>
        <v>2051</v>
      </c>
      <c r="D51" s="523">
        <f>IF(F50+SUM(E$17:E50)=D$10,F50,D$10-SUM(E$17:E50))</f>
        <v>4211328.9305841513</v>
      </c>
      <c r="E51" s="522">
        <f>IF(+I14&lt;F50,I14,D51)</f>
        <v>389978.57613636367</v>
      </c>
      <c r="F51" s="523">
        <f t="shared" si="16"/>
        <v>3821350.3544477876</v>
      </c>
      <c r="G51" s="524">
        <f t="shared" si="19"/>
        <v>870040.13335469156</v>
      </c>
      <c r="H51" s="491">
        <f t="shared" si="20"/>
        <v>870040.13335469156</v>
      </c>
      <c r="I51" s="511">
        <f t="shared" si="0"/>
        <v>0</v>
      </c>
      <c r="J51" s="511"/>
      <c r="K51" s="525"/>
      <c r="L51" s="514">
        <f t="shared" si="2"/>
        <v>0</v>
      </c>
      <c r="M51" s="525"/>
      <c r="N51" s="514">
        <f t="shared" si="4"/>
        <v>0</v>
      </c>
      <c r="O51" s="514">
        <f t="shared" si="5"/>
        <v>0</v>
      </c>
      <c r="P51" s="272"/>
    </row>
    <row r="52" spans="2:16">
      <c r="B52" s="195" t="str">
        <f t="shared" si="7"/>
        <v/>
      </c>
      <c r="C52" s="507">
        <f>IF(D11="","-",+C51+1)</f>
        <v>2052</v>
      </c>
      <c r="D52" s="523">
        <f>IF(F51+SUM(E$17:E51)=D$10,F51,D$10-SUM(E$17:E51))</f>
        <v>3821350.3544477876</v>
      </c>
      <c r="E52" s="522">
        <f>IF(+I14&lt;F51,I14,D52)</f>
        <v>389978.57613636367</v>
      </c>
      <c r="F52" s="523">
        <f t="shared" si="16"/>
        <v>3431371.778311424</v>
      </c>
      <c r="G52" s="524">
        <f t="shared" si="19"/>
        <v>823427.11274258723</v>
      </c>
      <c r="H52" s="491">
        <f t="shared" si="20"/>
        <v>823427.11274258723</v>
      </c>
      <c r="I52" s="511">
        <f t="shared" si="0"/>
        <v>0</v>
      </c>
      <c r="J52" s="511"/>
      <c r="K52" s="525"/>
      <c r="L52" s="514">
        <f t="shared" si="2"/>
        <v>0</v>
      </c>
      <c r="M52" s="525"/>
      <c r="N52" s="514">
        <f t="shared" si="4"/>
        <v>0</v>
      </c>
      <c r="O52" s="514">
        <f t="shared" si="5"/>
        <v>0</v>
      </c>
      <c r="P52" s="272"/>
    </row>
    <row r="53" spans="2:16">
      <c r="B53" s="195" t="str">
        <f t="shared" si="7"/>
        <v/>
      </c>
      <c r="C53" s="507">
        <f>IF(D11="","-",+C52+1)</f>
        <v>2053</v>
      </c>
      <c r="D53" s="523">
        <f>IF(F52+SUM(E$17:E52)=D$10,F52,D$10-SUM(E$17:E52))</f>
        <v>3431371.778311424</v>
      </c>
      <c r="E53" s="522">
        <f>IF(+I14&lt;F52,I14,D53)</f>
        <v>389978.57613636367</v>
      </c>
      <c r="F53" s="523">
        <f t="shared" si="16"/>
        <v>3041393.2021750603</v>
      </c>
      <c r="G53" s="524">
        <f t="shared" si="19"/>
        <v>776814.09213048278</v>
      </c>
      <c r="H53" s="491">
        <f t="shared" si="20"/>
        <v>776814.09213048278</v>
      </c>
      <c r="I53" s="511">
        <f t="shared" si="0"/>
        <v>0</v>
      </c>
      <c r="J53" s="511"/>
      <c r="K53" s="525"/>
      <c r="L53" s="514">
        <f t="shared" si="2"/>
        <v>0</v>
      </c>
      <c r="M53" s="525"/>
      <c r="N53" s="514">
        <f t="shared" si="4"/>
        <v>0</v>
      </c>
      <c r="O53" s="514">
        <f t="shared" si="5"/>
        <v>0</v>
      </c>
      <c r="P53" s="272"/>
    </row>
    <row r="54" spans="2:16">
      <c r="B54" s="195" t="str">
        <f t="shared" si="7"/>
        <v/>
      </c>
      <c r="C54" s="507">
        <f>IF(D11="","-",+C53+1)</f>
        <v>2054</v>
      </c>
      <c r="D54" s="523">
        <f>IF(F53+SUM(E$17:E53)=D$10,F53,D$10-SUM(E$17:E53))</f>
        <v>3041393.2021750603</v>
      </c>
      <c r="E54" s="522">
        <f>IF(+I14&lt;F53,I14,D54)</f>
        <v>389978.57613636367</v>
      </c>
      <c r="F54" s="523">
        <f t="shared" si="16"/>
        <v>2651414.6260386966</v>
      </c>
      <c r="G54" s="524">
        <f t="shared" si="19"/>
        <v>730201.07151837833</v>
      </c>
      <c r="H54" s="491">
        <f t="shared" si="20"/>
        <v>730201.07151837833</v>
      </c>
      <c r="I54" s="511">
        <f t="shared" si="0"/>
        <v>0</v>
      </c>
      <c r="J54" s="511"/>
      <c r="K54" s="525"/>
      <c r="L54" s="514">
        <f t="shared" si="2"/>
        <v>0</v>
      </c>
      <c r="M54" s="525"/>
      <c r="N54" s="514">
        <f t="shared" si="4"/>
        <v>0</v>
      </c>
      <c r="O54" s="514">
        <f t="shared" si="5"/>
        <v>0</v>
      </c>
      <c r="P54" s="272"/>
    </row>
    <row r="55" spans="2:16">
      <c r="B55" s="195" t="str">
        <f t="shared" si="7"/>
        <v/>
      </c>
      <c r="C55" s="507">
        <f>IF(D11="","-",+C54+1)</f>
        <v>2055</v>
      </c>
      <c r="D55" s="523">
        <f>IF(F54+SUM(E$17:E54)=D$10,F54,D$10-SUM(E$17:E54))</f>
        <v>2651414.6260386966</v>
      </c>
      <c r="E55" s="522">
        <f>IF(+I14&lt;F54,I14,D55)</f>
        <v>389978.57613636367</v>
      </c>
      <c r="F55" s="523">
        <f t="shared" si="16"/>
        <v>2261436.0499023329</v>
      </c>
      <c r="G55" s="524">
        <f t="shared" si="19"/>
        <v>683588.05090627389</v>
      </c>
      <c r="H55" s="491">
        <f t="shared" si="20"/>
        <v>683588.05090627389</v>
      </c>
      <c r="I55" s="511">
        <f t="shared" si="0"/>
        <v>0</v>
      </c>
      <c r="J55" s="511"/>
      <c r="K55" s="525"/>
      <c r="L55" s="514">
        <f t="shared" si="2"/>
        <v>0</v>
      </c>
      <c r="M55" s="525"/>
      <c r="N55" s="514">
        <f t="shared" si="4"/>
        <v>0</v>
      </c>
      <c r="O55" s="514">
        <f t="shared" si="5"/>
        <v>0</v>
      </c>
      <c r="P55" s="272"/>
    </row>
    <row r="56" spans="2:16">
      <c r="B56" s="195" t="str">
        <f t="shared" si="7"/>
        <v/>
      </c>
      <c r="C56" s="507">
        <f>IF(D11="","-",+C55+1)</f>
        <v>2056</v>
      </c>
      <c r="D56" s="523">
        <f>IF(F55+SUM(E$17:E55)=D$10,F55,D$10-SUM(E$17:E55))</f>
        <v>2261436.0499023329</v>
      </c>
      <c r="E56" s="522">
        <f>IF(+I14&lt;F55,I14,D56)</f>
        <v>389978.57613636367</v>
      </c>
      <c r="F56" s="523">
        <f t="shared" si="16"/>
        <v>1871457.4737659693</v>
      </c>
      <c r="G56" s="524">
        <f t="shared" si="19"/>
        <v>636975.03029416944</v>
      </c>
      <c r="H56" s="491">
        <f t="shared" si="20"/>
        <v>636975.03029416944</v>
      </c>
      <c r="I56" s="511">
        <f t="shared" si="0"/>
        <v>0</v>
      </c>
      <c r="J56" s="511"/>
      <c r="K56" s="525"/>
      <c r="L56" s="514">
        <f t="shared" si="2"/>
        <v>0</v>
      </c>
      <c r="M56" s="525"/>
      <c r="N56" s="514">
        <f t="shared" si="4"/>
        <v>0</v>
      </c>
      <c r="O56" s="514">
        <f t="shared" si="5"/>
        <v>0</v>
      </c>
      <c r="P56" s="272"/>
    </row>
    <row r="57" spans="2:16">
      <c r="B57" s="195" t="str">
        <f t="shared" si="7"/>
        <v/>
      </c>
      <c r="C57" s="507">
        <f>IF(D11="","-",+C56+1)</f>
        <v>2057</v>
      </c>
      <c r="D57" s="523">
        <f>IF(F56+SUM(E$17:E56)=D$10,F56,D$10-SUM(E$17:E56))</f>
        <v>1871457.4737659693</v>
      </c>
      <c r="E57" s="522">
        <f>IF(+I14&lt;F56,I14,D57)</f>
        <v>389978.57613636367</v>
      </c>
      <c r="F57" s="523">
        <f t="shared" si="16"/>
        <v>1481478.8976296056</v>
      </c>
      <c r="G57" s="524">
        <f t="shared" si="19"/>
        <v>590362.00968206511</v>
      </c>
      <c r="H57" s="491">
        <f t="shared" si="20"/>
        <v>590362.00968206511</v>
      </c>
      <c r="I57" s="511">
        <f t="shared" si="0"/>
        <v>0</v>
      </c>
      <c r="J57" s="511"/>
      <c r="K57" s="525"/>
      <c r="L57" s="514">
        <f t="shared" si="2"/>
        <v>0</v>
      </c>
      <c r="M57" s="525"/>
      <c r="N57" s="514">
        <f t="shared" si="4"/>
        <v>0</v>
      </c>
      <c r="O57" s="514">
        <f t="shared" si="5"/>
        <v>0</v>
      </c>
      <c r="P57" s="272"/>
    </row>
    <row r="58" spans="2:16">
      <c r="B58" s="195" t="str">
        <f t="shared" si="7"/>
        <v/>
      </c>
      <c r="C58" s="507">
        <f>IF(D11="","-",+C57+1)</f>
        <v>2058</v>
      </c>
      <c r="D58" s="523">
        <f>IF(F57+SUM(E$17:E57)=D$10,F57,D$10-SUM(E$17:E57))</f>
        <v>1481478.8976296056</v>
      </c>
      <c r="E58" s="522">
        <f>IF(+I14&lt;F57,I14,D58)</f>
        <v>389978.57613636367</v>
      </c>
      <c r="F58" s="523">
        <f t="shared" si="16"/>
        <v>1091500.3214932419</v>
      </c>
      <c r="G58" s="524">
        <f t="shared" si="19"/>
        <v>543748.98906996066</v>
      </c>
      <c r="H58" s="491">
        <f t="shared" si="20"/>
        <v>543748.98906996066</v>
      </c>
      <c r="I58" s="511">
        <f t="shared" si="0"/>
        <v>0</v>
      </c>
      <c r="J58" s="511"/>
      <c r="K58" s="525"/>
      <c r="L58" s="514">
        <f t="shared" si="2"/>
        <v>0</v>
      </c>
      <c r="M58" s="525"/>
      <c r="N58" s="514">
        <f t="shared" si="4"/>
        <v>0</v>
      </c>
      <c r="O58" s="514">
        <f t="shared" si="5"/>
        <v>0</v>
      </c>
      <c r="P58" s="272"/>
    </row>
    <row r="59" spans="2:16">
      <c r="B59" s="195" t="str">
        <f t="shared" si="7"/>
        <v/>
      </c>
      <c r="C59" s="507">
        <f>IF(D11="","-",+C58+1)</f>
        <v>2059</v>
      </c>
      <c r="D59" s="523">
        <f>IF(F58+SUM(E$17:E58)=D$10,F58,D$10-SUM(E$17:E58))</f>
        <v>1091500.3214932419</v>
      </c>
      <c r="E59" s="522">
        <f>IF(+I14&lt;F58,I14,D59)</f>
        <v>389978.57613636367</v>
      </c>
      <c r="F59" s="523">
        <f t="shared" si="16"/>
        <v>701521.74535687827</v>
      </c>
      <c r="G59" s="524">
        <f t="shared" si="19"/>
        <v>497135.96845785622</v>
      </c>
      <c r="H59" s="491">
        <f t="shared" si="20"/>
        <v>497135.96845785622</v>
      </c>
      <c r="I59" s="511">
        <f t="shared" si="0"/>
        <v>0</v>
      </c>
      <c r="J59" s="511"/>
      <c r="K59" s="525"/>
      <c r="L59" s="514">
        <f t="shared" si="2"/>
        <v>0</v>
      </c>
      <c r="M59" s="525"/>
      <c r="N59" s="514">
        <f t="shared" si="4"/>
        <v>0</v>
      </c>
      <c r="O59" s="514">
        <f t="shared" si="5"/>
        <v>0</v>
      </c>
      <c r="P59" s="272"/>
    </row>
    <row r="60" spans="2:16">
      <c r="B60" s="195" t="str">
        <f t="shared" si="7"/>
        <v/>
      </c>
      <c r="C60" s="507">
        <f>IF(D11="","-",+C59+1)</f>
        <v>2060</v>
      </c>
      <c r="D60" s="523">
        <f>IF(F59+SUM(E$17:E59)=D$10,F59,D$10-SUM(E$17:E59))</f>
        <v>701521.74535687827</v>
      </c>
      <c r="E60" s="522">
        <f>IF(+I14&lt;F59,I14,D60)</f>
        <v>389978.57613636367</v>
      </c>
      <c r="F60" s="523">
        <f t="shared" si="16"/>
        <v>311543.1692205146</v>
      </c>
      <c r="G60" s="524">
        <f t="shared" si="19"/>
        <v>450522.94784575177</v>
      </c>
      <c r="H60" s="491">
        <f t="shared" si="20"/>
        <v>450522.94784575177</v>
      </c>
      <c r="I60" s="511">
        <f t="shared" si="0"/>
        <v>0</v>
      </c>
      <c r="J60" s="511"/>
      <c r="K60" s="525"/>
      <c r="L60" s="514">
        <f t="shared" si="2"/>
        <v>0</v>
      </c>
      <c r="M60" s="525"/>
      <c r="N60" s="514">
        <f t="shared" si="4"/>
        <v>0</v>
      </c>
      <c r="O60" s="514">
        <f t="shared" si="5"/>
        <v>0</v>
      </c>
      <c r="P60" s="272"/>
    </row>
    <row r="61" spans="2:16">
      <c r="B61" s="195" t="str">
        <f t="shared" si="7"/>
        <v/>
      </c>
      <c r="C61" s="507">
        <f>IF(D11="","-",+C60+1)</f>
        <v>2061</v>
      </c>
      <c r="D61" s="523">
        <f>IF(F60+SUM(E$17:E60)=D$10,F60,D$10-SUM(E$17:E60))</f>
        <v>311543.1692205146</v>
      </c>
      <c r="E61" s="522">
        <f>IF(+I14&lt;F60,I14,D61)</f>
        <v>311543.1692205146</v>
      </c>
      <c r="F61" s="523">
        <f t="shared" si="16"/>
        <v>0</v>
      </c>
      <c r="G61" s="526">
        <f t="shared" si="19"/>
        <v>330162.09992218256</v>
      </c>
      <c r="H61" s="491">
        <f t="shared" si="20"/>
        <v>330162.09992218256</v>
      </c>
      <c r="I61" s="511">
        <f t="shared" si="0"/>
        <v>0</v>
      </c>
      <c r="J61" s="511"/>
      <c r="K61" s="525"/>
      <c r="L61" s="514">
        <f t="shared" si="2"/>
        <v>0</v>
      </c>
      <c r="M61" s="525"/>
      <c r="N61" s="514">
        <f t="shared" si="4"/>
        <v>0</v>
      </c>
      <c r="O61" s="514">
        <f t="shared" si="5"/>
        <v>0</v>
      </c>
      <c r="P61" s="272"/>
    </row>
    <row r="62" spans="2:16">
      <c r="B62" s="195" t="str">
        <f t="shared" si="7"/>
        <v/>
      </c>
      <c r="C62" s="507">
        <f>IF(D11="","-",+C61+1)</f>
        <v>2062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16"/>
        <v>0</v>
      </c>
      <c r="G62" s="526">
        <f t="shared" si="19"/>
        <v>0</v>
      </c>
      <c r="H62" s="491">
        <f t="shared" si="20"/>
        <v>0</v>
      </c>
      <c r="I62" s="511">
        <f t="shared" si="0"/>
        <v>0</v>
      </c>
      <c r="J62" s="511"/>
      <c r="K62" s="525"/>
      <c r="L62" s="514">
        <f t="shared" si="2"/>
        <v>0</v>
      </c>
      <c r="M62" s="525"/>
      <c r="N62" s="514">
        <f t="shared" si="4"/>
        <v>0</v>
      </c>
      <c r="O62" s="514">
        <f t="shared" si="5"/>
        <v>0</v>
      </c>
      <c r="P62" s="272"/>
    </row>
    <row r="63" spans="2:16">
      <c r="B63" s="195" t="str">
        <f t="shared" si="7"/>
        <v/>
      </c>
      <c r="C63" s="507">
        <f>IF(D11="","-",+C62+1)</f>
        <v>2063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16"/>
        <v>0</v>
      </c>
      <c r="G63" s="526">
        <f t="shared" si="19"/>
        <v>0</v>
      </c>
      <c r="H63" s="491">
        <f t="shared" si="20"/>
        <v>0</v>
      </c>
      <c r="I63" s="511">
        <f t="shared" si="0"/>
        <v>0</v>
      </c>
      <c r="J63" s="511"/>
      <c r="K63" s="525"/>
      <c r="L63" s="514">
        <f t="shared" si="2"/>
        <v>0</v>
      </c>
      <c r="M63" s="525"/>
      <c r="N63" s="514">
        <f t="shared" si="4"/>
        <v>0</v>
      </c>
      <c r="O63" s="514">
        <f t="shared" si="5"/>
        <v>0</v>
      </c>
      <c r="P63" s="272"/>
    </row>
    <row r="64" spans="2:16">
      <c r="B64" s="195" t="str">
        <f t="shared" si="7"/>
        <v/>
      </c>
      <c r="C64" s="507">
        <f>IF(D11="","-",+C63+1)</f>
        <v>2064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16"/>
        <v>0</v>
      </c>
      <c r="G64" s="526">
        <f t="shared" si="19"/>
        <v>0</v>
      </c>
      <c r="H64" s="491">
        <f t="shared" si="20"/>
        <v>0</v>
      </c>
      <c r="I64" s="511">
        <f t="shared" si="0"/>
        <v>0</v>
      </c>
      <c r="J64" s="511"/>
      <c r="K64" s="525"/>
      <c r="L64" s="514">
        <f t="shared" si="2"/>
        <v>0</v>
      </c>
      <c r="M64" s="525"/>
      <c r="N64" s="514">
        <f t="shared" si="4"/>
        <v>0</v>
      </c>
      <c r="O64" s="514">
        <f t="shared" si="5"/>
        <v>0</v>
      </c>
      <c r="P64" s="272"/>
    </row>
    <row r="65" spans="2:16">
      <c r="B65" s="195" t="str">
        <f t="shared" si="7"/>
        <v/>
      </c>
      <c r="C65" s="507">
        <f>IF(D11="","-",+C64+1)</f>
        <v>2065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16"/>
        <v>0</v>
      </c>
      <c r="G65" s="526">
        <f t="shared" si="19"/>
        <v>0</v>
      </c>
      <c r="H65" s="491">
        <f t="shared" si="20"/>
        <v>0</v>
      </c>
      <c r="I65" s="511">
        <f t="shared" si="0"/>
        <v>0</v>
      </c>
      <c r="J65" s="511"/>
      <c r="K65" s="525"/>
      <c r="L65" s="514">
        <f t="shared" si="2"/>
        <v>0</v>
      </c>
      <c r="M65" s="525"/>
      <c r="N65" s="514">
        <f t="shared" si="4"/>
        <v>0</v>
      </c>
      <c r="O65" s="514">
        <f t="shared" si="5"/>
        <v>0</v>
      </c>
      <c r="P65" s="272"/>
    </row>
    <row r="66" spans="2:16">
      <c r="B66" s="195" t="str">
        <f t="shared" si="7"/>
        <v/>
      </c>
      <c r="C66" s="507">
        <f>IF(D11="","-",+C65+1)</f>
        <v>2066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16"/>
        <v>0</v>
      </c>
      <c r="G66" s="526">
        <f t="shared" si="19"/>
        <v>0</v>
      </c>
      <c r="H66" s="491">
        <f t="shared" si="20"/>
        <v>0</v>
      </c>
      <c r="I66" s="511">
        <f t="shared" si="0"/>
        <v>0</v>
      </c>
      <c r="J66" s="511"/>
      <c r="K66" s="525"/>
      <c r="L66" s="514">
        <f t="shared" si="2"/>
        <v>0</v>
      </c>
      <c r="M66" s="525"/>
      <c r="N66" s="514">
        <f t="shared" si="4"/>
        <v>0</v>
      </c>
      <c r="O66" s="514">
        <f t="shared" si="5"/>
        <v>0</v>
      </c>
      <c r="P66" s="272"/>
    </row>
    <row r="67" spans="2:16">
      <c r="B67" s="195" t="str">
        <f t="shared" si="7"/>
        <v/>
      </c>
      <c r="C67" s="507">
        <f>IF(D11="","-",+C66+1)</f>
        <v>2067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16"/>
        <v>0</v>
      </c>
      <c r="G67" s="526">
        <f t="shared" si="19"/>
        <v>0</v>
      </c>
      <c r="H67" s="491">
        <f t="shared" si="20"/>
        <v>0</v>
      </c>
      <c r="I67" s="511">
        <f t="shared" si="0"/>
        <v>0</v>
      </c>
      <c r="J67" s="511"/>
      <c r="K67" s="525"/>
      <c r="L67" s="514">
        <f t="shared" si="2"/>
        <v>0</v>
      </c>
      <c r="M67" s="525"/>
      <c r="N67" s="514">
        <f t="shared" si="4"/>
        <v>0</v>
      </c>
      <c r="O67" s="514">
        <f t="shared" si="5"/>
        <v>0</v>
      </c>
      <c r="P67" s="272"/>
    </row>
    <row r="68" spans="2:16">
      <c r="B68" s="195" t="str">
        <f t="shared" si="7"/>
        <v/>
      </c>
      <c r="C68" s="507">
        <f>IF(D11="","-",+C67+1)</f>
        <v>2068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16"/>
        <v>0</v>
      </c>
      <c r="G68" s="526">
        <f t="shared" si="19"/>
        <v>0</v>
      </c>
      <c r="H68" s="491">
        <f t="shared" si="20"/>
        <v>0</v>
      </c>
      <c r="I68" s="511">
        <f t="shared" si="0"/>
        <v>0</v>
      </c>
      <c r="J68" s="511"/>
      <c r="K68" s="525"/>
      <c r="L68" s="514">
        <f t="shared" si="2"/>
        <v>0</v>
      </c>
      <c r="M68" s="525"/>
      <c r="N68" s="514">
        <f t="shared" si="4"/>
        <v>0</v>
      </c>
      <c r="O68" s="514">
        <f t="shared" si="5"/>
        <v>0</v>
      </c>
      <c r="P68" s="272"/>
    </row>
    <row r="69" spans="2:16">
      <c r="B69" s="195" t="str">
        <f t="shared" si="7"/>
        <v/>
      </c>
      <c r="C69" s="507">
        <f>IF(D11="","-",+C68+1)</f>
        <v>2069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16"/>
        <v>0</v>
      </c>
      <c r="G69" s="526">
        <f t="shared" si="19"/>
        <v>0</v>
      </c>
      <c r="H69" s="491">
        <f t="shared" si="20"/>
        <v>0</v>
      </c>
      <c r="I69" s="511">
        <f t="shared" si="0"/>
        <v>0</v>
      </c>
      <c r="J69" s="511"/>
      <c r="K69" s="525"/>
      <c r="L69" s="514">
        <f t="shared" si="2"/>
        <v>0</v>
      </c>
      <c r="M69" s="525"/>
      <c r="N69" s="514">
        <f t="shared" si="4"/>
        <v>0</v>
      </c>
      <c r="O69" s="514">
        <f t="shared" si="5"/>
        <v>0</v>
      </c>
      <c r="P69" s="272"/>
    </row>
    <row r="70" spans="2:16">
      <c r="B70" s="195" t="str">
        <f t="shared" si="7"/>
        <v/>
      </c>
      <c r="C70" s="507">
        <f>IF(D11="","-",+C69+1)</f>
        <v>2070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16"/>
        <v>0</v>
      </c>
      <c r="G70" s="526">
        <f t="shared" si="19"/>
        <v>0</v>
      </c>
      <c r="H70" s="491">
        <f t="shared" si="20"/>
        <v>0</v>
      </c>
      <c r="I70" s="511">
        <f t="shared" si="0"/>
        <v>0</v>
      </c>
      <c r="J70" s="511"/>
      <c r="K70" s="525"/>
      <c r="L70" s="514">
        <f t="shared" si="2"/>
        <v>0</v>
      </c>
      <c r="M70" s="525"/>
      <c r="N70" s="514">
        <f t="shared" si="4"/>
        <v>0</v>
      </c>
      <c r="O70" s="514">
        <f t="shared" si="5"/>
        <v>0</v>
      </c>
      <c r="P70" s="272"/>
    </row>
    <row r="71" spans="2:16">
      <c r="B71" s="195" t="str">
        <f t="shared" si="7"/>
        <v/>
      </c>
      <c r="C71" s="507">
        <f>IF(D11="","-",+C70+1)</f>
        <v>2071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16"/>
        <v>0</v>
      </c>
      <c r="G71" s="526">
        <f t="shared" si="19"/>
        <v>0</v>
      </c>
      <c r="H71" s="491">
        <f t="shared" si="20"/>
        <v>0</v>
      </c>
      <c r="I71" s="511">
        <f t="shared" si="0"/>
        <v>0</v>
      </c>
      <c r="J71" s="511"/>
      <c r="K71" s="525"/>
      <c r="L71" s="514">
        <f t="shared" si="2"/>
        <v>0</v>
      </c>
      <c r="M71" s="525"/>
      <c r="N71" s="514">
        <f t="shared" si="4"/>
        <v>0</v>
      </c>
      <c r="O71" s="514">
        <f t="shared" si="5"/>
        <v>0</v>
      </c>
      <c r="P71" s="272"/>
    </row>
    <row r="72" spans="2:16" ht="13.5" thickBot="1">
      <c r="B72" s="195" t="str">
        <f t="shared" si="7"/>
        <v/>
      </c>
      <c r="C72" s="527">
        <f>IF(D11="","-",+C71+1)</f>
        <v>2072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16"/>
        <v>0</v>
      </c>
      <c r="G72" s="530">
        <f t="shared" si="19"/>
        <v>0</v>
      </c>
      <c r="H72" s="471">
        <f t="shared" si="20"/>
        <v>0</v>
      </c>
      <c r="I72" s="531">
        <f t="shared" si="0"/>
        <v>0</v>
      </c>
      <c r="J72" s="511"/>
      <c r="K72" s="532"/>
      <c r="L72" s="533">
        <f t="shared" si="2"/>
        <v>0</v>
      </c>
      <c r="M72" s="532"/>
      <c r="N72" s="533">
        <f t="shared" si="4"/>
        <v>0</v>
      </c>
      <c r="O72" s="533">
        <f t="shared" si="5"/>
        <v>0</v>
      </c>
      <c r="P72" s="272"/>
    </row>
    <row r="73" spans="2:16">
      <c r="C73" s="374" t="s">
        <v>78</v>
      </c>
      <c r="D73" s="375"/>
      <c r="E73" s="375">
        <f>SUM(E17:E72)</f>
        <v>17159057.350000001</v>
      </c>
      <c r="F73" s="375"/>
      <c r="G73" s="375">
        <f>SUM(G17:G72)</f>
        <v>62141611.729113936</v>
      </c>
      <c r="H73" s="375">
        <f>SUM(H17:H72)</f>
        <v>62141611.729113936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2:16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2:16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2:16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2:16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272"/>
      <c r="P77" s="272"/>
    </row>
    <row r="78" spans="2:16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2:16"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  <c r="O79" s="269"/>
      <c r="P79" s="269"/>
    </row>
    <row r="80" spans="2:16" ht="18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6">
      <c r="B81" s="269"/>
      <c r="C81" s="340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6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</row>
    <row r="83" spans="1:16" ht="20.25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451" t="str">
        <f ca="1">P1</f>
        <v>SWEPCO Project 64 of 75</v>
      </c>
    </row>
    <row r="84" spans="1:16" ht="18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538" t="s">
        <v>128</v>
      </c>
    </row>
    <row r="85" spans="1:16" ht="18.7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</row>
    <row r="86" spans="1:16" ht="15.75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2022</v>
      </c>
      <c r="M86" s="541" t="s">
        <v>9</v>
      </c>
      <c r="N86" s="542" t="s">
        <v>159</v>
      </c>
      <c r="O86" s="543" t="s">
        <v>11</v>
      </c>
      <c r="P86" s="269"/>
    </row>
    <row r="87" spans="1:16" ht="1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391</v>
      </c>
      <c r="M87" s="546">
        <f>IF(J92&lt;D11,0,VLOOKUP(J92,C17:O72,9))</f>
        <v>2134967.6945692962</v>
      </c>
      <c r="N87" s="546">
        <f>IF(J92&lt;D11,0,VLOOKUP(J92,C17:O72,11))</f>
        <v>2134967.6945692962</v>
      </c>
      <c r="O87" s="547">
        <f>+N87-M87</f>
        <v>0</v>
      </c>
      <c r="P87" s="269"/>
    </row>
    <row r="88" spans="1:16" ht="15.7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392</v>
      </c>
      <c r="M88" s="550">
        <f>IF(J92&lt;D11,0,VLOOKUP(J92,C99:P154,6))</f>
        <v>2184114.5254237889</v>
      </c>
      <c r="N88" s="550">
        <f>IF(J92&lt;D11,0,VLOOKUP(J92,C99:P154,7))</f>
        <v>2184114.5254237889</v>
      </c>
      <c r="O88" s="551">
        <f>+N88-M88</f>
        <v>0</v>
      </c>
      <c r="P88" s="269"/>
    </row>
    <row r="89" spans="1:16" ht="13.5" thickBot="1">
      <c r="C89" s="467" t="s">
        <v>84</v>
      </c>
      <c r="D89" s="552" t="str">
        <f>+D7</f>
        <v>Hallsville - Marshall New 69 kV Circuit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49146.830854492728</v>
      </c>
      <c r="N89" s="555">
        <f>+N88-N87</f>
        <v>49146.830854492728</v>
      </c>
      <c r="O89" s="556">
        <f>+O88-O87</f>
        <v>0</v>
      </c>
      <c r="P89" s="269"/>
    </row>
    <row r="90" spans="1:16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</row>
    <row r="91" spans="1:16" ht="13.5" thickBot="1">
      <c r="A91" s="191"/>
      <c r="C91" s="558" t="s">
        <v>85</v>
      </c>
      <c r="D91" s="559" t="str">
        <f>+D9</f>
        <v>TP2013167</v>
      </c>
      <c r="E91" s="560"/>
      <c r="F91" s="560"/>
      <c r="G91" s="560"/>
      <c r="H91" s="560"/>
      <c r="I91" s="560"/>
      <c r="J91" s="560"/>
      <c r="K91" s="562"/>
      <c r="P91" s="481"/>
    </row>
    <row r="92" spans="1:16">
      <c r="C92" s="486" t="s">
        <v>51</v>
      </c>
      <c r="D92" s="564">
        <v>17159057</v>
      </c>
      <c r="E92" s="340" t="s">
        <v>86</v>
      </c>
      <c r="H92" s="484"/>
      <c r="I92" s="484"/>
      <c r="J92" s="485">
        <f>+'SWE.WS.G.BPU.ATRR.True-up'!M16</f>
        <v>2022</v>
      </c>
      <c r="K92" s="480"/>
      <c r="L92" s="375" t="s">
        <v>87</v>
      </c>
      <c r="P92" s="272"/>
    </row>
    <row r="93" spans="1:16">
      <c r="C93" s="486" t="s">
        <v>54</v>
      </c>
      <c r="D93" s="563">
        <f>IF(D11=I10,"",D11)</f>
        <v>2017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</row>
    <row r="94" spans="1:16">
      <c r="C94" s="486" t="s">
        <v>56</v>
      </c>
      <c r="D94" s="564">
        <f>IF(D11=I10,"",D12)</f>
        <v>4</v>
      </c>
      <c r="E94" s="486" t="s">
        <v>57</v>
      </c>
      <c r="F94" s="484"/>
      <c r="G94" s="484"/>
      <c r="J94" s="490">
        <f>'SWE.WS.G.BPU.ATRR.True-up'!$F$81</f>
        <v>0.11351422637179906</v>
      </c>
      <c r="K94" s="425"/>
      <c r="L94" s="183" t="s">
        <v>88</v>
      </c>
      <c r="P94" s="272"/>
    </row>
    <row r="95" spans="1:16">
      <c r="C95" s="486" t="s">
        <v>59</v>
      </c>
      <c r="D95" s="488">
        <f>'SWE.WS.G.BPU.ATRR.True-up'!F$93</f>
        <v>41</v>
      </c>
      <c r="E95" s="486" t="s">
        <v>60</v>
      </c>
      <c r="F95" s="484"/>
      <c r="G95" s="484"/>
      <c r="J95" s="490">
        <f>IF(H87="",J94,'SWE.WS.G.BPU.ATRR.True-up'!$F$80)</f>
        <v>0.11351422637179906</v>
      </c>
      <c r="K95" s="324"/>
      <c r="L95" s="375" t="s">
        <v>61</v>
      </c>
      <c r="M95" s="324"/>
      <c r="N95" s="324"/>
      <c r="O95" s="324"/>
      <c r="P95" s="272"/>
    </row>
    <row r="96" spans="1:16" ht="13.5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418513.58536585368</v>
      </c>
      <c r="K96" s="375"/>
      <c r="L96" s="375"/>
      <c r="M96" s="375"/>
      <c r="N96" s="375"/>
      <c r="O96" s="375"/>
      <c r="P96" s="272"/>
    </row>
    <row r="97" spans="1:16" ht="38.25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388</v>
      </c>
      <c r="I97" s="495" t="s">
        <v>389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</row>
    <row r="98" spans="1:16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602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</row>
    <row r="99" spans="1:16">
      <c r="C99" s="507">
        <f>IF(D93= "","-",D93)</f>
        <v>2017</v>
      </c>
      <c r="D99" s="649">
        <v>0</v>
      </c>
      <c r="E99" s="650">
        <v>203503.39285714287</v>
      </c>
      <c r="F99" s="651">
        <v>16890781.607142858</v>
      </c>
      <c r="G99" s="652">
        <v>8445390.8035714291</v>
      </c>
      <c r="H99" s="653">
        <v>1229377.3244778609</v>
      </c>
      <c r="I99" s="654">
        <v>1229377.3244778609</v>
      </c>
      <c r="J99" s="514">
        <f t="shared" ref="J99:J130" si="21">+I99-H99</f>
        <v>0</v>
      </c>
      <c r="K99" s="514"/>
      <c r="L99" s="512">
        <f>+H99</f>
        <v>1229377.3244778609</v>
      </c>
      <c r="M99" s="513">
        <f t="shared" ref="M99:M130" si="22">IF(L99&lt;&gt;0,+H99-L99,0)</f>
        <v>0</v>
      </c>
      <c r="N99" s="512">
        <f>+I99</f>
        <v>1229377.3244778609</v>
      </c>
      <c r="O99" s="513">
        <f t="shared" ref="O99:O130" si="23">IF(N99&lt;&gt;0,+I99-N99,0)</f>
        <v>0</v>
      </c>
      <c r="P99" s="513">
        <f t="shared" ref="P99:P130" si="24">+O99-M99</f>
        <v>0</v>
      </c>
    </row>
    <row r="100" spans="1:16">
      <c r="B100" s="195" t="str">
        <f>IF(D100=F99,"","IU")</f>
        <v>IU</v>
      </c>
      <c r="C100" s="507">
        <f>IF(D93="","-",+C99+1)</f>
        <v>2018</v>
      </c>
      <c r="D100" s="629">
        <v>16955553.607142858</v>
      </c>
      <c r="E100" s="630">
        <v>408548.97619047621</v>
      </c>
      <c r="F100" s="631">
        <v>16547004.630952382</v>
      </c>
      <c r="G100" s="631">
        <v>16751279.119047619</v>
      </c>
      <c r="H100" s="633">
        <v>2177560.8695091857</v>
      </c>
      <c r="I100" s="634">
        <v>2177560.8695091857</v>
      </c>
      <c r="J100" s="514">
        <f t="shared" si="21"/>
        <v>0</v>
      </c>
      <c r="K100" s="514"/>
      <c r="L100" s="655">
        <f>+H100</f>
        <v>2177560.8695091857</v>
      </c>
      <c r="M100" s="514">
        <f t="shared" si="22"/>
        <v>0</v>
      </c>
      <c r="N100" s="655">
        <f>+I100</f>
        <v>2177560.8695091857</v>
      </c>
      <c r="O100" s="514">
        <f t="shared" si="23"/>
        <v>0</v>
      </c>
      <c r="P100" s="514">
        <f t="shared" si="24"/>
        <v>0</v>
      </c>
    </row>
    <row r="101" spans="1:16">
      <c r="B101" s="195" t="str">
        <f t="shared" ref="B101:B154" si="25">IF(D101=F100,"","IU")</f>
        <v/>
      </c>
      <c r="C101" s="507">
        <f>IF(D93="","-",+C100+1)</f>
        <v>2019</v>
      </c>
      <c r="D101" s="629">
        <v>16547004.630952382</v>
      </c>
      <c r="E101" s="630">
        <v>399047.83720930235</v>
      </c>
      <c r="F101" s="631">
        <v>16147956.79374308</v>
      </c>
      <c r="G101" s="631">
        <v>16347480.712347731</v>
      </c>
      <c r="H101" s="633">
        <v>2148891.1072448152</v>
      </c>
      <c r="I101" s="634">
        <v>2148891.1072448152</v>
      </c>
      <c r="J101" s="514">
        <f t="shared" si="21"/>
        <v>0</v>
      </c>
      <c r="K101" s="514"/>
      <c r="L101" s="655">
        <f>+H101</f>
        <v>2148891.1072448152</v>
      </c>
      <c r="M101" s="514">
        <f t="shared" ref="M101:M102" si="26">IF(L101&lt;&gt;0,+H101-L101,0)</f>
        <v>0</v>
      </c>
      <c r="N101" s="655">
        <f>+I101</f>
        <v>2148891.1072448152</v>
      </c>
      <c r="O101" s="514">
        <f t="shared" si="23"/>
        <v>0</v>
      </c>
      <c r="P101" s="514">
        <f t="shared" si="24"/>
        <v>0</v>
      </c>
    </row>
    <row r="102" spans="1:16">
      <c r="B102" s="195" t="str">
        <f t="shared" si="25"/>
        <v/>
      </c>
      <c r="C102" s="507">
        <f>IF(D93="","-",+C101+1)</f>
        <v>2020</v>
      </c>
      <c r="D102" s="629">
        <v>16147956.79374308</v>
      </c>
      <c r="E102" s="630">
        <v>408548.97619047621</v>
      </c>
      <c r="F102" s="631">
        <v>15739407.817552604</v>
      </c>
      <c r="G102" s="631">
        <v>15943682.305647843</v>
      </c>
      <c r="H102" s="633">
        <v>2123671.9859832102</v>
      </c>
      <c r="I102" s="634">
        <v>2123671.9859832102</v>
      </c>
      <c r="J102" s="514">
        <f t="shared" si="21"/>
        <v>0</v>
      </c>
      <c r="K102" s="514"/>
      <c r="L102" s="655">
        <f>+H102</f>
        <v>2123671.9859832102</v>
      </c>
      <c r="M102" s="514">
        <f t="shared" si="26"/>
        <v>0</v>
      </c>
      <c r="N102" s="655">
        <f>+I102</f>
        <v>2123671.9859832102</v>
      </c>
      <c r="O102" s="514">
        <f t="shared" si="23"/>
        <v>0</v>
      </c>
      <c r="P102" s="514">
        <f t="shared" si="24"/>
        <v>0</v>
      </c>
    </row>
    <row r="103" spans="1:16">
      <c r="B103" s="195" t="str">
        <f t="shared" si="25"/>
        <v/>
      </c>
      <c r="C103" s="507">
        <f>IF(D93="","-",+C102+1)</f>
        <v>2021</v>
      </c>
      <c r="D103" s="629">
        <v>15739407.817552604</v>
      </c>
      <c r="E103" s="630">
        <v>418513.58536585368</v>
      </c>
      <c r="F103" s="631">
        <v>15320894.23218675</v>
      </c>
      <c r="G103" s="631">
        <v>15530151.024869677</v>
      </c>
      <c r="H103" s="633">
        <v>2181406.6643911372</v>
      </c>
      <c r="I103" s="634">
        <v>2181406.6643911372</v>
      </c>
      <c r="J103" s="514">
        <f t="shared" si="21"/>
        <v>0</v>
      </c>
      <c r="K103" s="514"/>
      <c r="L103" s="655">
        <f>+H103</f>
        <v>2181406.6643911372</v>
      </c>
      <c r="M103" s="514">
        <f t="shared" ref="M103" si="27">IF(L103&lt;&gt;0,+H103-L103,0)</f>
        <v>0</v>
      </c>
      <c r="N103" s="655">
        <f>+I103</f>
        <v>2181406.6643911372</v>
      </c>
      <c r="O103" s="514">
        <f t="shared" ref="O103" si="28">IF(N103&lt;&gt;0,+I103-N103,0)</f>
        <v>0</v>
      </c>
      <c r="P103" s="514">
        <f t="shared" ref="P103" si="29">+O103-M103</f>
        <v>0</v>
      </c>
    </row>
    <row r="104" spans="1:16">
      <c r="B104" s="195" t="str">
        <f t="shared" si="25"/>
        <v/>
      </c>
      <c r="C104" s="673">
        <f>IF(D93="","-",+C103+1)</f>
        <v>2022</v>
      </c>
      <c r="D104" s="374">
        <v>15320894.23218675</v>
      </c>
      <c r="E104" s="522">
        <v>408548.97619047621</v>
      </c>
      <c r="F104" s="523">
        <v>14912345.255996274</v>
      </c>
      <c r="G104" s="523">
        <v>15116619.744091511</v>
      </c>
      <c r="H104" s="526">
        <v>2184114.5254237889</v>
      </c>
      <c r="I104" s="577">
        <v>2184114.5254237889</v>
      </c>
      <c r="J104" s="514">
        <f t="shared" si="21"/>
        <v>0</v>
      </c>
      <c r="K104" s="514"/>
      <c r="L104" s="525"/>
      <c r="M104" s="514">
        <f t="shared" si="22"/>
        <v>0</v>
      </c>
      <c r="N104" s="525"/>
      <c r="O104" s="514">
        <f t="shared" si="23"/>
        <v>0</v>
      </c>
      <c r="P104" s="514">
        <f t="shared" si="24"/>
        <v>0</v>
      </c>
    </row>
    <row r="105" spans="1:16">
      <c r="B105" s="195" t="str">
        <f t="shared" si="25"/>
        <v/>
      </c>
      <c r="C105" s="507">
        <f>IF(D93="","-",+C104+1)</f>
        <v>2023</v>
      </c>
      <c r="D105" s="374">
        <f>IF(F104+SUM(E$99:E104)=D$92,F104,D$92-SUM(E$99:E104))</f>
        <v>14912345.255996274</v>
      </c>
      <c r="E105" s="522">
        <f>IF(+J96&lt;F104,J96,D105)</f>
        <v>418513.58536585368</v>
      </c>
      <c r="F105" s="523">
        <f t="shared" ref="F105:F130" si="30">+D105-E105</f>
        <v>14493831.67063042</v>
      </c>
      <c r="G105" s="523">
        <f t="shared" ref="G105:G130" si="31">+(F105+D105)/2</f>
        <v>14703088.463313347</v>
      </c>
      <c r="H105" s="526">
        <f t="shared" ref="H105:H154" si="32">+J$94*G105+E105</f>
        <v>2087523.2975549921</v>
      </c>
      <c r="I105" s="577">
        <f t="shared" ref="I105:I154" si="33">+J$95*G105+E105</f>
        <v>2087523.2975549921</v>
      </c>
      <c r="J105" s="514">
        <f t="shared" si="21"/>
        <v>0</v>
      </c>
      <c r="K105" s="514"/>
      <c r="L105" s="525"/>
      <c r="M105" s="514">
        <f t="shared" si="22"/>
        <v>0</v>
      </c>
      <c r="N105" s="525"/>
      <c r="O105" s="514">
        <f t="shared" si="23"/>
        <v>0</v>
      </c>
      <c r="P105" s="514">
        <f t="shared" si="24"/>
        <v>0</v>
      </c>
    </row>
    <row r="106" spans="1:16">
      <c r="B106" s="195" t="str">
        <f t="shared" si="25"/>
        <v/>
      </c>
      <c r="C106" s="507">
        <f>IF(D93="","-",+C105+1)</f>
        <v>2024</v>
      </c>
      <c r="D106" s="374">
        <f>IF(F105+SUM(E$99:E105)=D$92,F105,D$92-SUM(E$99:E105))</f>
        <v>14493831.67063042</v>
      </c>
      <c r="E106" s="522">
        <f>IF(+J96&lt;F105,J96,D106)</f>
        <v>418513.58536585368</v>
      </c>
      <c r="F106" s="523">
        <f t="shared" si="30"/>
        <v>14075318.085264565</v>
      </c>
      <c r="G106" s="523">
        <f t="shared" si="31"/>
        <v>14284574.877947493</v>
      </c>
      <c r="H106" s="526">
        <f t="shared" si="32"/>
        <v>2040016.0516860993</v>
      </c>
      <c r="I106" s="577">
        <f t="shared" si="33"/>
        <v>2040016.0516860993</v>
      </c>
      <c r="J106" s="514">
        <f t="shared" si="21"/>
        <v>0</v>
      </c>
      <c r="K106" s="514"/>
      <c r="L106" s="525"/>
      <c r="M106" s="514">
        <f t="shared" si="22"/>
        <v>0</v>
      </c>
      <c r="N106" s="525"/>
      <c r="O106" s="514">
        <f t="shared" si="23"/>
        <v>0</v>
      </c>
      <c r="P106" s="514">
        <f t="shared" si="24"/>
        <v>0</v>
      </c>
    </row>
    <row r="107" spans="1:16">
      <c r="B107" s="195" t="str">
        <f t="shared" si="25"/>
        <v/>
      </c>
      <c r="C107" s="507">
        <f>IF(D93="","-",+C106+1)</f>
        <v>2025</v>
      </c>
      <c r="D107" s="374">
        <f>IF(F106+SUM(E$99:E106)=D$92,F106,D$92-SUM(E$99:E106))</f>
        <v>14075318.085264565</v>
      </c>
      <c r="E107" s="522">
        <f>IF(+J96&lt;F106,J96,D107)</f>
        <v>418513.58536585368</v>
      </c>
      <c r="F107" s="523">
        <f t="shared" si="30"/>
        <v>13656804.499898711</v>
      </c>
      <c r="G107" s="523">
        <f t="shared" si="31"/>
        <v>13866061.292581638</v>
      </c>
      <c r="H107" s="526">
        <f t="shared" si="32"/>
        <v>1992508.8058172064</v>
      </c>
      <c r="I107" s="577">
        <f t="shared" si="33"/>
        <v>1992508.8058172064</v>
      </c>
      <c r="J107" s="514">
        <f t="shared" si="21"/>
        <v>0</v>
      </c>
      <c r="K107" s="514"/>
      <c r="L107" s="525"/>
      <c r="M107" s="514">
        <f t="shared" si="22"/>
        <v>0</v>
      </c>
      <c r="N107" s="525"/>
      <c r="O107" s="514">
        <f t="shared" si="23"/>
        <v>0</v>
      </c>
      <c r="P107" s="514">
        <f t="shared" si="24"/>
        <v>0</v>
      </c>
    </row>
    <row r="108" spans="1:16">
      <c r="B108" s="195" t="str">
        <f t="shared" si="25"/>
        <v/>
      </c>
      <c r="C108" s="507">
        <f>IF(D93="","-",+C107+1)</f>
        <v>2026</v>
      </c>
      <c r="D108" s="374">
        <f>IF(F107+SUM(E$99:E107)=D$92,F107,D$92-SUM(E$99:E107))</f>
        <v>13656804.499898711</v>
      </c>
      <c r="E108" s="522">
        <f>IF(+J96&lt;F107,J96,D108)</f>
        <v>418513.58536585368</v>
      </c>
      <c r="F108" s="523">
        <f t="shared" si="30"/>
        <v>13238290.914532857</v>
      </c>
      <c r="G108" s="523">
        <f t="shared" si="31"/>
        <v>13447547.707215784</v>
      </c>
      <c r="H108" s="526">
        <f t="shared" si="32"/>
        <v>1945001.5599483137</v>
      </c>
      <c r="I108" s="577">
        <f t="shared" si="33"/>
        <v>1945001.5599483137</v>
      </c>
      <c r="J108" s="514">
        <f t="shared" si="21"/>
        <v>0</v>
      </c>
      <c r="K108" s="514"/>
      <c r="L108" s="525"/>
      <c r="M108" s="514">
        <f t="shared" si="22"/>
        <v>0</v>
      </c>
      <c r="N108" s="525"/>
      <c r="O108" s="514">
        <f t="shared" si="23"/>
        <v>0</v>
      </c>
      <c r="P108" s="514">
        <f t="shared" si="24"/>
        <v>0</v>
      </c>
    </row>
    <row r="109" spans="1:16">
      <c r="B109" s="195" t="str">
        <f t="shared" si="25"/>
        <v/>
      </c>
      <c r="C109" s="507">
        <f>IF(D93="","-",+C108+1)</f>
        <v>2027</v>
      </c>
      <c r="D109" s="374">
        <f>IF(F108+SUM(E$99:E108)=D$92,F108,D$92-SUM(E$99:E108))</f>
        <v>13238290.914532857</v>
      </c>
      <c r="E109" s="522">
        <f>IF(+J96&lt;F108,J96,D109)</f>
        <v>418513.58536585368</v>
      </c>
      <c r="F109" s="523">
        <f t="shared" si="30"/>
        <v>12819777.329167003</v>
      </c>
      <c r="G109" s="523">
        <f t="shared" si="31"/>
        <v>13029034.12184993</v>
      </c>
      <c r="H109" s="526">
        <f t="shared" si="32"/>
        <v>1897494.3140794209</v>
      </c>
      <c r="I109" s="577">
        <f t="shared" si="33"/>
        <v>1897494.3140794209</v>
      </c>
      <c r="J109" s="514">
        <f t="shared" si="21"/>
        <v>0</v>
      </c>
      <c r="K109" s="514"/>
      <c r="L109" s="525"/>
      <c r="M109" s="514">
        <f t="shared" si="22"/>
        <v>0</v>
      </c>
      <c r="N109" s="525"/>
      <c r="O109" s="514">
        <f t="shared" si="23"/>
        <v>0</v>
      </c>
      <c r="P109" s="514">
        <f t="shared" si="24"/>
        <v>0</v>
      </c>
    </row>
    <row r="110" spans="1:16">
      <c r="B110" s="195" t="str">
        <f t="shared" si="25"/>
        <v/>
      </c>
      <c r="C110" s="507">
        <f>IF(D93="","-",+C109+1)</f>
        <v>2028</v>
      </c>
      <c r="D110" s="374">
        <f>IF(F109+SUM(E$99:E109)=D$92,F109,D$92-SUM(E$99:E109))</f>
        <v>12819777.329167003</v>
      </c>
      <c r="E110" s="522">
        <f>IF(+J96&lt;F109,J96,D110)</f>
        <v>418513.58536585368</v>
      </c>
      <c r="F110" s="523">
        <f t="shared" si="30"/>
        <v>12401263.743801149</v>
      </c>
      <c r="G110" s="523">
        <f t="shared" si="31"/>
        <v>12610520.536484076</v>
      </c>
      <c r="H110" s="526">
        <f t="shared" si="32"/>
        <v>1849987.068210528</v>
      </c>
      <c r="I110" s="577">
        <f t="shared" si="33"/>
        <v>1849987.068210528</v>
      </c>
      <c r="J110" s="514">
        <f t="shared" si="21"/>
        <v>0</v>
      </c>
      <c r="K110" s="514"/>
      <c r="L110" s="525"/>
      <c r="M110" s="514">
        <f t="shared" si="22"/>
        <v>0</v>
      </c>
      <c r="N110" s="525"/>
      <c r="O110" s="514">
        <f t="shared" si="23"/>
        <v>0</v>
      </c>
      <c r="P110" s="514">
        <f t="shared" si="24"/>
        <v>0</v>
      </c>
    </row>
    <row r="111" spans="1:16">
      <c r="B111" s="195" t="str">
        <f t="shared" si="25"/>
        <v/>
      </c>
      <c r="C111" s="507">
        <f>IF(D93="","-",+C110+1)</f>
        <v>2029</v>
      </c>
      <c r="D111" s="374">
        <f>IF(F110+SUM(E$99:E110)=D$92,F110,D$92-SUM(E$99:E110))</f>
        <v>12401263.743801149</v>
      </c>
      <c r="E111" s="522">
        <f>IF(+J96&lt;F110,J96,D111)</f>
        <v>418513.58536585368</v>
      </c>
      <c r="F111" s="523">
        <f t="shared" si="30"/>
        <v>11982750.158435294</v>
      </c>
      <c r="G111" s="523">
        <f t="shared" si="31"/>
        <v>12192006.951118222</v>
      </c>
      <c r="H111" s="526">
        <f t="shared" si="32"/>
        <v>1802479.8223416351</v>
      </c>
      <c r="I111" s="577">
        <f t="shared" si="33"/>
        <v>1802479.8223416351</v>
      </c>
      <c r="J111" s="514">
        <f t="shared" si="21"/>
        <v>0</v>
      </c>
      <c r="K111" s="514"/>
      <c r="L111" s="525"/>
      <c r="M111" s="514">
        <f t="shared" si="22"/>
        <v>0</v>
      </c>
      <c r="N111" s="525"/>
      <c r="O111" s="514">
        <f t="shared" si="23"/>
        <v>0</v>
      </c>
      <c r="P111" s="514">
        <f t="shared" si="24"/>
        <v>0</v>
      </c>
    </row>
    <row r="112" spans="1:16">
      <c r="B112" s="195" t="str">
        <f t="shared" si="25"/>
        <v/>
      </c>
      <c r="C112" s="507">
        <f>IF(D93="","-",+C111+1)</f>
        <v>2030</v>
      </c>
      <c r="D112" s="374">
        <f>IF(F111+SUM(E$99:E111)=D$92,F111,D$92-SUM(E$99:E111))</f>
        <v>11982750.158435294</v>
      </c>
      <c r="E112" s="522">
        <f>IF(+J96&lt;F111,J96,D112)</f>
        <v>418513.58536585368</v>
      </c>
      <c r="F112" s="523">
        <f t="shared" si="30"/>
        <v>11564236.57306944</v>
      </c>
      <c r="G112" s="523">
        <f t="shared" si="31"/>
        <v>11773493.365752367</v>
      </c>
      <c r="H112" s="526">
        <f t="shared" si="32"/>
        <v>1754972.5764727425</v>
      </c>
      <c r="I112" s="577">
        <f t="shared" si="33"/>
        <v>1754972.5764727425</v>
      </c>
      <c r="J112" s="514">
        <f t="shared" si="21"/>
        <v>0</v>
      </c>
      <c r="K112" s="514"/>
      <c r="L112" s="525"/>
      <c r="M112" s="514">
        <f t="shared" si="22"/>
        <v>0</v>
      </c>
      <c r="N112" s="525"/>
      <c r="O112" s="514">
        <f t="shared" si="23"/>
        <v>0</v>
      </c>
      <c r="P112" s="514">
        <f t="shared" si="24"/>
        <v>0</v>
      </c>
    </row>
    <row r="113" spans="2:16">
      <c r="B113" s="195" t="str">
        <f t="shared" si="25"/>
        <v/>
      </c>
      <c r="C113" s="507">
        <f>IF(D93="","-",+C112+1)</f>
        <v>2031</v>
      </c>
      <c r="D113" s="374">
        <f>IF(F112+SUM(E$99:E112)=D$92,F112,D$92-SUM(E$99:E112))</f>
        <v>11564236.57306944</v>
      </c>
      <c r="E113" s="522">
        <f>IF(+J96&lt;F112,J96,D113)</f>
        <v>418513.58536585368</v>
      </c>
      <c r="F113" s="523">
        <f t="shared" si="30"/>
        <v>11145722.987703586</v>
      </c>
      <c r="G113" s="523">
        <f t="shared" si="31"/>
        <v>11354979.780386513</v>
      </c>
      <c r="H113" s="526">
        <f t="shared" si="32"/>
        <v>1707465.3306038496</v>
      </c>
      <c r="I113" s="577">
        <f t="shared" si="33"/>
        <v>1707465.3306038496</v>
      </c>
      <c r="J113" s="514">
        <f t="shared" si="21"/>
        <v>0</v>
      </c>
      <c r="K113" s="514"/>
      <c r="L113" s="525"/>
      <c r="M113" s="514">
        <f t="shared" si="22"/>
        <v>0</v>
      </c>
      <c r="N113" s="525"/>
      <c r="O113" s="514">
        <f t="shared" si="23"/>
        <v>0</v>
      </c>
      <c r="P113" s="514">
        <f t="shared" si="24"/>
        <v>0</v>
      </c>
    </row>
    <row r="114" spans="2:16">
      <c r="B114" s="195" t="str">
        <f t="shared" si="25"/>
        <v/>
      </c>
      <c r="C114" s="507">
        <f>IF(D93="","-",+C113+1)</f>
        <v>2032</v>
      </c>
      <c r="D114" s="374">
        <f>IF(F113+SUM(E$99:E113)=D$92,F113,D$92-SUM(E$99:E113))</f>
        <v>11145722.987703586</v>
      </c>
      <c r="E114" s="522">
        <f>IF(+J96&lt;F113,J96,D114)</f>
        <v>418513.58536585368</v>
      </c>
      <c r="F114" s="523">
        <f t="shared" si="30"/>
        <v>10727209.402337732</v>
      </c>
      <c r="G114" s="523">
        <f t="shared" si="31"/>
        <v>10936466.195020659</v>
      </c>
      <c r="H114" s="526">
        <f t="shared" si="32"/>
        <v>1659958.0847349567</v>
      </c>
      <c r="I114" s="577">
        <f t="shared" si="33"/>
        <v>1659958.0847349567</v>
      </c>
      <c r="J114" s="514">
        <f t="shared" si="21"/>
        <v>0</v>
      </c>
      <c r="K114" s="514"/>
      <c r="L114" s="525"/>
      <c r="M114" s="514">
        <f t="shared" si="22"/>
        <v>0</v>
      </c>
      <c r="N114" s="525"/>
      <c r="O114" s="514">
        <f t="shared" si="23"/>
        <v>0</v>
      </c>
      <c r="P114" s="514">
        <f t="shared" si="24"/>
        <v>0</v>
      </c>
    </row>
    <row r="115" spans="2:16">
      <c r="B115" s="195" t="str">
        <f t="shared" si="25"/>
        <v/>
      </c>
      <c r="C115" s="507">
        <f>IF(D93="","-",+C114+1)</f>
        <v>2033</v>
      </c>
      <c r="D115" s="374">
        <f>IF(F114+SUM(E$99:E114)=D$92,F114,D$92-SUM(E$99:E114))</f>
        <v>10727209.402337732</v>
      </c>
      <c r="E115" s="522">
        <f>IF(+J96&lt;F114,J96,D115)</f>
        <v>418513.58536585368</v>
      </c>
      <c r="F115" s="523">
        <f t="shared" si="30"/>
        <v>10308695.816971878</v>
      </c>
      <c r="G115" s="523">
        <f t="shared" si="31"/>
        <v>10517952.609654805</v>
      </c>
      <c r="H115" s="526">
        <f t="shared" si="32"/>
        <v>1612450.8388660639</v>
      </c>
      <c r="I115" s="577">
        <f t="shared" si="33"/>
        <v>1612450.8388660639</v>
      </c>
      <c r="J115" s="514">
        <f t="shared" si="21"/>
        <v>0</v>
      </c>
      <c r="K115" s="514"/>
      <c r="L115" s="525"/>
      <c r="M115" s="514">
        <f t="shared" si="22"/>
        <v>0</v>
      </c>
      <c r="N115" s="525"/>
      <c r="O115" s="514">
        <f t="shared" si="23"/>
        <v>0</v>
      </c>
      <c r="P115" s="514">
        <f t="shared" si="24"/>
        <v>0</v>
      </c>
    </row>
    <row r="116" spans="2:16">
      <c r="B116" s="195" t="str">
        <f t="shared" si="25"/>
        <v/>
      </c>
      <c r="C116" s="507">
        <f>IF(D93="","-",+C115+1)</f>
        <v>2034</v>
      </c>
      <c r="D116" s="374">
        <f>IF(F115+SUM(E$99:E115)=D$92,F115,D$92-SUM(E$99:E115))</f>
        <v>10308695.816971878</v>
      </c>
      <c r="E116" s="522">
        <f>IF(+J96&lt;F115,J96,D116)</f>
        <v>418513.58536585368</v>
      </c>
      <c r="F116" s="523">
        <f t="shared" si="30"/>
        <v>9890182.2316060234</v>
      </c>
      <c r="G116" s="523">
        <f t="shared" si="31"/>
        <v>10099439.02428895</v>
      </c>
      <c r="H116" s="526">
        <f t="shared" si="32"/>
        <v>1564943.592997171</v>
      </c>
      <c r="I116" s="577">
        <f t="shared" si="33"/>
        <v>1564943.592997171</v>
      </c>
      <c r="J116" s="514">
        <f t="shared" si="21"/>
        <v>0</v>
      </c>
      <c r="K116" s="514"/>
      <c r="L116" s="525"/>
      <c r="M116" s="514">
        <f t="shared" si="22"/>
        <v>0</v>
      </c>
      <c r="N116" s="525"/>
      <c r="O116" s="514">
        <f t="shared" si="23"/>
        <v>0</v>
      </c>
      <c r="P116" s="514">
        <f t="shared" si="24"/>
        <v>0</v>
      </c>
    </row>
    <row r="117" spans="2:16">
      <c r="B117" s="195" t="str">
        <f t="shared" si="25"/>
        <v/>
      </c>
      <c r="C117" s="507">
        <f>IF(D93="","-",+C116+1)</f>
        <v>2035</v>
      </c>
      <c r="D117" s="374">
        <f>IF(F116+SUM(E$99:E116)=D$92,F116,D$92-SUM(E$99:E116))</f>
        <v>9890182.2316060234</v>
      </c>
      <c r="E117" s="522">
        <f>IF(+J96&lt;F116,J96,D117)</f>
        <v>418513.58536585368</v>
      </c>
      <c r="F117" s="523">
        <f t="shared" si="30"/>
        <v>9471668.6462401692</v>
      </c>
      <c r="G117" s="523">
        <f t="shared" si="31"/>
        <v>9680925.4389230963</v>
      </c>
      <c r="H117" s="526">
        <f t="shared" si="32"/>
        <v>1517436.3471282783</v>
      </c>
      <c r="I117" s="577">
        <f t="shared" si="33"/>
        <v>1517436.3471282783</v>
      </c>
      <c r="J117" s="514">
        <f t="shared" si="21"/>
        <v>0</v>
      </c>
      <c r="K117" s="514"/>
      <c r="L117" s="525"/>
      <c r="M117" s="514">
        <f t="shared" si="22"/>
        <v>0</v>
      </c>
      <c r="N117" s="525"/>
      <c r="O117" s="514">
        <f t="shared" si="23"/>
        <v>0</v>
      </c>
      <c r="P117" s="514">
        <f t="shared" si="24"/>
        <v>0</v>
      </c>
    </row>
    <row r="118" spans="2:16">
      <c r="B118" s="195" t="str">
        <f t="shared" si="25"/>
        <v/>
      </c>
      <c r="C118" s="507">
        <f>IF(D93="","-",+C117+1)</f>
        <v>2036</v>
      </c>
      <c r="D118" s="374">
        <f>IF(F117+SUM(E$99:E117)=D$92,F117,D$92-SUM(E$99:E117))</f>
        <v>9471668.6462401692</v>
      </c>
      <c r="E118" s="522">
        <f>IF(+J96&lt;F117,J96,D118)</f>
        <v>418513.58536585368</v>
      </c>
      <c r="F118" s="523">
        <f t="shared" si="30"/>
        <v>9053155.060874315</v>
      </c>
      <c r="G118" s="523">
        <f t="shared" si="31"/>
        <v>9262411.8535572421</v>
      </c>
      <c r="H118" s="526">
        <f t="shared" si="32"/>
        <v>1469929.1012593855</v>
      </c>
      <c r="I118" s="577">
        <f t="shared" si="33"/>
        <v>1469929.1012593855</v>
      </c>
      <c r="J118" s="514">
        <f t="shared" si="21"/>
        <v>0</v>
      </c>
      <c r="K118" s="514"/>
      <c r="L118" s="525"/>
      <c r="M118" s="514">
        <f t="shared" si="22"/>
        <v>0</v>
      </c>
      <c r="N118" s="525"/>
      <c r="O118" s="514">
        <f t="shared" si="23"/>
        <v>0</v>
      </c>
      <c r="P118" s="514">
        <f t="shared" si="24"/>
        <v>0</v>
      </c>
    </row>
    <row r="119" spans="2:16">
      <c r="B119" s="195" t="str">
        <f t="shared" si="25"/>
        <v/>
      </c>
      <c r="C119" s="507">
        <f>IF(D93="","-",+C118+1)</f>
        <v>2037</v>
      </c>
      <c r="D119" s="374">
        <f>IF(F118+SUM(E$99:E118)=D$92,F118,D$92-SUM(E$99:E118))</f>
        <v>9053155.060874315</v>
      </c>
      <c r="E119" s="522">
        <f>IF(+J96&lt;F118,J96,D119)</f>
        <v>418513.58536585368</v>
      </c>
      <c r="F119" s="523">
        <f t="shared" si="30"/>
        <v>8634641.4755084608</v>
      </c>
      <c r="G119" s="523">
        <f t="shared" si="31"/>
        <v>8843898.2681913879</v>
      </c>
      <c r="H119" s="526">
        <f t="shared" si="32"/>
        <v>1422421.8553904926</v>
      </c>
      <c r="I119" s="577">
        <f t="shared" si="33"/>
        <v>1422421.8553904926</v>
      </c>
      <c r="J119" s="514">
        <f t="shared" si="21"/>
        <v>0</v>
      </c>
      <c r="K119" s="514"/>
      <c r="L119" s="525"/>
      <c r="M119" s="514">
        <f t="shared" si="22"/>
        <v>0</v>
      </c>
      <c r="N119" s="525"/>
      <c r="O119" s="514">
        <f t="shared" si="23"/>
        <v>0</v>
      </c>
      <c r="P119" s="514">
        <f t="shared" si="24"/>
        <v>0</v>
      </c>
    </row>
    <row r="120" spans="2:16">
      <c r="B120" s="195" t="str">
        <f t="shared" si="25"/>
        <v/>
      </c>
      <c r="C120" s="507">
        <f>IF(D93="","-",+C119+1)</f>
        <v>2038</v>
      </c>
      <c r="D120" s="374">
        <f>IF(F119+SUM(E$99:E119)=D$92,F119,D$92-SUM(E$99:E119))</f>
        <v>8634641.4755084608</v>
      </c>
      <c r="E120" s="522">
        <f>IF(+J96&lt;F119,J96,D120)</f>
        <v>418513.58536585368</v>
      </c>
      <c r="F120" s="523">
        <f t="shared" si="30"/>
        <v>8216127.8901426075</v>
      </c>
      <c r="G120" s="523">
        <f t="shared" si="31"/>
        <v>8425384.6828255337</v>
      </c>
      <c r="H120" s="526">
        <f t="shared" si="32"/>
        <v>1374914.6095215997</v>
      </c>
      <c r="I120" s="577">
        <f t="shared" si="33"/>
        <v>1374914.6095215997</v>
      </c>
      <c r="J120" s="514">
        <f t="shared" si="21"/>
        <v>0</v>
      </c>
      <c r="K120" s="514"/>
      <c r="L120" s="525"/>
      <c r="M120" s="514">
        <f t="shared" si="22"/>
        <v>0</v>
      </c>
      <c r="N120" s="525"/>
      <c r="O120" s="514">
        <f t="shared" si="23"/>
        <v>0</v>
      </c>
      <c r="P120" s="514">
        <f t="shared" si="24"/>
        <v>0</v>
      </c>
    </row>
    <row r="121" spans="2:16">
      <c r="B121" s="195" t="str">
        <f t="shared" si="25"/>
        <v/>
      </c>
      <c r="C121" s="507">
        <f>IF(D93="","-",+C120+1)</f>
        <v>2039</v>
      </c>
      <c r="D121" s="374">
        <f>IF(F120+SUM(E$99:E120)=D$92,F120,D$92-SUM(E$99:E120))</f>
        <v>8216127.8901426075</v>
      </c>
      <c r="E121" s="522">
        <f>IF(+J96&lt;F120,J96,D121)</f>
        <v>418513.58536585368</v>
      </c>
      <c r="F121" s="523">
        <f t="shared" si="30"/>
        <v>7797614.3047767542</v>
      </c>
      <c r="G121" s="523">
        <f t="shared" si="31"/>
        <v>8006871.0974596813</v>
      </c>
      <c r="H121" s="526">
        <f t="shared" si="32"/>
        <v>1327407.3636527071</v>
      </c>
      <c r="I121" s="577">
        <f t="shared" si="33"/>
        <v>1327407.3636527071</v>
      </c>
      <c r="J121" s="514">
        <f t="shared" si="21"/>
        <v>0</v>
      </c>
      <c r="K121" s="514"/>
      <c r="L121" s="525"/>
      <c r="M121" s="514">
        <f t="shared" si="22"/>
        <v>0</v>
      </c>
      <c r="N121" s="525"/>
      <c r="O121" s="514">
        <f t="shared" si="23"/>
        <v>0</v>
      </c>
      <c r="P121" s="514">
        <f t="shared" si="24"/>
        <v>0</v>
      </c>
    </row>
    <row r="122" spans="2:16">
      <c r="B122" s="195" t="str">
        <f t="shared" si="25"/>
        <v/>
      </c>
      <c r="C122" s="507">
        <f>IF(D93="","-",+C121+1)</f>
        <v>2040</v>
      </c>
      <c r="D122" s="374">
        <f>IF(F121+SUM(E$99:E121)=D$92,F121,D$92-SUM(E$99:E121))</f>
        <v>7797614.3047767542</v>
      </c>
      <c r="E122" s="522">
        <f>IF(+J96&lt;F121,J96,D122)</f>
        <v>418513.58536585368</v>
      </c>
      <c r="F122" s="523">
        <f t="shared" si="30"/>
        <v>7379100.719410901</v>
      </c>
      <c r="G122" s="523">
        <f t="shared" si="31"/>
        <v>7588357.5120938271</v>
      </c>
      <c r="H122" s="526">
        <f t="shared" si="32"/>
        <v>1279900.1177838142</v>
      </c>
      <c r="I122" s="577">
        <f t="shared" si="33"/>
        <v>1279900.1177838142</v>
      </c>
      <c r="J122" s="514">
        <f t="shared" si="21"/>
        <v>0</v>
      </c>
      <c r="K122" s="514"/>
      <c r="L122" s="525"/>
      <c r="M122" s="514">
        <f t="shared" si="22"/>
        <v>0</v>
      </c>
      <c r="N122" s="525"/>
      <c r="O122" s="514">
        <f t="shared" si="23"/>
        <v>0</v>
      </c>
      <c r="P122" s="514">
        <f t="shared" si="24"/>
        <v>0</v>
      </c>
    </row>
    <row r="123" spans="2:16">
      <c r="B123" s="195" t="str">
        <f t="shared" si="25"/>
        <v/>
      </c>
      <c r="C123" s="507">
        <f>IF(D93="","-",+C122+1)</f>
        <v>2041</v>
      </c>
      <c r="D123" s="374">
        <f>IF(F122+SUM(E$99:E122)=D$92,F122,D$92-SUM(E$99:E122))</f>
        <v>7379100.719410901</v>
      </c>
      <c r="E123" s="522">
        <f>IF(+J96&lt;F122,J96,D123)</f>
        <v>418513.58536585368</v>
      </c>
      <c r="F123" s="523">
        <f t="shared" si="30"/>
        <v>6960587.1340450477</v>
      </c>
      <c r="G123" s="523">
        <f t="shared" si="31"/>
        <v>7169843.9267279748</v>
      </c>
      <c r="H123" s="526">
        <f t="shared" si="32"/>
        <v>1232392.8719149218</v>
      </c>
      <c r="I123" s="577">
        <f t="shared" si="33"/>
        <v>1232392.8719149218</v>
      </c>
      <c r="J123" s="514">
        <f t="shared" si="21"/>
        <v>0</v>
      </c>
      <c r="K123" s="514"/>
      <c r="L123" s="525"/>
      <c r="M123" s="514">
        <f t="shared" si="22"/>
        <v>0</v>
      </c>
      <c r="N123" s="525"/>
      <c r="O123" s="514">
        <f t="shared" si="23"/>
        <v>0</v>
      </c>
      <c r="P123" s="514">
        <f t="shared" si="24"/>
        <v>0</v>
      </c>
    </row>
    <row r="124" spans="2:16">
      <c r="B124" s="195" t="str">
        <f t="shared" si="25"/>
        <v/>
      </c>
      <c r="C124" s="507">
        <f>IF(D93="","-",+C123+1)</f>
        <v>2042</v>
      </c>
      <c r="D124" s="374">
        <f>IF(F123+SUM(E$99:E123)=D$92,F123,D$92-SUM(E$99:E123))</f>
        <v>6960587.1340450477</v>
      </c>
      <c r="E124" s="522">
        <f>IF(+J96&lt;F123,J96,D124)</f>
        <v>418513.58536585368</v>
      </c>
      <c r="F124" s="523">
        <f t="shared" si="30"/>
        <v>6542073.5486791944</v>
      </c>
      <c r="G124" s="523">
        <f t="shared" si="31"/>
        <v>6751330.3413621206</v>
      </c>
      <c r="H124" s="526">
        <f t="shared" si="32"/>
        <v>1184885.6260460289</v>
      </c>
      <c r="I124" s="577">
        <f t="shared" si="33"/>
        <v>1184885.6260460289</v>
      </c>
      <c r="J124" s="514">
        <f t="shared" si="21"/>
        <v>0</v>
      </c>
      <c r="K124" s="514"/>
      <c r="L124" s="525"/>
      <c r="M124" s="514">
        <f t="shared" si="22"/>
        <v>0</v>
      </c>
      <c r="N124" s="525"/>
      <c r="O124" s="514">
        <f t="shared" si="23"/>
        <v>0</v>
      </c>
      <c r="P124" s="514">
        <f t="shared" si="24"/>
        <v>0</v>
      </c>
    </row>
    <row r="125" spans="2:16">
      <c r="B125" s="195" t="str">
        <f t="shared" si="25"/>
        <v/>
      </c>
      <c r="C125" s="507">
        <f>IF(D93="","-",+C124+1)</f>
        <v>2043</v>
      </c>
      <c r="D125" s="374">
        <f>IF(F124+SUM(E$99:E124)=D$92,F124,D$92-SUM(E$99:E124))</f>
        <v>6542073.5486791944</v>
      </c>
      <c r="E125" s="522">
        <f>IF(+J96&lt;F124,J96,D125)</f>
        <v>418513.58536585368</v>
      </c>
      <c r="F125" s="523">
        <f t="shared" si="30"/>
        <v>6123559.9633133411</v>
      </c>
      <c r="G125" s="523">
        <f t="shared" si="31"/>
        <v>6332816.7559962682</v>
      </c>
      <c r="H125" s="526">
        <f t="shared" si="32"/>
        <v>1137378.3801771363</v>
      </c>
      <c r="I125" s="577">
        <f t="shared" si="33"/>
        <v>1137378.3801771363</v>
      </c>
      <c r="J125" s="514">
        <f t="shared" si="21"/>
        <v>0</v>
      </c>
      <c r="K125" s="514"/>
      <c r="L125" s="525"/>
      <c r="M125" s="514">
        <f t="shared" si="22"/>
        <v>0</v>
      </c>
      <c r="N125" s="525"/>
      <c r="O125" s="514">
        <f t="shared" si="23"/>
        <v>0</v>
      </c>
      <c r="P125" s="514">
        <f t="shared" si="24"/>
        <v>0</v>
      </c>
    </row>
    <row r="126" spans="2:16">
      <c r="B126" s="195" t="str">
        <f t="shared" si="25"/>
        <v/>
      </c>
      <c r="C126" s="507">
        <f>IF(D93="","-",+C125+1)</f>
        <v>2044</v>
      </c>
      <c r="D126" s="374">
        <f>IF(F125+SUM(E$99:E125)=D$92,F125,D$92-SUM(E$99:E125))</f>
        <v>6123559.9633133411</v>
      </c>
      <c r="E126" s="522">
        <f>IF(+J96&lt;F125,J96,D126)</f>
        <v>418513.58536585368</v>
      </c>
      <c r="F126" s="523">
        <f t="shared" si="30"/>
        <v>5705046.3779474879</v>
      </c>
      <c r="G126" s="523">
        <f t="shared" si="31"/>
        <v>5914303.170630414</v>
      </c>
      <c r="H126" s="526">
        <f t="shared" si="32"/>
        <v>1089871.1343082434</v>
      </c>
      <c r="I126" s="577">
        <f t="shared" si="33"/>
        <v>1089871.1343082434</v>
      </c>
      <c r="J126" s="514">
        <f t="shared" si="21"/>
        <v>0</v>
      </c>
      <c r="K126" s="514"/>
      <c r="L126" s="525"/>
      <c r="M126" s="514">
        <f t="shared" si="22"/>
        <v>0</v>
      </c>
      <c r="N126" s="525"/>
      <c r="O126" s="514">
        <f t="shared" si="23"/>
        <v>0</v>
      </c>
      <c r="P126" s="514">
        <f t="shared" si="24"/>
        <v>0</v>
      </c>
    </row>
    <row r="127" spans="2:16">
      <c r="B127" s="195" t="str">
        <f t="shared" si="25"/>
        <v/>
      </c>
      <c r="C127" s="507">
        <f>IF(D93="","-",+C126+1)</f>
        <v>2045</v>
      </c>
      <c r="D127" s="374">
        <f>IF(F126+SUM(E$99:E126)=D$92,F126,D$92-SUM(E$99:E126))</f>
        <v>5705046.3779474879</v>
      </c>
      <c r="E127" s="522">
        <f>IF(+J96&lt;F126,J96,D127)</f>
        <v>418513.58536585368</v>
      </c>
      <c r="F127" s="523">
        <f t="shared" si="30"/>
        <v>5286532.7925816346</v>
      </c>
      <c r="G127" s="523">
        <f t="shared" si="31"/>
        <v>5495789.5852645617</v>
      </c>
      <c r="H127" s="526">
        <f t="shared" si="32"/>
        <v>1042363.8884393508</v>
      </c>
      <c r="I127" s="577">
        <f t="shared" si="33"/>
        <v>1042363.8884393508</v>
      </c>
      <c r="J127" s="514">
        <f t="shared" si="21"/>
        <v>0</v>
      </c>
      <c r="K127" s="514"/>
      <c r="L127" s="525"/>
      <c r="M127" s="514">
        <f t="shared" si="22"/>
        <v>0</v>
      </c>
      <c r="N127" s="525"/>
      <c r="O127" s="514">
        <f t="shared" si="23"/>
        <v>0</v>
      </c>
      <c r="P127" s="514">
        <f t="shared" si="24"/>
        <v>0</v>
      </c>
    </row>
    <row r="128" spans="2:16">
      <c r="B128" s="195" t="str">
        <f t="shared" si="25"/>
        <v/>
      </c>
      <c r="C128" s="507">
        <f>IF(D93="","-",+C127+1)</f>
        <v>2046</v>
      </c>
      <c r="D128" s="374">
        <f>IF(F127+SUM(E$99:E127)=D$92,F127,D$92-SUM(E$99:E127))</f>
        <v>5286532.7925816346</v>
      </c>
      <c r="E128" s="522">
        <f>IF(+J96&lt;F127,J96,D128)</f>
        <v>418513.58536585368</v>
      </c>
      <c r="F128" s="523">
        <f t="shared" si="30"/>
        <v>4868019.2072157813</v>
      </c>
      <c r="G128" s="523">
        <f t="shared" si="31"/>
        <v>5077275.9998987075</v>
      </c>
      <c r="H128" s="526">
        <f t="shared" si="32"/>
        <v>994856.64257045789</v>
      </c>
      <c r="I128" s="577">
        <f t="shared" si="33"/>
        <v>994856.64257045789</v>
      </c>
      <c r="J128" s="514">
        <f t="shared" si="21"/>
        <v>0</v>
      </c>
      <c r="K128" s="514"/>
      <c r="L128" s="525"/>
      <c r="M128" s="514">
        <f t="shared" si="22"/>
        <v>0</v>
      </c>
      <c r="N128" s="525"/>
      <c r="O128" s="514">
        <f t="shared" si="23"/>
        <v>0</v>
      </c>
      <c r="P128" s="514">
        <f t="shared" si="24"/>
        <v>0</v>
      </c>
    </row>
    <row r="129" spans="2:16">
      <c r="B129" s="195" t="str">
        <f t="shared" si="25"/>
        <v/>
      </c>
      <c r="C129" s="507">
        <f>IF(D93="","-",+C128+1)</f>
        <v>2047</v>
      </c>
      <c r="D129" s="374">
        <f>IF(F128+SUM(E$99:E128)=D$92,F128,D$92-SUM(E$99:E128))</f>
        <v>4868019.2072157813</v>
      </c>
      <c r="E129" s="522">
        <f>IF(+J96&lt;F128,J96,D129)</f>
        <v>418513.58536585368</v>
      </c>
      <c r="F129" s="523">
        <f t="shared" si="30"/>
        <v>4449505.6218499281</v>
      </c>
      <c r="G129" s="523">
        <f t="shared" si="31"/>
        <v>4658762.4145328552</v>
      </c>
      <c r="H129" s="526">
        <f t="shared" si="32"/>
        <v>947349.39670156548</v>
      </c>
      <c r="I129" s="577">
        <f t="shared" si="33"/>
        <v>947349.39670156548</v>
      </c>
      <c r="J129" s="514">
        <f t="shared" si="21"/>
        <v>0</v>
      </c>
      <c r="K129" s="514"/>
      <c r="L129" s="525"/>
      <c r="M129" s="514">
        <f t="shared" si="22"/>
        <v>0</v>
      </c>
      <c r="N129" s="525"/>
      <c r="O129" s="514">
        <f t="shared" si="23"/>
        <v>0</v>
      </c>
      <c r="P129" s="514">
        <f t="shared" si="24"/>
        <v>0</v>
      </c>
    </row>
    <row r="130" spans="2:16">
      <c r="B130" s="195" t="str">
        <f t="shared" si="25"/>
        <v/>
      </c>
      <c r="C130" s="507">
        <f>IF(D93="","-",+C129+1)</f>
        <v>2048</v>
      </c>
      <c r="D130" s="374">
        <f>IF(F129+SUM(E$99:E129)=D$92,F129,D$92-SUM(E$99:E129))</f>
        <v>4449505.6218499281</v>
      </c>
      <c r="E130" s="522">
        <f>IF(+J96&lt;F129,J96,D130)</f>
        <v>418513.58536585368</v>
      </c>
      <c r="F130" s="523">
        <f t="shared" si="30"/>
        <v>4030992.0364840743</v>
      </c>
      <c r="G130" s="523">
        <f t="shared" si="31"/>
        <v>4240248.8291670009</v>
      </c>
      <c r="H130" s="526">
        <f t="shared" si="32"/>
        <v>899842.1508326726</v>
      </c>
      <c r="I130" s="577">
        <f t="shared" si="33"/>
        <v>899842.1508326726</v>
      </c>
      <c r="J130" s="514">
        <f t="shared" si="21"/>
        <v>0</v>
      </c>
      <c r="K130" s="514"/>
      <c r="L130" s="525"/>
      <c r="M130" s="514">
        <f t="shared" si="22"/>
        <v>0</v>
      </c>
      <c r="N130" s="525"/>
      <c r="O130" s="514">
        <f t="shared" si="23"/>
        <v>0</v>
      </c>
      <c r="P130" s="514">
        <f t="shared" si="24"/>
        <v>0</v>
      </c>
    </row>
    <row r="131" spans="2:16">
      <c r="B131" s="195" t="str">
        <f t="shared" si="25"/>
        <v/>
      </c>
      <c r="C131" s="507">
        <f>IF(D93="","-",+C130+1)</f>
        <v>2049</v>
      </c>
      <c r="D131" s="374">
        <f>IF(F130+SUM(E$99:E130)=D$92,F130,D$92-SUM(E$99:E130))</f>
        <v>4030992.0364840743</v>
      </c>
      <c r="E131" s="522">
        <f>IF(+J96&lt;F130,J96,D131)</f>
        <v>418513.58536585368</v>
      </c>
      <c r="F131" s="523">
        <f t="shared" ref="F131:F154" si="34">+D131-E131</f>
        <v>3612478.4511182206</v>
      </c>
      <c r="G131" s="523">
        <f t="shared" ref="G131:G154" si="35">+(F131+D131)/2</f>
        <v>3821735.2438011477</v>
      </c>
      <c r="H131" s="526">
        <f t="shared" si="32"/>
        <v>852334.90496377985</v>
      </c>
      <c r="I131" s="577">
        <f t="shared" si="33"/>
        <v>852334.90496377985</v>
      </c>
      <c r="J131" s="514">
        <f t="shared" ref="J131:J154" si="36">+I541-H541</f>
        <v>0</v>
      </c>
      <c r="K131" s="514"/>
      <c r="L131" s="525"/>
      <c r="M131" s="514">
        <f t="shared" ref="M131:M154" si="37">IF(L541&lt;&gt;0,+H541-L541,0)</f>
        <v>0</v>
      </c>
      <c r="N131" s="525"/>
      <c r="O131" s="514">
        <f t="shared" ref="O131:O154" si="38">IF(N541&lt;&gt;0,+I541-N541,0)</f>
        <v>0</v>
      </c>
      <c r="P131" s="514">
        <f t="shared" ref="P131:P154" si="39">+O541-M541</f>
        <v>0</v>
      </c>
    </row>
    <row r="132" spans="2:16">
      <c r="B132" s="195" t="str">
        <f t="shared" si="25"/>
        <v/>
      </c>
      <c r="C132" s="507">
        <f>IF(D93="","-",+C131+1)</f>
        <v>2050</v>
      </c>
      <c r="D132" s="374">
        <f>IF(F131+SUM(E$99:E131)=D$92,F131,D$92-SUM(E$99:E131))</f>
        <v>3612478.4511182206</v>
      </c>
      <c r="E132" s="522">
        <f>IF(+J96&lt;F131,J96,D132)</f>
        <v>418513.58536585368</v>
      </c>
      <c r="F132" s="523">
        <f t="shared" si="34"/>
        <v>3193964.8657523668</v>
      </c>
      <c r="G132" s="523">
        <f t="shared" si="35"/>
        <v>3403221.6584352935</v>
      </c>
      <c r="H132" s="526">
        <f t="shared" si="32"/>
        <v>804827.65909488709</v>
      </c>
      <c r="I132" s="577">
        <f t="shared" si="33"/>
        <v>804827.65909488709</v>
      </c>
      <c r="J132" s="514">
        <f t="shared" si="36"/>
        <v>0</v>
      </c>
      <c r="K132" s="514"/>
      <c r="L132" s="525"/>
      <c r="M132" s="514">
        <f t="shared" si="37"/>
        <v>0</v>
      </c>
      <c r="N132" s="525"/>
      <c r="O132" s="514">
        <f t="shared" si="38"/>
        <v>0</v>
      </c>
      <c r="P132" s="514">
        <f t="shared" si="39"/>
        <v>0</v>
      </c>
    </row>
    <row r="133" spans="2:16">
      <c r="B133" s="195" t="str">
        <f t="shared" si="25"/>
        <v/>
      </c>
      <c r="C133" s="507">
        <f>IF(D93="","-",+C132+1)</f>
        <v>2051</v>
      </c>
      <c r="D133" s="374">
        <f>IF(F132+SUM(E$99:E132)=D$92,F132,D$92-SUM(E$99:E132))</f>
        <v>3193964.8657523668</v>
      </c>
      <c r="E133" s="522">
        <f>IF(+J96&lt;F132,J96,D133)</f>
        <v>418513.58536585368</v>
      </c>
      <c r="F133" s="523">
        <f t="shared" si="34"/>
        <v>2775451.2803865131</v>
      </c>
      <c r="G133" s="523">
        <f t="shared" si="35"/>
        <v>2984708.0730694402</v>
      </c>
      <c r="H133" s="526">
        <f t="shared" si="32"/>
        <v>757320.41322599421</v>
      </c>
      <c r="I133" s="577">
        <f t="shared" si="33"/>
        <v>757320.41322599421</v>
      </c>
      <c r="J133" s="514">
        <f t="shared" si="36"/>
        <v>0</v>
      </c>
      <c r="K133" s="514"/>
      <c r="L133" s="525"/>
      <c r="M133" s="514">
        <f t="shared" si="37"/>
        <v>0</v>
      </c>
      <c r="N133" s="525"/>
      <c r="O133" s="514">
        <f t="shared" si="38"/>
        <v>0</v>
      </c>
      <c r="P133" s="514">
        <f t="shared" si="39"/>
        <v>0</v>
      </c>
    </row>
    <row r="134" spans="2:16">
      <c r="B134" s="195" t="str">
        <f t="shared" si="25"/>
        <v/>
      </c>
      <c r="C134" s="507">
        <f>IF(D93="","-",+C133+1)</f>
        <v>2052</v>
      </c>
      <c r="D134" s="374">
        <f>IF(F133+SUM(E$99:E133)=D$92,F133,D$92-SUM(E$99:E133))</f>
        <v>2775451.2803865131</v>
      </c>
      <c r="E134" s="522">
        <f>IF(+J96&lt;F133,J96,D134)</f>
        <v>418513.58536585368</v>
      </c>
      <c r="F134" s="523">
        <f t="shared" si="34"/>
        <v>2356937.6950206594</v>
      </c>
      <c r="G134" s="523">
        <f t="shared" si="35"/>
        <v>2566194.487703586</v>
      </c>
      <c r="H134" s="526">
        <f t="shared" si="32"/>
        <v>709813.16735710145</v>
      </c>
      <c r="I134" s="577">
        <f t="shared" si="33"/>
        <v>709813.16735710145</v>
      </c>
      <c r="J134" s="514">
        <f t="shared" si="36"/>
        <v>0</v>
      </c>
      <c r="K134" s="514"/>
      <c r="L134" s="525"/>
      <c r="M134" s="514">
        <f t="shared" si="37"/>
        <v>0</v>
      </c>
      <c r="N134" s="525"/>
      <c r="O134" s="514">
        <f t="shared" si="38"/>
        <v>0</v>
      </c>
      <c r="P134" s="514">
        <f t="shared" si="39"/>
        <v>0</v>
      </c>
    </row>
    <row r="135" spans="2:16">
      <c r="B135" s="195" t="str">
        <f t="shared" si="25"/>
        <v/>
      </c>
      <c r="C135" s="507">
        <f>IF(D93="","-",+C134+1)</f>
        <v>2053</v>
      </c>
      <c r="D135" s="374">
        <f>IF(F134+SUM(E$99:E134)=D$92,F134,D$92-SUM(E$99:E134))</f>
        <v>2356937.6950206594</v>
      </c>
      <c r="E135" s="522">
        <f>IF(+J96&lt;F134,J96,D135)</f>
        <v>418513.58536585368</v>
      </c>
      <c r="F135" s="523">
        <f t="shared" si="34"/>
        <v>1938424.1096548056</v>
      </c>
      <c r="G135" s="523">
        <f t="shared" si="35"/>
        <v>2147680.9023377327</v>
      </c>
      <c r="H135" s="526">
        <f t="shared" si="32"/>
        <v>662305.9214882087</v>
      </c>
      <c r="I135" s="577">
        <f t="shared" si="33"/>
        <v>662305.9214882087</v>
      </c>
      <c r="J135" s="514">
        <f t="shared" si="36"/>
        <v>0</v>
      </c>
      <c r="K135" s="514"/>
      <c r="L135" s="525"/>
      <c r="M135" s="514">
        <f t="shared" si="37"/>
        <v>0</v>
      </c>
      <c r="N135" s="525"/>
      <c r="O135" s="514">
        <f t="shared" si="38"/>
        <v>0</v>
      </c>
      <c r="P135" s="514">
        <f t="shared" si="39"/>
        <v>0</v>
      </c>
    </row>
    <row r="136" spans="2:16">
      <c r="B136" s="195" t="str">
        <f t="shared" si="25"/>
        <v/>
      </c>
      <c r="C136" s="507">
        <f>IF(D93="","-",+C135+1)</f>
        <v>2054</v>
      </c>
      <c r="D136" s="374">
        <f>IF(F135+SUM(E$99:E135)=D$92,F135,D$92-SUM(E$99:E135))</f>
        <v>1938424.1096548056</v>
      </c>
      <c r="E136" s="522">
        <f>IF(+J96&lt;F135,J96,D136)</f>
        <v>418513.58536585368</v>
      </c>
      <c r="F136" s="523">
        <f t="shared" si="34"/>
        <v>1519910.5242889519</v>
      </c>
      <c r="G136" s="523">
        <f t="shared" si="35"/>
        <v>1729167.3169718788</v>
      </c>
      <c r="H136" s="526">
        <f t="shared" si="32"/>
        <v>614798.67561931594</v>
      </c>
      <c r="I136" s="577">
        <f t="shared" si="33"/>
        <v>614798.67561931594</v>
      </c>
      <c r="J136" s="514">
        <f t="shared" si="36"/>
        <v>0</v>
      </c>
      <c r="K136" s="514"/>
      <c r="L136" s="525"/>
      <c r="M136" s="514">
        <f t="shared" si="37"/>
        <v>0</v>
      </c>
      <c r="N136" s="525"/>
      <c r="O136" s="514">
        <f t="shared" si="38"/>
        <v>0</v>
      </c>
      <c r="P136" s="514">
        <f t="shared" si="39"/>
        <v>0</v>
      </c>
    </row>
    <row r="137" spans="2:16">
      <c r="B137" s="195" t="str">
        <f t="shared" si="25"/>
        <v/>
      </c>
      <c r="C137" s="507">
        <f>IF(D93="","-",+C136+1)</f>
        <v>2055</v>
      </c>
      <c r="D137" s="374">
        <f>IF(F136+SUM(E$99:E136)=D$92,F136,D$92-SUM(E$99:E136))</f>
        <v>1519910.5242889519</v>
      </c>
      <c r="E137" s="522">
        <f>IF(+J96&lt;F136,J96,D137)</f>
        <v>418513.58536585368</v>
      </c>
      <c r="F137" s="523">
        <f t="shared" si="34"/>
        <v>1101396.9389230981</v>
      </c>
      <c r="G137" s="523">
        <f t="shared" si="35"/>
        <v>1310653.731606025</v>
      </c>
      <c r="H137" s="526">
        <f t="shared" si="32"/>
        <v>567291.42975042318</v>
      </c>
      <c r="I137" s="577">
        <f t="shared" si="33"/>
        <v>567291.42975042318</v>
      </c>
      <c r="J137" s="514">
        <f t="shared" si="36"/>
        <v>0</v>
      </c>
      <c r="K137" s="514"/>
      <c r="L137" s="525"/>
      <c r="M137" s="514">
        <f t="shared" si="37"/>
        <v>0</v>
      </c>
      <c r="N137" s="525"/>
      <c r="O137" s="514">
        <f t="shared" si="38"/>
        <v>0</v>
      </c>
      <c r="P137" s="514">
        <f t="shared" si="39"/>
        <v>0</v>
      </c>
    </row>
    <row r="138" spans="2:16">
      <c r="B138" s="195" t="str">
        <f t="shared" si="25"/>
        <v/>
      </c>
      <c r="C138" s="507">
        <f>IF(D93="","-",+C137+1)</f>
        <v>2056</v>
      </c>
      <c r="D138" s="374">
        <f>IF(F137+SUM(E$99:E137)=D$92,F137,D$92-SUM(E$99:E137))</f>
        <v>1101396.9389230981</v>
      </c>
      <c r="E138" s="522">
        <f>IF(+J96&lt;F137,J96,D138)</f>
        <v>418513.58536585368</v>
      </c>
      <c r="F138" s="523">
        <f t="shared" si="34"/>
        <v>682883.35355724441</v>
      </c>
      <c r="G138" s="523">
        <f t="shared" si="35"/>
        <v>892140.14624017128</v>
      </c>
      <c r="H138" s="526">
        <f t="shared" si="32"/>
        <v>519784.18388153042</v>
      </c>
      <c r="I138" s="577">
        <f t="shared" si="33"/>
        <v>519784.18388153042</v>
      </c>
      <c r="J138" s="514">
        <f t="shared" si="36"/>
        <v>0</v>
      </c>
      <c r="K138" s="514"/>
      <c r="L138" s="525"/>
      <c r="M138" s="514">
        <f t="shared" si="37"/>
        <v>0</v>
      </c>
      <c r="N138" s="525"/>
      <c r="O138" s="514">
        <f t="shared" si="38"/>
        <v>0</v>
      </c>
      <c r="P138" s="514">
        <f t="shared" si="39"/>
        <v>0</v>
      </c>
    </row>
    <row r="139" spans="2:16">
      <c r="B139" s="195" t="str">
        <f t="shared" si="25"/>
        <v/>
      </c>
      <c r="C139" s="507">
        <f>IF(D93="","-",+C138+1)</f>
        <v>2057</v>
      </c>
      <c r="D139" s="374">
        <f>IF(F138+SUM(E$99:E138)=D$92,F138,D$92-SUM(E$99:E138))</f>
        <v>682883.35355724441</v>
      </c>
      <c r="E139" s="522">
        <f>IF(+J96&lt;F138,J96,D139)</f>
        <v>418513.58536585368</v>
      </c>
      <c r="F139" s="523">
        <f t="shared" si="34"/>
        <v>264369.76819139073</v>
      </c>
      <c r="G139" s="523">
        <f t="shared" si="35"/>
        <v>473626.56087431754</v>
      </c>
      <c r="H139" s="526">
        <f t="shared" si="32"/>
        <v>472276.93801263761</v>
      </c>
      <c r="I139" s="577">
        <f t="shared" si="33"/>
        <v>472276.93801263761</v>
      </c>
      <c r="J139" s="514">
        <f t="shared" si="36"/>
        <v>0</v>
      </c>
      <c r="K139" s="514"/>
      <c r="L139" s="525"/>
      <c r="M139" s="514">
        <f t="shared" si="37"/>
        <v>0</v>
      </c>
      <c r="N139" s="525"/>
      <c r="O139" s="514">
        <f t="shared" si="38"/>
        <v>0</v>
      </c>
      <c r="P139" s="514">
        <f t="shared" si="39"/>
        <v>0</v>
      </c>
    </row>
    <row r="140" spans="2:16">
      <c r="B140" s="195" t="str">
        <f t="shared" si="25"/>
        <v/>
      </c>
      <c r="C140" s="507">
        <f>IF(D93="","-",+C139+1)</f>
        <v>2058</v>
      </c>
      <c r="D140" s="374">
        <f>IF(F139+SUM(E$99:E139)=D$92,F139,D$92-SUM(E$99:E139))</f>
        <v>264369.76819139073</v>
      </c>
      <c r="E140" s="522">
        <f>IF(+J96&lt;F139,J96,D140)</f>
        <v>264369.76819139073</v>
      </c>
      <c r="F140" s="523">
        <f t="shared" si="34"/>
        <v>0</v>
      </c>
      <c r="G140" s="523">
        <f t="shared" si="35"/>
        <v>132184.88409569536</v>
      </c>
      <c r="H140" s="526">
        <f t="shared" si="32"/>
        <v>279374.63304755953</v>
      </c>
      <c r="I140" s="577">
        <f t="shared" si="33"/>
        <v>279374.63304755953</v>
      </c>
      <c r="J140" s="514">
        <f t="shared" si="36"/>
        <v>0</v>
      </c>
      <c r="K140" s="514"/>
      <c r="L140" s="525"/>
      <c r="M140" s="514">
        <f t="shared" si="37"/>
        <v>0</v>
      </c>
      <c r="N140" s="525"/>
      <c r="O140" s="514">
        <f t="shared" si="38"/>
        <v>0</v>
      </c>
      <c r="P140" s="514">
        <f t="shared" si="39"/>
        <v>0</v>
      </c>
    </row>
    <row r="141" spans="2:16">
      <c r="B141" s="195" t="str">
        <f t="shared" si="25"/>
        <v/>
      </c>
      <c r="C141" s="507">
        <f>IF(D93="","-",+C140+1)</f>
        <v>2059</v>
      </c>
      <c r="D141" s="374">
        <f>IF(F140+SUM(E$99:E140)=D$92,F140,D$92-SUM(E$99:E140))</f>
        <v>0</v>
      </c>
      <c r="E141" s="522">
        <f>IF(+J96&lt;F140,J96,D141)</f>
        <v>0</v>
      </c>
      <c r="F141" s="523">
        <f t="shared" si="34"/>
        <v>0</v>
      </c>
      <c r="G141" s="523">
        <f t="shared" si="35"/>
        <v>0</v>
      </c>
      <c r="H141" s="526">
        <f t="shared" si="32"/>
        <v>0</v>
      </c>
      <c r="I141" s="577">
        <f t="shared" si="33"/>
        <v>0</v>
      </c>
      <c r="J141" s="514">
        <f t="shared" si="36"/>
        <v>0</v>
      </c>
      <c r="K141" s="514"/>
      <c r="L141" s="525"/>
      <c r="M141" s="514">
        <f t="shared" si="37"/>
        <v>0</v>
      </c>
      <c r="N141" s="525"/>
      <c r="O141" s="514">
        <f t="shared" si="38"/>
        <v>0</v>
      </c>
      <c r="P141" s="514">
        <f t="shared" si="39"/>
        <v>0</v>
      </c>
    </row>
    <row r="142" spans="2:16">
      <c r="B142" s="195" t="str">
        <f t="shared" si="25"/>
        <v/>
      </c>
      <c r="C142" s="507">
        <f>IF(D93="","-",+C141+1)</f>
        <v>2060</v>
      </c>
      <c r="D142" s="374">
        <f>IF(F141+SUM(E$99:E141)=D$92,F141,D$92-SUM(E$99:E141))</f>
        <v>0</v>
      </c>
      <c r="E142" s="522">
        <f>IF(+J96&lt;F141,J96,D142)</f>
        <v>0</v>
      </c>
      <c r="F142" s="523">
        <f t="shared" si="34"/>
        <v>0</v>
      </c>
      <c r="G142" s="523">
        <f t="shared" si="35"/>
        <v>0</v>
      </c>
      <c r="H142" s="526">
        <f t="shared" si="32"/>
        <v>0</v>
      </c>
      <c r="I142" s="577">
        <f t="shared" si="33"/>
        <v>0</v>
      </c>
      <c r="J142" s="514">
        <f t="shared" si="36"/>
        <v>0</v>
      </c>
      <c r="K142" s="514"/>
      <c r="L142" s="525"/>
      <c r="M142" s="514">
        <f t="shared" si="37"/>
        <v>0</v>
      </c>
      <c r="N142" s="525"/>
      <c r="O142" s="514">
        <f t="shared" si="38"/>
        <v>0</v>
      </c>
      <c r="P142" s="514">
        <f t="shared" si="39"/>
        <v>0</v>
      </c>
    </row>
    <row r="143" spans="2:16">
      <c r="B143" s="195" t="str">
        <f t="shared" si="25"/>
        <v/>
      </c>
      <c r="C143" s="507">
        <f>IF(D93="","-",+C142+1)</f>
        <v>2061</v>
      </c>
      <c r="D143" s="374">
        <f>IF(F142+SUM(E$99:E142)=D$92,F142,D$92-SUM(E$99:E142))</f>
        <v>0</v>
      </c>
      <c r="E143" s="522">
        <f>IF(+J96&lt;F142,J96,D143)</f>
        <v>0</v>
      </c>
      <c r="F143" s="523">
        <f t="shared" si="34"/>
        <v>0</v>
      </c>
      <c r="G143" s="523">
        <f t="shared" si="35"/>
        <v>0</v>
      </c>
      <c r="H143" s="526">
        <f t="shared" si="32"/>
        <v>0</v>
      </c>
      <c r="I143" s="577">
        <f t="shared" si="33"/>
        <v>0</v>
      </c>
      <c r="J143" s="514">
        <f t="shared" si="36"/>
        <v>0</v>
      </c>
      <c r="K143" s="514"/>
      <c r="L143" s="525"/>
      <c r="M143" s="514">
        <f t="shared" si="37"/>
        <v>0</v>
      </c>
      <c r="N143" s="525"/>
      <c r="O143" s="514">
        <f t="shared" si="38"/>
        <v>0</v>
      </c>
      <c r="P143" s="514">
        <f t="shared" si="39"/>
        <v>0</v>
      </c>
    </row>
    <row r="144" spans="2:16">
      <c r="B144" s="195" t="str">
        <f t="shared" si="25"/>
        <v/>
      </c>
      <c r="C144" s="507">
        <f>IF(D93="","-",+C143+1)</f>
        <v>2062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34"/>
        <v>0</v>
      </c>
      <c r="G144" s="523">
        <f t="shared" si="35"/>
        <v>0</v>
      </c>
      <c r="H144" s="526">
        <f t="shared" si="32"/>
        <v>0</v>
      </c>
      <c r="I144" s="577">
        <f t="shared" si="33"/>
        <v>0</v>
      </c>
      <c r="J144" s="514">
        <f t="shared" si="36"/>
        <v>0</v>
      </c>
      <c r="K144" s="514"/>
      <c r="L144" s="525"/>
      <c r="M144" s="514">
        <f t="shared" si="37"/>
        <v>0</v>
      </c>
      <c r="N144" s="525"/>
      <c r="O144" s="514">
        <f t="shared" si="38"/>
        <v>0</v>
      </c>
      <c r="P144" s="514">
        <f t="shared" si="39"/>
        <v>0</v>
      </c>
    </row>
    <row r="145" spans="2:16">
      <c r="B145" s="195" t="str">
        <f t="shared" si="25"/>
        <v/>
      </c>
      <c r="C145" s="507">
        <f>IF(D93="","-",+C144+1)</f>
        <v>2063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34"/>
        <v>0</v>
      </c>
      <c r="G145" s="523">
        <f t="shared" si="35"/>
        <v>0</v>
      </c>
      <c r="H145" s="526">
        <f t="shared" si="32"/>
        <v>0</v>
      </c>
      <c r="I145" s="577">
        <f t="shared" si="33"/>
        <v>0</v>
      </c>
      <c r="J145" s="514">
        <f t="shared" si="36"/>
        <v>0</v>
      </c>
      <c r="K145" s="514"/>
      <c r="L145" s="525"/>
      <c r="M145" s="514">
        <f t="shared" si="37"/>
        <v>0</v>
      </c>
      <c r="N145" s="525"/>
      <c r="O145" s="514">
        <f t="shared" si="38"/>
        <v>0</v>
      </c>
      <c r="P145" s="514">
        <f t="shared" si="39"/>
        <v>0</v>
      </c>
    </row>
    <row r="146" spans="2:16">
      <c r="B146" s="195" t="str">
        <f t="shared" si="25"/>
        <v/>
      </c>
      <c r="C146" s="507">
        <f>IF(D93="","-",+C145+1)</f>
        <v>2064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34"/>
        <v>0</v>
      </c>
      <c r="G146" s="523">
        <f t="shared" si="35"/>
        <v>0</v>
      </c>
      <c r="H146" s="526">
        <f t="shared" si="32"/>
        <v>0</v>
      </c>
      <c r="I146" s="577">
        <f t="shared" si="33"/>
        <v>0</v>
      </c>
      <c r="J146" s="514">
        <f t="shared" si="36"/>
        <v>0</v>
      </c>
      <c r="K146" s="514"/>
      <c r="L146" s="525"/>
      <c r="M146" s="514">
        <f t="shared" si="37"/>
        <v>0</v>
      </c>
      <c r="N146" s="525"/>
      <c r="O146" s="514">
        <f t="shared" si="38"/>
        <v>0</v>
      </c>
      <c r="P146" s="514">
        <f t="shared" si="39"/>
        <v>0</v>
      </c>
    </row>
    <row r="147" spans="2:16">
      <c r="B147" s="195" t="str">
        <f t="shared" si="25"/>
        <v/>
      </c>
      <c r="C147" s="507">
        <f>IF(D93="","-",+C146+1)</f>
        <v>2065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34"/>
        <v>0</v>
      </c>
      <c r="G147" s="523">
        <f t="shared" si="35"/>
        <v>0</v>
      </c>
      <c r="H147" s="526">
        <f t="shared" si="32"/>
        <v>0</v>
      </c>
      <c r="I147" s="577">
        <f t="shared" si="33"/>
        <v>0</v>
      </c>
      <c r="J147" s="514">
        <f t="shared" si="36"/>
        <v>0</v>
      </c>
      <c r="K147" s="514"/>
      <c r="L147" s="525"/>
      <c r="M147" s="514">
        <f t="shared" si="37"/>
        <v>0</v>
      </c>
      <c r="N147" s="525"/>
      <c r="O147" s="514">
        <f t="shared" si="38"/>
        <v>0</v>
      </c>
      <c r="P147" s="514">
        <f t="shared" si="39"/>
        <v>0</v>
      </c>
    </row>
    <row r="148" spans="2:16">
      <c r="B148" s="195" t="str">
        <f t="shared" si="25"/>
        <v/>
      </c>
      <c r="C148" s="507">
        <f>IF(D93="","-",+C147+1)</f>
        <v>2066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34"/>
        <v>0</v>
      </c>
      <c r="G148" s="523">
        <f t="shared" si="35"/>
        <v>0</v>
      </c>
      <c r="H148" s="526">
        <f t="shared" si="32"/>
        <v>0</v>
      </c>
      <c r="I148" s="577">
        <f t="shared" si="33"/>
        <v>0</v>
      </c>
      <c r="J148" s="514">
        <f t="shared" si="36"/>
        <v>0</v>
      </c>
      <c r="K148" s="514"/>
      <c r="L148" s="525"/>
      <c r="M148" s="514">
        <f t="shared" si="37"/>
        <v>0</v>
      </c>
      <c r="N148" s="525"/>
      <c r="O148" s="514">
        <f t="shared" si="38"/>
        <v>0</v>
      </c>
      <c r="P148" s="514">
        <f t="shared" si="39"/>
        <v>0</v>
      </c>
    </row>
    <row r="149" spans="2:16">
      <c r="B149" s="195" t="str">
        <f t="shared" si="25"/>
        <v/>
      </c>
      <c r="C149" s="507">
        <f>IF(D93="","-",+C148+1)</f>
        <v>2067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34"/>
        <v>0</v>
      </c>
      <c r="G149" s="523">
        <f t="shared" si="35"/>
        <v>0</v>
      </c>
      <c r="H149" s="526">
        <f t="shared" si="32"/>
        <v>0</v>
      </c>
      <c r="I149" s="577">
        <f t="shared" si="33"/>
        <v>0</v>
      </c>
      <c r="J149" s="514">
        <f t="shared" si="36"/>
        <v>0</v>
      </c>
      <c r="K149" s="514"/>
      <c r="L149" s="525"/>
      <c r="M149" s="514">
        <f t="shared" si="37"/>
        <v>0</v>
      </c>
      <c r="N149" s="525"/>
      <c r="O149" s="514">
        <f t="shared" si="38"/>
        <v>0</v>
      </c>
      <c r="P149" s="514">
        <f t="shared" si="39"/>
        <v>0</v>
      </c>
    </row>
    <row r="150" spans="2:16">
      <c r="B150" s="195" t="str">
        <f t="shared" si="25"/>
        <v/>
      </c>
      <c r="C150" s="507">
        <f>IF(D93="","-",+C149+1)</f>
        <v>2068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34"/>
        <v>0</v>
      </c>
      <c r="G150" s="523">
        <f t="shared" si="35"/>
        <v>0</v>
      </c>
      <c r="H150" s="526">
        <f t="shared" si="32"/>
        <v>0</v>
      </c>
      <c r="I150" s="577">
        <f t="shared" si="33"/>
        <v>0</v>
      </c>
      <c r="J150" s="514">
        <f t="shared" si="36"/>
        <v>0</v>
      </c>
      <c r="K150" s="514"/>
      <c r="L150" s="525"/>
      <c r="M150" s="514">
        <f t="shared" si="37"/>
        <v>0</v>
      </c>
      <c r="N150" s="525"/>
      <c r="O150" s="514">
        <f t="shared" si="38"/>
        <v>0</v>
      </c>
      <c r="P150" s="514">
        <f t="shared" si="39"/>
        <v>0</v>
      </c>
    </row>
    <row r="151" spans="2:16">
      <c r="B151" s="195" t="str">
        <f t="shared" si="25"/>
        <v/>
      </c>
      <c r="C151" s="507">
        <f>IF(D93="","-",+C150+1)</f>
        <v>2069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34"/>
        <v>0</v>
      </c>
      <c r="G151" s="523">
        <f t="shared" si="35"/>
        <v>0</v>
      </c>
      <c r="H151" s="526">
        <f t="shared" si="32"/>
        <v>0</v>
      </c>
      <c r="I151" s="577">
        <f t="shared" si="33"/>
        <v>0</v>
      </c>
      <c r="J151" s="514">
        <f t="shared" si="36"/>
        <v>0</v>
      </c>
      <c r="K151" s="514"/>
      <c r="L151" s="525"/>
      <c r="M151" s="514">
        <f t="shared" si="37"/>
        <v>0</v>
      </c>
      <c r="N151" s="525"/>
      <c r="O151" s="514">
        <f t="shared" si="38"/>
        <v>0</v>
      </c>
      <c r="P151" s="514">
        <f t="shared" si="39"/>
        <v>0</v>
      </c>
    </row>
    <row r="152" spans="2:16">
      <c r="B152" s="195" t="str">
        <f t="shared" si="25"/>
        <v/>
      </c>
      <c r="C152" s="507">
        <f>IF(D93="","-",+C151+1)</f>
        <v>2070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34"/>
        <v>0</v>
      </c>
      <c r="G152" s="523">
        <f t="shared" si="35"/>
        <v>0</v>
      </c>
      <c r="H152" s="526">
        <f t="shared" si="32"/>
        <v>0</v>
      </c>
      <c r="I152" s="577">
        <f t="shared" si="33"/>
        <v>0</v>
      </c>
      <c r="J152" s="514">
        <f t="shared" si="36"/>
        <v>0</v>
      </c>
      <c r="K152" s="514"/>
      <c r="L152" s="525"/>
      <c r="M152" s="514">
        <f t="shared" si="37"/>
        <v>0</v>
      </c>
      <c r="N152" s="525"/>
      <c r="O152" s="514">
        <f t="shared" si="38"/>
        <v>0</v>
      </c>
      <c r="P152" s="514">
        <f t="shared" si="39"/>
        <v>0</v>
      </c>
    </row>
    <row r="153" spans="2:16">
      <c r="B153" s="195" t="str">
        <f t="shared" si="25"/>
        <v/>
      </c>
      <c r="C153" s="507">
        <f>IF(D93="","-",+C152+1)</f>
        <v>2071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34"/>
        <v>0</v>
      </c>
      <c r="G153" s="523">
        <f t="shared" si="35"/>
        <v>0</v>
      </c>
      <c r="H153" s="526">
        <f t="shared" si="32"/>
        <v>0</v>
      </c>
      <c r="I153" s="577">
        <f t="shared" si="33"/>
        <v>0</v>
      </c>
      <c r="J153" s="514">
        <f t="shared" si="36"/>
        <v>0</v>
      </c>
      <c r="K153" s="514"/>
      <c r="L153" s="525"/>
      <c r="M153" s="514">
        <f t="shared" si="37"/>
        <v>0</v>
      </c>
      <c r="N153" s="525"/>
      <c r="O153" s="514">
        <f t="shared" si="38"/>
        <v>0</v>
      </c>
      <c r="P153" s="514">
        <f t="shared" si="39"/>
        <v>0</v>
      </c>
    </row>
    <row r="154" spans="2:16" ht="13.5" thickBot="1">
      <c r="B154" s="195" t="str">
        <f t="shared" si="25"/>
        <v/>
      </c>
      <c r="C154" s="527">
        <f>IF(D93="","-",+C153+1)</f>
        <v>2072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34"/>
        <v>0</v>
      </c>
      <c r="G154" s="528">
        <f t="shared" si="35"/>
        <v>0</v>
      </c>
      <c r="H154" s="530">
        <f t="shared" si="32"/>
        <v>0</v>
      </c>
      <c r="I154" s="579">
        <f t="shared" si="33"/>
        <v>0</v>
      </c>
      <c r="J154" s="533">
        <f t="shared" si="36"/>
        <v>0</v>
      </c>
      <c r="K154" s="514"/>
      <c r="L154" s="532"/>
      <c r="M154" s="533">
        <f t="shared" si="37"/>
        <v>0</v>
      </c>
      <c r="N154" s="532"/>
      <c r="O154" s="533">
        <f t="shared" si="38"/>
        <v>0</v>
      </c>
      <c r="P154" s="533">
        <f t="shared" si="39"/>
        <v>0</v>
      </c>
    </row>
    <row r="155" spans="2:16">
      <c r="C155" s="374" t="s">
        <v>78</v>
      </c>
      <c r="D155" s="375"/>
      <c r="E155" s="375">
        <f>SUM(E99:E154)</f>
        <v>17159057.000000004</v>
      </c>
      <c r="F155" s="375"/>
      <c r="G155" s="375"/>
      <c r="H155" s="375">
        <f>SUM(H99:H154)</f>
        <v>57120901.232511066</v>
      </c>
      <c r="I155" s="375">
        <f>SUM(I99:I154)</f>
        <v>57120901.232511066</v>
      </c>
      <c r="J155" s="375">
        <f>SUM(J99:J154)</f>
        <v>0</v>
      </c>
      <c r="K155" s="375"/>
      <c r="L155" s="375"/>
      <c r="M155" s="375"/>
      <c r="N155" s="375"/>
      <c r="O155" s="375"/>
      <c r="P155" s="269"/>
    </row>
    <row r="156" spans="2:16">
      <c r="C156" s="183" t="s">
        <v>92</v>
      </c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</row>
    <row r="157" spans="2:16">
      <c r="C157" s="580"/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</row>
    <row r="158" spans="2:16">
      <c r="C158" s="614" t="s">
        <v>132</v>
      </c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</row>
    <row r="159" spans="2:16">
      <c r="C159" s="467" t="s">
        <v>79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</row>
    <row r="160" spans="2:16">
      <c r="C160" s="581" t="s">
        <v>80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</row>
    <row r="161" spans="3:16">
      <c r="C161" s="581"/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</row>
    <row r="162" spans="3:16" ht="18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635" t="s">
        <v>131</v>
      </c>
    </row>
  </sheetData>
  <conditionalFormatting sqref="C18:C72">
    <cfRule type="cellIs" dxfId="29" priority="2" stopIfTrue="1" operator="equal">
      <formula>$I$10</formula>
    </cfRule>
  </conditionalFormatting>
  <conditionalFormatting sqref="C99:C154">
    <cfRule type="cellIs" dxfId="28" priority="3" stopIfTrue="1" operator="equal">
      <formula>$J$92</formula>
    </cfRule>
  </conditionalFormatting>
  <conditionalFormatting sqref="C17">
    <cfRule type="cellIs" dxfId="27" priority="1" stopIfTrue="1" operator="equal">
      <formula>$I$10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Sheet114"/>
  <dimension ref="A1:P162"/>
  <sheetViews>
    <sheetView topLeftCell="A87" zoomScaleNormal="100" zoomScaleSheetLayoutView="80" workbookViewId="0">
      <selection activeCell="D99" sqref="D99:I104"/>
    </sheetView>
  </sheetViews>
  <sheetFormatPr defaultColWidth="8.7109375" defaultRowHeight="12.75" customHeight="1"/>
  <cols>
    <col min="1" max="1" width="4.7109375" style="183" customWidth="1"/>
    <col min="2" max="2" width="6.7109375" style="183" customWidth="1"/>
    <col min="3" max="3" width="23.28515625" style="183" customWidth="1"/>
    <col min="4" max="8" width="17.7109375" style="183" customWidth="1"/>
    <col min="9" max="9" width="20.42578125" style="183" customWidth="1"/>
    <col min="10" max="10" width="16.42578125" style="183" customWidth="1"/>
    <col min="11" max="11" width="17.7109375" style="183" customWidth="1"/>
    <col min="12" max="12" width="16.140625" style="183" customWidth="1"/>
    <col min="13" max="13" width="17.7109375" style="183" customWidth="1"/>
    <col min="14" max="14" width="16.7109375" style="183" customWidth="1"/>
    <col min="15" max="15" width="16.85546875" style="183" customWidth="1"/>
    <col min="16" max="16" width="24.42578125" style="183" customWidth="1"/>
    <col min="17" max="17" width="9.140625" style="183" customWidth="1"/>
    <col min="18" max="22" width="8.7109375" style="183"/>
    <col min="23" max="23" width="9.140625" style="183" customWidth="1"/>
    <col min="24" max="16384" width="8.7109375" style="183"/>
  </cols>
  <sheetData>
    <row r="1" spans="1:16" ht="20.25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65 of 75</v>
      </c>
    </row>
    <row r="2" spans="1:16" ht="18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538" t="s">
        <v>129</v>
      </c>
    </row>
    <row r="3" spans="1:16" ht="18.75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/>
      <c r="P3" s="623">
        <v>1</v>
      </c>
    </row>
    <row r="4" spans="1:16" ht="15.75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6" ht="1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298050.82617309887</v>
      </c>
      <c r="P5" s="269"/>
    </row>
    <row r="6" spans="1:16" ht="15.7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298050.82617309887</v>
      </c>
      <c r="O6" s="269"/>
      <c r="P6" s="269"/>
    </row>
    <row r="7" spans="1:16" ht="13.5" thickBot="1">
      <c r="C7" s="467" t="s">
        <v>48</v>
      </c>
      <c r="D7" s="624" t="s">
        <v>385</v>
      </c>
      <c r="E7" s="269"/>
      <c r="F7" s="269"/>
      <c r="G7" s="269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6" ht="13.5" thickBot="1">
      <c r="C8" s="472"/>
      <c r="D8" s="625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6" ht="13.5" thickBot="1">
      <c r="C9" s="476" t="s">
        <v>50</v>
      </c>
      <c r="D9" s="477" t="s">
        <v>413</v>
      </c>
      <c r="E9" s="637" t="s">
        <v>414</v>
      </c>
      <c r="F9" s="478"/>
      <c r="G9" s="478"/>
      <c r="H9" s="478"/>
      <c r="I9" s="479"/>
      <c r="J9" s="480"/>
      <c r="O9" s="481"/>
      <c r="P9" s="272"/>
    </row>
    <row r="10" spans="1:16">
      <c r="C10" s="482" t="s">
        <v>51</v>
      </c>
      <c r="D10" s="483">
        <v>2385215.9000000004</v>
      </c>
      <c r="E10" s="353" t="s">
        <v>52</v>
      </c>
      <c r="F10" s="481"/>
      <c r="G10" s="484"/>
      <c r="H10" s="484"/>
      <c r="I10" s="485">
        <f>+'SWE.WS.F.BPU.ATRR.Projected'!L19</f>
        <v>2024</v>
      </c>
      <c r="J10" s="480"/>
      <c r="K10" s="375" t="s">
        <v>53</v>
      </c>
      <c r="O10" s="272"/>
      <c r="P10" s="272"/>
    </row>
    <row r="11" spans="1:16">
      <c r="C11" s="486" t="s">
        <v>54</v>
      </c>
      <c r="D11" s="487">
        <v>2017</v>
      </c>
      <c r="E11" s="486" t="s">
        <v>55</v>
      </c>
      <c r="F11" s="484"/>
      <c r="G11" s="233"/>
      <c r="H11" s="233"/>
      <c r="I11" s="488">
        <f>IF(G5="",0,'SWE.WS.F.BPU.ATRR.Projected'!F$13)</f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6">
      <c r="C12" s="486" t="s">
        <v>56</v>
      </c>
      <c r="D12" s="483">
        <v>11</v>
      </c>
      <c r="E12" s="486" t="s">
        <v>57</v>
      </c>
      <c r="F12" s="484"/>
      <c r="G12" s="233"/>
      <c r="H12" s="233"/>
      <c r="I12" s="490">
        <f>'SWE.WS.F.BPU.ATRR.Projected'!$F$81</f>
        <v>0.11952713165403545</v>
      </c>
      <c r="J12" s="425"/>
      <c r="K12" s="183" t="s">
        <v>58</v>
      </c>
      <c r="O12" s="272"/>
      <c r="P12" s="272"/>
    </row>
    <row r="13" spans="1:16">
      <c r="C13" s="486" t="s">
        <v>59</v>
      </c>
      <c r="D13" s="488">
        <f>+'SWE.WS.F.BPU.ATRR.Projected'!F$93</f>
        <v>44</v>
      </c>
      <c r="E13" s="486" t="s">
        <v>60</v>
      </c>
      <c r="F13" s="484"/>
      <c r="G13" s="233"/>
      <c r="H13" s="233"/>
      <c r="I13" s="490">
        <f>IF(G5="",I12,'SWE.WS.F.BPU.ATRR.Projected'!$F$80)</f>
        <v>0.11952713165403545</v>
      </c>
      <c r="J13" s="425"/>
      <c r="K13" s="375" t="s">
        <v>61</v>
      </c>
      <c r="L13" s="324"/>
      <c r="M13" s="324"/>
      <c r="N13" s="324"/>
      <c r="O13" s="272"/>
      <c r="P13" s="272"/>
    </row>
    <row r="14" spans="1:16" ht="13.5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54209.452272727278</v>
      </c>
      <c r="J14" s="375"/>
      <c r="K14" s="375"/>
      <c r="L14" s="375"/>
      <c r="M14" s="375"/>
      <c r="N14" s="375"/>
      <c r="O14" s="272"/>
      <c r="P14" s="272"/>
    </row>
    <row r="15" spans="1:16" ht="38.25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388</v>
      </c>
      <c r="H15" s="495" t="s">
        <v>389</v>
      </c>
      <c r="I15" s="492" t="s">
        <v>68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6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600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>
      <c r="C17" s="507">
        <f>IF(D11= "","-",D11)</f>
        <v>2017</v>
      </c>
      <c r="D17" s="649" t="s">
        <v>435</v>
      </c>
      <c r="E17" s="658" t="s">
        <v>435</v>
      </c>
      <c r="F17" s="651">
        <v>1835000</v>
      </c>
      <c r="G17" s="659">
        <v>113671</v>
      </c>
      <c r="H17" s="657">
        <v>113671</v>
      </c>
      <c r="I17" s="511">
        <f t="shared" ref="I17:I72" si="0">H17-G17</f>
        <v>0</v>
      </c>
      <c r="J17" s="511"/>
      <c r="K17" s="512">
        <f t="shared" ref="K17:K22" si="1">+G17</f>
        <v>113671</v>
      </c>
      <c r="L17" s="513">
        <f t="shared" ref="L17:L72" si="2">IF(K17&lt;&gt;0,+G17-K17,0)</f>
        <v>0</v>
      </c>
      <c r="M17" s="512">
        <f t="shared" ref="M17:M22" si="3">+H17</f>
        <v>113671</v>
      </c>
      <c r="N17" s="513">
        <f t="shared" ref="N17:N72" si="4">IF(M17&lt;&gt;0,+H17-M17,0)</f>
        <v>0</v>
      </c>
      <c r="O17" s="514">
        <f t="shared" ref="O17:O72" si="5">+N17-L17</f>
        <v>0</v>
      </c>
      <c r="P17" s="272"/>
    </row>
    <row r="18" spans="2:16">
      <c r="B18" s="195" t="str">
        <f>IF(D18=F17,"","IU")</f>
        <v/>
      </c>
      <c r="C18" s="507">
        <f>IF(D11="","-",+C17+1)</f>
        <v>2018</v>
      </c>
      <c r="D18" s="631">
        <v>1835000</v>
      </c>
      <c r="E18" s="630">
        <v>44756.097560975613</v>
      </c>
      <c r="F18" s="631">
        <v>1790243.9024390243</v>
      </c>
      <c r="G18" s="630">
        <v>275129.65114880283</v>
      </c>
      <c r="H18" s="639">
        <v>275129.65114880283</v>
      </c>
      <c r="I18" s="511">
        <f t="shared" si="0"/>
        <v>0</v>
      </c>
      <c r="J18" s="511"/>
      <c r="K18" s="518">
        <f t="shared" si="1"/>
        <v>275129.65114880283</v>
      </c>
      <c r="L18" s="519">
        <f t="shared" si="2"/>
        <v>0</v>
      </c>
      <c r="M18" s="518">
        <f t="shared" si="3"/>
        <v>275129.65114880283</v>
      </c>
      <c r="N18" s="514">
        <f t="shared" si="4"/>
        <v>0</v>
      </c>
      <c r="O18" s="514">
        <f t="shared" si="5"/>
        <v>0</v>
      </c>
      <c r="P18" s="272"/>
    </row>
    <row r="19" spans="2:16">
      <c r="B19" s="195" t="str">
        <f>IF(D19=F18,"","IU")</f>
        <v/>
      </c>
      <c r="C19" s="507">
        <f>IF(D11="","-",+C18+1)</f>
        <v>2019</v>
      </c>
      <c r="D19" s="631">
        <v>1790243.9024390243</v>
      </c>
      <c r="E19" s="630">
        <v>44756.097560975613</v>
      </c>
      <c r="F19" s="631">
        <v>1745487.8048780486</v>
      </c>
      <c r="G19" s="630">
        <v>269441.41525774536</v>
      </c>
      <c r="H19" s="639">
        <v>269441.41525774536</v>
      </c>
      <c r="I19" s="511">
        <f t="shared" si="0"/>
        <v>0</v>
      </c>
      <c r="J19" s="511"/>
      <c r="K19" s="518">
        <f t="shared" si="1"/>
        <v>269441.41525774536</v>
      </c>
      <c r="L19" s="519">
        <f t="shared" ref="L19" si="6">IF(K19&lt;&gt;0,+G19-K19,0)</f>
        <v>0</v>
      </c>
      <c r="M19" s="518">
        <f t="shared" si="3"/>
        <v>269441.41525774536</v>
      </c>
      <c r="N19" s="514">
        <f t="shared" si="4"/>
        <v>0</v>
      </c>
      <c r="O19" s="514">
        <f t="shared" si="5"/>
        <v>0</v>
      </c>
      <c r="P19" s="272"/>
    </row>
    <row r="20" spans="2:16">
      <c r="B20" s="195" t="str">
        <f t="shared" ref="B20:B72" si="7">IF(D20=F19,"","IU")</f>
        <v>IU</v>
      </c>
      <c r="C20" s="507">
        <f>IF(D11="","-",+C19+1)</f>
        <v>2020</v>
      </c>
      <c r="D20" s="631">
        <v>2295703.8048780486</v>
      </c>
      <c r="E20" s="630">
        <v>58176</v>
      </c>
      <c r="F20" s="631">
        <v>2237527.8048780486</v>
      </c>
      <c r="G20" s="630">
        <v>290131.16035245545</v>
      </c>
      <c r="H20" s="639">
        <v>290131.16035245545</v>
      </c>
      <c r="I20" s="511">
        <f t="shared" si="0"/>
        <v>0</v>
      </c>
      <c r="J20" s="511"/>
      <c r="K20" s="518">
        <f t="shared" si="1"/>
        <v>290131.16035245545</v>
      </c>
      <c r="L20" s="519">
        <f t="shared" ref="L20" si="8">IF(K20&lt;&gt;0,+G20-K20,0)</f>
        <v>0</v>
      </c>
      <c r="M20" s="518">
        <f t="shared" si="3"/>
        <v>290131.16035245545</v>
      </c>
      <c r="N20" s="514">
        <f t="shared" si="4"/>
        <v>0</v>
      </c>
      <c r="O20" s="514">
        <f t="shared" si="5"/>
        <v>0</v>
      </c>
      <c r="P20" s="272"/>
    </row>
    <row r="21" spans="2:16">
      <c r="B21" s="195" t="str">
        <f t="shared" si="7"/>
        <v>IU</v>
      </c>
      <c r="C21" s="507">
        <f>IF(D11="","-",+C20+1)</f>
        <v>2021</v>
      </c>
      <c r="D21" s="631">
        <v>2239609.4838343733</v>
      </c>
      <c r="E21" s="630">
        <v>56790.857142857145</v>
      </c>
      <c r="F21" s="631">
        <v>2182818.626691516</v>
      </c>
      <c r="G21" s="630">
        <v>291189.59706285701</v>
      </c>
      <c r="H21" s="639">
        <v>291189.59706285701</v>
      </c>
      <c r="I21" s="511">
        <f t="shared" si="0"/>
        <v>0</v>
      </c>
      <c r="J21" s="511"/>
      <c r="K21" s="518">
        <f t="shared" si="1"/>
        <v>291189.59706285701</v>
      </c>
      <c r="L21" s="519">
        <f t="shared" ref="L21" si="9">IF(K21&lt;&gt;0,+G21-K21,0)</f>
        <v>0</v>
      </c>
      <c r="M21" s="518">
        <f t="shared" si="3"/>
        <v>291189.59706285701</v>
      </c>
      <c r="N21" s="514">
        <f t="shared" si="4"/>
        <v>0</v>
      </c>
      <c r="O21" s="514">
        <f t="shared" si="5"/>
        <v>0</v>
      </c>
      <c r="P21" s="272"/>
    </row>
    <row r="22" spans="2:16">
      <c r="B22" s="195" t="str">
        <f t="shared" si="7"/>
        <v>IU</v>
      </c>
      <c r="C22" s="507">
        <f>IF(D11="","-",+C21+1)</f>
        <v>2022</v>
      </c>
      <c r="D22" s="631">
        <v>2180736.9477351918</v>
      </c>
      <c r="E22" s="630">
        <v>56790.857142857145</v>
      </c>
      <c r="F22" s="631">
        <v>2123946.0905923345</v>
      </c>
      <c r="G22" s="630">
        <v>298808.95544916228</v>
      </c>
      <c r="H22" s="639">
        <v>298808.95544916228</v>
      </c>
      <c r="I22" s="511">
        <f t="shared" si="0"/>
        <v>0</v>
      </c>
      <c r="J22" s="511"/>
      <c r="K22" s="518">
        <f t="shared" si="1"/>
        <v>298808.95544916228</v>
      </c>
      <c r="L22" s="519">
        <f t="shared" ref="L22" si="10">IF(K22&lt;&gt;0,+G22-K22,0)</f>
        <v>0</v>
      </c>
      <c r="M22" s="518">
        <f t="shared" si="3"/>
        <v>298808.95544916228</v>
      </c>
      <c r="N22" s="514">
        <f t="shared" si="4"/>
        <v>0</v>
      </c>
      <c r="O22" s="514">
        <f t="shared" si="5"/>
        <v>0</v>
      </c>
      <c r="P22" s="272"/>
    </row>
    <row r="23" spans="2:16">
      <c r="B23" s="195" t="str">
        <f t="shared" si="7"/>
        <v>IU</v>
      </c>
      <c r="C23" s="507">
        <f>IF(D11="","-",+C22+1)</f>
        <v>2023</v>
      </c>
      <c r="D23" s="631">
        <v>2123945.9905923349</v>
      </c>
      <c r="E23" s="630">
        <v>56790.854761904768</v>
      </c>
      <c r="F23" s="631">
        <v>2067155.1358304301</v>
      </c>
      <c r="G23" s="630">
        <v>321515.02646129701</v>
      </c>
      <c r="H23" s="639">
        <v>321515.02646129701</v>
      </c>
      <c r="I23" s="511">
        <f t="shared" si="0"/>
        <v>0</v>
      </c>
      <c r="J23" s="511"/>
      <c r="K23" s="518">
        <f t="shared" ref="K23" si="11">+G23</f>
        <v>321515.02646129701</v>
      </c>
      <c r="L23" s="519">
        <f t="shared" ref="L23" si="12">IF(K23&lt;&gt;0,+G23-K23,0)</f>
        <v>0</v>
      </c>
      <c r="M23" s="518">
        <f t="shared" ref="M23" si="13">+H23</f>
        <v>321515.02646129701</v>
      </c>
      <c r="N23" s="514">
        <f t="shared" ref="N23" si="14">IF(M23&lt;&gt;0,+H23-M23,0)</f>
        <v>0</v>
      </c>
      <c r="O23" s="514">
        <f t="shared" ref="O23" si="15">+N23-L23</f>
        <v>0</v>
      </c>
      <c r="P23" s="272"/>
    </row>
    <row r="24" spans="2:16">
      <c r="B24" s="195" t="str">
        <f t="shared" si="7"/>
        <v/>
      </c>
      <c r="C24" s="673">
        <f>IF(D11="","-",+C23+1)</f>
        <v>2024</v>
      </c>
      <c r="D24" s="523">
        <f>IF(F23+SUM(E$17:E23)=D$10,F23,D$10-SUM(E$17:E23))</f>
        <v>2067155.1358304301</v>
      </c>
      <c r="E24" s="522">
        <f>IF(+I14&lt;F23,I14,D24)</f>
        <v>54209.452272727278</v>
      </c>
      <c r="F24" s="523">
        <f t="shared" ref="F24:F72" si="16">+D24-E24</f>
        <v>2012945.6835577027</v>
      </c>
      <c r="G24" s="524">
        <f t="shared" ref="G24:G48" si="17">+I$12*((D24+F24)/2)+E24</f>
        <v>298050.82617309887</v>
      </c>
      <c r="H24" s="491">
        <f t="shared" ref="H24:H48" si="18">+I$13*((D24+F24)/2)+E24</f>
        <v>298050.82617309887</v>
      </c>
      <c r="I24" s="511">
        <f t="shared" si="0"/>
        <v>0</v>
      </c>
      <c r="J24" s="511"/>
      <c r="K24" s="525"/>
      <c r="L24" s="514">
        <f t="shared" si="2"/>
        <v>0</v>
      </c>
      <c r="M24" s="525"/>
      <c r="N24" s="514">
        <f t="shared" si="4"/>
        <v>0</v>
      </c>
      <c r="O24" s="514">
        <f t="shared" si="5"/>
        <v>0</v>
      </c>
      <c r="P24" s="272"/>
    </row>
    <row r="25" spans="2:16">
      <c r="B25" s="195" t="str">
        <f t="shared" si="7"/>
        <v/>
      </c>
      <c r="C25" s="507">
        <f>IF(D11="","-",+C24+1)</f>
        <v>2025</v>
      </c>
      <c r="D25" s="523">
        <f>IF(F24+SUM(E$17:E24)=D$10,F24,D$10-SUM(E$17:E24))</f>
        <v>2012945.6835577027</v>
      </c>
      <c r="E25" s="522">
        <f>IF(+I14&lt;F24,I14,D25)</f>
        <v>54209.452272727278</v>
      </c>
      <c r="F25" s="523">
        <f t="shared" si="16"/>
        <v>1958736.2312849753</v>
      </c>
      <c r="G25" s="524">
        <f t="shared" si="17"/>
        <v>291571.32583440345</v>
      </c>
      <c r="H25" s="491">
        <f t="shared" si="18"/>
        <v>291571.32583440345</v>
      </c>
      <c r="I25" s="511">
        <f t="shared" si="0"/>
        <v>0</v>
      </c>
      <c r="J25" s="511"/>
      <c r="K25" s="525"/>
      <c r="L25" s="514">
        <f t="shared" si="2"/>
        <v>0</v>
      </c>
      <c r="M25" s="525"/>
      <c r="N25" s="514">
        <f t="shared" si="4"/>
        <v>0</v>
      </c>
      <c r="O25" s="514">
        <f t="shared" si="5"/>
        <v>0</v>
      </c>
      <c r="P25" s="272"/>
    </row>
    <row r="26" spans="2:16">
      <c r="B26" s="195" t="str">
        <f t="shared" si="7"/>
        <v/>
      </c>
      <c r="C26" s="507">
        <f>IF(D11="","-",+C25+1)</f>
        <v>2026</v>
      </c>
      <c r="D26" s="523">
        <f>IF(F25+SUM(E$17:E25)=D$10,F25,D$10-SUM(E$17:E25))</f>
        <v>1958736.2312849753</v>
      </c>
      <c r="E26" s="522">
        <f>IF(+I14&lt;F25,I14,D26)</f>
        <v>54209.452272727278</v>
      </c>
      <c r="F26" s="523">
        <f t="shared" si="16"/>
        <v>1904526.7790122479</v>
      </c>
      <c r="G26" s="524">
        <f t="shared" si="17"/>
        <v>285091.82549570804</v>
      </c>
      <c r="H26" s="491">
        <f t="shared" si="18"/>
        <v>285091.82549570804</v>
      </c>
      <c r="I26" s="511">
        <f t="shared" si="0"/>
        <v>0</v>
      </c>
      <c r="J26" s="511"/>
      <c r="K26" s="525"/>
      <c r="L26" s="514">
        <f t="shared" si="2"/>
        <v>0</v>
      </c>
      <c r="M26" s="525"/>
      <c r="N26" s="514">
        <f t="shared" si="4"/>
        <v>0</v>
      </c>
      <c r="O26" s="514">
        <f t="shared" si="5"/>
        <v>0</v>
      </c>
      <c r="P26" s="272"/>
    </row>
    <row r="27" spans="2:16">
      <c r="B27" s="195" t="str">
        <f t="shared" si="7"/>
        <v/>
      </c>
      <c r="C27" s="507">
        <f>IF(D11="","-",+C26+1)</f>
        <v>2027</v>
      </c>
      <c r="D27" s="523">
        <f>IF(F26+SUM(E$17:E26)=D$10,F26,D$10-SUM(E$17:E26))</f>
        <v>1904526.7790122479</v>
      </c>
      <c r="E27" s="522">
        <f>IF(+I14&lt;F26,I14,D27)</f>
        <v>54209.452272727278</v>
      </c>
      <c r="F27" s="523">
        <f t="shared" si="16"/>
        <v>1850317.3267395205</v>
      </c>
      <c r="G27" s="524">
        <f t="shared" si="17"/>
        <v>278612.32515701262</v>
      </c>
      <c r="H27" s="491">
        <f t="shared" si="18"/>
        <v>278612.32515701262</v>
      </c>
      <c r="I27" s="511">
        <f t="shared" si="0"/>
        <v>0</v>
      </c>
      <c r="J27" s="511"/>
      <c r="K27" s="525"/>
      <c r="L27" s="514">
        <f t="shared" si="2"/>
        <v>0</v>
      </c>
      <c r="M27" s="525"/>
      <c r="N27" s="514">
        <f t="shared" si="4"/>
        <v>0</v>
      </c>
      <c r="O27" s="514">
        <f t="shared" si="5"/>
        <v>0</v>
      </c>
      <c r="P27" s="272"/>
    </row>
    <row r="28" spans="2:16">
      <c r="B28" s="195" t="str">
        <f t="shared" si="7"/>
        <v/>
      </c>
      <c r="C28" s="507">
        <f>IF(D11="","-",+C27+1)</f>
        <v>2028</v>
      </c>
      <c r="D28" s="523">
        <f>IF(F27+SUM(E$17:E27)=D$10,F27,D$10-SUM(E$17:E27))</f>
        <v>1850317.3267395205</v>
      </c>
      <c r="E28" s="522">
        <f>IF(+I14&lt;F27,I14,D28)</f>
        <v>54209.452272727278</v>
      </c>
      <c r="F28" s="523">
        <f t="shared" si="16"/>
        <v>1796107.8744667931</v>
      </c>
      <c r="G28" s="524">
        <f t="shared" si="17"/>
        <v>272132.82481831714</v>
      </c>
      <c r="H28" s="491">
        <f t="shared" si="18"/>
        <v>272132.82481831714</v>
      </c>
      <c r="I28" s="511">
        <f t="shared" si="0"/>
        <v>0</v>
      </c>
      <c r="J28" s="511"/>
      <c r="K28" s="525"/>
      <c r="L28" s="514">
        <f t="shared" si="2"/>
        <v>0</v>
      </c>
      <c r="M28" s="525"/>
      <c r="N28" s="514">
        <f t="shared" si="4"/>
        <v>0</v>
      </c>
      <c r="O28" s="514">
        <f t="shared" si="5"/>
        <v>0</v>
      </c>
      <c r="P28" s="272"/>
    </row>
    <row r="29" spans="2:16">
      <c r="B29" s="195" t="str">
        <f t="shared" si="7"/>
        <v/>
      </c>
      <c r="C29" s="507">
        <f>IF(D11="","-",+C28+1)</f>
        <v>2029</v>
      </c>
      <c r="D29" s="523">
        <f>IF(F28+SUM(E$17:E28)=D$10,F28,D$10-SUM(E$17:E28))</f>
        <v>1796107.8744667931</v>
      </c>
      <c r="E29" s="522">
        <f>IF(+I14&lt;F28,I14,D29)</f>
        <v>54209.452272727278</v>
      </c>
      <c r="F29" s="523">
        <f t="shared" si="16"/>
        <v>1741898.4221940658</v>
      </c>
      <c r="G29" s="524">
        <f t="shared" si="17"/>
        <v>265653.32447962172</v>
      </c>
      <c r="H29" s="491">
        <f t="shared" si="18"/>
        <v>265653.32447962172</v>
      </c>
      <c r="I29" s="511">
        <f t="shared" si="0"/>
        <v>0</v>
      </c>
      <c r="J29" s="511"/>
      <c r="K29" s="525"/>
      <c r="L29" s="514">
        <f t="shared" si="2"/>
        <v>0</v>
      </c>
      <c r="M29" s="525"/>
      <c r="N29" s="514">
        <f t="shared" si="4"/>
        <v>0</v>
      </c>
      <c r="O29" s="514">
        <f t="shared" si="5"/>
        <v>0</v>
      </c>
      <c r="P29" s="272"/>
    </row>
    <row r="30" spans="2:16">
      <c r="B30" s="195" t="str">
        <f t="shared" si="7"/>
        <v/>
      </c>
      <c r="C30" s="507">
        <f>IF(D11="","-",+C29+1)</f>
        <v>2030</v>
      </c>
      <c r="D30" s="523">
        <f>IF(F29+SUM(E$17:E29)=D$10,F29,D$10-SUM(E$17:E29))</f>
        <v>1741898.4221940658</v>
      </c>
      <c r="E30" s="522">
        <f>IF(+I14&lt;F29,I14,D30)</f>
        <v>54209.452272727278</v>
      </c>
      <c r="F30" s="523">
        <f t="shared" si="16"/>
        <v>1687688.9699213384</v>
      </c>
      <c r="G30" s="524">
        <f t="shared" si="17"/>
        <v>259173.82414092624</v>
      </c>
      <c r="H30" s="491">
        <f t="shared" si="18"/>
        <v>259173.82414092624</v>
      </c>
      <c r="I30" s="511">
        <f t="shared" si="0"/>
        <v>0</v>
      </c>
      <c r="J30" s="511"/>
      <c r="K30" s="525"/>
      <c r="L30" s="514">
        <f t="shared" si="2"/>
        <v>0</v>
      </c>
      <c r="M30" s="525"/>
      <c r="N30" s="514">
        <f t="shared" si="4"/>
        <v>0</v>
      </c>
      <c r="O30" s="514">
        <f t="shared" si="5"/>
        <v>0</v>
      </c>
      <c r="P30" s="272"/>
    </row>
    <row r="31" spans="2:16">
      <c r="B31" s="195" t="str">
        <f t="shared" si="7"/>
        <v/>
      </c>
      <c r="C31" s="507">
        <f>IF(D11="","-",+C30+1)</f>
        <v>2031</v>
      </c>
      <c r="D31" s="523">
        <f>IF(F30+SUM(E$17:E30)=D$10,F30,D$10-SUM(E$17:E30))</f>
        <v>1687688.9699213384</v>
      </c>
      <c r="E31" s="522">
        <f>IF(+I14&lt;F30,I14,D31)</f>
        <v>54209.452272727278</v>
      </c>
      <c r="F31" s="523">
        <f t="shared" si="16"/>
        <v>1633479.517648611</v>
      </c>
      <c r="G31" s="524">
        <f t="shared" si="17"/>
        <v>252694.32380223085</v>
      </c>
      <c r="H31" s="491">
        <f t="shared" si="18"/>
        <v>252694.32380223085</v>
      </c>
      <c r="I31" s="511">
        <f t="shared" si="0"/>
        <v>0</v>
      </c>
      <c r="J31" s="511"/>
      <c r="K31" s="525"/>
      <c r="L31" s="514">
        <f t="shared" si="2"/>
        <v>0</v>
      </c>
      <c r="M31" s="525"/>
      <c r="N31" s="514">
        <f t="shared" si="4"/>
        <v>0</v>
      </c>
      <c r="O31" s="514">
        <f t="shared" si="5"/>
        <v>0</v>
      </c>
      <c r="P31" s="272"/>
    </row>
    <row r="32" spans="2:16">
      <c r="B32" s="195" t="str">
        <f t="shared" si="7"/>
        <v/>
      </c>
      <c r="C32" s="507">
        <f>IF(D11="","-",+C31+1)</f>
        <v>2032</v>
      </c>
      <c r="D32" s="523">
        <f>IF(F31+SUM(E$17:E31)=D$10,F31,D$10-SUM(E$17:E31))</f>
        <v>1633479.517648611</v>
      </c>
      <c r="E32" s="522">
        <f>IF(+I14&lt;F31,I14,D32)</f>
        <v>54209.452272727278</v>
      </c>
      <c r="F32" s="523">
        <f t="shared" si="16"/>
        <v>1579270.0653758836</v>
      </c>
      <c r="G32" s="524">
        <f t="shared" si="17"/>
        <v>246214.82346353537</v>
      </c>
      <c r="H32" s="491">
        <f t="shared" si="18"/>
        <v>246214.82346353537</v>
      </c>
      <c r="I32" s="511">
        <f t="shared" si="0"/>
        <v>0</v>
      </c>
      <c r="J32" s="511"/>
      <c r="K32" s="525"/>
      <c r="L32" s="514">
        <f t="shared" si="2"/>
        <v>0</v>
      </c>
      <c r="M32" s="525"/>
      <c r="N32" s="514">
        <f t="shared" si="4"/>
        <v>0</v>
      </c>
      <c r="O32" s="514">
        <f t="shared" si="5"/>
        <v>0</v>
      </c>
      <c r="P32" s="272"/>
    </row>
    <row r="33" spans="2:16">
      <c r="B33" s="195" t="str">
        <f t="shared" si="7"/>
        <v/>
      </c>
      <c r="C33" s="507">
        <f>IF(D11="","-",+C32+1)</f>
        <v>2033</v>
      </c>
      <c r="D33" s="523">
        <f>IF(F32+SUM(E$17:E32)=D$10,F32,D$10-SUM(E$17:E32))</f>
        <v>1579270.0653758836</v>
      </c>
      <c r="E33" s="522">
        <f>IF(+I14&lt;F32,I14,D33)</f>
        <v>54209.452272727278</v>
      </c>
      <c r="F33" s="523">
        <f t="shared" si="16"/>
        <v>1525060.6131031562</v>
      </c>
      <c r="G33" s="524">
        <f t="shared" si="17"/>
        <v>239735.32312483998</v>
      </c>
      <c r="H33" s="491">
        <f t="shared" si="18"/>
        <v>239735.32312483998</v>
      </c>
      <c r="I33" s="511">
        <f t="shared" si="0"/>
        <v>0</v>
      </c>
      <c r="J33" s="511"/>
      <c r="K33" s="525"/>
      <c r="L33" s="514">
        <f t="shared" si="2"/>
        <v>0</v>
      </c>
      <c r="M33" s="525"/>
      <c r="N33" s="514">
        <f t="shared" si="4"/>
        <v>0</v>
      </c>
      <c r="O33" s="514">
        <f t="shared" si="5"/>
        <v>0</v>
      </c>
      <c r="P33" s="272"/>
    </row>
    <row r="34" spans="2:16">
      <c r="B34" s="195" t="str">
        <f t="shared" si="7"/>
        <v/>
      </c>
      <c r="C34" s="507">
        <f>IF(D11="","-",+C33+1)</f>
        <v>2034</v>
      </c>
      <c r="D34" s="523">
        <f>IF(F33+SUM(E$17:E33)=D$10,F33,D$10-SUM(E$17:E33))</f>
        <v>1525060.6131031562</v>
      </c>
      <c r="E34" s="522">
        <f>IF(+I14&lt;F33,I14,D34)</f>
        <v>54209.452272727278</v>
      </c>
      <c r="F34" s="523">
        <f t="shared" si="16"/>
        <v>1470851.1608304288</v>
      </c>
      <c r="G34" s="524">
        <f t="shared" si="17"/>
        <v>233255.8227861445</v>
      </c>
      <c r="H34" s="491">
        <f t="shared" si="18"/>
        <v>233255.8227861445</v>
      </c>
      <c r="I34" s="511">
        <f t="shared" si="0"/>
        <v>0</v>
      </c>
      <c r="J34" s="511"/>
      <c r="K34" s="525"/>
      <c r="L34" s="514">
        <f t="shared" si="2"/>
        <v>0</v>
      </c>
      <c r="M34" s="525"/>
      <c r="N34" s="514">
        <f t="shared" si="4"/>
        <v>0</v>
      </c>
      <c r="O34" s="514">
        <f t="shared" si="5"/>
        <v>0</v>
      </c>
      <c r="P34" s="272"/>
    </row>
    <row r="35" spans="2:16">
      <c r="B35" s="195" t="str">
        <f t="shared" si="7"/>
        <v/>
      </c>
      <c r="C35" s="507">
        <f>IF(D11="","-",+C34+1)</f>
        <v>2035</v>
      </c>
      <c r="D35" s="523">
        <f>IF(F34+SUM(E$17:E34)=D$10,F34,D$10-SUM(E$17:E34))</f>
        <v>1470851.1608304288</v>
      </c>
      <c r="E35" s="522">
        <f>IF(+I14&lt;F34,I14,D35)</f>
        <v>54209.452272727278</v>
      </c>
      <c r="F35" s="523">
        <f t="shared" si="16"/>
        <v>1416641.7085577014</v>
      </c>
      <c r="G35" s="524">
        <f t="shared" si="17"/>
        <v>226776.32244744909</v>
      </c>
      <c r="H35" s="491">
        <f t="shared" si="18"/>
        <v>226776.32244744909</v>
      </c>
      <c r="I35" s="511">
        <f t="shared" si="0"/>
        <v>0</v>
      </c>
      <c r="J35" s="511"/>
      <c r="K35" s="525"/>
      <c r="L35" s="514">
        <f t="shared" si="2"/>
        <v>0</v>
      </c>
      <c r="M35" s="525"/>
      <c r="N35" s="514">
        <f t="shared" si="4"/>
        <v>0</v>
      </c>
      <c r="O35" s="514">
        <f t="shared" si="5"/>
        <v>0</v>
      </c>
      <c r="P35" s="272"/>
    </row>
    <row r="36" spans="2:16">
      <c r="B36" s="195" t="str">
        <f t="shared" si="7"/>
        <v/>
      </c>
      <c r="C36" s="507">
        <f>IF(D11="","-",+C35+1)</f>
        <v>2036</v>
      </c>
      <c r="D36" s="523">
        <f>IF(F35+SUM(E$17:E35)=D$10,F35,D$10-SUM(E$17:E35))</f>
        <v>1416641.7085577014</v>
      </c>
      <c r="E36" s="522">
        <f>IF(+I14&lt;F35,I14,D36)</f>
        <v>54209.452272727278</v>
      </c>
      <c r="F36" s="523">
        <f t="shared" si="16"/>
        <v>1362432.256284974</v>
      </c>
      <c r="G36" s="524">
        <f t="shared" si="17"/>
        <v>220296.82210875364</v>
      </c>
      <c r="H36" s="491">
        <f t="shared" si="18"/>
        <v>220296.82210875364</v>
      </c>
      <c r="I36" s="511">
        <f t="shared" si="0"/>
        <v>0</v>
      </c>
      <c r="J36" s="511"/>
      <c r="K36" s="525"/>
      <c r="L36" s="514">
        <f t="shared" si="2"/>
        <v>0</v>
      </c>
      <c r="M36" s="525"/>
      <c r="N36" s="514">
        <f t="shared" si="4"/>
        <v>0</v>
      </c>
      <c r="O36" s="514">
        <f t="shared" si="5"/>
        <v>0</v>
      </c>
      <c r="P36" s="272"/>
    </row>
    <row r="37" spans="2:16">
      <c r="B37" s="195" t="str">
        <f t="shared" si="7"/>
        <v/>
      </c>
      <c r="C37" s="507">
        <f>IF(D11="","-",+C36+1)</f>
        <v>2037</v>
      </c>
      <c r="D37" s="523">
        <f>IF(F36+SUM(E$17:E36)=D$10,F36,D$10-SUM(E$17:E36))</f>
        <v>1362432.256284974</v>
      </c>
      <c r="E37" s="522">
        <f>IF(+I14&lt;F36,I14,D37)</f>
        <v>54209.452272727278</v>
      </c>
      <c r="F37" s="523">
        <f t="shared" si="16"/>
        <v>1308222.8040122467</v>
      </c>
      <c r="G37" s="524">
        <f t="shared" si="17"/>
        <v>213817.32177005822</v>
      </c>
      <c r="H37" s="491">
        <f t="shared" si="18"/>
        <v>213817.32177005822</v>
      </c>
      <c r="I37" s="511">
        <f t="shared" si="0"/>
        <v>0</v>
      </c>
      <c r="J37" s="511"/>
      <c r="K37" s="525"/>
      <c r="L37" s="514">
        <f t="shared" si="2"/>
        <v>0</v>
      </c>
      <c r="M37" s="525"/>
      <c r="N37" s="514">
        <f t="shared" si="4"/>
        <v>0</v>
      </c>
      <c r="O37" s="514">
        <f t="shared" si="5"/>
        <v>0</v>
      </c>
      <c r="P37" s="272"/>
    </row>
    <row r="38" spans="2:16">
      <c r="B38" s="195" t="str">
        <f t="shared" si="7"/>
        <v/>
      </c>
      <c r="C38" s="507">
        <f>IF(D11="","-",+C37+1)</f>
        <v>2038</v>
      </c>
      <c r="D38" s="523">
        <f>IF(F37+SUM(E$17:E37)=D$10,F37,D$10-SUM(E$17:E37))</f>
        <v>1308222.8040122467</v>
      </c>
      <c r="E38" s="522">
        <f>IF(+I14&lt;F37,I14,D38)</f>
        <v>54209.452272727278</v>
      </c>
      <c r="F38" s="523">
        <f t="shared" si="16"/>
        <v>1254013.3517395193</v>
      </c>
      <c r="G38" s="524">
        <f t="shared" si="17"/>
        <v>207337.82143136277</v>
      </c>
      <c r="H38" s="491">
        <f t="shared" si="18"/>
        <v>207337.82143136277</v>
      </c>
      <c r="I38" s="511">
        <f t="shared" si="0"/>
        <v>0</v>
      </c>
      <c r="J38" s="511"/>
      <c r="K38" s="525"/>
      <c r="L38" s="514">
        <f t="shared" si="2"/>
        <v>0</v>
      </c>
      <c r="M38" s="525"/>
      <c r="N38" s="514">
        <f t="shared" si="4"/>
        <v>0</v>
      </c>
      <c r="O38" s="514">
        <f t="shared" si="5"/>
        <v>0</v>
      </c>
      <c r="P38" s="272"/>
    </row>
    <row r="39" spans="2:16">
      <c r="B39" s="195" t="str">
        <f t="shared" si="7"/>
        <v/>
      </c>
      <c r="C39" s="507">
        <f>IF(D11="","-",+C38+1)</f>
        <v>2039</v>
      </c>
      <c r="D39" s="523">
        <f>IF(F38+SUM(E$17:E38)=D$10,F38,D$10-SUM(E$17:E38))</f>
        <v>1254013.3517395193</v>
      </c>
      <c r="E39" s="522">
        <f>IF(+I14&lt;F38,I14,D39)</f>
        <v>54209.452272727278</v>
      </c>
      <c r="F39" s="523">
        <f t="shared" si="16"/>
        <v>1199803.8994667919</v>
      </c>
      <c r="G39" s="524">
        <f t="shared" si="17"/>
        <v>200858.32109266735</v>
      </c>
      <c r="H39" s="491">
        <f t="shared" si="18"/>
        <v>200858.32109266735</v>
      </c>
      <c r="I39" s="511">
        <f t="shared" si="0"/>
        <v>0</v>
      </c>
      <c r="J39" s="511"/>
      <c r="K39" s="525"/>
      <c r="L39" s="514">
        <f t="shared" si="2"/>
        <v>0</v>
      </c>
      <c r="M39" s="525"/>
      <c r="N39" s="514">
        <f t="shared" si="4"/>
        <v>0</v>
      </c>
      <c r="O39" s="514">
        <f t="shared" si="5"/>
        <v>0</v>
      </c>
      <c r="P39" s="272"/>
    </row>
    <row r="40" spans="2:16">
      <c r="B40" s="195" t="str">
        <f t="shared" si="7"/>
        <v/>
      </c>
      <c r="C40" s="507">
        <f>IF(D11="","-",+C39+1)</f>
        <v>2040</v>
      </c>
      <c r="D40" s="523">
        <f>IF(F39+SUM(E$17:E39)=D$10,F39,D$10-SUM(E$17:E39))</f>
        <v>1199803.8994667919</v>
      </c>
      <c r="E40" s="522">
        <f>IF(+I14&lt;F39,I14,D40)</f>
        <v>54209.452272727278</v>
      </c>
      <c r="F40" s="523">
        <f t="shared" si="16"/>
        <v>1145594.4471940645</v>
      </c>
      <c r="G40" s="524">
        <f t="shared" si="17"/>
        <v>194378.82075397187</v>
      </c>
      <c r="H40" s="491">
        <f t="shared" si="18"/>
        <v>194378.82075397187</v>
      </c>
      <c r="I40" s="511">
        <f t="shared" si="0"/>
        <v>0</v>
      </c>
      <c r="J40" s="511"/>
      <c r="K40" s="525"/>
      <c r="L40" s="514">
        <f t="shared" si="2"/>
        <v>0</v>
      </c>
      <c r="M40" s="525"/>
      <c r="N40" s="514">
        <f t="shared" si="4"/>
        <v>0</v>
      </c>
      <c r="O40" s="514">
        <f t="shared" si="5"/>
        <v>0</v>
      </c>
      <c r="P40" s="272"/>
    </row>
    <row r="41" spans="2:16">
      <c r="B41" s="195" t="str">
        <f t="shared" si="7"/>
        <v/>
      </c>
      <c r="C41" s="507">
        <f>IF(D11="","-",+C40+1)</f>
        <v>2041</v>
      </c>
      <c r="D41" s="523">
        <f>IF(F40+SUM(E$17:E40)=D$10,F40,D$10-SUM(E$17:E40))</f>
        <v>1145594.4471940645</v>
      </c>
      <c r="E41" s="522">
        <f>IF(+I14&lt;F40,I14,D41)</f>
        <v>54209.452272727278</v>
      </c>
      <c r="F41" s="523">
        <f t="shared" si="16"/>
        <v>1091384.9949213371</v>
      </c>
      <c r="G41" s="524">
        <f t="shared" si="17"/>
        <v>187899.32041527648</v>
      </c>
      <c r="H41" s="491">
        <f t="shared" si="18"/>
        <v>187899.32041527648</v>
      </c>
      <c r="I41" s="511">
        <f t="shared" si="0"/>
        <v>0</v>
      </c>
      <c r="J41" s="511"/>
      <c r="K41" s="525"/>
      <c r="L41" s="514">
        <f t="shared" si="2"/>
        <v>0</v>
      </c>
      <c r="M41" s="525"/>
      <c r="N41" s="514">
        <f t="shared" si="4"/>
        <v>0</v>
      </c>
      <c r="O41" s="514">
        <f t="shared" si="5"/>
        <v>0</v>
      </c>
      <c r="P41" s="272"/>
    </row>
    <row r="42" spans="2:16">
      <c r="B42" s="195" t="str">
        <f t="shared" si="7"/>
        <v/>
      </c>
      <c r="C42" s="507">
        <f>IF(D11="","-",+C41+1)</f>
        <v>2042</v>
      </c>
      <c r="D42" s="523">
        <f>IF(F41+SUM(E$17:E41)=D$10,F41,D$10-SUM(E$17:E41))</f>
        <v>1091384.9949213371</v>
      </c>
      <c r="E42" s="522">
        <f>IF(+I14&lt;F41,I14,D42)</f>
        <v>54209.452272727278</v>
      </c>
      <c r="F42" s="523">
        <f t="shared" si="16"/>
        <v>1037175.5426486098</v>
      </c>
      <c r="G42" s="524">
        <f t="shared" si="17"/>
        <v>181419.82007658103</v>
      </c>
      <c r="H42" s="491">
        <f t="shared" si="18"/>
        <v>181419.82007658103</v>
      </c>
      <c r="I42" s="511">
        <f t="shared" si="0"/>
        <v>0</v>
      </c>
      <c r="J42" s="511"/>
      <c r="K42" s="525"/>
      <c r="L42" s="514">
        <f t="shared" si="2"/>
        <v>0</v>
      </c>
      <c r="M42" s="525"/>
      <c r="N42" s="514">
        <f t="shared" si="4"/>
        <v>0</v>
      </c>
      <c r="O42" s="514">
        <f t="shared" si="5"/>
        <v>0</v>
      </c>
      <c r="P42" s="272"/>
    </row>
    <row r="43" spans="2:16">
      <c r="B43" s="195" t="str">
        <f t="shared" si="7"/>
        <v/>
      </c>
      <c r="C43" s="507">
        <f>IF(D11="","-",+C42+1)</f>
        <v>2043</v>
      </c>
      <c r="D43" s="523">
        <f>IF(F42+SUM(E$17:E42)=D$10,F42,D$10-SUM(E$17:E42))</f>
        <v>1037175.5426486098</v>
      </c>
      <c r="E43" s="522">
        <f>IF(+I14&lt;F42,I14,D43)</f>
        <v>54209.452272727278</v>
      </c>
      <c r="F43" s="523">
        <f t="shared" si="16"/>
        <v>982966.09037588257</v>
      </c>
      <c r="G43" s="524">
        <f t="shared" si="17"/>
        <v>174940.31973788561</v>
      </c>
      <c r="H43" s="491">
        <f t="shared" si="18"/>
        <v>174940.31973788561</v>
      </c>
      <c r="I43" s="511">
        <f t="shared" si="0"/>
        <v>0</v>
      </c>
      <c r="J43" s="511"/>
      <c r="K43" s="525"/>
      <c r="L43" s="514">
        <f t="shared" si="2"/>
        <v>0</v>
      </c>
      <c r="M43" s="525"/>
      <c r="N43" s="514">
        <f t="shared" si="4"/>
        <v>0</v>
      </c>
      <c r="O43" s="514">
        <f t="shared" si="5"/>
        <v>0</v>
      </c>
      <c r="P43" s="272"/>
    </row>
    <row r="44" spans="2:16">
      <c r="B44" s="195" t="str">
        <f t="shared" si="7"/>
        <v/>
      </c>
      <c r="C44" s="507">
        <f>IF(D11="","-",+C43+1)</f>
        <v>2044</v>
      </c>
      <c r="D44" s="523">
        <f>IF(F43+SUM(E$17:E43)=D$10,F43,D$10-SUM(E$17:E43))</f>
        <v>982966.09037588257</v>
      </c>
      <c r="E44" s="522">
        <f>IF(+I14&lt;F43,I14,D44)</f>
        <v>54209.452272727278</v>
      </c>
      <c r="F44" s="523">
        <f t="shared" si="16"/>
        <v>928756.6381031553</v>
      </c>
      <c r="G44" s="524">
        <f t="shared" si="17"/>
        <v>168460.81939919019</v>
      </c>
      <c r="H44" s="491">
        <f t="shared" si="18"/>
        <v>168460.81939919019</v>
      </c>
      <c r="I44" s="511">
        <f t="shared" si="0"/>
        <v>0</v>
      </c>
      <c r="J44" s="511"/>
      <c r="K44" s="525"/>
      <c r="L44" s="514">
        <f t="shared" si="2"/>
        <v>0</v>
      </c>
      <c r="M44" s="525"/>
      <c r="N44" s="514">
        <f t="shared" si="4"/>
        <v>0</v>
      </c>
      <c r="O44" s="514">
        <f t="shared" si="5"/>
        <v>0</v>
      </c>
      <c r="P44" s="272"/>
    </row>
    <row r="45" spans="2:16">
      <c r="B45" s="195" t="str">
        <f t="shared" si="7"/>
        <v/>
      </c>
      <c r="C45" s="507">
        <f>IF(D11="","-",+C44+1)</f>
        <v>2045</v>
      </c>
      <c r="D45" s="523">
        <f>IF(F44+SUM(E$17:E44)=D$10,F44,D$10-SUM(E$17:E44))</f>
        <v>928756.6381031553</v>
      </c>
      <c r="E45" s="522">
        <f>IF(+I14&lt;F44,I14,D45)</f>
        <v>54209.452272727278</v>
      </c>
      <c r="F45" s="523">
        <f t="shared" si="16"/>
        <v>874547.18583042803</v>
      </c>
      <c r="G45" s="524">
        <f t="shared" si="17"/>
        <v>161981.31906049474</v>
      </c>
      <c r="H45" s="491">
        <f t="shared" si="18"/>
        <v>161981.31906049474</v>
      </c>
      <c r="I45" s="511">
        <f t="shared" si="0"/>
        <v>0</v>
      </c>
      <c r="J45" s="511"/>
      <c r="K45" s="525"/>
      <c r="L45" s="514">
        <f t="shared" si="2"/>
        <v>0</v>
      </c>
      <c r="M45" s="525"/>
      <c r="N45" s="514">
        <f t="shared" si="4"/>
        <v>0</v>
      </c>
      <c r="O45" s="514">
        <f t="shared" si="5"/>
        <v>0</v>
      </c>
      <c r="P45" s="272"/>
    </row>
    <row r="46" spans="2:16">
      <c r="B46" s="195" t="str">
        <f t="shared" si="7"/>
        <v/>
      </c>
      <c r="C46" s="507">
        <f>IF(D11="","-",+C45+1)</f>
        <v>2046</v>
      </c>
      <c r="D46" s="523">
        <f>IF(F45+SUM(E$17:E45)=D$10,F45,D$10-SUM(E$17:E45))</f>
        <v>874547.18583042803</v>
      </c>
      <c r="E46" s="522">
        <f>IF(+I14&lt;F45,I14,D46)</f>
        <v>54209.452272727278</v>
      </c>
      <c r="F46" s="523">
        <f t="shared" si="16"/>
        <v>820337.73355770076</v>
      </c>
      <c r="G46" s="524">
        <f t="shared" si="17"/>
        <v>155501.81872179935</v>
      </c>
      <c r="H46" s="491">
        <f t="shared" si="18"/>
        <v>155501.81872179935</v>
      </c>
      <c r="I46" s="511">
        <f t="shared" si="0"/>
        <v>0</v>
      </c>
      <c r="J46" s="511"/>
      <c r="K46" s="525"/>
      <c r="L46" s="514">
        <f t="shared" si="2"/>
        <v>0</v>
      </c>
      <c r="M46" s="525"/>
      <c r="N46" s="514">
        <f t="shared" si="4"/>
        <v>0</v>
      </c>
      <c r="O46" s="514">
        <f t="shared" si="5"/>
        <v>0</v>
      </c>
      <c r="P46" s="272"/>
    </row>
    <row r="47" spans="2:16">
      <c r="B47" s="195" t="str">
        <f t="shared" si="7"/>
        <v/>
      </c>
      <c r="C47" s="507">
        <f>IF(D11="","-",+C46+1)</f>
        <v>2047</v>
      </c>
      <c r="D47" s="523">
        <f>IF(F46+SUM(E$17:E46)=D$10,F46,D$10-SUM(E$17:E46))</f>
        <v>820337.73355770076</v>
      </c>
      <c r="E47" s="522">
        <f>IF(+I14&lt;F46,I14,D47)</f>
        <v>54209.452272727278</v>
      </c>
      <c r="F47" s="523">
        <f t="shared" si="16"/>
        <v>766128.28128497349</v>
      </c>
      <c r="G47" s="524">
        <f t="shared" si="17"/>
        <v>149022.31838310391</v>
      </c>
      <c r="H47" s="491">
        <f t="shared" si="18"/>
        <v>149022.31838310391</v>
      </c>
      <c r="I47" s="511">
        <f t="shared" si="0"/>
        <v>0</v>
      </c>
      <c r="J47" s="511"/>
      <c r="K47" s="525"/>
      <c r="L47" s="514">
        <f t="shared" si="2"/>
        <v>0</v>
      </c>
      <c r="M47" s="525"/>
      <c r="N47" s="514">
        <f t="shared" si="4"/>
        <v>0</v>
      </c>
      <c r="O47" s="514">
        <f t="shared" si="5"/>
        <v>0</v>
      </c>
      <c r="P47" s="272"/>
    </row>
    <row r="48" spans="2:16">
      <c r="B48" s="195" t="str">
        <f t="shared" si="7"/>
        <v/>
      </c>
      <c r="C48" s="507">
        <f>IF(D11="","-",+C47+1)</f>
        <v>2048</v>
      </c>
      <c r="D48" s="523">
        <f>IF(F47+SUM(E$17:E47)=D$10,F47,D$10-SUM(E$17:E47))</f>
        <v>766128.28128497349</v>
      </c>
      <c r="E48" s="522">
        <f>IF(+I14&lt;F47,I14,D48)</f>
        <v>54209.452272727278</v>
      </c>
      <c r="F48" s="523">
        <f t="shared" si="16"/>
        <v>711918.82901224622</v>
      </c>
      <c r="G48" s="524">
        <f t="shared" si="17"/>
        <v>142542.81804440849</v>
      </c>
      <c r="H48" s="491">
        <f t="shared" si="18"/>
        <v>142542.81804440849</v>
      </c>
      <c r="I48" s="511">
        <f t="shared" si="0"/>
        <v>0</v>
      </c>
      <c r="J48" s="511"/>
      <c r="K48" s="525"/>
      <c r="L48" s="514">
        <f t="shared" si="2"/>
        <v>0</v>
      </c>
      <c r="M48" s="525"/>
      <c r="N48" s="514">
        <f t="shared" si="4"/>
        <v>0</v>
      </c>
      <c r="O48" s="514">
        <f t="shared" si="5"/>
        <v>0</v>
      </c>
      <c r="P48" s="272"/>
    </row>
    <row r="49" spans="2:16">
      <c r="B49" s="195" t="str">
        <f t="shared" si="7"/>
        <v/>
      </c>
      <c r="C49" s="507">
        <f>IF(D11="","-",+C48+1)</f>
        <v>2049</v>
      </c>
      <c r="D49" s="523">
        <f>IF(F48+SUM(E$17:E48)=D$10,F48,D$10-SUM(E$17:E48))</f>
        <v>711918.82901224622</v>
      </c>
      <c r="E49" s="522">
        <f>IF(+I14&lt;F48,I14,D49)</f>
        <v>54209.452272727278</v>
      </c>
      <c r="F49" s="523">
        <f t="shared" si="16"/>
        <v>657709.37673951895</v>
      </c>
      <c r="G49" s="524">
        <f t="shared" ref="G49:G72" si="19">+I$12*((D49+F49)/2)+E49</f>
        <v>136063.31770571307</v>
      </c>
      <c r="H49" s="491">
        <f t="shared" ref="H49:H72" si="20">+I$13*((D49+F49)/2)+E49</f>
        <v>136063.31770571307</v>
      </c>
      <c r="I49" s="511">
        <f t="shared" si="0"/>
        <v>0</v>
      </c>
      <c r="J49" s="511"/>
      <c r="K49" s="525"/>
      <c r="L49" s="514">
        <f t="shared" si="2"/>
        <v>0</v>
      </c>
      <c r="M49" s="525"/>
      <c r="N49" s="514">
        <f t="shared" si="4"/>
        <v>0</v>
      </c>
      <c r="O49" s="514">
        <f t="shared" si="5"/>
        <v>0</v>
      </c>
      <c r="P49" s="272"/>
    </row>
    <row r="50" spans="2:16">
      <c r="B50" s="195" t="str">
        <f t="shared" si="7"/>
        <v/>
      </c>
      <c r="C50" s="507">
        <f>IF(D11="","-",+C49+1)</f>
        <v>2050</v>
      </c>
      <c r="D50" s="523">
        <f>IF(F49+SUM(E$17:E49)=D$10,F49,D$10-SUM(E$17:E49))</f>
        <v>657709.37673951895</v>
      </c>
      <c r="E50" s="522">
        <f>IF(+I14&lt;F49,I14,D50)</f>
        <v>54209.452272727278</v>
      </c>
      <c r="F50" s="523">
        <f t="shared" si="16"/>
        <v>603499.92446679168</v>
      </c>
      <c r="G50" s="524">
        <f t="shared" si="19"/>
        <v>129583.81736701765</v>
      </c>
      <c r="H50" s="491">
        <f t="shared" si="20"/>
        <v>129583.81736701765</v>
      </c>
      <c r="I50" s="511">
        <f t="shared" si="0"/>
        <v>0</v>
      </c>
      <c r="J50" s="511"/>
      <c r="K50" s="525"/>
      <c r="L50" s="514">
        <f t="shared" si="2"/>
        <v>0</v>
      </c>
      <c r="M50" s="525"/>
      <c r="N50" s="514">
        <f t="shared" si="4"/>
        <v>0</v>
      </c>
      <c r="O50" s="514">
        <f t="shared" si="5"/>
        <v>0</v>
      </c>
      <c r="P50" s="272"/>
    </row>
    <row r="51" spans="2:16">
      <c r="B51" s="195" t="str">
        <f t="shared" si="7"/>
        <v/>
      </c>
      <c r="C51" s="507">
        <f>IF(D11="","-",+C50+1)</f>
        <v>2051</v>
      </c>
      <c r="D51" s="523">
        <f>IF(F50+SUM(E$17:E50)=D$10,F50,D$10-SUM(E$17:E50))</f>
        <v>603499.92446679168</v>
      </c>
      <c r="E51" s="522">
        <f>IF(+I14&lt;F50,I14,D51)</f>
        <v>54209.452272727278</v>
      </c>
      <c r="F51" s="523">
        <f t="shared" si="16"/>
        <v>549290.47219406441</v>
      </c>
      <c r="G51" s="524">
        <f t="shared" si="19"/>
        <v>123104.31702832223</v>
      </c>
      <c r="H51" s="491">
        <f t="shared" si="20"/>
        <v>123104.31702832223</v>
      </c>
      <c r="I51" s="511">
        <f t="shared" si="0"/>
        <v>0</v>
      </c>
      <c r="J51" s="511"/>
      <c r="K51" s="525"/>
      <c r="L51" s="514">
        <f t="shared" si="2"/>
        <v>0</v>
      </c>
      <c r="M51" s="525"/>
      <c r="N51" s="514">
        <f t="shared" si="4"/>
        <v>0</v>
      </c>
      <c r="O51" s="514">
        <f t="shared" si="5"/>
        <v>0</v>
      </c>
      <c r="P51" s="272"/>
    </row>
    <row r="52" spans="2:16">
      <c r="B52" s="195" t="str">
        <f t="shared" si="7"/>
        <v/>
      </c>
      <c r="C52" s="507">
        <f>IF(D11="","-",+C51+1)</f>
        <v>2052</v>
      </c>
      <c r="D52" s="523">
        <f>IF(F51+SUM(E$17:E51)=D$10,F51,D$10-SUM(E$17:E51))</f>
        <v>549290.47219406441</v>
      </c>
      <c r="E52" s="522">
        <f>IF(+I14&lt;F51,I14,D52)</f>
        <v>54209.452272727278</v>
      </c>
      <c r="F52" s="523">
        <f t="shared" si="16"/>
        <v>495081.01992133714</v>
      </c>
      <c r="G52" s="524">
        <f t="shared" si="19"/>
        <v>116624.81668962681</v>
      </c>
      <c r="H52" s="491">
        <f t="shared" si="20"/>
        <v>116624.81668962681</v>
      </c>
      <c r="I52" s="511">
        <f t="shared" si="0"/>
        <v>0</v>
      </c>
      <c r="J52" s="511"/>
      <c r="K52" s="525"/>
      <c r="L52" s="514">
        <f t="shared" si="2"/>
        <v>0</v>
      </c>
      <c r="M52" s="525"/>
      <c r="N52" s="514">
        <f t="shared" si="4"/>
        <v>0</v>
      </c>
      <c r="O52" s="514">
        <f t="shared" si="5"/>
        <v>0</v>
      </c>
      <c r="P52" s="272"/>
    </row>
    <row r="53" spans="2:16">
      <c r="B53" s="195" t="str">
        <f t="shared" si="7"/>
        <v/>
      </c>
      <c r="C53" s="507">
        <f>IF(D11="","-",+C52+1)</f>
        <v>2053</v>
      </c>
      <c r="D53" s="523">
        <f>IF(F52+SUM(E$17:E52)=D$10,F52,D$10-SUM(E$17:E52))</f>
        <v>495081.01992133714</v>
      </c>
      <c r="E53" s="522">
        <f>IF(+I14&lt;F52,I14,D53)</f>
        <v>54209.452272727278</v>
      </c>
      <c r="F53" s="523">
        <f t="shared" si="16"/>
        <v>440871.56764860987</v>
      </c>
      <c r="G53" s="524">
        <f t="shared" si="19"/>
        <v>110145.31635093137</v>
      </c>
      <c r="H53" s="491">
        <f t="shared" si="20"/>
        <v>110145.31635093137</v>
      </c>
      <c r="I53" s="511">
        <f t="shared" si="0"/>
        <v>0</v>
      </c>
      <c r="J53" s="511"/>
      <c r="K53" s="525"/>
      <c r="L53" s="514">
        <f t="shared" si="2"/>
        <v>0</v>
      </c>
      <c r="M53" s="525"/>
      <c r="N53" s="514">
        <f t="shared" si="4"/>
        <v>0</v>
      </c>
      <c r="O53" s="514">
        <f t="shared" si="5"/>
        <v>0</v>
      </c>
      <c r="P53" s="272"/>
    </row>
    <row r="54" spans="2:16">
      <c r="B54" s="195" t="str">
        <f t="shared" si="7"/>
        <v/>
      </c>
      <c r="C54" s="507">
        <f>IF(D11="","-",+C53+1)</f>
        <v>2054</v>
      </c>
      <c r="D54" s="523">
        <f>IF(F53+SUM(E$17:E53)=D$10,F53,D$10-SUM(E$17:E53))</f>
        <v>440871.56764860987</v>
      </c>
      <c r="E54" s="522">
        <f>IF(+I14&lt;F53,I14,D54)</f>
        <v>54209.452272727278</v>
      </c>
      <c r="F54" s="523">
        <f t="shared" si="16"/>
        <v>386662.1153758826</v>
      </c>
      <c r="G54" s="524">
        <f t="shared" si="19"/>
        <v>103665.81601223595</v>
      </c>
      <c r="H54" s="491">
        <f t="shared" si="20"/>
        <v>103665.81601223595</v>
      </c>
      <c r="I54" s="511">
        <f t="shared" si="0"/>
        <v>0</v>
      </c>
      <c r="J54" s="511"/>
      <c r="K54" s="525"/>
      <c r="L54" s="514">
        <f t="shared" si="2"/>
        <v>0</v>
      </c>
      <c r="M54" s="525"/>
      <c r="N54" s="514">
        <f t="shared" si="4"/>
        <v>0</v>
      </c>
      <c r="O54" s="514">
        <f t="shared" si="5"/>
        <v>0</v>
      </c>
      <c r="P54" s="272"/>
    </row>
    <row r="55" spans="2:16">
      <c r="B55" s="195" t="str">
        <f t="shared" si="7"/>
        <v/>
      </c>
      <c r="C55" s="507">
        <f>IF(D11="","-",+C54+1)</f>
        <v>2055</v>
      </c>
      <c r="D55" s="523">
        <f>IF(F54+SUM(E$17:E54)=D$10,F54,D$10-SUM(E$17:E54))</f>
        <v>386662.1153758826</v>
      </c>
      <c r="E55" s="522">
        <f>IF(+I14&lt;F54,I14,D55)</f>
        <v>54209.452272727278</v>
      </c>
      <c r="F55" s="523">
        <f t="shared" si="16"/>
        <v>332452.66310315533</v>
      </c>
      <c r="G55" s="524">
        <f t="shared" si="19"/>
        <v>97186.315673540521</v>
      </c>
      <c r="H55" s="491">
        <f t="shared" si="20"/>
        <v>97186.315673540521</v>
      </c>
      <c r="I55" s="511">
        <f t="shared" si="0"/>
        <v>0</v>
      </c>
      <c r="J55" s="511"/>
      <c r="K55" s="525"/>
      <c r="L55" s="514">
        <f t="shared" si="2"/>
        <v>0</v>
      </c>
      <c r="M55" s="525"/>
      <c r="N55" s="514">
        <f t="shared" si="4"/>
        <v>0</v>
      </c>
      <c r="O55" s="514">
        <f t="shared" si="5"/>
        <v>0</v>
      </c>
      <c r="P55" s="272"/>
    </row>
    <row r="56" spans="2:16">
      <c r="B56" s="195" t="str">
        <f t="shared" si="7"/>
        <v/>
      </c>
      <c r="C56" s="507">
        <f>IF(D11="","-",+C55+1)</f>
        <v>2056</v>
      </c>
      <c r="D56" s="523">
        <f>IF(F55+SUM(E$17:E55)=D$10,F55,D$10-SUM(E$17:E55))</f>
        <v>332452.66310315533</v>
      </c>
      <c r="E56" s="522">
        <f>IF(+I14&lt;F55,I14,D56)</f>
        <v>54209.452272727278</v>
      </c>
      <c r="F56" s="523">
        <f t="shared" si="16"/>
        <v>278243.21083042806</v>
      </c>
      <c r="G56" s="524">
        <f t="shared" si="19"/>
        <v>90706.815334845101</v>
      </c>
      <c r="H56" s="491">
        <f t="shared" si="20"/>
        <v>90706.815334845101</v>
      </c>
      <c r="I56" s="511">
        <f t="shared" si="0"/>
        <v>0</v>
      </c>
      <c r="J56" s="511"/>
      <c r="K56" s="525"/>
      <c r="L56" s="514">
        <f t="shared" si="2"/>
        <v>0</v>
      </c>
      <c r="M56" s="525"/>
      <c r="N56" s="514">
        <f t="shared" si="4"/>
        <v>0</v>
      </c>
      <c r="O56" s="514">
        <f t="shared" si="5"/>
        <v>0</v>
      </c>
      <c r="P56" s="272"/>
    </row>
    <row r="57" spans="2:16">
      <c r="B57" s="195" t="str">
        <f t="shared" si="7"/>
        <v/>
      </c>
      <c r="C57" s="507">
        <f>IF(D11="","-",+C56+1)</f>
        <v>2057</v>
      </c>
      <c r="D57" s="523">
        <f>IF(F56+SUM(E$17:E56)=D$10,F56,D$10-SUM(E$17:E56))</f>
        <v>278243.21083042806</v>
      </c>
      <c r="E57" s="522">
        <f>IF(+I14&lt;F56,I14,D57)</f>
        <v>54209.452272727278</v>
      </c>
      <c r="F57" s="523">
        <f t="shared" si="16"/>
        <v>224033.75855770078</v>
      </c>
      <c r="G57" s="524">
        <f t="shared" si="19"/>
        <v>84227.314996149682</v>
      </c>
      <c r="H57" s="491">
        <f t="shared" si="20"/>
        <v>84227.314996149682</v>
      </c>
      <c r="I57" s="511">
        <f t="shared" si="0"/>
        <v>0</v>
      </c>
      <c r="J57" s="511"/>
      <c r="K57" s="525"/>
      <c r="L57" s="514">
        <f t="shared" si="2"/>
        <v>0</v>
      </c>
      <c r="M57" s="525"/>
      <c r="N57" s="514">
        <f t="shared" si="4"/>
        <v>0</v>
      </c>
      <c r="O57" s="514">
        <f t="shared" si="5"/>
        <v>0</v>
      </c>
      <c r="P57" s="272"/>
    </row>
    <row r="58" spans="2:16">
      <c r="B58" s="195" t="str">
        <f t="shared" si="7"/>
        <v/>
      </c>
      <c r="C58" s="507">
        <f>IF(D11="","-",+C57+1)</f>
        <v>2058</v>
      </c>
      <c r="D58" s="523">
        <f>IF(F57+SUM(E$17:E57)=D$10,F57,D$10-SUM(E$17:E57))</f>
        <v>224033.75855770078</v>
      </c>
      <c r="E58" s="522">
        <f>IF(+I14&lt;F57,I14,D58)</f>
        <v>54209.452272727278</v>
      </c>
      <c r="F58" s="523">
        <f t="shared" si="16"/>
        <v>169824.30628497351</v>
      </c>
      <c r="G58" s="524">
        <f t="shared" si="19"/>
        <v>77747.814657454262</v>
      </c>
      <c r="H58" s="491">
        <f t="shared" si="20"/>
        <v>77747.814657454262</v>
      </c>
      <c r="I58" s="511">
        <f t="shared" si="0"/>
        <v>0</v>
      </c>
      <c r="J58" s="511"/>
      <c r="K58" s="525"/>
      <c r="L58" s="514">
        <f t="shared" si="2"/>
        <v>0</v>
      </c>
      <c r="M58" s="525"/>
      <c r="N58" s="514">
        <f t="shared" si="4"/>
        <v>0</v>
      </c>
      <c r="O58" s="514">
        <f t="shared" si="5"/>
        <v>0</v>
      </c>
      <c r="P58" s="272"/>
    </row>
    <row r="59" spans="2:16">
      <c r="B59" s="195" t="str">
        <f t="shared" si="7"/>
        <v/>
      </c>
      <c r="C59" s="507">
        <f>IF(D11="","-",+C58+1)</f>
        <v>2059</v>
      </c>
      <c r="D59" s="523">
        <f>IF(F58+SUM(E$17:E58)=D$10,F58,D$10-SUM(E$17:E58))</f>
        <v>169824.30628497351</v>
      </c>
      <c r="E59" s="522">
        <f>IF(+I14&lt;F58,I14,D59)</f>
        <v>54209.452272727278</v>
      </c>
      <c r="F59" s="523">
        <f t="shared" si="16"/>
        <v>115614.85401224624</v>
      </c>
      <c r="G59" s="524">
        <f t="shared" si="19"/>
        <v>71268.314318758843</v>
      </c>
      <c r="H59" s="491">
        <f t="shared" si="20"/>
        <v>71268.314318758843</v>
      </c>
      <c r="I59" s="511">
        <f t="shared" si="0"/>
        <v>0</v>
      </c>
      <c r="J59" s="511"/>
      <c r="K59" s="525"/>
      <c r="L59" s="514">
        <f t="shared" si="2"/>
        <v>0</v>
      </c>
      <c r="M59" s="525"/>
      <c r="N59" s="514">
        <f t="shared" si="4"/>
        <v>0</v>
      </c>
      <c r="O59" s="514">
        <f t="shared" si="5"/>
        <v>0</v>
      </c>
      <c r="P59" s="272"/>
    </row>
    <row r="60" spans="2:16">
      <c r="B60" s="195" t="str">
        <f t="shared" si="7"/>
        <v/>
      </c>
      <c r="C60" s="507">
        <f>IF(D11="","-",+C59+1)</f>
        <v>2060</v>
      </c>
      <c r="D60" s="523">
        <f>IF(F59+SUM(E$17:E59)=D$10,F59,D$10-SUM(E$17:E59))</f>
        <v>115614.85401224624</v>
      </c>
      <c r="E60" s="522">
        <f>IF(+I14&lt;F59,I14,D60)</f>
        <v>54209.452272727278</v>
      </c>
      <c r="F60" s="523">
        <f t="shared" si="16"/>
        <v>61405.401739518966</v>
      </c>
      <c r="G60" s="524">
        <f t="shared" si="19"/>
        <v>64788.813980063409</v>
      </c>
      <c r="H60" s="491">
        <f t="shared" si="20"/>
        <v>64788.813980063409</v>
      </c>
      <c r="I60" s="511">
        <f t="shared" si="0"/>
        <v>0</v>
      </c>
      <c r="J60" s="511"/>
      <c r="K60" s="525"/>
      <c r="L60" s="514">
        <f t="shared" si="2"/>
        <v>0</v>
      </c>
      <c r="M60" s="525"/>
      <c r="N60" s="514">
        <f t="shared" si="4"/>
        <v>0</v>
      </c>
      <c r="O60" s="514">
        <f t="shared" si="5"/>
        <v>0</v>
      </c>
      <c r="P60" s="272"/>
    </row>
    <row r="61" spans="2:16">
      <c r="B61" s="195" t="str">
        <f t="shared" si="7"/>
        <v/>
      </c>
      <c r="C61" s="507">
        <f>IF(D11="","-",+C60+1)</f>
        <v>2061</v>
      </c>
      <c r="D61" s="523">
        <f>IF(F60+SUM(E$17:E60)=D$10,F60,D$10-SUM(E$17:E60))</f>
        <v>61405.401739518966</v>
      </c>
      <c r="E61" s="522">
        <f>IF(+I14&lt;F60,I14,D61)</f>
        <v>54209.452272727278</v>
      </c>
      <c r="F61" s="523">
        <f t="shared" si="16"/>
        <v>7195.9494667916879</v>
      </c>
      <c r="G61" s="526">
        <f t="shared" si="19"/>
        <v>58309.313641367989</v>
      </c>
      <c r="H61" s="491">
        <f t="shared" si="20"/>
        <v>58309.313641367989</v>
      </c>
      <c r="I61" s="511">
        <f t="shared" si="0"/>
        <v>0</v>
      </c>
      <c r="J61" s="511"/>
      <c r="K61" s="525"/>
      <c r="L61" s="514">
        <f t="shared" si="2"/>
        <v>0</v>
      </c>
      <c r="M61" s="525"/>
      <c r="N61" s="514">
        <f t="shared" si="4"/>
        <v>0</v>
      </c>
      <c r="O61" s="514">
        <f t="shared" si="5"/>
        <v>0</v>
      </c>
      <c r="P61" s="272"/>
    </row>
    <row r="62" spans="2:16">
      <c r="B62" s="195" t="str">
        <f t="shared" si="7"/>
        <v/>
      </c>
      <c r="C62" s="507">
        <f>IF(D11="","-",+C61+1)</f>
        <v>2062</v>
      </c>
      <c r="D62" s="523">
        <f>IF(F61+SUM(E$17:E61)=D$10,F61,D$10-SUM(E$17:E61))</f>
        <v>7195.9494667916879</v>
      </c>
      <c r="E62" s="522">
        <f>IF(+I14&lt;F61,I14,D62)</f>
        <v>7195.9494667916879</v>
      </c>
      <c r="F62" s="523">
        <f t="shared" si="16"/>
        <v>0</v>
      </c>
      <c r="G62" s="526">
        <f t="shared" si="19"/>
        <v>7626.0050664381861</v>
      </c>
      <c r="H62" s="491">
        <f t="shared" si="20"/>
        <v>7626.0050664381861</v>
      </c>
      <c r="I62" s="511">
        <f t="shared" si="0"/>
        <v>0</v>
      </c>
      <c r="J62" s="511"/>
      <c r="K62" s="525"/>
      <c r="L62" s="514">
        <f t="shared" si="2"/>
        <v>0</v>
      </c>
      <c r="M62" s="525"/>
      <c r="N62" s="514">
        <f t="shared" si="4"/>
        <v>0</v>
      </c>
      <c r="O62" s="514">
        <f t="shared" si="5"/>
        <v>0</v>
      </c>
      <c r="P62" s="272"/>
    </row>
    <row r="63" spans="2:16">
      <c r="B63" s="195" t="str">
        <f t="shared" si="7"/>
        <v/>
      </c>
      <c r="C63" s="507">
        <f>IF(D11="","-",+C62+1)</f>
        <v>2063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16"/>
        <v>0</v>
      </c>
      <c r="G63" s="526">
        <f t="shared" si="19"/>
        <v>0</v>
      </c>
      <c r="H63" s="491">
        <f t="shared" si="20"/>
        <v>0</v>
      </c>
      <c r="I63" s="511">
        <f t="shared" si="0"/>
        <v>0</v>
      </c>
      <c r="J63" s="511"/>
      <c r="K63" s="525"/>
      <c r="L63" s="514">
        <f t="shared" si="2"/>
        <v>0</v>
      </c>
      <c r="M63" s="525"/>
      <c r="N63" s="514">
        <f t="shared" si="4"/>
        <v>0</v>
      </c>
      <c r="O63" s="514">
        <f t="shared" si="5"/>
        <v>0</v>
      </c>
      <c r="P63" s="272"/>
    </row>
    <row r="64" spans="2:16">
      <c r="B64" s="195" t="str">
        <f t="shared" si="7"/>
        <v/>
      </c>
      <c r="C64" s="507">
        <f>IF(D11="","-",+C63+1)</f>
        <v>2064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16"/>
        <v>0</v>
      </c>
      <c r="G64" s="526">
        <f t="shared" si="19"/>
        <v>0</v>
      </c>
      <c r="H64" s="491">
        <f t="shared" si="20"/>
        <v>0</v>
      </c>
      <c r="I64" s="511">
        <f t="shared" si="0"/>
        <v>0</v>
      </c>
      <c r="J64" s="511"/>
      <c r="K64" s="525"/>
      <c r="L64" s="514">
        <f t="shared" si="2"/>
        <v>0</v>
      </c>
      <c r="M64" s="525"/>
      <c r="N64" s="514">
        <f t="shared" si="4"/>
        <v>0</v>
      </c>
      <c r="O64" s="514">
        <f t="shared" si="5"/>
        <v>0</v>
      </c>
      <c r="P64" s="272"/>
    </row>
    <row r="65" spans="2:16">
      <c r="B65" s="195" t="str">
        <f t="shared" si="7"/>
        <v/>
      </c>
      <c r="C65" s="507">
        <f>IF(D11="","-",+C64+1)</f>
        <v>2065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16"/>
        <v>0</v>
      </c>
      <c r="G65" s="526">
        <f t="shared" si="19"/>
        <v>0</v>
      </c>
      <c r="H65" s="491">
        <f t="shared" si="20"/>
        <v>0</v>
      </c>
      <c r="I65" s="511">
        <f t="shared" si="0"/>
        <v>0</v>
      </c>
      <c r="J65" s="511"/>
      <c r="K65" s="525"/>
      <c r="L65" s="514">
        <f t="shared" si="2"/>
        <v>0</v>
      </c>
      <c r="M65" s="525"/>
      <c r="N65" s="514">
        <f t="shared" si="4"/>
        <v>0</v>
      </c>
      <c r="O65" s="514">
        <f t="shared" si="5"/>
        <v>0</v>
      </c>
      <c r="P65" s="272"/>
    </row>
    <row r="66" spans="2:16">
      <c r="B66" s="195" t="str">
        <f t="shared" si="7"/>
        <v/>
      </c>
      <c r="C66" s="507">
        <f>IF(D11="","-",+C65+1)</f>
        <v>2066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16"/>
        <v>0</v>
      </c>
      <c r="G66" s="526">
        <f t="shared" si="19"/>
        <v>0</v>
      </c>
      <c r="H66" s="491">
        <f t="shared" si="20"/>
        <v>0</v>
      </c>
      <c r="I66" s="511">
        <f t="shared" si="0"/>
        <v>0</v>
      </c>
      <c r="J66" s="511"/>
      <c r="K66" s="525"/>
      <c r="L66" s="514">
        <f t="shared" si="2"/>
        <v>0</v>
      </c>
      <c r="M66" s="525"/>
      <c r="N66" s="514">
        <f t="shared" si="4"/>
        <v>0</v>
      </c>
      <c r="O66" s="514">
        <f t="shared" si="5"/>
        <v>0</v>
      </c>
      <c r="P66" s="272"/>
    </row>
    <row r="67" spans="2:16">
      <c r="B67" s="195" t="str">
        <f t="shared" si="7"/>
        <v/>
      </c>
      <c r="C67" s="507">
        <f>IF(D11="","-",+C66+1)</f>
        <v>2067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16"/>
        <v>0</v>
      </c>
      <c r="G67" s="526">
        <f t="shared" si="19"/>
        <v>0</v>
      </c>
      <c r="H67" s="491">
        <f t="shared" si="20"/>
        <v>0</v>
      </c>
      <c r="I67" s="511">
        <f t="shared" si="0"/>
        <v>0</v>
      </c>
      <c r="J67" s="511"/>
      <c r="K67" s="525"/>
      <c r="L67" s="514">
        <f t="shared" si="2"/>
        <v>0</v>
      </c>
      <c r="M67" s="525"/>
      <c r="N67" s="514">
        <f t="shared" si="4"/>
        <v>0</v>
      </c>
      <c r="O67" s="514">
        <f t="shared" si="5"/>
        <v>0</v>
      </c>
      <c r="P67" s="272"/>
    </row>
    <row r="68" spans="2:16">
      <c r="B68" s="195" t="str">
        <f t="shared" si="7"/>
        <v/>
      </c>
      <c r="C68" s="507">
        <f>IF(D11="","-",+C67+1)</f>
        <v>2068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16"/>
        <v>0</v>
      </c>
      <c r="G68" s="526">
        <f t="shared" si="19"/>
        <v>0</v>
      </c>
      <c r="H68" s="491">
        <f t="shared" si="20"/>
        <v>0</v>
      </c>
      <c r="I68" s="511">
        <f t="shared" si="0"/>
        <v>0</v>
      </c>
      <c r="J68" s="511"/>
      <c r="K68" s="525"/>
      <c r="L68" s="514">
        <f t="shared" si="2"/>
        <v>0</v>
      </c>
      <c r="M68" s="525"/>
      <c r="N68" s="514">
        <f t="shared" si="4"/>
        <v>0</v>
      </c>
      <c r="O68" s="514">
        <f t="shared" si="5"/>
        <v>0</v>
      </c>
      <c r="P68" s="272"/>
    </row>
    <row r="69" spans="2:16">
      <c r="B69" s="195" t="str">
        <f t="shared" si="7"/>
        <v/>
      </c>
      <c r="C69" s="507">
        <f>IF(D11="","-",+C68+1)</f>
        <v>2069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16"/>
        <v>0</v>
      </c>
      <c r="G69" s="526">
        <f t="shared" si="19"/>
        <v>0</v>
      </c>
      <c r="H69" s="491">
        <f t="shared" si="20"/>
        <v>0</v>
      </c>
      <c r="I69" s="511">
        <f t="shared" si="0"/>
        <v>0</v>
      </c>
      <c r="J69" s="511"/>
      <c r="K69" s="525"/>
      <c r="L69" s="514">
        <f t="shared" si="2"/>
        <v>0</v>
      </c>
      <c r="M69" s="525"/>
      <c r="N69" s="514">
        <f t="shared" si="4"/>
        <v>0</v>
      </c>
      <c r="O69" s="514">
        <f t="shared" si="5"/>
        <v>0</v>
      </c>
      <c r="P69" s="272"/>
    </row>
    <row r="70" spans="2:16">
      <c r="B70" s="195" t="str">
        <f t="shared" si="7"/>
        <v/>
      </c>
      <c r="C70" s="507">
        <f>IF(D11="","-",+C69+1)</f>
        <v>2070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16"/>
        <v>0</v>
      </c>
      <c r="G70" s="526">
        <f t="shared" si="19"/>
        <v>0</v>
      </c>
      <c r="H70" s="491">
        <f t="shared" si="20"/>
        <v>0</v>
      </c>
      <c r="I70" s="511">
        <f t="shared" si="0"/>
        <v>0</v>
      </c>
      <c r="J70" s="511"/>
      <c r="K70" s="525"/>
      <c r="L70" s="514">
        <f t="shared" si="2"/>
        <v>0</v>
      </c>
      <c r="M70" s="525"/>
      <c r="N70" s="514">
        <f t="shared" si="4"/>
        <v>0</v>
      </c>
      <c r="O70" s="514">
        <f t="shared" si="5"/>
        <v>0</v>
      </c>
      <c r="P70" s="272"/>
    </row>
    <row r="71" spans="2:16">
      <c r="B71" s="195" t="str">
        <f t="shared" si="7"/>
        <v/>
      </c>
      <c r="C71" s="507">
        <f>IF(D11="","-",+C70+1)</f>
        <v>2071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16"/>
        <v>0</v>
      </c>
      <c r="G71" s="526">
        <f t="shared" si="19"/>
        <v>0</v>
      </c>
      <c r="H71" s="491">
        <f t="shared" si="20"/>
        <v>0</v>
      </c>
      <c r="I71" s="511">
        <f t="shared" si="0"/>
        <v>0</v>
      </c>
      <c r="J71" s="511"/>
      <c r="K71" s="525"/>
      <c r="L71" s="514">
        <f t="shared" si="2"/>
        <v>0</v>
      </c>
      <c r="M71" s="525"/>
      <c r="N71" s="514">
        <f t="shared" si="4"/>
        <v>0</v>
      </c>
      <c r="O71" s="514">
        <f t="shared" si="5"/>
        <v>0</v>
      </c>
      <c r="P71" s="272"/>
    </row>
    <row r="72" spans="2:16" ht="13.5" thickBot="1">
      <c r="B72" s="195" t="str">
        <f t="shared" si="7"/>
        <v/>
      </c>
      <c r="C72" s="527">
        <f>IF(D11="","-",+C71+1)</f>
        <v>2072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16"/>
        <v>0</v>
      </c>
      <c r="G72" s="530">
        <f t="shared" si="19"/>
        <v>0</v>
      </c>
      <c r="H72" s="471">
        <f t="shared" si="20"/>
        <v>0</v>
      </c>
      <c r="I72" s="531">
        <f t="shared" si="0"/>
        <v>0</v>
      </c>
      <c r="J72" s="511"/>
      <c r="K72" s="532"/>
      <c r="L72" s="533">
        <f t="shared" si="2"/>
        <v>0</v>
      </c>
      <c r="M72" s="532"/>
      <c r="N72" s="533">
        <f t="shared" si="4"/>
        <v>0</v>
      </c>
      <c r="O72" s="533">
        <f t="shared" si="5"/>
        <v>0</v>
      </c>
      <c r="P72" s="272"/>
    </row>
    <row r="73" spans="2:16">
      <c r="C73" s="374" t="s">
        <v>78</v>
      </c>
      <c r="D73" s="375"/>
      <c r="E73" s="375">
        <f>SUM(E17:E72)</f>
        <v>2385215.8999999994</v>
      </c>
      <c r="F73" s="375"/>
      <c r="G73" s="375">
        <f>SUM(G17:G72)</f>
        <v>8638355.4672736265</v>
      </c>
      <c r="H73" s="375">
        <f>SUM(H17:H72)</f>
        <v>8638355.4672736265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2:16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2:16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2:16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2:16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272"/>
      <c r="P77" s="272"/>
    </row>
    <row r="78" spans="2:16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2:16"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  <c r="O79" s="269"/>
      <c r="P79" s="269"/>
    </row>
    <row r="80" spans="2:16" ht="18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6">
      <c r="B81" s="269"/>
      <c r="C81" s="340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6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</row>
    <row r="83" spans="1:16" ht="20.25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451" t="str">
        <f ca="1">P1</f>
        <v>SWEPCO Project 65 of 75</v>
      </c>
    </row>
    <row r="84" spans="1:16" ht="18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538" t="s">
        <v>128</v>
      </c>
    </row>
    <row r="85" spans="1:16" ht="18.7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</row>
    <row r="86" spans="1:16" ht="15.75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2022</v>
      </c>
      <c r="M86" s="541" t="s">
        <v>9</v>
      </c>
      <c r="N86" s="542" t="s">
        <v>159</v>
      </c>
      <c r="O86" s="543" t="s">
        <v>11</v>
      </c>
      <c r="P86" s="269"/>
    </row>
    <row r="87" spans="1:16" ht="1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391</v>
      </c>
      <c r="M87" s="546">
        <f>IF(J92&lt;D11,0,VLOOKUP(J92,C17:O72,9))</f>
        <v>298808.95544916228</v>
      </c>
      <c r="N87" s="546">
        <f>IF(J92&lt;D11,0,VLOOKUP(J92,C17:O72,11))</f>
        <v>298808.95544916228</v>
      </c>
      <c r="O87" s="547">
        <f>+N87-M87</f>
        <v>0</v>
      </c>
      <c r="P87" s="269"/>
    </row>
    <row r="88" spans="1:16" ht="15.7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392</v>
      </c>
      <c r="M88" s="550">
        <f>IF(J92&lt;D11,0,VLOOKUP(J92,C99:P154,6))</f>
        <v>306376.14518261742</v>
      </c>
      <c r="N88" s="550">
        <f>IF(J92&lt;D11,0,VLOOKUP(J92,C99:P154,7))</f>
        <v>306376.14518261742</v>
      </c>
      <c r="O88" s="551">
        <f>+N88-M88</f>
        <v>0</v>
      </c>
      <c r="P88" s="269"/>
    </row>
    <row r="89" spans="1:16" ht="13.5" thickBot="1">
      <c r="C89" s="467" t="s">
        <v>84</v>
      </c>
      <c r="D89" s="552" t="str">
        <f>+D7</f>
        <v>Daingerfield - Jenkins Rebuild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7567.1897334551322</v>
      </c>
      <c r="N89" s="555">
        <f>+N88-N87</f>
        <v>7567.1897334551322</v>
      </c>
      <c r="O89" s="556">
        <f>+O88-O87</f>
        <v>0</v>
      </c>
      <c r="P89" s="269"/>
    </row>
    <row r="90" spans="1:16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</row>
    <row r="91" spans="1:16" ht="13.5" thickBot="1">
      <c r="A91" s="191"/>
      <c r="C91" s="558" t="s">
        <v>85</v>
      </c>
      <c r="D91" s="559" t="str">
        <f>+D9</f>
        <v>TP2013166</v>
      </c>
      <c r="E91" s="560"/>
      <c r="F91" s="560"/>
      <c r="G91" s="560"/>
      <c r="H91" s="560"/>
      <c r="I91" s="560"/>
      <c r="J91" s="560"/>
      <c r="K91" s="562"/>
      <c r="P91" s="481"/>
    </row>
    <row r="92" spans="1:16">
      <c r="C92" s="486" t="s">
        <v>51</v>
      </c>
      <c r="D92" s="564">
        <v>2385216</v>
      </c>
      <c r="E92" s="340" t="s">
        <v>86</v>
      </c>
      <c r="H92" s="484"/>
      <c r="I92" s="484"/>
      <c r="J92" s="485">
        <f>+'SWE.WS.G.BPU.ATRR.True-up'!M16</f>
        <v>2022</v>
      </c>
      <c r="K92" s="480"/>
      <c r="L92" s="375" t="s">
        <v>87</v>
      </c>
      <c r="P92" s="272"/>
    </row>
    <row r="93" spans="1:16">
      <c r="C93" s="486" t="s">
        <v>54</v>
      </c>
      <c r="D93" s="563">
        <f>IF(D11=I10,"",D11)</f>
        <v>2017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</row>
    <row r="94" spans="1:16">
      <c r="C94" s="486" t="s">
        <v>56</v>
      </c>
      <c r="D94" s="564">
        <f>IF(D11=I10,"",D12)</f>
        <v>11</v>
      </c>
      <c r="E94" s="486" t="s">
        <v>57</v>
      </c>
      <c r="F94" s="484"/>
      <c r="G94" s="484"/>
      <c r="J94" s="490">
        <f>'SWE.WS.G.BPU.ATRR.True-up'!$F$81</f>
        <v>0.11351422637179906</v>
      </c>
      <c r="K94" s="425"/>
      <c r="L94" s="183" t="s">
        <v>88</v>
      </c>
      <c r="P94" s="272"/>
    </row>
    <row r="95" spans="1:16">
      <c r="C95" s="486" t="s">
        <v>59</v>
      </c>
      <c r="D95" s="488">
        <f>'SWE.WS.G.BPU.ATRR.True-up'!F$93</f>
        <v>41</v>
      </c>
      <c r="E95" s="486" t="s">
        <v>60</v>
      </c>
      <c r="F95" s="484"/>
      <c r="G95" s="484"/>
      <c r="J95" s="490">
        <f>IF(H87="",J94,'SWE.WS.G.BPU.ATRR.True-up'!$F$80)</f>
        <v>0.11351422637179906</v>
      </c>
      <c r="K95" s="324"/>
      <c r="L95" s="375" t="s">
        <v>61</v>
      </c>
      <c r="M95" s="324"/>
      <c r="N95" s="324"/>
      <c r="O95" s="324"/>
      <c r="P95" s="272"/>
    </row>
    <row r="96" spans="1:16" ht="13.5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58176</v>
      </c>
      <c r="K96" s="375"/>
      <c r="L96" s="375"/>
      <c r="M96" s="375"/>
      <c r="N96" s="375"/>
      <c r="O96" s="375"/>
      <c r="P96" s="272"/>
    </row>
    <row r="97" spans="1:16" ht="38.25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388</v>
      </c>
      <c r="I97" s="495" t="s">
        <v>389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</row>
    <row r="98" spans="1:16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602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</row>
    <row r="99" spans="1:16">
      <c r="C99" s="507">
        <f>IF(D93= "","-",D93)</f>
        <v>2017</v>
      </c>
      <c r="D99" s="649">
        <v>0</v>
      </c>
      <c r="E99" s="650">
        <v>4700.2321428571431</v>
      </c>
      <c r="F99" s="651">
        <v>2364216.7678571427</v>
      </c>
      <c r="G99" s="652">
        <v>1182108.3839285714</v>
      </c>
      <c r="H99" s="653">
        <v>148292.66067911699</v>
      </c>
      <c r="I99" s="654">
        <v>148292.66067911699</v>
      </c>
      <c r="J99" s="514">
        <f t="shared" ref="J99:J130" si="21">+I99-H99</f>
        <v>0</v>
      </c>
      <c r="K99" s="514"/>
      <c r="L99" s="512">
        <f>+H99</f>
        <v>148292.66067911699</v>
      </c>
      <c r="M99" s="513">
        <f t="shared" ref="M99:M130" si="22">IF(L99&lt;&gt;0,+H99-L99,0)</f>
        <v>0</v>
      </c>
      <c r="N99" s="512">
        <f>+I99</f>
        <v>148292.66067911699</v>
      </c>
      <c r="O99" s="513">
        <f t="shared" ref="O99:O130" si="23">IF(N99&lt;&gt;0,+I99-N99,0)</f>
        <v>0</v>
      </c>
      <c r="P99" s="513">
        <f t="shared" ref="P99:P130" si="24">+O99-M99</f>
        <v>0</v>
      </c>
    </row>
    <row r="100" spans="1:16">
      <c r="B100" s="195" t="str">
        <f>IF(D100=F99,"","IU")</f>
        <v>IU</v>
      </c>
      <c r="C100" s="507">
        <f>IF(D93="","-",+C99+1)</f>
        <v>2018</v>
      </c>
      <c r="D100" s="629">
        <v>2380515.7678571427</v>
      </c>
      <c r="E100" s="630">
        <v>56790.857142857145</v>
      </c>
      <c r="F100" s="631">
        <v>2323724.9107142854</v>
      </c>
      <c r="G100" s="631">
        <v>2352120.3392857141</v>
      </c>
      <c r="H100" s="633">
        <v>305185.55137142731</v>
      </c>
      <c r="I100" s="634">
        <v>305185.55137142731</v>
      </c>
      <c r="J100" s="514">
        <f t="shared" si="21"/>
        <v>0</v>
      </c>
      <c r="K100" s="514"/>
      <c r="L100" s="655">
        <f>+H100</f>
        <v>305185.55137142731</v>
      </c>
      <c r="M100" s="514">
        <f t="shared" si="22"/>
        <v>0</v>
      </c>
      <c r="N100" s="655">
        <f>+I100</f>
        <v>305185.55137142731</v>
      </c>
      <c r="O100" s="514">
        <f t="shared" si="23"/>
        <v>0</v>
      </c>
      <c r="P100" s="514">
        <f t="shared" si="24"/>
        <v>0</v>
      </c>
    </row>
    <row r="101" spans="1:16">
      <c r="B101" s="195" t="str">
        <f t="shared" ref="B101:B154" si="25">IF(D101=F100,"","IU")</f>
        <v/>
      </c>
      <c r="C101" s="507">
        <f>IF(D93="","-",+C100+1)</f>
        <v>2019</v>
      </c>
      <c r="D101" s="629">
        <v>2323724.9107142854</v>
      </c>
      <c r="E101" s="630">
        <v>55470.139534883718</v>
      </c>
      <c r="F101" s="631">
        <v>2268254.7711794018</v>
      </c>
      <c r="G101" s="631">
        <v>2295989.8409468438</v>
      </c>
      <c r="H101" s="633">
        <v>301234.14696485514</v>
      </c>
      <c r="I101" s="634">
        <v>301234.14696485514</v>
      </c>
      <c r="J101" s="514">
        <f t="shared" si="21"/>
        <v>0</v>
      </c>
      <c r="K101" s="514"/>
      <c r="L101" s="655">
        <f>+H101</f>
        <v>301234.14696485514</v>
      </c>
      <c r="M101" s="514">
        <f t="shared" ref="M101:M102" si="26">IF(L101&lt;&gt;0,+H101-L101,0)</f>
        <v>0</v>
      </c>
      <c r="N101" s="655">
        <f>+I101</f>
        <v>301234.14696485514</v>
      </c>
      <c r="O101" s="514">
        <f t="shared" si="23"/>
        <v>0</v>
      </c>
      <c r="P101" s="514">
        <f t="shared" si="24"/>
        <v>0</v>
      </c>
    </row>
    <row r="102" spans="1:16">
      <c r="B102" s="195" t="str">
        <f t="shared" si="25"/>
        <v/>
      </c>
      <c r="C102" s="507">
        <f>IF(D93="","-",+C101+1)</f>
        <v>2020</v>
      </c>
      <c r="D102" s="629">
        <v>2268254.7711794018</v>
      </c>
      <c r="E102" s="630">
        <v>56790.857142857145</v>
      </c>
      <c r="F102" s="631">
        <v>2211463.9140365445</v>
      </c>
      <c r="G102" s="631">
        <v>2239859.3426079731</v>
      </c>
      <c r="H102" s="633">
        <v>297741.11088977935</v>
      </c>
      <c r="I102" s="634">
        <v>297741.11088977935</v>
      </c>
      <c r="J102" s="514">
        <f t="shared" si="21"/>
        <v>0</v>
      </c>
      <c r="K102" s="514"/>
      <c r="L102" s="655">
        <f>+H102</f>
        <v>297741.11088977935</v>
      </c>
      <c r="M102" s="514">
        <f t="shared" si="26"/>
        <v>0</v>
      </c>
      <c r="N102" s="655">
        <f>+I102</f>
        <v>297741.11088977935</v>
      </c>
      <c r="O102" s="514">
        <f t="shared" si="23"/>
        <v>0</v>
      </c>
      <c r="P102" s="514">
        <f t="shared" si="24"/>
        <v>0</v>
      </c>
    </row>
    <row r="103" spans="1:16">
      <c r="B103" s="195" t="str">
        <f t="shared" si="25"/>
        <v/>
      </c>
      <c r="C103" s="507">
        <f>IF(D93="","-",+C102+1)</f>
        <v>2021</v>
      </c>
      <c r="D103" s="629">
        <v>2211463.9140365445</v>
      </c>
      <c r="E103" s="630">
        <v>58176</v>
      </c>
      <c r="F103" s="631">
        <v>2153287.9140365445</v>
      </c>
      <c r="G103" s="631">
        <v>2182375.9140365445</v>
      </c>
      <c r="H103" s="633">
        <v>305906.71353430621</v>
      </c>
      <c r="I103" s="634">
        <v>305906.71353430621</v>
      </c>
      <c r="J103" s="514">
        <f t="shared" si="21"/>
        <v>0</v>
      </c>
      <c r="K103" s="514"/>
      <c r="L103" s="655">
        <f>+H103</f>
        <v>305906.71353430621</v>
      </c>
      <c r="M103" s="514">
        <f t="shared" ref="M103" si="27">IF(L103&lt;&gt;0,+H103-L103,0)</f>
        <v>0</v>
      </c>
      <c r="N103" s="655">
        <f>+I103</f>
        <v>305906.71353430621</v>
      </c>
      <c r="O103" s="514">
        <f t="shared" ref="O103" si="28">IF(N103&lt;&gt;0,+I103-N103,0)</f>
        <v>0</v>
      </c>
      <c r="P103" s="514">
        <f t="shared" ref="P103" si="29">+O103-M103</f>
        <v>0</v>
      </c>
    </row>
    <row r="104" spans="1:16">
      <c r="B104" s="195" t="str">
        <f t="shared" si="25"/>
        <v/>
      </c>
      <c r="C104" s="673">
        <f>IF(D93="","-",+C103+1)</f>
        <v>2022</v>
      </c>
      <c r="D104" s="374">
        <v>2153287.9140365445</v>
      </c>
      <c r="E104" s="522">
        <v>56790.857142857145</v>
      </c>
      <c r="F104" s="523">
        <v>2096497.0568936875</v>
      </c>
      <c r="G104" s="523">
        <v>2124892.4854651159</v>
      </c>
      <c r="H104" s="526">
        <v>306376.14518261742</v>
      </c>
      <c r="I104" s="577">
        <v>306376.14518261742</v>
      </c>
      <c r="J104" s="514">
        <f t="shared" si="21"/>
        <v>0</v>
      </c>
      <c r="K104" s="514"/>
      <c r="L104" s="525"/>
      <c r="M104" s="514">
        <f t="shared" si="22"/>
        <v>0</v>
      </c>
      <c r="N104" s="525"/>
      <c r="O104" s="514">
        <f t="shared" si="23"/>
        <v>0</v>
      </c>
      <c r="P104" s="514">
        <f t="shared" si="24"/>
        <v>0</v>
      </c>
    </row>
    <row r="105" spans="1:16">
      <c r="B105" s="195" t="str">
        <f t="shared" si="25"/>
        <v/>
      </c>
      <c r="C105" s="507">
        <f>IF(D93="","-",+C104+1)</f>
        <v>2023</v>
      </c>
      <c r="D105" s="374">
        <f>IF(F104+SUM(E$99:E104)=D$92,F104,D$92-SUM(E$99:E104))</f>
        <v>2096497.0568936875</v>
      </c>
      <c r="E105" s="522">
        <f>IF(+J96&lt;F104,J96,D105)</f>
        <v>58176</v>
      </c>
      <c r="F105" s="523">
        <f t="shared" ref="F105:F130" si="30">+D105-E105</f>
        <v>2038321.0568936875</v>
      </c>
      <c r="G105" s="523">
        <f t="shared" ref="G105:G130" si="31">+(F105+D105)/2</f>
        <v>2067409.0568936875</v>
      </c>
      <c r="H105" s="526">
        <f t="shared" ref="H105:H154" si="32">+J$94*G105+E105</f>
        <v>292856.33968733763</v>
      </c>
      <c r="I105" s="577">
        <f t="shared" ref="I105:I154" si="33">+J$95*G105+E105</f>
        <v>292856.33968733763</v>
      </c>
      <c r="J105" s="514">
        <f t="shared" si="21"/>
        <v>0</v>
      </c>
      <c r="K105" s="514"/>
      <c r="L105" s="525"/>
      <c r="M105" s="514">
        <f t="shared" si="22"/>
        <v>0</v>
      </c>
      <c r="N105" s="525"/>
      <c r="O105" s="514">
        <f t="shared" si="23"/>
        <v>0</v>
      </c>
      <c r="P105" s="514">
        <f t="shared" si="24"/>
        <v>0</v>
      </c>
    </row>
    <row r="106" spans="1:16">
      <c r="B106" s="195" t="str">
        <f t="shared" si="25"/>
        <v/>
      </c>
      <c r="C106" s="507">
        <f>IF(D93="","-",+C105+1)</f>
        <v>2024</v>
      </c>
      <c r="D106" s="374">
        <f>IF(F105+SUM(E$99:E105)=D$92,F105,D$92-SUM(E$99:E105))</f>
        <v>2038321.0568936875</v>
      </c>
      <c r="E106" s="522">
        <f>IF(+J96&lt;F105,J96,D106)</f>
        <v>58176</v>
      </c>
      <c r="F106" s="523">
        <f t="shared" si="30"/>
        <v>1980145.0568936875</v>
      </c>
      <c r="G106" s="523">
        <f t="shared" si="31"/>
        <v>2009233.0568936875</v>
      </c>
      <c r="H106" s="526">
        <f t="shared" si="32"/>
        <v>286252.53605393186</v>
      </c>
      <c r="I106" s="577">
        <f t="shared" si="33"/>
        <v>286252.53605393186</v>
      </c>
      <c r="J106" s="514">
        <f t="shared" si="21"/>
        <v>0</v>
      </c>
      <c r="K106" s="514"/>
      <c r="L106" s="525"/>
      <c r="M106" s="514">
        <f t="shared" si="22"/>
        <v>0</v>
      </c>
      <c r="N106" s="525"/>
      <c r="O106" s="514">
        <f t="shared" si="23"/>
        <v>0</v>
      </c>
      <c r="P106" s="514">
        <f t="shared" si="24"/>
        <v>0</v>
      </c>
    </row>
    <row r="107" spans="1:16">
      <c r="B107" s="195" t="str">
        <f t="shared" si="25"/>
        <v/>
      </c>
      <c r="C107" s="507">
        <f>IF(D93="","-",+C106+1)</f>
        <v>2025</v>
      </c>
      <c r="D107" s="374">
        <f>IF(F106+SUM(E$99:E106)=D$92,F106,D$92-SUM(E$99:E106))</f>
        <v>1980145.0568936875</v>
      </c>
      <c r="E107" s="522">
        <f>IF(+J96&lt;F106,J96,D107)</f>
        <v>58176</v>
      </c>
      <c r="F107" s="523">
        <f t="shared" si="30"/>
        <v>1921969.0568936875</v>
      </c>
      <c r="G107" s="523">
        <f t="shared" si="31"/>
        <v>1951057.0568936875</v>
      </c>
      <c r="H107" s="526">
        <f t="shared" si="32"/>
        <v>279648.7324205261</v>
      </c>
      <c r="I107" s="577">
        <f t="shared" si="33"/>
        <v>279648.7324205261</v>
      </c>
      <c r="J107" s="514">
        <f t="shared" si="21"/>
        <v>0</v>
      </c>
      <c r="K107" s="514"/>
      <c r="L107" s="525"/>
      <c r="M107" s="514">
        <f t="shared" si="22"/>
        <v>0</v>
      </c>
      <c r="N107" s="525"/>
      <c r="O107" s="514">
        <f t="shared" si="23"/>
        <v>0</v>
      </c>
      <c r="P107" s="514">
        <f t="shared" si="24"/>
        <v>0</v>
      </c>
    </row>
    <row r="108" spans="1:16">
      <c r="B108" s="195" t="str">
        <f t="shared" si="25"/>
        <v/>
      </c>
      <c r="C108" s="507">
        <f>IF(D93="","-",+C107+1)</f>
        <v>2026</v>
      </c>
      <c r="D108" s="374">
        <f>IF(F107+SUM(E$99:E107)=D$92,F107,D$92-SUM(E$99:E107))</f>
        <v>1921969.0568936875</v>
      </c>
      <c r="E108" s="522">
        <f>IF(+J96&lt;F107,J96,D108)</f>
        <v>58176</v>
      </c>
      <c r="F108" s="523">
        <f t="shared" si="30"/>
        <v>1863793.0568936875</v>
      </c>
      <c r="G108" s="523">
        <f t="shared" si="31"/>
        <v>1892881.0568936875</v>
      </c>
      <c r="H108" s="526">
        <f t="shared" si="32"/>
        <v>273044.92878712027</v>
      </c>
      <c r="I108" s="577">
        <f t="shared" si="33"/>
        <v>273044.92878712027</v>
      </c>
      <c r="J108" s="514">
        <f t="shared" si="21"/>
        <v>0</v>
      </c>
      <c r="K108" s="514"/>
      <c r="L108" s="525"/>
      <c r="M108" s="514">
        <f t="shared" si="22"/>
        <v>0</v>
      </c>
      <c r="N108" s="525"/>
      <c r="O108" s="514">
        <f t="shared" si="23"/>
        <v>0</v>
      </c>
      <c r="P108" s="514">
        <f t="shared" si="24"/>
        <v>0</v>
      </c>
    </row>
    <row r="109" spans="1:16">
      <c r="B109" s="195" t="str">
        <f t="shared" si="25"/>
        <v/>
      </c>
      <c r="C109" s="507">
        <f>IF(D93="","-",+C108+1)</f>
        <v>2027</v>
      </c>
      <c r="D109" s="374">
        <f>IF(F108+SUM(E$99:E108)=D$92,F108,D$92-SUM(E$99:E108))</f>
        <v>1863793.0568936875</v>
      </c>
      <c r="E109" s="522">
        <f>IF(+J96&lt;F108,J96,D109)</f>
        <v>58176</v>
      </c>
      <c r="F109" s="523">
        <f t="shared" si="30"/>
        <v>1805617.0568936875</v>
      </c>
      <c r="G109" s="523">
        <f t="shared" si="31"/>
        <v>1834705.0568936875</v>
      </c>
      <c r="H109" s="526">
        <f t="shared" si="32"/>
        <v>266441.1251537145</v>
      </c>
      <c r="I109" s="577">
        <f t="shared" si="33"/>
        <v>266441.1251537145</v>
      </c>
      <c r="J109" s="514">
        <f t="shared" si="21"/>
        <v>0</v>
      </c>
      <c r="K109" s="514"/>
      <c r="L109" s="525"/>
      <c r="M109" s="514">
        <f t="shared" si="22"/>
        <v>0</v>
      </c>
      <c r="N109" s="525"/>
      <c r="O109" s="514">
        <f t="shared" si="23"/>
        <v>0</v>
      </c>
      <c r="P109" s="514">
        <f t="shared" si="24"/>
        <v>0</v>
      </c>
    </row>
    <row r="110" spans="1:16">
      <c r="B110" s="195" t="str">
        <f t="shared" si="25"/>
        <v/>
      </c>
      <c r="C110" s="507">
        <f>IF(D93="","-",+C109+1)</f>
        <v>2028</v>
      </c>
      <c r="D110" s="374">
        <f>IF(F109+SUM(E$99:E109)=D$92,F109,D$92-SUM(E$99:E109))</f>
        <v>1805617.0568936875</v>
      </c>
      <c r="E110" s="522">
        <f>IF(+J96&lt;F109,J96,D110)</f>
        <v>58176</v>
      </c>
      <c r="F110" s="523">
        <f t="shared" si="30"/>
        <v>1747441.0568936875</v>
      </c>
      <c r="G110" s="523">
        <f t="shared" si="31"/>
        <v>1776529.0568936875</v>
      </c>
      <c r="H110" s="526">
        <f t="shared" si="32"/>
        <v>259837.32152030873</v>
      </c>
      <c r="I110" s="577">
        <f t="shared" si="33"/>
        <v>259837.32152030873</v>
      </c>
      <c r="J110" s="514">
        <f t="shared" si="21"/>
        <v>0</v>
      </c>
      <c r="K110" s="514"/>
      <c r="L110" s="525"/>
      <c r="M110" s="514">
        <f t="shared" si="22"/>
        <v>0</v>
      </c>
      <c r="N110" s="525"/>
      <c r="O110" s="514">
        <f t="shared" si="23"/>
        <v>0</v>
      </c>
      <c r="P110" s="514">
        <f t="shared" si="24"/>
        <v>0</v>
      </c>
    </row>
    <row r="111" spans="1:16">
      <c r="B111" s="195" t="str">
        <f t="shared" si="25"/>
        <v/>
      </c>
      <c r="C111" s="507">
        <f>IF(D93="","-",+C110+1)</f>
        <v>2029</v>
      </c>
      <c r="D111" s="374">
        <f>IF(F110+SUM(E$99:E110)=D$92,F110,D$92-SUM(E$99:E110))</f>
        <v>1747441.0568936875</v>
      </c>
      <c r="E111" s="522">
        <f>IF(+J96&lt;F110,J96,D111)</f>
        <v>58176</v>
      </c>
      <c r="F111" s="523">
        <f t="shared" si="30"/>
        <v>1689265.0568936875</v>
      </c>
      <c r="G111" s="523">
        <f t="shared" si="31"/>
        <v>1718353.0568936875</v>
      </c>
      <c r="H111" s="526">
        <f t="shared" si="32"/>
        <v>253233.51788690293</v>
      </c>
      <c r="I111" s="577">
        <f t="shared" si="33"/>
        <v>253233.51788690293</v>
      </c>
      <c r="J111" s="514">
        <f t="shared" si="21"/>
        <v>0</v>
      </c>
      <c r="K111" s="514"/>
      <c r="L111" s="525"/>
      <c r="M111" s="514">
        <f t="shared" si="22"/>
        <v>0</v>
      </c>
      <c r="N111" s="525"/>
      <c r="O111" s="514">
        <f t="shared" si="23"/>
        <v>0</v>
      </c>
      <c r="P111" s="514">
        <f t="shared" si="24"/>
        <v>0</v>
      </c>
    </row>
    <row r="112" spans="1:16">
      <c r="B112" s="195" t="str">
        <f t="shared" si="25"/>
        <v/>
      </c>
      <c r="C112" s="507">
        <f>IF(D93="","-",+C111+1)</f>
        <v>2030</v>
      </c>
      <c r="D112" s="374">
        <f>IF(F111+SUM(E$99:E111)=D$92,F111,D$92-SUM(E$99:E111))</f>
        <v>1689265.0568936875</v>
      </c>
      <c r="E112" s="522">
        <f>IF(+J96&lt;F111,J96,D112)</f>
        <v>58176</v>
      </c>
      <c r="F112" s="523">
        <f t="shared" si="30"/>
        <v>1631089.0568936875</v>
      </c>
      <c r="G112" s="523">
        <f t="shared" si="31"/>
        <v>1660177.0568936875</v>
      </c>
      <c r="H112" s="526">
        <f t="shared" si="32"/>
        <v>246629.71425349716</v>
      </c>
      <c r="I112" s="577">
        <f t="shared" si="33"/>
        <v>246629.71425349716</v>
      </c>
      <c r="J112" s="514">
        <f t="shared" si="21"/>
        <v>0</v>
      </c>
      <c r="K112" s="514"/>
      <c r="L112" s="525"/>
      <c r="M112" s="514">
        <f t="shared" si="22"/>
        <v>0</v>
      </c>
      <c r="N112" s="525"/>
      <c r="O112" s="514">
        <f t="shared" si="23"/>
        <v>0</v>
      </c>
      <c r="P112" s="514">
        <f t="shared" si="24"/>
        <v>0</v>
      </c>
    </row>
    <row r="113" spans="2:16">
      <c r="B113" s="195" t="str">
        <f t="shared" si="25"/>
        <v/>
      </c>
      <c r="C113" s="507">
        <f>IF(D93="","-",+C112+1)</f>
        <v>2031</v>
      </c>
      <c r="D113" s="374">
        <f>IF(F112+SUM(E$99:E112)=D$92,F112,D$92-SUM(E$99:E112))</f>
        <v>1631089.0568936875</v>
      </c>
      <c r="E113" s="522">
        <f>IF(+J96&lt;F112,J96,D113)</f>
        <v>58176</v>
      </c>
      <c r="F113" s="523">
        <f t="shared" si="30"/>
        <v>1572913.0568936875</v>
      </c>
      <c r="G113" s="523">
        <f t="shared" si="31"/>
        <v>1602001.0568936875</v>
      </c>
      <c r="H113" s="526">
        <f t="shared" si="32"/>
        <v>240025.9106200914</v>
      </c>
      <c r="I113" s="577">
        <f t="shared" si="33"/>
        <v>240025.9106200914</v>
      </c>
      <c r="J113" s="514">
        <f t="shared" si="21"/>
        <v>0</v>
      </c>
      <c r="K113" s="514"/>
      <c r="L113" s="525"/>
      <c r="M113" s="514">
        <f t="shared" si="22"/>
        <v>0</v>
      </c>
      <c r="N113" s="525"/>
      <c r="O113" s="514">
        <f t="shared" si="23"/>
        <v>0</v>
      </c>
      <c r="P113" s="514">
        <f t="shared" si="24"/>
        <v>0</v>
      </c>
    </row>
    <row r="114" spans="2:16">
      <c r="B114" s="195" t="str">
        <f t="shared" si="25"/>
        <v/>
      </c>
      <c r="C114" s="507">
        <f>IF(D93="","-",+C113+1)</f>
        <v>2032</v>
      </c>
      <c r="D114" s="374">
        <f>IF(F113+SUM(E$99:E113)=D$92,F113,D$92-SUM(E$99:E113))</f>
        <v>1572913.0568936875</v>
      </c>
      <c r="E114" s="522">
        <f>IF(+J96&lt;F113,J96,D114)</f>
        <v>58176</v>
      </c>
      <c r="F114" s="523">
        <f t="shared" si="30"/>
        <v>1514737.0568936875</v>
      </c>
      <c r="G114" s="523">
        <f t="shared" si="31"/>
        <v>1543825.0568936875</v>
      </c>
      <c r="H114" s="526">
        <f t="shared" si="32"/>
        <v>233422.1069866856</v>
      </c>
      <c r="I114" s="577">
        <f t="shared" si="33"/>
        <v>233422.1069866856</v>
      </c>
      <c r="J114" s="514">
        <f t="shared" si="21"/>
        <v>0</v>
      </c>
      <c r="K114" s="514"/>
      <c r="L114" s="525"/>
      <c r="M114" s="514">
        <f t="shared" si="22"/>
        <v>0</v>
      </c>
      <c r="N114" s="525"/>
      <c r="O114" s="514">
        <f t="shared" si="23"/>
        <v>0</v>
      </c>
      <c r="P114" s="514">
        <f t="shared" si="24"/>
        <v>0</v>
      </c>
    </row>
    <row r="115" spans="2:16">
      <c r="B115" s="195" t="str">
        <f t="shared" si="25"/>
        <v/>
      </c>
      <c r="C115" s="507">
        <f>IF(D93="","-",+C114+1)</f>
        <v>2033</v>
      </c>
      <c r="D115" s="374">
        <f>IF(F114+SUM(E$99:E114)=D$92,F114,D$92-SUM(E$99:E114))</f>
        <v>1514737.0568936875</v>
      </c>
      <c r="E115" s="522">
        <f>IF(+J96&lt;F114,J96,D115)</f>
        <v>58176</v>
      </c>
      <c r="F115" s="523">
        <f t="shared" si="30"/>
        <v>1456561.0568936875</v>
      </c>
      <c r="G115" s="523">
        <f t="shared" si="31"/>
        <v>1485649.0568936875</v>
      </c>
      <c r="H115" s="526">
        <f t="shared" si="32"/>
        <v>226818.30335327983</v>
      </c>
      <c r="I115" s="577">
        <f t="shared" si="33"/>
        <v>226818.30335327983</v>
      </c>
      <c r="J115" s="514">
        <f t="shared" si="21"/>
        <v>0</v>
      </c>
      <c r="K115" s="514"/>
      <c r="L115" s="525"/>
      <c r="M115" s="514">
        <f t="shared" si="22"/>
        <v>0</v>
      </c>
      <c r="N115" s="525"/>
      <c r="O115" s="514">
        <f t="shared" si="23"/>
        <v>0</v>
      </c>
      <c r="P115" s="514">
        <f t="shared" si="24"/>
        <v>0</v>
      </c>
    </row>
    <row r="116" spans="2:16">
      <c r="B116" s="195" t="str">
        <f t="shared" si="25"/>
        <v/>
      </c>
      <c r="C116" s="507">
        <f>IF(D93="","-",+C115+1)</f>
        <v>2034</v>
      </c>
      <c r="D116" s="374">
        <f>IF(F115+SUM(E$99:E115)=D$92,F115,D$92-SUM(E$99:E115))</f>
        <v>1456561.0568936875</v>
      </c>
      <c r="E116" s="522">
        <f>IF(+J96&lt;F115,J96,D116)</f>
        <v>58176</v>
      </c>
      <c r="F116" s="523">
        <f t="shared" si="30"/>
        <v>1398385.0568936875</v>
      </c>
      <c r="G116" s="523">
        <f t="shared" si="31"/>
        <v>1427473.0568936875</v>
      </c>
      <c r="H116" s="526">
        <f t="shared" si="32"/>
        <v>220214.49971987403</v>
      </c>
      <c r="I116" s="577">
        <f t="shared" si="33"/>
        <v>220214.49971987403</v>
      </c>
      <c r="J116" s="514">
        <f t="shared" si="21"/>
        <v>0</v>
      </c>
      <c r="K116" s="514"/>
      <c r="L116" s="525"/>
      <c r="M116" s="514">
        <f t="shared" si="22"/>
        <v>0</v>
      </c>
      <c r="N116" s="525"/>
      <c r="O116" s="514">
        <f t="shared" si="23"/>
        <v>0</v>
      </c>
      <c r="P116" s="514">
        <f t="shared" si="24"/>
        <v>0</v>
      </c>
    </row>
    <row r="117" spans="2:16">
      <c r="B117" s="195" t="str">
        <f t="shared" si="25"/>
        <v/>
      </c>
      <c r="C117" s="507">
        <f>IF(D93="","-",+C116+1)</f>
        <v>2035</v>
      </c>
      <c r="D117" s="374">
        <f>IF(F116+SUM(E$99:E116)=D$92,F116,D$92-SUM(E$99:E116))</f>
        <v>1398385.0568936875</v>
      </c>
      <c r="E117" s="522">
        <f>IF(+J96&lt;F116,J96,D117)</f>
        <v>58176</v>
      </c>
      <c r="F117" s="523">
        <f t="shared" si="30"/>
        <v>1340209.0568936875</v>
      </c>
      <c r="G117" s="523">
        <f t="shared" si="31"/>
        <v>1369297.0568936875</v>
      </c>
      <c r="H117" s="526">
        <f t="shared" si="32"/>
        <v>213610.69608646826</v>
      </c>
      <c r="I117" s="577">
        <f t="shared" si="33"/>
        <v>213610.69608646826</v>
      </c>
      <c r="J117" s="514">
        <f t="shared" si="21"/>
        <v>0</v>
      </c>
      <c r="K117" s="514"/>
      <c r="L117" s="525"/>
      <c r="M117" s="514">
        <f t="shared" si="22"/>
        <v>0</v>
      </c>
      <c r="N117" s="525"/>
      <c r="O117" s="514">
        <f t="shared" si="23"/>
        <v>0</v>
      </c>
      <c r="P117" s="514">
        <f t="shared" si="24"/>
        <v>0</v>
      </c>
    </row>
    <row r="118" spans="2:16">
      <c r="B118" s="195" t="str">
        <f t="shared" si="25"/>
        <v/>
      </c>
      <c r="C118" s="507">
        <f>IF(D93="","-",+C117+1)</f>
        <v>2036</v>
      </c>
      <c r="D118" s="374">
        <f>IF(F117+SUM(E$99:E117)=D$92,F117,D$92-SUM(E$99:E117))</f>
        <v>1340209.0568936875</v>
      </c>
      <c r="E118" s="522">
        <f>IF(+J96&lt;F117,J96,D118)</f>
        <v>58176</v>
      </c>
      <c r="F118" s="523">
        <f t="shared" si="30"/>
        <v>1282033.0568936875</v>
      </c>
      <c r="G118" s="523">
        <f t="shared" si="31"/>
        <v>1311121.0568936875</v>
      </c>
      <c r="H118" s="526">
        <f t="shared" si="32"/>
        <v>207006.89245306246</v>
      </c>
      <c r="I118" s="577">
        <f t="shared" si="33"/>
        <v>207006.89245306246</v>
      </c>
      <c r="J118" s="514">
        <f t="shared" si="21"/>
        <v>0</v>
      </c>
      <c r="K118" s="514"/>
      <c r="L118" s="525"/>
      <c r="M118" s="514">
        <f t="shared" si="22"/>
        <v>0</v>
      </c>
      <c r="N118" s="525"/>
      <c r="O118" s="514">
        <f t="shared" si="23"/>
        <v>0</v>
      </c>
      <c r="P118" s="514">
        <f t="shared" si="24"/>
        <v>0</v>
      </c>
    </row>
    <row r="119" spans="2:16">
      <c r="B119" s="195" t="str">
        <f t="shared" si="25"/>
        <v/>
      </c>
      <c r="C119" s="507">
        <f>IF(D93="","-",+C118+1)</f>
        <v>2037</v>
      </c>
      <c r="D119" s="374">
        <f>IF(F118+SUM(E$99:E118)=D$92,F118,D$92-SUM(E$99:E118))</f>
        <v>1282033.0568936875</v>
      </c>
      <c r="E119" s="522">
        <f>IF(+J96&lt;F118,J96,D119)</f>
        <v>58176</v>
      </c>
      <c r="F119" s="523">
        <f t="shared" si="30"/>
        <v>1223857.0568936875</v>
      </c>
      <c r="G119" s="523">
        <f t="shared" si="31"/>
        <v>1252945.0568936875</v>
      </c>
      <c r="H119" s="526">
        <f t="shared" si="32"/>
        <v>200403.0888196567</v>
      </c>
      <c r="I119" s="577">
        <f t="shared" si="33"/>
        <v>200403.0888196567</v>
      </c>
      <c r="J119" s="514">
        <f t="shared" si="21"/>
        <v>0</v>
      </c>
      <c r="K119" s="514"/>
      <c r="L119" s="525"/>
      <c r="M119" s="514">
        <f t="shared" si="22"/>
        <v>0</v>
      </c>
      <c r="N119" s="525"/>
      <c r="O119" s="514">
        <f t="shared" si="23"/>
        <v>0</v>
      </c>
      <c r="P119" s="514">
        <f t="shared" si="24"/>
        <v>0</v>
      </c>
    </row>
    <row r="120" spans="2:16">
      <c r="B120" s="195" t="str">
        <f t="shared" si="25"/>
        <v/>
      </c>
      <c r="C120" s="507">
        <f>IF(D93="","-",+C119+1)</f>
        <v>2038</v>
      </c>
      <c r="D120" s="374">
        <f>IF(F119+SUM(E$99:E119)=D$92,F119,D$92-SUM(E$99:E119))</f>
        <v>1223857.0568936875</v>
      </c>
      <c r="E120" s="522">
        <f>IF(+J96&lt;F119,J96,D120)</f>
        <v>58176</v>
      </c>
      <c r="F120" s="523">
        <f t="shared" si="30"/>
        <v>1165681.0568936875</v>
      </c>
      <c r="G120" s="523">
        <f t="shared" si="31"/>
        <v>1194769.0568936875</v>
      </c>
      <c r="H120" s="526">
        <f t="shared" si="32"/>
        <v>193799.2851862509</v>
      </c>
      <c r="I120" s="577">
        <f t="shared" si="33"/>
        <v>193799.2851862509</v>
      </c>
      <c r="J120" s="514">
        <f t="shared" si="21"/>
        <v>0</v>
      </c>
      <c r="K120" s="514"/>
      <c r="L120" s="525"/>
      <c r="M120" s="514">
        <f t="shared" si="22"/>
        <v>0</v>
      </c>
      <c r="N120" s="525"/>
      <c r="O120" s="514">
        <f t="shared" si="23"/>
        <v>0</v>
      </c>
      <c r="P120" s="514">
        <f t="shared" si="24"/>
        <v>0</v>
      </c>
    </row>
    <row r="121" spans="2:16">
      <c r="B121" s="195" t="str">
        <f t="shared" si="25"/>
        <v/>
      </c>
      <c r="C121" s="507">
        <f>IF(D93="","-",+C120+1)</f>
        <v>2039</v>
      </c>
      <c r="D121" s="374">
        <f>IF(F120+SUM(E$99:E120)=D$92,F120,D$92-SUM(E$99:E120))</f>
        <v>1165681.0568936875</v>
      </c>
      <c r="E121" s="522">
        <f>IF(+J96&lt;F120,J96,D121)</f>
        <v>58176</v>
      </c>
      <c r="F121" s="523">
        <f t="shared" si="30"/>
        <v>1107505.0568936875</v>
      </c>
      <c r="G121" s="523">
        <f t="shared" si="31"/>
        <v>1136593.0568936875</v>
      </c>
      <c r="H121" s="526">
        <f t="shared" si="32"/>
        <v>187195.48155284513</v>
      </c>
      <c r="I121" s="577">
        <f t="shared" si="33"/>
        <v>187195.48155284513</v>
      </c>
      <c r="J121" s="514">
        <f t="shared" si="21"/>
        <v>0</v>
      </c>
      <c r="K121" s="514"/>
      <c r="L121" s="525"/>
      <c r="M121" s="514">
        <f t="shared" si="22"/>
        <v>0</v>
      </c>
      <c r="N121" s="525"/>
      <c r="O121" s="514">
        <f t="shared" si="23"/>
        <v>0</v>
      </c>
      <c r="P121" s="514">
        <f t="shared" si="24"/>
        <v>0</v>
      </c>
    </row>
    <row r="122" spans="2:16">
      <c r="B122" s="195" t="str">
        <f t="shared" si="25"/>
        <v/>
      </c>
      <c r="C122" s="507">
        <f>IF(D93="","-",+C121+1)</f>
        <v>2040</v>
      </c>
      <c r="D122" s="374">
        <f>IF(F121+SUM(E$99:E121)=D$92,F121,D$92-SUM(E$99:E121))</f>
        <v>1107505.0568936875</v>
      </c>
      <c r="E122" s="522">
        <f>IF(+J96&lt;F121,J96,D122)</f>
        <v>58176</v>
      </c>
      <c r="F122" s="523">
        <f t="shared" si="30"/>
        <v>1049329.0568936875</v>
      </c>
      <c r="G122" s="523">
        <f t="shared" si="31"/>
        <v>1078417.0568936875</v>
      </c>
      <c r="H122" s="526">
        <f t="shared" si="32"/>
        <v>180591.67791943933</v>
      </c>
      <c r="I122" s="577">
        <f t="shared" si="33"/>
        <v>180591.67791943933</v>
      </c>
      <c r="J122" s="514">
        <f t="shared" si="21"/>
        <v>0</v>
      </c>
      <c r="K122" s="514"/>
      <c r="L122" s="525"/>
      <c r="M122" s="514">
        <f t="shared" si="22"/>
        <v>0</v>
      </c>
      <c r="N122" s="525"/>
      <c r="O122" s="514">
        <f t="shared" si="23"/>
        <v>0</v>
      </c>
      <c r="P122" s="514">
        <f t="shared" si="24"/>
        <v>0</v>
      </c>
    </row>
    <row r="123" spans="2:16">
      <c r="B123" s="195" t="str">
        <f t="shared" si="25"/>
        <v/>
      </c>
      <c r="C123" s="507">
        <f>IF(D93="","-",+C122+1)</f>
        <v>2041</v>
      </c>
      <c r="D123" s="374">
        <f>IF(F122+SUM(E$99:E122)=D$92,F122,D$92-SUM(E$99:E122))</f>
        <v>1049329.0568936875</v>
      </c>
      <c r="E123" s="522">
        <f>IF(+J96&lt;F122,J96,D123)</f>
        <v>58176</v>
      </c>
      <c r="F123" s="523">
        <f t="shared" si="30"/>
        <v>991153.05689368746</v>
      </c>
      <c r="G123" s="523">
        <f t="shared" si="31"/>
        <v>1020241.0568936875</v>
      </c>
      <c r="H123" s="526">
        <f t="shared" si="32"/>
        <v>173987.87428603356</v>
      </c>
      <c r="I123" s="577">
        <f t="shared" si="33"/>
        <v>173987.87428603356</v>
      </c>
      <c r="J123" s="514">
        <f t="shared" si="21"/>
        <v>0</v>
      </c>
      <c r="K123" s="514"/>
      <c r="L123" s="525"/>
      <c r="M123" s="514">
        <f t="shared" si="22"/>
        <v>0</v>
      </c>
      <c r="N123" s="525"/>
      <c r="O123" s="514">
        <f t="shared" si="23"/>
        <v>0</v>
      </c>
      <c r="P123" s="514">
        <f t="shared" si="24"/>
        <v>0</v>
      </c>
    </row>
    <row r="124" spans="2:16">
      <c r="B124" s="195" t="str">
        <f t="shared" si="25"/>
        <v/>
      </c>
      <c r="C124" s="507">
        <f>IF(D93="","-",+C123+1)</f>
        <v>2042</v>
      </c>
      <c r="D124" s="374">
        <f>IF(F123+SUM(E$99:E123)=D$92,F123,D$92-SUM(E$99:E123))</f>
        <v>991153.05689368746</v>
      </c>
      <c r="E124" s="522">
        <f>IF(+J96&lt;F123,J96,D124)</f>
        <v>58176</v>
      </c>
      <c r="F124" s="523">
        <f t="shared" si="30"/>
        <v>932977.05689368746</v>
      </c>
      <c r="G124" s="523">
        <f t="shared" si="31"/>
        <v>962065.05689368746</v>
      </c>
      <c r="H124" s="526">
        <f t="shared" si="32"/>
        <v>167384.07065262779</v>
      </c>
      <c r="I124" s="577">
        <f t="shared" si="33"/>
        <v>167384.07065262779</v>
      </c>
      <c r="J124" s="514">
        <f t="shared" si="21"/>
        <v>0</v>
      </c>
      <c r="K124" s="514"/>
      <c r="L124" s="525"/>
      <c r="M124" s="514">
        <f t="shared" si="22"/>
        <v>0</v>
      </c>
      <c r="N124" s="525"/>
      <c r="O124" s="514">
        <f t="shared" si="23"/>
        <v>0</v>
      </c>
      <c r="P124" s="514">
        <f t="shared" si="24"/>
        <v>0</v>
      </c>
    </row>
    <row r="125" spans="2:16">
      <c r="B125" s="195" t="str">
        <f t="shared" si="25"/>
        <v/>
      </c>
      <c r="C125" s="507">
        <f>IF(D93="","-",+C124+1)</f>
        <v>2043</v>
      </c>
      <c r="D125" s="374">
        <f>IF(F124+SUM(E$99:E124)=D$92,F124,D$92-SUM(E$99:E124))</f>
        <v>932977.05689368746</v>
      </c>
      <c r="E125" s="522">
        <f>IF(+J96&lt;F124,J96,D125)</f>
        <v>58176</v>
      </c>
      <c r="F125" s="523">
        <f t="shared" si="30"/>
        <v>874801.05689368746</v>
      </c>
      <c r="G125" s="523">
        <f t="shared" si="31"/>
        <v>903889.05689368746</v>
      </c>
      <c r="H125" s="526">
        <f t="shared" si="32"/>
        <v>160780.267019222</v>
      </c>
      <c r="I125" s="577">
        <f t="shared" si="33"/>
        <v>160780.267019222</v>
      </c>
      <c r="J125" s="514">
        <f t="shared" si="21"/>
        <v>0</v>
      </c>
      <c r="K125" s="514"/>
      <c r="L125" s="525"/>
      <c r="M125" s="514">
        <f t="shared" si="22"/>
        <v>0</v>
      </c>
      <c r="N125" s="525"/>
      <c r="O125" s="514">
        <f t="shared" si="23"/>
        <v>0</v>
      </c>
      <c r="P125" s="514">
        <f t="shared" si="24"/>
        <v>0</v>
      </c>
    </row>
    <row r="126" spans="2:16">
      <c r="B126" s="195" t="str">
        <f t="shared" si="25"/>
        <v/>
      </c>
      <c r="C126" s="507">
        <f>IF(D93="","-",+C125+1)</f>
        <v>2044</v>
      </c>
      <c r="D126" s="374">
        <f>IF(F125+SUM(E$99:E125)=D$92,F125,D$92-SUM(E$99:E125))</f>
        <v>874801.05689368746</v>
      </c>
      <c r="E126" s="522">
        <f>IF(+J96&lt;F125,J96,D126)</f>
        <v>58176</v>
      </c>
      <c r="F126" s="523">
        <f t="shared" si="30"/>
        <v>816625.05689368746</v>
      </c>
      <c r="G126" s="523">
        <f t="shared" si="31"/>
        <v>845713.05689368746</v>
      </c>
      <c r="H126" s="526">
        <f t="shared" si="32"/>
        <v>154176.4633858162</v>
      </c>
      <c r="I126" s="577">
        <f t="shared" si="33"/>
        <v>154176.4633858162</v>
      </c>
      <c r="J126" s="514">
        <f t="shared" si="21"/>
        <v>0</v>
      </c>
      <c r="K126" s="514"/>
      <c r="L126" s="525"/>
      <c r="M126" s="514">
        <f t="shared" si="22"/>
        <v>0</v>
      </c>
      <c r="N126" s="525"/>
      <c r="O126" s="514">
        <f t="shared" si="23"/>
        <v>0</v>
      </c>
      <c r="P126" s="514">
        <f t="shared" si="24"/>
        <v>0</v>
      </c>
    </row>
    <row r="127" spans="2:16">
      <c r="B127" s="195" t="str">
        <f t="shared" si="25"/>
        <v/>
      </c>
      <c r="C127" s="507">
        <f>IF(D93="","-",+C126+1)</f>
        <v>2045</v>
      </c>
      <c r="D127" s="374">
        <f>IF(F126+SUM(E$99:E126)=D$92,F126,D$92-SUM(E$99:E126))</f>
        <v>816625.05689368746</v>
      </c>
      <c r="E127" s="522">
        <f>IF(+J96&lt;F126,J96,D127)</f>
        <v>58176</v>
      </c>
      <c r="F127" s="523">
        <f t="shared" si="30"/>
        <v>758449.05689368746</v>
      </c>
      <c r="G127" s="523">
        <f t="shared" si="31"/>
        <v>787537.05689368746</v>
      </c>
      <c r="H127" s="526">
        <f t="shared" si="32"/>
        <v>147572.65975241043</v>
      </c>
      <c r="I127" s="577">
        <f t="shared" si="33"/>
        <v>147572.65975241043</v>
      </c>
      <c r="J127" s="514">
        <f t="shared" si="21"/>
        <v>0</v>
      </c>
      <c r="K127" s="514"/>
      <c r="L127" s="525"/>
      <c r="M127" s="514">
        <f t="shared" si="22"/>
        <v>0</v>
      </c>
      <c r="N127" s="525"/>
      <c r="O127" s="514">
        <f t="shared" si="23"/>
        <v>0</v>
      </c>
      <c r="P127" s="514">
        <f t="shared" si="24"/>
        <v>0</v>
      </c>
    </row>
    <row r="128" spans="2:16">
      <c r="B128" s="195" t="str">
        <f t="shared" si="25"/>
        <v/>
      </c>
      <c r="C128" s="507">
        <f>IF(D93="","-",+C127+1)</f>
        <v>2046</v>
      </c>
      <c r="D128" s="374">
        <f>IF(F127+SUM(E$99:E127)=D$92,F127,D$92-SUM(E$99:E127))</f>
        <v>758449.05689368746</v>
      </c>
      <c r="E128" s="522">
        <f>IF(+J96&lt;F127,J96,D128)</f>
        <v>58176</v>
      </c>
      <c r="F128" s="523">
        <f t="shared" si="30"/>
        <v>700273.05689368746</v>
      </c>
      <c r="G128" s="523">
        <f t="shared" si="31"/>
        <v>729361.05689368746</v>
      </c>
      <c r="H128" s="526">
        <f t="shared" si="32"/>
        <v>140968.85611900466</v>
      </c>
      <c r="I128" s="577">
        <f t="shared" si="33"/>
        <v>140968.85611900466</v>
      </c>
      <c r="J128" s="514">
        <f t="shared" si="21"/>
        <v>0</v>
      </c>
      <c r="K128" s="514"/>
      <c r="L128" s="525"/>
      <c r="M128" s="514">
        <f t="shared" si="22"/>
        <v>0</v>
      </c>
      <c r="N128" s="525"/>
      <c r="O128" s="514">
        <f t="shared" si="23"/>
        <v>0</v>
      </c>
      <c r="P128" s="514">
        <f t="shared" si="24"/>
        <v>0</v>
      </c>
    </row>
    <row r="129" spans="2:16">
      <c r="B129" s="195" t="str">
        <f t="shared" si="25"/>
        <v/>
      </c>
      <c r="C129" s="507">
        <f>IF(D93="","-",+C128+1)</f>
        <v>2047</v>
      </c>
      <c r="D129" s="374">
        <f>IF(F128+SUM(E$99:E128)=D$92,F128,D$92-SUM(E$99:E128))</f>
        <v>700273.05689368746</v>
      </c>
      <c r="E129" s="522">
        <f>IF(+J96&lt;F128,J96,D129)</f>
        <v>58176</v>
      </c>
      <c r="F129" s="523">
        <f t="shared" si="30"/>
        <v>642097.05689368746</v>
      </c>
      <c r="G129" s="523">
        <f t="shared" si="31"/>
        <v>671185.05689368746</v>
      </c>
      <c r="H129" s="526">
        <f t="shared" si="32"/>
        <v>134365.05248559886</v>
      </c>
      <c r="I129" s="577">
        <f t="shared" si="33"/>
        <v>134365.05248559886</v>
      </c>
      <c r="J129" s="514">
        <f t="shared" si="21"/>
        <v>0</v>
      </c>
      <c r="K129" s="514"/>
      <c r="L129" s="525"/>
      <c r="M129" s="514">
        <f t="shared" si="22"/>
        <v>0</v>
      </c>
      <c r="N129" s="525"/>
      <c r="O129" s="514">
        <f t="shared" si="23"/>
        <v>0</v>
      </c>
      <c r="P129" s="514">
        <f t="shared" si="24"/>
        <v>0</v>
      </c>
    </row>
    <row r="130" spans="2:16">
      <c r="B130" s="195" t="str">
        <f t="shared" si="25"/>
        <v/>
      </c>
      <c r="C130" s="507">
        <f>IF(D93="","-",+C129+1)</f>
        <v>2048</v>
      </c>
      <c r="D130" s="374">
        <f>IF(F129+SUM(E$99:E129)=D$92,F129,D$92-SUM(E$99:E129))</f>
        <v>642097.05689368746</v>
      </c>
      <c r="E130" s="522">
        <f>IF(+J96&lt;F129,J96,D130)</f>
        <v>58176</v>
      </c>
      <c r="F130" s="523">
        <f t="shared" si="30"/>
        <v>583921.05689368746</v>
      </c>
      <c r="G130" s="523">
        <f t="shared" si="31"/>
        <v>613009.05689368746</v>
      </c>
      <c r="H130" s="526">
        <f t="shared" si="32"/>
        <v>127761.24885219309</v>
      </c>
      <c r="I130" s="577">
        <f t="shared" si="33"/>
        <v>127761.24885219309</v>
      </c>
      <c r="J130" s="514">
        <f t="shared" si="21"/>
        <v>0</v>
      </c>
      <c r="K130" s="514"/>
      <c r="L130" s="525"/>
      <c r="M130" s="514">
        <f t="shared" si="22"/>
        <v>0</v>
      </c>
      <c r="N130" s="525"/>
      <c r="O130" s="514">
        <f t="shared" si="23"/>
        <v>0</v>
      </c>
      <c r="P130" s="514">
        <f t="shared" si="24"/>
        <v>0</v>
      </c>
    </row>
    <row r="131" spans="2:16">
      <c r="B131" s="195" t="str">
        <f t="shared" si="25"/>
        <v/>
      </c>
      <c r="C131" s="507">
        <f>IF(D93="","-",+C130+1)</f>
        <v>2049</v>
      </c>
      <c r="D131" s="374">
        <f>IF(F130+SUM(E$99:E130)=D$92,F130,D$92-SUM(E$99:E130))</f>
        <v>583921.05689368746</v>
      </c>
      <c r="E131" s="522">
        <f>IF(+J96&lt;F130,J96,D131)</f>
        <v>58176</v>
      </c>
      <c r="F131" s="523">
        <f t="shared" ref="F131:F154" si="34">+D131-E131</f>
        <v>525745.05689368746</v>
      </c>
      <c r="G131" s="523">
        <f t="shared" ref="G131:G154" si="35">+(F131+D131)/2</f>
        <v>554833.05689368746</v>
      </c>
      <c r="H131" s="526">
        <f t="shared" si="32"/>
        <v>121157.4452187873</v>
      </c>
      <c r="I131" s="577">
        <f t="shared" si="33"/>
        <v>121157.4452187873</v>
      </c>
      <c r="J131" s="514">
        <f t="shared" ref="J131:J154" si="36">+I541-H541</f>
        <v>0</v>
      </c>
      <c r="K131" s="514"/>
      <c r="L131" s="525"/>
      <c r="M131" s="514">
        <f t="shared" ref="M131:M154" si="37">IF(L541&lt;&gt;0,+H541-L541,0)</f>
        <v>0</v>
      </c>
      <c r="N131" s="525"/>
      <c r="O131" s="514">
        <f t="shared" ref="O131:O154" si="38">IF(N541&lt;&gt;0,+I541-N541,0)</f>
        <v>0</v>
      </c>
      <c r="P131" s="514">
        <f t="shared" ref="P131:P154" si="39">+O541-M541</f>
        <v>0</v>
      </c>
    </row>
    <row r="132" spans="2:16">
      <c r="B132" s="195" t="str">
        <f t="shared" si="25"/>
        <v/>
      </c>
      <c r="C132" s="507">
        <f>IF(D93="","-",+C131+1)</f>
        <v>2050</v>
      </c>
      <c r="D132" s="374">
        <f>IF(F131+SUM(E$99:E131)=D$92,F131,D$92-SUM(E$99:E131))</f>
        <v>525745.05689368746</v>
      </c>
      <c r="E132" s="522">
        <f>IF(+J96&lt;F131,J96,D132)</f>
        <v>58176</v>
      </c>
      <c r="F132" s="523">
        <f t="shared" si="34"/>
        <v>467569.05689368746</v>
      </c>
      <c r="G132" s="523">
        <f t="shared" si="35"/>
        <v>496657.05689368746</v>
      </c>
      <c r="H132" s="526">
        <f t="shared" si="32"/>
        <v>114553.64158538153</v>
      </c>
      <c r="I132" s="577">
        <f t="shared" si="33"/>
        <v>114553.64158538153</v>
      </c>
      <c r="J132" s="514">
        <f t="shared" si="36"/>
        <v>0</v>
      </c>
      <c r="K132" s="514"/>
      <c r="L132" s="525"/>
      <c r="M132" s="514">
        <f t="shared" si="37"/>
        <v>0</v>
      </c>
      <c r="N132" s="525"/>
      <c r="O132" s="514">
        <f t="shared" si="38"/>
        <v>0</v>
      </c>
      <c r="P132" s="514">
        <f t="shared" si="39"/>
        <v>0</v>
      </c>
    </row>
    <row r="133" spans="2:16">
      <c r="B133" s="195" t="str">
        <f t="shared" si="25"/>
        <v/>
      </c>
      <c r="C133" s="507">
        <f>IF(D93="","-",+C132+1)</f>
        <v>2051</v>
      </c>
      <c r="D133" s="374">
        <f>IF(F132+SUM(E$99:E132)=D$92,F132,D$92-SUM(E$99:E132))</f>
        <v>467569.05689368746</v>
      </c>
      <c r="E133" s="522">
        <f>IF(+J96&lt;F132,J96,D133)</f>
        <v>58176</v>
      </c>
      <c r="F133" s="523">
        <f t="shared" si="34"/>
        <v>409393.05689368746</v>
      </c>
      <c r="G133" s="523">
        <f t="shared" si="35"/>
        <v>438481.05689368746</v>
      </c>
      <c r="H133" s="526">
        <f t="shared" si="32"/>
        <v>107949.83795197574</v>
      </c>
      <c r="I133" s="577">
        <f t="shared" si="33"/>
        <v>107949.83795197574</v>
      </c>
      <c r="J133" s="514">
        <f t="shared" si="36"/>
        <v>0</v>
      </c>
      <c r="K133" s="514"/>
      <c r="L133" s="525"/>
      <c r="M133" s="514">
        <f t="shared" si="37"/>
        <v>0</v>
      </c>
      <c r="N133" s="525"/>
      <c r="O133" s="514">
        <f t="shared" si="38"/>
        <v>0</v>
      </c>
      <c r="P133" s="514">
        <f t="shared" si="39"/>
        <v>0</v>
      </c>
    </row>
    <row r="134" spans="2:16">
      <c r="B134" s="195" t="str">
        <f t="shared" si="25"/>
        <v/>
      </c>
      <c r="C134" s="507">
        <f>IF(D93="","-",+C133+1)</f>
        <v>2052</v>
      </c>
      <c r="D134" s="374">
        <f>IF(F133+SUM(E$99:E133)=D$92,F133,D$92-SUM(E$99:E133))</f>
        <v>409393.05689368746</v>
      </c>
      <c r="E134" s="522">
        <f>IF(+J96&lt;F133,J96,D134)</f>
        <v>58176</v>
      </c>
      <c r="F134" s="523">
        <f t="shared" si="34"/>
        <v>351217.05689368746</v>
      </c>
      <c r="G134" s="523">
        <f t="shared" si="35"/>
        <v>380305.05689368746</v>
      </c>
      <c r="H134" s="526">
        <f t="shared" si="32"/>
        <v>101346.03431856996</v>
      </c>
      <c r="I134" s="577">
        <f t="shared" si="33"/>
        <v>101346.03431856996</v>
      </c>
      <c r="J134" s="514">
        <f t="shared" si="36"/>
        <v>0</v>
      </c>
      <c r="K134" s="514"/>
      <c r="L134" s="525"/>
      <c r="M134" s="514">
        <f t="shared" si="37"/>
        <v>0</v>
      </c>
      <c r="N134" s="525"/>
      <c r="O134" s="514">
        <f t="shared" si="38"/>
        <v>0</v>
      </c>
      <c r="P134" s="514">
        <f t="shared" si="39"/>
        <v>0</v>
      </c>
    </row>
    <row r="135" spans="2:16">
      <c r="B135" s="195" t="str">
        <f t="shared" si="25"/>
        <v/>
      </c>
      <c r="C135" s="507">
        <f>IF(D93="","-",+C134+1)</f>
        <v>2053</v>
      </c>
      <c r="D135" s="374">
        <f>IF(F134+SUM(E$99:E134)=D$92,F134,D$92-SUM(E$99:E134))</f>
        <v>351217.05689368746</v>
      </c>
      <c r="E135" s="522">
        <f>IF(+J96&lt;F134,J96,D135)</f>
        <v>58176</v>
      </c>
      <c r="F135" s="523">
        <f t="shared" si="34"/>
        <v>293041.05689368746</v>
      </c>
      <c r="G135" s="523">
        <f t="shared" si="35"/>
        <v>322129.05689368746</v>
      </c>
      <c r="H135" s="526">
        <f t="shared" si="32"/>
        <v>94742.230685164177</v>
      </c>
      <c r="I135" s="577">
        <f t="shared" si="33"/>
        <v>94742.230685164177</v>
      </c>
      <c r="J135" s="514">
        <f t="shared" si="36"/>
        <v>0</v>
      </c>
      <c r="K135" s="514"/>
      <c r="L135" s="525"/>
      <c r="M135" s="514">
        <f t="shared" si="37"/>
        <v>0</v>
      </c>
      <c r="N135" s="525"/>
      <c r="O135" s="514">
        <f t="shared" si="38"/>
        <v>0</v>
      </c>
      <c r="P135" s="514">
        <f t="shared" si="39"/>
        <v>0</v>
      </c>
    </row>
    <row r="136" spans="2:16">
      <c r="B136" s="195" t="str">
        <f t="shared" si="25"/>
        <v/>
      </c>
      <c r="C136" s="507">
        <f>IF(D93="","-",+C135+1)</f>
        <v>2054</v>
      </c>
      <c r="D136" s="374">
        <f>IF(F135+SUM(E$99:E135)=D$92,F135,D$92-SUM(E$99:E135))</f>
        <v>293041.05689368746</v>
      </c>
      <c r="E136" s="522">
        <f>IF(+J96&lt;F135,J96,D136)</f>
        <v>58176</v>
      </c>
      <c r="F136" s="523">
        <f t="shared" si="34"/>
        <v>234865.05689368746</v>
      </c>
      <c r="G136" s="523">
        <f t="shared" si="35"/>
        <v>263953.05689368746</v>
      </c>
      <c r="H136" s="526">
        <f t="shared" si="32"/>
        <v>88138.427051758394</v>
      </c>
      <c r="I136" s="577">
        <f t="shared" si="33"/>
        <v>88138.427051758394</v>
      </c>
      <c r="J136" s="514">
        <f t="shared" si="36"/>
        <v>0</v>
      </c>
      <c r="K136" s="514"/>
      <c r="L136" s="525"/>
      <c r="M136" s="514">
        <f t="shared" si="37"/>
        <v>0</v>
      </c>
      <c r="N136" s="525"/>
      <c r="O136" s="514">
        <f t="shared" si="38"/>
        <v>0</v>
      </c>
      <c r="P136" s="514">
        <f t="shared" si="39"/>
        <v>0</v>
      </c>
    </row>
    <row r="137" spans="2:16">
      <c r="B137" s="195" t="str">
        <f t="shared" si="25"/>
        <v/>
      </c>
      <c r="C137" s="507">
        <f>IF(D93="","-",+C136+1)</f>
        <v>2055</v>
      </c>
      <c r="D137" s="374">
        <f>IF(F136+SUM(E$99:E136)=D$92,F136,D$92-SUM(E$99:E136))</f>
        <v>234865.05689368746</v>
      </c>
      <c r="E137" s="522">
        <f>IF(+J96&lt;F136,J96,D137)</f>
        <v>58176</v>
      </c>
      <c r="F137" s="523">
        <f t="shared" si="34"/>
        <v>176689.05689368746</v>
      </c>
      <c r="G137" s="523">
        <f t="shared" si="35"/>
        <v>205777.05689368746</v>
      </c>
      <c r="H137" s="526">
        <f t="shared" si="32"/>
        <v>81534.62341835261</v>
      </c>
      <c r="I137" s="577">
        <f t="shared" si="33"/>
        <v>81534.62341835261</v>
      </c>
      <c r="J137" s="514">
        <f t="shared" si="36"/>
        <v>0</v>
      </c>
      <c r="K137" s="514"/>
      <c r="L137" s="525"/>
      <c r="M137" s="514">
        <f t="shared" si="37"/>
        <v>0</v>
      </c>
      <c r="N137" s="525"/>
      <c r="O137" s="514">
        <f t="shared" si="38"/>
        <v>0</v>
      </c>
      <c r="P137" s="514">
        <f t="shared" si="39"/>
        <v>0</v>
      </c>
    </row>
    <row r="138" spans="2:16">
      <c r="B138" s="195" t="str">
        <f t="shared" si="25"/>
        <v/>
      </c>
      <c r="C138" s="507">
        <f>IF(D93="","-",+C137+1)</f>
        <v>2056</v>
      </c>
      <c r="D138" s="374">
        <f>IF(F137+SUM(E$99:E137)=D$92,F137,D$92-SUM(E$99:E137))</f>
        <v>176689.05689368746</v>
      </c>
      <c r="E138" s="522">
        <f>IF(+J96&lt;F137,J96,D138)</f>
        <v>58176</v>
      </c>
      <c r="F138" s="523">
        <f t="shared" si="34"/>
        <v>118513.05689368746</v>
      </c>
      <c r="G138" s="523">
        <f t="shared" si="35"/>
        <v>147601.05689368746</v>
      </c>
      <c r="H138" s="526">
        <f t="shared" si="32"/>
        <v>74930.819784946827</v>
      </c>
      <c r="I138" s="577">
        <f t="shared" si="33"/>
        <v>74930.819784946827</v>
      </c>
      <c r="J138" s="514">
        <f t="shared" si="36"/>
        <v>0</v>
      </c>
      <c r="K138" s="514"/>
      <c r="L138" s="525"/>
      <c r="M138" s="514">
        <f t="shared" si="37"/>
        <v>0</v>
      </c>
      <c r="N138" s="525"/>
      <c r="O138" s="514">
        <f t="shared" si="38"/>
        <v>0</v>
      </c>
      <c r="P138" s="514">
        <f t="shared" si="39"/>
        <v>0</v>
      </c>
    </row>
    <row r="139" spans="2:16">
      <c r="B139" s="195" t="str">
        <f t="shared" si="25"/>
        <v/>
      </c>
      <c r="C139" s="507">
        <f>IF(D93="","-",+C138+1)</f>
        <v>2057</v>
      </c>
      <c r="D139" s="374">
        <f>IF(F138+SUM(E$99:E138)=D$92,F138,D$92-SUM(E$99:E138))</f>
        <v>118513.05689368746</v>
      </c>
      <c r="E139" s="522">
        <f>IF(+J96&lt;F138,J96,D139)</f>
        <v>58176</v>
      </c>
      <c r="F139" s="523">
        <f t="shared" si="34"/>
        <v>60337.056893687462</v>
      </c>
      <c r="G139" s="523">
        <f t="shared" si="35"/>
        <v>89425.056893687462</v>
      </c>
      <c r="H139" s="526">
        <f t="shared" si="32"/>
        <v>68327.016151541044</v>
      </c>
      <c r="I139" s="577">
        <f t="shared" si="33"/>
        <v>68327.016151541044</v>
      </c>
      <c r="J139" s="514">
        <f t="shared" si="36"/>
        <v>0</v>
      </c>
      <c r="K139" s="514"/>
      <c r="L139" s="525"/>
      <c r="M139" s="514">
        <f t="shared" si="37"/>
        <v>0</v>
      </c>
      <c r="N139" s="525"/>
      <c r="O139" s="514">
        <f t="shared" si="38"/>
        <v>0</v>
      </c>
      <c r="P139" s="514">
        <f t="shared" si="39"/>
        <v>0</v>
      </c>
    </row>
    <row r="140" spans="2:16">
      <c r="B140" s="195" t="str">
        <f t="shared" si="25"/>
        <v/>
      </c>
      <c r="C140" s="507">
        <f>IF(D93="","-",+C139+1)</f>
        <v>2058</v>
      </c>
      <c r="D140" s="374">
        <f>IF(F139+SUM(E$99:E139)=D$92,F139,D$92-SUM(E$99:E139))</f>
        <v>60337.056893687462</v>
      </c>
      <c r="E140" s="522">
        <f>IF(+J96&lt;F139,J96,D140)</f>
        <v>58176</v>
      </c>
      <c r="F140" s="523">
        <f t="shared" si="34"/>
        <v>2161.0568936874624</v>
      </c>
      <c r="G140" s="523">
        <f t="shared" si="35"/>
        <v>31249.056893687462</v>
      </c>
      <c r="H140" s="526">
        <f t="shared" si="32"/>
        <v>61723.212518135268</v>
      </c>
      <c r="I140" s="577">
        <f t="shared" si="33"/>
        <v>61723.212518135268</v>
      </c>
      <c r="J140" s="514">
        <f t="shared" si="36"/>
        <v>0</v>
      </c>
      <c r="K140" s="514"/>
      <c r="L140" s="525"/>
      <c r="M140" s="514">
        <f t="shared" si="37"/>
        <v>0</v>
      </c>
      <c r="N140" s="525"/>
      <c r="O140" s="514">
        <f t="shared" si="38"/>
        <v>0</v>
      </c>
      <c r="P140" s="514">
        <f t="shared" si="39"/>
        <v>0</v>
      </c>
    </row>
    <row r="141" spans="2:16">
      <c r="B141" s="195" t="str">
        <f t="shared" si="25"/>
        <v/>
      </c>
      <c r="C141" s="507">
        <f>IF(D93="","-",+C140+1)</f>
        <v>2059</v>
      </c>
      <c r="D141" s="374">
        <f>IF(F140+SUM(E$99:E140)=D$92,F140,D$92-SUM(E$99:E140))</f>
        <v>2161.0568936874624</v>
      </c>
      <c r="E141" s="522">
        <f>IF(+J96&lt;F140,J96,D141)</f>
        <v>2161.0568936874624</v>
      </c>
      <c r="F141" s="523">
        <f t="shared" si="34"/>
        <v>0</v>
      </c>
      <c r="G141" s="523">
        <f t="shared" si="35"/>
        <v>1080.5284468437312</v>
      </c>
      <c r="H141" s="526">
        <f t="shared" si="32"/>
        <v>2283.7122444036504</v>
      </c>
      <c r="I141" s="577">
        <f t="shared" si="33"/>
        <v>2283.7122444036504</v>
      </c>
      <c r="J141" s="514">
        <f t="shared" si="36"/>
        <v>0</v>
      </c>
      <c r="K141" s="514"/>
      <c r="L141" s="525"/>
      <c r="M141" s="514">
        <f t="shared" si="37"/>
        <v>0</v>
      </c>
      <c r="N141" s="525"/>
      <c r="O141" s="514">
        <f t="shared" si="38"/>
        <v>0</v>
      </c>
      <c r="P141" s="514">
        <f t="shared" si="39"/>
        <v>0</v>
      </c>
    </row>
    <row r="142" spans="2:16">
      <c r="B142" s="195" t="str">
        <f t="shared" si="25"/>
        <v/>
      </c>
      <c r="C142" s="507">
        <f>IF(D93="","-",+C141+1)</f>
        <v>2060</v>
      </c>
      <c r="D142" s="374">
        <f>IF(F141+SUM(E$99:E141)=D$92,F141,D$92-SUM(E$99:E141))</f>
        <v>0</v>
      </c>
      <c r="E142" s="522">
        <f>IF(+J96&lt;F141,J96,D142)</f>
        <v>0</v>
      </c>
      <c r="F142" s="523">
        <f t="shared" si="34"/>
        <v>0</v>
      </c>
      <c r="G142" s="523">
        <f t="shared" si="35"/>
        <v>0</v>
      </c>
      <c r="H142" s="526">
        <f t="shared" si="32"/>
        <v>0</v>
      </c>
      <c r="I142" s="577">
        <f t="shared" si="33"/>
        <v>0</v>
      </c>
      <c r="J142" s="514">
        <f t="shared" si="36"/>
        <v>0</v>
      </c>
      <c r="K142" s="514"/>
      <c r="L142" s="525"/>
      <c r="M142" s="514">
        <f t="shared" si="37"/>
        <v>0</v>
      </c>
      <c r="N142" s="525"/>
      <c r="O142" s="514">
        <f t="shared" si="38"/>
        <v>0</v>
      </c>
      <c r="P142" s="514">
        <f t="shared" si="39"/>
        <v>0</v>
      </c>
    </row>
    <row r="143" spans="2:16">
      <c r="B143" s="195" t="str">
        <f t="shared" si="25"/>
        <v/>
      </c>
      <c r="C143" s="507">
        <f>IF(D93="","-",+C142+1)</f>
        <v>2061</v>
      </c>
      <c r="D143" s="374">
        <f>IF(F142+SUM(E$99:E142)=D$92,F142,D$92-SUM(E$99:E142))</f>
        <v>0</v>
      </c>
      <c r="E143" s="522">
        <f>IF(+J96&lt;F142,J96,D143)</f>
        <v>0</v>
      </c>
      <c r="F143" s="523">
        <f t="shared" si="34"/>
        <v>0</v>
      </c>
      <c r="G143" s="523">
        <f t="shared" si="35"/>
        <v>0</v>
      </c>
      <c r="H143" s="526">
        <f t="shared" si="32"/>
        <v>0</v>
      </c>
      <c r="I143" s="577">
        <f t="shared" si="33"/>
        <v>0</v>
      </c>
      <c r="J143" s="514">
        <f t="shared" si="36"/>
        <v>0</v>
      </c>
      <c r="K143" s="514"/>
      <c r="L143" s="525"/>
      <c r="M143" s="514">
        <f t="shared" si="37"/>
        <v>0</v>
      </c>
      <c r="N143" s="525"/>
      <c r="O143" s="514">
        <f t="shared" si="38"/>
        <v>0</v>
      </c>
      <c r="P143" s="514">
        <f t="shared" si="39"/>
        <v>0</v>
      </c>
    </row>
    <row r="144" spans="2:16">
      <c r="B144" s="195" t="str">
        <f t="shared" si="25"/>
        <v/>
      </c>
      <c r="C144" s="507">
        <f>IF(D93="","-",+C143+1)</f>
        <v>2062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34"/>
        <v>0</v>
      </c>
      <c r="G144" s="523">
        <f t="shared" si="35"/>
        <v>0</v>
      </c>
      <c r="H144" s="526">
        <f t="shared" si="32"/>
        <v>0</v>
      </c>
      <c r="I144" s="577">
        <f t="shared" si="33"/>
        <v>0</v>
      </c>
      <c r="J144" s="514">
        <f t="shared" si="36"/>
        <v>0</v>
      </c>
      <c r="K144" s="514"/>
      <c r="L144" s="525"/>
      <c r="M144" s="514">
        <f t="shared" si="37"/>
        <v>0</v>
      </c>
      <c r="N144" s="525"/>
      <c r="O144" s="514">
        <f t="shared" si="38"/>
        <v>0</v>
      </c>
      <c r="P144" s="514">
        <f t="shared" si="39"/>
        <v>0</v>
      </c>
    </row>
    <row r="145" spans="2:16">
      <c r="B145" s="195" t="str">
        <f t="shared" si="25"/>
        <v/>
      </c>
      <c r="C145" s="507">
        <f>IF(D93="","-",+C144+1)</f>
        <v>2063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34"/>
        <v>0</v>
      </c>
      <c r="G145" s="523">
        <f t="shared" si="35"/>
        <v>0</v>
      </c>
      <c r="H145" s="526">
        <f t="shared" si="32"/>
        <v>0</v>
      </c>
      <c r="I145" s="577">
        <f t="shared" si="33"/>
        <v>0</v>
      </c>
      <c r="J145" s="514">
        <f t="shared" si="36"/>
        <v>0</v>
      </c>
      <c r="K145" s="514"/>
      <c r="L145" s="525"/>
      <c r="M145" s="514">
        <f t="shared" si="37"/>
        <v>0</v>
      </c>
      <c r="N145" s="525"/>
      <c r="O145" s="514">
        <f t="shared" si="38"/>
        <v>0</v>
      </c>
      <c r="P145" s="514">
        <f t="shared" si="39"/>
        <v>0</v>
      </c>
    </row>
    <row r="146" spans="2:16">
      <c r="B146" s="195" t="str">
        <f t="shared" si="25"/>
        <v/>
      </c>
      <c r="C146" s="507">
        <f>IF(D93="","-",+C145+1)</f>
        <v>2064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34"/>
        <v>0</v>
      </c>
      <c r="G146" s="523">
        <f t="shared" si="35"/>
        <v>0</v>
      </c>
      <c r="H146" s="526">
        <f t="shared" si="32"/>
        <v>0</v>
      </c>
      <c r="I146" s="577">
        <f t="shared" si="33"/>
        <v>0</v>
      </c>
      <c r="J146" s="514">
        <f t="shared" si="36"/>
        <v>0</v>
      </c>
      <c r="K146" s="514"/>
      <c r="L146" s="525"/>
      <c r="M146" s="514">
        <f t="shared" si="37"/>
        <v>0</v>
      </c>
      <c r="N146" s="525"/>
      <c r="O146" s="514">
        <f t="shared" si="38"/>
        <v>0</v>
      </c>
      <c r="P146" s="514">
        <f t="shared" si="39"/>
        <v>0</v>
      </c>
    </row>
    <row r="147" spans="2:16">
      <c r="B147" s="195" t="str">
        <f t="shared" si="25"/>
        <v/>
      </c>
      <c r="C147" s="507">
        <f>IF(D93="","-",+C146+1)</f>
        <v>2065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34"/>
        <v>0</v>
      </c>
      <c r="G147" s="523">
        <f t="shared" si="35"/>
        <v>0</v>
      </c>
      <c r="H147" s="526">
        <f t="shared" si="32"/>
        <v>0</v>
      </c>
      <c r="I147" s="577">
        <f t="shared" si="33"/>
        <v>0</v>
      </c>
      <c r="J147" s="514">
        <f t="shared" si="36"/>
        <v>0</v>
      </c>
      <c r="K147" s="514"/>
      <c r="L147" s="525"/>
      <c r="M147" s="514">
        <f t="shared" si="37"/>
        <v>0</v>
      </c>
      <c r="N147" s="525"/>
      <c r="O147" s="514">
        <f t="shared" si="38"/>
        <v>0</v>
      </c>
      <c r="P147" s="514">
        <f t="shared" si="39"/>
        <v>0</v>
      </c>
    </row>
    <row r="148" spans="2:16">
      <c r="B148" s="195" t="str">
        <f t="shared" si="25"/>
        <v/>
      </c>
      <c r="C148" s="507">
        <f>IF(D93="","-",+C147+1)</f>
        <v>2066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34"/>
        <v>0</v>
      </c>
      <c r="G148" s="523">
        <f t="shared" si="35"/>
        <v>0</v>
      </c>
      <c r="H148" s="526">
        <f t="shared" si="32"/>
        <v>0</v>
      </c>
      <c r="I148" s="577">
        <f t="shared" si="33"/>
        <v>0</v>
      </c>
      <c r="J148" s="514">
        <f t="shared" si="36"/>
        <v>0</v>
      </c>
      <c r="K148" s="514"/>
      <c r="L148" s="525"/>
      <c r="M148" s="514">
        <f t="shared" si="37"/>
        <v>0</v>
      </c>
      <c r="N148" s="525"/>
      <c r="O148" s="514">
        <f t="shared" si="38"/>
        <v>0</v>
      </c>
      <c r="P148" s="514">
        <f t="shared" si="39"/>
        <v>0</v>
      </c>
    </row>
    <row r="149" spans="2:16">
      <c r="B149" s="195" t="str">
        <f t="shared" si="25"/>
        <v/>
      </c>
      <c r="C149" s="507">
        <f>IF(D93="","-",+C148+1)</f>
        <v>2067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34"/>
        <v>0</v>
      </c>
      <c r="G149" s="523">
        <f t="shared" si="35"/>
        <v>0</v>
      </c>
      <c r="H149" s="526">
        <f t="shared" si="32"/>
        <v>0</v>
      </c>
      <c r="I149" s="577">
        <f t="shared" si="33"/>
        <v>0</v>
      </c>
      <c r="J149" s="514">
        <f t="shared" si="36"/>
        <v>0</v>
      </c>
      <c r="K149" s="514"/>
      <c r="L149" s="525"/>
      <c r="M149" s="514">
        <f t="shared" si="37"/>
        <v>0</v>
      </c>
      <c r="N149" s="525"/>
      <c r="O149" s="514">
        <f t="shared" si="38"/>
        <v>0</v>
      </c>
      <c r="P149" s="514">
        <f t="shared" si="39"/>
        <v>0</v>
      </c>
    </row>
    <row r="150" spans="2:16">
      <c r="B150" s="195" t="str">
        <f t="shared" si="25"/>
        <v/>
      </c>
      <c r="C150" s="507">
        <f>IF(D93="","-",+C149+1)</f>
        <v>2068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34"/>
        <v>0</v>
      </c>
      <c r="G150" s="523">
        <f t="shared" si="35"/>
        <v>0</v>
      </c>
      <c r="H150" s="526">
        <f t="shared" si="32"/>
        <v>0</v>
      </c>
      <c r="I150" s="577">
        <f t="shared" si="33"/>
        <v>0</v>
      </c>
      <c r="J150" s="514">
        <f t="shared" si="36"/>
        <v>0</v>
      </c>
      <c r="K150" s="514"/>
      <c r="L150" s="525"/>
      <c r="M150" s="514">
        <f t="shared" si="37"/>
        <v>0</v>
      </c>
      <c r="N150" s="525"/>
      <c r="O150" s="514">
        <f t="shared" si="38"/>
        <v>0</v>
      </c>
      <c r="P150" s="514">
        <f t="shared" si="39"/>
        <v>0</v>
      </c>
    </row>
    <row r="151" spans="2:16">
      <c r="B151" s="195" t="str">
        <f t="shared" si="25"/>
        <v/>
      </c>
      <c r="C151" s="507">
        <f>IF(D93="","-",+C150+1)</f>
        <v>2069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34"/>
        <v>0</v>
      </c>
      <c r="G151" s="523">
        <f t="shared" si="35"/>
        <v>0</v>
      </c>
      <c r="H151" s="526">
        <f t="shared" si="32"/>
        <v>0</v>
      </c>
      <c r="I151" s="577">
        <f t="shared" si="33"/>
        <v>0</v>
      </c>
      <c r="J151" s="514">
        <f t="shared" si="36"/>
        <v>0</v>
      </c>
      <c r="K151" s="514"/>
      <c r="L151" s="525"/>
      <c r="M151" s="514">
        <f t="shared" si="37"/>
        <v>0</v>
      </c>
      <c r="N151" s="525"/>
      <c r="O151" s="514">
        <f t="shared" si="38"/>
        <v>0</v>
      </c>
      <c r="P151" s="514">
        <f t="shared" si="39"/>
        <v>0</v>
      </c>
    </row>
    <row r="152" spans="2:16">
      <c r="B152" s="195" t="str">
        <f t="shared" si="25"/>
        <v/>
      </c>
      <c r="C152" s="507">
        <f>IF(D93="","-",+C151+1)</f>
        <v>2070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34"/>
        <v>0</v>
      </c>
      <c r="G152" s="523">
        <f t="shared" si="35"/>
        <v>0</v>
      </c>
      <c r="H152" s="526">
        <f t="shared" si="32"/>
        <v>0</v>
      </c>
      <c r="I152" s="577">
        <f t="shared" si="33"/>
        <v>0</v>
      </c>
      <c r="J152" s="514">
        <f t="shared" si="36"/>
        <v>0</v>
      </c>
      <c r="K152" s="514"/>
      <c r="L152" s="525"/>
      <c r="M152" s="514">
        <f t="shared" si="37"/>
        <v>0</v>
      </c>
      <c r="N152" s="525"/>
      <c r="O152" s="514">
        <f t="shared" si="38"/>
        <v>0</v>
      </c>
      <c r="P152" s="514">
        <f t="shared" si="39"/>
        <v>0</v>
      </c>
    </row>
    <row r="153" spans="2:16">
      <c r="B153" s="195" t="str">
        <f t="shared" si="25"/>
        <v/>
      </c>
      <c r="C153" s="507">
        <f>IF(D93="","-",+C152+1)</f>
        <v>2071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34"/>
        <v>0</v>
      </c>
      <c r="G153" s="523">
        <f t="shared" si="35"/>
        <v>0</v>
      </c>
      <c r="H153" s="526">
        <f t="shared" si="32"/>
        <v>0</v>
      </c>
      <c r="I153" s="577">
        <f t="shared" si="33"/>
        <v>0</v>
      </c>
      <c r="J153" s="514">
        <f t="shared" si="36"/>
        <v>0</v>
      </c>
      <c r="K153" s="514"/>
      <c r="L153" s="525"/>
      <c r="M153" s="514">
        <f t="shared" si="37"/>
        <v>0</v>
      </c>
      <c r="N153" s="525"/>
      <c r="O153" s="514">
        <f t="shared" si="38"/>
        <v>0</v>
      </c>
      <c r="P153" s="514">
        <f t="shared" si="39"/>
        <v>0</v>
      </c>
    </row>
    <row r="154" spans="2:16" ht="13.5" thickBot="1">
      <c r="B154" s="195" t="str">
        <f t="shared" si="25"/>
        <v/>
      </c>
      <c r="C154" s="527">
        <f>IF(D93="","-",+C153+1)</f>
        <v>2072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34"/>
        <v>0</v>
      </c>
      <c r="G154" s="528">
        <f t="shared" si="35"/>
        <v>0</v>
      </c>
      <c r="H154" s="530">
        <f t="shared" si="32"/>
        <v>0</v>
      </c>
      <c r="I154" s="579">
        <f t="shared" si="33"/>
        <v>0</v>
      </c>
      <c r="J154" s="533">
        <f t="shared" si="36"/>
        <v>0</v>
      </c>
      <c r="K154" s="514"/>
      <c r="L154" s="532"/>
      <c r="M154" s="533">
        <f t="shared" si="37"/>
        <v>0</v>
      </c>
      <c r="N154" s="532"/>
      <c r="O154" s="533">
        <f t="shared" si="38"/>
        <v>0</v>
      </c>
      <c r="P154" s="533">
        <f t="shared" si="39"/>
        <v>0</v>
      </c>
    </row>
    <row r="155" spans="2:16">
      <c r="C155" s="374" t="s">
        <v>78</v>
      </c>
      <c r="D155" s="375"/>
      <c r="E155" s="375">
        <f>SUM(E99:E154)</f>
        <v>2385216</v>
      </c>
      <c r="F155" s="375"/>
      <c r="G155" s="375"/>
      <c r="H155" s="375">
        <f>SUM(H99:H154)</f>
        <v>8049451.9805650171</v>
      </c>
      <c r="I155" s="375">
        <f>SUM(I99:I154)</f>
        <v>8049451.9805650171</v>
      </c>
      <c r="J155" s="375">
        <f>SUM(J99:J154)</f>
        <v>0</v>
      </c>
      <c r="K155" s="375"/>
      <c r="L155" s="375"/>
      <c r="M155" s="375"/>
      <c r="N155" s="375"/>
      <c r="O155" s="375"/>
      <c r="P155" s="269"/>
    </row>
    <row r="156" spans="2:16">
      <c r="C156" s="183" t="s">
        <v>92</v>
      </c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</row>
    <row r="157" spans="2:16">
      <c r="C157" s="580"/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</row>
    <row r="158" spans="2:16">
      <c r="C158" s="614" t="s">
        <v>132</v>
      </c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</row>
    <row r="159" spans="2:16">
      <c r="C159" s="467" t="s">
        <v>79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</row>
    <row r="160" spans="2:16">
      <c r="C160" s="581" t="s">
        <v>80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</row>
    <row r="161" spans="3:16">
      <c r="C161" s="581"/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</row>
    <row r="162" spans="3:16" ht="18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635" t="s">
        <v>131</v>
      </c>
    </row>
  </sheetData>
  <conditionalFormatting sqref="C18:C72">
    <cfRule type="cellIs" dxfId="26" priority="2" stopIfTrue="1" operator="equal">
      <formula>$I$10</formula>
    </cfRule>
  </conditionalFormatting>
  <conditionalFormatting sqref="C99:C154">
    <cfRule type="cellIs" dxfId="25" priority="3" stopIfTrue="1" operator="equal">
      <formula>$J$92</formula>
    </cfRule>
  </conditionalFormatting>
  <conditionalFormatting sqref="C17">
    <cfRule type="cellIs" dxfId="24" priority="1" stopIfTrue="1" operator="equal">
      <formula>$I$10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Sheet115"/>
  <dimension ref="A1:P162"/>
  <sheetViews>
    <sheetView topLeftCell="A93" zoomScaleNormal="100" zoomScaleSheetLayoutView="80" workbookViewId="0">
      <selection activeCell="D99" sqref="D99:I104"/>
    </sheetView>
  </sheetViews>
  <sheetFormatPr defaultColWidth="8.7109375" defaultRowHeight="12.75" customHeight="1"/>
  <cols>
    <col min="1" max="1" width="4.7109375" style="183" customWidth="1"/>
    <col min="2" max="2" width="6.7109375" style="183" customWidth="1"/>
    <col min="3" max="3" width="23.28515625" style="183" customWidth="1"/>
    <col min="4" max="8" width="17.7109375" style="183" customWidth="1"/>
    <col min="9" max="9" width="20.42578125" style="183" customWidth="1"/>
    <col min="10" max="10" width="16.42578125" style="183" customWidth="1"/>
    <col min="11" max="11" width="17.7109375" style="183" customWidth="1"/>
    <col min="12" max="12" width="16.140625" style="183" customWidth="1"/>
    <col min="13" max="13" width="17.7109375" style="183" customWidth="1"/>
    <col min="14" max="14" width="16.7109375" style="183" customWidth="1"/>
    <col min="15" max="15" width="16.85546875" style="183" customWidth="1"/>
    <col min="16" max="16" width="24.42578125" style="183" customWidth="1"/>
    <col min="17" max="17" width="9.140625" style="183" customWidth="1"/>
    <col min="18" max="22" width="8.7109375" style="183"/>
    <col min="23" max="23" width="9.140625" style="183" customWidth="1"/>
    <col min="24" max="16384" width="8.7109375" style="183"/>
  </cols>
  <sheetData>
    <row r="1" spans="1:16" ht="20.25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66 of 75</v>
      </c>
    </row>
    <row r="2" spans="1:16" ht="18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538" t="s">
        <v>129</v>
      </c>
    </row>
    <row r="3" spans="1:16" ht="18.75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/>
      <c r="P3" s="623">
        <v>1</v>
      </c>
    </row>
    <row r="4" spans="1:16" ht="15.75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6" ht="1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806044.03957835271</v>
      </c>
      <c r="P5" s="269"/>
    </row>
    <row r="6" spans="1:16" ht="15.7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806044.03957835271</v>
      </c>
      <c r="O6" s="269"/>
      <c r="P6" s="269"/>
    </row>
    <row r="7" spans="1:16" ht="13.5" thickBot="1">
      <c r="C7" s="467" t="s">
        <v>48</v>
      </c>
      <c r="D7" s="624" t="s">
        <v>386</v>
      </c>
      <c r="E7" s="269"/>
      <c r="F7" s="269"/>
      <c r="G7" s="269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6" ht="13.5" thickBot="1">
      <c r="C8" s="472"/>
      <c r="D8" s="625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6" ht="13.5" thickBot="1">
      <c r="C9" s="476" t="s">
        <v>50</v>
      </c>
      <c r="D9" s="477" t="s">
        <v>415</v>
      </c>
      <c r="E9" s="637" t="s">
        <v>416</v>
      </c>
      <c r="F9" s="478"/>
      <c r="G9" s="478"/>
      <c r="H9" s="478"/>
      <c r="I9" s="479"/>
      <c r="J9" s="480"/>
      <c r="O9" s="481"/>
      <c r="P9" s="272"/>
    </row>
    <row r="10" spans="1:16">
      <c r="C10" s="482" t="s">
        <v>51</v>
      </c>
      <c r="D10" s="483">
        <v>6516183.7100000009</v>
      </c>
      <c r="E10" s="353" t="s">
        <v>52</v>
      </c>
      <c r="F10" s="481"/>
      <c r="G10" s="484"/>
      <c r="H10" s="484"/>
      <c r="I10" s="485">
        <f>+'SWE.WS.F.BPU.ATRR.Projected'!L19</f>
        <v>2024</v>
      </c>
      <c r="J10" s="480"/>
      <c r="K10" s="375" t="s">
        <v>53</v>
      </c>
      <c r="O10" s="272"/>
      <c r="P10" s="272"/>
    </row>
    <row r="11" spans="1:16">
      <c r="C11" s="486" t="s">
        <v>54</v>
      </c>
      <c r="D11" s="487">
        <v>2017</v>
      </c>
      <c r="E11" s="486" t="s">
        <v>55</v>
      </c>
      <c r="F11" s="484"/>
      <c r="G11" s="233"/>
      <c r="H11" s="233"/>
      <c r="I11" s="488">
        <f>IF(G5="",0,'SWE.WS.F.BPU.ATRR.Projected'!F$13)</f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6">
      <c r="C12" s="486" t="s">
        <v>56</v>
      </c>
      <c r="D12" s="483">
        <v>7</v>
      </c>
      <c r="E12" s="486" t="s">
        <v>57</v>
      </c>
      <c r="F12" s="484"/>
      <c r="G12" s="233"/>
      <c r="H12" s="233"/>
      <c r="I12" s="490">
        <f>'SWE.WS.F.BPU.ATRR.Projected'!$F$81</f>
        <v>0.11952713165403545</v>
      </c>
      <c r="J12" s="425"/>
      <c r="K12" s="183" t="s">
        <v>58</v>
      </c>
      <c r="O12" s="272"/>
      <c r="P12" s="272"/>
    </row>
    <row r="13" spans="1:16">
      <c r="C13" s="486" t="s">
        <v>59</v>
      </c>
      <c r="D13" s="488">
        <f>+'SWE.WS.F.BPU.ATRR.Projected'!F$93</f>
        <v>44</v>
      </c>
      <c r="E13" s="486" t="s">
        <v>60</v>
      </c>
      <c r="F13" s="484"/>
      <c r="G13" s="233"/>
      <c r="H13" s="233"/>
      <c r="I13" s="490">
        <f>IF(G5="",I12,'SWE.WS.F.BPU.ATRR.Projected'!$F$80)</f>
        <v>0.11952713165403545</v>
      </c>
      <c r="J13" s="425"/>
      <c r="K13" s="375" t="s">
        <v>61</v>
      </c>
      <c r="L13" s="324"/>
      <c r="M13" s="324"/>
      <c r="N13" s="324"/>
      <c r="O13" s="272"/>
      <c r="P13" s="272"/>
    </row>
    <row r="14" spans="1:16" ht="13.5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148095.08431818185</v>
      </c>
      <c r="J14" s="375"/>
      <c r="K14" s="375"/>
      <c r="L14" s="375"/>
      <c r="M14" s="375"/>
      <c r="N14" s="375"/>
      <c r="O14" s="272"/>
      <c r="P14" s="272"/>
    </row>
    <row r="15" spans="1:16" ht="38.25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388</v>
      </c>
      <c r="H15" s="495" t="s">
        <v>389</v>
      </c>
      <c r="I15" s="492" t="s">
        <v>68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6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600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>
      <c r="C17" s="507">
        <f>IF(D11= "","-",D11)</f>
        <v>2017</v>
      </c>
      <c r="D17" s="649" t="s">
        <v>435</v>
      </c>
      <c r="E17" s="658" t="s">
        <v>435</v>
      </c>
      <c r="F17" s="651">
        <v>6425000</v>
      </c>
      <c r="G17" s="659">
        <v>398005</v>
      </c>
      <c r="H17" s="657">
        <v>398005</v>
      </c>
      <c r="I17" s="511">
        <f t="shared" ref="I17:I72" si="0">H17-G17</f>
        <v>0</v>
      </c>
      <c r="J17" s="511"/>
      <c r="K17" s="512">
        <f t="shared" ref="K17:K22" si="1">+G17</f>
        <v>398005</v>
      </c>
      <c r="L17" s="513">
        <f t="shared" ref="L17:L72" si="2">IF(K17&lt;&gt;0,+G17-K17,0)</f>
        <v>0</v>
      </c>
      <c r="M17" s="512">
        <f t="shared" ref="M17:M22" si="3">+H17</f>
        <v>398005</v>
      </c>
      <c r="N17" s="513">
        <f t="shared" ref="N17:N72" si="4">IF(M17&lt;&gt;0,+H17-M17,0)</f>
        <v>0</v>
      </c>
      <c r="O17" s="514">
        <f t="shared" ref="O17:O72" si="5">+N17-L17</f>
        <v>0</v>
      </c>
      <c r="P17" s="272"/>
    </row>
    <row r="18" spans="2:16">
      <c r="B18" s="195" t="str">
        <f>IF(D18=F17,"","IU")</f>
        <v/>
      </c>
      <c r="C18" s="507">
        <f>IF(D11="","-",+C17+1)</f>
        <v>2018</v>
      </c>
      <c r="D18" s="631">
        <v>6425000</v>
      </c>
      <c r="E18" s="630">
        <v>156707.31707317074</v>
      </c>
      <c r="F18" s="631">
        <v>6268292.682926829</v>
      </c>
      <c r="G18" s="630">
        <v>963328.6150577974</v>
      </c>
      <c r="H18" s="639">
        <v>963328.6150577974</v>
      </c>
      <c r="I18" s="511">
        <f t="shared" si="0"/>
        <v>0</v>
      </c>
      <c r="J18" s="511"/>
      <c r="K18" s="518">
        <f t="shared" si="1"/>
        <v>963328.6150577974</v>
      </c>
      <c r="L18" s="519">
        <f t="shared" si="2"/>
        <v>0</v>
      </c>
      <c r="M18" s="518">
        <f t="shared" si="3"/>
        <v>963328.6150577974</v>
      </c>
      <c r="N18" s="514">
        <f t="shared" si="4"/>
        <v>0</v>
      </c>
      <c r="O18" s="514">
        <f t="shared" si="5"/>
        <v>0</v>
      </c>
      <c r="P18" s="272"/>
    </row>
    <row r="19" spans="2:16">
      <c r="B19" s="195" t="str">
        <f>IF(D19=F18,"","IU")</f>
        <v/>
      </c>
      <c r="C19" s="507">
        <f>IF(D11="","-",+C18+1)</f>
        <v>2019</v>
      </c>
      <c r="D19" s="631">
        <v>6268292.682926829</v>
      </c>
      <c r="E19" s="630">
        <v>156707.31707317074</v>
      </c>
      <c r="F19" s="631">
        <v>6111585.3658536579</v>
      </c>
      <c r="G19" s="630">
        <v>943412.03979891748</v>
      </c>
      <c r="H19" s="639">
        <v>943412.03979891748</v>
      </c>
      <c r="I19" s="511">
        <f t="shared" si="0"/>
        <v>0</v>
      </c>
      <c r="J19" s="511"/>
      <c r="K19" s="518">
        <f t="shared" si="1"/>
        <v>943412.03979891748</v>
      </c>
      <c r="L19" s="519">
        <f t="shared" ref="L19" si="6">IF(K19&lt;&gt;0,+G19-K19,0)</f>
        <v>0</v>
      </c>
      <c r="M19" s="518">
        <f t="shared" si="3"/>
        <v>943412.03979891748</v>
      </c>
      <c r="N19" s="514">
        <f t="shared" si="4"/>
        <v>0</v>
      </c>
      <c r="O19" s="514">
        <f t="shared" si="5"/>
        <v>0</v>
      </c>
      <c r="P19" s="272"/>
    </row>
    <row r="20" spans="2:16">
      <c r="B20" s="195" t="str">
        <f t="shared" ref="B20:B72" si="7">IF(D20=F19,"","IU")</f>
        <v>IU</v>
      </c>
      <c r="C20" s="507">
        <f>IF(D11="","-",+C19+1)</f>
        <v>2020</v>
      </c>
      <c r="D20" s="631">
        <v>6192490.3658536589</v>
      </c>
      <c r="E20" s="630">
        <v>158680.60975609755</v>
      </c>
      <c r="F20" s="631">
        <v>6033809.7560975617</v>
      </c>
      <c r="G20" s="630">
        <v>784272.60448257579</v>
      </c>
      <c r="H20" s="639">
        <v>784272.60448257579</v>
      </c>
      <c r="I20" s="511">
        <f t="shared" si="0"/>
        <v>0</v>
      </c>
      <c r="J20" s="511"/>
      <c r="K20" s="518">
        <f t="shared" si="1"/>
        <v>784272.60448257579</v>
      </c>
      <c r="L20" s="519">
        <f t="shared" ref="L20" si="8">IF(K20&lt;&gt;0,+G20-K20,0)</f>
        <v>0</v>
      </c>
      <c r="M20" s="518">
        <f t="shared" si="3"/>
        <v>784272.60448257579</v>
      </c>
      <c r="N20" s="514">
        <f t="shared" si="4"/>
        <v>0</v>
      </c>
      <c r="O20" s="514">
        <f t="shared" si="5"/>
        <v>0</v>
      </c>
      <c r="P20" s="272"/>
    </row>
    <row r="21" spans="2:16">
      <c r="B21" s="195" t="str">
        <f t="shared" si="7"/>
        <v>IU</v>
      </c>
      <c r="C21" s="507">
        <f>IF(D11="","-",+C20+1)</f>
        <v>2021</v>
      </c>
      <c r="D21" s="631">
        <v>6051377.4685195684</v>
      </c>
      <c r="E21" s="630">
        <v>155147.23809523811</v>
      </c>
      <c r="F21" s="631">
        <v>5896230.2304243306</v>
      </c>
      <c r="G21" s="630">
        <v>788397.59733237652</v>
      </c>
      <c r="H21" s="639">
        <v>788397.59733237652</v>
      </c>
      <c r="I21" s="511">
        <f t="shared" si="0"/>
        <v>0</v>
      </c>
      <c r="J21" s="511"/>
      <c r="K21" s="518">
        <f t="shared" si="1"/>
        <v>788397.59733237652</v>
      </c>
      <c r="L21" s="519">
        <f t="shared" ref="L21" si="9">IF(K21&lt;&gt;0,+G21-K21,0)</f>
        <v>0</v>
      </c>
      <c r="M21" s="518">
        <f t="shared" si="3"/>
        <v>788397.59733237652</v>
      </c>
      <c r="N21" s="514">
        <f t="shared" si="4"/>
        <v>0</v>
      </c>
      <c r="O21" s="514">
        <f t="shared" si="5"/>
        <v>0</v>
      </c>
      <c r="P21" s="272"/>
    </row>
    <row r="22" spans="2:16">
      <c r="B22" s="195" t="str">
        <f t="shared" si="7"/>
        <v>IU</v>
      </c>
      <c r="C22" s="507">
        <f>IF(D11="","-",+C21+1)</f>
        <v>2022</v>
      </c>
      <c r="D22" s="631">
        <v>5888941.5180023229</v>
      </c>
      <c r="E22" s="630">
        <v>155147.23809523811</v>
      </c>
      <c r="F22" s="631">
        <v>5733794.279907085</v>
      </c>
      <c r="G22" s="630">
        <v>808601.25314846623</v>
      </c>
      <c r="H22" s="639">
        <v>808601.25314846623</v>
      </c>
      <c r="I22" s="511">
        <f t="shared" si="0"/>
        <v>0</v>
      </c>
      <c r="J22" s="511"/>
      <c r="K22" s="518">
        <f t="shared" si="1"/>
        <v>808601.25314846623</v>
      </c>
      <c r="L22" s="519">
        <f t="shared" ref="L22" si="10">IF(K22&lt;&gt;0,+G22-K22,0)</f>
        <v>0</v>
      </c>
      <c r="M22" s="518">
        <f t="shared" si="3"/>
        <v>808601.25314846623</v>
      </c>
      <c r="N22" s="514">
        <f t="shared" si="4"/>
        <v>0</v>
      </c>
      <c r="O22" s="514">
        <f t="shared" si="5"/>
        <v>0</v>
      </c>
      <c r="P22" s="272"/>
    </row>
    <row r="23" spans="2:16">
      <c r="B23" s="195" t="str">
        <f t="shared" si="7"/>
        <v>IU</v>
      </c>
      <c r="C23" s="507">
        <f>IF(D11="","-",+C22+1)</f>
        <v>2023</v>
      </c>
      <c r="D23" s="631">
        <v>5733793.9899070859</v>
      </c>
      <c r="E23" s="630">
        <v>155147.23119047622</v>
      </c>
      <c r="F23" s="631">
        <v>5578646.7587166093</v>
      </c>
      <c r="G23" s="630">
        <v>869679.3831822155</v>
      </c>
      <c r="H23" s="639">
        <v>869679.3831822155</v>
      </c>
      <c r="I23" s="511">
        <f t="shared" si="0"/>
        <v>0</v>
      </c>
      <c r="J23" s="511"/>
      <c r="K23" s="518">
        <f t="shared" ref="K23" si="11">+G23</f>
        <v>869679.3831822155</v>
      </c>
      <c r="L23" s="519">
        <f t="shared" ref="L23" si="12">IF(K23&lt;&gt;0,+G23-K23,0)</f>
        <v>0</v>
      </c>
      <c r="M23" s="518">
        <f t="shared" ref="M23" si="13">+H23</f>
        <v>869679.3831822155</v>
      </c>
      <c r="N23" s="514">
        <f t="shared" ref="N23" si="14">IF(M23&lt;&gt;0,+H23-M23,0)</f>
        <v>0</v>
      </c>
      <c r="O23" s="514">
        <f t="shared" ref="O23" si="15">+N23-L23</f>
        <v>0</v>
      </c>
      <c r="P23" s="272"/>
    </row>
    <row r="24" spans="2:16">
      <c r="B24" s="195" t="str">
        <f t="shared" si="7"/>
        <v/>
      </c>
      <c r="C24" s="673">
        <f>IF(D11="","-",+C23+1)</f>
        <v>2024</v>
      </c>
      <c r="D24" s="523">
        <f>IF(F23+SUM(E$17:E23)=D$10,F23,D$10-SUM(E$17:E23))</f>
        <v>5578646.7587166093</v>
      </c>
      <c r="E24" s="522">
        <f>IF(+I14&lt;F23,I14,D24)</f>
        <v>148095.08431818185</v>
      </c>
      <c r="F24" s="523">
        <f t="shared" ref="F24:F72" si="16">+D24-E24</f>
        <v>5430551.6743984278</v>
      </c>
      <c r="G24" s="524">
        <f t="shared" ref="G24:G48" si="17">+I$12*((D24+F24)/2)+E24</f>
        <v>806044.03957835271</v>
      </c>
      <c r="H24" s="491">
        <f t="shared" ref="H24:H48" si="18">+I$13*((D24+F24)/2)+E24</f>
        <v>806044.03957835271</v>
      </c>
      <c r="I24" s="511">
        <f t="shared" si="0"/>
        <v>0</v>
      </c>
      <c r="J24" s="511"/>
      <c r="K24" s="525"/>
      <c r="L24" s="514">
        <f t="shared" si="2"/>
        <v>0</v>
      </c>
      <c r="M24" s="525"/>
      <c r="N24" s="514">
        <f t="shared" si="4"/>
        <v>0</v>
      </c>
      <c r="O24" s="514">
        <f t="shared" si="5"/>
        <v>0</v>
      </c>
      <c r="P24" s="272"/>
    </row>
    <row r="25" spans="2:16">
      <c r="B25" s="195" t="str">
        <f t="shared" si="7"/>
        <v/>
      </c>
      <c r="C25" s="507">
        <f>IF(D11="","-",+C24+1)</f>
        <v>2025</v>
      </c>
      <c r="D25" s="523">
        <f>IF(F24+SUM(E$17:E24)=D$10,F24,D$10-SUM(E$17:E24))</f>
        <v>5430551.6743984278</v>
      </c>
      <c r="E25" s="522">
        <f>IF(+I14&lt;F24,I14,D25)</f>
        <v>148095.08431818185</v>
      </c>
      <c r="F25" s="523">
        <f t="shared" si="16"/>
        <v>5282456.5900802463</v>
      </c>
      <c r="G25" s="524">
        <f t="shared" si="17"/>
        <v>788342.65893773793</v>
      </c>
      <c r="H25" s="491">
        <f t="shared" si="18"/>
        <v>788342.65893773793</v>
      </c>
      <c r="I25" s="511">
        <f t="shared" si="0"/>
        <v>0</v>
      </c>
      <c r="J25" s="511"/>
      <c r="K25" s="525"/>
      <c r="L25" s="514">
        <f t="shared" si="2"/>
        <v>0</v>
      </c>
      <c r="M25" s="525"/>
      <c r="N25" s="514">
        <f t="shared" si="4"/>
        <v>0</v>
      </c>
      <c r="O25" s="514">
        <f t="shared" si="5"/>
        <v>0</v>
      </c>
      <c r="P25" s="272"/>
    </row>
    <row r="26" spans="2:16">
      <c r="B26" s="195" t="str">
        <f t="shared" si="7"/>
        <v/>
      </c>
      <c r="C26" s="507">
        <f>IF(D11="","-",+C25+1)</f>
        <v>2026</v>
      </c>
      <c r="D26" s="523">
        <f>IF(F25+SUM(E$17:E25)=D$10,F25,D$10-SUM(E$17:E25))</f>
        <v>5282456.5900802463</v>
      </c>
      <c r="E26" s="522">
        <f>IF(+I14&lt;F25,I14,D26)</f>
        <v>148095.08431818185</v>
      </c>
      <c r="F26" s="523">
        <f t="shared" si="16"/>
        <v>5134361.5057620648</v>
      </c>
      <c r="G26" s="524">
        <f t="shared" si="17"/>
        <v>770641.27829712327</v>
      </c>
      <c r="H26" s="491">
        <f t="shared" si="18"/>
        <v>770641.27829712327</v>
      </c>
      <c r="I26" s="511">
        <f t="shared" si="0"/>
        <v>0</v>
      </c>
      <c r="J26" s="511"/>
      <c r="K26" s="525"/>
      <c r="L26" s="514">
        <f t="shared" si="2"/>
        <v>0</v>
      </c>
      <c r="M26" s="525"/>
      <c r="N26" s="514">
        <f t="shared" si="4"/>
        <v>0</v>
      </c>
      <c r="O26" s="514">
        <f t="shared" si="5"/>
        <v>0</v>
      </c>
      <c r="P26" s="272"/>
    </row>
    <row r="27" spans="2:16">
      <c r="B27" s="195" t="str">
        <f t="shared" si="7"/>
        <v/>
      </c>
      <c r="C27" s="507">
        <f>IF(D11="","-",+C26+1)</f>
        <v>2027</v>
      </c>
      <c r="D27" s="523">
        <f>IF(F26+SUM(E$17:E26)=D$10,F26,D$10-SUM(E$17:E26))</f>
        <v>5134361.5057620648</v>
      </c>
      <c r="E27" s="522">
        <f>IF(+I14&lt;F26,I14,D27)</f>
        <v>148095.08431818185</v>
      </c>
      <c r="F27" s="523">
        <f t="shared" si="16"/>
        <v>4986266.4214438833</v>
      </c>
      <c r="G27" s="524">
        <f t="shared" si="17"/>
        <v>752939.89765650849</v>
      </c>
      <c r="H27" s="491">
        <f t="shared" si="18"/>
        <v>752939.89765650849</v>
      </c>
      <c r="I27" s="511">
        <f t="shared" si="0"/>
        <v>0</v>
      </c>
      <c r="J27" s="511"/>
      <c r="K27" s="525"/>
      <c r="L27" s="514">
        <f t="shared" si="2"/>
        <v>0</v>
      </c>
      <c r="M27" s="525"/>
      <c r="N27" s="514">
        <f t="shared" si="4"/>
        <v>0</v>
      </c>
      <c r="O27" s="514">
        <f t="shared" si="5"/>
        <v>0</v>
      </c>
      <c r="P27" s="272"/>
    </row>
    <row r="28" spans="2:16">
      <c r="B28" s="195" t="str">
        <f t="shared" si="7"/>
        <v/>
      </c>
      <c r="C28" s="507">
        <f>IF(D11="","-",+C27+1)</f>
        <v>2028</v>
      </c>
      <c r="D28" s="523">
        <f>IF(F27+SUM(E$17:E27)=D$10,F27,D$10-SUM(E$17:E27))</f>
        <v>4986266.4214438833</v>
      </c>
      <c r="E28" s="522">
        <f>IF(+I14&lt;F27,I14,D28)</f>
        <v>148095.08431818185</v>
      </c>
      <c r="F28" s="523">
        <f t="shared" si="16"/>
        <v>4838171.3371257018</v>
      </c>
      <c r="G28" s="524">
        <f t="shared" si="17"/>
        <v>735238.51701589371</v>
      </c>
      <c r="H28" s="491">
        <f t="shared" si="18"/>
        <v>735238.51701589371</v>
      </c>
      <c r="I28" s="511">
        <f t="shared" si="0"/>
        <v>0</v>
      </c>
      <c r="J28" s="511"/>
      <c r="K28" s="525"/>
      <c r="L28" s="514">
        <f t="shared" si="2"/>
        <v>0</v>
      </c>
      <c r="M28" s="525"/>
      <c r="N28" s="514">
        <f t="shared" si="4"/>
        <v>0</v>
      </c>
      <c r="O28" s="514">
        <f t="shared" si="5"/>
        <v>0</v>
      </c>
      <c r="P28" s="272"/>
    </row>
    <row r="29" spans="2:16">
      <c r="B29" s="195" t="str">
        <f t="shared" si="7"/>
        <v/>
      </c>
      <c r="C29" s="507">
        <f>IF(D11="","-",+C28+1)</f>
        <v>2029</v>
      </c>
      <c r="D29" s="523">
        <f>IF(F28+SUM(E$17:E28)=D$10,F28,D$10-SUM(E$17:E28))</f>
        <v>4838171.3371257018</v>
      </c>
      <c r="E29" s="522">
        <f>IF(+I14&lt;F28,I14,D29)</f>
        <v>148095.08431818185</v>
      </c>
      <c r="F29" s="523">
        <f t="shared" si="16"/>
        <v>4690076.2528075203</v>
      </c>
      <c r="G29" s="524">
        <f t="shared" si="17"/>
        <v>717537.13637527893</v>
      </c>
      <c r="H29" s="491">
        <f t="shared" si="18"/>
        <v>717537.13637527893</v>
      </c>
      <c r="I29" s="511">
        <f t="shared" si="0"/>
        <v>0</v>
      </c>
      <c r="J29" s="511"/>
      <c r="K29" s="525"/>
      <c r="L29" s="514">
        <f t="shared" si="2"/>
        <v>0</v>
      </c>
      <c r="M29" s="525"/>
      <c r="N29" s="514">
        <f t="shared" si="4"/>
        <v>0</v>
      </c>
      <c r="O29" s="514">
        <f t="shared" si="5"/>
        <v>0</v>
      </c>
      <c r="P29" s="272"/>
    </row>
    <row r="30" spans="2:16">
      <c r="B30" s="195" t="str">
        <f t="shared" si="7"/>
        <v/>
      </c>
      <c r="C30" s="507">
        <f>IF(D11="","-",+C29+1)</f>
        <v>2030</v>
      </c>
      <c r="D30" s="523">
        <f>IF(F29+SUM(E$17:E29)=D$10,F29,D$10-SUM(E$17:E29))</f>
        <v>4690076.2528075203</v>
      </c>
      <c r="E30" s="522">
        <f>IF(+I14&lt;F29,I14,D30)</f>
        <v>148095.08431818185</v>
      </c>
      <c r="F30" s="523">
        <f t="shared" si="16"/>
        <v>4541981.1684893388</v>
      </c>
      <c r="G30" s="524">
        <f t="shared" si="17"/>
        <v>699835.75573466416</v>
      </c>
      <c r="H30" s="491">
        <f t="shared" si="18"/>
        <v>699835.75573466416</v>
      </c>
      <c r="I30" s="511">
        <f t="shared" si="0"/>
        <v>0</v>
      </c>
      <c r="J30" s="511"/>
      <c r="K30" s="525"/>
      <c r="L30" s="514">
        <f t="shared" si="2"/>
        <v>0</v>
      </c>
      <c r="M30" s="525"/>
      <c r="N30" s="514">
        <f t="shared" si="4"/>
        <v>0</v>
      </c>
      <c r="O30" s="514">
        <f t="shared" si="5"/>
        <v>0</v>
      </c>
      <c r="P30" s="272"/>
    </row>
    <row r="31" spans="2:16">
      <c r="B31" s="195" t="str">
        <f t="shared" si="7"/>
        <v/>
      </c>
      <c r="C31" s="507">
        <f>IF(D11="","-",+C30+1)</f>
        <v>2031</v>
      </c>
      <c r="D31" s="523">
        <f>IF(F30+SUM(E$17:E30)=D$10,F30,D$10-SUM(E$17:E30))</f>
        <v>4541981.1684893388</v>
      </c>
      <c r="E31" s="522">
        <f>IF(+I14&lt;F30,I14,D31)</f>
        <v>148095.08431818185</v>
      </c>
      <c r="F31" s="523">
        <f t="shared" si="16"/>
        <v>4393886.0841711573</v>
      </c>
      <c r="G31" s="524">
        <f t="shared" si="17"/>
        <v>682134.37509404938</v>
      </c>
      <c r="H31" s="491">
        <f t="shared" si="18"/>
        <v>682134.37509404938</v>
      </c>
      <c r="I31" s="511">
        <f t="shared" si="0"/>
        <v>0</v>
      </c>
      <c r="J31" s="511"/>
      <c r="K31" s="525"/>
      <c r="L31" s="514">
        <f t="shared" si="2"/>
        <v>0</v>
      </c>
      <c r="M31" s="525"/>
      <c r="N31" s="514">
        <f t="shared" si="4"/>
        <v>0</v>
      </c>
      <c r="O31" s="514">
        <f t="shared" si="5"/>
        <v>0</v>
      </c>
      <c r="P31" s="272"/>
    </row>
    <row r="32" spans="2:16">
      <c r="B32" s="195" t="str">
        <f t="shared" si="7"/>
        <v/>
      </c>
      <c r="C32" s="507">
        <f>IF(D11="","-",+C31+1)</f>
        <v>2032</v>
      </c>
      <c r="D32" s="523">
        <f>IF(F31+SUM(E$17:E31)=D$10,F31,D$10-SUM(E$17:E31))</f>
        <v>4393886.0841711573</v>
      </c>
      <c r="E32" s="522">
        <f>IF(+I14&lt;F31,I14,D32)</f>
        <v>148095.08431818185</v>
      </c>
      <c r="F32" s="523">
        <f t="shared" si="16"/>
        <v>4245790.9998529758</v>
      </c>
      <c r="G32" s="524">
        <f t="shared" si="17"/>
        <v>664432.9944534346</v>
      </c>
      <c r="H32" s="491">
        <f t="shared" si="18"/>
        <v>664432.9944534346</v>
      </c>
      <c r="I32" s="511">
        <f t="shared" si="0"/>
        <v>0</v>
      </c>
      <c r="J32" s="511"/>
      <c r="K32" s="525"/>
      <c r="L32" s="514">
        <f t="shared" si="2"/>
        <v>0</v>
      </c>
      <c r="M32" s="525"/>
      <c r="N32" s="514">
        <f t="shared" si="4"/>
        <v>0</v>
      </c>
      <c r="O32" s="514">
        <f t="shared" si="5"/>
        <v>0</v>
      </c>
      <c r="P32" s="272"/>
    </row>
    <row r="33" spans="2:16">
      <c r="B33" s="195" t="str">
        <f t="shared" si="7"/>
        <v/>
      </c>
      <c r="C33" s="507">
        <f>IF(D11="","-",+C32+1)</f>
        <v>2033</v>
      </c>
      <c r="D33" s="523">
        <f>IF(F32+SUM(E$17:E32)=D$10,F32,D$10-SUM(E$17:E32))</f>
        <v>4245790.9998529758</v>
      </c>
      <c r="E33" s="522">
        <f>IF(+I14&lt;F32,I14,D33)</f>
        <v>148095.08431818185</v>
      </c>
      <c r="F33" s="523">
        <f t="shared" si="16"/>
        <v>4097695.9155347939</v>
      </c>
      <c r="G33" s="524">
        <f t="shared" si="17"/>
        <v>646731.61381281982</v>
      </c>
      <c r="H33" s="491">
        <f t="shared" si="18"/>
        <v>646731.61381281982</v>
      </c>
      <c r="I33" s="511">
        <f t="shared" si="0"/>
        <v>0</v>
      </c>
      <c r="J33" s="511"/>
      <c r="K33" s="525"/>
      <c r="L33" s="514">
        <f t="shared" si="2"/>
        <v>0</v>
      </c>
      <c r="M33" s="525"/>
      <c r="N33" s="514">
        <f t="shared" si="4"/>
        <v>0</v>
      </c>
      <c r="O33" s="514">
        <f t="shared" si="5"/>
        <v>0</v>
      </c>
      <c r="P33" s="272"/>
    </row>
    <row r="34" spans="2:16">
      <c r="B34" s="195" t="str">
        <f t="shared" si="7"/>
        <v/>
      </c>
      <c r="C34" s="507">
        <f>IF(D11="","-",+C33+1)</f>
        <v>2034</v>
      </c>
      <c r="D34" s="523">
        <f>IF(F33+SUM(E$17:E33)=D$10,F33,D$10-SUM(E$17:E33))</f>
        <v>4097695.9155347939</v>
      </c>
      <c r="E34" s="522">
        <f>IF(+I14&lt;F33,I14,D34)</f>
        <v>148095.08431818185</v>
      </c>
      <c r="F34" s="523">
        <f t="shared" si="16"/>
        <v>3949600.8312166119</v>
      </c>
      <c r="G34" s="524">
        <f t="shared" si="17"/>
        <v>629030.23317220504</v>
      </c>
      <c r="H34" s="491">
        <f t="shared" si="18"/>
        <v>629030.23317220504</v>
      </c>
      <c r="I34" s="511">
        <f t="shared" si="0"/>
        <v>0</v>
      </c>
      <c r="J34" s="511"/>
      <c r="K34" s="525"/>
      <c r="L34" s="514">
        <f t="shared" si="2"/>
        <v>0</v>
      </c>
      <c r="M34" s="525"/>
      <c r="N34" s="514">
        <f t="shared" si="4"/>
        <v>0</v>
      </c>
      <c r="O34" s="514">
        <f t="shared" si="5"/>
        <v>0</v>
      </c>
      <c r="P34" s="272"/>
    </row>
    <row r="35" spans="2:16">
      <c r="B35" s="195" t="str">
        <f t="shared" si="7"/>
        <v/>
      </c>
      <c r="C35" s="507">
        <f>IF(D11="","-",+C34+1)</f>
        <v>2035</v>
      </c>
      <c r="D35" s="523">
        <f>IF(F34+SUM(E$17:E34)=D$10,F34,D$10-SUM(E$17:E34))</f>
        <v>3949600.8312166119</v>
      </c>
      <c r="E35" s="522">
        <f>IF(+I14&lt;F34,I14,D35)</f>
        <v>148095.08431818185</v>
      </c>
      <c r="F35" s="523">
        <f t="shared" si="16"/>
        <v>3801505.7468984299</v>
      </c>
      <c r="G35" s="524">
        <f t="shared" si="17"/>
        <v>611328.85253159027</v>
      </c>
      <c r="H35" s="491">
        <f t="shared" si="18"/>
        <v>611328.85253159027</v>
      </c>
      <c r="I35" s="511">
        <f t="shared" si="0"/>
        <v>0</v>
      </c>
      <c r="J35" s="511"/>
      <c r="K35" s="525"/>
      <c r="L35" s="514">
        <f t="shared" si="2"/>
        <v>0</v>
      </c>
      <c r="M35" s="525"/>
      <c r="N35" s="514">
        <f t="shared" si="4"/>
        <v>0</v>
      </c>
      <c r="O35" s="514">
        <f t="shared" si="5"/>
        <v>0</v>
      </c>
      <c r="P35" s="272"/>
    </row>
    <row r="36" spans="2:16">
      <c r="B36" s="195" t="str">
        <f t="shared" si="7"/>
        <v/>
      </c>
      <c r="C36" s="507">
        <f>IF(D11="","-",+C35+1)</f>
        <v>2036</v>
      </c>
      <c r="D36" s="523">
        <f>IF(F35+SUM(E$17:E35)=D$10,F35,D$10-SUM(E$17:E35))</f>
        <v>3801505.7468984299</v>
      </c>
      <c r="E36" s="522">
        <f>IF(+I14&lt;F35,I14,D36)</f>
        <v>148095.08431818185</v>
      </c>
      <c r="F36" s="523">
        <f t="shared" si="16"/>
        <v>3653410.662580248</v>
      </c>
      <c r="G36" s="524">
        <f t="shared" si="17"/>
        <v>593627.47189097537</v>
      </c>
      <c r="H36" s="491">
        <f t="shared" si="18"/>
        <v>593627.47189097537</v>
      </c>
      <c r="I36" s="511">
        <f t="shared" si="0"/>
        <v>0</v>
      </c>
      <c r="J36" s="511"/>
      <c r="K36" s="525"/>
      <c r="L36" s="514">
        <f t="shared" si="2"/>
        <v>0</v>
      </c>
      <c r="M36" s="525"/>
      <c r="N36" s="514">
        <f t="shared" si="4"/>
        <v>0</v>
      </c>
      <c r="O36" s="514">
        <f t="shared" si="5"/>
        <v>0</v>
      </c>
      <c r="P36" s="272"/>
    </row>
    <row r="37" spans="2:16">
      <c r="B37" s="195" t="str">
        <f t="shared" si="7"/>
        <v/>
      </c>
      <c r="C37" s="507">
        <f>IF(D11="","-",+C36+1)</f>
        <v>2037</v>
      </c>
      <c r="D37" s="523">
        <f>IF(F36+SUM(E$17:E36)=D$10,F36,D$10-SUM(E$17:E36))</f>
        <v>3653410.662580248</v>
      </c>
      <c r="E37" s="522">
        <f>IF(+I14&lt;F36,I14,D37)</f>
        <v>148095.08431818185</v>
      </c>
      <c r="F37" s="523">
        <f t="shared" si="16"/>
        <v>3505315.578262066</v>
      </c>
      <c r="G37" s="524">
        <f t="shared" si="17"/>
        <v>575926.09125036071</v>
      </c>
      <c r="H37" s="491">
        <f t="shared" si="18"/>
        <v>575926.09125036071</v>
      </c>
      <c r="I37" s="511">
        <f t="shared" si="0"/>
        <v>0</v>
      </c>
      <c r="J37" s="511"/>
      <c r="K37" s="525"/>
      <c r="L37" s="514">
        <f t="shared" si="2"/>
        <v>0</v>
      </c>
      <c r="M37" s="525"/>
      <c r="N37" s="514">
        <f t="shared" si="4"/>
        <v>0</v>
      </c>
      <c r="O37" s="514">
        <f t="shared" si="5"/>
        <v>0</v>
      </c>
      <c r="P37" s="272"/>
    </row>
    <row r="38" spans="2:16">
      <c r="B38" s="195" t="str">
        <f t="shared" si="7"/>
        <v/>
      </c>
      <c r="C38" s="507">
        <f>IF(D11="","-",+C37+1)</f>
        <v>2038</v>
      </c>
      <c r="D38" s="523">
        <f>IF(F37+SUM(E$17:E37)=D$10,F37,D$10-SUM(E$17:E37))</f>
        <v>3505315.578262066</v>
      </c>
      <c r="E38" s="522">
        <f>IF(+I14&lt;F37,I14,D38)</f>
        <v>148095.08431818185</v>
      </c>
      <c r="F38" s="523">
        <f t="shared" si="16"/>
        <v>3357220.493943884</v>
      </c>
      <c r="G38" s="524">
        <f t="shared" si="17"/>
        <v>558224.7106097457</v>
      </c>
      <c r="H38" s="491">
        <f t="shared" si="18"/>
        <v>558224.7106097457</v>
      </c>
      <c r="I38" s="511">
        <f t="shared" si="0"/>
        <v>0</v>
      </c>
      <c r="J38" s="511"/>
      <c r="K38" s="525"/>
      <c r="L38" s="514">
        <f t="shared" si="2"/>
        <v>0</v>
      </c>
      <c r="M38" s="525"/>
      <c r="N38" s="514">
        <f t="shared" si="4"/>
        <v>0</v>
      </c>
      <c r="O38" s="514">
        <f t="shared" si="5"/>
        <v>0</v>
      </c>
      <c r="P38" s="272"/>
    </row>
    <row r="39" spans="2:16">
      <c r="B39" s="195" t="str">
        <f t="shared" si="7"/>
        <v/>
      </c>
      <c r="C39" s="507">
        <f>IF(D11="","-",+C38+1)</f>
        <v>2039</v>
      </c>
      <c r="D39" s="523">
        <f>IF(F38+SUM(E$17:E38)=D$10,F38,D$10-SUM(E$17:E38))</f>
        <v>3357220.493943884</v>
      </c>
      <c r="E39" s="522">
        <f>IF(+I14&lt;F38,I14,D39)</f>
        <v>148095.08431818185</v>
      </c>
      <c r="F39" s="523">
        <f t="shared" si="16"/>
        <v>3209125.4096257021</v>
      </c>
      <c r="G39" s="524">
        <f t="shared" si="17"/>
        <v>540523.32996913092</v>
      </c>
      <c r="H39" s="491">
        <f t="shared" si="18"/>
        <v>540523.32996913092</v>
      </c>
      <c r="I39" s="511">
        <f t="shared" si="0"/>
        <v>0</v>
      </c>
      <c r="J39" s="511"/>
      <c r="K39" s="525"/>
      <c r="L39" s="514">
        <f t="shared" si="2"/>
        <v>0</v>
      </c>
      <c r="M39" s="525"/>
      <c r="N39" s="514">
        <f t="shared" si="4"/>
        <v>0</v>
      </c>
      <c r="O39" s="514">
        <f t="shared" si="5"/>
        <v>0</v>
      </c>
      <c r="P39" s="272"/>
    </row>
    <row r="40" spans="2:16">
      <c r="B40" s="195" t="str">
        <f t="shared" si="7"/>
        <v/>
      </c>
      <c r="C40" s="507">
        <f>IF(D11="","-",+C39+1)</f>
        <v>2040</v>
      </c>
      <c r="D40" s="523">
        <f>IF(F39+SUM(E$17:E39)=D$10,F39,D$10-SUM(E$17:E39))</f>
        <v>3209125.4096257021</v>
      </c>
      <c r="E40" s="522">
        <f>IF(+I14&lt;F39,I14,D40)</f>
        <v>148095.08431818185</v>
      </c>
      <c r="F40" s="523">
        <f t="shared" si="16"/>
        <v>3061030.3253075201</v>
      </c>
      <c r="G40" s="524">
        <f t="shared" si="17"/>
        <v>522821.94932851614</v>
      </c>
      <c r="H40" s="491">
        <f t="shared" si="18"/>
        <v>522821.94932851614</v>
      </c>
      <c r="I40" s="511">
        <f t="shared" si="0"/>
        <v>0</v>
      </c>
      <c r="J40" s="511"/>
      <c r="K40" s="525"/>
      <c r="L40" s="514">
        <f t="shared" si="2"/>
        <v>0</v>
      </c>
      <c r="M40" s="525"/>
      <c r="N40" s="514">
        <f t="shared" si="4"/>
        <v>0</v>
      </c>
      <c r="O40" s="514">
        <f t="shared" si="5"/>
        <v>0</v>
      </c>
      <c r="P40" s="272"/>
    </row>
    <row r="41" spans="2:16">
      <c r="B41" s="195" t="str">
        <f t="shared" si="7"/>
        <v/>
      </c>
      <c r="C41" s="507">
        <f>IF(D11="","-",+C40+1)</f>
        <v>2041</v>
      </c>
      <c r="D41" s="523">
        <f>IF(F40+SUM(E$17:E40)=D$10,F40,D$10-SUM(E$17:E40))</f>
        <v>3061030.3253075201</v>
      </c>
      <c r="E41" s="522">
        <f>IF(+I14&lt;F40,I14,D41)</f>
        <v>148095.08431818185</v>
      </c>
      <c r="F41" s="523">
        <f t="shared" si="16"/>
        <v>2912935.2409893381</v>
      </c>
      <c r="G41" s="524">
        <f t="shared" si="17"/>
        <v>505120.56868790137</v>
      </c>
      <c r="H41" s="491">
        <f t="shared" si="18"/>
        <v>505120.56868790137</v>
      </c>
      <c r="I41" s="511">
        <f t="shared" si="0"/>
        <v>0</v>
      </c>
      <c r="J41" s="511"/>
      <c r="K41" s="525"/>
      <c r="L41" s="514">
        <f t="shared" si="2"/>
        <v>0</v>
      </c>
      <c r="M41" s="525"/>
      <c r="N41" s="514">
        <f t="shared" si="4"/>
        <v>0</v>
      </c>
      <c r="O41" s="514">
        <f t="shared" si="5"/>
        <v>0</v>
      </c>
      <c r="P41" s="272"/>
    </row>
    <row r="42" spans="2:16">
      <c r="B42" s="195" t="str">
        <f t="shared" si="7"/>
        <v/>
      </c>
      <c r="C42" s="507">
        <f>IF(D11="","-",+C41+1)</f>
        <v>2042</v>
      </c>
      <c r="D42" s="523">
        <f>IF(F41+SUM(E$17:E41)=D$10,F41,D$10-SUM(E$17:E41))</f>
        <v>2912935.2409893381</v>
      </c>
      <c r="E42" s="522">
        <f>IF(+I14&lt;F41,I14,D42)</f>
        <v>148095.08431818185</v>
      </c>
      <c r="F42" s="523">
        <f t="shared" si="16"/>
        <v>2764840.1566711562</v>
      </c>
      <c r="G42" s="524">
        <f t="shared" si="17"/>
        <v>487419.18804728647</v>
      </c>
      <c r="H42" s="491">
        <f t="shared" si="18"/>
        <v>487419.18804728647</v>
      </c>
      <c r="I42" s="511">
        <f t="shared" si="0"/>
        <v>0</v>
      </c>
      <c r="J42" s="511"/>
      <c r="K42" s="525"/>
      <c r="L42" s="514">
        <f t="shared" si="2"/>
        <v>0</v>
      </c>
      <c r="M42" s="525"/>
      <c r="N42" s="514">
        <f t="shared" si="4"/>
        <v>0</v>
      </c>
      <c r="O42" s="514">
        <f t="shared" si="5"/>
        <v>0</v>
      </c>
      <c r="P42" s="272"/>
    </row>
    <row r="43" spans="2:16">
      <c r="B43" s="195" t="str">
        <f t="shared" si="7"/>
        <v/>
      </c>
      <c r="C43" s="507">
        <f>IF(D11="","-",+C42+1)</f>
        <v>2043</v>
      </c>
      <c r="D43" s="523">
        <f>IF(F42+SUM(E$17:E42)=D$10,F42,D$10-SUM(E$17:E42))</f>
        <v>2764840.1566711562</v>
      </c>
      <c r="E43" s="522">
        <f>IF(+I14&lt;F42,I14,D43)</f>
        <v>148095.08431818185</v>
      </c>
      <c r="F43" s="523">
        <f t="shared" si="16"/>
        <v>2616745.0723529742</v>
      </c>
      <c r="G43" s="524">
        <f t="shared" si="17"/>
        <v>469717.80740667175</v>
      </c>
      <c r="H43" s="491">
        <f t="shared" si="18"/>
        <v>469717.80740667175</v>
      </c>
      <c r="I43" s="511">
        <f t="shared" si="0"/>
        <v>0</v>
      </c>
      <c r="J43" s="511"/>
      <c r="K43" s="525"/>
      <c r="L43" s="514">
        <f t="shared" si="2"/>
        <v>0</v>
      </c>
      <c r="M43" s="525"/>
      <c r="N43" s="514">
        <f t="shared" si="4"/>
        <v>0</v>
      </c>
      <c r="O43" s="514">
        <f t="shared" si="5"/>
        <v>0</v>
      </c>
      <c r="P43" s="272"/>
    </row>
    <row r="44" spans="2:16">
      <c r="B44" s="195" t="str">
        <f t="shared" si="7"/>
        <v/>
      </c>
      <c r="C44" s="507">
        <f>IF(D11="","-",+C43+1)</f>
        <v>2044</v>
      </c>
      <c r="D44" s="523">
        <f>IF(F43+SUM(E$17:E43)=D$10,F43,D$10-SUM(E$17:E43))</f>
        <v>2616745.0723529742</v>
      </c>
      <c r="E44" s="522">
        <f>IF(+I14&lt;F43,I14,D44)</f>
        <v>148095.08431818185</v>
      </c>
      <c r="F44" s="523">
        <f t="shared" si="16"/>
        <v>2468649.9880347922</v>
      </c>
      <c r="G44" s="524">
        <f t="shared" si="17"/>
        <v>452016.42676605686</v>
      </c>
      <c r="H44" s="491">
        <f t="shared" si="18"/>
        <v>452016.42676605686</v>
      </c>
      <c r="I44" s="511">
        <f t="shared" si="0"/>
        <v>0</v>
      </c>
      <c r="J44" s="511"/>
      <c r="K44" s="525"/>
      <c r="L44" s="514">
        <f t="shared" si="2"/>
        <v>0</v>
      </c>
      <c r="M44" s="525"/>
      <c r="N44" s="514">
        <f t="shared" si="4"/>
        <v>0</v>
      </c>
      <c r="O44" s="514">
        <f t="shared" si="5"/>
        <v>0</v>
      </c>
      <c r="P44" s="272"/>
    </row>
    <row r="45" spans="2:16">
      <c r="B45" s="195" t="str">
        <f t="shared" si="7"/>
        <v/>
      </c>
      <c r="C45" s="507">
        <f>IF(D11="","-",+C44+1)</f>
        <v>2045</v>
      </c>
      <c r="D45" s="523">
        <f>IF(F44+SUM(E$17:E44)=D$10,F44,D$10-SUM(E$17:E44))</f>
        <v>2468649.9880347922</v>
      </c>
      <c r="E45" s="522">
        <f>IF(+I14&lt;F44,I14,D45)</f>
        <v>148095.08431818185</v>
      </c>
      <c r="F45" s="523">
        <f t="shared" si="16"/>
        <v>2320554.9037166103</v>
      </c>
      <c r="G45" s="524">
        <f t="shared" si="17"/>
        <v>434315.04612544208</v>
      </c>
      <c r="H45" s="491">
        <f t="shared" si="18"/>
        <v>434315.04612544208</v>
      </c>
      <c r="I45" s="511">
        <f t="shared" si="0"/>
        <v>0</v>
      </c>
      <c r="J45" s="511"/>
      <c r="K45" s="525"/>
      <c r="L45" s="514">
        <f t="shared" si="2"/>
        <v>0</v>
      </c>
      <c r="M45" s="525"/>
      <c r="N45" s="514">
        <f t="shared" si="4"/>
        <v>0</v>
      </c>
      <c r="O45" s="514">
        <f t="shared" si="5"/>
        <v>0</v>
      </c>
      <c r="P45" s="272"/>
    </row>
    <row r="46" spans="2:16">
      <c r="B46" s="195" t="str">
        <f t="shared" si="7"/>
        <v/>
      </c>
      <c r="C46" s="507">
        <f>IF(D11="","-",+C45+1)</f>
        <v>2046</v>
      </c>
      <c r="D46" s="523">
        <f>IF(F45+SUM(E$17:E45)=D$10,F45,D$10-SUM(E$17:E45))</f>
        <v>2320554.9037166103</v>
      </c>
      <c r="E46" s="522">
        <f>IF(+I14&lt;F45,I14,D46)</f>
        <v>148095.08431818185</v>
      </c>
      <c r="F46" s="523">
        <f t="shared" si="16"/>
        <v>2172459.8193984283</v>
      </c>
      <c r="G46" s="524">
        <f t="shared" si="17"/>
        <v>416613.66548482724</v>
      </c>
      <c r="H46" s="491">
        <f t="shared" si="18"/>
        <v>416613.66548482724</v>
      </c>
      <c r="I46" s="511">
        <f t="shared" si="0"/>
        <v>0</v>
      </c>
      <c r="J46" s="511"/>
      <c r="K46" s="525"/>
      <c r="L46" s="514">
        <f t="shared" si="2"/>
        <v>0</v>
      </c>
      <c r="M46" s="525"/>
      <c r="N46" s="514">
        <f t="shared" si="4"/>
        <v>0</v>
      </c>
      <c r="O46" s="514">
        <f t="shared" si="5"/>
        <v>0</v>
      </c>
      <c r="P46" s="272"/>
    </row>
    <row r="47" spans="2:16">
      <c r="B47" s="195" t="str">
        <f t="shared" si="7"/>
        <v/>
      </c>
      <c r="C47" s="507">
        <f>IF(D11="","-",+C46+1)</f>
        <v>2047</v>
      </c>
      <c r="D47" s="523">
        <f>IF(F46+SUM(E$17:E46)=D$10,F46,D$10-SUM(E$17:E46))</f>
        <v>2172459.8193984283</v>
      </c>
      <c r="E47" s="522">
        <f>IF(+I14&lt;F46,I14,D47)</f>
        <v>148095.08431818185</v>
      </c>
      <c r="F47" s="523">
        <f t="shared" si="16"/>
        <v>2024364.7350802463</v>
      </c>
      <c r="G47" s="524">
        <f t="shared" si="17"/>
        <v>398912.28484421247</v>
      </c>
      <c r="H47" s="491">
        <f t="shared" si="18"/>
        <v>398912.28484421247</v>
      </c>
      <c r="I47" s="511">
        <f t="shared" si="0"/>
        <v>0</v>
      </c>
      <c r="J47" s="511"/>
      <c r="K47" s="525"/>
      <c r="L47" s="514">
        <f t="shared" si="2"/>
        <v>0</v>
      </c>
      <c r="M47" s="525"/>
      <c r="N47" s="514">
        <f t="shared" si="4"/>
        <v>0</v>
      </c>
      <c r="O47" s="514">
        <f t="shared" si="5"/>
        <v>0</v>
      </c>
      <c r="P47" s="272"/>
    </row>
    <row r="48" spans="2:16">
      <c r="B48" s="195" t="str">
        <f t="shared" si="7"/>
        <v/>
      </c>
      <c r="C48" s="507">
        <f>IF(D11="","-",+C47+1)</f>
        <v>2048</v>
      </c>
      <c r="D48" s="523">
        <f>IF(F47+SUM(E$17:E47)=D$10,F47,D$10-SUM(E$17:E47))</f>
        <v>2024364.7350802463</v>
      </c>
      <c r="E48" s="522">
        <f>IF(+I14&lt;F47,I14,D48)</f>
        <v>148095.08431818185</v>
      </c>
      <c r="F48" s="523">
        <f t="shared" si="16"/>
        <v>1876269.6507620644</v>
      </c>
      <c r="G48" s="524">
        <f t="shared" si="17"/>
        <v>381210.90420359763</v>
      </c>
      <c r="H48" s="491">
        <f t="shared" si="18"/>
        <v>381210.90420359763</v>
      </c>
      <c r="I48" s="511">
        <f t="shared" si="0"/>
        <v>0</v>
      </c>
      <c r="J48" s="511"/>
      <c r="K48" s="525"/>
      <c r="L48" s="514">
        <f t="shared" si="2"/>
        <v>0</v>
      </c>
      <c r="M48" s="525"/>
      <c r="N48" s="514">
        <f t="shared" si="4"/>
        <v>0</v>
      </c>
      <c r="O48" s="514">
        <f t="shared" si="5"/>
        <v>0</v>
      </c>
      <c r="P48" s="272"/>
    </row>
    <row r="49" spans="2:16">
      <c r="B49" s="195" t="str">
        <f t="shared" si="7"/>
        <v/>
      </c>
      <c r="C49" s="507">
        <f>IF(D11="","-",+C48+1)</f>
        <v>2049</v>
      </c>
      <c r="D49" s="523">
        <f>IF(F48+SUM(E$17:E48)=D$10,F48,D$10-SUM(E$17:E48))</f>
        <v>1876269.6507620644</v>
      </c>
      <c r="E49" s="522">
        <f>IF(+I14&lt;F48,I14,D49)</f>
        <v>148095.08431818185</v>
      </c>
      <c r="F49" s="523">
        <f t="shared" si="16"/>
        <v>1728174.5664438824</v>
      </c>
      <c r="G49" s="524">
        <f t="shared" ref="G49:G72" si="19">+I$12*((D49+F49)/2)+E49</f>
        <v>363509.52356298279</v>
      </c>
      <c r="H49" s="491">
        <f t="shared" ref="H49:H72" si="20">+I$13*((D49+F49)/2)+E49</f>
        <v>363509.52356298279</v>
      </c>
      <c r="I49" s="511">
        <f t="shared" si="0"/>
        <v>0</v>
      </c>
      <c r="J49" s="511"/>
      <c r="K49" s="525"/>
      <c r="L49" s="514">
        <f t="shared" si="2"/>
        <v>0</v>
      </c>
      <c r="M49" s="525"/>
      <c r="N49" s="514">
        <f t="shared" si="4"/>
        <v>0</v>
      </c>
      <c r="O49" s="514">
        <f t="shared" si="5"/>
        <v>0</v>
      </c>
      <c r="P49" s="272"/>
    </row>
    <row r="50" spans="2:16">
      <c r="B50" s="195" t="str">
        <f t="shared" si="7"/>
        <v/>
      </c>
      <c r="C50" s="507">
        <f>IF(D11="","-",+C49+1)</f>
        <v>2050</v>
      </c>
      <c r="D50" s="523">
        <f>IF(F49+SUM(E$17:E49)=D$10,F49,D$10-SUM(E$17:E49))</f>
        <v>1728174.5664438824</v>
      </c>
      <c r="E50" s="522">
        <f>IF(+I14&lt;F49,I14,D50)</f>
        <v>148095.08431818185</v>
      </c>
      <c r="F50" s="523">
        <f t="shared" si="16"/>
        <v>1580079.4821257005</v>
      </c>
      <c r="G50" s="524">
        <f t="shared" si="19"/>
        <v>345808.14292236802</v>
      </c>
      <c r="H50" s="491">
        <f t="shared" si="20"/>
        <v>345808.14292236802</v>
      </c>
      <c r="I50" s="511">
        <f t="shared" si="0"/>
        <v>0</v>
      </c>
      <c r="J50" s="511"/>
      <c r="K50" s="525"/>
      <c r="L50" s="514">
        <f t="shared" si="2"/>
        <v>0</v>
      </c>
      <c r="M50" s="525"/>
      <c r="N50" s="514">
        <f t="shared" si="4"/>
        <v>0</v>
      </c>
      <c r="O50" s="514">
        <f t="shared" si="5"/>
        <v>0</v>
      </c>
      <c r="P50" s="272"/>
    </row>
    <row r="51" spans="2:16">
      <c r="B51" s="195" t="str">
        <f t="shared" si="7"/>
        <v/>
      </c>
      <c r="C51" s="507">
        <f>IF(D11="","-",+C50+1)</f>
        <v>2051</v>
      </c>
      <c r="D51" s="523">
        <f>IF(F50+SUM(E$17:E50)=D$10,F50,D$10-SUM(E$17:E50))</f>
        <v>1580079.4821257005</v>
      </c>
      <c r="E51" s="522">
        <f>IF(+I14&lt;F50,I14,D51)</f>
        <v>148095.08431818185</v>
      </c>
      <c r="F51" s="523">
        <f t="shared" si="16"/>
        <v>1431984.3978075185</v>
      </c>
      <c r="G51" s="524">
        <f t="shared" si="19"/>
        <v>328106.76228175318</v>
      </c>
      <c r="H51" s="491">
        <f t="shared" si="20"/>
        <v>328106.76228175318</v>
      </c>
      <c r="I51" s="511">
        <f t="shared" si="0"/>
        <v>0</v>
      </c>
      <c r="J51" s="511"/>
      <c r="K51" s="525"/>
      <c r="L51" s="514">
        <f t="shared" si="2"/>
        <v>0</v>
      </c>
      <c r="M51" s="525"/>
      <c r="N51" s="514">
        <f t="shared" si="4"/>
        <v>0</v>
      </c>
      <c r="O51" s="514">
        <f t="shared" si="5"/>
        <v>0</v>
      </c>
      <c r="P51" s="272"/>
    </row>
    <row r="52" spans="2:16">
      <c r="B52" s="195" t="str">
        <f t="shared" si="7"/>
        <v/>
      </c>
      <c r="C52" s="507">
        <f>IF(D11="","-",+C51+1)</f>
        <v>2052</v>
      </c>
      <c r="D52" s="523">
        <f>IF(F51+SUM(E$17:E51)=D$10,F51,D$10-SUM(E$17:E51))</f>
        <v>1431984.3978075185</v>
      </c>
      <c r="E52" s="522">
        <f>IF(+I14&lt;F51,I14,D52)</f>
        <v>148095.08431818185</v>
      </c>
      <c r="F52" s="523">
        <f t="shared" si="16"/>
        <v>1283889.3134893365</v>
      </c>
      <c r="G52" s="524">
        <f t="shared" si="19"/>
        <v>310405.38164113835</v>
      </c>
      <c r="H52" s="491">
        <f t="shared" si="20"/>
        <v>310405.38164113835</v>
      </c>
      <c r="I52" s="511">
        <f t="shared" si="0"/>
        <v>0</v>
      </c>
      <c r="J52" s="511"/>
      <c r="K52" s="525"/>
      <c r="L52" s="514">
        <f t="shared" si="2"/>
        <v>0</v>
      </c>
      <c r="M52" s="525"/>
      <c r="N52" s="514">
        <f t="shared" si="4"/>
        <v>0</v>
      </c>
      <c r="O52" s="514">
        <f t="shared" si="5"/>
        <v>0</v>
      </c>
      <c r="P52" s="272"/>
    </row>
    <row r="53" spans="2:16">
      <c r="B53" s="195" t="str">
        <f t="shared" si="7"/>
        <v/>
      </c>
      <c r="C53" s="507">
        <f>IF(D11="","-",+C52+1)</f>
        <v>2053</v>
      </c>
      <c r="D53" s="523">
        <f>IF(F52+SUM(E$17:E52)=D$10,F52,D$10-SUM(E$17:E52))</f>
        <v>1283889.3134893365</v>
      </c>
      <c r="E53" s="522">
        <f>IF(+I14&lt;F52,I14,D53)</f>
        <v>148095.08431818185</v>
      </c>
      <c r="F53" s="523">
        <f t="shared" si="16"/>
        <v>1135794.2291711546</v>
      </c>
      <c r="G53" s="524">
        <f t="shared" si="19"/>
        <v>292704.00100052357</v>
      </c>
      <c r="H53" s="491">
        <f t="shared" si="20"/>
        <v>292704.00100052357</v>
      </c>
      <c r="I53" s="511">
        <f t="shared" si="0"/>
        <v>0</v>
      </c>
      <c r="J53" s="511"/>
      <c r="K53" s="525"/>
      <c r="L53" s="514">
        <f t="shared" si="2"/>
        <v>0</v>
      </c>
      <c r="M53" s="525"/>
      <c r="N53" s="514">
        <f t="shared" si="4"/>
        <v>0</v>
      </c>
      <c r="O53" s="514">
        <f t="shared" si="5"/>
        <v>0</v>
      </c>
      <c r="P53" s="272"/>
    </row>
    <row r="54" spans="2:16">
      <c r="B54" s="195" t="str">
        <f t="shared" si="7"/>
        <v/>
      </c>
      <c r="C54" s="507">
        <f>IF(D11="","-",+C53+1)</f>
        <v>2054</v>
      </c>
      <c r="D54" s="523">
        <f>IF(F53+SUM(E$17:E53)=D$10,F53,D$10-SUM(E$17:E53))</f>
        <v>1135794.2291711546</v>
      </c>
      <c r="E54" s="522">
        <f>IF(+I14&lt;F53,I14,D54)</f>
        <v>148095.08431818185</v>
      </c>
      <c r="F54" s="523">
        <f t="shared" si="16"/>
        <v>987699.14485297271</v>
      </c>
      <c r="G54" s="524">
        <f t="shared" si="19"/>
        <v>275002.62035990873</v>
      </c>
      <c r="H54" s="491">
        <f t="shared" si="20"/>
        <v>275002.62035990873</v>
      </c>
      <c r="I54" s="511">
        <f t="shared" si="0"/>
        <v>0</v>
      </c>
      <c r="J54" s="511"/>
      <c r="K54" s="525"/>
      <c r="L54" s="514">
        <f t="shared" si="2"/>
        <v>0</v>
      </c>
      <c r="M54" s="525"/>
      <c r="N54" s="514">
        <f t="shared" si="4"/>
        <v>0</v>
      </c>
      <c r="O54" s="514">
        <f t="shared" si="5"/>
        <v>0</v>
      </c>
      <c r="P54" s="272"/>
    </row>
    <row r="55" spans="2:16">
      <c r="B55" s="195" t="str">
        <f t="shared" si="7"/>
        <v/>
      </c>
      <c r="C55" s="507">
        <f>IF(D11="","-",+C54+1)</f>
        <v>2055</v>
      </c>
      <c r="D55" s="523">
        <f>IF(F54+SUM(E$17:E54)=D$10,F54,D$10-SUM(E$17:E54))</f>
        <v>987699.14485297271</v>
      </c>
      <c r="E55" s="522">
        <f>IF(+I14&lt;F54,I14,D55)</f>
        <v>148095.08431818185</v>
      </c>
      <c r="F55" s="523">
        <f t="shared" si="16"/>
        <v>839604.06053479086</v>
      </c>
      <c r="G55" s="524">
        <f t="shared" si="19"/>
        <v>257301.23971929395</v>
      </c>
      <c r="H55" s="491">
        <f t="shared" si="20"/>
        <v>257301.23971929395</v>
      </c>
      <c r="I55" s="511">
        <f t="shared" si="0"/>
        <v>0</v>
      </c>
      <c r="J55" s="511"/>
      <c r="K55" s="525"/>
      <c r="L55" s="514">
        <f t="shared" si="2"/>
        <v>0</v>
      </c>
      <c r="M55" s="525"/>
      <c r="N55" s="514">
        <f t="shared" si="4"/>
        <v>0</v>
      </c>
      <c r="O55" s="514">
        <f t="shared" si="5"/>
        <v>0</v>
      </c>
      <c r="P55" s="272"/>
    </row>
    <row r="56" spans="2:16">
      <c r="B56" s="195" t="str">
        <f t="shared" si="7"/>
        <v/>
      </c>
      <c r="C56" s="507">
        <f>IF(D11="","-",+C55+1)</f>
        <v>2056</v>
      </c>
      <c r="D56" s="523">
        <f>IF(F55+SUM(E$17:E55)=D$10,F55,D$10-SUM(E$17:E55))</f>
        <v>839604.06053479086</v>
      </c>
      <c r="E56" s="522">
        <f>IF(+I14&lt;F55,I14,D56)</f>
        <v>148095.08431818185</v>
      </c>
      <c r="F56" s="523">
        <f t="shared" si="16"/>
        <v>691508.97621660901</v>
      </c>
      <c r="G56" s="524">
        <f t="shared" si="19"/>
        <v>239599.85907867912</v>
      </c>
      <c r="H56" s="491">
        <f t="shared" si="20"/>
        <v>239599.85907867912</v>
      </c>
      <c r="I56" s="511">
        <f t="shared" si="0"/>
        <v>0</v>
      </c>
      <c r="J56" s="511"/>
      <c r="K56" s="525"/>
      <c r="L56" s="514">
        <f t="shared" si="2"/>
        <v>0</v>
      </c>
      <c r="M56" s="525"/>
      <c r="N56" s="514">
        <f t="shared" si="4"/>
        <v>0</v>
      </c>
      <c r="O56" s="514">
        <f t="shared" si="5"/>
        <v>0</v>
      </c>
      <c r="P56" s="272"/>
    </row>
    <row r="57" spans="2:16">
      <c r="B57" s="195" t="str">
        <f t="shared" si="7"/>
        <v/>
      </c>
      <c r="C57" s="507">
        <f>IF(D11="","-",+C56+1)</f>
        <v>2057</v>
      </c>
      <c r="D57" s="523">
        <f>IF(F56+SUM(E$17:E56)=D$10,F56,D$10-SUM(E$17:E56))</f>
        <v>691508.97621660901</v>
      </c>
      <c r="E57" s="522">
        <f>IF(+I14&lt;F56,I14,D57)</f>
        <v>148095.08431818185</v>
      </c>
      <c r="F57" s="523">
        <f t="shared" si="16"/>
        <v>543413.89189842716</v>
      </c>
      <c r="G57" s="524">
        <f t="shared" si="19"/>
        <v>221898.47843806434</v>
      </c>
      <c r="H57" s="491">
        <f t="shared" si="20"/>
        <v>221898.47843806434</v>
      </c>
      <c r="I57" s="511">
        <f t="shared" si="0"/>
        <v>0</v>
      </c>
      <c r="J57" s="511"/>
      <c r="K57" s="525"/>
      <c r="L57" s="514">
        <f t="shared" si="2"/>
        <v>0</v>
      </c>
      <c r="M57" s="525"/>
      <c r="N57" s="514">
        <f t="shared" si="4"/>
        <v>0</v>
      </c>
      <c r="O57" s="514">
        <f t="shared" si="5"/>
        <v>0</v>
      </c>
      <c r="P57" s="272"/>
    </row>
    <row r="58" spans="2:16">
      <c r="B58" s="195" t="str">
        <f t="shared" si="7"/>
        <v/>
      </c>
      <c r="C58" s="507">
        <f>IF(D11="","-",+C57+1)</f>
        <v>2058</v>
      </c>
      <c r="D58" s="523">
        <f>IF(F57+SUM(E$17:E57)=D$10,F57,D$10-SUM(E$17:E57))</f>
        <v>543413.89189842716</v>
      </c>
      <c r="E58" s="522">
        <f>IF(+I14&lt;F57,I14,D58)</f>
        <v>148095.08431818185</v>
      </c>
      <c r="F58" s="523">
        <f t="shared" si="16"/>
        <v>395318.80758024531</v>
      </c>
      <c r="G58" s="524">
        <f t="shared" si="19"/>
        <v>204197.09779744953</v>
      </c>
      <c r="H58" s="491">
        <f t="shared" si="20"/>
        <v>204197.09779744953</v>
      </c>
      <c r="I58" s="511">
        <f t="shared" si="0"/>
        <v>0</v>
      </c>
      <c r="J58" s="511"/>
      <c r="K58" s="525"/>
      <c r="L58" s="514">
        <f t="shared" si="2"/>
        <v>0</v>
      </c>
      <c r="M58" s="525"/>
      <c r="N58" s="514">
        <f t="shared" si="4"/>
        <v>0</v>
      </c>
      <c r="O58" s="514">
        <f t="shared" si="5"/>
        <v>0</v>
      </c>
      <c r="P58" s="272"/>
    </row>
    <row r="59" spans="2:16">
      <c r="B59" s="195" t="str">
        <f t="shared" si="7"/>
        <v/>
      </c>
      <c r="C59" s="507">
        <f>IF(D11="","-",+C58+1)</f>
        <v>2059</v>
      </c>
      <c r="D59" s="523">
        <f>IF(F58+SUM(E$17:E58)=D$10,F58,D$10-SUM(E$17:E58))</f>
        <v>395318.80758024531</v>
      </c>
      <c r="E59" s="522">
        <f>IF(+I14&lt;F58,I14,D59)</f>
        <v>148095.08431818185</v>
      </c>
      <c r="F59" s="523">
        <f t="shared" si="16"/>
        <v>247223.72326206346</v>
      </c>
      <c r="G59" s="524">
        <f t="shared" si="19"/>
        <v>186495.71715683473</v>
      </c>
      <c r="H59" s="491">
        <f t="shared" si="20"/>
        <v>186495.71715683473</v>
      </c>
      <c r="I59" s="511">
        <f t="shared" si="0"/>
        <v>0</v>
      </c>
      <c r="J59" s="511"/>
      <c r="K59" s="525"/>
      <c r="L59" s="514">
        <f t="shared" si="2"/>
        <v>0</v>
      </c>
      <c r="M59" s="525"/>
      <c r="N59" s="514">
        <f t="shared" si="4"/>
        <v>0</v>
      </c>
      <c r="O59" s="514">
        <f t="shared" si="5"/>
        <v>0</v>
      </c>
      <c r="P59" s="272"/>
    </row>
    <row r="60" spans="2:16">
      <c r="B60" s="195" t="str">
        <f t="shared" si="7"/>
        <v/>
      </c>
      <c r="C60" s="507">
        <f>IF(D11="","-",+C59+1)</f>
        <v>2060</v>
      </c>
      <c r="D60" s="523">
        <f>IF(F59+SUM(E$17:E59)=D$10,F59,D$10-SUM(E$17:E59))</f>
        <v>247223.72326206346</v>
      </c>
      <c r="E60" s="522">
        <f>IF(+I14&lt;F59,I14,D60)</f>
        <v>148095.08431818185</v>
      </c>
      <c r="F60" s="523">
        <f t="shared" si="16"/>
        <v>99128.638943881611</v>
      </c>
      <c r="G60" s="524">
        <f t="shared" si="19"/>
        <v>168794.33651621995</v>
      </c>
      <c r="H60" s="491">
        <f t="shared" si="20"/>
        <v>168794.33651621995</v>
      </c>
      <c r="I60" s="511">
        <f t="shared" si="0"/>
        <v>0</v>
      </c>
      <c r="J60" s="511"/>
      <c r="K60" s="525"/>
      <c r="L60" s="514">
        <f t="shared" si="2"/>
        <v>0</v>
      </c>
      <c r="M60" s="525"/>
      <c r="N60" s="514">
        <f t="shared" si="4"/>
        <v>0</v>
      </c>
      <c r="O60" s="514">
        <f t="shared" si="5"/>
        <v>0</v>
      </c>
      <c r="P60" s="272"/>
    </row>
    <row r="61" spans="2:16">
      <c r="B61" s="195" t="str">
        <f t="shared" si="7"/>
        <v/>
      </c>
      <c r="C61" s="507">
        <f>IF(D11="","-",+C60+1)</f>
        <v>2061</v>
      </c>
      <c r="D61" s="523">
        <f>IF(F60+SUM(E$17:E60)=D$10,F60,D$10-SUM(E$17:E60))</f>
        <v>99128.638943881611</v>
      </c>
      <c r="E61" s="522">
        <f>IF(+I14&lt;F60,I14,D61)</f>
        <v>99128.638943881611</v>
      </c>
      <c r="F61" s="523">
        <f t="shared" si="16"/>
        <v>0</v>
      </c>
      <c r="G61" s="526">
        <f t="shared" si="19"/>
        <v>105052.91988274695</v>
      </c>
      <c r="H61" s="491">
        <f t="shared" si="20"/>
        <v>105052.91988274695</v>
      </c>
      <c r="I61" s="511">
        <f t="shared" si="0"/>
        <v>0</v>
      </c>
      <c r="J61" s="511"/>
      <c r="K61" s="525"/>
      <c r="L61" s="514">
        <f t="shared" si="2"/>
        <v>0</v>
      </c>
      <c r="M61" s="525"/>
      <c r="N61" s="514">
        <f t="shared" si="4"/>
        <v>0</v>
      </c>
      <c r="O61" s="514">
        <f t="shared" si="5"/>
        <v>0</v>
      </c>
      <c r="P61" s="272"/>
    </row>
    <row r="62" spans="2:16">
      <c r="B62" s="195" t="str">
        <f t="shared" si="7"/>
        <v/>
      </c>
      <c r="C62" s="507">
        <f>IF(D11="","-",+C61+1)</f>
        <v>2062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16"/>
        <v>0</v>
      </c>
      <c r="G62" s="526">
        <f t="shared" si="19"/>
        <v>0</v>
      </c>
      <c r="H62" s="491">
        <f t="shared" si="20"/>
        <v>0</v>
      </c>
      <c r="I62" s="511">
        <f t="shared" si="0"/>
        <v>0</v>
      </c>
      <c r="J62" s="511"/>
      <c r="K62" s="525"/>
      <c r="L62" s="514">
        <f t="shared" si="2"/>
        <v>0</v>
      </c>
      <c r="M62" s="525"/>
      <c r="N62" s="514">
        <f t="shared" si="4"/>
        <v>0</v>
      </c>
      <c r="O62" s="514">
        <f t="shared" si="5"/>
        <v>0</v>
      </c>
      <c r="P62" s="272"/>
    </row>
    <row r="63" spans="2:16">
      <c r="B63" s="195" t="str">
        <f t="shared" si="7"/>
        <v/>
      </c>
      <c r="C63" s="507">
        <f>IF(D11="","-",+C62+1)</f>
        <v>2063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16"/>
        <v>0</v>
      </c>
      <c r="G63" s="526">
        <f t="shared" si="19"/>
        <v>0</v>
      </c>
      <c r="H63" s="491">
        <f t="shared" si="20"/>
        <v>0</v>
      </c>
      <c r="I63" s="511">
        <f t="shared" si="0"/>
        <v>0</v>
      </c>
      <c r="J63" s="511"/>
      <c r="K63" s="525"/>
      <c r="L63" s="514">
        <f t="shared" si="2"/>
        <v>0</v>
      </c>
      <c r="M63" s="525"/>
      <c r="N63" s="514">
        <f t="shared" si="4"/>
        <v>0</v>
      </c>
      <c r="O63" s="514">
        <f t="shared" si="5"/>
        <v>0</v>
      </c>
      <c r="P63" s="272"/>
    </row>
    <row r="64" spans="2:16">
      <c r="B64" s="195" t="str">
        <f t="shared" si="7"/>
        <v/>
      </c>
      <c r="C64" s="507">
        <f>IF(D11="","-",+C63+1)</f>
        <v>2064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16"/>
        <v>0</v>
      </c>
      <c r="G64" s="526">
        <f t="shared" si="19"/>
        <v>0</v>
      </c>
      <c r="H64" s="491">
        <f t="shared" si="20"/>
        <v>0</v>
      </c>
      <c r="I64" s="511">
        <f t="shared" si="0"/>
        <v>0</v>
      </c>
      <c r="J64" s="511"/>
      <c r="K64" s="525"/>
      <c r="L64" s="514">
        <f t="shared" si="2"/>
        <v>0</v>
      </c>
      <c r="M64" s="525"/>
      <c r="N64" s="514">
        <f t="shared" si="4"/>
        <v>0</v>
      </c>
      <c r="O64" s="514">
        <f t="shared" si="5"/>
        <v>0</v>
      </c>
      <c r="P64" s="272"/>
    </row>
    <row r="65" spans="2:16">
      <c r="B65" s="195" t="str">
        <f t="shared" si="7"/>
        <v/>
      </c>
      <c r="C65" s="507">
        <f>IF(D11="","-",+C64+1)</f>
        <v>2065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16"/>
        <v>0</v>
      </c>
      <c r="G65" s="526">
        <f t="shared" si="19"/>
        <v>0</v>
      </c>
      <c r="H65" s="491">
        <f t="shared" si="20"/>
        <v>0</v>
      </c>
      <c r="I65" s="511">
        <f t="shared" si="0"/>
        <v>0</v>
      </c>
      <c r="J65" s="511"/>
      <c r="K65" s="525"/>
      <c r="L65" s="514">
        <f t="shared" si="2"/>
        <v>0</v>
      </c>
      <c r="M65" s="525"/>
      <c r="N65" s="514">
        <f t="shared" si="4"/>
        <v>0</v>
      </c>
      <c r="O65" s="514">
        <f t="shared" si="5"/>
        <v>0</v>
      </c>
      <c r="P65" s="272"/>
    </row>
    <row r="66" spans="2:16">
      <c r="B66" s="195" t="str">
        <f t="shared" si="7"/>
        <v/>
      </c>
      <c r="C66" s="507">
        <f>IF(D11="","-",+C65+1)</f>
        <v>2066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16"/>
        <v>0</v>
      </c>
      <c r="G66" s="526">
        <f t="shared" si="19"/>
        <v>0</v>
      </c>
      <c r="H66" s="491">
        <f t="shared" si="20"/>
        <v>0</v>
      </c>
      <c r="I66" s="511">
        <f t="shared" si="0"/>
        <v>0</v>
      </c>
      <c r="J66" s="511"/>
      <c r="K66" s="525"/>
      <c r="L66" s="514">
        <f t="shared" si="2"/>
        <v>0</v>
      </c>
      <c r="M66" s="525"/>
      <c r="N66" s="514">
        <f t="shared" si="4"/>
        <v>0</v>
      </c>
      <c r="O66" s="514">
        <f t="shared" si="5"/>
        <v>0</v>
      </c>
      <c r="P66" s="272"/>
    </row>
    <row r="67" spans="2:16">
      <c r="B67" s="195" t="str">
        <f t="shared" si="7"/>
        <v/>
      </c>
      <c r="C67" s="507">
        <f>IF(D11="","-",+C66+1)</f>
        <v>2067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16"/>
        <v>0</v>
      </c>
      <c r="G67" s="526">
        <f t="shared" si="19"/>
        <v>0</v>
      </c>
      <c r="H67" s="491">
        <f t="shared" si="20"/>
        <v>0</v>
      </c>
      <c r="I67" s="511">
        <f t="shared" si="0"/>
        <v>0</v>
      </c>
      <c r="J67" s="511"/>
      <c r="K67" s="525"/>
      <c r="L67" s="514">
        <f t="shared" si="2"/>
        <v>0</v>
      </c>
      <c r="M67" s="525"/>
      <c r="N67" s="514">
        <f t="shared" si="4"/>
        <v>0</v>
      </c>
      <c r="O67" s="514">
        <f t="shared" si="5"/>
        <v>0</v>
      </c>
      <c r="P67" s="272"/>
    </row>
    <row r="68" spans="2:16">
      <c r="B68" s="195" t="str">
        <f t="shared" si="7"/>
        <v/>
      </c>
      <c r="C68" s="507">
        <f>IF(D11="","-",+C67+1)</f>
        <v>2068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16"/>
        <v>0</v>
      </c>
      <c r="G68" s="526">
        <f t="shared" si="19"/>
        <v>0</v>
      </c>
      <c r="H68" s="491">
        <f t="shared" si="20"/>
        <v>0</v>
      </c>
      <c r="I68" s="511">
        <f t="shared" si="0"/>
        <v>0</v>
      </c>
      <c r="J68" s="511"/>
      <c r="K68" s="525"/>
      <c r="L68" s="514">
        <f t="shared" si="2"/>
        <v>0</v>
      </c>
      <c r="M68" s="525"/>
      <c r="N68" s="514">
        <f t="shared" si="4"/>
        <v>0</v>
      </c>
      <c r="O68" s="514">
        <f t="shared" si="5"/>
        <v>0</v>
      </c>
      <c r="P68" s="272"/>
    </row>
    <row r="69" spans="2:16">
      <c r="B69" s="195" t="str">
        <f t="shared" si="7"/>
        <v/>
      </c>
      <c r="C69" s="507">
        <f>IF(D11="","-",+C68+1)</f>
        <v>2069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16"/>
        <v>0</v>
      </c>
      <c r="G69" s="526">
        <f t="shared" si="19"/>
        <v>0</v>
      </c>
      <c r="H69" s="491">
        <f t="shared" si="20"/>
        <v>0</v>
      </c>
      <c r="I69" s="511">
        <f t="shared" si="0"/>
        <v>0</v>
      </c>
      <c r="J69" s="511"/>
      <c r="K69" s="525"/>
      <c r="L69" s="514">
        <f t="shared" si="2"/>
        <v>0</v>
      </c>
      <c r="M69" s="525"/>
      <c r="N69" s="514">
        <f t="shared" si="4"/>
        <v>0</v>
      </c>
      <c r="O69" s="514">
        <f t="shared" si="5"/>
        <v>0</v>
      </c>
      <c r="P69" s="272"/>
    </row>
    <row r="70" spans="2:16">
      <c r="B70" s="195" t="str">
        <f t="shared" si="7"/>
        <v/>
      </c>
      <c r="C70" s="507">
        <f>IF(D11="","-",+C69+1)</f>
        <v>2070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16"/>
        <v>0</v>
      </c>
      <c r="G70" s="526">
        <f t="shared" si="19"/>
        <v>0</v>
      </c>
      <c r="H70" s="491">
        <f t="shared" si="20"/>
        <v>0</v>
      </c>
      <c r="I70" s="511">
        <f t="shared" si="0"/>
        <v>0</v>
      </c>
      <c r="J70" s="511"/>
      <c r="K70" s="525"/>
      <c r="L70" s="514">
        <f t="shared" si="2"/>
        <v>0</v>
      </c>
      <c r="M70" s="525"/>
      <c r="N70" s="514">
        <f t="shared" si="4"/>
        <v>0</v>
      </c>
      <c r="O70" s="514">
        <f t="shared" si="5"/>
        <v>0</v>
      </c>
      <c r="P70" s="272"/>
    </row>
    <row r="71" spans="2:16">
      <c r="B71" s="195" t="str">
        <f t="shared" si="7"/>
        <v/>
      </c>
      <c r="C71" s="507">
        <f>IF(D11="","-",+C70+1)</f>
        <v>2071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16"/>
        <v>0</v>
      </c>
      <c r="G71" s="526">
        <f t="shared" si="19"/>
        <v>0</v>
      </c>
      <c r="H71" s="491">
        <f t="shared" si="20"/>
        <v>0</v>
      </c>
      <c r="I71" s="511">
        <f t="shared" si="0"/>
        <v>0</v>
      </c>
      <c r="J71" s="511"/>
      <c r="K71" s="525"/>
      <c r="L71" s="514">
        <f t="shared" si="2"/>
        <v>0</v>
      </c>
      <c r="M71" s="525"/>
      <c r="N71" s="514">
        <f t="shared" si="4"/>
        <v>0</v>
      </c>
      <c r="O71" s="514">
        <f t="shared" si="5"/>
        <v>0</v>
      </c>
      <c r="P71" s="272"/>
    </row>
    <row r="72" spans="2:16" ht="13.5" thickBot="1">
      <c r="B72" s="195" t="str">
        <f t="shared" si="7"/>
        <v/>
      </c>
      <c r="C72" s="527">
        <f>IF(D11="","-",+C71+1)</f>
        <v>2072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16"/>
        <v>0</v>
      </c>
      <c r="G72" s="530">
        <f t="shared" si="19"/>
        <v>0</v>
      </c>
      <c r="H72" s="471">
        <f t="shared" si="20"/>
        <v>0</v>
      </c>
      <c r="I72" s="531">
        <f t="shared" si="0"/>
        <v>0</v>
      </c>
      <c r="J72" s="511"/>
      <c r="K72" s="532"/>
      <c r="L72" s="533">
        <f t="shared" si="2"/>
        <v>0</v>
      </c>
      <c r="M72" s="532"/>
      <c r="N72" s="533">
        <f t="shared" si="4"/>
        <v>0</v>
      </c>
      <c r="O72" s="533">
        <f t="shared" si="5"/>
        <v>0</v>
      </c>
      <c r="P72" s="272"/>
    </row>
    <row r="73" spans="2:16">
      <c r="C73" s="374" t="s">
        <v>78</v>
      </c>
      <c r="D73" s="375"/>
      <c r="E73" s="375">
        <f>SUM(E17:E72)</f>
        <v>6516183.7099999981</v>
      </c>
      <c r="F73" s="375"/>
      <c r="G73" s="375">
        <f>SUM(G17:G72)</f>
        <v>23695259.370634686</v>
      </c>
      <c r="H73" s="375">
        <f>SUM(H17:H72)</f>
        <v>23695259.370634686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2:16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2:16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2:16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2:16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272"/>
      <c r="P77" s="272"/>
    </row>
    <row r="78" spans="2:16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2:16"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  <c r="O79" s="269"/>
      <c r="P79" s="269"/>
    </row>
    <row r="80" spans="2:16" ht="18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6">
      <c r="B81" s="269"/>
      <c r="C81" s="340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6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</row>
    <row r="83" spans="1:16" ht="20.25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451" t="str">
        <f ca="1">P1</f>
        <v>SWEPCO Project 66 of 75</v>
      </c>
    </row>
    <row r="84" spans="1:16" ht="18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538" t="s">
        <v>128</v>
      </c>
    </row>
    <row r="85" spans="1:16" ht="18.7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</row>
    <row r="86" spans="1:16" ht="15.75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2022</v>
      </c>
      <c r="M86" s="541" t="s">
        <v>9</v>
      </c>
      <c r="N86" s="542" t="s">
        <v>159</v>
      </c>
      <c r="O86" s="543" t="s">
        <v>11</v>
      </c>
      <c r="P86" s="269"/>
    </row>
    <row r="87" spans="1:16" ht="1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391</v>
      </c>
      <c r="M87" s="546">
        <f>IF(J92&lt;D11,0,VLOOKUP(J92,C17:O72,9))</f>
        <v>808601.25314846623</v>
      </c>
      <c r="N87" s="546">
        <f>IF(J92&lt;D11,0,VLOOKUP(J92,C17:O72,11))</f>
        <v>808601.25314846623</v>
      </c>
      <c r="O87" s="547">
        <f>+N87-M87</f>
        <v>0</v>
      </c>
      <c r="P87" s="269"/>
    </row>
    <row r="88" spans="1:16" ht="15.7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392</v>
      </c>
      <c r="M88" s="550">
        <f>IF(J92&lt;D11,0,VLOOKUP(J92,C99:P154,6))</f>
        <v>829465.96773581451</v>
      </c>
      <c r="N88" s="550">
        <f>IF(J92&lt;D11,0,VLOOKUP(J92,C99:P154,7))</f>
        <v>829465.96773581451</v>
      </c>
      <c r="O88" s="551">
        <f>+N88-M88</f>
        <v>0</v>
      </c>
      <c r="P88" s="269"/>
    </row>
    <row r="89" spans="1:16" ht="13.5" thickBot="1">
      <c r="C89" s="467" t="s">
        <v>84</v>
      </c>
      <c r="D89" s="552" t="str">
        <f>+D7</f>
        <v>Broadmoor - Fort Humbug Rebuild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20864.71458734828</v>
      </c>
      <c r="N89" s="555">
        <f>+N88-N87</f>
        <v>20864.71458734828</v>
      </c>
      <c r="O89" s="556">
        <f>+O88-O87</f>
        <v>0</v>
      </c>
      <c r="P89" s="269"/>
    </row>
    <row r="90" spans="1:16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</row>
    <row r="91" spans="1:16" ht="13.5" thickBot="1">
      <c r="A91" s="191"/>
      <c r="C91" s="558" t="s">
        <v>85</v>
      </c>
      <c r="D91" s="559" t="str">
        <f>+D9</f>
        <v>TP2013165</v>
      </c>
      <c r="E91" s="560"/>
      <c r="F91" s="560"/>
      <c r="G91" s="560"/>
      <c r="H91" s="560"/>
      <c r="I91" s="560"/>
      <c r="J91" s="560"/>
      <c r="K91" s="562"/>
      <c r="P91" s="481"/>
    </row>
    <row r="92" spans="1:16">
      <c r="C92" s="486" t="s">
        <v>51</v>
      </c>
      <c r="D92" s="564">
        <v>6516184</v>
      </c>
      <c r="E92" s="340" t="s">
        <v>86</v>
      </c>
      <c r="H92" s="484"/>
      <c r="I92" s="484"/>
      <c r="J92" s="485">
        <f>+'SWE.WS.G.BPU.ATRR.True-up'!M16</f>
        <v>2022</v>
      </c>
      <c r="K92" s="480"/>
      <c r="L92" s="375" t="s">
        <v>87</v>
      </c>
      <c r="P92" s="272"/>
    </row>
    <row r="93" spans="1:16">
      <c r="C93" s="486" t="s">
        <v>54</v>
      </c>
      <c r="D93" s="563">
        <f>IF(D11=I10,"",D11)</f>
        <v>2017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</row>
    <row r="94" spans="1:16">
      <c r="C94" s="486" t="s">
        <v>56</v>
      </c>
      <c r="D94" s="564">
        <f>IF(D11=I10,"",D12)</f>
        <v>7</v>
      </c>
      <c r="E94" s="486" t="s">
        <v>57</v>
      </c>
      <c r="F94" s="484"/>
      <c r="G94" s="484"/>
      <c r="J94" s="490">
        <f>'SWE.WS.G.BPU.ATRR.True-up'!$F$81</f>
        <v>0.11351422637179906</v>
      </c>
      <c r="K94" s="425"/>
      <c r="L94" s="183" t="s">
        <v>88</v>
      </c>
      <c r="P94" s="272"/>
    </row>
    <row r="95" spans="1:16">
      <c r="C95" s="486" t="s">
        <v>59</v>
      </c>
      <c r="D95" s="488">
        <f>'SWE.WS.G.BPU.ATRR.True-up'!F$93</f>
        <v>41</v>
      </c>
      <c r="E95" s="486" t="s">
        <v>60</v>
      </c>
      <c r="F95" s="484"/>
      <c r="G95" s="484"/>
      <c r="J95" s="490">
        <f>IF(H87="",J94,'SWE.WS.G.BPU.ATRR.True-up'!$F$80)</f>
        <v>0.11351422637179906</v>
      </c>
      <c r="K95" s="324"/>
      <c r="L95" s="375" t="s">
        <v>61</v>
      </c>
      <c r="M95" s="324"/>
      <c r="N95" s="324"/>
      <c r="O95" s="324"/>
      <c r="P95" s="272"/>
    </row>
    <row r="96" spans="1:16" ht="13.5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158931.31707317074</v>
      </c>
      <c r="K96" s="375"/>
      <c r="L96" s="375"/>
      <c r="M96" s="375"/>
      <c r="N96" s="375"/>
      <c r="O96" s="375"/>
      <c r="P96" s="272"/>
    </row>
    <row r="97" spans="1:16" ht="38.25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388</v>
      </c>
      <c r="I97" s="495" t="s">
        <v>389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</row>
    <row r="98" spans="1:16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602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</row>
    <row r="99" spans="1:16">
      <c r="C99" s="507">
        <f>IF(D93= "","-",D93)</f>
        <v>2017</v>
      </c>
      <c r="D99" s="649">
        <v>0</v>
      </c>
      <c r="E99" s="650">
        <v>77147.607142857145</v>
      </c>
      <c r="F99" s="651">
        <v>6403251.3928571427</v>
      </c>
      <c r="G99" s="652">
        <v>3201625.6964285714</v>
      </c>
      <c r="H99" s="653">
        <v>466053.74744652997</v>
      </c>
      <c r="I99" s="654">
        <v>466053.74744652997</v>
      </c>
      <c r="J99" s="514">
        <f t="shared" ref="J99:J130" si="21">+I99-H99</f>
        <v>0</v>
      </c>
      <c r="K99" s="514"/>
      <c r="L99" s="512">
        <f>+H99</f>
        <v>466053.74744652997</v>
      </c>
      <c r="M99" s="513">
        <f t="shared" ref="M99:M130" si="22">IF(L99&lt;&gt;0,+H99-L99,0)</f>
        <v>0</v>
      </c>
      <c r="N99" s="512">
        <f>+I99</f>
        <v>466053.74744652997</v>
      </c>
      <c r="O99" s="513">
        <f t="shared" ref="O99:O130" si="23">IF(N99&lt;&gt;0,+I99-N99,0)</f>
        <v>0</v>
      </c>
      <c r="P99" s="513">
        <f t="shared" ref="P99:P130" si="24">+O99-M99</f>
        <v>0</v>
      </c>
    </row>
    <row r="100" spans="1:16">
      <c r="B100" s="195" t="str">
        <f>IF(D100=F99,"","IU")</f>
        <v>IU</v>
      </c>
      <c r="C100" s="507">
        <f>IF(D93="","-",+C99+1)</f>
        <v>2018</v>
      </c>
      <c r="D100" s="629">
        <v>6428757.3928571427</v>
      </c>
      <c r="E100" s="630">
        <v>154902.5</v>
      </c>
      <c r="F100" s="631">
        <v>6273854.8928571427</v>
      </c>
      <c r="G100" s="631">
        <v>6351306.1428571427</v>
      </c>
      <c r="H100" s="633">
        <v>825629.55463111226</v>
      </c>
      <c r="I100" s="634">
        <v>825629.55463111226</v>
      </c>
      <c r="J100" s="514">
        <f t="shared" si="21"/>
        <v>0</v>
      </c>
      <c r="K100" s="514"/>
      <c r="L100" s="655">
        <f>+H100</f>
        <v>825629.55463111226</v>
      </c>
      <c r="M100" s="514">
        <f t="shared" si="22"/>
        <v>0</v>
      </c>
      <c r="N100" s="655">
        <f>+I100</f>
        <v>825629.55463111226</v>
      </c>
      <c r="O100" s="514">
        <f t="shared" si="23"/>
        <v>0</v>
      </c>
      <c r="P100" s="514">
        <f t="shared" si="24"/>
        <v>0</v>
      </c>
    </row>
    <row r="101" spans="1:16">
      <c r="B101" s="195" t="str">
        <f t="shared" ref="B101:B154" si="25">IF(D101=F100,"","IU")</f>
        <v>IU</v>
      </c>
      <c r="C101" s="507">
        <f>IF(D93="","-",+C100+1)</f>
        <v>2019</v>
      </c>
      <c r="D101" s="629">
        <v>6284133.8928571427</v>
      </c>
      <c r="E101" s="630">
        <v>151539.16279069768</v>
      </c>
      <c r="F101" s="631">
        <v>6132594.7300664447</v>
      </c>
      <c r="G101" s="631">
        <v>6208364.3114617933</v>
      </c>
      <c r="H101" s="633">
        <v>816085.87182179838</v>
      </c>
      <c r="I101" s="634">
        <v>816085.87182179838</v>
      </c>
      <c r="J101" s="514">
        <f t="shared" si="21"/>
        <v>0</v>
      </c>
      <c r="K101" s="514"/>
      <c r="L101" s="655">
        <f>+H101</f>
        <v>816085.87182179838</v>
      </c>
      <c r="M101" s="514">
        <f t="shared" ref="M101:M102" si="26">IF(L101&lt;&gt;0,+H101-L101,0)</f>
        <v>0</v>
      </c>
      <c r="N101" s="655">
        <f>+I101</f>
        <v>816085.87182179838</v>
      </c>
      <c r="O101" s="514">
        <f t="shared" si="23"/>
        <v>0</v>
      </c>
      <c r="P101" s="514">
        <f t="shared" si="24"/>
        <v>0</v>
      </c>
    </row>
    <row r="102" spans="1:16">
      <c r="B102" s="195" t="str">
        <f t="shared" si="25"/>
        <v/>
      </c>
      <c r="C102" s="507">
        <f>IF(D93="","-",+C101+1)</f>
        <v>2020</v>
      </c>
      <c r="D102" s="629">
        <v>6132594.7300664447</v>
      </c>
      <c r="E102" s="630">
        <v>155147.23809523811</v>
      </c>
      <c r="F102" s="631">
        <v>5977447.4919712069</v>
      </c>
      <c r="G102" s="631">
        <v>6055021.1110188253</v>
      </c>
      <c r="H102" s="633">
        <v>806509.06488040695</v>
      </c>
      <c r="I102" s="634">
        <v>806509.06488040695</v>
      </c>
      <c r="J102" s="514">
        <f t="shared" si="21"/>
        <v>0</v>
      </c>
      <c r="K102" s="514"/>
      <c r="L102" s="655">
        <f>+H102</f>
        <v>806509.06488040695</v>
      </c>
      <c r="M102" s="514">
        <f t="shared" si="26"/>
        <v>0</v>
      </c>
      <c r="N102" s="655">
        <f>+I102</f>
        <v>806509.06488040695</v>
      </c>
      <c r="O102" s="514">
        <f t="shared" si="23"/>
        <v>0</v>
      </c>
      <c r="P102" s="514">
        <f t="shared" si="24"/>
        <v>0</v>
      </c>
    </row>
    <row r="103" spans="1:16">
      <c r="B103" s="195" t="str">
        <f t="shared" si="25"/>
        <v/>
      </c>
      <c r="C103" s="507">
        <f>IF(D93="","-",+C102+1)</f>
        <v>2021</v>
      </c>
      <c r="D103" s="629">
        <v>5977447.4919712069</v>
      </c>
      <c r="E103" s="630">
        <v>158931.31707317074</v>
      </c>
      <c r="F103" s="631">
        <v>5818516.1748980358</v>
      </c>
      <c r="G103" s="631">
        <v>5897981.8334346209</v>
      </c>
      <c r="H103" s="633">
        <v>828436.1620504267</v>
      </c>
      <c r="I103" s="634">
        <v>828436.1620504267</v>
      </c>
      <c r="J103" s="514">
        <f t="shared" si="21"/>
        <v>0</v>
      </c>
      <c r="K103" s="514"/>
      <c r="L103" s="655">
        <f>+H103</f>
        <v>828436.1620504267</v>
      </c>
      <c r="M103" s="514">
        <f t="shared" ref="M103" si="27">IF(L103&lt;&gt;0,+H103-L103,0)</f>
        <v>0</v>
      </c>
      <c r="N103" s="655">
        <f>+I103</f>
        <v>828436.1620504267</v>
      </c>
      <c r="O103" s="514">
        <f t="shared" ref="O103" si="28">IF(N103&lt;&gt;0,+I103-N103,0)</f>
        <v>0</v>
      </c>
      <c r="P103" s="514">
        <f t="shared" ref="P103" si="29">+O103-M103</f>
        <v>0</v>
      </c>
    </row>
    <row r="104" spans="1:16">
      <c r="B104" s="195" t="str">
        <f t="shared" si="25"/>
        <v/>
      </c>
      <c r="C104" s="673">
        <f>IF(D93="","-",+C103+1)</f>
        <v>2022</v>
      </c>
      <c r="D104" s="374">
        <v>5818516.1748980358</v>
      </c>
      <c r="E104" s="522">
        <v>155147.23809523811</v>
      </c>
      <c r="F104" s="523">
        <v>5663368.936802798</v>
      </c>
      <c r="G104" s="523">
        <v>5740942.5558504164</v>
      </c>
      <c r="H104" s="526">
        <v>829465.96773581451</v>
      </c>
      <c r="I104" s="577">
        <v>829465.96773581451</v>
      </c>
      <c r="J104" s="514">
        <f t="shared" si="21"/>
        <v>0</v>
      </c>
      <c r="K104" s="514"/>
      <c r="L104" s="525"/>
      <c r="M104" s="514">
        <f t="shared" si="22"/>
        <v>0</v>
      </c>
      <c r="N104" s="525"/>
      <c r="O104" s="514">
        <f t="shared" si="23"/>
        <v>0</v>
      </c>
      <c r="P104" s="514">
        <f t="shared" si="24"/>
        <v>0</v>
      </c>
    </row>
    <row r="105" spans="1:16">
      <c r="B105" s="195" t="str">
        <f t="shared" si="25"/>
        <v/>
      </c>
      <c r="C105" s="507">
        <f>IF(D93="","-",+C104+1)</f>
        <v>2023</v>
      </c>
      <c r="D105" s="374">
        <f>IF(F104+SUM(E$99:E104)=D$92,F104,D$92-SUM(E$99:E104))</f>
        <v>5663368.936802798</v>
      </c>
      <c r="E105" s="522">
        <f>IF(+J96&lt;F104,J96,D105)</f>
        <v>158931.31707317074</v>
      </c>
      <c r="F105" s="523">
        <f t="shared" ref="F105:F130" si="30">+D105-E105</f>
        <v>5504437.6197296269</v>
      </c>
      <c r="G105" s="523">
        <f t="shared" ref="G105:G130" si="31">+(F105+D105)/2</f>
        <v>5583903.278266212</v>
      </c>
      <c r="H105" s="526">
        <f t="shared" ref="H105:H154" si="32">+J$94*G105+E105</f>
        <v>792783.77784051234</v>
      </c>
      <c r="I105" s="577">
        <f t="shared" ref="I105:I154" si="33">+J$95*G105+E105</f>
        <v>792783.77784051234</v>
      </c>
      <c r="J105" s="514">
        <f t="shared" si="21"/>
        <v>0</v>
      </c>
      <c r="K105" s="514"/>
      <c r="L105" s="525"/>
      <c r="M105" s="514">
        <f t="shared" si="22"/>
        <v>0</v>
      </c>
      <c r="N105" s="525"/>
      <c r="O105" s="514">
        <f t="shared" si="23"/>
        <v>0</v>
      </c>
      <c r="P105" s="514">
        <f t="shared" si="24"/>
        <v>0</v>
      </c>
    </row>
    <row r="106" spans="1:16">
      <c r="B106" s="195" t="str">
        <f t="shared" si="25"/>
        <v/>
      </c>
      <c r="C106" s="507">
        <f>IF(D93="","-",+C105+1)</f>
        <v>2024</v>
      </c>
      <c r="D106" s="374">
        <f>IF(F105+SUM(E$99:E105)=D$92,F105,D$92-SUM(E$99:E105))</f>
        <v>5504437.6197296269</v>
      </c>
      <c r="E106" s="522">
        <f>IF(+J96&lt;F105,J96,D106)</f>
        <v>158931.31707317074</v>
      </c>
      <c r="F106" s="523">
        <f t="shared" si="30"/>
        <v>5345506.3026564559</v>
      </c>
      <c r="G106" s="523">
        <f t="shared" si="31"/>
        <v>5424971.9611930419</v>
      </c>
      <c r="H106" s="526">
        <f t="shared" si="32"/>
        <v>774742.8123367005</v>
      </c>
      <c r="I106" s="577">
        <f t="shared" si="33"/>
        <v>774742.8123367005</v>
      </c>
      <c r="J106" s="514">
        <f t="shared" si="21"/>
        <v>0</v>
      </c>
      <c r="K106" s="514"/>
      <c r="L106" s="525"/>
      <c r="M106" s="514">
        <f t="shared" si="22"/>
        <v>0</v>
      </c>
      <c r="N106" s="525"/>
      <c r="O106" s="514">
        <f t="shared" si="23"/>
        <v>0</v>
      </c>
      <c r="P106" s="514">
        <f t="shared" si="24"/>
        <v>0</v>
      </c>
    </row>
    <row r="107" spans="1:16">
      <c r="B107" s="195" t="str">
        <f t="shared" si="25"/>
        <v/>
      </c>
      <c r="C107" s="507">
        <f>IF(D93="","-",+C106+1)</f>
        <v>2025</v>
      </c>
      <c r="D107" s="374">
        <f>IF(F106+SUM(E$99:E106)=D$92,F106,D$92-SUM(E$99:E106))</f>
        <v>5345506.3026564559</v>
      </c>
      <c r="E107" s="522">
        <f>IF(+J96&lt;F106,J96,D107)</f>
        <v>158931.31707317074</v>
      </c>
      <c r="F107" s="523">
        <f t="shared" si="30"/>
        <v>5186574.9855832849</v>
      </c>
      <c r="G107" s="523">
        <f t="shared" si="31"/>
        <v>5266040.6441198699</v>
      </c>
      <c r="H107" s="526">
        <f t="shared" si="32"/>
        <v>756701.8468328882</v>
      </c>
      <c r="I107" s="577">
        <f t="shared" si="33"/>
        <v>756701.8468328882</v>
      </c>
      <c r="J107" s="514">
        <f t="shared" si="21"/>
        <v>0</v>
      </c>
      <c r="K107" s="514"/>
      <c r="L107" s="525"/>
      <c r="M107" s="514">
        <f t="shared" si="22"/>
        <v>0</v>
      </c>
      <c r="N107" s="525"/>
      <c r="O107" s="514">
        <f t="shared" si="23"/>
        <v>0</v>
      </c>
      <c r="P107" s="514">
        <f t="shared" si="24"/>
        <v>0</v>
      </c>
    </row>
    <row r="108" spans="1:16">
      <c r="B108" s="195" t="str">
        <f t="shared" si="25"/>
        <v/>
      </c>
      <c r="C108" s="507">
        <f>IF(D93="","-",+C107+1)</f>
        <v>2026</v>
      </c>
      <c r="D108" s="374">
        <f>IF(F107+SUM(E$99:E107)=D$92,F107,D$92-SUM(E$99:E107))</f>
        <v>5186574.9855832849</v>
      </c>
      <c r="E108" s="522">
        <f>IF(+J96&lt;F107,J96,D108)</f>
        <v>158931.31707317074</v>
      </c>
      <c r="F108" s="523">
        <f t="shared" si="30"/>
        <v>5027643.6685101138</v>
      </c>
      <c r="G108" s="523">
        <f t="shared" si="31"/>
        <v>5107109.3270466998</v>
      </c>
      <c r="H108" s="526">
        <f t="shared" si="32"/>
        <v>738660.88132907613</v>
      </c>
      <c r="I108" s="577">
        <f t="shared" si="33"/>
        <v>738660.88132907613</v>
      </c>
      <c r="J108" s="514">
        <f t="shared" si="21"/>
        <v>0</v>
      </c>
      <c r="K108" s="514"/>
      <c r="L108" s="525"/>
      <c r="M108" s="514">
        <f t="shared" si="22"/>
        <v>0</v>
      </c>
      <c r="N108" s="525"/>
      <c r="O108" s="514">
        <f t="shared" si="23"/>
        <v>0</v>
      </c>
      <c r="P108" s="514">
        <f t="shared" si="24"/>
        <v>0</v>
      </c>
    </row>
    <row r="109" spans="1:16">
      <c r="B109" s="195" t="str">
        <f t="shared" si="25"/>
        <v/>
      </c>
      <c r="C109" s="507">
        <f>IF(D93="","-",+C108+1)</f>
        <v>2027</v>
      </c>
      <c r="D109" s="374">
        <f>IF(F108+SUM(E$99:E108)=D$92,F108,D$92-SUM(E$99:E108))</f>
        <v>5027643.6685101138</v>
      </c>
      <c r="E109" s="522">
        <f>IF(+J96&lt;F108,J96,D109)</f>
        <v>158931.31707317074</v>
      </c>
      <c r="F109" s="523">
        <f t="shared" si="30"/>
        <v>4868712.3514369428</v>
      </c>
      <c r="G109" s="523">
        <f t="shared" si="31"/>
        <v>4948178.0099735279</v>
      </c>
      <c r="H109" s="526">
        <f t="shared" si="32"/>
        <v>720619.91582526406</v>
      </c>
      <c r="I109" s="577">
        <f t="shared" si="33"/>
        <v>720619.91582526406</v>
      </c>
      <c r="J109" s="514">
        <f t="shared" si="21"/>
        <v>0</v>
      </c>
      <c r="K109" s="514"/>
      <c r="L109" s="525"/>
      <c r="M109" s="514">
        <f t="shared" si="22"/>
        <v>0</v>
      </c>
      <c r="N109" s="525"/>
      <c r="O109" s="514">
        <f t="shared" si="23"/>
        <v>0</v>
      </c>
      <c r="P109" s="514">
        <f t="shared" si="24"/>
        <v>0</v>
      </c>
    </row>
    <row r="110" spans="1:16">
      <c r="B110" s="195" t="str">
        <f t="shared" si="25"/>
        <v/>
      </c>
      <c r="C110" s="507">
        <f>IF(D93="","-",+C109+1)</f>
        <v>2028</v>
      </c>
      <c r="D110" s="374">
        <f>IF(F109+SUM(E$99:E109)=D$92,F109,D$92-SUM(E$99:E109))</f>
        <v>4868712.3514369428</v>
      </c>
      <c r="E110" s="522">
        <f>IF(+J96&lt;F109,J96,D110)</f>
        <v>158931.31707317074</v>
      </c>
      <c r="F110" s="523">
        <f t="shared" si="30"/>
        <v>4709781.0343637718</v>
      </c>
      <c r="G110" s="523">
        <f t="shared" si="31"/>
        <v>4789246.6929003578</v>
      </c>
      <c r="H110" s="526">
        <f t="shared" si="32"/>
        <v>702578.95032145199</v>
      </c>
      <c r="I110" s="577">
        <f t="shared" si="33"/>
        <v>702578.95032145199</v>
      </c>
      <c r="J110" s="514">
        <f t="shared" si="21"/>
        <v>0</v>
      </c>
      <c r="K110" s="514"/>
      <c r="L110" s="525"/>
      <c r="M110" s="514">
        <f t="shared" si="22"/>
        <v>0</v>
      </c>
      <c r="N110" s="525"/>
      <c r="O110" s="514">
        <f t="shared" si="23"/>
        <v>0</v>
      </c>
      <c r="P110" s="514">
        <f t="shared" si="24"/>
        <v>0</v>
      </c>
    </row>
    <row r="111" spans="1:16">
      <c r="B111" s="195" t="str">
        <f t="shared" si="25"/>
        <v/>
      </c>
      <c r="C111" s="507">
        <f>IF(D93="","-",+C110+1)</f>
        <v>2029</v>
      </c>
      <c r="D111" s="374">
        <f>IF(F110+SUM(E$99:E110)=D$92,F110,D$92-SUM(E$99:E110))</f>
        <v>4709781.0343637718</v>
      </c>
      <c r="E111" s="522">
        <f>IF(+J96&lt;F110,J96,D111)</f>
        <v>158931.31707317074</v>
      </c>
      <c r="F111" s="523">
        <f t="shared" si="30"/>
        <v>4550849.7172906008</v>
      </c>
      <c r="G111" s="523">
        <f t="shared" si="31"/>
        <v>4630315.3758271858</v>
      </c>
      <c r="H111" s="526">
        <f t="shared" si="32"/>
        <v>684537.98481763969</v>
      </c>
      <c r="I111" s="577">
        <f t="shared" si="33"/>
        <v>684537.98481763969</v>
      </c>
      <c r="J111" s="514">
        <f t="shared" si="21"/>
        <v>0</v>
      </c>
      <c r="K111" s="514"/>
      <c r="L111" s="525"/>
      <c r="M111" s="514">
        <f t="shared" si="22"/>
        <v>0</v>
      </c>
      <c r="N111" s="525"/>
      <c r="O111" s="514">
        <f t="shared" si="23"/>
        <v>0</v>
      </c>
      <c r="P111" s="514">
        <f t="shared" si="24"/>
        <v>0</v>
      </c>
    </row>
    <row r="112" spans="1:16">
      <c r="B112" s="195" t="str">
        <f t="shared" si="25"/>
        <v/>
      </c>
      <c r="C112" s="507">
        <f>IF(D93="","-",+C111+1)</f>
        <v>2030</v>
      </c>
      <c r="D112" s="374">
        <f>IF(F111+SUM(E$99:E111)=D$92,F111,D$92-SUM(E$99:E111))</f>
        <v>4550849.7172906008</v>
      </c>
      <c r="E112" s="522">
        <f>IF(+J96&lt;F111,J96,D112)</f>
        <v>158931.31707317074</v>
      </c>
      <c r="F112" s="523">
        <f t="shared" si="30"/>
        <v>4391918.4002174297</v>
      </c>
      <c r="G112" s="523">
        <f t="shared" si="31"/>
        <v>4471384.0587540157</v>
      </c>
      <c r="H112" s="526">
        <f t="shared" si="32"/>
        <v>666497.01931382774</v>
      </c>
      <c r="I112" s="577">
        <f t="shared" si="33"/>
        <v>666497.01931382774</v>
      </c>
      <c r="J112" s="514">
        <f t="shared" si="21"/>
        <v>0</v>
      </c>
      <c r="K112" s="514"/>
      <c r="L112" s="525"/>
      <c r="M112" s="514">
        <f t="shared" si="22"/>
        <v>0</v>
      </c>
      <c r="N112" s="525"/>
      <c r="O112" s="514">
        <f t="shared" si="23"/>
        <v>0</v>
      </c>
      <c r="P112" s="514">
        <f t="shared" si="24"/>
        <v>0</v>
      </c>
    </row>
    <row r="113" spans="2:16">
      <c r="B113" s="195" t="str">
        <f t="shared" si="25"/>
        <v/>
      </c>
      <c r="C113" s="507">
        <f>IF(D93="","-",+C112+1)</f>
        <v>2031</v>
      </c>
      <c r="D113" s="374">
        <f>IF(F112+SUM(E$99:E112)=D$92,F112,D$92-SUM(E$99:E112))</f>
        <v>4391918.4002174297</v>
      </c>
      <c r="E113" s="522">
        <f>IF(+J96&lt;F112,J96,D113)</f>
        <v>158931.31707317074</v>
      </c>
      <c r="F113" s="523">
        <f t="shared" si="30"/>
        <v>4232987.0831442587</v>
      </c>
      <c r="G113" s="523">
        <f t="shared" si="31"/>
        <v>4312452.7416808438</v>
      </c>
      <c r="H113" s="526">
        <f t="shared" si="32"/>
        <v>648456.05381001555</v>
      </c>
      <c r="I113" s="577">
        <f t="shared" si="33"/>
        <v>648456.05381001555</v>
      </c>
      <c r="J113" s="514">
        <f t="shared" si="21"/>
        <v>0</v>
      </c>
      <c r="K113" s="514"/>
      <c r="L113" s="525"/>
      <c r="M113" s="514">
        <f t="shared" si="22"/>
        <v>0</v>
      </c>
      <c r="N113" s="525"/>
      <c r="O113" s="514">
        <f t="shared" si="23"/>
        <v>0</v>
      </c>
      <c r="P113" s="514">
        <f t="shared" si="24"/>
        <v>0</v>
      </c>
    </row>
    <row r="114" spans="2:16">
      <c r="B114" s="195" t="str">
        <f t="shared" si="25"/>
        <v/>
      </c>
      <c r="C114" s="507">
        <f>IF(D93="","-",+C113+1)</f>
        <v>2032</v>
      </c>
      <c r="D114" s="374">
        <f>IF(F113+SUM(E$99:E113)=D$92,F113,D$92-SUM(E$99:E113))</f>
        <v>4232987.0831442587</v>
      </c>
      <c r="E114" s="522">
        <f>IF(+J96&lt;F113,J96,D114)</f>
        <v>158931.31707317074</v>
      </c>
      <c r="F114" s="523">
        <f t="shared" si="30"/>
        <v>4074055.7660710881</v>
      </c>
      <c r="G114" s="523">
        <f t="shared" si="31"/>
        <v>4153521.4246076737</v>
      </c>
      <c r="H114" s="526">
        <f t="shared" si="32"/>
        <v>630415.08830620348</v>
      </c>
      <c r="I114" s="577">
        <f t="shared" si="33"/>
        <v>630415.08830620348</v>
      </c>
      <c r="J114" s="514">
        <f t="shared" si="21"/>
        <v>0</v>
      </c>
      <c r="K114" s="514"/>
      <c r="L114" s="525"/>
      <c r="M114" s="514">
        <f t="shared" si="22"/>
        <v>0</v>
      </c>
      <c r="N114" s="525"/>
      <c r="O114" s="514">
        <f t="shared" si="23"/>
        <v>0</v>
      </c>
      <c r="P114" s="514">
        <f t="shared" si="24"/>
        <v>0</v>
      </c>
    </row>
    <row r="115" spans="2:16">
      <c r="B115" s="195" t="str">
        <f t="shared" si="25"/>
        <v/>
      </c>
      <c r="C115" s="507">
        <f>IF(D93="","-",+C114+1)</f>
        <v>2033</v>
      </c>
      <c r="D115" s="374">
        <f>IF(F114+SUM(E$99:E114)=D$92,F114,D$92-SUM(E$99:E114))</f>
        <v>4074055.7660710881</v>
      </c>
      <c r="E115" s="522">
        <f>IF(+J96&lt;F114,J96,D115)</f>
        <v>158931.31707317074</v>
      </c>
      <c r="F115" s="523">
        <f t="shared" si="30"/>
        <v>3915124.4489979176</v>
      </c>
      <c r="G115" s="523">
        <f t="shared" si="31"/>
        <v>3994590.1075345026</v>
      </c>
      <c r="H115" s="526">
        <f t="shared" si="32"/>
        <v>612374.12280239142</v>
      </c>
      <c r="I115" s="577">
        <f t="shared" si="33"/>
        <v>612374.12280239142</v>
      </c>
      <c r="J115" s="514">
        <f t="shared" si="21"/>
        <v>0</v>
      </c>
      <c r="K115" s="514"/>
      <c r="L115" s="525"/>
      <c r="M115" s="514">
        <f t="shared" si="22"/>
        <v>0</v>
      </c>
      <c r="N115" s="525"/>
      <c r="O115" s="514">
        <f t="shared" si="23"/>
        <v>0</v>
      </c>
      <c r="P115" s="514">
        <f t="shared" si="24"/>
        <v>0</v>
      </c>
    </row>
    <row r="116" spans="2:16">
      <c r="B116" s="195" t="str">
        <f t="shared" si="25"/>
        <v/>
      </c>
      <c r="C116" s="507">
        <f>IF(D93="","-",+C115+1)</f>
        <v>2034</v>
      </c>
      <c r="D116" s="374">
        <f>IF(F115+SUM(E$99:E115)=D$92,F115,D$92-SUM(E$99:E115))</f>
        <v>3915124.4489979176</v>
      </c>
      <c r="E116" s="522">
        <f>IF(+J96&lt;F115,J96,D116)</f>
        <v>158931.31707317074</v>
      </c>
      <c r="F116" s="523">
        <f t="shared" si="30"/>
        <v>3756193.131924747</v>
      </c>
      <c r="G116" s="523">
        <f t="shared" si="31"/>
        <v>3835658.7904613325</v>
      </c>
      <c r="H116" s="526">
        <f t="shared" si="32"/>
        <v>594333.15729857935</v>
      </c>
      <c r="I116" s="577">
        <f t="shared" si="33"/>
        <v>594333.15729857935</v>
      </c>
      <c r="J116" s="514">
        <f t="shared" si="21"/>
        <v>0</v>
      </c>
      <c r="K116" s="514"/>
      <c r="L116" s="525"/>
      <c r="M116" s="514">
        <f t="shared" si="22"/>
        <v>0</v>
      </c>
      <c r="N116" s="525"/>
      <c r="O116" s="514">
        <f t="shared" si="23"/>
        <v>0</v>
      </c>
      <c r="P116" s="514">
        <f t="shared" si="24"/>
        <v>0</v>
      </c>
    </row>
    <row r="117" spans="2:16">
      <c r="B117" s="195" t="str">
        <f t="shared" si="25"/>
        <v/>
      </c>
      <c r="C117" s="507">
        <f>IF(D93="","-",+C116+1)</f>
        <v>2035</v>
      </c>
      <c r="D117" s="374">
        <f>IF(F116+SUM(E$99:E116)=D$92,F116,D$92-SUM(E$99:E116))</f>
        <v>3756193.131924747</v>
      </c>
      <c r="E117" s="522">
        <f>IF(+J96&lt;F116,J96,D117)</f>
        <v>158931.31707317074</v>
      </c>
      <c r="F117" s="523">
        <f t="shared" si="30"/>
        <v>3597261.8148515765</v>
      </c>
      <c r="G117" s="523">
        <f t="shared" si="31"/>
        <v>3676727.4733881615</v>
      </c>
      <c r="H117" s="526">
        <f t="shared" si="32"/>
        <v>576292.19179476728</v>
      </c>
      <c r="I117" s="577">
        <f t="shared" si="33"/>
        <v>576292.19179476728</v>
      </c>
      <c r="J117" s="514">
        <f t="shared" si="21"/>
        <v>0</v>
      </c>
      <c r="K117" s="514"/>
      <c r="L117" s="525"/>
      <c r="M117" s="514">
        <f t="shared" si="22"/>
        <v>0</v>
      </c>
      <c r="N117" s="525"/>
      <c r="O117" s="514">
        <f t="shared" si="23"/>
        <v>0</v>
      </c>
      <c r="P117" s="514">
        <f t="shared" si="24"/>
        <v>0</v>
      </c>
    </row>
    <row r="118" spans="2:16">
      <c r="B118" s="195" t="str">
        <f t="shared" si="25"/>
        <v/>
      </c>
      <c r="C118" s="507">
        <f>IF(D93="","-",+C117+1)</f>
        <v>2036</v>
      </c>
      <c r="D118" s="374">
        <f>IF(F117+SUM(E$99:E117)=D$92,F117,D$92-SUM(E$99:E117))</f>
        <v>3597261.8148515765</v>
      </c>
      <c r="E118" s="522">
        <f>IF(+J96&lt;F117,J96,D118)</f>
        <v>158931.31707317074</v>
      </c>
      <c r="F118" s="523">
        <f t="shared" si="30"/>
        <v>3438330.4977784059</v>
      </c>
      <c r="G118" s="523">
        <f t="shared" si="31"/>
        <v>3517796.1563149914</v>
      </c>
      <c r="H118" s="526">
        <f t="shared" si="32"/>
        <v>558251.22629095532</v>
      </c>
      <c r="I118" s="577">
        <f t="shared" si="33"/>
        <v>558251.22629095532</v>
      </c>
      <c r="J118" s="514">
        <f t="shared" si="21"/>
        <v>0</v>
      </c>
      <c r="K118" s="514"/>
      <c r="L118" s="525"/>
      <c r="M118" s="514">
        <f t="shared" si="22"/>
        <v>0</v>
      </c>
      <c r="N118" s="525"/>
      <c r="O118" s="514">
        <f t="shared" si="23"/>
        <v>0</v>
      </c>
      <c r="P118" s="514">
        <f t="shared" si="24"/>
        <v>0</v>
      </c>
    </row>
    <row r="119" spans="2:16">
      <c r="B119" s="195" t="str">
        <f t="shared" si="25"/>
        <v/>
      </c>
      <c r="C119" s="507">
        <f>IF(D93="","-",+C118+1)</f>
        <v>2037</v>
      </c>
      <c r="D119" s="374">
        <f>IF(F118+SUM(E$99:E118)=D$92,F118,D$92-SUM(E$99:E118))</f>
        <v>3438330.4977784059</v>
      </c>
      <c r="E119" s="522">
        <f>IF(+J96&lt;F118,J96,D119)</f>
        <v>158931.31707317074</v>
      </c>
      <c r="F119" s="523">
        <f t="shared" si="30"/>
        <v>3279399.1807052353</v>
      </c>
      <c r="G119" s="523">
        <f t="shared" si="31"/>
        <v>3358864.8392418204</v>
      </c>
      <c r="H119" s="526">
        <f t="shared" si="32"/>
        <v>540210.26078714314</v>
      </c>
      <c r="I119" s="577">
        <f t="shared" si="33"/>
        <v>540210.26078714314</v>
      </c>
      <c r="J119" s="514">
        <f t="shared" si="21"/>
        <v>0</v>
      </c>
      <c r="K119" s="514"/>
      <c r="L119" s="525"/>
      <c r="M119" s="514">
        <f t="shared" si="22"/>
        <v>0</v>
      </c>
      <c r="N119" s="525"/>
      <c r="O119" s="514">
        <f t="shared" si="23"/>
        <v>0</v>
      </c>
      <c r="P119" s="514">
        <f t="shared" si="24"/>
        <v>0</v>
      </c>
    </row>
    <row r="120" spans="2:16">
      <c r="B120" s="195" t="str">
        <f t="shared" si="25"/>
        <v/>
      </c>
      <c r="C120" s="507">
        <f>IF(D93="","-",+C119+1)</f>
        <v>2038</v>
      </c>
      <c r="D120" s="374">
        <f>IF(F119+SUM(E$99:E119)=D$92,F119,D$92-SUM(E$99:E119))</f>
        <v>3279399.1807052353</v>
      </c>
      <c r="E120" s="522">
        <f>IF(+J96&lt;F119,J96,D120)</f>
        <v>158931.31707317074</v>
      </c>
      <c r="F120" s="523">
        <f t="shared" si="30"/>
        <v>3120467.8636320648</v>
      </c>
      <c r="G120" s="523">
        <f t="shared" si="31"/>
        <v>3199933.5221686503</v>
      </c>
      <c r="H120" s="526">
        <f t="shared" si="32"/>
        <v>522169.29528333119</v>
      </c>
      <c r="I120" s="577">
        <f t="shared" si="33"/>
        <v>522169.29528333119</v>
      </c>
      <c r="J120" s="514">
        <f t="shared" si="21"/>
        <v>0</v>
      </c>
      <c r="K120" s="514"/>
      <c r="L120" s="525"/>
      <c r="M120" s="514">
        <f t="shared" si="22"/>
        <v>0</v>
      </c>
      <c r="N120" s="525"/>
      <c r="O120" s="514">
        <f t="shared" si="23"/>
        <v>0</v>
      </c>
      <c r="P120" s="514">
        <f t="shared" si="24"/>
        <v>0</v>
      </c>
    </row>
    <row r="121" spans="2:16">
      <c r="B121" s="195" t="str">
        <f t="shared" si="25"/>
        <v/>
      </c>
      <c r="C121" s="507">
        <f>IF(D93="","-",+C120+1)</f>
        <v>2039</v>
      </c>
      <c r="D121" s="374">
        <f>IF(F120+SUM(E$99:E120)=D$92,F120,D$92-SUM(E$99:E120))</f>
        <v>3120467.8636320648</v>
      </c>
      <c r="E121" s="522">
        <f>IF(+J96&lt;F120,J96,D121)</f>
        <v>158931.31707317074</v>
      </c>
      <c r="F121" s="523">
        <f t="shared" si="30"/>
        <v>2961536.5465588942</v>
      </c>
      <c r="G121" s="523">
        <f t="shared" si="31"/>
        <v>3041002.2050954793</v>
      </c>
      <c r="H121" s="526">
        <f t="shared" si="32"/>
        <v>504128.32977951906</v>
      </c>
      <c r="I121" s="577">
        <f t="shared" si="33"/>
        <v>504128.32977951906</v>
      </c>
      <c r="J121" s="514">
        <f t="shared" si="21"/>
        <v>0</v>
      </c>
      <c r="K121" s="514"/>
      <c r="L121" s="525"/>
      <c r="M121" s="514">
        <f t="shared" si="22"/>
        <v>0</v>
      </c>
      <c r="N121" s="525"/>
      <c r="O121" s="514">
        <f t="shared" si="23"/>
        <v>0</v>
      </c>
      <c r="P121" s="514">
        <f t="shared" si="24"/>
        <v>0</v>
      </c>
    </row>
    <row r="122" spans="2:16">
      <c r="B122" s="195" t="str">
        <f t="shared" si="25"/>
        <v/>
      </c>
      <c r="C122" s="507">
        <f>IF(D93="","-",+C121+1)</f>
        <v>2040</v>
      </c>
      <c r="D122" s="374">
        <f>IF(F121+SUM(E$99:E121)=D$92,F121,D$92-SUM(E$99:E121))</f>
        <v>2961536.5465588942</v>
      </c>
      <c r="E122" s="522">
        <f>IF(+J96&lt;F121,J96,D122)</f>
        <v>158931.31707317074</v>
      </c>
      <c r="F122" s="523">
        <f t="shared" si="30"/>
        <v>2802605.2294857237</v>
      </c>
      <c r="G122" s="523">
        <f t="shared" si="31"/>
        <v>2882070.8880223092</v>
      </c>
      <c r="H122" s="526">
        <f t="shared" si="32"/>
        <v>486087.36427570711</v>
      </c>
      <c r="I122" s="577">
        <f t="shared" si="33"/>
        <v>486087.36427570711</v>
      </c>
      <c r="J122" s="514">
        <f t="shared" si="21"/>
        <v>0</v>
      </c>
      <c r="K122" s="514"/>
      <c r="L122" s="525"/>
      <c r="M122" s="514">
        <f t="shared" si="22"/>
        <v>0</v>
      </c>
      <c r="N122" s="525"/>
      <c r="O122" s="514">
        <f t="shared" si="23"/>
        <v>0</v>
      </c>
      <c r="P122" s="514">
        <f t="shared" si="24"/>
        <v>0</v>
      </c>
    </row>
    <row r="123" spans="2:16">
      <c r="B123" s="195" t="str">
        <f t="shared" si="25"/>
        <v/>
      </c>
      <c r="C123" s="507">
        <f>IF(D93="","-",+C122+1)</f>
        <v>2041</v>
      </c>
      <c r="D123" s="374">
        <f>IF(F122+SUM(E$99:E122)=D$92,F122,D$92-SUM(E$99:E122))</f>
        <v>2802605.2294857237</v>
      </c>
      <c r="E123" s="522">
        <f>IF(+J96&lt;F122,J96,D123)</f>
        <v>158931.31707317074</v>
      </c>
      <c r="F123" s="523">
        <f t="shared" si="30"/>
        <v>2643673.9124125531</v>
      </c>
      <c r="G123" s="523">
        <f t="shared" si="31"/>
        <v>2723139.5709491381</v>
      </c>
      <c r="H123" s="526">
        <f t="shared" si="32"/>
        <v>468046.39877189498</v>
      </c>
      <c r="I123" s="577">
        <f t="shared" si="33"/>
        <v>468046.39877189498</v>
      </c>
      <c r="J123" s="514">
        <f t="shared" si="21"/>
        <v>0</v>
      </c>
      <c r="K123" s="514"/>
      <c r="L123" s="525"/>
      <c r="M123" s="514">
        <f t="shared" si="22"/>
        <v>0</v>
      </c>
      <c r="N123" s="525"/>
      <c r="O123" s="514">
        <f t="shared" si="23"/>
        <v>0</v>
      </c>
      <c r="P123" s="514">
        <f t="shared" si="24"/>
        <v>0</v>
      </c>
    </row>
    <row r="124" spans="2:16">
      <c r="B124" s="195" t="str">
        <f t="shared" si="25"/>
        <v/>
      </c>
      <c r="C124" s="507">
        <f>IF(D93="","-",+C123+1)</f>
        <v>2042</v>
      </c>
      <c r="D124" s="374">
        <f>IF(F123+SUM(E$99:E123)=D$92,F123,D$92-SUM(E$99:E123))</f>
        <v>2643673.9124125531</v>
      </c>
      <c r="E124" s="522">
        <f>IF(+J96&lt;F123,J96,D124)</f>
        <v>158931.31707317074</v>
      </c>
      <c r="F124" s="523">
        <f t="shared" si="30"/>
        <v>2484742.5953393825</v>
      </c>
      <c r="G124" s="523">
        <f t="shared" si="31"/>
        <v>2564208.253875968</v>
      </c>
      <c r="H124" s="526">
        <f t="shared" si="32"/>
        <v>450005.43326808297</v>
      </c>
      <c r="I124" s="577">
        <f t="shared" si="33"/>
        <v>450005.43326808297</v>
      </c>
      <c r="J124" s="514">
        <f t="shared" si="21"/>
        <v>0</v>
      </c>
      <c r="K124" s="514"/>
      <c r="L124" s="525"/>
      <c r="M124" s="514">
        <f t="shared" si="22"/>
        <v>0</v>
      </c>
      <c r="N124" s="525"/>
      <c r="O124" s="514">
        <f t="shared" si="23"/>
        <v>0</v>
      </c>
      <c r="P124" s="514">
        <f t="shared" si="24"/>
        <v>0</v>
      </c>
    </row>
    <row r="125" spans="2:16">
      <c r="B125" s="195" t="str">
        <f t="shared" si="25"/>
        <v/>
      </c>
      <c r="C125" s="507">
        <f>IF(D93="","-",+C124+1)</f>
        <v>2043</v>
      </c>
      <c r="D125" s="374">
        <f>IF(F124+SUM(E$99:E124)=D$92,F124,D$92-SUM(E$99:E124))</f>
        <v>2484742.5953393825</v>
      </c>
      <c r="E125" s="522">
        <f>IF(+J96&lt;F124,J96,D125)</f>
        <v>158931.31707317074</v>
      </c>
      <c r="F125" s="523">
        <f t="shared" si="30"/>
        <v>2325811.278266212</v>
      </c>
      <c r="G125" s="523">
        <f t="shared" si="31"/>
        <v>2405276.936802797</v>
      </c>
      <c r="H125" s="526">
        <f t="shared" si="32"/>
        <v>431964.46776427084</v>
      </c>
      <c r="I125" s="577">
        <f t="shared" si="33"/>
        <v>431964.46776427084</v>
      </c>
      <c r="J125" s="514">
        <f t="shared" si="21"/>
        <v>0</v>
      </c>
      <c r="K125" s="514"/>
      <c r="L125" s="525"/>
      <c r="M125" s="514">
        <f t="shared" si="22"/>
        <v>0</v>
      </c>
      <c r="N125" s="525"/>
      <c r="O125" s="514">
        <f t="shared" si="23"/>
        <v>0</v>
      </c>
      <c r="P125" s="514">
        <f t="shared" si="24"/>
        <v>0</v>
      </c>
    </row>
    <row r="126" spans="2:16">
      <c r="B126" s="195" t="str">
        <f t="shared" si="25"/>
        <v/>
      </c>
      <c r="C126" s="507">
        <f>IF(D93="","-",+C125+1)</f>
        <v>2044</v>
      </c>
      <c r="D126" s="374">
        <f>IF(F125+SUM(E$99:E125)=D$92,F125,D$92-SUM(E$99:E125))</f>
        <v>2325811.278266212</v>
      </c>
      <c r="E126" s="522">
        <f>IF(+J96&lt;F125,J96,D126)</f>
        <v>158931.31707317074</v>
      </c>
      <c r="F126" s="523">
        <f t="shared" si="30"/>
        <v>2166879.9611930414</v>
      </c>
      <c r="G126" s="523">
        <f t="shared" si="31"/>
        <v>2246345.6197296269</v>
      </c>
      <c r="H126" s="526">
        <f t="shared" si="32"/>
        <v>413923.50226045889</v>
      </c>
      <c r="I126" s="577">
        <f t="shared" si="33"/>
        <v>413923.50226045889</v>
      </c>
      <c r="J126" s="514">
        <f t="shared" si="21"/>
        <v>0</v>
      </c>
      <c r="K126" s="514"/>
      <c r="L126" s="525"/>
      <c r="M126" s="514">
        <f t="shared" si="22"/>
        <v>0</v>
      </c>
      <c r="N126" s="525"/>
      <c r="O126" s="514">
        <f t="shared" si="23"/>
        <v>0</v>
      </c>
      <c r="P126" s="514">
        <f t="shared" si="24"/>
        <v>0</v>
      </c>
    </row>
    <row r="127" spans="2:16">
      <c r="B127" s="195" t="str">
        <f t="shared" si="25"/>
        <v/>
      </c>
      <c r="C127" s="507">
        <f>IF(D93="","-",+C126+1)</f>
        <v>2045</v>
      </c>
      <c r="D127" s="374">
        <f>IF(F126+SUM(E$99:E126)=D$92,F126,D$92-SUM(E$99:E126))</f>
        <v>2166879.9611930414</v>
      </c>
      <c r="E127" s="522">
        <f>IF(+J96&lt;F126,J96,D127)</f>
        <v>158931.31707317074</v>
      </c>
      <c r="F127" s="523">
        <f t="shared" si="30"/>
        <v>2007948.6441198706</v>
      </c>
      <c r="G127" s="523">
        <f t="shared" si="31"/>
        <v>2087414.3026564559</v>
      </c>
      <c r="H127" s="526">
        <f t="shared" si="32"/>
        <v>395882.5367566467</v>
      </c>
      <c r="I127" s="577">
        <f t="shared" si="33"/>
        <v>395882.5367566467</v>
      </c>
      <c r="J127" s="514">
        <f t="shared" si="21"/>
        <v>0</v>
      </c>
      <c r="K127" s="514"/>
      <c r="L127" s="525"/>
      <c r="M127" s="514">
        <f t="shared" si="22"/>
        <v>0</v>
      </c>
      <c r="N127" s="525"/>
      <c r="O127" s="514">
        <f t="shared" si="23"/>
        <v>0</v>
      </c>
      <c r="P127" s="514">
        <f t="shared" si="24"/>
        <v>0</v>
      </c>
    </row>
    <row r="128" spans="2:16">
      <c r="B128" s="195" t="str">
        <f t="shared" si="25"/>
        <v/>
      </c>
      <c r="C128" s="507">
        <f>IF(D93="","-",+C127+1)</f>
        <v>2046</v>
      </c>
      <c r="D128" s="374">
        <f>IF(F127+SUM(E$99:E127)=D$92,F127,D$92-SUM(E$99:E127))</f>
        <v>2007948.6441198706</v>
      </c>
      <c r="E128" s="522">
        <f>IF(+J96&lt;F127,J96,D128)</f>
        <v>158931.31707317074</v>
      </c>
      <c r="F128" s="523">
        <f t="shared" si="30"/>
        <v>1849017.3270466998</v>
      </c>
      <c r="G128" s="523">
        <f t="shared" si="31"/>
        <v>1928482.9855832853</v>
      </c>
      <c r="H128" s="526">
        <f t="shared" si="32"/>
        <v>377841.57125283469</v>
      </c>
      <c r="I128" s="577">
        <f t="shared" si="33"/>
        <v>377841.57125283469</v>
      </c>
      <c r="J128" s="514">
        <f t="shared" si="21"/>
        <v>0</v>
      </c>
      <c r="K128" s="514"/>
      <c r="L128" s="525"/>
      <c r="M128" s="514">
        <f t="shared" si="22"/>
        <v>0</v>
      </c>
      <c r="N128" s="525"/>
      <c r="O128" s="514">
        <f t="shared" si="23"/>
        <v>0</v>
      </c>
      <c r="P128" s="514">
        <f t="shared" si="24"/>
        <v>0</v>
      </c>
    </row>
    <row r="129" spans="2:16">
      <c r="B129" s="195" t="str">
        <f t="shared" si="25"/>
        <v/>
      </c>
      <c r="C129" s="507">
        <f>IF(D93="","-",+C128+1)</f>
        <v>2047</v>
      </c>
      <c r="D129" s="374">
        <f>IF(F128+SUM(E$99:E128)=D$92,F128,D$92-SUM(E$99:E128))</f>
        <v>1849017.3270466998</v>
      </c>
      <c r="E129" s="522">
        <f>IF(+J96&lt;F128,J96,D129)</f>
        <v>158931.31707317074</v>
      </c>
      <c r="F129" s="523">
        <f t="shared" si="30"/>
        <v>1690086.009973529</v>
      </c>
      <c r="G129" s="523">
        <f t="shared" si="31"/>
        <v>1769551.6685101143</v>
      </c>
      <c r="H129" s="526">
        <f t="shared" si="32"/>
        <v>359800.60574902256</v>
      </c>
      <c r="I129" s="577">
        <f t="shared" si="33"/>
        <v>359800.60574902256</v>
      </c>
      <c r="J129" s="514">
        <f t="shared" si="21"/>
        <v>0</v>
      </c>
      <c r="K129" s="514"/>
      <c r="L129" s="525"/>
      <c r="M129" s="514">
        <f t="shared" si="22"/>
        <v>0</v>
      </c>
      <c r="N129" s="525"/>
      <c r="O129" s="514">
        <f t="shared" si="23"/>
        <v>0</v>
      </c>
      <c r="P129" s="514">
        <f t="shared" si="24"/>
        <v>0</v>
      </c>
    </row>
    <row r="130" spans="2:16">
      <c r="B130" s="195" t="str">
        <f t="shared" si="25"/>
        <v/>
      </c>
      <c r="C130" s="507">
        <f>IF(D93="","-",+C129+1)</f>
        <v>2048</v>
      </c>
      <c r="D130" s="374">
        <f>IF(F129+SUM(E$99:E129)=D$92,F129,D$92-SUM(E$99:E129))</f>
        <v>1690086.009973529</v>
      </c>
      <c r="E130" s="522">
        <f>IF(+J96&lt;F129,J96,D130)</f>
        <v>158931.31707317074</v>
      </c>
      <c r="F130" s="523">
        <f t="shared" si="30"/>
        <v>1531154.6929003582</v>
      </c>
      <c r="G130" s="523">
        <f t="shared" si="31"/>
        <v>1610620.3514369437</v>
      </c>
      <c r="H130" s="526">
        <f t="shared" si="32"/>
        <v>341759.6402452105</v>
      </c>
      <c r="I130" s="577">
        <f t="shared" si="33"/>
        <v>341759.6402452105</v>
      </c>
      <c r="J130" s="514">
        <f t="shared" si="21"/>
        <v>0</v>
      </c>
      <c r="K130" s="514"/>
      <c r="L130" s="525"/>
      <c r="M130" s="514">
        <f t="shared" si="22"/>
        <v>0</v>
      </c>
      <c r="N130" s="525"/>
      <c r="O130" s="514">
        <f t="shared" si="23"/>
        <v>0</v>
      </c>
      <c r="P130" s="514">
        <f t="shared" si="24"/>
        <v>0</v>
      </c>
    </row>
    <row r="131" spans="2:16">
      <c r="B131" s="195" t="str">
        <f t="shared" si="25"/>
        <v/>
      </c>
      <c r="C131" s="507">
        <f>IF(D93="","-",+C130+1)</f>
        <v>2049</v>
      </c>
      <c r="D131" s="374">
        <f>IF(F130+SUM(E$99:E130)=D$92,F130,D$92-SUM(E$99:E130))</f>
        <v>1531154.6929003582</v>
      </c>
      <c r="E131" s="522">
        <f>IF(+J96&lt;F130,J96,D131)</f>
        <v>158931.31707317074</v>
      </c>
      <c r="F131" s="523">
        <f t="shared" ref="F131:F154" si="34">+D131-E131</f>
        <v>1372223.3758271874</v>
      </c>
      <c r="G131" s="523">
        <f t="shared" ref="G131:G154" si="35">+(F131+D131)/2</f>
        <v>1451689.0343637727</v>
      </c>
      <c r="H131" s="526">
        <f t="shared" si="32"/>
        <v>323718.67474139843</v>
      </c>
      <c r="I131" s="577">
        <f t="shared" si="33"/>
        <v>323718.67474139843</v>
      </c>
      <c r="J131" s="514">
        <f t="shared" ref="J131:J154" si="36">+I541-H541</f>
        <v>0</v>
      </c>
      <c r="K131" s="514"/>
      <c r="L131" s="525"/>
      <c r="M131" s="514">
        <f t="shared" ref="M131:M154" si="37">IF(L541&lt;&gt;0,+H541-L541,0)</f>
        <v>0</v>
      </c>
      <c r="N131" s="525"/>
      <c r="O131" s="514">
        <f t="shared" ref="O131:O154" si="38">IF(N541&lt;&gt;0,+I541-N541,0)</f>
        <v>0</v>
      </c>
      <c r="P131" s="514">
        <f t="shared" ref="P131:P154" si="39">+O541-M541</f>
        <v>0</v>
      </c>
    </row>
    <row r="132" spans="2:16">
      <c r="B132" s="195" t="str">
        <f t="shared" si="25"/>
        <v/>
      </c>
      <c r="C132" s="507">
        <f>IF(D93="","-",+C131+1)</f>
        <v>2050</v>
      </c>
      <c r="D132" s="374">
        <f>IF(F131+SUM(E$99:E131)=D$92,F131,D$92-SUM(E$99:E131))</f>
        <v>1372223.3758271874</v>
      </c>
      <c r="E132" s="522">
        <f>IF(+J96&lt;F131,J96,D132)</f>
        <v>158931.31707317074</v>
      </c>
      <c r="F132" s="523">
        <f t="shared" si="34"/>
        <v>1213292.0587540166</v>
      </c>
      <c r="G132" s="523">
        <f t="shared" si="35"/>
        <v>1292757.7172906022</v>
      </c>
      <c r="H132" s="526">
        <f t="shared" si="32"/>
        <v>305677.70923758636</v>
      </c>
      <c r="I132" s="577">
        <f t="shared" si="33"/>
        <v>305677.70923758636</v>
      </c>
      <c r="J132" s="514">
        <f t="shared" si="36"/>
        <v>0</v>
      </c>
      <c r="K132" s="514"/>
      <c r="L132" s="525"/>
      <c r="M132" s="514">
        <f t="shared" si="37"/>
        <v>0</v>
      </c>
      <c r="N132" s="525"/>
      <c r="O132" s="514">
        <f t="shared" si="38"/>
        <v>0</v>
      </c>
      <c r="P132" s="514">
        <f t="shared" si="39"/>
        <v>0</v>
      </c>
    </row>
    <row r="133" spans="2:16">
      <c r="B133" s="195" t="str">
        <f t="shared" si="25"/>
        <v/>
      </c>
      <c r="C133" s="507">
        <f>IF(D93="","-",+C132+1)</f>
        <v>2051</v>
      </c>
      <c r="D133" s="374">
        <f>IF(F132+SUM(E$99:E132)=D$92,F132,D$92-SUM(E$99:E132))</f>
        <v>1213292.0587540166</v>
      </c>
      <c r="E133" s="522">
        <f>IF(+J96&lt;F132,J96,D133)</f>
        <v>158931.31707317074</v>
      </c>
      <c r="F133" s="523">
        <f t="shared" si="34"/>
        <v>1054360.7416808459</v>
      </c>
      <c r="G133" s="523">
        <f t="shared" si="35"/>
        <v>1133826.4002174311</v>
      </c>
      <c r="H133" s="526">
        <f t="shared" si="32"/>
        <v>287636.74373377423</v>
      </c>
      <c r="I133" s="577">
        <f t="shared" si="33"/>
        <v>287636.74373377423</v>
      </c>
      <c r="J133" s="514">
        <f t="shared" si="36"/>
        <v>0</v>
      </c>
      <c r="K133" s="514"/>
      <c r="L133" s="525"/>
      <c r="M133" s="514">
        <f t="shared" si="37"/>
        <v>0</v>
      </c>
      <c r="N133" s="525"/>
      <c r="O133" s="514">
        <f t="shared" si="38"/>
        <v>0</v>
      </c>
      <c r="P133" s="514">
        <f t="shared" si="39"/>
        <v>0</v>
      </c>
    </row>
    <row r="134" spans="2:16">
      <c r="B134" s="195" t="str">
        <f t="shared" si="25"/>
        <v/>
      </c>
      <c r="C134" s="507">
        <f>IF(D93="","-",+C133+1)</f>
        <v>2052</v>
      </c>
      <c r="D134" s="374">
        <f>IF(F133+SUM(E$99:E133)=D$92,F133,D$92-SUM(E$99:E133))</f>
        <v>1054360.7416808459</v>
      </c>
      <c r="E134" s="522">
        <f>IF(+J96&lt;F133,J96,D134)</f>
        <v>158931.31707317074</v>
      </c>
      <c r="F134" s="523">
        <f t="shared" si="34"/>
        <v>895429.42460767506</v>
      </c>
      <c r="G134" s="523">
        <f t="shared" si="35"/>
        <v>974895.08314426045</v>
      </c>
      <c r="H134" s="526">
        <f t="shared" si="32"/>
        <v>269595.77822996216</v>
      </c>
      <c r="I134" s="577">
        <f t="shared" si="33"/>
        <v>269595.77822996216</v>
      </c>
      <c r="J134" s="514">
        <f t="shared" si="36"/>
        <v>0</v>
      </c>
      <c r="K134" s="514"/>
      <c r="L134" s="525"/>
      <c r="M134" s="514">
        <f t="shared" si="37"/>
        <v>0</v>
      </c>
      <c r="N134" s="525"/>
      <c r="O134" s="514">
        <f t="shared" si="38"/>
        <v>0</v>
      </c>
      <c r="P134" s="514">
        <f t="shared" si="39"/>
        <v>0</v>
      </c>
    </row>
    <row r="135" spans="2:16">
      <c r="B135" s="195" t="str">
        <f t="shared" si="25"/>
        <v/>
      </c>
      <c r="C135" s="507">
        <f>IF(D93="","-",+C134+1)</f>
        <v>2053</v>
      </c>
      <c r="D135" s="374">
        <f>IF(F134+SUM(E$99:E134)=D$92,F134,D$92-SUM(E$99:E134))</f>
        <v>895429.42460767506</v>
      </c>
      <c r="E135" s="522">
        <f>IF(+J96&lt;F134,J96,D135)</f>
        <v>158931.31707317074</v>
      </c>
      <c r="F135" s="523">
        <f t="shared" si="34"/>
        <v>736498.10753450426</v>
      </c>
      <c r="G135" s="523">
        <f t="shared" si="35"/>
        <v>815963.76607108966</v>
      </c>
      <c r="H135" s="526">
        <f t="shared" si="32"/>
        <v>251554.81272615009</v>
      </c>
      <c r="I135" s="577">
        <f t="shared" si="33"/>
        <v>251554.81272615009</v>
      </c>
      <c r="J135" s="514">
        <f t="shared" si="36"/>
        <v>0</v>
      </c>
      <c r="K135" s="514"/>
      <c r="L135" s="525"/>
      <c r="M135" s="514">
        <f t="shared" si="37"/>
        <v>0</v>
      </c>
      <c r="N135" s="525"/>
      <c r="O135" s="514">
        <f t="shared" si="38"/>
        <v>0</v>
      </c>
      <c r="P135" s="514">
        <f t="shared" si="39"/>
        <v>0</v>
      </c>
    </row>
    <row r="136" spans="2:16">
      <c r="B136" s="195" t="str">
        <f t="shared" si="25"/>
        <v/>
      </c>
      <c r="C136" s="507">
        <f>IF(D93="","-",+C135+1)</f>
        <v>2054</v>
      </c>
      <c r="D136" s="374">
        <f>IF(F135+SUM(E$99:E135)=D$92,F135,D$92-SUM(E$99:E135))</f>
        <v>736498.10753450426</v>
      </c>
      <c r="E136" s="522">
        <f>IF(+J96&lt;F135,J96,D136)</f>
        <v>158931.31707317074</v>
      </c>
      <c r="F136" s="523">
        <f t="shared" si="34"/>
        <v>577566.79046133347</v>
      </c>
      <c r="G136" s="523">
        <f t="shared" si="35"/>
        <v>657032.44899791887</v>
      </c>
      <c r="H136" s="526">
        <f t="shared" si="32"/>
        <v>233513.84722233802</v>
      </c>
      <c r="I136" s="577">
        <f t="shared" si="33"/>
        <v>233513.84722233802</v>
      </c>
      <c r="J136" s="514">
        <f t="shared" si="36"/>
        <v>0</v>
      </c>
      <c r="K136" s="514"/>
      <c r="L136" s="525"/>
      <c r="M136" s="514">
        <f t="shared" si="37"/>
        <v>0</v>
      </c>
      <c r="N136" s="525"/>
      <c r="O136" s="514">
        <f t="shared" si="38"/>
        <v>0</v>
      </c>
      <c r="P136" s="514">
        <f t="shared" si="39"/>
        <v>0</v>
      </c>
    </row>
    <row r="137" spans="2:16">
      <c r="B137" s="195" t="str">
        <f t="shared" si="25"/>
        <v/>
      </c>
      <c r="C137" s="507">
        <f>IF(D93="","-",+C136+1)</f>
        <v>2055</v>
      </c>
      <c r="D137" s="374">
        <f>IF(F136+SUM(E$99:E136)=D$92,F136,D$92-SUM(E$99:E136))</f>
        <v>577566.79046133347</v>
      </c>
      <c r="E137" s="522">
        <f>IF(+J96&lt;F136,J96,D137)</f>
        <v>158931.31707317074</v>
      </c>
      <c r="F137" s="523">
        <f t="shared" si="34"/>
        <v>418635.47338816273</v>
      </c>
      <c r="G137" s="523">
        <f t="shared" si="35"/>
        <v>498101.13192474807</v>
      </c>
      <c r="H137" s="526">
        <f t="shared" si="32"/>
        <v>215472.88171852595</v>
      </c>
      <c r="I137" s="577">
        <f t="shared" si="33"/>
        <v>215472.88171852595</v>
      </c>
      <c r="J137" s="514">
        <f t="shared" si="36"/>
        <v>0</v>
      </c>
      <c r="K137" s="514"/>
      <c r="L137" s="525"/>
      <c r="M137" s="514">
        <f t="shared" si="37"/>
        <v>0</v>
      </c>
      <c r="N137" s="525"/>
      <c r="O137" s="514">
        <f t="shared" si="38"/>
        <v>0</v>
      </c>
      <c r="P137" s="514">
        <f t="shared" si="39"/>
        <v>0</v>
      </c>
    </row>
    <row r="138" spans="2:16">
      <c r="B138" s="195" t="str">
        <f t="shared" si="25"/>
        <v/>
      </c>
      <c r="C138" s="507">
        <f>IF(D93="","-",+C137+1)</f>
        <v>2056</v>
      </c>
      <c r="D138" s="374">
        <f>IF(F137+SUM(E$99:E137)=D$92,F137,D$92-SUM(E$99:E137))</f>
        <v>418635.47338816273</v>
      </c>
      <c r="E138" s="522">
        <f>IF(+J96&lt;F137,J96,D138)</f>
        <v>158931.31707317074</v>
      </c>
      <c r="F138" s="523">
        <f t="shared" si="34"/>
        <v>259704.156314992</v>
      </c>
      <c r="G138" s="523">
        <f t="shared" si="35"/>
        <v>339169.81485157739</v>
      </c>
      <c r="H138" s="526">
        <f t="shared" si="32"/>
        <v>197431.91621471388</v>
      </c>
      <c r="I138" s="577">
        <f t="shared" si="33"/>
        <v>197431.91621471388</v>
      </c>
      <c r="J138" s="514">
        <f t="shared" si="36"/>
        <v>0</v>
      </c>
      <c r="K138" s="514"/>
      <c r="L138" s="525"/>
      <c r="M138" s="514">
        <f t="shared" si="37"/>
        <v>0</v>
      </c>
      <c r="N138" s="525"/>
      <c r="O138" s="514">
        <f t="shared" si="38"/>
        <v>0</v>
      </c>
      <c r="P138" s="514">
        <f t="shared" si="39"/>
        <v>0</v>
      </c>
    </row>
    <row r="139" spans="2:16">
      <c r="B139" s="195" t="str">
        <f t="shared" si="25"/>
        <v/>
      </c>
      <c r="C139" s="507">
        <f>IF(D93="","-",+C138+1)</f>
        <v>2057</v>
      </c>
      <c r="D139" s="374">
        <f>IF(F138+SUM(E$99:E138)=D$92,F138,D$92-SUM(E$99:E138))</f>
        <v>259704.156314992</v>
      </c>
      <c r="E139" s="522">
        <f>IF(+J96&lt;F138,J96,D139)</f>
        <v>158931.31707317074</v>
      </c>
      <c r="F139" s="523">
        <f t="shared" si="34"/>
        <v>100772.83924182126</v>
      </c>
      <c r="G139" s="523">
        <f t="shared" si="35"/>
        <v>180238.49777840663</v>
      </c>
      <c r="H139" s="526">
        <f t="shared" si="32"/>
        <v>179390.95071090179</v>
      </c>
      <c r="I139" s="577">
        <f t="shared" si="33"/>
        <v>179390.95071090179</v>
      </c>
      <c r="J139" s="514">
        <f t="shared" si="36"/>
        <v>0</v>
      </c>
      <c r="K139" s="514"/>
      <c r="L139" s="525"/>
      <c r="M139" s="514">
        <f t="shared" si="37"/>
        <v>0</v>
      </c>
      <c r="N139" s="525"/>
      <c r="O139" s="514">
        <f t="shared" si="38"/>
        <v>0</v>
      </c>
      <c r="P139" s="514">
        <f t="shared" si="39"/>
        <v>0</v>
      </c>
    </row>
    <row r="140" spans="2:16">
      <c r="B140" s="195" t="str">
        <f t="shared" si="25"/>
        <v/>
      </c>
      <c r="C140" s="507">
        <f>IF(D93="","-",+C139+1)</f>
        <v>2058</v>
      </c>
      <c r="D140" s="374">
        <f>IF(F139+SUM(E$99:E139)=D$92,F139,D$92-SUM(E$99:E139))</f>
        <v>100772.83924182126</v>
      </c>
      <c r="E140" s="522">
        <f>IF(+J96&lt;F139,J96,D140)</f>
        <v>100772.83924182126</v>
      </c>
      <c r="F140" s="523">
        <f t="shared" si="34"/>
        <v>0</v>
      </c>
      <c r="G140" s="523">
        <f t="shared" si="35"/>
        <v>50386.41962091063</v>
      </c>
      <c r="H140" s="526">
        <f t="shared" si="32"/>
        <v>106492.41468473377</v>
      </c>
      <c r="I140" s="577">
        <f t="shared" si="33"/>
        <v>106492.41468473377</v>
      </c>
      <c r="J140" s="514">
        <f t="shared" si="36"/>
        <v>0</v>
      </c>
      <c r="K140" s="514"/>
      <c r="L140" s="525"/>
      <c r="M140" s="514">
        <f t="shared" si="37"/>
        <v>0</v>
      </c>
      <c r="N140" s="525"/>
      <c r="O140" s="514">
        <f t="shared" si="38"/>
        <v>0</v>
      </c>
      <c r="P140" s="514">
        <f t="shared" si="39"/>
        <v>0</v>
      </c>
    </row>
    <row r="141" spans="2:16">
      <c r="B141" s="195" t="str">
        <f t="shared" si="25"/>
        <v/>
      </c>
      <c r="C141" s="507">
        <f>IF(D93="","-",+C140+1)</f>
        <v>2059</v>
      </c>
      <c r="D141" s="374">
        <f>IF(F140+SUM(E$99:E140)=D$92,F140,D$92-SUM(E$99:E140))</f>
        <v>0</v>
      </c>
      <c r="E141" s="522">
        <f>IF(+J96&lt;F140,J96,D141)</f>
        <v>0</v>
      </c>
      <c r="F141" s="523">
        <f t="shared" si="34"/>
        <v>0</v>
      </c>
      <c r="G141" s="523">
        <f t="shared" si="35"/>
        <v>0</v>
      </c>
      <c r="H141" s="526">
        <f t="shared" si="32"/>
        <v>0</v>
      </c>
      <c r="I141" s="577">
        <f t="shared" si="33"/>
        <v>0</v>
      </c>
      <c r="J141" s="514">
        <f t="shared" si="36"/>
        <v>0</v>
      </c>
      <c r="K141" s="514"/>
      <c r="L141" s="525"/>
      <c r="M141" s="514">
        <f t="shared" si="37"/>
        <v>0</v>
      </c>
      <c r="N141" s="525"/>
      <c r="O141" s="514">
        <f t="shared" si="38"/>
        <v>0</v>
      </c>
      <c r="P141" s="514">
        <f t="shared" si="39"/>
        <v>0</v>
      </c>
    </row>
    <row r="142" spans="2:16">
      <c r="B142" s="195" t="str">
        <f t="shared" si="25"/>
        <v/>
      </c>
      <c r="C142" s="507">
        <f>IF(D93="","-",+C141+1)</f>
        <v>2060</v>
      </c>
      <c r="D142" s="374">
        <f>IF(F141+SUM(E$99:E141)=D$92,F141,D$92-SUM(E$99:E141))</f>
        <v>0</v>
      </c>
      <c r="E142" s="522">
        <f>IF(+J96&lt;F141,J96,D142)</f>
        <v>0</v>
      </c>
      <c r="F142" s="523">
        <f t="shared" si="34"/>
        <v>0</v>
      </c>
      <c r="G142" s="523">
        <f t="shared" si="35"/>
        <v>0</v>
      </c>
      <c r="H142" s="526">
        <f t="shared" si="32"/>
        <v>0</v>
      </c>
      <c r="I142" s="577">
        <f t="shared" si="33"/>
        <v>0</v>
      </c>
      <c r="J142" s="514">
        <f t="shared" si="36"/>
        <v>0</v>
      </c>
      <c r="K142" s="514"/>
      <c r="L142" s="525"/>
      <c r="M142" s="514">
        <f t="shared" si="37"/>
        <v>0</v>
      </c>
      <c r="N142" s="525"/>
      <c r="O142" s="514">
        <f t="shared" si="38"/>
        <v>0</v>
      </c>
      <c r="P142" s="514">
        <f t="shared" si="39"/>
        <v>0</v>
      </c>
    </row>
    <row r="143" spans="2:16">
      <c r="B143" s="195" t="str">
        <f t="shared" si="25"/>
        <v/>
      </c>
      <c r="C143" s="507">
        <f>IF(D93="","-",+C142+1)</f>
        <v>2061</v>
      </c>
      <c r="D143" s="374">
        <f>IF(F142+SUM(E$99:E142)=D$92,F142,D$92-SUM(E$99:E142))</f>
        <v>0</v>
      </c>
      <c r="E143" s="522">
        <f>IF(+J96&lt;F142,J96,D143)</f>
        <v>0</v>
      </c>
      <c r="F143" s="523">
        <f t="shared" si="34"/>
        <v>0</v>
      </c>
      <c r="G143" s="523">
        <f t="shared" si="35"/>
        <v>0</v>
      </c>
      <c r="H143" s="526">
        <f t="shared" si="32"/>
        <v>0</v>
      </c>
      <c r="I143" s="577">
        <f t="shared" si="33"/>
        <v>0</v>
      </c>
      <c r="J143" s="514">
        <f t="shared" si="36"/>
        <v>0</v>
      </c>
      <c r="K143" s="514"/>
      <c r="L143" s="525"/>
      <c r="M143" s="514">
        <f t="shared" si="37"/>
        <v>0</v>
      </c>
      <c r="N143" s="525"/>
      <c r="O143" s="514">
        <f t="shared" si="38"/>
        <v>0</v>
      </c>
      <c r="P143" s="514">
        <f t="shared" si="39"/>
        <v>0</v>
      </c>
    </row>
    <row r="144" spans="2:16">
      <c r="B144" s="195" t="str">
        <f t="shared" si="25"/>
        <v/>
      </c>
      <c r="C144" s="507">
        <f>IF(D93="","-",+C143+1)</f>
        <v>2062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34"/>
        <v>0</v>
      </c>
      <c r="G144" s="523">
        <f t="shared" si="35"/>
        <v>0</v>
      </c>
      <c r="H144" s="526">
        <f t="shared" si="32"/>
        <v>0</v>
      </c>
      <c r="I144" s="577">
        <f t="shared" si="33"/>
        <v>0</v>
      </c>
      <c r="J144" s="514">
        <f t="shared" si="36"/>
        <v>0</v>
      </c>
      <c r="K144" s="514"/>
      <c r="L144" s="525"/>
      <c r="M144" s="514">
        <f t="shared" si="37"/>
        <v>0</v>
      </c>
      <c r="N144" s="525"/>
      <c r="O144" s="514">
        <f t="shared" si="38"/>
        <v>0</v>
      </c>
      <c r="P144" s="514">
        <f t="shared" si="39"/>
        <v>0</v>
      </c>
    </row>
    <row r="145" spans="2:16">
      <c r="B145" s="195" t="str">
        <f t="shared" si="25"/>
        <v/>
      </c>
      <c r="C145" s="507">
        <f>IF(D93="","-",+C144+1)</f>
        <v>2063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34"/>
        <v>0</v>
      </c>
      <c r="G145" s="523">
        <f t="shared" si="35"/>
        <v>0</v>
      </c>
      <c r="H145" s="526">
        <f t="shared" si="32"/>
        <v>0</v>
      </c>
      <c r="I145" s="577">
        <f t="shared" si="33"/>
        <v>0</v>
      </c>
      <c r="J145" s="514">
        <f t="shared" si="36"/>
        <v>0</v>
      </c>
      <c r="K145" s="514"/>
      <c r="L145" s="525"/>
      <c r="M145" s="514">
        <f t="shared" si="37"/>
        <v>0</v>
      </c>
      <c r="N145" s="525"/>
      <c r="O145" s="514">
        <f t="shared" si="38"/>
        <v>0</v>
      </c>
      <c r="P145" s="514">
        <f t="shared" si="39"/>
        <v>0</v>
      </c>
    </row>
    <row r="146" spans="2:16">
      <c r="B146" s="195" t="str">
        <f t="shared" si="25"/>
        <v/>
      </c>
      <c r="C146" s="507">
        <f>IF(D93="","-",+C145+1)</f>
        <v>2064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34"/>
        <v>0</v>
      </c>
      <c r="G146" s="523">
        <f t="shared" si="35"/>
        <v>0</v>
      </c>
      <c r="H146" s="526">
        <f t="shared" si="32"/>
        <v>0</v>
      </c>
      <c r="I146" s="577">
        <f t="shared" si="33"/>
        <v>0</v>
      </c>
      <c r="J146" s="514">
        <f t="shared" si="36"/>
        <v>0</v>
      </c>
      <c r="K146" s="514"/>
      <c r="L146" s="525"/>
      <c r="M146" s="514">
        <f t="shared" si="37"/>
        <v>0</v>
      </c>
      <c r="N146" s="525"/>
      <c r="O146" s="514">
        <f t="shared" si="38"/>
        <v>0</v>
      </c>
      <c r="P146" s="514">
        <f t="shared" si="39"/>
        <v>0</v>
      </c>
    </row>
    <row r="147" spans="2:16">
      <c r="B147" s="195" t="str">
        <f t="shared" si="25"/>
        <v/>
      </c>
      <c r="C147" s="507">
        <f>IF(D93="","-",+C146+1)</f>
        <v>2065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34"/>
        <v>0</v>
      </c>
      <c r="G147" s="523">
        <f t="shared" si="35"/>
        <v>0</v>
      </c>
      <c r="H147" s="526">
        <f t="shared" si="32"/>
        <v>0</v>
      </c>
      <c r="I147" s="577">
        <f t="shared" si="33"/>
        <v>0</v>
      </c>
      <c r="J147" s="514">
        <f t="shared" si="36"/>
        <v>0</v>
      </c>
      <c r="K147" s="514"/>
      <c r="L147" s="525"/>
      <c r="M147" s="514">
        <f t="shared" si="37"/>
        <v>0</v>
      </c>
      <c r="N147" s="525"/>
      <c r="O147" s="514">
        <f t="shared" si="38"/>
        <v>0</v>
      </c>
      <c r="P147" s="514">
        <f t="shared" si="39"/>
        <v>0</v>
      </c>
    </row>
    <row r="148" spans="2:16">
      <c r="B148" s="195" t="str">
        <f t="shared" si="25"/>
        <v/>
      </c>
      <c r="C148" s="507">
        <f>IF(D93="","-",+C147+1)</f>
        <v>2066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34"/>
        <v>0</v>
      </c>
      <c r="G148" s="523">
        <f t="shared" si="35"/>
        <v>0</v>
      </c>
      <c r="H148" s="526">
        <f t="shared" si="32"/>
        <v>0</v>
      </c>
      <c r="I148" s="577">
        <f t="shared" si="33"/>
        <v>0</v>
      </c>
      <c r="J148" s="514">
        <f t="shared" si="36"/>
        <v>0</v>
      </c>
      <c r="K148" s="514"/>
      <c r="L148" s="525"/>
      <c r="M148" s="514">
        <f t="shared" si="37"/>
        <v>0</v>
      </c>
      <c r="N148" s="525"/>
      <c r="O148" s="514">
        <f t="shared" si="38"/>
        <v>0</v>
      </c>
      <c r="P148" s="514">
        <f t="shared" si="39"/>
        <v>0</v>
      </c>
    </row>
    <row r="149" spans="2:16">
      <c r="B149" s="195" t="str">
        <f t="shared" si="25"/>
        <v/>
      </c>
      <c r="C149" s="507">
        <f>IF(D93="","-",+C148+1)</f>
        <v>2067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34"/>
        <v>0</v>
      </c>
      <c r="G149" s="523">
        <f t="shared" si="35"/>
        <v>0</v>
      </c>
      <c r="H149" s="526">
        <f t="shared" si="32"/>
        <v>0</v>
      </c>
      <c r="I149" s="577">
        <f t="shared" si="33"/>
        <v>0</v>
      </c>
      <c r="J149" s="514">
        <f t="shared" si="36"/>
        <v>0</v>
      </c>
      <c r="K149" s="514"/>
      <c r="L149" s="525"/>
      <c r="M149" s="514">
        <f t="shared" si="37"/>
        <v>0</v>
      </c>
      <c r="N149" s="525"/>
      <c r="O149" s="514">
        <f t="shared" si="38"/>
        <v>0</v>
      </c>
      <c r="P149" s="514">
        <f t="shared" si="39"/>
        <v>0</v>
      </c>
    </row>
    <row r="150" spans="2:16">
      <c r="B150" s="195" t="str">
        <f t="shared" si="25"/>
        <v/>
      </c>
      <c r="C150" s="507">
        <f>IF(D93="","-",+C149+1)</f>
        <v>2068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34"/>
        <v>0</v>
      </c>
      <c r="G150" s="523">
        <f t="shared" si="35"/>
        <v>0</v>
      </c>
      <c r="H150" s="526">
        <f t="shared" si="32"/>
        <v>0</v>
      </c>
      <c r="I150" s="577">
        <f t="shared" si="33"/>
        <v>0</v>
      </c>
      <c r="J150" s="514">
        <f t="shared" si="36"/>
        <v>0</v>
      </c>
      <c r="K150" s="514"/>
      <c r="L150" s="525"/>
      <c r="M150" s="514">
        <f t="shared" si="37"/>
        <v>0</v>
      </c>
      <c r="N150" s="525"/>
      <c r="O150" s="514">
        <f t="shared" si="38"/>
        <v>0</v>
      </c>
      <c r="P150" s="514">
        <f t="shared" si="39"/>
        <v>0</v>
      </c>
    </row>
    <row r="151" spans="2:16">
      <c r="B151" s="195" t="str">
        <f t="shared" si="25"/>
        <v/>
      </c>
      <c r="C151" s="507">
        <f>IF(D93="","-",+C150+1)</f>
        <v>2069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34"/>
        <v>0</v>
      </c>
      <c r="G151" s="523">
        <f t="shared" si="35"/>
        <v>0</v>
      </c>
      <c r="H151" s="526">
        <f t="shared" si="32"/>
        <v>0</v>
      </c>
      <c r="I151" s="577">
        <f t="shared" si="33"/>
        <v>0</v>
      </c>
      <c r="J151" s="514">
        <f t="shared" si="36"/>
        <v>0</v>
      </c>
      <c r="K151" s="514"/>
      <c r="L151" s="525"/>
      <c r="M151" s="514">
        <f t="shared" si="37"/>
        <v>0</v>
      </c>
      <c r="N151" s="525"/>
      <c r="O151" s="514">
        <f t="shared" si="38"/>
        <v>0</v>
      </c>
      <c r="P151" s="514">
        <f t="shared" si="39"/>
        <v>0</v>
      </c>
    </row>
    <row r="152" spans="2:16">
      <c r="B152" s="195" t="str">
        <f t="shared" si="25"/>
        <v/>
      </c>
      <c r="C152" s="507">
        <f>IF(D93="","-",+C151+1)</f>
        <v>2070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34"/>
        <v>0</v>
      </c>
      <c r="G152" s="523">
        <f t="shared" si="35"/>
        <v>0</v>
      </c>
      <c r="H152" s="526">
        <f t="shared" si="32"/>
        <v>0</v>
      </c>
      <c r="I152" s="577">
        <f t="shared" si="33"/>
        <v>0</v>
      </c>
      <c r="J152" s="514">
        <f t="shared" si="36"/>
        <v>0</v>
      </c>
      <c r="K152" s="514"/>
      <c r="L152" s="525"/>
      <c r="M152" s="514">
        <f t="shared" si="37"/>
        <v>0</v>
      </c>
      <c r="N152" s="525"/>
      <c r="O152" s="514">
        <f t="shared" si="38"/>
        <v>0</v>
      </c>
      <c r="P152" s="514">
        <f t="shared" si="39"/>
        <v>0</v>
      </c>
    </row>
    <row r="153" spans="2:16">
      <c r="B153" s="195" t="str">
        <f t="shared" si="25"/>
        <v/>
      </c>
      <c r="C153" s="507">
        <f>IF(D93="","-",+C152+1)</f>
        <v>2071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34"/>
        <v>0</v>
      </c>
      <c r="G153" s="523">
        <f t="shared" si="35"/>
        <v>0</v>
      </c>
      <c r="H153" s="526">
        <f t="shared" si="32"/>
        <v>0</v>
      </c>
      <c r="I153" s="577">
        <f t="shared" si="33"/>
        <v>0</v>
      </c>
      <c r="J153" s="514">
        <f t="shared" si="36"/>
        <v>0</v>
      </c>
      <c r="K153" s="514"/>
      <c r="L153" s="525"/>
      <c r="M153" s="514">
        <f t="shared" si="37"/>
        <v>0</v>
      </c>
      <c r="N153" s="525"/>
      <c r="O153" s="514">
        <f t="shared" si="38"/>
        <v>0</v>
      </c>
      <c r="P153" s="514">
        <f t="shared" si="39"/>
        <v>0</v>
      </c>
    </row>
    <row r="154" spans="2:16" ht="13.5" thickBot="1">
      <c r="B154" s="195" t="str">
        <f t="shared" si="25"/>
        <v/>
      </c>
      <c r="C154" s="527">
        <f>IF(D93="","-",+C153+1)</f>
        <v>2072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34"/>
        <v>0</v>
      </c>
      <c r="G154" s="528">
        <f t="shared" si="35"/>
        <v>0</v>
      </c>
      <c r="H154" s="530">
        <f t="shared" si="32"/>
        <v>0</v>
      </c>
      <c r="I154" s="579">
        <f t="shared" si="33"/>
        <v>0</v>
      </c>
      <c r="J154" s="533">
        <f t="shared" si="36"/>
        <v>0</v>
      </c>
      <c r="K154" s="514"/>
      <c r="L154" s="532"/>
      <c r="M154" s="533">
        <f t="shared" si="37"/>
        <v>0</v>
      </c>
      <c r="N154" s="532"/>
      <c r="O154" s="533">
        <f t="shared" si="38"/>
        <v>0</v>
      </c>
      <c r="P154" s="533">
        <f t="shared" si="39"/>
        <v>0</v>
      </c>
    </row>
    <row r="155" spans="2:16">
      <c r="C155" s="374" t="s">
        <v>78</v>
      </c>
      <c r="D155" s="375"/>
      <c r="E155" s="375">
        <f>SUM(E99:E154)</f>
        <v>6516184.0000000009</v>
      </c>
      <c r="F155" s="375"/>
      <c r="G155" s="375"/>
      <c r="H155" s="375">
        <f>SUM(H99:H154)</f>
        <v>21691730.532900572</v>
      </c>
      <c r="I155" s="375">
        <f>SUM(I99:I154)</f>
        <v>21691730.532900572</v>
      </c>
      <c r="J155" s="375">
        <f>SUM(J99:J154)</f>
        <v>0</v>
      </c>
      <c r="K155" s="375"/>
      <c r="L155" s="375"/>
      <c r="M155" s="375"/>
      <c r="N155" s="375"/>
      <c r="O155" s="375"/>
      <c r="P155" s="269"/>
    </row>
    <row r="156" spans="2:16">
      <c r="C156" s="183" t="s">
        <v>92</v>
      </c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</row>
    <row r="157" spans="2:16">
      <c r="C157" s="580"/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</row>
    <row r="158" spans="2:16">
      <c r="C158" s="614" t="s">
        <v>132</v>
      </c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</row>
    <row r="159" spans="2:16">
      <c r="C159" s="467" t="s">
        <v>79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</row>
    <row r="160" spans="2:16">
      <c r="C160" s="581" t="s">
        <v>80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</row>
    <row r="161" spans="3:16">
      <c r="C161" s="581"/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</row>
    <row r="162" spans="3:16" ht="18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635" t="s">
        <v>131</v>
      </c>
    </row>
  </sheetData>
  <conditionalFormatting sqref="C18:C72">
    <cfRule type="cellIs" dxfId="23" priority="2" stopIfTrue="1" operator="equal">
      <formula>$I$10</formula>
    </cfRule>
  </conditionalFormatting>
  <conditionalFormatting sqref="C99:C154">
    <cfRule type="cellIs" dxfId="22" priority="3" stopIfTrue="1" operator="equal">
      <formula>$J$92</formula>
    </cfRule>
  </conditionalFormatting>
  <conditionalFormatting sqref="C17">
    <cfRule type="cellIs" dxfId="21" priority="1" stopIfTrue="1" operator="equal">
      <formula>$I$10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52"/>
  <dimension ref="A1:Q162"/>
  <sheetViews>
    <sheetView topLeftCell="A95" zoomScaleNormal="100" zoomScaleSheetLayoutView="88" workbookViewId="0">
      <selection activeCell="D99" sqref="D99:I112"/>
    </sheetView>
  </sheetViews>
  <sheetFormatPr defaultColWidth="8.7109375" defaultRowHeight="12.75" customHeight="1"/>
  <cols>
    <col min="1" max="1" width="4.7109375" style="183" customWidth="1"/>
    <col min="2" max="2" width="6.7109375" style="183" customWidth="1"/>
    <col min="3" max="3" width="23.28515625" style="183" customWidth="1"/>
    <col min="4" max="8" width="17.7109375" style="183" customWidth="1"/>
    <col min="9" max="9" width="20.42578125" style="183" customWidth="1"/>
    <col min="10" max="10" width="16.42578125" style="183" customWidth="1"/>
    <col min="11" max="11" width="17.7109375" style="183" customWidth="1"/>
    <col min="12" max="12" width="16.140625" style="183" customWidth="1"/>
    <col min="13" max="13" width="17.7109375" style="183" customWidth="1"/>
    <col min="14" max="14" width="16.140625" style="183" customWidth="1"/>
    <col min="15" max="15" width="16.85546875" style="183" customWidth="1"/>
    <col min="16" max="16" width="24.42578125" style="183" customWidth="1"/>
    <col min="17" max="17" width="4.7109375" style="183" customWidth="1"/>
    <col min="18" max="22" width="8.7109375" style="183"/>
    <col min="23" max="23" width="9.140625" style="183" customWidth="1"/>
    <col min="24" max="16384" width="8.7109375" style="183"/>
  </cols>
  <sheetData>
    <row r="1" spans="1:17" ht="20.25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"&amp;RIGHT(MID(CELL("filename",$A$1),FIND("]",CELL("filename",$A$1))+1,256),1)&amp;" of "&amp;COUNT('S.001:S.xyz - blank'!$P$3)-1</f>
        <v>SWEPCO Project 4 of 75</v>
      </c>
      <c r="Q1" s="453"/>
    </row>
    <row r="2" spans="1:17" ht="18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454" t="s">
        <v>129</v>
      </c>
    </row>
    <row r="3" spans="1:17" ht="18.75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 t="str">
        <f>RIGHT(N3,3)</f>
        <v/>
      </c>
      <c r="P3" s="455">
        <v>1</v>
      </c>
    </row>
    <row r="4" spans="1:17" ht="15.75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7" ht="1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1156220.1690071991</v>
      </c>
      <c r="P5" s="269"/>
    </row>
    <row r="6" spans="1:17" ht="15.7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1156220.1690071991</v>
      </c>
      <c r="O6" s="269"/>
      <c r="P6" s="269"/>
    </row>
    <row r="7" spans="1:17" ht="13.5" thickBot="1">
      <c r="C7" s="467" t="s">
        <v>48</v>
      </c>
      <c r="D7" s="468" t="s">
        <v>229</v>
      </c>
      <c r="E7" s="269"/>
      <c r="F7" s="269"/>
      <c r="G7" s="269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7" ht="13.5" thickBot="1">
      <c r="C8" s="472"/>
      <c r="D8" s="473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7" ht="13.5" thickBot="1">
      <c r="A9" s="191"/>
      <c r="C9" s="476" t="s">
        <v>50</v>
      </c>
      <c r="D9" s="477" t="s">
        <v>143</v>
      </c>
      <c r="E9" s="666" t="s">
        <v>474</v>
      </c>
      <c r="F9" s="478"/>
      <c r="G9" s="478"/>
      <c r="H9" s="478"/>
      <c r="I9" s="479"/>
      <c r="J9" s="480"/>
      <c r="O9" s="481"/>
      <c r="P9" s="272"/>
    </row>
    <row r="10" spans="1:17">
      <c r="C10" s="482" t="s">
        <v>51</v>
      </c>
      <c r="D10" s="483">
        <v>11580311</v>
      </c>
      <c r="E10" s="353" t="s">
        <v>52</v>
      </c>
      <c r="F10" s="481"/>
      <c r="G10" s="484"/>
      <c r="H10" s="484"/>
      <c r="I10" s="485">
        <f>+'SWE.WS.F.BPU.ATRR.Projected'!L19</f>
        <v>2024</v>
      </c>
      <c r="J10" s="480"/>
      <c r="K10" s="375" t="s">
        <v>53</v>
      </c>
      <c r="O10" s="272"/>
      <c r="P10" s="272"/>
    </row>
    <row r="11" spans="1:17">
      <c r="C11" s="486" t="s">
        <v>54</v>
      </c>
      <c r="D11" s="487">
        <v>2009</v>
      </c>
      <c r="E11" s="486" t="s">
        <v>55</v>
      </c>
      <c r="F11" s="484"/>
      <c r="G11" s="233"/>
      <c r="H11" s="233"/>
      <c r="I11" s="488"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7">
      <c r="C12" s="486" t="s">
        <v>56</v>
      </c>
      <c r="D12" s="483">
        <v>6</v>
      </c>
      <c r="E12" s="486" t="s">
        <v>57</v>
      </c>
      <c r="F12" s="484"/>
      <c r="G12" s="233"/>
      <c r="H12" s="233"/>
      <c r="I12" s="490">
        <f>'SWE.WS.F.BPU.ATRR.Projected'!$F$81</f>
        <v>0.11952713165403545</v>
      </c>
      <c r="J12" s="425"/>
      <c r="K12" s="183" t="s">
        <v>58</v>
      </c>
      <c r="O12" s="272"/>
      <c r="P12" s="272"/>
    </row>
    <row r="13" spans="1:17">
      <c r="C13" s="486" t="s">
        <v>59</v>
      </c>
      <c r="D13" s="488">
        <f>+'SWE.WS.F.BPU.ATRR.Projected'!F$93</f>
        <v>44</v>
      </c>
      <c r="E13" s="486" t="s">
        <v>60</v>
      </c>
      <c r="F13" s="484"/>
      <c r="G13" s="233"/>
      <c r="H13" s="233"/>
      <c r="I13" s="490">
        <f>IF(G5="",I12,'SWE.WS.F.BPU.ATRR.Projected'!$F$80)</f>
        <v>0.11952713165403545</v>
      </c>
      <c r="J13" s="425"/>
      <c r="K13" s="375" t="s">
        <v>61</v>
      </c>
      <c r="L13" s="324"/>
      <c r="M13" s="324"/>
      <c r="N13" s="324"/>
      <c r="O13" s="272"/>
      <c r="P13" s="272"/>
    </row>
    <row r="14" spans="1:17" ht="13.5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263188.88636363635</v>
      </c>
      <c r="J14" s="375"/>
      <c r="K14" s="375"/>
      <c r="L14" s="375"/>
      <c r="M14" s="375"/>
      <c r="N14" s="375"/>
      <c r="O14" s="272"/>
      <c r="P14" s="272"/>
    </row>
    <row r="15" spans="1:17" ht="38.25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388</v>
      </c>
      <c r="H15" s="495" t="s">
        <v>389</v>
      </c>
      <c r="I15" s="496" t="s">
        <v>260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7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>
      <c r="C17" s="507">
        <f>IF(D11= "","-",D11)</f>
        <v>2009</v>
      </c>
      <c r="D17" s="508">
        <v>5012222</v>
      </c>
      <c r="E17" s="509">
        <v>67733</v>
      </c>
      <c r="F17" s="508">
        <v>4944489</v>
      </c>
      <c r="G17" s="509">
        <v>509785</v>
      </c>
      <c r="H17" s="510">
        <v>509785</v>
      </c>
      <c r="I17" s="511">
        <f t="shared" ref="I17:I48" si="0">H17-G17</f>
        <v>0</v>
      </c>
      <c r="J17" s="511"/>
      <c r="K17" s="512">
        <v>509785</v>
      </c>
      <c r="L17" s="513">
        <f t="shared" ref="L17:L48" si="1">IF(K17&lt;&gt;0,+G17-K17,0)</f>
        <v>0</v>
      </c>
      <c r="M17" s="512">
        <v>509785</v>
      </c>
      <c r="N17" s="513">
        <f t="shared" ref="N17:N48" si="2">IF(M17&lt;&gt;0,+H17-M17,0)</f>
        <v>0</v>
      </c>
      <c r="O17" s="514">
        <f t="shared" ref="O17:O48" si="3">+N17-L17</f>
        <v>0</v>
      </c>
      <c r="P17" s="272"/>
    </row>
    <row r="18" spans="2:16">
      <c r="B18" s="195" t="str">
        <f>IF(D18=F17,"","IU")</f>
        <v>IU</v>
      </c>
      <c r="C18" s="507">
        <f>IF(D11="","-",+C17+1)</f>
        <v>2010</v>
      </c>
      <c r="D18" s="515">
        <v>11512579</v>
      </c>
      <c r="E18" s="516">
        <v>304745</v>
      </c>
      <c r="F18" s="515">
        <v>11207834</v>
      </c>
      <c r="G18" s="516">
        <v>1916039</v>
      </c>
      <c r="H18" s="510">
        <v>1916039</v>
      </c>
      <c r="I18" s="517">
        <v>0</v>
      </c>
      <c r="J18" s="511"/>
      <c r="K18" s="518">
        <f t="shared" ref="K18:K23" si="4">G18</f>
        <v>1916039</v>
      </c>
      <c r="L18" s="519">
        <f t="shared" si="1"/>
        <v>0</v>
      </c>
      <c r="M18" s="518">
        <f t="shared" ref="M18:M23" si="5">H18</f>
        <v>1916039</v>
      </c>
      <c r="N18" s="514">
        <f t="shared" si="2"/>
        <v>0</v>
      </c>
      <c r="O18" s="514">
        <f t="shared" si="3"/>
        <v>0</v>
      </c>
      <c r="P18" s="272"/>
    </row>
    <row r="19" spans="2:16">
      <c r="B19" s="195" t="str">
        <f>IF(D19=F18,"","IU")</f>
        <v>IU</v>
      </c>
      <c r="C19" s="507">
        <f>IF(D11="","-",+C18+1)</f>
        <v>2011</v>
      </c>
      <c r="D19" s="515">
        <v>11207834.940000001</v>
      </c>
      <c r="E19" s="516">
        <v>282446.65707317076</v>
      </c>
      <c r="F19" s="515">
        <v>10925388.282926831</v>
      </c>
      <c r="G19" s="516">
        <v>1988906.9183231383</v>
      </c>
      <c r="H19" s="510">
        <v>1988906.9183231383</v>
      </c>
      <c r="I19" s="517">
        <v>0</v>
      </c>
      <c r="J19" s="511"/>
      <c r="K19" s="518">
        <f t="shared" si="4"/>
        <v>1988906.9183231383</v>
      </c>
      <c r="L19" s="519">
        <f t="shared" si="1"/>
        <v>0</v>
      </c>
      <c r="M19" s="518">
        <f t="shared" si="5"/>
        <v>1988906.9183231383</v>
      </c>
      <c r="N19" s="514">
        <f t="shared" si="2"/>
        <v>0</v>
      </c>
      <c r="O19" s="514">
        <f t="shared" si="3"/>
        <v>0</v>
      </c>
      <c r="P19" s="272"/>
    </row>
    <row r="20" spans="2:16">
      <c r="B20" s="195" t="str">
        <f t="shared" ref="B20:B72" si="6">IF(D20=F19,"","IU")</f>
        <v/>
      </c>
      <c r="C20" s="507">
        <f>IF(D11="","-",+C19+1)</f>
        <v>2012</v>
      </c>
      <c r="D20" s="515">
        <v>10925388.282926831</v>
      </c>
      <c r="E20" s="520">
        <v>275721.73666666669</v>
      </c>
      <c r="F20" s="515">
        <v>10649666.546260165</v>
      </c>
      <c r="G20" s="516">
        <v>1859541.6370973894</v>
      </c>
      <c r="H20" s="510">
        <v>1859541.6370973894</v>
      </c>
      <c r="I20" s="517">
        <v>0</v>
      </c>
      <c r="J20" s="511"/>
      <c r="K20" s="518">
        <f t="shared" si="4"/>
        <v>1859541.6370973894</v>
      </c>
      <c r="L20" s="519">
        <f t="shared" si="1"/>
        <v>0</v>
      </c>
      <c r="M20" s="518">
        <f t="shared" si="5"/>
        <v>1859541.6370973894</v>
      </c>
      <c r="N20" s="514">
        <f t="shared" si="2"/>
        <v>0</v>
      </c>
      <c r="O20" s="514">
        <f t="shared" si="3"/>
        <v>0</v>
      </c>
      <c r="P20" s="272"/>
    </row>
    <row r="21" spans="2:16">
      <c r="B21" s="195" t="str">
        <f t="shared" si="6"/>
        <v/>
      </c>
      <c r="C21" s="507">
        <f>IF(D12="","-",+C20+1)</f>
        <v>2013</v>
      </c>
      <c r="D21" s="515">
        <v>10649666.546260165</v>
      </c>
      <c r="E21" s="520">
        <v>275721.73666666669</v>
      </c>
      <c r="F21" s="515">
        <v>10373944.809593499</v>
      </c>
      <c r="G21" s="516">
        <v>1727940.0001770738</v>
      </c>
      <c r="H21" s="510">
        <v>1727940.0001770738</v>
      </c>
      <c r="I21" s="511">
        <v>0</v>
      </c>
      <c r="J21" s="511"/>
      <c r="K21" s="518">
        <f t="shared" si="4"/>
        <v>1727940.0001770738</v>
      </c>
      <c r="L21" s="519">
        <f t="shared" ref="L21:L26" si="7">IF(K21&lt;&gt;0,+G21-K21,0)</f>
        <v>0</v>
      </c>
      <c r="M21" s="518">
        <f t="shared" si="5"/>
        <v>1727940.0001770738</v>
      </c>
      <c r="N21" s="514">
        <f t="shared" ref="N21:N26" si="8">IF(M21&lt;&gt;0,+H21-M21,0)</f>
        <v>0</v>
      </c>
      <c r="O21" s="514">
        <f t="shared" ref="O21:O26" si="9">+N21-L21</f>
        <v>0</v>
      </c>
      <c r="P21" s="272"/>
    </row>
    <row r="22" spans="2:16">
      <c r="B22" s="195" t="str">
        <f t="shared" si="6"/>
        <v/>
      </c>
      <c r="C22" s="507">
        <f>IF(D11="","-",+C21+1)</f>
        <v>2014</v>
      </c>
      <c r="D22" s="515">
        <v>10373944.809593499</v>
      </c>
      <c r="E22" s="520">
        <v>275721.73666666669</v>
      </c>
      <c r="F22" s="515">
        <v>10098223.072926832</v>
      </c>
      <c r="G22" s="516">
        <v>1638078.1438570484</v>
      </c>
      <c r="H22" s="510">
        <v>1638078.1438570484</v>
      </c>
      <c r="I22" s="511">
        <v>0</v>
      </c>
      <c r="J22" s="511"/>
      <c r="K22" s="518">
        <f t="shared" si="4"/>
        <v>1638078.1438570484</v>
      </c>
      <c r="L22" s="519">
        <f t="shared" si="7"/>
        <v>0</v>
      </c>
      <c r="M22" s="518">
        <f t="shared" si="5"/>
        <v>1638078.1438570484</v>
      </c>
      <c r="N22" s="514">
        <f t="shared" si="8"/>
        <v>0</v>
      </c>
      <c r="O22" s="514">
        <f t="shared" si="9"/>
        <v>0</v>
      </c>
      <c r="P22" s="272"/>
    </row>
    <row r="23" spans="2:16">
      <c r="B23" s="195" t="str">
        <f t="shared" si="6"/>
        <v/>
      </c>
      <c r="C23" s="507">
        <f>IF(D11="","-",+C22+1)</f>
        <v>2015</v>
      </c>
      <c r="D23" s="515">
        <v>10098223.072926832</v>
      </c>
      <c r="E23" s="520">
        <v>275721.73666666669</v>
      </c>
      <c r="F23" s="515">
        <v>9822501.336260166</v>
      </c>
      <c r="G23" s="516">
        <v>1569392.3202365767</v>
      </c>
      <c r="H23" s="510">
        <v>1569392.3202365767</v>
      </c>
      <c r="I23" s="511">
        <v>0</v>
      </c>
      <c r="J23" s="511"/>
      <c r="K23" s="518">
        <f t="shared" si="4"/>
        <v>1569392.3202365767</v>
      </c>
      <c r="L23" s="519">
        <f t="shared" si="7"/>
        <v>0</v>
      </c>
      <c r="M23" s="518">
        <f t="shared" si="5"/>
        <v>1569392.3202365767</v>
      </c>
      <c r="N23" s="514">
        <f t="shared" si="8"/>
        <v>0</v>
      </c>
      <c r="O23" s="514">
        <f t="shared" si="9"/>
        <v>0</v>
      </c>
      <c r="P23" s="272"/>
    </row>
    <row r="24" spans="2:16">
      <c r="B24" s="195" t="str">
        <f t="shared" si="6"/>
        <v>IU</v>
      </c>
      <c r="C24" s="507">
        <f>IF(D11="","-",+C23+1)</f>
        <v>2016</v>
      </c>
      <c r="D24" s="515">
        <v>9822499.3962601628</v>
      </c>
      <c r="E24" s="520">
        <v>275721.69047619047</v>
      </c>
      <c r="F24" s="515">
        <v>9546777.7057839725</v>
      </c>
      <c r="G24" s="516">
        <v>1517566.2959557369</v>
      </c>
      <c r="H24" s="510">
        <v>1517566.2959557369</v>
      </c>
      <c r="I24" s="511">
        <f t="shared" si="0"/>
        <v>0</v>
      </c>
      <c r="J24" s="511"/>
      <c r="K24" s="518">
        <f t="shared" ref="K24:K29" si="10">G24</f>
        <v>1517566.2959557369</v>
      </c>
      <c r="L24" s="519">
        <f t="shared" si="7"/>
        <v>0</v>
      </c>
      <c r="M24" s="518">
        <f t="shared" ref="M24:M29" si="11">H24</f>
        <v>1517566.2959557369</v>
      </c>
      <c r="N24" s="514">
        <f t="shared" si="8"/>
        <v>0</v>
      </c>
      <c r="O24" s="514">
        <f t="shared" si="9"/>
        <v>0</v>
      </c>
      <c r="P24" s="272"/>
    </row>
    <row r="25" spans="2:16">
      <c r="B25" s="195" t="str">
        <f t="shared" si="6"/>
        <v/>
      </c>
      <c r="C25" s="507">
        <f>IF(D11="","-",+C24+1)</f>
        <v>2017</v>
      </c>
      <c r="D25" s="515">
        <v>9546777.7057839725</v>
      </c>
      <c r="E25" s="520">
        <v>269309.5581395349</v>
      </c>
      <c r="F25" s="515">
        <v>9277468.1476444378</v>
      </c>
      <c r="G25" s="516">
        <v>1435401.3142393038</v>
      </c>
      <c r="H25" s="510">
        <v>1435401.3142393038</v>
      </c>
      <c r="I25" s="511">
        <f t="shared" si="0"/>
        <v>0</v>
      </c>
      <c r="J25" s="511"/>
      <c r="K25" s="518">
        <f t="shared" si="10"/>
        <v>1435401.3142393038</v>
      </c>
      <c r="L25" s="519">
        <f t="shared" si="7"/>
        <v>0</v>
      </c>
      <c r="M25" s="518">
        <f t="shared" si="11"/>
        <v>1435401.3142393038</v>
      </c>
      <c r="N25" s="514">
        <f t="shared" si="8"/>
        <v>0</v>
      </c>
      <c r="O25" s="514">
        <f t="shared" si="9"/>
        <v>0</v>
      </c>
      <c r="P25" s="272"/>
    </row>
    <row r="26" spans="2:16">
      <c r="B26" s="195" t="str">
        <f t="shared" si="6"/>
        <v/>
      </c>
      <c r="C26" s="507">
        <f>IF(D11="","-",+C25+1)</f>
        <v>2018</v>
      </c>
      <c r="D26" s="515">
        <v>9277468.1476444378</v>
      </c>
      <c r="E26" s="520">
        <v>282446.60975609755</v>
      </c>
      <c r="F26" s="515">
        <v>8995021.5378883407</v>
      </c>
      <c r="G26" s="516">
        <v>1443609.4156354484</v>
      </c>
      <c r="H26" s="510">
        <v>1443609.4156354484</v>
      </c>
      <c r="I26" s="511">
        <f t="shared" si="0"/>
        <v>0</v>
      </c>
      <c r="J26" s="511"/>
      <c r="K26" s="518">
        <f t="shared" si="10"/>
        <v>1443609.4156354484</v>
      </c>
      <c r="L26" s="519">
        <f t="shared" si="7"/>
        <v>0</v>
      </c>
      <c r="M26" s="518">
        <f t="shared" si="11"/>
        <v>1443609.4156354484</v>
      </c>
      <c r="N26" s="514">
        <f t="shared" si="8"/>
        <v>0</v>
      </c>
      <c r="O26" s="514">
        <f t="shared" si="9"/>
        <v>0</v>
      </c>
      <c r="P26" s="272"/>
    </row>
    <row r="27" spans="2:16">
      <c r="B27" s="195" t="str">
        <f t="shared" si="6"/>
        <v/>
      </c>
      <c r="C27" s="507">
        <f>IF(D11="","-",+C26+1)</f>
        <v>2019</v>
      </c>
      <c r="D27" s="515">
        <v>8995021.5378883407</v>
      </c>
      <c r="E27" s="520">
        <v>282446.60975609755</v>
      </c>
      <c r="F27" s="515">
        <v>8712574.9281322435</v>
      </c>
      <c r="G27" s="516">
        <v>1407712.1182731558</v>
      </c>
      <c r="H27" s="510">
        <v>1407712.1182731558</v>
      </c>
      <c r="I27" s="511">
        <f t="shared" si="0"/>
        <v>0</v>
      </c>
      <c r="J27" s="511"/>
      <c r="K27" s="518">
        <f t="shared" si="10"/>
        <v>1407712.1182731558</v>
      </c>
      <c r="L27" s="519">
        <f t="shared" ref="L27" si="12">IF(K27&lt;&gt;0,+G27-K27,0)</f>
        <v>0</v>
      </c>
      <c r="M27" s="518">
        <f t="shared" si="11"/>
        <v>1407712.1182731558</v>
      </c>
      <c r="N27" s="514">
        <f t="shared" si="2"/>
        <v>0</v>
      </c>
      <c r="O27" s="514">
        <f t="shared" si="3"/>
        <v>0</v>
      </c>
      <c r="P27" s="272"/>
    </row>
    <row r="28" spans="2:16">
      <c r="B28" s="195" t="str">
        <f t="shared" si="6"/>
        <v/>
      </c>
      <c r="C28" s="507">
        <f>IF(D11="","-",+C27+1)</f>
        <v>2020</v>
      </c>
      <c r="D28" s="515">
        <v>8712574.9281322435</v>
      </c>
      <c r="E28" s="520">
        <v>282446.60975609755</v>
      </c>
      <c r="F28" s="515">
        <v>8430128.3183761463</v>
      </c>
      <c r="G28" s="516">
        <v>1159599.7805450819</v>
      </c>
      <c r="H28" s="510">
        <v>1159599.7805450819</v>
      </c>
      <c r="I28" s="511">
        <f t="shared" si="0"/>
        <v>0</v>
      </c>
      <c r="J28" s="511"/>
      <c r="K28" s="518">
        <f t="shared" si="10"/>
        <v>1159599.7805450819</v>
      </c>
      <c r="L28" s="519">
        <f t="shared" ref="L28" si="13">IF(K28&lt;&gt;0,+G28-K28,0)</f>
        <v>0</v>
      </c>
      <c r="M28" s="518">
        <f t="shared" si="11"/>
        <v>1159599.7805450819</v>
      </c>
      <c r="N28" s="514">
        <f t="shared" si="2"/>
        <v>0</v>
      </c>
      <c r="O28" s="514">
        <f t="shared" si="3"/>
        <v>0</v>
      </c>
      <c r="P28" s="272"/>
    </row>
    <row r="29" spans="2:16">
      <c r="B29" s="195" t="str">
        <f t="shared" si="6"/>
        <v>IU</v>
      </c>
      <c r="C29" s="507">
        <f>IF(D11="","-",+C28+1)</f>
        <v>2021</v>
      </c>
      <c r="D29" s="515">
        <v>8443265.3699927069</v>
      </c>
      <c r="E29" s="520">
        <v>275721.69047619047</v>
      </c>
      <c r="F29" s="515">
        <v>8167543.6795165166</v>
      </c>
      <c r="G29" s="516">
        <v>1156132.318517738</v>
      </c>
      <c r="H29" s="510">
        <v>1156132.318517738</v>
      </c>
      <c r="I29" s="511">
        <f t="shared" si="0"/>
        <v>0</v>
      </c>
      <c r="J29" s="511"/>
      <c r="K29" s="518">
        <f t="shared" si="10"/>
        <v>1156132.318517738</v>
      </c>
      <c r="L29" s="519">
        <f t="shared" ref="L29" si="14">IF(K29&lt;&gt;0,+G29-K29,0)</f>
        <v>0</v>
      </c>
      <c r="M29" s="518">
        <f t="shared" si="11"/>
        <v>1156132.318517738</v>
      </c>
      <c r="N29" s="514">
        <f t="shared" si="2"/>
        <v>0</v>
      </c>
      <c r="O29" s="514">
        <f t="shared" si="3"/>
        <v>0</v>
      </c>
      <c r="P29" s="272"/>
    </row>
    <row r="30" spans="2:16">
      <c r="B30" s="195" t="str">
        <f t="shared" si="6"/>
        <v>IU</v>
      </c>
      <c r="C30" s="507">
        <f>IF(D11="","-",+C29+1)</f>
        <v>2022</v>
      </c>
      <c r="D30" s="515">
        <v>8154406.6278999541</v>
      </c>
      <c r="E30" s="520">
        <v>275721.69047619047</v>
      </c>
      <c r="F30" s="515">
        <v>7878684.9374237638</v>
      </c>
      <c r="G30" s="516">
        <v>1177134.9411293902</v>
      </c>
      <c r="H30" s="510">
        <v>1177134.9411293902</v>
      </c>
      <c r="I30" s="511">
        <f t="shared" si="0"/>
        <v>0</v>
      </c>
      <c r="J30" s="511"/>
      <c r="K30" s="518">
        <f t="shared" ref="K30" si="15">G30</f>
        <v>1177134.9411293902</v>
      </c>
      <c r="L30" s="519">
        <f t="shared" ref="L30" si="16">IF(K30&lt;&gt;0,+G30-K30,0)</f>
        <v>0</v>
      </c>
      <c r="M30" s="518">
        <f t="shared" ref="M30" si="17">H30</f>
        <v>1177134.9411293902</v>
      </c>
      <c r="N30" s="514">
        <f t="shared" si="2"/>
        <v>0</v>
      </c>
      <c r="O30" s="514">
        <f t="shared" si="3"/>
        <v>0</v>
      </c>
      <c r="P30" s="272"/>
    </row>
    <row r="31" spans="2:16">
      <c r="B31" s="195" t="str">
        <f t="shared" si="6"/>
        <v/>
      </c>
      <c r="C31" s="507">
        <f>IF(D11="","-",+C30+1)</f>
        <v>2023</v>
      </c>
      <c r="D31" s="515">
        <v>7878684.9374237638</v>
      </c>
      <c r="E31" s="520">
        <v>275721.69047619047</v>
      </c>
      <c r="F31" s="515">
        <v>7602963.2469475735</v>
      </c>
      <c r="G31" s="516">
        <v>1253595.1343573183</v>
      </c>
      <c r="H31" s="510">
        <v>1253595.1343573183</v>
      </c>
      <c r="I31" s="511">
        <f t="shared" si="0"/>
        <v>0</v>
      </c>
      <c r="J31" s="511"/>
      <c r="K31" s="518">
        <f t="shared" ref="K31" si="18">G31</f>
        <v>1253595.1343573183</v>
      </c>
      <c r="L31" s="519">
        <f t="shared" ref="L31" si="19">IF(K31&lt;&gt;0,+G31-K31,0)</f>
        <v>0</v>
      </c>
      <c r="M31" s="518">
        <f t="shared" ref="M31" si="20">H31</f>
        <v>1253595.1343573183</v>
      </c>
      <c r="N31" s="514">
        <f t="shared" ref="N31" si="21">IF(M31&lt;&gt;0,+H31-M31,0)</f>
        <v>0</v>
      </c>
      <c r="O31" s="514">
        <f t="shared" ref="O31" si="22">+N31-L31</f>
        <v>0</v>
      </c>
      <c r="P31" s="272"/>
    </row>
    <row r="32" spans="2:16">
      <c r="B32" s="195" t="str">
        <f t="shared" si="6"/>
        <v/>
      </c>
      <c r="C32" s="673">
        <f>IF(D11="","-",+C31+1)</f>
        <v>2024</v>
      </c>
      <c r="D32" s="523">
        <f>IF(F31+SUM(E$17:E31)=D$10,F31,D$10-SUM(E$17:E31))</f>
        <v>7602963.2469475735</v>
      </c>
      <c r="E32" s="522">
        <f>IF(+I14&lt;F31,I14,D32)</f>
        <v>263188.88636363635</v>
      </c>
      <c r="F32" s="523">
        <f t="shared" ref="F32:F48" si="23">+D32-E32</f>
        <v>7339774.3605839368</v>
      </c>
      <c r="G32" s="524">
        <f t="shared" ref="G32:G72" si="24">+I$12*((D32+F32)/2)+E32</f>
        <v>1156220.1690071991</v>
      </c>
      <c r="H32" s="491">
        <f t="shared" ref="H32:H72" si="25">+I$13*((D32+F32)/2)+E32</f>
        <v>1156220.1690071991</v>
      </c>
      <c r="I32" s="511">
        <f t="shared" si="0"/>
        <v>0</v>
      </c>
      <c r="J32" s="511"/>
      <c r="K32" s="525"/>
      <c r="L32" s="514">
        <f t="shared" si="1"/>
        <v>0</v>
      </c>
      <c r="M32" s="525"/>
      <c r="N32" s="514">
        <f t="shared" si="2"/>
        <v>0</v>
      </c>
      <c r="O32" s="514">
        <f t="shared" si="3"/>
        <v>0</v>
      </c>
      <c r="P32" s="272"/>
    </row>
    <row r="33" spans="2:16">
      <c r="B33" s="195" t="str">
        <f t="shared" si="6"/>
        <v/>
      </c>
      <c r="C33" s="507">
        <f>IF(D11="","-",+C32+1)</f>
        <v>2025</v>
      </c>
      <c r="D33" s="523">
        <f>IF(F32+SUM(E$17:E32)=D$10,F32,D$10-SUM(E$17:E32))</f>
        <v>7339774.3605839368</v>
      </c>
      <c r="E33" s="522">
        <f>IF(+I14&lt;F32,I14,D33)</f>
        <v>263188.88636363635</v>
      </c>
      <c r="F33" s="523">
        <f t="shared" si="23"/>
        <v>7076585.4742203001</v>
      </c>
      <c r="G33" s="524">
        <f t="shared" si="24"/>
        <v>1124761.9563369337</v>
      </c>
      <c r="H33" s="491">
        <f t="shared" si="25"/>
        <v>1124761.9563369337</v>
      </c>
      <c r="I33" s="511">
        <f t="shared" si="0"/>
        <v>0</v>
      </c>
      <c r="J33" s="511"/>
      <c r="K33" s="525"/>
      <c r="L33" s="514">
        <f t="shared" si="1"/>
        <v>0</v>
      </c>
      <c r="M33" s="525"/>
      <c r="N33" s="514">
        <f t="shared" si="2"/>
        <v>0</v>
      </c>
      <c r="O33" s="514">
        <f t="shared" si="3"/>
        <v>0</v>
      </c>
      <c r="P33" s="272"/>
    </row>
    <row r="34" spans="2:16">
      <c r="B34" s="195" t="str">
        <f t="shared" si="6"/>
        <v/>
      </c>
      <c r="C34" s="507">
        <f>IF(D11="","-",+C33+1)</f>
        <v>2026</v>
      </c>
      <c r="D34" s="523">
        <f>IF(F33+SUM(E$17:E33)=D$10,F33,D$10-SUM(E$17:E33))</f>
        <v>7076585.4742203001</v>
      </c>
      <c r="E34" s="522">
        <f>IF(+I14&lt;F33,I14,D34)</f>
        <v>263188.88636363635</v>
      </c>
      <c r="F34" s="523">
        <f t="shared" si="23"/>
        <v>6813396.5878566634</v>
      </c>
      <c r="G34" s="524">
        <f t="shared" si="24"/>
        <v>1093303.7436666684</v>
      </c>
      <c r="H34" s="491">
        <f t="shared" si="25"/>
        <v>1093303.7436666684</v>
      </c>
      <c r="I34" s="511">
        <f t="shared" si="0"/>
        <v>0</v>
      </c>
      <c r="J34" s="511"/>
      <c r="K34" s="525"/>
      <c r="L34" s="514">
        <f t="shared" si="1"/>
        <v>0</v>
      </c>
      <c r="M34" s="525"/>
      <c r="N34" s="514">
        <f t="shared" si="2"/>
        <v>0</v>
      </c>
      <c r="O34" s="514">
        <f t="shared" si="3"/>
        <v>0</v>
      </c>
      <c r="P34" s="272"/>
    </row>
    <row r="35" spans="2:16">
      <c r="B35" s="195" t="str">
        <f t="shared" si="6"/>
        <v/>
      </c>
      <c r="C35" s="507">
        <f>IF(D11="","-",+C34+1)</f>
        <v>2027</v>
      </c>
      <c r="D35" s="523">
        <f>IF(F34+SUM(E$17:E34)=D$10,F34,D$10-SUM(E$17:E34))</f>
        <v>6813396.5878566634</v>
      </c>
      <c r="E35" s="522">
        <f>IF(+I14&lt;F34,I14,D35)</f>
        <v>263188.88636363635</v>
      </c>
      <c r="F35" s="523">
        <f t="shared" si="23"/>
        <v>6550207.7014930267</v>
      </c>
      <c r="G35" s="524">
        <f t="shared" si="24"/>
        <v>1061845.530996403</v>
      </c>
      <c r="H35" s="491">
        <f t="shared" si="25"/>
        <v>1061845.530996403</v>
      </c>
      <c r="I35" s="511">
        <f t="shared" si="0"/>
        <v>0</v>
      </c>
      <c r="J35" s="511"/>
      <c r="K35" s="525"/>
      <c r="L35" s="514">
        <f t="shared" si="1"/>
        <v>0</v>
      </c>
      <c r="M35" s="525"/>
      <c r="N35" s="514">
        <f t="shared" si="2"/>
        <v>0</v>
      </c>
      <c r="O35" s="514">
        <f t="shared" si="3"/>
        <v>0</v>
      </c>
      <c r="P35" s="272"/>
    </row>
    <row r="36" spans="2:16">
      <c r="B36" s="195" t="str">
        <f t="shared" si="6"/>
        <v/>
      </c>
      <c r="C36" s="507">
        <f>IF(D11="","-",+C35+1)</f>
        <v>2028</v>
      </c>
      <c r="D36" s="523">
        <f>IF(F35+SUM(E$17:E35)=D$10,F35,D$10-SUM(E$17:E35))</f>
        <v>6550207.7014930267</v>
      </c>
      <c r="E36" s="522">
        <f>IF(+I14&lt;F35,I14,D36)</f>
        <v>263188.88636363635</v>
      </c>
      <c r="F36" s="523">
        <f t="shared" si="23"/>
        <v>6287018.81512939</v>
      </c>
      <c r="G36" s="524">
        <f t="shared" si="24"/>
        <v>1030387.3183261376</v>
      </c>
      <c r="H36" s="491">
        <f t="shared" si="25"/>
        <v>1030387.3183261376</v>
      </c>
      <c r="I36" s="511">
        <f t="shared" si="0"/>
        <v>0</v>
      </c>
      <c r="J36" s="511"/>
      <c r="K36" s="525"/>
      <c r="L36" s="514">
        <f t="shared" si="1"/>
        <v>0</v>
      </c>
      <c r="M36" s="525"/>
      <c r="N36" s="514">
        <f t="shared" si="2"/>
        <v>0</v>
      </c>
      <c r="O36" s="514">
        <f t="shared" si="3"/>
        <v>0</v>
      </c>
      <c r="P36" s="272"/>
    </row>
    <row r="37" spans="2:16">
      <c r="B37" s="195" t="str">
        <f t="shared" si="6"/>
        <v/>
      </c>
      <c r="C37" s="507">
        <f>IF(D11="","-",+C36+1)</f>
        <v>2029</v>
      </c>
      <c r="D37" s="523">
        <f>IF(F36+SUM(E$17:E36)=D$10,F36,D$10-SUM(E$17:E36))</f>
        <v>6287018.81512939</v>
      </c>
      <c r="E37" s="522">
        <f>IF(+I14&lt;F36,I14,D37)</f>
        <v>263188.88636363635</v>
      </c>
      <c r="F37" s="523">
        <f t="shared" si="23"/>
        <v>6023829.9287657533</v>
      </c>
      <c r="G37" s="524">
        <f t="shared" si="24"/>
        <v>998929.10565587215</v>
      </c>
      <c r="H37" s="491">
        <f t="shared" si="25"/>
        <v>998929.10565587215</v>
      </c>
      <c r="I37" s="511">
        <f t="shared" si="0"/>
        <v>0</v>
      </c>
      <c r="J37" s="511"/>
      <c r="K37" s="525"/>
      <c r="L37" s="514">
        <f t="shared" si="1"/>
        <v>0</v>
      </c>
      <c r="M37" s="525"/>
      <c r="N37" s="514">
        <f t="shared" si="2"/>
        <v>0</v>
      </c>
      <c r="O37" s="514">
        <f t="shared" si="3"/>
        <v>0</v>
      </c>
      <c r="P37" s="272"/>
    </row>
    <row r="38" spans="2:16">
      <c r="B38" s="195" t="str">
        <f t="shared" si="6"/>
        <v/>
      </c>
      <c r="C38" s="507">
        <f>IF(D11="","-",+C37+1)</f>
        <v>2030</v>
      </c>
      <c r="D38" s="523">
        <f>IF(F37+SUM(E$17:E37)=D$10,F37,D$10-SUM(E$17:E37))</f>
        <v>6023829.9287657533</v>
      </c>
      <c r="E38" s="522">
        <f>IF(+I14&lt;F37,I14,D38)</f>
        <v>263188.88636363635</v>
      </c>
      <c r="F38" s="523">
        <f t="shared" si="23"/>
        <v>5760641.0424021166</v>
      </c>
      <c r="G38" s="524">
        <f t="shared" si="24"/>
        <v>967470.8929856068</v>
      </c>
      <c r="H38" s="491">
        <f t="shared" si="25"/>
        <v>967470.8929856068</v>
      </c>
      <c r="I38" s="511">
        <f t="shared" si="0"/>
        <v>0</v>
      </c>
      <c r="J38" s="511"/>
      <c r="K38" s="525"/>
      <c r="L38" s="514">
        <f t="shared" si="1"/>
        <v>0</v>
      </c>
      <c r="M38" s="525"/>
      <c r="N38" s="514">
        <f t="shared" si="2"/>
        <v>0</v>
      </c>
      <c r="O38" s="514">
        <f t="shared" si="3"/>
        <v>0</v>
      </c>
      <c r="P38" s="272"/>
    </row>
    <row r="39" spans="2:16">
      <c r="B39" s="195" t="str">
        <f t="shared" si="6"/>
        <v/>
      </c>
      <c r="C39" s="507">
        <f>IF(D11="","-",+C38+1)</f>
        <v>2031</v>
      </c>
      <c r="D39" s="523">
        <f>IF(F38+SUM(E$17:E38)=D$10,F38,D$10-SUM(E$17:E38))</f>
        <v>5760641.0424021166</v>
      </c>
      <c r="E39" s="522">
        <f>IF(+I14&lt;F38,I14,D39)</f>
        <v>263188.88636363635</v>
      </c>
      <c r="F39" s="523">
        <f t="shared" si="23"/>
        <v>5497452.1560384799</v>
      </c>
      <c r="G39" s="524">
        <f t="shared" si="24"/>
        <v>936012.68031534145</v>
      </c>
      <c r="H39" s="491">
        <f t="shared" si="25"/>
        <v>936012.68031534145</v>
      </c>
      <c r="I39" s="511">
        <f t="shared" si="0"/>
        <v>0</v>
      </c>
      <c r="J39" s="511"/>
      <c r="K39" s="525"/>
      <c r="L39" s="514">
        <f t="shared" si="1"/>
        <v>0</v>
      </c>
      <c r="M39" s="525"/>
      <c r="N39" s="514">
        <f t="shared" si="2"/>
        <v>0</v>
      </c>
      <c r="O39" s="514">
        <f t="shared" si="3"/>
        <v>0</v>
      </c>
      <c r="P39" s="272"/>
    </row>
    <row r="40" spans="2:16">
      <c r="B40" s="195" t="str">
        <f t="shared" si="6"/>
        <v/>
      </c>
      <c r="C40" s="507">
        <f>IF(D11="","-",+C39+1)</f>
        <v>2032</v>
      </c>
      <c r="D40" s="523">
        <f>IF(F39+SUM(E$17:E39)=D$10,F39,D$10-SUM(E$17:E39))</f>
        <v>5497452.1560384799</v>
      </c>
      <c r="E40" s="522">
        <f>IF(+I14&lt;F39,I14,D40)</f>
        <v>263188.88636363635</v>
      </c>
      <c r="F40" s="523">
        <f t="shared" si="23"/>
        <v>5234263.2696748432</v>
      </c>
      <c r="G40" s="524">
        <f t="shared" si="24"/>
        <v>904554.4676450761</v>
      </c>
      <c r="H40" s="491">
        <f t="shared" si="25"/>
        <v>904554.4676450761</v>
      </c>
      <c r="I40" s="511">
        <f t="shared" si="0"/>
        <v>0</v>
      </c>
      <c r="J40" s="511"/>
      <c r="K40" s="525"/>
      <c r="L40" s="514">
        <f t="shared" si="1"/>
        <v>0</v>
      </c>
      <c r="M40" s="525"/>
      <c r="N40" s="514">
        <f t="shared" si="2"/>
        <v>0</v>
      </c>
      <c r="O40" s="514">
        <f t="shared" si="3"/>
        <v>0</v>
      </c>
      <c r="P40" s="272"/>
    </row>
    <row r="41" spans="2:16">
      <c r="B41" s="195" t="str">
        <f t="shared" si="6"/>
        <v/>
      </c>
      <c r="C41" s="507">
        <f>IF(D11="","-",+C40+1)</f>
        <v>2033</v>
      </c>
      <c r="D41" s="523">
        <f>IF(F40+SUM(E$17:E40)=D$10,F40,D$10-SUM(E$17:E40))</f>
        <v>5234263.2696748432</v>
      </c>
      <c r="E41" s="522">
        <f>IF(+I14&lt;F40,I14,D41)</f>
        <v>263188.88636363635</v>
      </c>
      <c r="F41" s="523">
        <f t="shared" si="23"/>
        <v>4971074.3833112065</v>
      </c>
      <c r="G41" s="524">
        <f t="shared" si="24"/>
        <v>873096.25497481064</v>
      </c>
      <c r="H41" s="491">
        <f t="shared" si="25"/>
        <v>873096.25497481064</v>
      </c>
      <c r="I41" s="511">
        <f t="shared" si="0"/>
        <v>0</v>
      </c>
      <c r="J41" s="511"/>
      <c r="K41" s="525"/>
      <c r="L41" s="514">
        <f t="shared" si="1"/>
        <v>0</v>
      </c>
      <c r="M41" s="525"/>
      <c r="N41" s="514">
        <f t="shared" si="2"/>
        <v>0</v>
      </c>
      <c r="O41" s="514">
        <f t="shared" si="3"/>
        <v>0</v>
      </c>
      <c r="P41" s="272"/>
    </row>
    <row r="42" spans="2:16">
      <c r="B42" s="195" t="str">
        <f t="shared" si="6"/>
        <v/>
      </c>
      <c r="C42" s="507">
        <f>IF(D11="","-",+C41+1)</f>
        <v>2034</v>
      </c>
      <c r="D42" s="523">
        <f>IF(F41+SUM(E$17:E41)=D$10,F41,D$10-SUM(E$17:E41))</f>
        <v>4971074.3833112065</v>
      </c>
      <c r="E42" s="522">
        <f>IF(+I14&lt;F41,I14,D42)</f>
        <v>263188.88636363635</v>
      </c>
      <c r="F42" s="523">
        <f t="shared" si="23"/>
        <v>4707885.4969475698</v>
      </c>
      <c r="G42" s="524">
        <f t="shared" si="24"/>
        <v>841638.04230454529</v>
      </c>
      <c r="H42" s="491">
        <f t="shared" si="25"/>
        <v>841638.04230454529</v>
      </c>
      <c r="I42" s="511">
        <f t="shared" si="0"/>
        <v>0</v>
      </c>
      <c r="J42" s="511"/>
      <c r="K42" s="525"/>
      <c r="L42" s="514">
        <f t="shared" si="1"/>
        <v>0</v>
      </c>
      <c r="M42" s="525"/>
      <c r="N42" s="514">
        <f t="shared" si="2"/>
        <v>0</v>
      </c>
      <c r="O42" s="514">
        <f t="shared" si="3"/>
        <v>0</v>
      </c>
      <c r="P42" s="272"/>
    </row>
    <row r="43" spans="2:16">
      <c r="B43" s="195" t="str">
        <f t="shared" si="6"/>
        <v/>
      </c>
      <c r="C43" s="507">
        <f>IF(D11="","-",+C42+1)</f>
        <v>2035</v>
      </c>
      <c r="D43" s="523">
        <f>IF(F42+SUM(E$17:E42)=D$10,F42,D$10-SUM(E$17:E42))</f>
        <v>4707885.4969475698</v>
      </c>
      <c r="E43" s="522">
        <f>IF(+I14&lt;F42,I14,D43)</f>
        <v>263188.88636363635</v>
      </c>
      <c r="F43" s="523">
        <f t="shared" si="23"/>
        <v>4444696.6105839331</v>
      </c>
      <c r="G43" s="524">
        <f t="shared" si="24"/>
        <v>810179.82963427994</v>
      </c>
      <c r="H43" s="491">
        <f t="shared" si="25"/>
        <v>810179.82963427994</v>
      </c>
      <c r="I43" s="511">
        <f t="shared" si="0"/>
        <v>0</v>
      </c>
      <c r="J43" s="511"/>
      <c r="K43" s="525"/>
      <c r="L43" s="514">
        <f t="shared" si="1"/>
        <v>0</v>
      </c>
      <c r="M43" s="525"/>
      <c r="N43" s="514">
        <f t="shared" si="2"/>
        <v>0</v>
      </c>
      <c r="O43" s="514">
        <f t="shared" si="3"/>
        <v>0</v>
      </c>
      <c r="P43" s="272"/>
    </row>
    <row r="44" spans="2:16">
      <c r="B44" s="195" t="str">
        <f t="shared" si="6"/>
        <v/>
      </c>
      <c r="C44" s="507">
        <f>IF(D11="","-",+C43+1)</f>
        <v>2036</v>
      </c>
      <c r="D44" s="523">
        <f>IF(F43+SUM(E$17:E43)=D$10,F43,D$10-SUM(E$17:E43))</f>
        <v>4444696.6105839331</v>
      </c>
      <c r="E44" s="522">
        <f>IF(+I14&lt;F43,I14,D44)</f>
        <v>263188.88636363635</v>
      </c>
      <c r="F44" s="523">
        <f t="shared" si="23"/>
        <v>4181507.7242202968</v>
      </c>
      <c r="G44" s="524">
        <f t="shared" si="24"/>
        <v>778721.61696401448</v>
      </c>
      <c r="H44" s="491">
        <f t="shared" si="25"/>
        <v>778721.61696401448</v>
      </c>
      <c r="I44" s="511">
        <f t="shared" si="0"/>
        <v>0</v>
      </c>
      <c r="J44" s="511"/>
      <c r="K44" s="525"/>
      <c r="L44" s="514">
        <f t="shared" si="1"/>
        <v>0</v>
      </c>
      <c r="M44" s="525"/>
      <c r="N44" s="514">
        <f t="shared" si="2"/>
        <v>0</v>
      </c>
      <c r="O44" s="514">
        <f t="shared" si="3"/>
        <v>0</v>
      </c>
      <c r="P44" s="272"/>
    </row>
    <row r="45" spans="2:16">
      <c r="B45" s="195" t="str">
        <f t="shared" si="6"/>
        <v/>
      </c>
      <c r="C45" s="507">
        <f>IF(D11="","-",+C44+1)</f>
        <v>2037</v>
      </c>
      <c r="D45" s="523">
        <f>IF(F44+SUM(E$17:E44)=D$10,F44,D$10-SUM(E$17:E44))</f>
        <v>4181507.7242202968</v>
      </c>
      <c r="E45" s="522">
        <f>IF(+I14&lt;F44,I14,D45)</f>
        <v>263188.88636363635</v>
      </c>
      <c r="F45" s="523">
        <f t="shared" si="23"/>
        <v>3918318.8378566606</v>
      </c>
      <c r="G45" s="524">
        <f t="shared" si="24"/>
        <v>747263.40429374925</v>
      </c>
      <c r="H45" s="491">
        <f t="shared" si="25"/>
        <v>747263.40429374925</v>
      </c>
      <c r="I45" s="511">
        <f t="shared" si="0"/>
        <v>0</v>
      </c>
      <c r="J45" s="511"/>
      <c r="K45" s="525"/>
      <c r="L45" s="514">
        <f t="shared" si="1"/>
        <v>0</v>
      </c>
      <c r="M45" s="525"/>
      <c r="N45" s="514">
        <f t="shared" si="2"/>
        <v>0</v>
      </c>
      <c r="O45" s="514">
        <f t="shared" si="3"/>
        <v>0</v>
      </c>
      <c r="P45" s="272"/>
    </row>
    <row r="46" spans="2:16">
      <c r="B46" s="195" t="str">
        <f t="shared" si="6"/>
        <v/>
      </c>
      <c r="C46" s="507">
        <f>IF(D11="","-",+C45+1)</f>
        <v>2038</v>
      </c>
      <c r="D46" s="523">
        <f>IF(F45+SUM(E$17:E45)=D$10,F45,D$10-SUM(E$17:E45))</f>
        <v>3918318.8378566606</v>
      </c>
      <c r="E46" s="522">
        <f>IF(+I14&lt;F45,I14,D46)</f>
        <v>263188.88636363635</v>
      </c>
      <c r="F46" s="523">
        <f t="shared" si="23"/>
        <v>3655129.9514930244</v>
      </c>
      <c r="G46" s="524">
        <f t="shared" si="24"/>
        <v>715805.1916234839</v>
      </c>
      <c r="H46" s="491">
        <f t="shared" si="25"/>
        <v>715805.1916234839</v>
      </c>
      <c r="I46" s="511">
        <f t="shared" si="0"/>
        <v>0</v>
      </c>
      <c r="J46" s="511"/>
      <c r="K46" s="525"/>
      <c r="L46" s="514">
        <f t="shared" si="1"/>
        <v>0</v>
      </c>
      <c r="M46" s="525"/>
      <c r="N46" s="514">
        <f t="shared" si="2"/>
        <v>0</v>
      </c>
      <c r="O46" s="514">
        <f t="shared" si="3"/>
        <v>0</v>
      </c>
      <c r="P46" s="272"/>
    </row>
    <row r="47" spans="2:16">
      <c r="B47" s="195" t="str">
        <f t="shared" si="6"/>
        <v/>
      </c>
      <c r="C47" s="507">
        <f>IF(D11="","-",+C46+1)</f>
        <v>2039</v>
      </c>
      <c r="D47" s="523">
        <f>IF(F46+SUM(E$17:E46)=D$10,F46,D$10-SUM(E$17:E46))</f>
        <v>3655129.9514930244</v>
      </c>
      <c r="E47" s="522">
        <f>IF(+I14&lt;F46,I14,D47)</f>
        <v>263188.88636363635</v>
      </c>
      <c r="F47" s="523">
        <f t="shared" si="23"/>
        <v>3391941.0651293881</v>
      </c>
      <c r="G47" s="524">
        <f t="shared" si="24"/>
        <v>684346.97895321855</v>
      </c>
      <c r="H47" s="491">
        <f t="shared" si="25"/>
        <v>684346.97895321855</v>
      </c>
      <c r="I47" s="511">
        <f t="shared" si="0"/>
        <v>0</v>
      </c>
      <c r="J47" s="511"/>
      <c r="K47" s="525"/>
      <c r="L47" s="514">
        <f t="shared" si="1"/>
        <v>0</v>
      </c>
      <c r="M47" s="525"/>
      <c r="N47" s="514">
        <f t="shared" si="2"/>
        <v>0</v>
      </c>
      <c r="O47" s="514">
        <f t="shared" si="3"/>
        <v>0</v>
      </c>
      <c r="P47" s="272"/>
    </row>
    <row r="48" spans="2:16">
      <c r="B48" s="195" t="str">
        <f t="shared" si="6"/>
        <v/>
      </c>
      <c r="C48" s="507">
        <f>IF(D11="","-",+C47+1)</f>
        <v>2040</v>
      </c>
      <c r="D48" s="523">
        <f>IF(F47+SUM(E$17:E47)=D$10,F47,D$10-SUM(E$17:E47))</f>
        <v>3391941.0651293881</v>
      </c>
      <c r="E48" s="522">
        <f>IF(+I14&lt;F47,I14,D48)</f>
        <v>263188.88636363635</v>
      </c>
      <c r="F48" s="523">
        <f t="shared" si="23"/>
        <v>3128752.1787657519</v>
      </c>
      <c r="G48" s="524">
        <f t="shared" si="24"/>
        <v>652888.76628295332</v>
      </c>
      <c r="H48" s="491">
        <f t="shared" si="25"/>
        <v>652888.76628295332</v>
      </c>
      <c r="I48" s="511">
        <f t="shared" si="0"/>
        <v>0</v>
      </c>
      <c r="J48" s="511"/>
      <c r="K48" s="525"/>
      <c r="L48" s="514">
        <f t="shared" si="1"/>
        <v>0</v>
      </c>
      <c r="M48" s="525"/>
      <c r="N48" s="514">
        <f t="shared" si="2"/>
        <v>0</v>
      </c>
      <c r="O48" s="514">
        <f t="shared" si="3"/>
        <v>0</v>
      </c>
      <c r="P48" s="272"/>
    </row>
    <row r="49" spans="2:17">
      <c r="B49" s="195" t="str">
        <f t="shared" si="6"/>
        <v/>
      </c>
      <c r="C49" s="507">
        <f>IF(D11="","-",+C48+1)</f>
        <v>2041</v>
      </c>
      <c r="D49" s="523">
        <f>IF(F48+SUM(E$17:E48)=D$10,F48,D$10-SUM(E$17:E48))</f>
        <v>3128752.1787657519</v>
      </c>
      <c r="E49" s="522">
        <f>IF(+I14&lt;F48,I14,D49)</f>
        <v>263188.88636363635</v>
      </c>
      <c r="F49" s="523">
        <f t="shared" ref="F49:F72" si="26">+D49-E49</f>
        <v>2865563.2924021157</v>
      </c>
      <c r="G49" s="524">
        <f t="shared" si="24"/>
        <v>621430.55361268797</v>
      </c>
      <c r="H49" s="491">
        <f t="shared" si="25"/>
        <v>621430.55361268797</v>
      </c>
      <c r="I49" s="511">
        <f t="shared" ref="I49:I72" si="27">H49-G49</f>
        <v>0</v>
      </c>
      <c r="J49" s="511"/>
      <c r="K49" s="525"/>
      <c r="L49" s="514">
        <f t="shared" ref="L49:L72" si="28">IF(K49&lt;&gt;0,+G49-K49,0)</f>
        <v>0</v>
      </c>
      <c r="M49" s="525"/>
      <c r="N49" s="514">
        <f t="shared" ref="N49:N72" si="29">IF(M49&lt;&gt;0,+H49-M49,0)</f>
        <v>0</v>
      </c>
      <c r="O49" s="514">
        <f t="shared" ref="O49:O72" si="30">+N49-L49</f>
        <v>0</v>
      </c>
      <c r="P49" s="272"/>
    </row>
    <row r="50" spans="2:17">
      <c r="B50" s="195" t="str">
        <f t="shared" si="6"/>
        <v/>
      </c>
      <c r="C50" s="507">
        <f>IF(D11="","-",+C49+1)</f>
        <v>2042</v>
      </c>
      <c r="D50" s="523">
        <f>IF(F49+SUM(E$17:E49)=D$10,F49,D$10-SUM(E$17:E49))</f>
        <v>2865563.2924021157</v>
      </c>
      <c r="E50" s="522">
        <f>IF(+I14&lt;F49,I14,D50)</f>
        <v>263188.88636363635</v>
      </c>
      <c r="F50" s="523">
        <f t="shared" si="26"/>
        <v>2602374.4060384794</v>
      </c>
      <c r="G50" s="524">
        <f t="shared" si="24"/>
        <v>589972.34094242263</v>
      </c>
      <c r="H50" s="491">
        <f t="shared" si="25"/>
        <v>589972.34094242263</v>
      </c>
      <c r="I50" s="511">
        <f t="shared" si="27"/>
        <v>0</v>
      </c>
      <c r="J50" s="511"/>
      <c r="K50" s="525"/>
      <c r="L50" s="514">
        <f t="shared" si="28"/>
        <v>0</v>
      </c>
      <c r="M50" s="525"/>
      <c r="N50" s="514">
        <f t="shared" si="29"/>
        <v>0</v>
      </c>
      <c r="O50" s="514">
        <f t="shared" si="30"/>
        <v>0</v>
      </c>
      <c r="P50" s="272"/>
    </row>
    <row r="51" spans="2:17">
      <c r="B51" s="195" t="str">
        <f t="shared" si="6"/>
        <v/>
      </c>
      <c r="C51" s="507">
        <f>IF(D11="","-",+C50+1)</f>
        <v>2043</v>
      </c>
      <c r="D51" s="523">
        <f>IF(F50+SUM(E$17:E50)=D$10,F50,D$10-SUM(E$17:E50))</f>
        <v>2602374.4060384794</v>
      </c>
      <c r="E51" s="522">
        <f>IF(+I14&lt;F50,I14,D51)</f>
        <v>263188.88636363635</v>
      </c>
      <c r="F51" s="523">
        <f t="shared" si="26"/>
        <v>2339185.5196748432</v>
      </c>
      <c r="G51" s="524">
        <f t="shared" si="24"/>
        <v>558514.1282721574</v>
      </c>
      <c r="H51" s="491">
        <f t="shared" si="25"/>
        <v>558514.1282721574</v>
      </c>
      <c r="I51" s="511">
        <f t="shared" si="27"/>
        <v>0</v>
      </c>
      <c r="J51" s="511"/>
      <c r="K51" s="525"/>
      <c r="L51" s="514">
        <f t="shared" si="28"/>
        <v>0</v>
      </c>
      <c r="M51" s="525"/>
      <c r="N51" s="514">
        <f t="shared" si="29"/>
        <v>0</v>
      </c>
      <c r="O51" s="514">
        <f t="shared" si="30"/>
        <v>0</v>
      </c>
      <c r="P51" s="272"/>
    </row>
    <row r="52" spans="2:17">
      <c r="B52" s="195" t="str">
        <f t="shared" si="6"/>
        <v/>
      </c>
      <c r="C52" s="507">
        <f>IF(D11="","-",+C51+1)</f>
        <v>2044</v>
      </c>
      <c r="D52" s="523">
        <f>IF(F51+SUM(E$17:E51)=D$10,F51,D$10-SUM(E$17:E51))</f>
        <v>2339185.5196748432</v>
      </c>
      <c r="E52" s="522">
        <f>IF(+I14&lt;F51,I14,D52)</f>
        <v>263188.88636363635</v>
      </c>
      <c r="F52" s="523">
        <f t="shared" si="26"/>
        <v>2075996.6333112069</v>
      </c>
      <c r="G52" s="524">
        <f t="shared" si="24"/>
        <v>527055.91560189193</v>
      </c>
      <c r="H52" s="491">
        <f t="shared" si="25"/>
        <v>527055.91560189193</v>
      </c>
      <c r="I52" s="511">
        <f t="shared" si="27"/>
        <v>0</v>
      </c>
      <c r="J52" s="511"/>
      <c r="K52" s="525"/>
      <c r="L52" s="514">
        <f t="shared" si="28"/>
        <v>0</v>
      </c>
      <c r="M52" s="525"/>
      <c r="N52" s="514">
        <f t="shared" si="29"/>
        <v>0</v>
      </c>
      <c r="O52" s="514">
        <f t="shared" si="30"/>
        <v>0</v>
      </c>
      <c r="P52" s="272"/>
    </row>
    <row r="53" spans="2:17">
      <c r="B53" s="195" t="str">
        <f t="shared" si="6"/>
        <v/>
      </c>
      <c r="C53" s="507">
        <f>IF(D11="","-",+C52+1)</f>
        <v>2045</v>
      </c>
      <c r="D53" s="523">
        <f>IF(F52+SUM(E$17:E52)=D$10,F52,D$10-SUM(E$17:E52))</f>
        <v>2075996.6333112069</v>
      </c>
      <c r="E53" s="522">
        <f>IF(+I14&lt;F52,I14,D53)</f>
        <v>263188.88636363635</v>
      </c>
      <c r="F53" s="523">
        <f t="shared" si="26"/>
        <v>1812807.7469475707</v>
      </c>
      <c r="G53" s="524">
        <f t="shared" si="24"/>
        <v>495597.7029316267</v>
      </c>
      <c r="H53" s="491">
        <f t="shared" si="25"/>
        <v>495597.7029316267</v>
      </c>
      <c r="I53" s="511">
        <f t="shared" si="27"/>
        <v>0</v>
      </c>
      <c r="J53" s="511"/>
      <c r="K53" s="525"/>
      <c r="L53" s="514">
        <f t="shared" si="28"/>
        <v>0</v>
      </c>
      <c r="M53" s="525"/>
      <c r="N53" s="514">
        <f t="shared" si="29"/>
        <v>0</v>
      </c>
      <c r="O53" s="514">
        <f t="shared" si="30"/>
        <v>0</v>
      </c>
      <c r="P53" s="272"/>
    </row>
    <row r="54" spans="2:17">
      <c r="B54" s="195" t="str">
        <f t="shared" si="6"/>
        <v/>
      </c>
      <c r="C54" s="507">
        <f>IF(D11="","-",+C53+1)</f>
        <v>2046</v>
      </c>
      <c r="D54" s="523">
        <f>IF(F53+SUM(E$17:E53)=D$10,F53,D$10-SUM(E$17:E53))</f>
        <v>1812807.7469475707</v>
      </c>
      <c r="E54" s="522">
        <f>IF(+I14&lt;F53,I14,D54)</f>
        <v>263188.88636363635</v>
      </c>
      <c r="F54" s="523">
        <f t="shared" si="26"/>
        <v>1549618.8605839345</v>
      </c>
      <c r="G54" s="524">
        <f t="shared" si="24"/>
        <v>464139.49026136135</v>
      </c>
      <c r="H54" s="491">
        <f t="shared" si="25"/>
        <v>464139.49026136135</v>
      </c>
      <c r="I54" s="511">
        <f t="shared" si="27"/>
        <v>0</v>
      </c>
      <c r="J54" s="511"/>
      <c r="K54" s="525"/>
      <c r="L54" s="514">
        <f t="shared" si="28"/>
        <v>0</v>
      </c>
      <c r="M54" s="525"/>
      <c r="N54" s="514">
        <f t="shared" si="29"/>
        <v>0</v>
      </c>
      <c r="O54" s="514">
        <f t="shared" si="30"/>
        <v>0</v>
      </c>
      <c r="P54" s="272"/>
    </row>
    <row r="55" spans="2:17">
      <c r="B55" s="195" t="str">
        <f t="shared" si="6"/>
        <v/>
      </c>
      <c r="C55" s="507">
        <f>IF(D11="","-",+C54+1)</f>
        <v>2047</v>
      </c>
      <c r="D55" s="523">
        <f>IF(F54+SUM(E$17:E54)=D$10,F54,D$10-SUM(E$17:E54))</f>
        <v>1549618.8605839345</v>
      </c>
      <c r="E55" s="522">
        <f>IF(+I14&lt;F54,I14,D55)</f>
        <v>263188.88636363635</v>
      </c>
      <c r="F55" s="523">
        <f t="shared" si="26"/>
        <v>1286429.9742202982</v>
      </c>
      <c r="G55" s="524">
        <f t="shared" si="24"/>
        <v>432681.277591096</v>
      </c>
      <c r="H55" s="491">
        <f t="shared" si="25"/>
        <v>432681.277591096</v>
      </c>
      <c r="I55" s="511">
        <f t="shared" si="27"/>
        <v>0</v>
      </c>
      <c r="J55" s="511"/>
      <c r="K55" s="525"/>
      <c r="L55" s="514">
        <f t="shared" si="28"/>
        <v>0</v>
      </c>
      <c r="M55" s="525"/>
      <c r="N55" s="514">
        <f t="shared" si="29"/>
        <v>0</v>
      </c>
      <c r="O55" s="514">
        <f t="shared" si="30"/>
        <v>0</v>
      </c>
      <c r="P55" s="272"/>
    </row>
    <row r="56" spans="2:17">
      <c r="B56" s="195" t="str">
        <f t="shared" si="6"/>
        <v/>
      </c>
      <c r="C56" s="507">
        <f>IF(D11="","-",+C55+1)</f>
        <v>2048</v>
      </c>
      <c r="D56" s="523">
        <f>IF(F55+SUM(E$17:E55)=D$10,F55,D$10-SUM(E$17:E55))</f>
        <v>1286429.9742202982</v>
      </c>
      <c r="E56" s="522">
        <f>IF(+I14&lt;F55,I14,D56)</f>
        <v>263188.88636363635</v>
      </c>
      <c r="F56" s="523">
        <f t="shared" si="26"/>
        <v>1023241.0878566619</v>
      </c>
      <c r="G56" s="524">
        <f t="shared" si="24"/>
        <v>401223.06492083071</v>
      </c>
      <c r="H56" s="491">
        <f t="shared" si="25"/>
        <v>401223.06492083071</v>
      </c>
      <c r="I56" s="511">
        <f t="shared" si="27"/>
        <v>0</v>
      </c>
      <c r="J56" s="511"/>
      <c r="K56" s="525"/>
      <c r="L56" s="514">
        <f t="shared" si="28"/>
        <v>0</v>
      </c>
      <c r="M56" s="525"/>
      <c r="N56" s="514">
        <f t="shared" si="29"/>
        <v>0</v>
      </c>
      <c r="O56" s="514">
        <f t="shared" si="30"/>
        <v>0</v>
      </c>
      <c r="P56" s="272"/>
    </row>
    <row r="57" spans="2:17">
      <c r="B57" s="195" t="str">
        <f t="shared" si="6"/>
        <v/>
      </c>
      <c r="C57" s="507">
        <f>IF(D11="","-",+C56+1)</f>
        <v>2049</v>
      </c>
      <c r="D57" s="523">
        <f>IF(F56+SUM(E$17:E56)=D$10,F56,D$10-SUM(E$17:E56))</f>
        <v>1023241.0878566619</v>
      </c>
      <c r="E57" s="522">
        <f>IF(+I14&lt;F56,I14,D57)</f>
        <v>263188.88636363635</v>
      </c>
      <c r="F57" s="523">
        <f t="shared" si="26"/>
        <v>760052.20149302552</v>
      </c>
      <c r="G57" s="524">
        <f t="shared" si="24"/>
        <v>369764.85225056537</v>
      </c>
      <c r="H57" s="491">
        <f t="shared" si="25"/>
        <v>369764.85225056537</v>
      </c>
      <c r="I57" s="511">
        <f t="shared" si="27"/>
        <v>0</v>
      </c>
      <c r="J57" s="511"/>
      <c r="K57" s="525"/>
      <c r="L57" s="514">
        <f t="shared" si="28"/>
        <v>0</v>
      </c>
      <c r="M57" s="525"/>
      <c r="N57" s="514">
        <f t="shared" si="29"/>
        <v>0</v>
      </c>
      <c r="O57" s="514">
        <f t="shared" si="30"/>
        <v>0</v>
      </c>
      <c r="P57" s="272"/>
    </row>
    <row r="58" spans="2:17">
      <c r="B58" s="195" t="str">
        <f t="shared" si="6"/>
        <v/>
      </c>
      <c r="C58" s="507">
        <f>IF(D11="","-",+C57+1)</f>
        <v>2050</v>
      </c>
      <c r="D58" s="523">
        <f>IF(F57+SUM(E$17:E57)=D$10,F57,D$10-SUM(E$17:E57))</f>
        <v>760052.20149302552</v>
      </c>
      <c r="E58" s="522">
        <f>IF(+I14&lt;F57,I14,D58)</f>
        <v>263188.88636363635</v>
      </c>
      <c r="F58" s="523">
        <f t="shared" si="26"/>
        <v>496863.31512938917</v>
      </c>
      <c r="G58" s="524">
        <f t="shared" si="24"/>
        <v>338306.63958030002</v>
      </c>
      <c r="H58" s="491">
        <f t="shared" si="25"/>
        <v>338306.63958030002</v>
      </c>
      <c r="I58" s="511">
        <f t="shared" si="27"/>
        <v>0</v>
      </c>
      <c r="J58" s="511"/>
      <c r="K58" s="525"/>
      <c r="L58" s="514">
        <f t="shared" si="28"/>
        <v>0</v>
      </c>
      <c r="M58" s="525"/>
      <c r="N58" s="514">
        <f t="shared" si="29"/>
        <v>0</v>
      </c>
      <c r="O58" s="514">
        <f t="shared" si="30"/>
        <v>0</v>
      </c>
      <c r="P58" s="272"/>
      <c r="Q58" s="183" t="str">
        <f>IF(ROUND(Q57,0)=ROUND(SUM(Q18:Q56),0),"","Error -- check allocations above).")</f>
        <v/>
      </c>
    </row>
    <row r="59" spans="2:17">
      <c r="B59" s="195" t="str">
        <f t="shared" si="6"/>
        <v/>
      </c>
      <c r="C59" s="507">
        <f>IF(D11="","-",+C58+1)</f>
        <v>2051</v>
      </c>
      <c r="D59" s="523">
        <f>IF(F58+SUM(E$17:E58)=D$10,F58,D$10-SUM(E$17:E58))</f>
        <v>496863.31512938917</v>
      </c>
      <c r="E59" s="522">
        <f>IF(+I14&lt;F58,I14,D59)</f>
        <v>263188.88636363635</v>
      </c>
      <c r="F59" s="523">
        <f t="shared" si="26"/>
        <v>233674.42876575282</v>
      </c>
      <c r="G59" s="524">
        <f t="shared" si="24"/>
        <v>306848.42691003467</v>
      </c>
      <c r="H59" s="491">
        <f t="shared" si="25"/>
        <v>306848.42691003467</v>
      </c>
      <c r="I59" s="511">
        <f t="shared" si="27"/>
        <v>0</v>
      </c>
      <c r="J59" s="511"/>
      <c r="K59" s="525"/>
      <c r="L59" s="514">
        <f t="shared" si="28"/>
        <v>0</v>
      </c>
      <c r="M59" s="525"/>
      <c r="N59" s="514">
        <f t="shared" si="29"/>
        <v>0</v>
      </c>
      <c r="O59" s="514">
        <f t="shared" si="30"/>
        <v>0</v>
      </c>
      <c r="P59" s="272"/>
    </row>
    <row r="60" spans="2:17">
      <c r="B60" s="195" t="str">
        <f t="shared" si="6"/>
        <v/>
      </c>
      <c r="C60" s="507">
        <f>IF(D11="","-",+C59+1)</f>
        <v>2052</v>
      </c>
      <c r="D60" s="523">
        <f>IF(F59+SUM(E$17:E59)=D$10,F59,D$10-SUM(E$17:E59))</f>
        <v>233674.42876575282</v>
      </c>
      <c r="E60" s="522">
        <f>IF(+I14&lt;F59,I14,D60)</f>
        <v>233674.42876575282</v>
      </c>
      <c r="F60" s="523">
        <f t="shared" si="26"/>
        <v>0</v>
      </c>
      <c r="G60" s="524">
        <f t="shared" si="24"/>
        <v>247639.64587138564</v>
      </c>
      <c r="H60" s="491">
        <f t="shared" si="25"/>
        <v>247639.64587138564</v>
      </c>
      <c r="I60" s="511">
        <f t="shared" si="27"/>
        <v>0</v>
      </c>
      <c r="J60" s="511"/>
      <c r="K60" s="525"/>
      <c r="L60" s="514">
        <f t="shared" si="28"/>
        <v>0</v>
      </c>
      <c r="M60" s="525"/>
      <c r="N60" s="514">
        <f t="shared" si="29"/>
        <v>0</v>
      </c>
      <c r="O60" s="514">
        <f t="shared" si="30"/>
        <v>0</v>
      </c>
      <c r="P60" s="272"/>
    </row>
    <row r="61" spans="2:17">
      <c r="B61" s="195" t="str">
        <f t="shared" si="6"/>
        <v/>
      </c>
      <c r="C61" s="507">
        <f>IF(D11="","-",+C60+1)</f>
        <v>2053</v>
      </c>
      <c r="D61" s="523">
        <f>IF(F60+SUM(E$17:E60)=D$10,F60,D$10-SUM(E$17:E60))</f>
        <v>0</v>
      </c>
      <c r="E61" s="522">
        <f>IF(+I14&lt;F60,I14,D61)</f>
        <v>0</v>
      </c>
      <c r="F61" s="523">
        <f t="shared" si="26"/>
        <v>0</v>
      </c>
      <c r="G61" s="524">
        <f t="shared" si="24"/>
        <v>0</v>
      </c>
      <c r="H61" s="491">
        <f t="shared" si="25"/>
        <v>0</v>
      </c>
      <c r="I61" s="511">
        <f t="shared" si="27"/>
        <v>0</v>
      </c>
      <c r="J61" s="511"/>
      <c r="K61" s="525"/>
      <c r="L61" s="514">
        <f t="shared" si="28"/>
        <v>0</v>
      </c>
      <c r="M61" s="525"/>
      <c r="N61" s="514">
        <f t="shared" si="29"/>
        <v>0</v>
      </c>
      <c r="O61" s="514">
        <f t="shared" si="30"/>
        <v>0</v>
      </c>
      <c r="P61" s="272"/>
    </row>
    <row r="62" spans="2:17">
      <c r="B62" s="195" t="str">
        <f t="shared" si="6"/>
        <v/>
      </c>
      <c r="C62" s="507">
        <f>IF(D11="","-",+C61+1)</f>
        <v>2054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26"/>
        <v>0</v>
      </c>
      <c r="G62" s="524">
        <f t="shared" si="24"/>
        <v>0</v>
      </c>
      <c r="H62" s="491">
        <f t="shared" si="25"/>
        <v>0</v>
      </c>
      <c r="I62" s="511">
        <f t="shared" si="27"/>
        <v>0</v>
      </c>
      <c r="J62" s="511"/>
      <c r="K62" s="525"/>
      <c r="L62" s="514">
        <f t="shared" si="28"/>
        <v>0</v>
      </c>
      <c r="M62" s="525"/>
      <c r="N62" s="514">
        <f t="shared" si="29"/>
        <v>0</v>
      </c>
      <c r="O62" s="514">
        <f t="shared" si="30"/>
        <v>0</v>
      </c>
      <c r="P62" s="272"/>
    </row>
    <row r="63" spans="2:17">
      <c r="B63" s="195" t="str">
        <f t="shared" si="6"/>
        <v/>
      </c>
      <c r="C63" s="507">
        <f>IF(D11="","-",+C62+1)</f>
        <v>2055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26"/>
        <v>0</v>
      </c>
      <c r="G63" s="524">
        <f t="shared" si="24"/>
        <v>0</v>
      </c>
      <c r="H63" s="491">
        <f t="shared" si="25"/>
        <v>0</v>
      </c>
      <c r="I63" s="511">
        <f t="shared" si="27"/>
        <v>0</v>
      </c>
      <c r="J63" s="511"/>
      <c r="K63" s="525"/>
      <c r="L63" s="514">
        <f t="shared" si="28"/>
        <v>0</v>
      </c>
      <c r="M63" s="525"/>
      <c r="N63" s="514">
        <f t="shared" si="29"/>
        <v>0</v>
      </c>
      <c r="O63" s="514">
        <f t="shared" si="30"/>
        <v>0</v>
      </c>
      <c r="P63" s="272"/>
    </row>
    <row r="64" spans="2:17">
      <c r="B64" s="195" t="str">
        <f t="shared" si="6"/>
        <v/>
      </c>
      <c r="C64" s="507">
        <f>IF(D11="","-",+C63+1)</f>
        <v>2056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26"/>
        <v>0</v>
      </c>
      <c r="G64" s="524">
        <f t="shared" si="24"/>
        <v>0</v>
      </c>
      <c r="H64" s="491">
        <f t="shared" si="25"/>
        <v>0</v>
      </c>
      <c r="I64" s="511">
        <f t="shared" si="27"/>
        <v>0</v>
      </c>
      <c r="J64" s="511"/>
      <c r="K64" s="525"/>
      <c r="L64" s="514">
        <f t="shared" si="28"/>
        <v>0</v>
      </c>
      <c r="M64" s="525"/>
      <c r="N64" s="514">
        <f t="shared" si="29"/>
        <v>0</v>
      </c>
      <c r="O64" s="514">
        <f t="shared" si="30"/>
        <v>0</v>
      </c>
      <c r="P64" s="272"/>
    </row>
    <row r="65" spans="1:16">
      <c r="B65" s="195" t="str">
        <f t="shared" si="6"/>
        <v/>
      </c>
      <c r="C65" s="507">
        <f>IF(D11="","-",+C64+1)</f>
        <v>2057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26"/>
        <v>0</v>
      </c>
      <c r="G65" s="524">
        <f t="shared" si="24"/>
        <v>0</v>
      </c>
      <c r="H65" s="491">
        <f t="shared" si="25"/>
        <v>0</v>
      </c>
      <c r="I65" s="511">
        <f t="shared" si="27"/>
        <v>0</v>
      </c>
      <c r="J65" s="511"/>
      <c r="K65" s="525"/>
      <c r="L65" s="514">
        <f t="shared" si="28"/>
        <v>0</v>
      </c>
      <c r="M65" s="525"/>
      <c r="N65" s="514">
        <f t="shared" si="29"/>
        <v>0</v>
      </c>
      <c r="O65" s="514">
        <f t="shared" si="30"/>
        <v>0</v>
      </c>
      <c r="P65" s="272"/>
    </row>
    <row r="66" spans="1:16">
      <c r="B66" s="195" t="str">
        <f t="shared" si="6"/>
        <v/>
      </c>
      <c r="C66" s="507">
        <f>IF(D11="","-",+C65+1)</f>
        <v>2058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26"/>
        <v>0</v>
      </c>
      <c r="G66" s="524">
        <f t="shared" si="24"/>
        <v>0</v>
      </c>
      <c r="H66" s="491">
        <f t="shared" si="25"/>
        <v>0</v>
      </c>
      <c r="I66" s="511">
        <f t="shared" si="27"/>
        <v>0</v>
      </c>
      <c r="J66" s="511"/>
      <c r="K66" s="525"/>
      <c r="L66" s="514">
        <f t="shared" si="28"/>
        <v>0</v>
      </c>
      <c r="M66" s="525"/>
      <c r="N66" s="514">
        <f t="shared" si="29"/>
        <v>0</v>
      </c>
      <c r="O66" s="514">
        <f t="shared" si="30"/>
        <v>0</v>
      </c>
      <c r="P66" s="272"/>
    </row>
    <row r="67" spans="1:16">
      <c r="B67" s="195" t="str">
        <f t="shared" si="6"/>
        <v/>
      </c>
      <c r="C67" s="507">
        <f>IF(D11="","-",+C66+1)</f>
        <v>2059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26"/>
        <v>0</v>
      </c>
      <c r="G67" s="524">
        <f t="shared" si="24"/>
        <v>0</v>
      </c>
      <c r="H67" s="491">
        <f t="shared" si="25"/>
        <v>0</v>
      </c>
      <c r="I67" s="511">
        <f t="shared" si="27"/>
        <v>0</v>
      </c>
      <c r="J67" s="511"/>
      <c r="K67" s="525"/>
      <c r="L67" s="514">
        <f t="shared" si="28"/>
        <v>0</v>
      </c>
      <c r="M67" s="525"/>
      <c r="N67" s="514">
        <f t="shared" si="29"/>
        <v>0</v>
      </c>
      <c r="O67" s="514">
        <f t="shared" si="30"/>
        <v>0</v>
      </c>
      <c r="P67" s="272"/>
    </row>
    <row r="68" spans="1:16">
      <c r="B68" s="195" t="str">
        <f t="shared" si="6"/>
        <v/>
      </c>
      <c r="C68" s="507">
        <f>IF(D11="","-",+C67+1)</f>
        <v>2060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26"/>
        <v>0</v>
      </c>
      <c r="G68" s="524">
        <f t="shared" si="24"/>
        <v>0</v>
      </c>
      <c r="H68" s="491">
        <f t="shared" si="25"/>
        <v>0</v>
      </c>
      <c r="I68" s="511">
        <f t="shared" si="27"/>
        <v>0</v>
      </c>
      <c r="J68" s="511"/>
      <c r="K68" s="525"/>
      <c r="L68" s="514">
        <f t="shared" si="28"/>
        <v>0</v>
      </c>
      <c r="M68" s="525"/>
      <c r="N68" s="514">
        <f t="shared" si="29"/>
        <v>0</v>
      </c>
      <c r="O68" s="514">
        <f t="shared" si="30"/>
        <v>0</v>
      </c>
      <c r="P68" s="272"/>
    </row>
    <row r="69" spans="1:16">
      <c r="B69" s="195" t="str">
        <f t="shared" si="6"/>
        <v/>
      </c>
      <c r="C69" s="507">
        <f>IF(D11="","-",+C68+1)</f>
        <v>2061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26"/>
        <v>0</v>
      </c>
      <c r="G69" s="524">
        <f t="shared" si="24"/>
        <v>0</v>
      </c>
      <c r="H69" s="491">
        <f t="shared" si="25"/>
        <v>0</v>
      </c>
      <c r="I69" s="511">
        <f t="shared" si="27"/>
        <v>0</v>
      </c>
      <c r="J69" s="511"/>
      <c r="K69" s="525"/>
      <c r="L69" s="514">
        <f t="shared" si="28"/>
        <v>0</v>
      </c>
      <c r="M69" s="525"/>
      <c r="N69" s="514">
        <f t="shared" si="29"/>
        <v>0</v>
      </c>
      <c r="O69" s="514">
        <f t="shared" si="30"/>
        <v>0</v>
      </c>
      <c r="P69" s="272"/>
    </row>
    <row r="70" spans="1:16">
      <c r="B70" s="195" t="str">
        <f t="shared" si="6"/>
        <v/>
      </c>
      <c r="C70" s="507">
        <f>IF(D11="","-",+C69+1)</f>
        <v>2062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26"/>
        <v>0</v>
      </c>
      <c r="G70" s="524">
        <f t="shared" si="24"/>
        <v>0</v>
      </c>
      <c r="H70" s="491">
        <f t="shared" si="25"/>
        <v>0</v>
      </c>
      <c r="I70" s="511">
        <f t="shared" si="27"/>
        <v>0</v>
      </c>
      <c r="J70" s="511"/>
      <c r="K70" s="525"/>
      <c r="L70" s="514">
        <f t="shared" si="28"/>
        <v>0</v>
      </c>
      <c r="M70" s="525"/>
      <c r="N70" s="514">
        <f t="shared" si="29"/>
        <v>0</v>
      </c>
      <c r="O70" s="514">
        <f t="shared" si="30"/>
        <v>0</v>
      </c>
      <c r="P70" s="272"/>
    </row>
    <row r="71" spans="1:16">
      <c r="B71" s="195" t="str">
        <f t="shared" si="6"/>
        <v/>
      </c>
      <c r="C71" s="507">
        <f>IF(D11="","-",+C70+1)</f>
        <v>2063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26"/>
        <v>0</v>
      </c>
      <c r="G71" s="524">
        <f t="shared" si="24"/>
        <v>0</v>
      </c>
      <c r="H71" s="491">
        <f t="shared" si="25"/>
        <v>0</v>
      </c>
      <c r="I71" s="511">
        <f t="shared" si="27"/>
        <v>0</v>
      </c>
      <c r="J71" s="511"/>
      <c r="K71" s="525"/>
      <c r="L71" s="514">
        <f t="shared" si="28"/>
        <v>0</v>
      </c>
      <c r="M71" s="525"/>
      <c r="N71" s="514">
        <f t="shared" si="29"/>
        <v>0</v>
      </c>
      <c r="O71" s="514">
        <f t="shared" si="30"/>
        <v>0</v>
      </c>
      <c r="P71" s="272"/>
    </row>
    <row r="72" spans="1:16" ht="13.5" thickBot="1">
      <c r="B72" s="195" t="str">
        <f t="shared" si="6"/>
        <v/>
      </c>
      <c r="C72" s="527">
        <f>IF(D11="","-",+C71+1)</f>
        <v>2064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26"/>
        <v>0</v>
      </c>
      <c r="G72" s="524">
        <f t="shared" si="24"/>
        <v>0</v>
      </c>
      <c r="H72" s="491">
        <f t="shared" si="25"/>
        <v>0</v>
      </c>
      <c r="I72" s="531">
        <f t="shared" si="27"/>
        <v>0</v>
      </c>
      <c r="J72" s="511"/>
      <c r="K72" s="532"/>
      <c r="L72" s="533">
        <f t="shared" si="28"/>
        <v>0</v>
      </c>
      <c r="M72" s="532"/>
      <c r="N72" s="533">
        <f t="shared" si="29"/>
        <v>0</v>
      </c>
      <c r="O72" s="533">
        <f t="shared" si="30"/>
        <v>0</v>
      </c>
      <c r="P72" s="272"/>
    </row>
    <row r="73" spans="1:16">
      <c r="C73" s="374" t="s">
        <v>78</v>
      </c>
      <c r="D73" s="375"/>
      <c r="E73" s="375">
        <f>SUM(E17:E72)</f>
        <v>11580311.000000007</v>
      </c>
      <c r="F73" s="375"/>
      <c r="G73" s="375">
        <f>SUM(G17:G72)</f>
        <v>42491034.327057064</v>
      </c>
      <c r="H73" s="375">
        <f>SUM(H17:H72)</f>
        <v>42491034.327057064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1:16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1:16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1:16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1:16" ht="18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535"/>
      <c r="P77" s="272"/>
    </row>
    <row r="78" spans="1:16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1:16" ht="15">
      <c r="A79" s="536"/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</row>
    <row r="80" spans="1:16" ht="18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7">
      <c r="B81" s="269"/>
      <c r="C81" s="537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7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  <c r="Q82" s="269"/>
    </row>
    <row r="83" spans="1:17" ht="20.25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535" t="str">
        <f ca="1">P1</f>
        <v>SWEPCO Project 4 of 75</v>
      </c>
      <c r="Q83" s="269"/>
    </row>
    <row r="84" spans="1:17" ht="18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454" t="s">
        <v>128</v>
      </c>
      <c r="Q84" s="269"/>
    </row>
    <row r="85" spans="1:17" ht="18.7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  <c r="Q85" s="269"/>
    </row>
    <row r="86" spans="1:17" ht="15.75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2022</v>
      </c>
      <c r="M86" s="541" t="s">
        <v>9</v>
      </c>
      <c r="N86" s="542" t="s">
        <v>159</v>
      </c>
      <c r="O86" s="543" t="s">
        <v>11</v>
      </c>
      <c r="P86" s="269"/>
      <c r="Q86" s="269"/>
    </row>
    <row r="87" spans="1:17" ht="1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391</v>
      </c>
      <c r="M87" s="546">
        <f>IF(J92&lt;D11,0,VLOOKUP(J92,C17:O72,9))</f>
        <v>1177134.9411293902</v>
      </c>
      <c r="N87" s="546">
        <f>IF(J92&lt;D11,0,VLOOKUP(J92,C17:O72,11))</f>
        <v>1177134.9411293902</v>
      </c>
      <c r="O87" s="547">
        <f>+N87-M87</f>
        <v>0</v>
      </c>
      <c r="P87" s="269"/>
      <c r="Q87" s="269"/>
    </row>
    <row r="88" spans="1:17" ht="15.7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392</v>
      </c>
      <c r="M88" s="550">
        <f>IF(J92&lt;D11,0,VLOOKUP(J92,C99:P154,6))</f>
        <v>1213128.3119758123</v>
      </c>
      <c r="N88" s="550">
        <f>IF(J92&lt;D11,0,VLOOKUP(J92,C99:P154,7))</f>
        <v>1213128.3119758123</v>
      </c>
      <c r="O88" s="551">
        <f>+N88-M88</f>
        <v>0</v>
      </c>
      <c r="P88" s="269"/>
      <c r="Q88" s="269"/>
    </row>
    <row r="89" spans="1:17" ht="13.5" thickBot="1">
      <c r="C89" s="467" t="s">
        <v>84</v>
      </c>
      <c r="D89" s="552" t="str">
        <f>+D7</f>
        <v>Rebuild N. Magazine - Danville 161 kV Line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35993.370846422156</v>
      </c>
      <c r="N89" s="555">
        <f>+N88-N87</f>
        <v>35993.370846422156</v>
      </c>
      <c r="O89" s="556">
        <f>+O88-O87</f>
        <v>0</v>
      </c>
      <c r="P89" s="269"/>
      <c r="Q89" s="269"/>
    </row>
    <row r="90" spans="1:17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  <c r="Q90" s="269"/>
    </row>
    <row r="91" spans="1:17" ht="13.5" thickBot="1">
      <c r="A91" s="191"/>
      <c r="C91" s="558" t="s">
        <v>85</v>
      </c>
      <c r="D91" s="559" t="str">
        <f>+D9</f>
        <v>TP2007114</v>
      </c>
      <c r="E91" s="560"/>
      <c r="F91" s="560"/>
      <c r="G91" s="560"/>
      <c r="H91" s="560"/>
      <c r="I91" s="560"/>
      <c r="J91" s="561"/>
      <c r="K91" s="562"/>
      <c r="P91" s="481"/>
      <c r="Q91" s="269"/>
    </row>
    <row r="92" spans="1:17">
      <c r="C92" s="486" t="s">
        <v>51</v>
      </c>
      <c r="D92" s="483">
        <v>11580311</v>
      </c>
      <c r="E92" s="340" t="s">
        <v>86</v>
      </c>
      <c r="H92" s="484"/>
      <c r="I92" s="484"/>
      <c r="J92" s="485">
        <f>+'SWE.WS.G.BPU.ATRR.True-up'!M16</f>
        <v>2022</v>
      </c>
      <c r="K92" s="480"/>
      <c r="L92" s="375" t="s">
        <v>87</v>
      </c>
      <c r="P92" s="272"/>
      <c r="Q92" s="269"/>
    </row>
    <row r="93" spans="1:17">
      <c r="C93" s="486" t="s">
        <v>54</v>
      </c>
      <c r="D93" s="563">
        <f>IF(D11=I10,"",D11)</f>
        <v>2009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  <c r="Q93" s="269"/>
    </row>
    <row r="94" spans="1:17">
      <c r="C94" s="486" t="s">
        <v>56</v>
      </c>
      <c r="D94" s="564">
        <f>IF(D11=I10,"",D12)</f>
        <v>6</v>
      </c>
      <c r="E94" s="486" t="s">
        <v>57</v>
      </c>
      <c r="F94" s="484"/>
      <c r="G94" s="484"/>
      <c r="J94" s="490">
        <f>'SWE.WS.G.BPU.ATRR.True-up'!$F$81</f>
        <v>0.11351422637179906</v>
      </c>
      <c r="K94" s="425"/>
      <c r="L94" s="183" t="s">
        <v>88</v>
      </c>
      <c r="P94" s="272"/>
      <c r="Q94" s="269"/>
    </row>
    <row r="95" spans="1:17">
      <c r="C95" s="486" t="s">
        <v>59</v>
      </c>
      <c r="D95" s="488">
        <f>'SWE.WS.G.BPU.ATRR.True-up'!F$93</f>
        <v>41</v>
      </c>
      <c r="E95" s="486" t="s">
        <v>60</v>
      </c>
      <c r="F95" s="484"/>
      <c r="G95" s="484"/>
      <c r="J95" s="490">
        <f>IF(H87="",J94,'SWE.WS.G.BPU.ATRR.True-up'!$F$80)</f>
        <v>0.11351422637179906</v>
      </c>
      <c r="K95" s="324"/>
      <c r="L95" s="375" t="s">
        <v>61</v>
      </c>
      <c r="M95" s="324"/>
      <c r="N95" s="324"/>
      <c r="O95" s="324"/>
      <c r="P95" s="272"/>
      <c r="Q95" s="269"/>
    </row>
    <row r="96" spans="1:17" ht="13.5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282446.60975609755</v>
      </c>
      <c r="K96" s="375"/>
      <c r="L96" s="375"/>
      <c r="M96" s="375"/>
      <c r="N96" s="375"/>
      <c r="O96" s="375"/>
      <c r="P96" s="272"/>
      <c r="Q96" s="269"/>
    </row>
    <row r="97" spans="1:17" ht="38.25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388</v>
      </c>
      <c r="I97" s="495" t="s">
        <v>389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  <c r="Q97" s="269"/>
    </row>
    <row r="98" spans="1:17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  <c r="Q98" s="269"/>
    </row>
    <row r="99" spans="1:17">
      <c r="C99" s="507">
        <f>IF(D93= "","-",D93)</f>
        <v>2009</v>
      </c>
      <c r="D99" s="508">
        <v>0</v>
      </c>
      <c r="E99" s="516">
        <v>152372</v>
      </c>
      <c r="F99" s="515">
        <v>11427940</v>
      </c>
      <c r="G99" s="574">
        <v>5713970</v>
      </c>
      <c r="H99" s="575">
        <v>979399</v>
      </c>
      <c r="I99" s="576">
        <v>979399</v>
      </c>
      <c r="J99" s="514">
        <f t="shared" ref="J99:J130" si="31">+I99-H99</f>
        <v>0</v>
      </c>
      <c r="K99" s="514"/>
      <c r="L99" s="512">
        <f t="shared" ref="L99:L104" si="32">H99</f>
        <v>979399</v>
      </c>
      <c r="M99" s="513">
        <f t="shared" ref="M99:M130" si="33">IF(L99&lt;&gt;0,+H99-L99,0)</f>
        <v>0</v>
      </c>
      <c r="N99" s="512">
        <f t="shared" ref="N99:N104" si="34">I99</f>
        <v>979399</v>
      </c>
      <c r="O99" s="513">
        <f t="shared" ref="O99:O130" si="35">IF(N99&lt;&gt;0,+I99-N99,0)</f>
        <v>0</v>
      </c>
      <c r="P99" s="513">
        <f t="shared" ref="P99:P130" si="36">+O99-M99</f>
        <v>0</v>
      </c>
      <c r="Q99" s="269"/>
    </row>
    <row r="100" spans="1:17">
      <c r="B100" s="195" t="str">
        <f>IF(D100=F99,"","IU")</f>
        <v>IU</v>
      </c>
      <c r="C100" s="507">
        <f>IF(D93="","-",+C99+1)</f>
        <v>2010</v>
      </c>
      <c r="D100" s="508">
        <v>11427940.940000001</v>
      </c>
      <c r="E100" s="516">
        <v>282446.65707317076</v>
      </c>
      <c r="F100" s="515">
        <v>11145494.282926831</v>
      </c>
      <c r="G100" s="515">
        <v>11286717.611463416</v>
      </c>
      <c r="H100" s="516">
        <v>2145726.6474616765</v>
      </c>
      <c r="I100" s="510">
        <v>2145726.6474616765</v>
      </c>
      <c r="J100" s="514">
        <f t="shared" si="31"/>
        <v>0</v>
      </c>
      <c r="K100" s="514"/>
      <c r="L100" s="518">
        <f t="shared" si="32"/>
        <v>2145726.6474616765</v>
      </c>
      <c r="M100" s="519">
        <f t="shared" si="33"/>
        <v>0</v>
      </c>
      <c r="N100" s="518">
        <f t="shared" si="34"/>
        <v>2145726.6474616765</v>
      </c>
      <c r="O100" s="514">
        <f t="shared" si="35"/>
        <v>0</v>
      </c>
      <c r="P100" s="514">
        <f t="shared" si="36"/>
        <v>0</v>
      </c>
      <c r="Q100" s="269"/>
    </row>
    <row r="101" spans="1:17">
      <c r="B101" s="195" t="str">
        <f t="shared" ref="B101:B154" si="37">IF(D101=F100,"","IU")</f>
        <v/>
      </c>
      <c r="C101" s="507">
        <f>IF(D93="","-",+C100+1)</f>
        <v>2011</v>
      </c>
      <c r="D101" s="508">
        <v>11145494.282926831</v>
      </c>
      <c r="E101" s="520">
        <v>275721.73666666669</v>
      </c>
      <c r="F101" s="515">
        <v>10869772.546260165</v>
      </c>
      <c r="G101" s="515">
        <v>11007633.414593499</v>
      </c>
      <c r="H101" s="516">
        <v>1931048.5627447576</v>
      </c>
      <c r="I101" s="510">
        <v>1931048.5627447576</v>
      </c>
      <c r="J101" s="514">
        <f t="shared" si="31"/>
        <v>0</v>
      </c>
      <c r="K101" s="514"/>
      <c r="L101" s="518">
        <f t="shared" si="32"/>
        <v>1931048.5627447576</v>
      </c>
      <c r="M101" s="519">
        <f t="shared" si="33"/>
        <v>0</v>
      </c>
      <c r="N101" s="518">
        <f t="shared" si="34"/>
        <v>1931048.5627447576</v>
      </c>
      <c r="O101" s="514">
        <f t="shared" si="35"/>
        <v>0</v>
      </c>
      <c r="P101" s="514">
        <f t="shared" si="36"/>
        <v>0</v>
      </c>
      <c r="Q101" s="269"/>
    </row>
    <row r="102" spans="1:17">
      <c r="B102" s="195" t="str">
        <f t="shared" si="37"/>
        <v/>
      </c>
      <c r="C102" s="507">
        <f>IF(D93="","-",+C101+1)</f>
        <v>2012</v>
      </c>
      <c r="D102" s="508">
        <v>10869772.546260165</v>
      </c>
      <c r="E102" s="516">
        <v>275721.73666666669</v>
      </c>
      <c r="F102" s="515">
        <v>10594050.809593499</v>
      </c>
      <c r="G102" s="515">
        <v>10731911.677926831</v>
      </c>
      <c r="H102" s="516">
        <v>1854964.7357626334</v>
      </c>
      <c r="I102" s="510">
        <v>1854964.7357626334</v>
      </c>
      <c r="J102" s="514">
        <f t="shared" si="31"/>
        <v>0</v>
      </c>
      <c r="K102" s="514"/>
      <c r="L102" s="518">
        <f t="shared" si="32"/>
        <v>1854964.7357626334</v>
      </c>
      <c r="M102" s="519">
        <f t="shared" si="33"/>
        <v>0</v>
      </c>
      <c r="N102" s="518">
        <f t="shared" si="34"/>
        <v>1854964.7357626334</v>
      </c>
      <c r="O102" s="514">
        <f t="shared" si="35"/>
        <v>0</v>
      </c>
      <c r="P102" s="514">
        <f t="shared" si="36"/>
        <v>0</v>
      </c>
      <c r="Q102" s="269"/>
    </row>
    <row r="103" spans="1:17">
      <c r="B103" s="195" t="str">
        <f t="shared" si="37"/>
        <v/>
      </c>
      <c r="C103" s="507">
        <f>IF(D93="","-",+C102+1)</f>
        <v>2013</v>
      </c>
      <c r="D103" s="508">
        <v>10594050.809593499</v>
      </c>
      <c r="E103" s="516">
        <v>275721.73666666669</v>
      </c>
      <c r="F103" s="515">
        <v>10318329.072926832</v>
      </c>
      <c r="G103" s="515">
        <v>10456189.941260166</v>
      </c>
      <c r="H103" s="516">
        <v>1690357.4734906773</v>
      </c>
      <c r="I103" s="510">
        <v>1690357.4734906773</v>
      </c>
      <c r="J103" s="514">
        <v>0</v>
      </c>
      <c r="K103" s="514"/>
      <c r="L103" s="518">
        <f t="shared" si="32"/>
        <v>1690357.4734906773</v>
      </c>
      <c r="M103" s="519">
        <f t="shared" ref="M103:M108" si="38">IF(L103&lt;&gt;0,+H103-L103,0)</f>
        <v>0</v>
      </c>
      <c r="N103" s="518">
        <f t="shared" si="34"/>
        <v>1690357.4734906773</v>
      </c>
      <c r="O103" s="514">
        <f t="shared" ref="O103:O108" si="39">IF(N103&lt;&gt;0,+I103-N103,0)</f>
        <v>0</v>
      </c>
      <c r="P103" s="514">
        <f t="shared" ref="P103:P108" si="40">+O103-M103</f>
        <v>0</v>
      </c>
      <c r="Q103" s="269"/>
    </row>
    <row r="104" spans="1:17">
      <c r="B104" s="195" t="str">
        <f t="shared" si="37"/>
        <v/>
      </c>
      <c r="C104" s="507">
        <f>IF(D93="","-",+C103+1)</f>
        <v>2014</v>
      </c>
      <c r="D104" s="508">
        <v>10318329.072926832</v>
      </c>
      <c r="E104" s="516">
        <v>275721.73666666669</v>
      </c>
      <c r="F104" s="515">
        <v>10042607.336260166</v>
      </c>
      <c r="G104" s="515">
        <v>10180468.204593498</v>
      </c>
      <c r="H104" s="516">
        <v>1659486.1970572667</v>
      </c>
      <c r="I104" s="510">
        <v>1659486.1970572667</v>
      </c>
      <c r="J104" s="514">
        <v>0</v>
      </c>
      <c r="K104" s="514"/>
      <c r="L104" s="518">
        <f t="shared" si="32"/>
        <v>1659486.1970572667</v>
      </c>
      <c r="M104" s="519">
        <f t="shared" si="38"/>
        <v>0</v>
      </c>
      <c r="N104" s="518">
        <f t="shared" si="34"/>
        <v>1659486.1970572667</v>
      </c>
      <c r="O104" s="514">
        <f t="shared" si="39"/>
        <v>0</v>
      </c>
      <c r="P104" s="514">
        <f t="shared" si="40"/>
        <v>0</v>
      </c>
      <c r="Q104" s="269"/>
    </row>
    <row r="105" spans="1:17">
      <c r="B105" s="195" t="str">
        <f t="shared" si="37"/>
        <v>IU</v>
      </c>
      <c r="C105" s="507">
        <f>IF(D93="","-",+C104+1)</f>
        <v>2015</v>
      </c>
      <c r="D105" s="508">
        <v>10042605.396260163</v>
      </c>
      <c r="E105" s="516">
        <v>275721.69047619047</v>
      </c>
      <c r="F105" s="515">
        <v>9766883.7057839725</v>
      </c>
      <c r="G105" s="515">
        <v>9904744.5510220677</v>
      </c>
      <c r="H105" s="516">
        <v>1580858.7656028033</v>
      </c>
      <c r="I105" s="510">
        <v>1580858.7656028033</v>
      </c>
      <c r="J105" s="514">
        <f t="shared" si="31"/>
        <v>0</v>
      </c>
      <c r="K105" s="514"/>
      <c r="L105" s="518">
        <f t="shared" ref="L105:L110" si="41">H105</f>
        <v>1580858.7656028033</v>
      </c>
      <c r="M105" s="519">
        <f t="shared" si="38"/>
        <v>0</v>
      </c>
      <c r="N105" s="518">
        <f t="shared" ref="N105:N110" si="42">I105</f>
        <v>1580858.7656028033</v>
      </c>
      <c r="O105" s="514">
        <f t="shared" si="39"/>
        <v>0</v>
      </c>
      <c r="P105" s="514">
        <f t="shared" si="40"/>
        <v>0</v>
      </c>
      <c r="Q105" s="269"/>
    </row>
    <row r="106" spans="1:17">
      <c r="B106" s="195" t="str">
        <f t="shared" si="37"/>
        <v/>
      </c>
      <c r="C106" s="507">
        <f>IF(D93="","-",+C105+1)</f>
        <v>2016</v>
      </c>
      <c r="D106" s="508">
        <v>9766883.7057839725</v>
      </c>
      <c r="E106" s="516">
        <v>269309.5581395349</v>
      </c>
      <c r="F106" s="515">
        <v>9497574.1476444378</v>
      </c>
      <c r="G106" s="515">
        <v>9632228.9267142043</v>
      </c>
      <c r="H106" s="516">
        <v>1492120.9075767242</v>
      </c>
      <c r="I106" s="510">
        <v>1492120.9075767242</v>
      </c>
      <c r="J106" s="514">
        <f t="shared" si="31"/>
        <v>0</v>
      </c>
      <c r="K106" s="514"/>
      <c r="L106" s="518">
        <f t="shared" si="41"/>
        <v>1492120.9075767242</v>
      </c>
      <c r="M106" s="519">
        <f t="shared" si="38"/>
        <v>0</v>
      </c>
      <c r="N106" s="518">
        <f t="shared" si="42"/>
        <v>1492120.9075767242</v>
      </c>
      <c r="O106" s="514">
        <f t="shared" si="39"/>
        <v>0</v>
      </c>
      <c r="P106" s="514">
        <f t="shared" si="40"/>
        <v>0</v>
      </c>
      <c r="Q106" s="269"/>
    </row>
    <row r="107" spans="1:17">
      <c r="B107" s="195" t="str">
        <f t="shared" si="37"/>
        <v/>
      </c>
      <c r="C107" s="507">
        <f>IF(D93="","-",+C106+1)</f>
        <v>2017</v>
      </c>
      <c r="D107" s="508">
        <v>9497574.1476444378</v>
      </c>
      <c r="E107" s="516">
        <v>275721.69047619047</v>
      </c>
      <c r="F107" s="515">
        <v>9221852.4571682476</v>
      </c>
      <c r="G107" s="515">
        <v>9359713.3024063427</v>
      </c>
      <c r="H107" s="516">
        <v>1412659.7088236467</v>
      </c>
      <c r="I107" s="510">
        <v>1412659.7088236467</v>
      </c>
      <c r="J107" s="514">
        <f t="shared" si="31"/>
        <v>0</v>
      </c>
      <c r="K107" s="514"/>
      <c r="L107" s="518">
        <f t="shared" si="41"/>
        <v>1412659.7088236467</v>
      </c>
      <c r="M107" s="519">
        <f t="shared" si="38"/>
        <v>0</v>
      </c>
      <c r="N107" s="518">
        <f t="shared" si="42"/>
        <v>1412659.7088236467</v>
      </c>
      <c r="O107" s="514">
        <f t="shared" si="39"/>
        <v>0</v>
      </c>
      <c r="P107" s="514">
        <f t="shared" si="40"/>
        <v>0</v>
      </c>
      <c r="Q107" s="269"/>
    </row>
    <row r="108" spans="1:17">
      <c r="B108" s="195" t="str">
        <f t="shared" si="37"/>
        <v/>
      </c>
      <c r="C108" s="507">
        <f>IF(D93="","-",+C107+1)</f>
        <v>2018</v>
      </c>
      <c r="D108" s="508">
        <v>9221852.4571682476</v>
      </c>
      <c r="E108" s="516">
        <v>275721.69047619047</v>
      </c>
      <c r="F108" s="515">
        <v>8946130.7666920573</v>
      </c>
      <c r="G108" s="515">
        <v>9083991.6119301524</v>
      </c>
      <c r="H108" s="516">
        <v>1235032.8622445145</v>
      </c>
      <c r="I108" s="510">
        <v>1235032.8622445145</v>
      </c>
      <c r="J108" s="514">
        <f t="shared" si="31"/>
        <v>0</v>
      </c>
      <c r="K108" s="514"/>
      <c r="L108" s="518">
        <f t="shared" si="41"/>
        <v>1235032.8622445145</v>
      </c>
      <c r="M108" s="519">
        <f t="shared" si="38"/>
        <v>0</v>
      </c>
      <c r="N108" s="518">
        <f t="shared" si="42"/>
        <v>1235032.8622445145</v>
      </c>
      <c r="O108" s="514">
        <f t="shared" si="39"/>
        <v>0</v>
      </c>
      <c r="P108" s="514">
        <f t="shared" si="40"/>
        <v>0</v>
      </c>
      <c r="Q108" s="269"/>
    </row>
    <row r="109" spans="1:17">
      <c r="B109" s="195" t="str">
        <f t="shared" si="37"/>
        <v/>
      </c>
      <c r="C109" s="507">
        <f>IF(D93="","-",+C108+1)</f>
        <v>2019</v>
      </c>
      <c r="D109" s="508">
        <v>8946130.7666920573</v>
      </c>
      <c r="E109" s="516">
        <v>269309.5581395349</v>
      </c>
      <c r="F109" s="515">
        <v>8676821.2085525226</v>
      </c>
      <c r="G109" s="515">
        <v>8811475.9876222908</v>
      </c>
      <c r="H109" s="516">
        <v>1212494.7636968775</v>
      </c>
      <c r="I109" s="510">
        <v>1212494.7636968775</v>
      </c>
      <c r="J109" s="514">
        <f t="shared" si="31"/>
        <v>0</v>
      </c>
      <c r="K109" s="514"/>
      <c r="L109" s="518">
        <f t="shared" si="41"/>
        <v>1212494.7636968775</v>
      </c>
      <c r="M109" s="519">
        <f t="shared" ref="M109:M110" si="43">IF(L109&lt;&gt;0,+H109-L109,0)</f>
        <v>0</v>
      </c>
      <c r="N109" s="518">
        <f t="shared" si="42"/>
        <v>1212494.7636968775</v>
      </c>
      <c r="O109" s="514">
        <f t="shared" si="35"/>
        <v>0</v>
      </c>
      <c r="P109" s="514">
        <f t="shared" si="36"/>
        <v>0</v>
      </c>
      <c r="Q109" s="269"/>
    </row>
    <row r="110" spans="1:17">
      <c r="B110" s="195" t="str">
        <f t="shared" si="37"/>
        <v/>
      </c>
      <c r="C110" s="507">
        <f>IF(D93="","-",+C109+1)</f>
        <v>2020</v>
      </c>
      <c r="D110" s="508">
        <v>8676821.2085525226</v>
      </c>
      <c r="E110" s="516">
        <v>275721.69047619047</v>
      </c>
      <c r="F110" s="515">
        <v>8401099.5180763323</v>
      </c>
      <c r="G110" s="515">
        <v>8538960.3633144274</v>
      </c>
      <c r="H110" s="516">
        <v>1194290.3823298137</v>
      </c>
      <c r="I110" s="510">
        <v>1194290.3823298137</v>
      </c>
      <c r="J110" s="514">
        <f t="shared" si="31"/>
        <v>0</v>
      </c>
      <c r="K110" s="514"/>
      <c r="L110" s="518">
        <f t="shared" si="41"/>
        <v>1194290.3823298137</v>
      </c>
      <c r="M110" s="519">
        <f t="shared" si="43"/>
        <v>0</v>
      </c>
      <c r="N110" s="518">
        <f t="shared" si="42"/>
        <v>1194290.3823298137</v>
      </c>
      <c r="O110" s="514">
        <f t="shared" si="35"/>
        <v>0</v>
      </c>
      <c r="P110" s="514">
        <f t="shared" si="36"/>
        <v>0</v>
      </c>
      <c r="Q110" s="269"/>
    </row>
    <row r="111" spans="1:17">
      <c r="B111" s="195" t="str">
        <f t="shared" si="37"/>
        <v/>
      </c>
      <c r="C111" s="507">
        <f>IF(D93="","-",+C110+1)</f>
        <v>2021</v>
      </c>
      <c r="D111" s="508">
        <v>8401099.5180763323</v>
      </c>
      <c r="E111" s="516">
        <v>282446.60975609755</v>
      </c>
      <c r="F111" s="515">
        <v>8118652.9083202351</v>
      </c>
      <c r="G111" s="515">
        <v>8259876.2131982837</v>
      </c>
      <c r="H111" s="516">
        <v>1220060.0680241259</v>
      </c>
      <c r="I111" s="510">
        <v>1220060.0680241259</v>
      </c>
      <c r="J111" s="514">
        <f t="shared" si="31"/>
        <v>0</v>
      </c>
      <c r="K111" s="514"/>
      <c r="L111" s="518">
        <f t="shared" ref="L111" si="44">H111</f>
        <v>1220060.0680241259</v>
      </c>
      <c r="M111" s="519">
        <f t="shared" ref="M111" si="45">IF(L111&lt;&gt;0,+H111-L111,0)</f>
        <v>0</v>
      </c>
      <c r="N111" s="518">
        <f t="shared" ref="N111" si="46">I111</f>
        <v>1220060.0680241259</v>
      </c>
      <c r="O111" s="514">
        <f t="shared" ref="O111" si="47">IF(N111&lt;&gt;0,+I111-N111,0)</f>
        <v>0</v>
      </c>
      <c r="P111" s="514">
        <f t="shared" ref="P111" si="48">+O111-M111</f>
        <v>0</v>
      </c>
      <c r="Q111" s="269"/>
    </row>
    <row r="112" spans="1:17">
      <c r="B112" s="195" t="str">
        <f t="shared" si="37"/>
        <v/>
      </c>
      <c r="C112" s="673">
        <f>IF(D93="","-",+C111+1)</f>
        <v>2022</v>
      </c>
      <c r="D112" s="374">
        <v>8118652.9083202351</v>
      </c>
      <c r="E112" s="522">
        <v>275721.69047619047</v>
      </c>
      <c r="F112" s="523">
        <v>7842931.2178440448</v>
      </c>
      <c r="G112" s="523">
        <v>7980792.0630821399</v>
      </c>
      <c r="H112" s="526">
        <v>1213128.3119758123</v>
      </c>
      <c r="I112" s="577">
        <v>1213128.3119758123</v>
      </c>
      <c r="J112" s="514">
        <f t="shared" si="31"/>
        <v>0</v>
      </c>
      <c r="K112" s="514"/>
      <c r="L112" s="525"/>
      <c r="M112" s="514">
        <f t="shared" si="33"/>
        <v>0</v>
      </c>
      <c r="N112" s="525"/>
      <c r="O112" s="514">
        <f t="shared" si="35"/>
        <v>0</v>
      </c>
      <c r="P112" s="514">
        <f t="shared" si="36"/>
        <v>0</v>
      </c>
      <c r="Q112" s="269"/>
    </row>
    <row r="113" spans="2:17">
      <c r="B113" s="195" t="str">
        <f t="shared" si="37"/>
        <v/>
      </c>
      <c r="C113" s="507">
        <f>IF(D93="","-",+C112+1)</f>
        <v>2023</v>
      </c>
      <c r="D113" s="374">
        <f>IF(F112+SUM(E$99:E112)=D$92,F112,D$92-SUM(E$99:E112))</f>
        <v>7842931.2178440448</v>
      </c>
      <c r="E113" s="522">
        <f>IF(+J96&lt;F112,J96,D113)</f>
        <v>282446.60975609755</v>
      </c>
      <c r="F113" s="523">
        <f t="shared" ref="F113:F130" si="49">+D113-E113</f>
        <v>7560484.6080879476</v>
      </c>
      <c r="G113" s="523">
        <f t="shared" ref="G113:G130" si="50">+(F113+D113)/2</f>
        <v>7701707.9129659962</v>
      </c>
      <c r="H113" s="526">
        <f t="shared" ref="H113:H154" si="51">+J$94*G113+E113</f>
        <v>1156700.0252379957</v>
      </c>
      <c r="I113" s="577">
        <f t="shared" ref="I113:I154" si="52">+J$95*G113+E113</f>
        <v>1156700.0252379957</v>
      </c>
      <c r="J113" s="514">
        <f t="shared" si="31"/>
        <v>0</v>
      </c>
      <c r="K113" s="514"/>
      <c r="L113" s="525"/>
      <c r="M113" s="514">
        <f t="shared" si="33"/>
        <v>0</v>
      </c>
      <c r="N113" s="525"/>
      <c r="O113" s="514">
        <f t="shared" si="35"/>
        <v>0</v>
      </c>
      <c r="P113" s="514">
        <f t="shared" si="36"/>
        <v>0</v>
      </c>
      <c r="Q113" s="269"/>
    </row>
    <row r="114" spans="2:17">
      <c r="B114" s="195" t="str">
        <f t="shared" si="37"/>
        <v/>
      </c>
      <c r="C114" s="507">
        <f>IF(D93="","-",+C113+1)</f>
        <v>2024</v>
      </c>
      <c r="D114" s="374">
        <f>IF(F113+SUM(E$99:E113)=D$92,F113,D$92-SUM(E$99:E113))</f>
        <v>7560484.6080879476</v>
      </c>
      <c r="E114" s="522">
        <f>IF(+J96&lt;F113,J96,D114)</f>
        <v>282446.60975609755</v>
      </c>
      <c r="F114" s="523">
        <f t="shared" si="49"/>
        <v>7278037.9983318504</v>
      </c>
      <c r="G114" s="523">
        <f t="shared" si="50"/>
        <v>7419261.303209899</v>
      </c>
      <c r="H114" s="526">
        <f t="shared" si="51"/>
        <v>1124638.3168401949</v>
      </c>
      <c r="I114" s="577">
        <f t="shared" si="52"/>
        <v>1124638.3168401949</v>
      </c>
      <c r="J114" s="514">
        <f t="shared" si="31"/>
        <v>0</v>
      </c>
      <c r="K114" s="514"/>
      <c r="L114" s="525"/>
      <c r="M114" s="514">
        <f t="shared" si="33"/>
        <v>0</v>
      </c>
      <c r="N114" s="525"/>
      <c r="O114" s="514">
        <f t="shared" si="35"/>
        <v>0</v>
      </c>
      <c r="P114" s="514">
        <f t="shared" si="36"/>
        <v>0</v>
      </c>
      <c r="Q114" s="269"/>
    </row>
    <row r="115" spans="2:17">
      <c r="B115" s="195" t="str">
        <f t="shared" si="37"/>
        <v/>
      </c>
      <c r="C115" s="507">
        <f>IF(D93="","-",+C114+1)</f>
        <v>2025</v>
      </c>
      <c r="D115" s="374">
        <f>IF(F114+SUM(E$99:E114)=D$92,F114,D$92-SUM(E$99:E114))</f>
        <v>7278037.9983318504</v>
      </c>
      <c r="E115" s="522">
        <f>IF(+J96&lt;F114,J96,D115)</f>
        <v>282446.60975609755</v>
      </c>
      <c r="F115" s="523">
        <f t="shared" si="49"/>
        <v>6995591.3885757532</v>
      </c>
      <c r="G115" s="523">
        <f t="shared" si="50"/>
        <v>7136814.6934538018</v>
      </c>
      <c r="H115" s="526">
        <f t="shared" si="51"/>
        <v>1092576.6084423941</v>
      </c>
      <c r="I115" s="577">
        <f t="shared" si="52"/>
        <v>1092576.6084423941</v>
      </c>
      <c r="J115" s="514">
        <f t="shared" si="31"/>
        <v>0</v>
      </c>
      <c r="K115" s="514"/>
      <c r="L115" s="525"/>
      <c r="M115" s="514">
        <f t="shared" si="33"/>
        <v>0</v>
      </c>
      <c r="N115" s="525"/>
      <c r="O115" s="514">
        <f t="shared" si="35"/>
        <v>0</v>
      </c>
      <c r="P115" s="514">
        <f t="shared" si="36"/>
        <v>0</v>
      </c>
      <c r="Q115" s="269"/>
    </row>
    <row r="116" spans="2:17">
      <c r="B116" s="195" t="str">
        <f t="shared" si="37"/>
        <v/>
      </c>
      <c r="C116" s="507">
        <f>IF(D93="","-",+C115+1)</f>
        <v>2026</v>
      </c>
      <c r="D116" s="374">
        <f>IF(F115+SUM(E$99:E115)=D$92,F115,D$92-SUM(E$99:E115))</f>
        <v>6995591.3885757532</v>
      </c>
      <c r="E116" s="522">
        <f>IF(+J96&lt;F115,J96,D116)</f>
        <v>282446.60975609755</v>
      </c>
      <c r="F116" s="523">
        <f t="shared" si="49"/>
        <v>6713144.778819656</v>
      </c>
      <c r="G116" s="523">
        <f t="shared" si="50"/>
        <v>6854368.0836977046</v>
      </c>
      <c r="H116" s="526">
        <f t="shared" si="51"/>
        <v>1060514.9000445933</v>
      </c>
      <c r="I116" s="577">
        <f t="shared" si="52"/>
        <v>1060514.9000445933</v>
      </c>
      <c r="J116" s="514">
        <f t="shared" si="31"/>
        <v>0</v>
      </c>
      <c r="K116" s="514"/>
      <c r="L116" s="525"/>
      <c r="M116" s="514">
        <f t="shared" si="33"/>
        <v>0</v>
      </c>
      <c r="N116" s="525"/>
      <c r="O116" s="514">
        <f t="shared" si="35"/>
        <v>0</v>
      </c>
      <c r="P116" s="514">
        <f t="shared" si="36"/>
        <v>0</v>
      </c>
      <c r="Q116" s="269"/>
    </row>
    <row r="117" spans="2:17">
      <c r="B117" s="195" t="str">
        <f t="shared" si="37"/>
        <v/>
      </c>
      <c r="C117" s="507">
        <f>IF(D93="","-",+C116+1)</f>
        <v>2027</v>
      </c>
      <c r="D117" s="374">
        <f>IF(F116+SUM(E$99:E116)=D$92,F116,D$92-SUM(E$99:E116))</f>
        <v>6713144.778819656</v>
      </c>
      <c r="E117" s="522">
        <f>IF(+J96&lt;F116,J96,D117)</f>
        <v>282446.60975609755</v>
      </c>
      <c r="F117" s="523">
        <f t="shared" si="49"/>
        <v>6430698.1690635588</v>
      </c>
      <c r="G117" s="523">
        <f t="shared" si="50"/>
        <v>6571921.4739416074</v>
      </c>
      <c r="H117" s="526">
        <f t="shared" si="51"/>
        <v>1028453.1916467925</v>
      </c>
      <c r="I117" s="577">
        <f t="shared" si="52"/>
        <v>1028453.1916467925</v>
      </c>
      <c r="J117" s="514">
        <f t="shared" si="31"/>
        <v>0</v>
      </c>
      <c r="K117" s="514"/>
      <c r="L117" s="525"/>
      <c r="M117" s="514">
        <f t="shared" si="33"/>
        <v>0</v>
      </c>
      <c r="N117" s="525"/>
      <c r="O117" s="514">
        <f t="shared" si="35"/>
        <v>0</v>
      </c>
      <c r="P117" s="514">
        <f t="shared" si="36"/>
        <v>0</v>
      </c>
      <c r="Q117" s="269"/>
    </row>
    <row r="118" spans="2:17">
      <c r="B118" s="195" t="str">
        <f t="shared" si="37"/>
        <v/>
      </c>
      <c r="C118" s="507">
        <f>IF(D93="","-",+C117+1)</f>
        <v>2028</v>
      </c>
      <c r="D118" s="374">
        <f>IF(F117+SUM(E$99:E117)=D$92,F117,D$92-SUM(E$99:E117))</f>
        <v>6430698.1690635588</v>
      </c>
      <c r="E118" s="522">
        <f>IF(+J96&lt;F117,J96,D118)</f>
        <v>282446.60975609755</v>
      </c>
      <c r="F118" s="523">
        <f t="shared" si="49"/>
        <v>6148251.5593074616</v>
      </c>
      <c r="G118" s="523">
        <f t="shared" si="50"/>
        <v>6289474.8641855102</v>
      </c>
      <c r="H118" s="526">
        <f t="shared" si="51"/>
        <v>996391.48324899166</v>
      </c>
      <c r="I118" s="577">
        <f t="shared" si="52"/>
        <v>996391.48324899166</v>
      </c>
      <c r="J118" s="514">
        <f t="shared" si="31"/>
        <v>0</v>
      </c>
      <c r="K118" s="514"/>
      <c r="L118" s="525"/>
      <c r="M118" s="514">
        <f t="shared" si="33"/>
        <v>0</v>
      </c>
      <c r="N118" s="525"/>
      <c r="O118" s="514">
        <f t="shared" si="35"/>
        <v>0</v>
      </c>
      <c r="P118" s="514">
        <f t="shared" si="36"/>
        <v>0</v>
      </c>
      <c r="Q118" s="269"/>
    </row>
    <row r="119" spans="2:17">
      <c r="B119" s="195" t="str">
        <f t="shared" si="37"/>
        <v/>
      </c>
      <c r="C119" s="507">
        <f>IF(D93="","-",+C118+1)</f>
        <v>2029</v>
      </c>
      <c r="D119" s="374">
        <f>IF(F118+SUM(E$99:E118)=D$92,F118,D$92-SUM(E$99:E118))</f>
        <v>6148251.5593074616</v>
      </c>
      <c r="E119" s="522">
        <f>IF(+J96&lt;F118,J96,D119)</f>
        <v>282446.60975609755</v>
      </c>
      <c r="F119" s="523">
        <f t="shared" si="49"/>
        <v>5865804.9495513644</v>
      </c>
      <c r="G119" s="523">
        <f t="shared" si="50"/>
        <v>6007028.254429413</v>
      </c>
      <c r="H119" s="526">
        <f t="shared" si="51"/>
        <v>964329.77485119086</v>
      </c>
      <c r="I119" s="577">
        <f t="shared" si="52"/>
        <v>964329.77485119086</v>
      </c>
      <c r="J119" s="514">
        <f t="shared" si="31"/>
        <v>0</v>
      </c>
      <c r="K119" s="514"/>
      <c r="L119" s="525"/>
      <c r="M119" s="514">
        <f t="shared" si="33"/>
        <v>0</v>
      </c>
      <c r="N119" s="525"/>
      <c r="O119" s="514">
        <f t="shared" si="35"/>
        <v>0</v>
      </c>
      <c r="P119" s="514">
        <f t="shared" si="36"/>
        <v>0</v>
      </c>
      <c r="Q119" s="269"/>
    </row>
    <row r="120" spans="2:17">
      <c r="B120" s="195" t="str">
        <f t="shared" si="37"/>
        <v/>
      </c>
      <c r="C120" s="507">
        <f>IF(D93="","-",+C119+1)</f>
        <v>2030</v>
      </c>
      <c r="D120" s="374">
        <f>IF(F119+SUM(E$99:E119)=D$92,F119,D$92-SUM(E$99:E119))</f>
        <v>5865804.9495513644</v>
      </c>
      <c r="E120" s="522">
        <f>IF(+J96&lt;F119,J96,D120)</f>
        <v>282446.60975609755</v>
      </c>
      <c r="F120" s="523">
        <f t="shared" si="49"/>
        <v>5583358.3397952672</v>
      </c>
      <c r="G120" s="523">
        <f t="shared" si="50"/>
        <v>5724581.6446733158</v>
      </c>
      <c r="H120" s="526">
        <f t="shared" si="51"/>
        <v>932268.06645339006</v>
      </c>
      <c r="I120" s="577">
        <f t="shared" si="52"/>
        <v>932268.06645339006</v>
      </c>
      <c r="J120" s="514">
        <f t="shared" si="31"/>
        <v>0</v>
      </c>
      <c r="K120" s="514"/>
      <c r="L120" s="525"/>
      <c r="M120" s="514">
        <f t="shared" si="33"/>
        <v>0</v>
      </c>
      <c r="N120" s="525"/>
      <c r="O120" s="514">
        <f t="shared" si="35"/>
        <v>0</v>
      </c>
      <c r="P120" s="514">
        <f t="shared" si="36"/>
        <v>0</v>
      </c>
      <c r="Q120" s="269"/>
    </row>
    <row r="121" spans="2:17">
      <c r="B121" s="195" t="str">
        <f t="shared" si="37"/>
        <v/>
      </c>
      <c r="C121" s="507">
        <f>IF(D93="","-",+C120+1)</f>
        <v>2031</v>
      </c>
      <c r="D121" s="374">
        <f>IF(F120+SUM(E$99:E120)=D$92,F120,D$92-SUM(E$99:E120))</f>
        <v>5583358.3397952672</v>
      </c>
      <c r="E121" s="522">
        <f>IF(+J96&lt;F120,J96,D121)</f>
        <v>282446.60975609755</v>
      </c>
      <c r="F121" s="523">
        <f t="shared" si="49"/>
        <v>5300911.73003917</v>
      </c>
      <c r="G121" s="523">
        <f t="shared" si="50"/>
        <v>5442135.0349172186</v>
      </c>
      <c r="H121" s="526">
        <f t="shared" si="51"/>
        <v>900206.35805558925</v>
      </c>
      <c r="I121" s="577">
        <f t="shared" si="52"/>
        <v>900206.35805558925</v>
      </c>
      <c r="J121" s="514">
        <f t="shared" si="31"/>
        <v>0</v>
      </c>
      <c r="K121" s="514"/>
      <c r="L121" s="525"/>
      <c r="M121" s="514">
        <f t="shared" si="33"/>
        <v>0</v>
      </c>
      <c r="N121" s="525"/>
      <c r="O121" s="514">
        <f t="shared" si="35"/>
        <v>0</v>
      </c>
      <c r="P121" s="514">
        <f t="shared" si="36"/>
        <v>0</v>
      </c>
      <c r="Q121" s="269"/>
    </row>
    <row r="122" spans="2:17">
      <c r="B122" s="195" t="str">
        <f t="shared" si="37"/>
        <v/>
      </c>
      <c r="C122" s="507">
        <f>IF(D93="","-",+C121+1)</f>
        <v>2032</v>
      </c>
      <c r="D122" s="374">
        <f>IF(F121+SUM(E$99:E121)=D$92,F121,D$92-SUM(E$99:E121))</f>
        <v>5300911.73003917</v>
      </c>
      <c r="E122" s="522">
        <f>IF(+J96&lt;F121,J96,D122)</f>
        <v>282446.60975609755</v>
      </c>
      <c r="F122" s="523">
        <f t="shared" si="49"/>
        <v>5018465.1202830728</v>
      </c>
      <c r="G122" s="523">
        <f t="shared" si="50"/>
        <v>5159688.4251611214</v>
      </c>
      <c r="H122" s="526">
        <f t="shared" si="51"/>
        <v>868144.64965778845</v>
      </c>
      <c r="I122" s="577">
        <f t="shared" si="52"/>
        <v>868144.64965778845</v>
      </c>
      <c r="J122" s="514">
        <f t="shared" si="31"/>
        <v>0</v>
      </c>
      <c r="K122" s="514"/>
      <c r="L122" s="525"/>
      <c r="M122" s="514">
        <f t="shared" si="33"/>
        <v>0</v>
      </c>
      <c r="N122" s="525"/>
      <c r="O122" s="514">
        <f t="shared" si="35"/>
        <v>0</v>
      </c>
      <c r="P122" s="514">
        <f t="shared" si="36"/>
        <v>0</v>
      </c>
      <c r="Q122" s="269"/>
    </row>
    <row r="123" spans="2:17">
      <c r="B123" s="195" t="str">
        <f t="shared" si="37"/>
        <v/>
      </c>
      <c r="C123" s="507">
        <f>IF(D93="","-",+C122+1)</f>
        <v>2033</v>
      </c>
      <c r="D123" s="374">
        <f>IF(F122+SUM(E$99:E122)=D$92,F122,D$92-SUM(E$99:E122))</f>
        <v>5018465.1202830728</v>
      </c>
      <c r="E123" s="522">
        <f>IF(+J96&lt;F122,J96,D123)</f>
        <v>282446.60975609755</v>
      </c>
      <c r="F123" s="523">
        <f t="shared" si="49"/>
        <v>4736018.5105269756</v>
      </c>
      <c r="G123" s="523">
        <f t="shared" si="50"/>
        <v>4877241.8154050242</v>
      </c>
      <c r="H123" s="526">
        <f t="shared" si="51"/>
        <v>836082.94125998765</v>
      </c>
      <c r="I123" s="577">
        <f t="shared" si="52"/>
        <v>836082.94125998765</v>
      </c>
      <c r="J123" s="514">
        <f t="shared" si="31"/>
        <v>0</v>
      </c>
      <c r="K123" s="514"/>
      <c r="L123" s="525"/>
      <c r="M123" s="514">
        <f t="shared" si="33"/>
        <v>0</v>
      </c>
      <c r="N123" s="525"/>
      <c r="O123" s="514">
        <f t="shared" si="35"/>
        <v>0</v>
      </c>
      <c r="P123" s="514">
        <f t="shared" si="36"/>
        <v>0</v>
      </c>
      <c r="Q123" s="269"/>
    </row>
    <row r="124" spans="2:17">
      <c r="B124" s="195" t="str">
        <f t="shared" si="37"/>
        <v/>
      </c>
      <c r="C124" s="507">
        <f>IF(D93="","-",+C123+1)</f>
        <v>2034</v>
      </c>
      <c r="D124" s="374">
        <f>IF(F123+SUM(E$99:E123)=D$92,F123,D$92-SUM(E$99:E123))</f>
        <v>4736018.5105269756</v>
      </c>
      <c r="E124" s="522">
        <f>IF(+J96&lt;F123,J96,D124)</f>
        <v>282446.60975609755</v>
      </c>
      <c r="F124" s="523">
        <f t="shared" si="49"/>
        <v>4453571.9007708784</v>
      </c>
      <c r="G124" s="523">
        <f t="shared" si="50"/>
        <v>4594795.205648927</v>
      </c>
      <c r="H124" s="526">
        <f t="shared" si="51"/>
        <v>804021.23286218685</v>
      </c>
      <c r="I124" s="577">
        <f t="shared" si="52"/>
        <v>804021.23286218685</v>
      </c>
      <c r="J124" s="514">
        <f t="shared" si="31"/>
        <v>0</v>
      </c>
      <c r="K124" s="514"/>
      <c r="L124" s="525"/>
      <c r="M124" s="514">
        <f t="shared" si="33"/>
        <v>0</v>
      </c>
      <c r="N124" s="525"/>
      <c r="O124" s="514">
        <f t="shared" si="35"/>
        <v>0</v>
      </c>
      <c r="P124" s="514">
        <f t="shared" si="36"/>
        <v>0</v>
      </c>
      <c r="Q124" s="269"/>
    </row>
    <row r="125" spans="2:17">
      <c r="B125" s="195" t="str">
        <f t="shared" si="37"/>
        <v/>
      </c>
      <c r="C125" s="507">
        <f>IF(D93="","-",+C124+1)</f>
        <v>2035</v>
      </c>
      <c r="D125" s="374">
        <f>IF(F124+SUM(E$99:E124)=D$92,F124,D$92-SUM(E$99:E124))</f>
        <v>4453571.9007708784</v>
      </c>
      <c r="E125" s="522">
        <f>IF(+J96&lt;F124,J96,D125)</f>
        <v>282446.60975609755</v>
      </c>
      <c r="F125" s="523">
        <f t="shared" si="49"/>
        <v>4171125.2910147808</v>
      </c>
      <c r="G125" s="523">
        <f t="shared" si="50"/>
        <v>4312348.5958928298</v>
      </c>
      <c r="H125" s="526">
        <f t="shared" si="51"/>
        <v>771959.52446438605</v>
      </c>
      <c r="I125" s="577">
        <f t="shared" si="52"/>
        <v>771959.52446438605</v>
      </c>
      <c r="J125" s="514">
        <f t="shared" si="31"/>
        <v>0</v>
      </c>
      <c r="K125" s="514"/>
      <c r="L125" s="525"/>
      <c r="M125" s="514">
        <f t="shared" si="33"/>
        <v>0</v>
      </c>
      <c r="N125" s="525"/>
      <c r="O125" s="514">
        <f t="shared" si="35"/>
        <v>0</v>
      </c>
      <c r="P125" s="514">
        <f t="shared" si="36"/>
        <v>0</v>
      </c>
      <c r="Q125" s="269"/>
    </row>
    <row r="126" spans="2:17">
      <c r="B126" s="195" t="str">
        <f t="shared" si="37"/>
        <v/>
      </c>
      <c r="C126" s="507">
        <f>IF(D93="","-",+C125+1)</f>
        <v>2036</v>
      </c>
      <c r="D126" s="374">
        <f>IF(F125+SUM(E$99:E125)=D$92,F125,D$92-SUM(E$99:E125))</f>
        <v>4171125.2910147808</v>
      </c>
      <c r="E126" s="522">
        <f>IF(+J96&lt;F125,J96,D126)</f>
        <v>282446.60975609755</v>
      </c>
      <c r="F126" s="523">
        <f t="shared" si="49"/>
        <v>3888678.6812586831</v>
      </c>
      <c r="G126" s="523">
        <f t="shared" si="50"/>
        <v>4029901.9861367317</v>
      </c>
      <c r="H126" s="526">
        <f t="shared" si="51"/>
        <v>739897.81606658513</v>
      </c>
      <c r="I126" s="577">
        <f t="shared" si="52"/>
        <v>739897.81606658513</v>
      </c>
      <c r="J126" s="514">
        <f t="shared" si="31"/>
        <v>0</v>
      </c>
      <c r="K126" s="514"/>
      <c r="L126" s="525"/>
      <c r="M126" s="514">
        <f t="shared" si="33"/>
        <v>0</v>
      </c>
      <c r="N126" s="525"/>
      <c r="O126" s="514">
        <f t="shared" si="35"/>
        <v>0</v>
      </c>
      <c r="P126" s="514">
        <f t="shared" si="36"/>
        <v>0</v>
      </c>
      <c r="Q126" s="269"/>
    </row>
    <row r="127" spans="2:17">
      <c r="B127" s="195" t="str">
        <f t="shared" si="37"/>
        <v/>
      </c>
      <c r="C127" s="507">
        <f>IF(D93="","-",+C126+1)</f>
        <v>2037</v>
      </c>
      <c r="D127" s="374">
        <f>IF(F126+SUM(E$99:E126)=D$92,F126,D$92-SUM(E$99:E126))</f>
        <v>3888678.6812586831</v>
      </c>
      <c r="E127" s="522">
        <f>IF(+J96&lt;F126,J96,D127)</f>
        <v>282446.60975609755</v>
      </c>
      <c r="F127" s="523">
        <f t="shared" si="49"/>
        <v>3606232.0715025854</v>
      </c>
      <c r="G127" s="523">
        <f t="shared" si="50"/>
        <v>3747455.3763806345</v>
      </c>
      <c r="H127" s="526">
        <f t="shared" si="51"/>
        <v>707836.10766878433</v>
      </c>
      <c r="I127" s="577">
        <f t="shared" si="52"/>
        <v>707836.10766878433</v>
      </c>
      <c r="J127" s="514">
        <f t="shared" si="31"/>
        <v>0</v>
      </c>
      <c r="K127" s="514"/>
      <c r="L127" s="525"/>
      <c r="M127" s="514">
        <f t="shared" si="33"/>
        <v>0</v>
      </c>
      <c r="N127" s="525"/>
      <c r="O127" s="514">
        <f t="shared" si="35"/>
        <v>0</v>
      </c>
      <c r="P127" s="514">
        <f t="shared" si="36"/>
        <v>0</v>
      </c>
      <c r="Q127" s="269"/>
    </row>
    <row r="128" spans="2:17">
      <c r="B128" s="195" t="str">
        <f t="shared" si="37"/>
        <v/>
      </c>
      <c r="C128" s="507">
        <f>IF(D93="","-",+C127+1)</f>
        <v>2038</v>
      </c>
      <c r="D128" s="374">
        <f>IF(F127+SUM(E$99:E127)=D$92,F127,D$92-SUM(E$99:E127))</f>
        <v>3606232.0715025854</v>
      </c>
      <c r="E128" s="522">
        <f>IF(+J96&lt;F127,J96,D128)</f>
        <v>282446.60975609755</v>
      </c>
      <c r="F128" s="523">
        <f t="shared" si="49"/>
        <v>3323785.4617464878</v>
      </c>
      <c r="G128" s="523">
        <f t="shared" si="50"/>
        <v>3465008.7666245364</v>
      </c>
      <c r="H128" s="526">
        <f t="shared" si="51"/>
        <v>675774.39927098341</v>
      </c>
      <c r="I128" s="577">
        <f t="shared" si="52"/>
        <v>675774.39927098341</v>
      </c>
      <c r="J128" s="514">
        <f t="shared" si="31"/>
        <v>0</v>
      </c>
      <c r="K128" s="514"/>
      <c r="L128" s="525"/>
      <c r="M128" s="514">
        <f t="shared" si="33"/>
        <v>0</v>
      </c>
      <c r="N128" s="525"/>
      <c r="O128" s="514">
        <f t="shared" si="35"/>
        <v>0</v>
      </c>
      <c r="P128" s="514">
        <f t="shared" si="36"/>
        <v>0</v>
      </c>
      <c r="Q128" s="269"/>
    </row>
    <row r="129" spans="2:17">
      <c r="B129" s="195" t="str">
        <f t="shared" si="37"/>
        <v/>
      </c>
      <c r="C129" s="507">
        <f>IF(D93="","-",+C128+1)</f>
        <v>2039</v>
      </c>
      <c r="D129" s="374">
        <f>IF(F128+SUM(E$99:E128)=D$92,F128,D$92-SUM(E$99:E128))</f>
        <v>3323785.4617464878</v>
      </c>
      <c r="E129" s="522">
        <f>IF(+J96&lt;F128,J96,D129)</f>
        <v>282446.60975609755</v>
      </c>
      <c r="F129" s="523">
        <f t="shared" si="49"/>
        <v>3041338.8519903901</v>
      </c>
      <c r="G129" s="523">
        <f t="shared" si="50"/>
        <v>3182562.1568684392</v>
      </c>
      <c r="H129" s="526">
        <f t="shared" si="51"/>
        <v>643712.69087318261</v>
      </c>
      <c r="I129" s="577">
        <f t="shared" si="52"/>
        <v>643712.69087318261</v>
      </c>
      <c r="J129" s="514">
        <f t="shared" si="31"/>
        <v>0</v>
      </c>
      <c r="K129" s="514"/>
      <c r="L129" s="525"/>
      <c r="M129" s="514">
        <f t="shared" si="33"/>
        <v>0</v>
      </c>
      <c r="N129" s="525"/>
      <c r="O129" s="514">
        <f t="shared" si="35"/>
        <v>0</v>
      </c>
      <c r="P129" s="514">
        <f t="shared" si="36"/>
        <v>0</v>
      </c>
      <c r="Q129" s="269"/>
    </row>
    <row r="130" spans="2:17">
      <c r="B130" s="195" t="str">
        <f t="shared" si="37"/>
        <v/>
      </c>
      <c r="C130" s="507">
        <f>IF(D93="","-",+C129+1)</f>
        <v>2040</v>
      </c>
      <c r="D130" s="374">
        <f>IF(F129+SUM(E$99:E129)=D$92,F129,D$92-SUM(E$99:E129))</f>
        <v>3041338.8519903901</v>
      </c>
      <c r="E130" s="522">
        <f>IF(+J96&lt;F129,J96,D130)</f>
        <v>282446.60975609755</v>
      </c>
      <c r="F130" s="523">
        <f t="shared" si="49"/>
        <v>2758892.2422342924</v>
      </c>
      <c r="G130" s="523">
        <f t="shared" si="50"/>
        <v>2900115.547112341</v>
      </c>
      <c r="H130" s="526">
        <f t="shared" si="51"/>
        <v>611650.98247538169</v>
      </c>
      <c r="I130" s="577">
        <f t="shared" si="52"/>
        <v>611650.98247538169</v>
      </c>
      <c r="J130" s="514">
        <f t="shared" si="31"/>
        <v>0</v>
      </c>
      <c r="K130" s="514"/>
      <c r="L130" s="525"/>
      <c r="M130" s="514">
        <f t="shared" si="33"/>
        <v>0</v>
      </c>
      <c r="N130" s="525"/>
      <c r="O130" s="514">
        <f t="shared" si="35"/>
        <v>0</v>
      </c>
      <c r="P130" s="514">
        <f t="shared" si="36"/>
        <v>0</v>
      </c>
      <c r="Q130" s="269"/>
    </row>
    <row r="131" spans="2:17">
      <c r="B131" s="195" t="str">
        <f t="shared" si="37"/>
        <v/>
      </c>
      <c r="C131" s="507">
        <f>IF(D93="","-",+C130+1)</f>
        <v>2041</v>
      </c>
      <c r="D131" s="374">
        <f>IF(F130+SUM(E$99:E130)=D$92,F130,D$92-SUM(E$99:E130))</f>
        <v>2758892.2422342924</v>
      </c>
      <c r="E131" s="522">
        <f>IF(+J96&lt;F130,J96,D131)</f>
        <v>282446.60975609755</v>
      </c>
      <c r="F131" s="523">
        <f t="shared" ref="F131:F154" si="53">+D131-E131</f>
        <v>2476445.6324781948</v>
      </c>
      <c r="G131" s="523">
        <f t="shared" ref="G131:G154" si="54">+(F131+D131)/2</f>
        <v>2617668.9373562438</v>
      </c>
      <c r="H131" s="526">
        <f t="shared" si="51"/>
        <v>579589.27407758089</v>
      </c>
      <c r="I131" s="577">
        <f t="shared" si="52"/>
        <v>579589.27407758089</v>
      </c>
      <c r="J131" s="514">
        <f t="shared" ref="J131:J154" si="55">+I131-H131</f>
        <v>0</v>
      </c>
      <c r="K131" s="514"/>
      <c r="L131" s="525"/>
      <c r="M131" s="514">
        <f t="shared" ref="M131:M154" si="56">IF(L131&lt;&gt;0,+H131-L131,0)</f>
        <v>0</v>
      </c>
      <c r="N131" s="525"/>
      <c r="O131" s="514">
        <f t="shared" ref="O131:O154" si="57">IF(N131&lt;&gt;0,+I131-N131,0)</f>
        <v>0</v>
      </c>
      <c r="P131" s="514">
        <f t="shared" ref="P131:P154" si="58">+O131-M131</f>
        <v>0</v>
      </c>
      <c r="Q131" s="269"/>
    </row>
    <row r="132" spans="2:17">
      <c r="B132" s="195" t="str">
        <f t="shared" si="37"/>
        <v/>
      </c>
      <c r="C132" s="507">
        <f>IF(D93="","-",+C131+1)</f>
        <v>2042</v>
      </c>
      <c r="D132" s="374">
        <f>IF(F131+SUM(E$99:E131)=D$92,F131,D$92-SUM(E$99:E131))</f>
        <v>2476445.6324781948</v>
      </c>
      <c r="E132" s="522">
        <f>IF(+J96&lt;F131,J96,D132)</f>
        <v>282446.60975609755</v>
      </c>
      <c r="F132" s="523">
        <f t="shared" si="53"/>
        <v>2193999.0227220971</v>
      </c>
      <c r="G132" s="523">
        <f t="shared" si="54"/>
        <v>2335222.3276001457</v>
      </c>
      <c r="H132" s="526">
        <f t="shared" si="51"/>
        <v>547527.56567977997</v>
      </c>
      <c r="I132" s="577">
        <f t="shared" si="52"/>
        <v>547527.56567977997</v>
      </c>
      <c r="J132" s="514">
        <f t="shared" si="55"/>
        <v>0</v>
      </c>
      <c r="K132" s="514"/>
      <c r="L132" s="525"/>
      <c r="M132" s="514">
        <f t="shared" si="56"/>
        <v>0</v>
      </c>
      <c r="N132" s="525"/>
      <c r="O132" s="514">
        <f t="shared" si="57"/>
        <v>0</v>
      </c>
      <c r="P132" s="514">
        <f t="shared" si="58"/>
        <v>0</v>
      </c>
      <c r="Q132" s="269"/>
    </row>
    <row r="133" spans="2:17">
      <c r="B133" s="195" t="str">
        <f t="shared" si="37"/>
        <v/>
      </c>
      <c r="C133" s="507">
        <f>IF(D93="","-",+C132+1)</f>
        <v>2043</v>
      </c>
      <c r="D133" s="374">
        <f>IF(F132+SUM(E$99:E132)=D$92,F132,D$92-SUM(E$99:E132))</f>
        <v>2193999.0227220971</v>
      </c>
      <c r="E133" s="522">
        <f>IF(+J96&lt;F132,J96,D133)</f>
        <v>282446.60975609755</v>
      </c>
      <c r="F133" s="523">
        <f t="shared" si="53"/>
        <v>1911552.4129659995</v>
      </c>
      <c r="G133" s="523">
        <f t="shared" si="54"/>
        <v>2052775.7178440483</v>
      </c>
      <c r="H133" s="526">
        <f t="shared" si="51"/>
        <v>515465.85728197917</v>
      </c>
      <c r="I133" s="577">
        <f t="shared" si="52"/>
        <v>515465.85728197917</v>
      </c>
      <c r="J133" s="514">
        <f t="shared" si="55"/>
        <v>0</v>
      </c>
      <c r="K133" s="514"/>
      <c r="L133" s="525"/>
      <c r="M133" s="514">
        <f t="shared" si="56"/>
        <v>0</v>
      </c>
      <c r="N133" s="525"/>
      <c r="O133" s="514">
        <f t="shared" si="57"/>
        <v>0</v>
      </c>
      <c r="P133" s="514">
        <f t="shared" si="58"/>
        <v>0</v>
      </c>
      <c r="Q133" s="269"/>
    </row>
    <row r="134" spans="2:17">
      <c r="B134" s="195" t="str">
        <f t="shared" si="37"/>
        <v/>
      </c>
      <c r="C134" s="507">
        <f>IF(D93="","-",+C133+1)</f>
        <v>2044</v>
      </c>
      <c r="D134" s="374">
        <f>IF(F133+SUM(E$99:E133)=D$92,F133,D$92-SUM(E$99:E133))</f>
        <v>1911552.4129659995</v>
      </c>
      <c r="E134" s="522">
        <f>IF(+J96&lt;F133,J96,D134)</f>
        <v>282446.60975609755</v>
      </c>
      <c r="F134" s="523">
        <f t="shared" si="53"/>
        <v>1629105.8032099018</v>
      </c>
      <c r="G134" s="523">
        <f t="shared" si="54"/>
        <v>1770329.1080879506</v>
      </c>
      <c r="H134" s="526">
        <f t="shared" si="51"/>
        <v>483404.14888417826</v>
      </c>
      <c r="I134" s="577">
        <f t="shared" si="52"/>
        <v>483404.14888417826</v>
      </c>
      <c r="J134" s="514">
        <f t="shared" si="55"/>
        <v>0</v>
      </c>
      <c r="K134" s="514"/>
      <c r="L134" s="525"/>
      <c r="M134" s="514">
        <f t="shared" si="56"/>
        <v>0</v>
      </c>
      <c r="N134" s="525"/>
      <c r="O134" s="514">
        <f t="shared" si="57"/>
        <v>0</v>
      </c>
      <c r="P134" s="514">
        <f t="shared" si="58"/>
        <v>0</v>
      </c>
      <c r="Q134" s="269"/>
    </row>
    <row r="135" spans="2:17">
      <c r="B135" s="195" t="str">
        <f t="shared" si="37"/>
        <v/>
      </c>
      <c r="C135" s="507">
        <f>IF(D93="","-",+C134+1)</f>
        <v>2045</v>
      </c>
      <c r="D135" s="374">
        <f>IF(F134+SUM(E$99:E134)=D$92,F134,D$92-SUM(E$99:E134))</f>
        <v>1629105.8032099018</v>
      </c>
      <c r="E135" s="522">
        <f>IF(+J96&lt;F134,J96,D135)</f>
        <v>282446.60975609755</v>
      </c>
      <c r="F135" s="523">
        <f t="shared" si="53"/>
        <v>1346659.1934538041</v>
      </c>
      <c r="G135" s="523">
        <f t="shared" si="54"/>
        <v>1487882.498331853</v>
      </c>
      <c r="H135" s="526">
        <f t="shared" si="51"/>
        <v>451342.44048637745</v>
      </c>
      <c r="I135" s="577">
        <f t="shared" si="52"/>
        <v>451342.44048637745</v>
      </c>
      <c r="J135" s="514">
        <f t="shared" si="55"/>
        <v>0</v>
      </c>
      <c r="K135" s="514"/>
      <c r="L135" s="525"/>
      <c r="M135" s="514">
        <f t="shared" si="56"/>
        <v>0</v>
      </c>
      <c r="N135" s="525"/>
      <c r="O135" s="514">
        <f t="shared" si="57"/>
        <v>0</v>
      </c>
      <c r="P135" s="514">
        <f t="shared" si="58"/>
        <v>0</v>
      </c>
      <c r="Q135" s="269"/>
    </row>
    <row r="136" spans="2:17">
      <c r="B136" s="195" t="str">
        <f t="shared" si="37"/>
        <v/>
      </c>
      <c r="C136" s="507">
        <f>IF(D93="","-",+C135+1)</f>
        <v>2046</v>
      </c>
      <c r="D136" s="374">
        <f>IF(F135+SUM(E$99:E135)=D$92,F135,D$92-SUM(E$99:E135))</f>
        <v>1346659.1934538041</v>
      </c>
      <c r="E136" s="522">
        <f>IF(+J96&lt;F135,J96,D136)</f>
        <v>282446.60975609755</v>
      </c>
      <c r="F136" s="523">
        <f t="shared" si="53"/>
        <v>1064212.5836977065</v>
      </c>
      <c r="G136" s="523">
        <f t="shared" si="54"/>
        <v>1205435.8885757553</v>
      </c>
      <c r="H136" s="526">
        <f t="shared" si="51"/>
        <v>419280.73208857659</v>
      </c>
      <c r="I136" s="577">
        <f t="shared" si="52"/>
        <v>419280.73208857659</v>
      </c>
      <c r="J136" s="514">
        <f t="shared" si="55"/>
        <v>0</v>
      </c>
      <c r="K136" s="514"/>
      <c r="L136" s="525"/>
      <c r="M136" s="514">
        <f t="shared" si="56"/>
        <v>0</v>
      </c>
      <c r="N136" s="525"/>
      <c r="O136" s="514">
        <f t="shared" si="57"/>
        <v>0</v>
      </c>
      <c r="P136" s="514">
        <f t="shared" si="58"/>
        <v>0</v>
      </c>
      <c r="Q136" s="269"/>
    </row>
    <row r="137" spans="2:17">
      <c r="B137" s="195" t="str">
        <f t="shared" si="37"/>
        <v/>
      </c>
      <c r="C137" s="507">
        <f>IF(D93="","-",+C136+1)</f>
        <v>2047</v>
      </c>
      <c r="D137" s="374">
        <f>IF(F136+SUM(E$99:E136)=D$92,F136,D$92-SUM(E$99:E136))</f>
        <v>1064212.5836977065</v>
      </c>
      <c r="E137" s="522">
        <f>IF(+J96&lt;F136,J96,D137)</f>
        <v>282446.60975609755</v>
      </c>
      <c r="F137" s="523">
        <f t="shared" si="53"/>
        <v>781765.97394160891</v>
      </c>
      <c r="G137" s="523">
        <f t="shared" si="54"/>
        <v>922989.27881965763</v>
      </c>
      <c r="H137" s="526">
        <f t="shared" si="51"/>
        <v>387219.02369077574</v>
      </c>
      <c r="I137" s="577">
        <f t="shared" si="52"/>
        <v>387219.02369077574</v>
      </c>
      <c r="J137" s="514">
        <f t="shared" si="55"/>
        <v>0</v>
      </c>
      <c r="K137" s="514"/>
      <c r="L137" s="525"/>
      <c r="M137" s="514">
        <f t="shared" si="56"/>
        <v>0</v>
      </c>
      <c r="N137" s="525"/>
      <c r="O137" s="514">
        <f t="shared" si="57"/>
        <v>0</v>
      </c>
      <c r="P137" s="514">
        <f t="shared" si="58"/>
        <v>0</v>
      </c>
      <c r="Q137" s="269"/>
    </row>
    <row r="138" spans="2:17">
      <c r="B138" s="195" t="str">
        <f t="shared" si="37"/>
        <v/>
      </c>
      <c r="C138" s="507">
        <f>IF(D93="","-",+C137+1)</f>
        <v>2048</v>
      </c>
      <c r="D138" s="374">
        <f>IF(F137+SUM(E$99:E137)=D$92,F137,D$92-SUM(E$99:E137))</f>
        <v>781765.97394160891</v>
      </c>
      <c r="E138" s="522">
        <f>IF(+J96&lt;F137,J96,D138)</f>
        <v>282446.60975609755</v>
      </c>
      <c r="F138" s="523">
        <f t="shared" si="53"/>
        <v>499319.36418551137</v>
      </c>
      <c r="G138" s="523">
        <f t="shared" si="54"/>
        <v>640542.6690635602</v>
      </c>
      <c r="H138" s="526">
        <f t="shared" si="51"/>
        <v>355157.31529297488</v>
      </c>
      <c r="I138" s="577">
        <f t="shared" si="52"/>
        <v>355157.31529297488</v>
      </c>
      <c r="J138" s="514">
        <f t="shared" si="55"/>
        <v>0</v>
      </c>
      <c r="K138" s="514"/>
      <c r="L138" s="525"/>
      <c r="M138" s="514">
        <f t="shared" si="56"/>
        <v>0</v>
      </c>
      <c r="N138" s="525"/>
      <c r="O138" s="514">
        <f t="shared" si="57"/>
        <v>0</v>
      </c>
      <c r="P138" s="514">
        <f t="shared" si="58"/>
        <v>0</v>
      </c>
      <c r="Q138" s="269"/>
    </row>
    <row r="139" spans="2:17">
      <c r="B139" s="195" t="str">
        <f t="shared" si="37"/>
        <v/>
      </c>
      <c r="C139" s="507">
        <f>IF(D93="","-",+C138+1)</f>
        <v>2049</v>
      </c>
      <c r="D139" s="374">
        <f>IF(F138+SUM(E$99:E138)=D$92,F138,D$92-SUM(E$99:E138))</f>
        <v>499319.36418551137</v>
      </c>
      <c r="E139" s="522">
        <f>IF(+J96&lt;F138,J96,D139)</f>
        <v>282446.60975609755</v>
      </c>
      <c r="F139" s="523">
        <f t="shared" si="53"/>
        <v>216872.75442941382</v>
      </c>
      <c r="G139" s="523">
        <f t="shared" si="54"/>
        <v>358096.05930746259</v>
      </c>
      <c r="H139" s="526">
        <f t="shared" si="51"/>
        <v>323095.60689517402</v>
      </c>
      <c r="I139" s="577">
        <f t="shared" si="52"/>
        <v>323095.60689517402</v>
      </c>
      <c r="J139" s="514">
        <f t="shared" si="55"/>
        <v>0</v>
      </c>
      <c r="K139" s="514"/>
      <c r="L139" s="525"/>
      <c r="M139" s="514">
        <f t="shared" si="56"/>
        <v>0</v>
      </c>
      <c r="N139" s="525"/>
      <c r="O139" s="514">
        <f t="shared" si="57"/>
        <v>0</v>
      </c>
      <c r="P139" s="514">
        <f t="shared" si="58"/>
        <v>0</v>
      </c>
      <c r="Q139" s="269"/>
    </row>
    <row r="140" spans="2:17">
      <c r="B140" s="195" t="str">
        <f t="shared" si="37"/>
        <v/>
      </c>
      <c r="C140" s="507">
        <f>IF(D93="","-",+C139+1)</f>
        <v>2050</v>
      </c>
      <c r="D140" s="374">
        <f>IF(F139+SUM(E$99:E139)=D$92,F139,D$92-SUM(E$99:E139))</f>
        <v>216872.75442941382</v>
      </c>
      <c r="E140" s="522">
        <f>IF(+J96&lt;F139,J96,D140)</f>
        <v>216872.75442941382</v>
      </c>
      <c r="F140" s="523">
        <f t="shared" si="53"/>
        <v>0</v>
      </c>
      <c r="G140" s="523">
        <f t="shared" si="54"/>
        <v>108436.37721470691</v>
      </c>
      <c r="H140" s="526">
        <f t="shared" si="51"/>
        <v>229181.82589950186</v>
      </c>
      <c r="I140" s="577">
        <f t="shared" si="52"/>
        <v>229181.82589950186</v>
      </c>
      <c r="J140" s="514">
        <f t="shared" si="55"/>
        <v>0</v>
      </c>
      <c r="K140" s="514"/>
      <c r="L140" s="525"/>
      <c r="M140" s="514">
        <f t="shared" si="56"/>
        <v>0</v>
      </c>
      <c r="N140" s="525"/>
      <c r="O140" s="514">
        <f t="shared" si="57"/>
        <v>0</v>
      </c>
      <c r="P140" s="514">
        <f t="shared" si="58"/>
        <v>0</v>
      </c>
      <c r="Q140" s="269"/>
    </row>
    <row r="141" spans="2:17">
      <c r="B141" s="195" t="str">
        <f t="shared" si="37"/>
        <v/>
      </c>
      <c r="C141" s="507">
        <f>IF(D93="","-",+C140+1)</f>
        <v>2051</v>
      </c>
      <c r="D141" s="374">
        <f>IF(F140+SUM(E$99:E140)=D$92,F140,D$92-SUM(E$99:E140))</f>
        <v>0</v>
      </c>
      <c r="E141" s="522">
        <f>IF(+J96&lt;F140,J96,D141)</f>
        <v>0</v>
      </c>
      <c r="F141" s="523">
        <f t="shared" si="53"/>
        <v>0</v>
      </c>
      <c r="G141" s="523">
        <f t="shared" si="54"/>
        <v>0</v>
      </c>
      <c r="H141" s="526">
        <f t="shared" si="51"/>
        <v>0</v>
      </c>
      <c r="I141" s="577">
        <f t="shared" si="52"/>
        <v>0</v>
      </c>
      <c r="J141" s="514">
        <f t="shared" si="55"/>
        <v>0</v>
      </c>
      <c r="K141" s="514"/>
      <c r="L141" s="525"/>
      <c r="M141" s="514">
        <f t="shared" si="56"/>
        <v>0</v>
      </c>
      <c r="N141" s="525"/>
      <c r="O141" s="514">
        <f t="shared" si="57"/>
        <v>0</v>
      </c>
      <c r="P141" s="514">
        <f t="shared" si="58"/>
        <v>0</v>
      </c>
      <c r="Q141" s="269"/>
    </row>
    <row r="142" spans="2:17">
      <c r="B142" s="195" t="str">
        <f t="shared" si="37"/>
        <v/>
      </c>
      <c r="C142" s="507">
        <f>IF(D93="","-",+C141+1)</f>
        <v>2052</v>
      </c>
      <c r="D142" s="374">
        <f>IF(F141+SUM(E$99:E141)=D$92,F141,D$92-SUM(E$99:E141))</f>
        <v>0</v>
      </c>
      <c r="E142" s="522">
        <f>IF(+J96&lt;F141,J96,D142)</f>
        <v>0</v>
      </c>
      <c r="F142" s="523">
        <f t="shared" si="53"/>
        <v>0</v>
      </c>
      <c r="G142" s="523">
        <f t="shared" si="54"/>
        <v>0</v>
      </c>
      <c r="H142" s="526">
        <f t="shared" si="51"/>
        <v>0</v>
      </c>
      <c r="I142" s="577">
        <f t="shared" si="52"/>
        <v>0</v>
      </c>
      <c r="J142" s="514">
        <f t="shared" si="55"/>
        <v>0</v>
      </c>
      <c r="K142" s="514"/>
      <c r="L142" s="525"/>
      <c r="M142" s="514">
        <f t="shared" si="56"/>
        <v>0</v>
      </c>
      <c r="N142" s="525"/>
      <c r="O142" s="514">
        <f t="shared" si="57"/>
        <v>0</v>
      </c>
      <c r="P142" s="514">
        <f t="shared" si="58"/>
        <v>0</v>
      </c>
      <c r="Q142" s="269"/>
    </row>
    <row r="143" spans="2:17">
      <c r="B143" s="195" t="str">
        <f t="shared" si="37"/>
        <v/>
      </c>
      <c r="C143" s="507">
        <f>IF(D93="","-",+C142+1)</f>
        <v>2053</v>
      </c>
      <c r="D143" s="374">
        <f>IF(F142+SUM(E$99:E142)=D$92,F142,D$92-SUM(E$99:E142))</f>
        <v>0</v>
      </c>
      <c r="E143" s="522">
        <f>IF(+J96&lt;F142,J96,D143)</f>
        <v>0</v>
      </c>
      <c r="F143" s="523">
        <f t="shared" si="53"/>
        <v>0</v>
      </c>
      <c r="G143" s="523">
        <f t="shared" si="54"/>
        <v>0</v>
      </c>
      <c r="H143" s="526">
        <f t="shared" si="51"/>
        <v>0</v>
      </c>
      <c r="I143" s="577">
        <f t="shared" si="52"/>
        <v>0</v>
      </c>
      <c r="J143" s="514">
        <f t="shared" si="55"/>
        <v>0</v>
      </c>
      <c r="K143" s="514"/>
      <c r="L143" s="525"/>
      <c r="M143" s="514">
        <f t="shared" si="56"/>
        <v>0</v>
      </c>
      <c r="N143" s="525"/>
      <c r="O143" s="514">
        <f t="shared" si="57"/>
        <v>0</v>
      </c>
      <c r="P143" s="514">
        <f t="shared" si="58"/>
        <v>0</v>
      </c>
      <c r="Q143" s="269"/>
    </row>
    <row r="144" spans="2:17">
      <c r="B144" s="195" t="str">
        <f t="shared" si="37"/>
        <v/>
      </c>
      <c r="C144" s="507">
        <f>IF(D93="","-",+C143+1)</f>
        <v>2054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53"/>
        <v>0</v>
      </c>
      <c r="G144" s="523">
        <f t="shared" si="54"/>
        <v>0</v>
      </c>
      <c r="H144" s="526">
        <f t="shared" si="51"/>
        <v>0</v>
      </c>
      <c r="I144" s="577">
        <f t="shared" si="52"/>
        <v>0</v>
      </c>
      <c r="J144" s="514">
        <f t="shared" si="55"/>
        <v>0</v>
      </c>
      <c r="K144" s="514"/>
      <c r="L144" s="525"/>
      <c r="M144" s="514">
        <f t="shared" si="56"/>
        <v>0</v>
      </c>
      <c r="N144" s="525"/>
      <c r="O144" s="514">
        <f t="shared" si="57"/>
        <v>0</v>
      </c>
      <c r="P144" s="514">
        <f t="shared" si="58"/>
        <v>0</v>
      </c>
      <c r="Q144" s="269"/>
    </row>
    <row r="145" spans="2:17">
      <c r="B145" s="195" t="str">
        <f t="shared" si="37"/>
        <v/>
      </c>
      <c r="C145" s="507">
        <f>IF(D93="","-",+C144+1)</f>
        <v>2055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53"/>
        <v>0</v>
      </c>
      <c r="G145" s="523">
        <f t="shared" si="54"/>
        <v>0</v>
      </c>
      <c r="H145" s="526">
        <f t="shared" si="51"/>
        <v>0</v>
      </c>
      <c r="I145" s="577">
        <f t="shared" si="52"/>
        <v>0</v>
      </c>
      <c r="J145" s="514">
        <f t="shared" si="55"/>
        <v>0</v>
      </c>
      <c r="K145" s="514"/>
      <c r="L145" s="525"/>
      <c r="M145" s="514">
        <f t="shared" si="56"/>
        <v>0</v>
      </c>
      <c r="N145" s="525"/>
      <c r="O145" s="514">
        <f t="shared" si="57"/>
        <v>0</v>
      </c>
      <c r="P145" s="514">
        <f t="shared" si="58"/>
        <v>0</v>
      </c>
      <c r="Q145" s="269"/>
    </row>
    <row r="146" spans="2:17">
      <c r="B146" s="195" t="str">
        <f t="shared" si="37"/>
        <v/>
      </c>
      <c r="C146" s="507">
        <f>IF(D93="","-",+C145+1)</f>
        <v>2056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53"/>
        <v>0</v>
      </c>
      <c r="G146" s="523">
        <f t="shared" si="54"/>
        <v>0</v>
      </c>
      <c r="H146" s="526">
        <f t="shared" si="51"/>
        <v>0</v>
      </c>
      <c r="I146" s="577">
        <f t="shared" si="52"/>
        <v>0</v>
      </c>
      <c r="J146" s="514">
        <f t="shared" si="55"/>
        <v>0</v>
      </c>
      <c r="K146" s="514"/>
      <c r="L146" s="525"/>
      <c r="M146" s="514">
        <f t="shared" si="56"/>
        <v>0</v>
      </c>
      <c r="N146" s="525"/>
      <c r="O146" s="514">
        <f t="shared" si="57"/>
        <v>0</v>
      </c>
      <c r="P146" s="514">
        <f t="shared" si="58"/>
        <v>0</v>
      </c>
      <c r="Q146" s="269"/>
    </row>
    <row r="147" spans="2:17">
      <c r="B147" s="195" t="str">
        <f t="shared" si="37"/>
        <v/>
      </c>
      <c r="C147" s="507">
        <f>IF(D93="","-",+C146+1)</f>
        <v>2057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53"/>
        <v>0</v>
      </c>
      <c r="G147" s="523">
        <f t="shared" si="54"/>
        <v>0</v>
      </c>
      <c r="H147" s="526">
        <f t="shared" si="51"/>
        <v>0</v>
      </c>
      <c r="I147" s="577">
        <f t="shared" si="52"/>
        <v>0</v>
      </c>
      <c r="J147" s="514">
        <f t="shared" si="55"/>
        <v>0</v>
      </c>
      <c r="K147" s="514"/>
      <c r="L147" s="525"/>
      <c r="M147" s="514">
        <f t="shared" si="56"/>
        <v>0</v>
      </c>
      <c r="N147" s="525"/>
      <c r="O147" s="514">
        <f t="shared" si="57"/>
        <v>0</v>
      </c>
      <c r="P147" s="514">
        <f t="shared" si="58"/>
        <v>0</v>
      </c>
      <c r="Q147" s="269"/>
    </row>
    <row r="148" spans="2:17">
      <c r="B148" s="195" t="str">
        <f t="shared" si="37"/>
        <v/>
      </c>
      <c r="C148" s="507">
        <f>IF(D93="","-",+C147+1)</f>
        <v>2058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53"/>
        <v>0</v>
      </c>
      <c r="G148" s="523">
        <f t="shared" si="54"/>
        <v>0</v>
      </c>
      <c r="H148" s="526">
        <f t="shared" si="51"/>
        <v>0</v>
      </c>
      <c r="I148" s="577">
        <f t="shared" si="52"/>
        <v>0</v>
      </c>
      <c r="J148" s="514">
        <f t="shared" si="55"/>
        <v>0</v>
      </c>
      <c r="K148" s="514"/>
      <c r="L148" s="525"/>
      <c r="M148" s="514">
        <f t="shared" si="56"/>
        <v>0</v>
      </c>
      <c r="N148" s="525"/>
      <c r="O148" s="514">
        <f t="shared" si="57"/>
        <v>0</v>
      </c>
      <c r="P148" s="514">
        <f t="shared" si="58"/>
        <v>0</v>
      </c>
      <c r="Q148" s="269"/>
    </row>
    <row r="149" spans="2:17">
      <c r="B149" s="195" t="str">
        <f t="shared" si="37"/>
        <v/>
      </c>
      <c r="C149" s="507">
        <f>IF(D93="","-",+C148+1)</f>
        <v>2059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53"/>
        <v>0</v>
      </c>
      <c r="G149" s="523">
        <f t="shared" si="54"/>
        <v>0</v>
      </c>
      <c r="H149" s="526">
        <f t="shared" si="51"/>
        <v>0</v>
      </c>
      <c r="I149" s="577">
        <f t="shared" si="52"/>
        <v>0</v>
      </c>
      <c r="J149" s="514">
        <f t="shared" si="55"/>
        <v>0</v>
      </c>
      <c r="K149" s="514"/>
      <c r="L149" s="525"/>
      <c r="M149" s="514">
        <f t="shared" si="56"/>
        <v>0</v>
      </c>
      <c r="N149" s="525"/>
      <c r="O149" s="514">
        <f t="shared" si="57"/>
        <v>0</v>
      </c>
      <c r="P149" s="514">
        <f t="shared" si="58"/>
        <v>0</v>
      </c>
      <c r="Q149" s="269"/>
    </row>
    <row r="150" spans="2:17">
      <c r="B150" s="195" t="str">
        <f t="shared" si="37"/>
        <v/>
      </c>
      <c r="C150" s="507">
        <f>IF(D93="","-",+C149+1)</f>
        <v>2060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53"/>
        <v>0</v>
      </c>
      <c r="G150" s="523">
        <f t="shared" si="54"/>
        <v>0</v>
      </c>
      <c r="H150" s="526">
        <f t="shared" si="51"/>
        <v>0</v>
      </c>
      <c r="I150" s="577">
        <f t="shared" si="52"/>
        <v>0</v>
      </c>
      <c r="J150" s="514">
        <f t="shared" si="55"/>
        <v>0</v>
      </c>
      <c r="K150" s="514"/>
      <c r="L150" s="525"/>
      <c r="M150" s="514">
        <f t="shared" si="56"/>
        <v>0</v>
      </c>
      <c r="N150" s="525"/>
      <c r="O150" s="514">
        <f t="shared" si="57"/>
        <v>0</v>
      </c>
      <c r="P150" s="514">
        <f t="shared" si="58"/>
        <v>0</v>
      </c>
      <c r="Q150" s="269"/>
    </row>
    <row r="151" spans="2:17">
      <c r="B151" s="195" t="str">
        <f t="shared" si="37"/>
        <v/>
      </c>
      <c r="C151" s="507">
        <f>IF(D93="","-",+C150+1)</f>
        <v>2061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53"/>
        <v>0</v>
      </c>
      <c r="G151" s="523">
        <f t="shared" si="54"/>
        <v>0</v>
      </c>
      <c r="H151" s="526">
        <f t="shared" si="51"/>
        <v>0</v>
      </c>
      <c r="I151" s="577">
        <f t="shared" si="52"/>
        <v>0</v>
      </c>
      <c r="J151" s="514">
        <f t="shared" si="55"/>
        <v>0</v>
      </c>
      <c r="K151" s="514"/>
      <c r="L151" s="525"/>
      <c r="M151" s="514">
        <f t="shared" si="56"/>
        <v>0</v>
      </c>
      <c r="N151" s="525"/>
      <c r="O151" s="514">
        <f t="shared" si="57"/>
        <v>0</v>
      </c>
      <c r="P151" s="514">
        <f t="shared" si="58"/>
        <v>0</v>
      </c>
      <c r="Q151" s="269"/>
    </row>
    <row r="152" spans="2:17">
      <c r="B152" s="195" t="str">
        <f t="shared" si="37"/>
        <v/>
      </c>
      <c r="C152" s="507">
        <f>IF(D93="","-",+C151+1)</f>
        <v>2062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53"/>
        <v>0</v>
      </c>
      <c r="G152" s="523">
        <f t="shared" si="54"/>
        <v>0</v>
      </c>
      <c r="H152" s="526">
        <f t="shared" si="51"/>
        <v>0</v>
      </c>
      <c r="I152" s="577">
        <f t="shared" si="52"/>
        <v>0</v>
      </c>
      <c r="J152" s="514">
        <f t="shared" si="55"/>
        <v>0</v>
      </c>
      <c r="K152" s="514"/>
      <c r="L152" s="525"/>
      <c r="M152" s="514">
        <f t="shared" si="56"/>
        <v>0</v>
      </c>
      <c r="N152" s="525"/>
      <c r="O152" s="514">
        <f t="shared" si="57"/>
        <v>0</v>
      </c>
      <c r="P152" s="514">
        <f t="shared" si="58"/>
        <v>0</v>
      </c>
      <c r="Q152" s="269"/>
    </row>
    <row r="153" spans="2:17">
      <c r="B153" s="195" t="str">
        <f t="shared" si="37"/>
        <v/>
      </c>
      <c r="C153" s="507">
        <f>IF(D93="","-",+C152+1)</f>
        <v>2063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53"/>
        <v>0</v>
      </c>
      <c r="G153" s="523">
        <f t="shared" si="54"/>
        <v>0</v>
      </c>
      <c r="H153" s="526">
        <f t="shared" si="51"/>
        <v>0</v>
      </c>
      <c r="I153" s="577">
        <f t="shared" si="52"/>
        <v>0</v>
      </c>
      <c r="J153" s="514">
        <f t="shared" si="55"/>
        <v>0</v>
      </c>
      <c r="K153" s="514"/>
      <c r="L153" s="525"/>
      <c r="M153" s="514">
        <f t="shared" si="56"/>
        <v>0</v>
      </c>
      <c r="N153" s="525"/>
      <c r="O153" s="514">
        <f t="shared" si="57"/>
        <v>0</v>
      </c>
      <c r="P153" s="514">
        <f t="shared" si="58"/>
        <v>0</v>
      </c>
      <c r="Q153" s="269"/>
    </row>
    <row r="154" spans="2:17" ht="13.5" thickBot="1">
      <c r="B154" s="195" t="str">
        <f t="shared" si="37"/>
        <v/>
      </c>
      <c r="C154" s="527">
        <f>IF(D93="","-",+C153+1)</f>
        <v>2064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53"/>
        <v>0</v>
      </c>
      <c r="G154" s="528">
        <f t="shared" si="54"/>
        <v>0</v>
      </c>
      <c r="H154" s="530">
        <f t="shared" si="51"/>
        <v>0</v>
      </c>
      <c r="I154" s="579">
        <f t="shared" si="52"/>
        <v>0</v>
      </c>
      <c r="J154" s="533">
        <f t="shared" si="55"/>
        <v>0</v>
      </c>
      <c r="K154" s="514"/>
      <c r="L154" s="532"/>
      <c r="M154" s="533">
        <f t="shared" si="56"/>
        <v>0</v>
      </c>
      <c r="N154" s="532"/>
      <c r="O154" s="533">
        <f t="shared" si="57"/>
        <v>0</v>
      </c>
      <c r="P154" s="533">
        <f t="shared" si="58"/>
        <v>0</v>
      </c>
      <c r="Q154" s="269"/>
    </row>
    <row r="155" spans="2:17">
      <c r="C155" s="374" t="s">
        <v>78</v>
      </c>
      <c r="D155" s="375"/>
      <c r="E155" s="375">
        <f>SUM(E99:E154)</f>
        <v>11580310.999999994</v>
      </c>
      <c r="F155" s="375"/>
      <c r="G155" s="375"/>
      <c r="H155" s="375">
        <f>SUM(H99:H154)</f>
        <v>41028051.246488623</v>
      </c>
      <c r="I155" s="375">
        <f>SUM(I99:I154)</f>
        <v>41028051.246488623</v>
      </c>
      <c r="J155" s="375">
        <f>SUM(J99:J154)</f>
        <v>0</v>
      </c>
      <c r="K155" s="375"/>
      <c r="L155" s="375"/>
      <c r="M155" s="375"/>
      <c r="N155" s="375"/>
      <c r="O155" s="375"/>
      <c r="P155" s="269"/>
      <c r="Q155" s="269"/>
    </row>
    <row r="156" spans="2:17"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  <c r="Q156" s="269"/>
    </row>
    <row r="157" spans="2:17">
      <c r="C157" s="580" t="s">
        <v>92</v>
      </c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  <c r="Q157" s="269"/>
    </row>
    <row r="158" spans="2:17"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  <c r="Q158" s="269"/>
    </row>
    <row r="159" spans="2:17">
      <c r="C159" s="534" t="s">
        <v>97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  <c r="Q159" s="269"/>
    </row>
    <row r="160" spans="2:17">
      <c r="C160" s="581" t="s">
        <v>79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  <c r="Q160" s="269"/>
    </row>
    <row r="161" spans="3:17">
      <c r="C161" s="581" t="s">
        <v>80</v>
      </c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  <c r="Q161" s="269"/>
    </row>
    <row r="162" spans="3:17" ht="18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454" t="s">
        <v>131</v>
      </c>
      <c r="Q162" s="269"/>
    </row>
  </sheetData>
  <phoneticPr fontId="0" type="noConversion"/>
  <conditionalFormatting sqref="C17:C72">
    <cfRule type="cellIs" dxfId="155" priority="1" stopIfTrue="1" operator="equal">
      <formula>$I$10</formula>
    </cfRule>
  </conditionalFormatting>
  <conditionalFormatting sqref="C99:C154">
    <cfRule type="cellIs" dxfId="154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 codeName="Sheet116"/>
  <dimension ref="A1:P162"/>
  <sheetViews>
    <sheetView topLeftCell="A87" zoomScaleNormal="100" zoomScaleSheetLayoutView="80" workbookViewId="0">
      <selection activeCell="D99" sqref="D99:I104"/>
    </sheetView>
  </sheetViews>
  <sheetFormatPr defaultColWidth="8.7109375" defaultRowHeight="12.75" customHeight="1"/>
  <cols>
    <col min="1" max="1" width="4.7109375" style="183" customWidth="1"/>
    <col min="2" max="2" width="6.7109375" style="183" customWidth="1"/>
    <col min="3" max="3" width="23.28515625" style="183" customWidth="1"/>
    <col min="4" max="8" width="17.7109375" style="183" customWidth="1"/>
    <col min="9" max="9" width="20.42578125" style="183" customWidth="1"/>
    <col min="10" max="10" width="16.42578125" style="183" customWidth="1"/>
    <col min="11" max="11" width="17.7109375" style="183" customWidth="1"/>
    <col min="12" max="12" width="16.140625" style="183" customWidth="1"/>
    <col min="13" max="13" width="17.7109375" style="183" customWidth="1"/>
    <col min="14" max="14" width="16.7109375" style="183" customWidth="1"/>
    <col min="15" max="15" width="16.85546875" style="183" customWidth="1"/>
    <col min="16" max="16" width="24.42578125" style="183" customWidth="1"/>
    <col min="17" max="17" width="9.140625" style="183" customWidth="1"/>
    <col min="18" max="22" width="8.7109375" style="183"/>
    <col min="23" max="23" width="9.140625" style="183" customWidth="1"/>
    <col min="24" max="16384" width="8.7109375" style="183"/>
  </cols>
  <sheetData>
    <row r="1" spans="1:16" ht="20.25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67 of 75</v>
      </c>
    </row>
    <row r="2" spans="1:16" ht="18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538" t="s">
        <v>129</v>
      </c>
    </row>
    <row r="3" spans="1:16" ht="18.75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/>
      <c r="P3" s="623">
        <v>1</v>
      </c>
    </row>
    <row r="4" spans="1:16" ht="15.75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6" ht="1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1308128.3575963045</v>
      </c>
      <c r="P5" s="269"/>
    </row>
    <row r="6" spans="1:16" ht="15.7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1308128.3575963045</v>
      </c>
      <c r="O6" s="269"/>
      <c r="P6" s="269"/>
    </row>
    <row r="7" spans="1:16" ht="13.5" thickBot="1">
      <c r="C7" s="467" t="s">
        <v>48</v>
      </c>
      <c r="D7" s="624" t="s">
        <v>387</v>
      </c>
      <c r="E7" s="269"/>
      <c r="F7" s="269"/>
      <c r="G7" s="269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6" ht="13.5" thickBot="1">
      <c r="C8" s="472"/>
      <c r="D8" s="625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6" ht="13.5" thickBot="1">
      <c r="C9" s="476" t="s">
        <v>50</v>
      </c>
      <c r="D9" s="477" t="s">
        <v>417</v>
      </c>
      <c r="E9" s="637" t="s">
        <v>418</v>
      </c>
      <c r="F9" s="478"/>
      <c r="G9" s="478"/>
      <c r="H9" s="478"/>
      <c r="I9" s="479"/>
      <c r="J9" s="480"/>
      <c r="O9" s="481"/>
      <c r="P9" s="272"/>
    </row>
    <row r="10" spans="1:16">
      <c r="C10" s="482" t="s">
        <v>51</v>
      </c>
      <c r="D10" s="483">
        <v>10668801.149999999</v>
      </c>
      <c r="E10" s="353" t="s">
        <v>52</v>
      </c>
      <c r="F10" s="481"/>
      <c r="G10" s="484"/>
      <c r="H10" s="484"/>
      <c r="I10" s="485">
        <f>+'SWE.WS.F.BPU.ATRR.Projected'!L19</f>
        <v>2024</v>
      </c>
      <c r="J10" s="480"/>
      <c r="K10" s="375" t="s">
        <v>53</v>
      </c>
      <c r="O10" s="272"/>
      <c r="P10" s="272"/>
    </row>
    <row r="11" spans="1:16">
      <c r="C11" s="486" t="s">
        <v>54</v>
      </c>
      <c r="D11" s="487">
        <v>2017</v>
      </c>
      <c r="E11" s="486" t="s">
        <v>55</v>
      </c>
      <c r="F11" s="484"/>
      <c r="G11" s="233"/>
      <c r="H11" s="233"/>
      <c r="I11" s="488">
        <f>IF(G5="",0,'SWE.WS.F.BPU.ATRR.Projected'!F$13)</f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6">
      <c r="C12" s="486" t="s">
        <v>56</v>
      </c>
      <c r="D12" s="483">
        <v>3</v>
      </c>
      <c r="E12" s="486" t="s">
        <v>57</v>
      </c>
      <c r="F12" s="484"/>
      <c r="G12" s="233"/>
      <c r="H12" s="233"/>
      <c r="I12" s="490">
        <f>'SWE.WS.F.BPU.ATRR.Projected'!$F$81</f>
        <v>0.11952713165403545</v>
      </c>
      <c r="J12" s="425"/>
      <c r="K12" s="183" t="s">
        <v>58</v>
      </c>
      <c r="O12" s="272"/>
      <c r="P12" s="272"/>
    </row>
    <row r="13" spans="1:16">
      <c r="C13" s="486" t="s">
        <v>59</v>
      </c>
      <c r="D13" s="488">
        <f>+'SWE.WS.F.BPU.ATRR.Projected'!F$93</f>
        <v>44</v>
      </c>
      <c r="E13" s="486" t="s">
        <v>60</v>
      </c>
      <c r="F13" s="484"/>
      <c r="G13" s="233"/>
      <c r="H13" s="233"/>
      <c r="I13" s="490">
        <f>IF(G5="",I12,'SWE.WS.F.BPU.ATRR.Projected'!$F$80)</f>
        <v>0.11952713165403545</v>
      </c>
      <c r="J13" s="425"/>
      <c r="K13" s="375" t="s">
        <v>61</v>
      </c>
      <c r="L13" s="324"/>
      <c r="M13" s="324"/>
      <c r="N13" s="324"/>
      <c r="O13" s="272"/>
      <c r="P13" s="272"/>
    </row>
    <row r="14" spans="1:16" ht="13.5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242472.75340909089</v>
      </c>
      <c r="J14" s="375"/>
      <c r="K14" s="375"/>
      <c r="L14" s="375"/>
      <c r="M14" s="375"/>
      <c r="N14" s="375"/>
      <c r="O14" s="272"/>
      <c r="P14" s="272"/>
    </row>
    <row r="15" spans="1:16" ht="38.25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388</v>
      </c>
      <c r="H15" s="495" t="s">
        <v>389</v>
      </c>
      <c r="I15" s="492" t="s">
        <v>68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6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600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>
      <c r="C17" s="507">
        <f>IF(D11= "","-",D11)</f>
        <v>2017</v>
      </c>
      <c r="D17" s="631">
        <v>0</v>
      </c>
      <c r="E17" s="630">
        <v>160574.56395348837</v>
      </c>
      <c r="F17" s="631">
        <v>9045700.4360465109</v>
      </c>
      <c r="G17" s="630">
        <v>720921.93663194391</v>
      </c>
      <c r="H17" s="639">
        <v>720921.93663194391</v>
      </c>
      <c r="I17" s="511">
        <f t="shared" ref="I17:I72" si="0">H17-G17</f>
        <v>0</v>
      </c>
      <c r="J17" s="511"/>
      <c r="K17" s="512">
        <f t="shared" ref="K17:K22" si="1">+G17</f>
        <v>720921.93663194391</v>
      </c>
      <c r="L17" s="513">
        <f t="shared" ref="L17:L72" si="2">IF(K17&lt;&gt;0,+G17-K17,0)</f>
        <v>0</v>
      </c>
      <c r="M17" s="512">
        <f t="shared" ref="M17:M22" si="3">+H17</f>
        <v>720921.93663194391</v>
      </c>
      <c r="N17" s="513">
        <f t="shared" ref="N17:N72" si="4">IF(M17&lt;&gt;0,+H17-M17,0)</f>
        <v>0</v>
      </c>
      <c r="O17" s="514">
        <f t="shared" ref="O17:O72" si="5">+N17-L17</f>
        <v>0</v>
      </c>
      <c r="P17" s="272"/>
    </row>
    <row r="18" spans="2:16">
      <c r="B18" s="195" t="str">
        <f>IF(D18=F17,"","IU")</f>
        <v/>
      </c>
      <c r="C18" s="507">
        <f>IF(D11="","-",+C17+1)</f>
        <v>2018</v>
      </c>
      <c r="D18" s="631">
        <v>9045700.4360465109</v>
      </c>
      <c r="E18" s="630">
        <v>224543.29268292684</v>
      </c>
      <c r="F18" s="631">
        <v>8821157.1433635838</v>
      </c>
      <c r="G18" s="630">
        <v>1359929.3750502607</v>
      </c>
      <c r="H18" s="639">
        <v>1359929.3750502607</v>
      </c>
      <c r="I18" s="511">
        <f t="shared" si="0"/>
        <v>0</v>
      </c>
      <c r="J18" s="511"/>
      <c r="K18" s="518">
        <f t="shared" si="1"/>
        <v>1359929.3750502607</v>
      </c>
      <c r="L18" s="519">
        <f t="shared" si="2"/>
        <v>0</v>
      </c>
      <c r="M18" s="518">
        <f t="shared" si="3"/>
        <v>1359929.3750502607</v>
      </c>
      <c r="N18" s="514">
        <f t="shared" si="4"/>
        <v>0</v>
      </c>
      <c r="O18" s="514">
        <f t="shared" si="5"/>
        <v>0</v>
      </c>
      <c r="P18" s="272"/>
    </row>
    <row r="19" spans="2:16">
      <c r="B19" s="195" t="str">
        <f>IF(D19=F18,"","IU")</f>
        <v/>
      </c>
      <c r="C19" s="507">
        <f>IF(D11="","-",+C18+1)</f>
        <v>2019</v>
      </c>
      <c r="D19" s="631">
        <v>8821157.1433635838</v>
      </c>
      <c r="E19" s="630">
        <v>224543.29268292684</v>
      </c>
      <c r="F19" s="631">
        <v>8596613.8506806567</v>
      </c>
      <c r="G19" s="630">
        <v>1331391.2475963396</v>
      </c>
      <c r="H19" s="639">
        <v>1331391.2475963396</v>
      </c>
      <c r="I19" s="511">
        <f t="shared" si="0"/>
        <v>0</v>
      </c>
      <c r="J19" s="511"/>
      <c r="K19" s="518">
        <f t="shared" si="1"/>
        <v>1331391.2475963396</v>
      </c>
      <c r="L19" s="519">
        <f t="shared" ref="L19" si="6">IF(K19&lt;&gt;0,+G19-K19,0)</f>
        <v>0</v>
      </c>
      <c r="M19" s="518">
        <f t="shared" si="3"/>
        <v>1331391.2475963396</v>
      </c>
      <c r="N19" s="514">
        <f t="shared" si="4"/>
        <v>0</v>
      </c>
      <c r="O19" s="514">
        <f t="shared" si="5"/>
        <v>0</v>
      </c>
      <c r="P19" s="272"/>
    </row>
    <row r="20" spans="2:16">
      <c r="B20" s="195" t="str">
        <f t="shared" ref="B20:B72" si="7">IF(D20=F19,"","IU")</f>
        <v>IU</v>
      </c>
      <c r="C20" s="507">
        <f>IF(D11="","-",+C19+1)</f>
        <v>2020</v>
      </c>
      <c r="D20" s="631">
        <v>10060609.850680659</v>
      </c>
      <c r="E20" s="630">
        <v>260250.51219512196</v>
      </c>
      <c r="F20" s="631">
        <v>9800359.3384855371</v>
      </c>
      <c r="G20" s="630">
        <v>1276491.1744003529</v>
      </c>
      <c r="H20" s="639">
        <v>1276491.1744003529</v>
      </c>
      <c r="I20" s="511">
        <f t="shared" si="0"/>
        <v>0</v>
      </c>
      <c r="J20" s="511"/>
      <c r="K20" s="518">
        <f t="shared" si="1"/>
        <v>1276491.1744003529</v>
      </c>
      <c r="L20" s="519">
        <f t="shared" ref="L20" si="8">IF(K20&lt;&gt;0,+G20-K20,0)</f>
        <v>0</v>
      </c>
      <c r="M20" s="518">
        <f t="shared" si="3"/>
        <v>1276491.1744003529</v>
      </c>
      <c r="N20" s="514">
        <f t="shared" si="4"/>
        <v>0</v>
      </c>
      <c r="O20" s="514">
        <f t="shared" si="5"/>
        <v>0</v>
      </c>
      <c r="P20" s="272"/>
    </row>
    <row r="21" spans="2:16">
      <c r="B21" s="195" t="str">
        <f t="shared" si="7"/>
        <v>IU</v>
      </c>
      <c r="C21" s="507">
        <f>IF(D11="","-",+C20+1)</f>
        <v>2021</v>
      </c>
      <c r="D21" s="631">
        <v>9809333.2125638109</v>
      </c>
      <c r="E21" s="630">
        <v>254019.07142857142</v>
      </c>
      <c r="F21" s="631">
        <v>9555314.14113524</v>
      </c>
      <c r="G21" s="630">
        <v>1280389.3877484133</v>
      </c>
      <c r="H21" s="639">
        <v>1280389.3877484133</v>
      </c>
      <c r="I21" s="511">
        <f t="shared" si="0"/>
        <v>0</v>
      </c>
      <c r="J21" s="511"/>
      <c r="K21" s="518">
        <f t="shared" si="1"/>
        <v>1280389.3877484133</v>
      </c>
      <c r="L21" s="519">
        <f t="shared" ref="L21" si="9">IF(K21&lt;&gt;0,+G21-K21,0)</f>
        <v>0</v>
      </c>
      <c r="M21" s="518">
        <f t="shared" si="3"/>
        <v>1280389.3877484133</v>
      </c>
      <c r="N21" s="514">
        <f t="shared" si="4"/>
        <v>0</v>
      </c>
      <c r="O21" s="514">
        <f t="shared" si="5"/>
        <v>0</v>
      </c>
      <c r="P21" s="272"/>
    </row>
    <row r="22" spans="2:16">
      <c r="B22" s="195" t="str">
        <f t="shared" si="7"/>
        <v>IU</v>
      </c>
      <c r="C22" s="507">
        <f>IF(D11="","-",+C21+1)</f>
        <v>2022</v>
      </c>
      <c r="D22" s="631">
        <v>9544870.2670569643</v>
      </c>
      <c r="E22" s="630">
        <v>254019.07142857142</v>
      </c>
      <c r="F22" s="631">
        <v>9290851.1956283934</v>
      </c>
      <c r="G22" s="630">
        <v>1313001.915934932</v>
      </c>
      <c r="H22" s="639">
        <v>1313001.915934932</v>
      </c>
      <c r="I22" s="511">
        <f t="shared" si="0"/>
        <v>0</v>
      </c>
      <c r="J22" s="511"/>
      <c r="K22" s="518">
        <f t="shared" si="1"/>
        <v>1313001.915934932</v>
      </c>
      <c r="L22" s="519">
        <f t="shared" ref="L22" si="10">IF(K22&lt;&gt;0,+G22-K22,0)</f>
        <v>0</v>
      </c>
      <c r="M22" s="518">
        <f t="shared" si="3"/>
        <v>1313001.915934932</v>
      </c>
      <c r="N22" s="514">
        <f t="shared" si="4"/>
        <v>0</v>
      </c>
      <c r="O22" s="514">
        <f t="shared" si="5"/>
        <v>0</v>
      </c>
      <c r="P22" s="272"/>
    </row>
    <row r="23" spans="2:16">
      <c r="B23" s="195" t="str">
        <f t="shared" si="7"/>
        <v>IU</v>
      </c>
      <c r="C23" s="507">
        <f>IF(D11="","-",+C22+1)</f>
        <v>2023</v>
      </c>
      <c r="D23" s="631">
        <v>9290851.345628392</v>
      </c>
      <c r="E23" s="630">
        <v>254019.07499999995</v>
      </c>
      <c r="F23" s="631">
        <v>9036832.2706283927</v>
      </c>
      <c r="G23" s="630">
        <v>1411657.7761742773</v>
      </c>
      <c r="H23" s="639">
        <v>1411657.7761742773</v>
      </c>
      <c r="I23" s="511">
        <f t="shared" si="0"/>
        <v>0</v>
      </c>
      <c r="J23" s="511"/>
      <c r="K23" s="518">
        <f t="shared" ref="K23" si="11">+G23</f>
        <v>1411657.7761742773</v>
      </c>
      <c r="L23" s="519">
        <f t="shared" ref="L23" si="12">IF(K23&lt;&gt;0,+G23-K23,0)</f>
        <v>0</v>
      </c>
      <c r="M23" s="518">
        <f t="shared" ref="M23" si="13">+H23</f>
        <v>1411657.7761742773</v>
      </c>
      <c r="N23" s="514">
        <f t="shared" ref="N23" si="14">IF(M23&lt;&gt;0,+H23-M23,0)</f>
        <v>0</v>
      </c>
      <c r="O23" s="514">
        <f t="shared" ref="O23" si="15">+N23-L23</f>
        <v>0</v>
      </c>
      <c r="P23" s="272"/>
    </row>
    <row r="24" spans="2:16">
      <c r="B24" s="195" t="str">
        <f t="shared" si="7"/>
        <v/>
      </c>
      <c r="C24" s="673">
        <f>IF(D11="","-",+C23+1)</f>
        <v>2024</v>
      </c>
      <c r="D24" s="523">
        <f>IF(F23+SUM(E$17:E23)=D$10,F23,D$10-SUM(E$17:E23))</f>
        <v>9036832.2706283927</v>
      </c>
      <c r="E24" s="522">
        <f>IF(+I14&lt;F23,I14,D24)</f>
        <v>242472.75340909089</v>
      </c>
      <c r="F24" s="523">
        <f t="shared" ref="F24:F72" si="16">+D24-E24</f>
        <v>8794359.5172193013</v>
      </c>
      <c r="G24" s="524">
        <f t="shared" ref="G24:G48" si="17">+I$12*((D24+F24)/2)+E24</f>
        <v>1308128.3575963045</v>
      </c>
      <c r="H24" s="491">
        <f t="shared" ref="H24:H48" si="18">+I$13*((D24+F24)/2)+E24</f>
        <v>1308128.3575963045</v>
      </c>
      <c r="I24" s="511">
        <f t="shared" si="0"/>
        <v>0</v>
      </c>
      <c r="J24" s="511"/>
      <c r="K24" s="525"/>
      <c r="L24" s="514">
        <f t="shared" si="2"/>
        <v>0</v>
      </c>
      <c r="M24" s="525"/>
      <c r="N24" s="514">
        <f t="shared" si="4"/>
        <v>0</v>
      </c>
      <c r="O24" s="514">
        <f t="shared" si="5"/>
        <v>0</v>
      </c>
      <c r="P24" s="272"/>
    </row>
    <row r="25" spans="2:16">
      <c r="B25" s="195" t="str">
        <f t="shared" si="7"/>
        <v/>
      </c>
      <c r="C25" s="507">
        <f>IF(D11="","-",+C24+1)</f>
        <v>2025</v>
      </c>
      <c r="D25" s="523">
        <f>IF(F24+SUM(E$17:E24)=D$10,F24,D$10-SUM(E$17:E24))</f>
        <v>8794359.5172193013</v>
      </c>
      <c r="E25" s="522">
        <f>IF(+I14&lt;F24,I14,D25)</f>
        <v>242472.75340909089</v>
      </c>
      <c r="F25" s="523">
        <f t="shared" si="16"/>
        <v>8551886.7638102099</v>
      </c>
      <c r="G25" s="524">
        <f t="shared" si="17"/>
        <v>1279146.2848770595</v>
      </c>
      <c r="H25" s="491">
        <f t="shared" si="18"/>
        <v>1279146.2848770595</v>
      </c>
      <c r="I25" s="511">
        <f t="shared" si="0"/>
        <v>0</v>
      </c>
      <c r="J25" s="511"/>
      <c r="K25" s="525"/>
      <c r="L25" s="514">
        <f t="shared" si="2"/>
        <v>0</v>
      </c>
      <c r="M25" s="525"/>
      <c r="N25" s="514">
        <f t="shared" si="4"/>
        <v>0</v>
      </c>
      <c r="O25" s="514">
        <f t="shared" si="5"/>
        <v>0</v>
      </c>
      <c r="P25" s="272"/>
    </row>
    <row r="26" spans="2:16">
      <c r="B26" s="195" t="str">
        <f t="shared" si="7"/>
        <v/>
      </c>
      <c r="C26" s="507">
        <f>IF(D11="","-",+C25+1)</f>
        <v>2026</v>
      </c>
      <c r="D26" s="523">
        <f>IF(F25+SUM(E$17:E25)=D$10,F25,D$10-SUM(E$17:E25))</f>
        <v>8551886.7638102099</v>
      </c>
      <c r="E26" s="522">
        <f>IF(+I14&lt;F25,I14,D26)</f>
        <v>242472.75340909089</v>
      </c>
      <c r="F26" s="523">
        <f t="shared" si="16"/>
        <v>8309414.0104011195</v>
      </c>
      <c r="G26" s="524">
        <f t="shared" si="17"/>
        <v>1250164.2121578145</v>
      </c>
      <c r="H26" s="491">
        <f t="shared" si="18"/>
        <v>1250164.2121578145</v>
      </c>
      <c r="I26" s="511">
        <f t="shared" si="0"/>
        <v>0</v>
      </c>
      <c r="J26" s="511"/>
      <c r="K26" s="525"/>
      <c r="L26" s="514">
        <f t="shared" si="2"/>
        <v>0</v>
      </c>
      <c r="M26" s="525"/>
      <c r="N26" s="514">
        <f t="shared" si="4"/>
        <v>0</v>
      </c>
      <c r="O26" s="514">
        <f t="shared" si="5"/>
        <v>0</v>
      </c>
      <c r="P26" s="272"/>
    </row>
    <row r="27" spans="2:16">
      <c r="B27" s="195" t="str">
        <f t="shared" si="7"/>
        <v/>
      </c>
      <c r="C27" s="507">
        <f>IF(D11="","-",+C26+1)</f>
        <v>2027</v>
      </c>
      <c r="D27" s="523">
        <f>IF(F26+SUM(E$17:E26)=D$10,F26,D$10-SUM(E$17:E26))</f>
        <v>8309414.0104011195</v>
      </c>
      <c r="E27" s="522">
        <f>IF(+I14&lt;F26,I14,D27)</f>
        <v>242472.75340909089</v>
      </c>
      <c r="F27" s="523">
        <f t="shared" si="16"/>
        <v>8066941.256992029</v>
      </c>
      <c r="G27" s="524">
        <f t="shared" si="17"/>
        <v>1221182.1394385698</v>
      </c>
      <c r="H27" s="491">
        <f t="shared" si="18"/>
        <v>1221182.1394385698</v>
      </c>
      <c r="I27" s="511">
        <f t="shared" si="0"/>
        <v>0</v>
      </c>
      <c r="J27" s="511"/>
      <c r="K27" s="525"/>
      <c r="L27" s="514">
        <f t="shared" si="2"/>
        <v>0</v>
      </c>
      <c r="M27" s="525"/>
      <c r="N27" s="514">
        <f t="shared" si="4"/>
        <v>0</v>
      </c>
      <c r="O27" s="514">
        <f t="shared" si="5"/>
        <v>0</v>
      </c>
      <c r="P27" s="272"/>
    </row>
    <row r="28" spans="2:16">
      <c r="B28" s="195" t="str">
        <f t="shared" si="7"/>
        <v/>
      </c>
      <c r="C28" s="507">
        <f>IF(D11="","-",+C27+1)</f>
        <v>2028</v>
      </c>
      <c r="D28" s="523">
        <f>IF(F27+SUM(E$17:E27)=D$10,F27,D$10-SUM(E$17:E27))</f>
        <v>8066941.256992029</v>
      </c>
      <c r="E28" s="522">
        <f>IF(+I14&lt;F27,I14,D28)</f>
        <v>242472.75340909089</v>
      </c>
      <c r="F28" s="523">
        <f t="shared" si="16"/>
        <v>7824468.5035829386</v>
      </c>
      <c r="G28" s="524">
        <f t="shared" si="17"/>
        <v>1192200.0667193248</v>
      </c>
      <c r="H28" s="491">
        <f t="shared" si="18"/>
        <v>1192200.0667193248</v>
      </c>
      <c r="I28" s="511">
        <f t="shared" si="0"/>
        <v>0</v>
      </c>
      <c r="J28" s="511"/>
      <c r="K28" s="525"/>
      <c r="L28" s="514">
        <f t="shared" si="2"/>
        <v>0</v>
      </c>
      <c r="M28" s="525"/>
      <c r="N28" s="514">
        <f t="shared" si="4"/>
        <v>0</v>
      </c>
      <c r="O28" s="514">
        <f t="shared" si="5"/>
        <v>0</v>
      </c>
      <c r="P28" s="272"/>
    </row>
    <row r="29" spans="2:16">
      <c r="B29" s="195" t="str">
        <f t="shared" si="7"/>
        <v/>
      </c>
      <c r="C29" s="507">
        <f>IF(D11="","-",+C28+1)</f>
        <v>2029</v>
      </c>
      <c r="D29" s="523">
        <f>IF(F28+SUM(E$17:E28)=D$10,F28,D$10-SUM(E$17:E28))</f>
        <v>7824468.5035829386</v>
      </c>
      <c r="E29" s="522">
        <f>IF(+I14&lt;F28,I14,D29)</f>
        <v>242472.75340909089</v>
      </c>
      <c r="F29" s="523">
        <f t="shared" si="16"/>
        <v>7581995.7501738481</v>
      </c>
      <c r="G29" s="524">
        <f t="shared" si="17"/>
        <v>1163217.99400008</v>
      </c>
      <c r="H29" s="491">
        <f t="shared" si="18"/>
        <v>1163217.99400008</v>
      </c>
      <c r="I29" s="511">
        <f t="shared" si="0"/>
        <v>0</v>
      </c>
      <c r="J29" s="511"/>
      <c r="K29" s="525"/>
      <c r="L29" s="514">
        <f t="shared" si="2"/>
        <v>0</v>
      </c>
      <c r="M29" s="525"/>
      <c r="N29" s="514">
        <f t="shared" si="4"/>
        <v>0</v>
      </c>
      <c r="O29" s="514">
        <f t="shared" si="5"/>
        <v>0</v>
      </c>
      <c r="P29" s="272"/>
    </row>
    <row r="30" spans="2:16">
      <c r="B30" s="195" t="str">
        <f t="shared" si="7"/>
        <v/>
      </c>
      <c r="C30" s="507">
        <f>IF(D11="","-",+C29+1)</f>
        <v>2030</v>
      </c>
      <c r="D30" s="523">
        <f>IF(F29+SUM(E$17:E29)=D$10,F29,D$10-SUM(E$17:E29))</f>
        <v>7581995.7501738481</v>
      </c>
      <c r="E30" s="522">
        <f>IF(+I14&lt;F29,I14,D30)</f>
        <v>242472.75340909089</v>
      </c>
      <c r="F30" s="523">
        <f t="shared" si="16"/>
        <v>7339522.9967647577</v>
      </c>
      <c r="G30" s="524">
        <f t="shared" si="17"/>
        <v>1134235.9212808353</v>
      </c>
      <c r="H30" s="491">
        <f t="shared" si="18"/>
        <v>1134235.9212808353</v>
      </c>
      <c r="I30" s="511">
        <f t="shared" si="0"/>
        <v>0</v>
      </c>
      <c r="J30" s="511"/>
      <c r="K30" s="525"/>
      <c r="L30" s="514">
        <f t="shared" si="2"/>
        <v>0</v>
      </c>
      <c r="M30" s="525"/>
      <c r="N30" s="514">
        <f t="shared" si="4"/>
        <v>0</v>
      </c>
      <c r="O30" s="514">
        <f t="shared" si="5"/>
        <v>0</v>
      </c>
      <c r="P30" s="272"/>
    </row>
    <row r="31" spans="2:16">
      <c r="B31" s="195" t="str">
        <f t="shared" si="7"/>
        <v/>
      </c>
      <c r="C31" s="507">
        <f>IF(D11="","-",+C30+1)</f>
        <v>2031</v>
      </c>
      <c r="D31" s="523">
        <f>IF(F30+SUM(E$17:E30)=D$10,F30,D$10-SUM(E$17:E30))</f>
        <v>7339522.9967647577</v>
      </c>
      <c r="E31" s="522">
        <f>IF(+I14&lt;F30,I14,D31)</f>
        <v>242472.75340909089</v>
      </c>
      <c r="F31" s="523">
        <f t="shared" si="16"/>
        <v>7097050.2433556672</v>
      </c>
      <c r="G31" s="524">
        <f t="shared" si="17"/>
        <v>1105253.8485615905</v>
      </c>
      <c r="H31" s="491">
        <f t="shared" si="18"/>
        <v>1105253.8485615905</v>
      </c>
      <c r="I31" s="511">
        <f t="shared" si="0"/>
        <v>0</v>
      </c>
      <c r="J31" s="511"/>
      <c r="K31" s="525"/>
      <c r="L31" s="514">
        <f t="shared" si="2"/>
        <v>0</v>
      </c>
      <c r="M31" s="525"/>
      <c r="N31" s="514">
        <f t="shared" si="4"/>
        <v>0</v>
      </c>
      <c r="O31" s="514">
        <f t="shared" si="5"/>
        <v>0</v>
      </c>
      <c r="P31" s="272"/>
    </row>
    <row r="32" spans="2:16">
      <c r="B32" s="195" t="str">
        <f t="shared" si="7"/>
        <v/>
      </c>
      <c r="C32" s="507">
        <f>IF(D11="","-",+C31+1)</f>
        <v>2032</v>
      </c>
      <c r="D32" s="523">
        <f>IF(F31+SUM(E$17:E31)=D$10,F31,D$10-SUM(E$17:E31))</f>
        <v>7097050.2433556672</v>
      </c>
      <c r="E32" s="522">
        <f>IF(+I14&lt;F31,I14,D32)</f>
        <v>242472.75340909089</v>
      </c>
      <c r="F32" s="523">
        <f t="shared" si="16"/>
        <v>6854577.4899465768</v>
      </c>
      <c r="G32" s="524">
        <f t="shared" si="17"/>
        <v>1076271.7758423456</v>
      </c>
      <c r="H32" s="491">
        <f t="shared" si="18"/>
        <v>1076271.7758423456</v>
      </c>
      <c r="I32" s="511">
        <f t="shared" si="0"/>
        <v>0</v>
      </c>
      <c r="J32" s="511"/>
      <c r="K32" s="525"/>
      <c r="L32" s="514">
        <f t="shared" si="2"/>
        <v>0</v>
      </c>
      <c r="M32" s="525"/>
      <c r="N32" s="514">
        <f t="shared" si="4"/>
        <v>0</v>
      </c>
      <c r="O32" s="514">
        <f t="shared" si="5"/>
        <v>0</v>
      </c>
      <c r="P32" s="272"/>
    </row>
    <row r="33" spans="2:16">
      <c r="B33" s="195" t="str">
        <f t="shared" si="7"/>
        <v/>
      </c>
      <c r="C33" s="507">
        <f>IF(D11="","-",+C32+1)</f>
        <v>2033</v>
      </c>
      <c r="D33" s="523">
        <f>IF(F32+SUM(E$17:E32)=D$10,F32,D$10-SUM(E$17:E32))</f>
        <v>6854577.4899465768</v>
      </c>
      <c r="E33" s="522">
        <f>IF(+I14&lt;F32,I14,D33)</f>
        <v>242472.75340909089</v>
      </c>
      <c r="F33" s="523">
        <f t="shared" si="16"/>
        <v>6612104.7365374863</v>
      </c>
      <c r="G33" s="524">
        <f t="shared" si="17"/>
        <v>1047289.7031231009</v>
      </c>
      <c r="H33" s="491">
        <f t="shared" si="18"/>
        <v>1047289.7031231009</v>
      </c>
      <c r="I33" s="511">
        <f t="shared" si="0"/>
        <v>0</v>
      </c>
      <c r="J33" s="511"/>
      <c r="K33" s="525"/>
      <c r="L33" s="514">
        <f t="shared" si="2"/>
        <v>0</v>
      </c>
      <c r="M33" s="525"/>
      <c r="N33" s="514">
        <f t="shared" si="4"/>
        <v>0</v>
      </c>
      <c r="O33" s="514">
        <f t="shared" si="5"/>
        <v>0</v>
      </c>
      <c r="P33" s="272"/>
    </row>
    <row r="34" spans="2:16">
      <c r="B34" s="195" t="str">
        <f t="shared" si="7"/>
        <v/>
      </c>
      <c r="C34" s="507">
        <f>IF(D11="","-",+C33+1)</f>
        <v>2034</v>
      </c>
      <c r="D34" s="523">
        <f>IF(F33+SUM(E$17:E33)=D$10,F33,D$10-SUM(E$17:E33))</f>
        <v>6612104.7365374863</v>
      </c>
      <c r="E34" s="522">
        <f>IF(+I14&lt;F33,I14,D34)</f>
        <v>242472.75340909089</v>
      </c>
      <c r="F34" s="523">
        <f t="shared" si="16"/>
        <v>6369631.9831283959</v>
      </c>
      <c r="G34" s="524">
        <f t="shared" si="17"/>
        <v>1018307.6304038559</v>
      </c>
      <c r="H34" s="491">
        <f t="shared" si="18"/>
        <v>1018307.6304038559</v>
      </c>
      <c r="I34" s="511">
        <f t="shared" si="0"/>
        <v>0</v>
      </c>
      <c r="J34" s="511"/>
      <c r="K34" s="525"/>
      <c r="L34" s="514">
        <f t="shared" si="2"/>
        <v>0</v>
      </c>
      <c r="M34" s="525"/>
      <c r="N34" s="514">
        <f t="shared" si="4"/>
        <v>0</v>
      </c>
      <c r="O34" s="514">
        <f t="shared" si="5"/>
        <v>0</v>
      </c>
      <c r="P34" s="272"/>
    </row>
    <row r="35" spans="2:16">
      <c r="B35" s="195" t="str">
        <f t="shared" si="7"/>
        <v/>
      </c>
      <c r="C35" s="507">
        <f>IF(D11="","-",+C34+1)</f>
        <v>2035</v>
      </c>
      <c r="D35" s="523">
        <f>IF(F34+SUM(E$17:E34)=D$10,F34,D$10-SUM(E$17:E34))</f>
        <v>6369631.9831283959</v>
      </c>
      <c r="E35" s="522">
        <f>IF(+I14&lt;F34,I14,D35)</f>
        <v>242472.75340909089</v>
      </c>
      <c r="F35" s="523">
        <f t="shared" si="16"/>
        <v>6127159.2297193054</v>
      </c>
      <c r="G35" s="524">
        <f t="shared" si="17"/>
        <v>989325.55768461118</v>
      </c>
      <c r="H35" s="491">
        <f t="shared" si="18"/>
        <v>989325.55768461118</v>
      </c>
      <c r="I35" s="511">
        <f t="shared" si="0"/>
        <v>0</v>
      </c>
      <c r="J35" s="511"/>
      <c r="K35" s="525"/>
      <c r="L35" s="514">
        <f t="shared" si="2"/>
        <v>0</v>
      </c>
      <c r="M35" s="525"/>
      <c r="N35" s="514">
        <f t="shared" si="4"/>
        <v>0</v>
      </c>
      <c r="O35" s="514">
        <f t="shared" si="5"/>
        <v>0</v>
      </c>
      <c r="P35" s="272"/>
    </row>
    <row r="36" spans="2:16">
      <c r="B36" s="195" t="str">
        <f t="shared" si="7"/>
        <v/>
      </c>
      <c r="C36" s="507">
        <f>IF(D11="","-",+C35+1)</f>
        <v>2036</v>
      </c>
      <c r="D36" s="523">
        <f>IF(F35+SUM(E$17:E35)=D$10,F35,D$10-SUM(E$17:E35))</f>
        <v>6127159.2297193054</v>
      </c>
      <c r="E36" s="522">
        <f>IF(+I14&lt;F35,I14,D36)</f>
        <v>242472.75340909089</v>
      </c>
      <c r="F36" s="523">
        <f t="shared" si="16"/>
        <v>5884686.476310215</v>
      </c>
      <c r="G36" s="524">
        <f t="shared" si="17"/>
        <v>960343.48496536631</v>
      </c>
      <c r="H36" s="491">
        <f t="shared" si="18"/>
        <v>960343.48496536631</v>
      </c>
      <c r="I36" s="511">
        <f t="shared" si="0"/>
        <v>0</v>
      </c>
      <c r="J36" s="511"/>
      <c r="K36" s="525"/>
      <c r="L36" s="514">
        <f t="shared" si="2"/>
        <v>0</v>
      </c>
      <c r="M36" s="525"/>
      <c r="N36" s="514">
        <f t="shared" si="4"/>
        <v>0</v>
      </c>
      <c r="O36" s="514">
        <f t="shared" si="5"/>
        <v>0</v>
      </c>
      <c r="P36" s="272"/>
    </row>
    <row r="37" spans="2:16">
      <c r="B37" s="195" t="str">
        <f t="shared" si="7"/>
        <v/>
      </c>
      <c r="C37" s="507">
        <f>IF(D11="","-",+C36+1)</f>
        <v>2037</v>
      </c>
      <c r="D37" s="523">
        <f>IF(F36+SUM(E$17:E36)=D$10,F36,D$10-SUM(E$17:E36))</f>
        <v>5884686.476310215</v>
      </c>
      <c r="E37" s="522">
        <f>IF(+I14&lt;F36,I14,D37)</f>
        <v>242472.75340909089</v>
      </c>
      <c r="F37" s="523">
        <f t="shared" si="16"/>
        <v>5642213.7229011245</v>
      </c>
      <c r="G37" s="524">
        <f t="shared" si="17"/>
        <v>931361.41224612156</v>
      </c>
      <c r="H37" s="491">
        <f t="shared" si="18"/>
        <v>931361.41224612156</v>
      </c>
      <c r="I37" s="511">
        <f t="shared" si="0"/>
        <v>0</v>
      </c>
      <c r="J37" s="511"/>
      <c r="K37" s="525"/>
      <c r="L37" s="514">
        <f t="shared" si="2"/>
        <v>0</v>
      </c>
      <c r="M37" s="525"/>
      <c r="N37" s="514">
        <f t="shared" si="4"/>
        <v>0</v>
      </c>
      <c r="O37" s="514">
        <f t="shared" si="5"/>
        <v>0</v>
      </c>
      <c r="P37" s="272"/>
    </row>
    <row r="38" spans="2:16">
      <c r="B38" s="195" t="str">
        <f t="shared" si="7"/>
        <v/>
      </c>
      <c r="C38" s="507">
        <f>IF(D11="","-",+C37+1)</f>
        <v>2038</v>
      </c>
      <c r="D38" s="523">
        <f>IF(F37+SUM(E$17:E37)=D$10,F37,D$10-SUM(E$17:E37))</f>
        <v>5642213.7229011245</v>
      </c>
      <c r="E38" s="522">
        <f>IF(+I14&lt;F37,I14,D38)</f>
        <v>242472.75340909089</v>
      </c>
      <c r="F38" s="523">
        <f t="shared" si="16"/>
        <v>5399740.9694920341</v>
      </c>
      <c r="G38" s="524">
        <f t="shared" si="17"/>
        <v>902379.33952687657</v>
      </c>
      <c r="H38" s="491">
        <f t="shared" si="18"/>
        <v>902379.33952687657</v>
      </c>
      <c r="I38" s="511">
        <f t="shared" si="0"/>
        <v>0</v>
      </c>
      <c r="J38" s="511"/>
      <c r="K38" s="525"/>
      <c r="L38" s="514">
        <f t="shared" si="2"/>
        <v>0</v>
      </c>
      <c r="M38" s="525"/>
      <c r="N38" s="514">
        <f t="shared" si="4"/>
        <v>0</v>
      </c>
      <c r="O38" s="514">
        <f t="shared" si="5"/>
        <v>0</v>
      </c>
      <c r="P38" s="272"/>
    </row>
    <row r="39" spans="2:16">
      <c r="B39" s="195" t="str">
        <f t="shared" si="7"/>
        <v/>
      </c>
      <c r="C39" s="507">
        <f>IF(D11="","-",+C38+1)</f>
        <v>2039</v>
      </c>
      <c r="D39" s="523">
        <f>IF(F38+SUM(E$17:E38)=D$10,F38,D$10-SUM(E$17:E38))</f>
        <v>5399740.9694920341</v>
      </c>
      <c r="E39" s="522">
        <f>IF(+I14&lt;F38,I14,D39)</f>
        <v>242472.75340909089</v>
      </c>
      <c r="F39" s="523">
        <f t="shared" si="16"/>
        <v>5157268.2160829436</v>
      </c>
      <c r="G39" s="524">
        <f t="shared" si="17"/>
        <v>873397.26680763194</v>
      </c>
      <c r="H39" s="491">
        <f t="shared" si="18"/>
        <v>873397.26680763194</v>
      </c>
      <c r="I39" s="511">
        <f t="shared" si="0"/>
        <v>0</v>
      </c>
      <c r="J39" s="511"/>
      <c r="K39" s="525"/>
      <c r="L39" s="514">
        <f t="shared" si="2"/>
        <v>0</v>
      </c>
      <c r="M39" s="525"/>
      <c r="N39" s="514">
        <f t="shared" si="4"/>
        <v>0</v>
      </c>
      <c r="O39" s="514">
        <f t="shared" si="5"/>
        <v>0</v>
      </c>
      <c r="P39" s="272"/>
    </row>
    <row r="40" spans="2:16">
      <c r="B40" s="195" t="str">
        <f t="shared" si="7"/>
        <v/>
      </c>
      <c r="C40" s="507">
        <f>IF(D11="","-",+C39+1)</f>
        <v>2040</v>
      </c>
      <c r="D40" s="523">
        <f>IF(F39+SUM(E$17:E39)=D$10,F39,D$10-SUM(E$17:E39))</f>
        <v>5157268.2160829436</v>
      </c>
      <c r="E40" s="522">
        <f>IF(+I14&lt;F39,I14,D40)</f>
        <v>242472.75340909089</v>
      </c>
      <c r="F40" s="523">
        <f t="shared" si="16"/>
        <v>4914795.4626738532</v>
      </c>
      <c r="G40" s="524">
        <f t="shared" si="17"/>
        <v>844415.19408838695</v>
      </c>
      <c r="H40" s="491">
        <f t="shared" si="18"/>
        <v>844415.19408838695</v>
      </c>
      <c r="I40" s="511">
        <f t="shared" si="0"/>
        <v>0</v>
      </c>
      <c r="J40" s="511"/>
      <c r="K40" s="525"/>
      <c r="L40" s="514">
        <f t="shared" si="2"/>
        <v>0</v>
      </c>
      <c r="M40" s="525"/>
      <c r="N40" s="514">
        <f t="shared" si="4"/>
        <v>0</v>
      </c>
      <c r="O40" s="514">
        <f t="shared" si="5"/>
        <v>0</v>
      </c>
      <c r="P40" s="272"/>
    </row>
    <row r="41" spans="2:16">
      <c r="B41" s="195" t="str">
        <f t="shared" si="7"/>
        <v/>
      </c>
      <c r="C41" s="507">
        <f>IF(D11="","-",+C40+1)</f>
        <v>2041</v>
      </c>
      <c r="D41" s="523">
        <f>IF(F40+SUM(E$17:E40)=D$10,F40,D$10-SUM(E$17:E40))</f>
        <v>4914795.4626738532</v>
      </c>
      <c r="E41" s="522">
        <f>IF(+I14&lt;F40,I14,D41)</f>
        <v>242472.75340909089</v>
      </c>
      <c r="F41" s="523">
        <f t="shared" si="16"/>
        <v>4672322.7092647627</v>
      </c>
      <c r="G41" s="524">
        <f t="shared" si="17"/>
        <v>815433.1213691422</v>
      </c>
      <c r="H41" s="491">
        <f t="shared" si="18"/>
        <v>815433.1213691422</v>
      </c>
      <c r="I41" s="511">
        <f t="shared" si="0"/>
        <v>0</v>
      </c>
      <c r="J41" s="511"/>
      <c r="K41" s="525"/>
      <c r="L41" s="514">
        <f t="shared" si="2"/>
        <v>0</v>
      </c>
      <c r="M41" s="525"/>
      <c r="N41" s="514">
        <f t="shared" si="4"/>
        <v>0</v>
      </c>
      <c r="O41" s="514">
        <f t="shared" si="5"/>
        <v>0</v>
      </c>
      <c r="P41" s="272"/>
    </row>
    <row r="42" spans="2:16">
      <c r="B42" s="195" t="str">
        <f t="shared" si="7"/>
        <v/>
      </c>
      <c r="C42" s="507">
        <f>IF(D11="","-",+C41+1)</f>
        <v>2042</v>
      </c>
      <c r="D42" s="523">
        <f>IF(F41+SUM(E$17:E41)=D$10,F41,D$10-SUM(E$17:E41))</f>
        <v>4672322.7092647627</v>
      </c>
      <c r="E42" s="522">
        <f>IF(+I14&lt;F41,I14,D42)</f>
        <v>242472.75340909089</v>
      </c>
      <c r="F42" s="523">
        <f t="shared" si="16"/>
        <v>4429849.9558556722</v>
      </c>
      <c r="G42" s="524">
        <f t="shared" si="17"/>
        <v>786451.04864989733</v>
      </c>
      <c r="H42" s="491">
        <f t="shared" si="18"/>
        <v>786451.04864989733</v>
      </c>
      <c r="I42" s="511">
        <f t="shared" si="0"/>
        <v>0</v>
      </c>
      <c r="J42" s="511"/>
      <c r="K42" s="525"/>
      <c r="L42" s="514">
        <f t="shared" si="2"/>
        <v>0</v>
      </c>
      <c r="M42" s="525"/>
      <c r="N42" s="514">
        <f t="shared" si="4"/>
        <v>0</v>
      </c>
      <c r="O42" s="514">
        <f t="shared" si="5"/>
        <v>0</v>
      </c>
      <c r="P42" s="272"/>
    </row>
    <row r="43" spans="2:16">
      <c r="B43" s="195" t="str">
        <f t="shared" si="7"/>
        <v/>
      </c>
      <c r="C43" s="507">
        <f>IF(D11="","-",+C42+1)</f>
        <v>2043</v>
      </c>
      <c r="D43" s="523">
        <f>IF(F42+SUM(E$17:E42)=D$10,F42,D$10-SUM(E$17:E42))</f>
        <v>4429849.9558556722</v>
      </c>
      <c r="E43" s="522">
        <f>IF(+I14&lt;F42,I14,D43)</f>
        <v>242472.75340909089</v>
      </c>
      <c r="F43" s="523">
        <f t="shared" si="16"/>
        <v>4187377.2024465813</v>
      </c>
      <c r="G43" s="524">
        <f t="shared" si="17"/>
        <v>757468.97593065246</v>
      </c>
      <c r="H43" s="491">
        <f t="shared" si="18"/>
        <v>757468.97593065246</v>
      </c>
      <c r="I43" s="511">
        <f t="shared" si="0"/>
        <v>0</v>
      </c>
      <c r="J43" s="511"/>
      <c r="K43" s="525"/>
      <c r="L43" s="514">
        <f t="shared" si="2"/>
        <v>0</v>
      </c>
      <c r="M43" s="525"/>
      <c r="N43" s="514">
        <f t="shared" si="4"/>
        <v>0</v>
      </c>
      <c r="O43" s="514">
        <f t="shared" si="5"/>
        <v>0</v>
      </c>
      <c r="P43" s="272"/>
    </row>
    <row r="44" spans="2:16">
      <c r="B44" s="195" t="str">
        <f t="shared" si="7"/>
        <v/>
      </c>
      <c r="C44" s="507">
        <f>IF(D11="","-",+C43+1)</f>
        <v>2044</v>
      </c>
      <c r="D44" s="523">
        <f>IF(F43+SUM(E$17:E43)=D$10,F43,D$10-SUM(E$17:E43))</f>
        <v>4187377.2024465813</v>
      </c>
      <c r="E44" s="522">
        <f>IF(+I14&lt;F43,I14,D44)</f>
        <v>242472.75340909089</v>
      </c>
      <c r="F44" s="523">
        <f t="shared" si="16"/>
        <v>3944904.4490374904</v>
      </c>
      <c r="G44" s="524">
        <f t="shared" si="17"/>
        <v>728486.9032114076</v>
      </c>
      <c r="H44" s="491">
        <f t="shared" si="18"/>
        <v>728486.9032114076</v>
      </c>
      <c r="I44" s="511">
        <f t="shared" si="0"/>
        <v>0</v>
      </c>
      <c r="J44" s="511"/>
      <c r="K44" s="525"/>
      <c r="L44" s="514">
        <f t="shared" si="2"/>
        <v>0</v>
      </c>
      <c r="M44" s="525"/>
      <c r="N44" s="514">
        <f t="shared" si="4"/>
        <v>0</v>
      </c>
      <c r="O44" s="514">
        <f t="shared" si="5"/>
        <v>0</v>
      </c>
      <c r="P44" s="272"/>
    </row>
    <row r="45" spans="2:16">
      <c r="B45" s="195" t="str">
        <f t="shared" si="7"/>
        <v/>
      </c>
      <c r="C45" s="507">
        <f>IF(D11="","-",+C44+1)</f>
        <v>2045</v>
      </c>
      <c r="D45" s="523">
        <f>IF(F44+SUM(E$17:E44)=D$10,F44,D$10-SUM(E$17:E44))</f>
        <v>3944904.4490374904</v>
      </c>
      <c r="E45" s="522">
        <f>IF(+I14&lt;F44,I14,D45)</f>
        <v>242472.75340909089</v>
      </c>
      <c r="F45" s="523">
        <f t="shared" si="16"/>
        <v>3702431.6956283995</v>
      </c>
      <c r="G45" s="524">
        <f t="shared" si="17"/>
        <v>699504.83049216273</v>
      </c>
      <c r="H45" s="491">
        <f t="shared" si="18"/>
        <v>699504.83049216273</v>
      </c>
      <c r="I45" s="511">
        <f t="shared" si="0"/>
        <v>0</v>
      </c>
      <c r="J45" s="511"/>
      <c r="K45" s="525"/>
      <c r="L45" s="514">
        <f t="shared" si="2"/>
        <v>0</v>
      </c>
      <c r="M45" s="525"/>
      <c r="N45" s="514">
        <f t="shared" si="4"/>
        <v>0</v>
      </c>
      <c r="O45" s="514">
        <f t="shared" si="5"/>
        <v>0</v>
      </c>
      <c r="P45" s="272"/>
    </row>
    <row r="46" spans="2:16">
      <c r="B46" s="195" t="str">
        <f t="shared" si="7"/>
        <v/>
      </c>
      <c r="C46" s="507">
        <f>IF(D11="","-",+C45+1)</f>
        <v>2046</v>
      </c>
      <c r="D46" s="523">
        <f>IF(F45+SUM(E$17:E45)=D$10,F45,D$10-SUM(E$17:E45))</f>
        <v>3702431.6956283995</v>
      </c>
      <c r="E46" s="522">
        <f>IF(+I14&lt;F45,I14,D46)</f>
        <v>242472.75340909089</v>
      </c>
      <c r="F46" s="523">
        <f t="shared" si="16"/>
        <v>3459958.9422193086</v>
      </c>
      <c r="G46" s="524">
        <f t="shared" si="17"/>
        <v>670522.75777291786</v>
      </c>
      <c r="H46" s="491">
        <f t="shared" si="18"/>
        <v>670522.75777291786</v>
      </c>
      <c r="I46" s="511">
        <f t="shared" si="0"/>
        <v>0</v>
      </c>
      <c r="J46" s="511"/>
      <c r="K46" s="525"/>
      <c r="L46" s="514">
        <f t="shared" si="2"/>
        <v>0</v>
      </c>
      <c r="M46" s="525"/>
      <c r="N46" s="514">
        <f t="shared" si="4"/>
        <v>0</v>
      </c>
      <c r="O46" s="514">
        <f t="shared" si="5"/>
        <v>0</v>
      </c>
      <c r="P46" s="272"/>
    </row>
    <row r="47" spans="2:16">
      <c r="B47" s="195" t="str">
        <f t="shared" si="7"/>
        <v/>
      </c>
      <c r="C47" s="507">
        <f>IF(D11="","-",+C46+1)</f>
        <v>2047</v>
      </c>
      <c r="D47" s="523">
        <f>IF(F46+SUM(E$17:E46)=D$10,F46,D$10-SUM(E$17:E46))</f>
        <v>3459958.9422193086</v>
      </c>
      <c r="E47" s="522">
        <f>IF(+I14&lt;F46,I14,D47)</f>
        <v>242472.75340909089</v>
      </c>
      <c r="F47" s="523">
        <f t="shared" si="16"/>
        <v>3217486.1888102177</v>
      </c>
      <c r="G47" s="524">
        <f t="shared" si="17"/>
        <v>641540.68505367299</v>
      </c>
      <c r="H47" s="491">
        <f t="shared" si="18"/>
        <v>641540.68505367299</v>
      </c>
      <c r="I47" s="511">
        <f t="shared" si="0"/>
        <v>0</v>
      </c>
      <c r="J47" s="511"/>
      <c r="K47" s="525"/>
      <c r="L47" s="514">
        <f t="shared" si="2"/>
        <v>0</v>
      </c>
      <c r="M47" s="525"/>
      <c r="N47" s="514">
        <f t="shared" si="4"/>
        <v>0</v>
      </c>
      <c r="O47" s="514">
        <f t="shared" si="5"/>
        <v>0</v>
      </c>
      <c r="P47" s="272"/>
    </row>
    <row r="48" spans="2:16">
      <c r="B48" s="195" t="str">
        <f t="shared" si="7"/>
        <v/>
      </c>
      <c r="C48" s="507">
        <f>IF(D11="","-",+C47+1)</f>
        <v>2048</v>
      </c>
      <c r="D48" s="523">
        <f>IF(F47+SUM(E$17:E47)=D$10,F47,D$10-SUM(E$17:E47))</f>
        <v>3217486.1888102177</v>
      </c>
      <c r="E48" s="522">
        <f>IF(+I14&lt;F47,I14,D48)</f>
        <v>242472.75340909089</v>
      </c>
      <c r="F48" s="523">
        <f t="shared" si="16"/>
        <v>2975013.4354011267</v>
      </c>
      <c r="G48" s="524">
        <f t="shared" si="17"/>
        <v>612558.61233442812</v>
      </c>
      <c r="H48" s="491">
        <f t="shared" si="18"/>
        <v>612558.61233442812</v>
      </c>
      <c r="I48" s="511">
        <f t="shared" si="0"/>
        <v>0</v>
      </c>
      <c r="J48" s="511"/>
      <c r="K48" s="525"/>
      <c r="L48" s="514">
        <f t="shared" si="2"/>
        <v>0</v>
      </c>
      <c r="M48" s="525"/>
      <c r="N48" s="514">
        <f t="shared" si="4"/>
        <v>0</v>
      </c>
      <c r="O48" s="514">
        <f t="shared" si="5"/>
        <v>0</v>
      </c>
      <c r="P48" s="272"/>
    </row>
    <row r="49" spans="2:16">
      <c r="B49" s="195" t="str">
        <f t="shared" si="7"/>
        <v/>
      </c>
      <c r="C49" s="507">
        <f>IF(D11="","-",+C48+1)</f>
        <v>2049</v>
      </c>
      <c r="D49" s="523">
        <f>IF(F48+SUM(E$17:E48)=D$10,F48,D$10-SUM(E$17:E48))</f>
        <v>2975013.4354011267</v>
      </c>
      <c r="E49" s="522">
        <f>IF(+I14&lt;F48,I14,D49)</f>
        <v>242472.75340909089</v>
      </c>
      <c r="F49" s="523">
        <f t="shared" si="16"/>
        <v>2732540.6819920358</v>
      </c>
      <c r="G49" s="524">
        <f t="shared" ref="G49:G72" si="19">+I$12*((D49+F49)/2)+E49</f>
        <v>583576.53961518314</v>
      </c>
      <c r="H49" s="491">
        <f t="shared" ref="H49:H72" si="20">+I$13*((D49+F49)/2)+E49</f>
        <v>583576.53961518314</v>
      </c>
      <c r="I49" s="511">
        <f t="shared" si="0"/>
        <v>0</v>
      </c>
      <c r="J49" s="511"/>
      <c r="K49" s="525"/>
      <c r="L49" s="514">
        <f t="shared" si="2"/>
        <v>0</v>
      </c>
      <c r="M49" s="525"/>
      <c r="N49" s="514">
        <f t="shared" si="4"/>
        <v>0</v>
      </c>
      <c r="O49" s="514">
        <f t="shared" si="5"/>
        <v>0</v>
      </c>
      <c r="P49" s="272"/>
    </row>
    <row r="50" spans="2:16">
      <c r="B50" s="195" t="str">
        <f t="shared" si="7"/>
        <v/>
      </c>
      <c r="C50" s="507">
        <f>IF(D11="","-",+C49+1)</f>
        <v>2050</v>
      </c>
      <c r="D50" s="523">
        <f>IF(F49+SUM(E$17:E49)=D$10,F49,D$10-SUM(E$17:E49))</f>
        <v>2732540.6819920358</v>
      </c>
      <c r="E50" s="522">
        <f>IF(+I14&lt;F49,I14,D50)</f>
        <v>242472.75340909089</v>
      </c>
      <c r="F50" s="523">
        <f t="shared" si="16"/>
        <v>2490067.9285829449</v>
      </c>
      <c r="G50" s="524">
        <f t="shared" si="19"/>
        <v>554594.46689593839</v>
      </c>
      <c r="H50" s="491">
        <f t="shared" si="20"/>
        <v>554594.46689593839</v>
      </c>
      <c r="I50" s="511">
        <f t="shared" si="0"/>
        <v>0</v>
      </c>
      <c r="J50" s="511"/>
      <c r="K50" s="525"/>
      <c r="L50" s="514">
        <f t="shared" si="2"/>
        <v>0</v>
      </c>
      <c r="M50" s="525"/>
      <c r="N50" s="514">
        <f t="shared" si="4"/>
        <v>0</v>
      </c>
      <c r="O50" s="514">
        <f t="shared" si="5"/>
        <v>0</v>
      </c>
      <c r="P50" s="272"/>
    </row>
    <row r="51" spans="2:16">
      <c r="B51" s="195" t="str">
        <f t="shared" si="7"/>
        <v/>
      </c>
      <c r="C51" s="507">
        <f>IF(D11="","-",+C50+1)</f>
        <v>2051</v>
      </c>
      <c r="D51" s="523">
        <f>IF(F50+SUM(E$17:E50)=D$10,F50,D$10-SUM(E$17:E50))</f>
        <v>2490067.9285829449</v>
      </c>
      <c r="E51" s="522">
        <f>IF(+I14&lt;F50,I14,D51)</f>
        <v>242472.75340909089</v>
      </c>
      <c r="F51" s="523">
        <f t="shared" si="16"/>
        <v>2247595.175173854</v>
      </c>
      <c r="G51" s="524">
        <f t="shared" si="19"/>
        <v>525612.3941766934</v>
      </c>
      <c r="H51" s="491">
        <f t="shared" si="20"/>
        <v>525612.3941766934</v>
      </c>
      <c r="I51" s="511">
        <f t="shared" si="0"/>
        <v>0</v>
      </c>
      <c r="J51" s="511"/>
      <c r="K51" s="525"/>
      <c r="L51" s="514">
        <f t="shared" si="2"/>
        <v>0</v>
      </c>
      <c r="M51" s="525"/>
      <c r="N51" s="514">
        <f t="shared" si="4"/>
        <v>0</v>
      </c>
      <c r="O51" s="514">
        <f t="shared" si="5"/>
        <v>0</v>
      </c>
      <c r="P51" s="272"/>
    </row>
    <row r="52" spans="2:16">
      <c r="B52" s="195" t="str">
        <f t="shared" si="7"/>
        <v/>
      </c>
      <c r="C52" s="507">
        <f>IF(D11="","-",+C51+1)</f>
        <v>2052</v>
      </c>
      <c r="D52" s="523">
        <f>IF(F51+SUM(E$17:E51)=D$10,F51,D$10-SUM(E$17:E51))</f>
        <v>2247595.175173854</v>
      </c>
      <c r="E52" s="522">
        <f>IF(+I14&lt;F51,I14,D52)</f>
        <v>242472.75340909089</v>
      </c>
      <c r="F52" s="523">
        <f t="shared" si="16"/>
        <v>2005122.4217647631</v>
      </c>
      <c r="G52" s="524">
        <f t="shared" si="19"/>
        <v>496630.32145744859</v>
      </c>
      <c r="H52" s="491">
        <f t="shared" si="20"/>
        <v>496630.32145744859</v>
      </c>
      <c r="I52" s="511">
        <f t="shared" si="0"/>
        <v>0</v>
      </c>
      <c r="J52" s="511"/>
      <c r="K52" s="525"/>
      <c r="L52" s="514">
        <f t="shared" si="2"/>
        <v>0</v>
      </c>
      <c r="M52" s="525"/>
      <c r="N52" s="514">
        <f t="shared" si="4"/>
        <v>0</v>
      </c>
      <c r="O52" s="514">
        <f t="shared" si="5"/>
        <v>0</v>
      </c>
      <c r="P52" s="272"/>
    </row>
    <row r="53" spans="2:16">
      <c r="B53" s="195" t="str">
        <f t="shared" si="7"/>
        <v/>
      </c>
      <c r="C53" s="507">
        <f>IF(D11="","-",+C52+1)</f>
        <v>2053</v>
      </c>
      <c r="D53" s="523">
        <f>IF(F52+SUM(E$17:E52)=D$10,F52,D$10-SUM(E$17:E52))</f>
        <v>2005122.4217647631</v>
      </c>
      <c r="E53" s="522">
        <f>IF(+I14&lt;F52,I14,D53)</f>
        <v>242472.75340909089</v>
      </c>
      <c r="F53" s="523">
        <f t="shared" si="16"/>
        <v>1762649.6683556722</v>
      </c>
      <c r="G53" s="524">
        <f t="shared" si="19"/>
        <v>467648.24873820366</v>
      </c>
      <c r="H53" s="491">
        <f t="shared" si="20"/>
        <v>467648.24873820366</v>
      </c>
      <c r="I53" s="511">
        <f t="shared" si="0"/>
        <v>0</v>
      </c>
      <c r="J53" s="511"/>
      <c r="K53" s="525"/>
      <c r="L53" s="514">
        <f t="shared" si="2"/>
        <v>0</v>
      </c>
      <c r="M53" s="525"/>
      <c r="N53" s="514">
        <f t="shared" si="4"/>
        <v>0</v>
      </c>
      <c r="O53" s="514">
        <f t="shared" si="5"/>
        <v>0</v>
      </c>
      <c r="P53" s="272"/>
    </row>
    <row r="54" spans="2:16">
      <c r="B54" s="195" t="str">
        <f t="shared" si="7"/>
        <v/>
      </c>
      <c r="C54" s="507">
        <f>IF(D11="","-",+C53+1)</f>
        <v>2054</v>
      </c>
      <c r="D54" s="523">
        <f>IF(F53+SUM(E$17:E53)=D$10,F53,D$10-SUM(E$17:E53))</f>
        <v>1762649.6683556722</v>
      </c>
      <c r="E54" s="522">
        <f>IF(+I14&lt;F53,I14,D54)</f>
        <v>242472.75340909089</v>
      </c>
      <c r="F54" s="523">
        <f t="shared" si="16"/>
        <v>1520176.9149465812</v>
      </c>
      <c r="G54" s="524">
        <f t="shared" si="19"/>
        <v>438666.17601895879</v>
      </c>
      <c r="H54" s="491">
        <f t="shared" si="20"/>
        <v>438666.17601895879</v>
      </c>
      <c r="I54" s="511">
        <f t="shared" si="0"/>
        <v>0</v>
      </c>
      <c r="J54" s="511"/>
      <c r="K54" s="525"/>
      <c r="L54" s="514">
        <f t="shared" si="2"/>
        <v>0</v>
      </c>
      <c r="M54" s="525"/>
      <c r="N54" s="514">
        <f t="shared" si="4"/>
        <v>0</v>
      </c>
      <c r="O54" s="514">
        <f t="shared" si="5"/>
        <v>0</v>
      </c>
      <c r="P54" s="272"/>
    </row>
    <row r="55" spans="2:16">
      <c r="B55" s="195" t="str">
        <f t="shared" si="7"/>
        <v/>
      </c>
      <c r="C55" s="507">
        <f>IF(D11="","-",+C54+1)</f>
        <v>2055</v>
      </c>
      <c r="D55" s="523">
        <f>IF(F54+SUM(E$17:E54)=D$10,F54,D$10-SUM(E$17:E54))</f>
        <v>1520176.9149465812</v>
      </c>
      <c r="E55" s="522">
        <f>IF(+I14&lt;F54,I14,D55)</f>
        <v>242472.75340909089</v>
      </c>
      <c r="F55" s="523">
        <f t="shared" si="16"/>
        <v>1277704.1615374903</v>
      </c>
      <c r="G55" s="524">
        <f t="shared" si="19"/>
        <v>409684.10329971393</v>
      </c>
      <c r="H55" s="491">
        <f t="shared" si="20"/>
        <v>409684.10329971393</v>
      </c>
      <c r="I55" s="511">
        <f t="shared" si="0"/>
        <v>0</v>
      </c>
      <c r="J55" s="511"/>
      <c r="K55" s="525"/>
      <c r="L55" s="514">
        <f t="shared" si="2"/>
        <v>0</v>
      </c>
      <c r="M55" s="525"/>
      <c r="N55" s="514">
        <f t="shared" si="4"/>
        <v>0</v>
      </c>
      <c r="O55" s="514">
        <f t="shared" si="5"/>
        <v>0</v>
      </c>
      <c r="P55" s="272"/>
    </row>
    <row r="56" spans="2:16">
      <c r="B56" s="195" t="str">
        <f t="shared" si="7"/>
        <v/>
      </c>
      <c r="C56" s="507">
        <f>IF(D11="","-",+C55+1)</f>
        <v>2056</v>
      </c>
      <c r="D56" s="523">
        <f>IF(F55+SUM(E$17:E55)=D$10,F55,D$10-SUM(E$17:E55))</f>
        <v>1277704.1615374903</v>
      </c>
      <c r="E56" s="522">
        <f>IF(+I14&lt;F55,I14,D56)</f>
        <v>242472.75340909089</v>
      </c>
      <c r="F56" s="523">
        <f t="shared" si="16"/>
        <v>1035231.4081283994</v>
      </c>
      <c r="G56" s="524">
        <f t="shared" si="19"/>
        <v>380702.03058046906</v>
      </c>
      <c r="H56" s="491">
        <f t="shared" si="20"/>
        <v>380702.03058046906</v>
      </c>
      <c r="I56" s="511">
        <f t="shared" si="0"/>
        <v>0</v>
      </c>
      <c r="J56" s="511"/>
      <c r="K56" s="525"/>
      <c r="L56" s="514">
        <f t="shared" si="2"/>
        <v>0</v>
      </c>
      <c r="M56" s="525"/>
      <c r="N56" s="514">
        <f t="shared" si="4"/>
        <v>0</v>
      </c>
      <c r="O56" s="514">
        <f t="shared" si="5"/>
        <v>0</v>
      </c>
      <c r="P56" s="272"/>
    </row>
    <row r="57" spans="2:16">
      <c r="B57" s="195" t="str">
        <f t="shared" si="7"/>
        <v/>
      </c>
      <c r="C57" s="507">
        <f>IF(D11="","-",+C56+1)</f>
        <v>2057</v>
      </c>
      <c r="D57" s="523">
        <f>IF(F56+SUM(E$17:E56)=D$10,F56,D$10-SUM(E$17:E56))</f>
        <v>1035231.4081283994</v>
      </c>
      <c r="E57" s="522">
        <f>IF(+I14&lt;F56,I14,D57)</f>
        <v>242472.75340909089</v>
      </c>
      <c r="F57" s="523">
        <f t="shared" si="16"/>
        <v>792758.65471930848</v>
      </c>
      <c r="G57" s="524">
        <f t="shared" si="19"/>
        <v>351719.95786122413</v>
      </c>
      <c r="H57" s="491">
        <f t="shared" si="20"/>
        <v>351719.95786122413</v>
      </c>
      <c r="I57" s="511">
        <f t="shared" si="0"/>
        <v>0</v>
      </c>
      <c r="J57" s="511"/>
      <c r="K57" s="525"/>
      <c r="L57" s="514">
        <f t="shared" si="2"/>
        <v>0</v>
      </c>
      <c r="M57" s="525"/>
      <c r="N57" s="514">
        <f t="shared" si="4"/>
        <v>0</v>
      </c>
      <c r="O57" s="514">
        <f t="shared" si="5"/>
        <v>0</v>
      </c>
      <c r="P57" s="272"/>
    </row>
    <row r="58" spans="2:16">
      <c r="B58" s="195" t="str">
        <f t="shared" si="7"/>
        <v/>
      </c>
      <c r="C58" s="507">
        <f>IF(D11="","-",+C57+1)</f>
        <v>2058</v>
      </c>
      <c r="D58" s="523">
        <f>IF(F57+SUM(E$17:E57)=D$10,F57,D$10-SUM(E$17:E57))</f>
        <v>792758.65471930848</v>
      </c>
      <c r="E58" s="522">
        <f>IF(+I14&lt;F57,I14,D58)</f>
        <v>242472.75340909089</v>
      </c>
      <c r="F58" s="523">
        <f t="shared" si="16"/>
        <v>550285.90131021757</v>
      </c>
      <c r="G58" s="524">
        <f t="shared" si="19"/>
        <v>322737.88514197926</v>
      </c>
      <c r="H58" s="491">
        <f t="shared" si="20"/>
        <v>322737.88514197926</v>
      </c>
      <c r="I58" s="511">
        <f t="shared" si="0"/>
        <v>0</v>
      </c>
      <c r="J58" s="511"/>
      <c r="K58" s="525"/>
      <c r="L58" s="514">
        <f t="shared" si="2"/>
        <v>0</v>
      </c>
      <c r="M58" s="525"/>
      <c r="N58" s="514">
        <f t="shared" si="4"/>
        <v>0</v>
      </c>
      <c r="O58" s="514">
        <f t="shared" si="5"/>
        <v>0</v>
      </c>
      <c r="P58" s="272"/>
    </row>
    <row r="59" spans="2:16">
      <c r="B59" s="195" t="str">
        <f t="shared" si="7"/>
        <v/>
      </c>
      <c r="C59" s="507">
        <f>IF(D11="","-",+C58+1)</f>
        <v>2059</v>
      </c>
      <c r="D59" s="523">
        <f>IF(F58+SUM(E$17:E58)=D$10,F58,D$10-SUM(E$17:E58))</f>
        <v>550285.90131021757</v>
      </c>
      <c r="E59" s="522">
        <f>IF(+I14&lt;F58,I14,D59)</f>
        <v>242472.75340909089</v>
      </c>
      <c r="F59" s="523">
        <f t="shared" si="16"/>
        <v>307813.14790112665</v>
      </c>
      <c r="G59" s="524">
        <f t="shared" si="19"/>
        <v>293755.81242273439</v>
      </c>
      <c r="H59" s="491">
        <f t="shared" si="20"/>
        <v>293755.81242273439</v>
      </c>
      <c r="I59" s="511">
        <f t="shared" si="0"/>
        <v>0</v>
      </c>
      <c r="J59" s="511"/>
      <c r="K59" s="525"/>
      <c r="L59" s="514">
        <f t="shared" si="2"/>
        <v>0</v>
      </c>
      <c r="M59" s="525"/>
      <c r="N59" s="514">
        <f t="shared" si="4"/>
        <v>0</v>
      </c>
      <c r="O59" s="514">
        <f t="shared" si="5"/>
        <v>0</v>
      </c>
      <c r="P59" s="272"/>
    </row>
    <row r="60" spans="2:16">
      <c r="B60" s="195" t="str">
        <f t="shared" si="7"/>
        <v/>
      </c>
      <c r="C60" s="507">
        <f>IF(D11="","-",+C59+1)</f>
        <v>2060</v>
      </c>
      <c r="D60" s="523">
        <f>IF(F59+SUM(E$17:E59)=D$10,F59,D$10-SUM(E$17:E59))</f>
        <v>307813.14790112665</v>
      </c>
      <c r="E60" s="522">
        <f>IF(+I14&lt;F59,I14,D60)</f>
        <v>242472.75340909089</v>
      </c>
      <c r="F60" s="523">
        <f t="shared" si="16"/>
        <v>65340.394492035761</v>
      </c>
      <c r="G60" s="524">
        <f t="shared" si="19"/>
        <v>264773.73970348947</v>
      </c>
      <c r="H60" s="491">
        <f t="shared" si="20"/>
        <v>264773.73970348947</v>
      </c>
      <c r="I60" s="511">
        <f t="shared" si="0"/>
        <v>0</v>
      </c>
      <c r="J60" s="511"/>
      <c r="K60" s="525"/>
      <c r="L60" s="514">
        <f t="shared" si="2"/>
        <v>0</v>
      </c>
      <c r="M60" s="525"/>
      <c r="N60" s="514">
        <f t="shared" si="4"/>
        <v>0</v>
      </c>
      <c r="O60" s="514">
        <f t="shared" si="5"/>
        <v>0</v>
      </c>
      <c r="P60" s="272"/>
    </row>
    <row r="61" spans="2:16">
      <c r="B61" s="195" t="str">
        <f t="shared" si="7"/>
        <v/>
      </c>
      <c r="C61" s="507">
        <f>IF(D11="","-",+C60+1)</f>
        <v>2061</v>
      </c>
      <c r="D61" s="523">
        <f>IF(F60+SUM(E$17:E60)=D$10,F60,D$10-SUM(E$17:E60))</f>
        <v>65340.394492035761</v>
      </c>
      <c r="E61" s="522">
        <f>IF(+I14&lt;F60,I14,D61)</f>
        <v>65340.394492035761</v>
      </c>
      <c r="F61" s="523">
        <f t="shared" si="16"/>
        <v>0</v>
      </c>
      <c r="G61" s="526">
        <f t="shared" si="19"/>
        <v>69245.369459423848</v>
      </c>
      <c r="H61" s="491">
        <f t="shared" si="20"/>
        <v>69245.369459423848</v>
      </c>
      <c r="I61" s="511">
        <f t="shared" si="0"/>
        <v>0</v>
      </c>
      <c r="J61" s="511"/>
      <c r="K61" s="525"/>
      <c r="L61" s="514">
        <f t="shared" si="2"/>
        <v>0</v>
      </c>
      <c r="M61" s="525"/>
      <c r="N61" s="514">
        <f t="shared" si="4"/>
        <v>0</v>
      </c>
      <c r="O61" s="514">
        <f t="shared" si="5"/>
        <v>0</v>
      </c>
      <c r="P61" s="272"/>
    </row>
    <row r="62" spans="2:16">
      <c r="B62" s="195" t="str">
        <f t="shared" si="7"/>
        <v/>
      </c>
      <c r="C62" s="507">
        <f>IF(D11="","-",+C61+1)</f>
        <v>2062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16"/>
        <v>0</v>
      </c>
      <c r="G62" s="526">
        <f t="shared" si="19"/>
        <v>0</v>
      </c>
      <c r="H62" s="491">
        <f t="shared" si="20"/>
        <v>0</v>
      </c>
      <c r="I62" s="511">
        <f t="shared" si="0"/>
        <v>0</v>
      </c>
      <c r="J62" s="511"/>
      <c r="K62" s="525"/>
      <c r="L62" s="514">
        <f t="shared" si="2"/>
        <v>0</v>
      </c>
      <c r="M62" s="525"/>
      <c r="N62" s="514">
        <f t="shared" si="4"/>
        <v>0</v>
      </c>
      <c r="O62" s="514">
        <f t="shared" si="5"/>
        <v>0</v>
      </c>
      <c r="P62" s="272"/>
    </row>
    <row r="63" spans="2:16">
      <c r="B63" s="195" t="str">
        <f t="shared" si="7"/>
        <v/>
      </c>
      <c r="C63" s="507">
        <f>IF(D11="","-",+C62+1)</f>
        <v>2063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16"/>
        <v>0</v>
      </c>
      <c r="G63" s="526">
        <f t="shared" si="19"/>
        <v>0</v>
      </c>
      <c r="H63" s="491">
        <f t="shared" si="20"/>
        <v>0</v>
      </c>
      <c r="I63" s="511">
        <f t="shared" si="0"/>
        <v>0</v>
      </c>
      <c r="J63" s="511"/>
      <c r="K63" s="525"/>
      <c r="L63" s="514">
        <f t="shared" si="2"/>
        <v>0</v>
      </c>
      <c r="M63" s="525"/>
      <c r="N63" s="514">
        <f t="shared" si="4"/>
        <v>0</v>
      </c>
      <c r="O63" s="514">
        <f t="shared" si="5"/>
        <v>0</v>
      </c>
      <c r="P63" s="272"/>
    </row>
    <row r="64" spans="2:16">
      <c r="B64" s="195" t="str">
        <f t="shared" si="7"/>
        <v/>
      </c>
      <c r="C64" s="507">
        <f>IF(D11="","-",+C63+1)</f>
        <v>2064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16"/>
        <v>0</v>
      </c>
      <c r="G64" s="526">
        <f t="shared" si="19"/>
        <v>0</v>
      </c>
      <c r="H64" s="491">
        <f t="shared" si="20"/>
        <v>0</v>
      </c>
      <c r="I64" s="511">
        <f t="shared" si="0"/>
        <v>0</v>
      </c>
      <c r="J64" s="511"/>
      <c r="K64" s="525"/>
      <c r="L64" s="514">
        <f t="shared" si="2"/>
        <v>0</v>
      </c>
      <c r="M64" s="525"/>
      <c r="N64" s="514">
        <f t="shared" si="4"/>
        <v>0</v>
      </c>
      <c r="O64" s="514">
        <f t="shared" si="5"/>
        <v>0</v>
      </c>
      <c r="P64" s="272"/>
    </row>
    <row r="65" spans="2:16">
      <c r="B65" s="195" t="str">
        <f t="shared" si="7"/>
        <v/>
      </c>
      <c r="C65" s="507">
        <f>IF(D11="","-",+C64+1)</f>
        <v>2065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16"/>
        <v>0</v>
      </c>
      <c r="G65" s="526">
        <f t="shared" si="19"/>
        <v>0</v>
      </c>
      <c r="H65" s="491">
        <f t="shared" si="20"/>
        <v>0</v>
      </c>
      <c r="I65" s="511">
        <f t="shared" si="0"/>
        <v>0</v>
      </c>
      <c r="J65" s="511"/>
      <c r="K65" s="525"/>
      <c r="L65" s="514">
        <f t="shared" si="2"/>
        <v>0</v>
      </c>
      <c r="M65" s="525"/>
      <c r="N65" s="514">
        <f t="shared" si="4"/>
        <v>0</v>
      </c>
      <c r="O65" s="514">
        <f t="shared" si="5"/>
        <v>0</v>
      </c>
      <c r="P65" s="272"/>
    </row>
    <row r="66" spans="2:16">
      <c r="B66" s="195" t="str">
        <f t="shared" si="7"/>
        <v/>
      </c>
      <c r="C66" s="507">
        <f>IF(D11="","-",+C65+1)</f>
        <v>2066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16"/>
        <v>0</v>
      </c>
      <c r="G66" s="526">
        <f t="shared" si="19"/>
        <v>0</v>
      </c>
      <c r="H66" s="491">
        <f t="shared" si="20"/>
        <v>0</v>
      </c>
      <c r="I66" s="511">
        <f t="shared" si="0"/>
        <v>0</v>
      </c>
      <c r="J66" s="511"/>
      <c r="K66" s="525"/>
      <c r="L66" s="514">
        <f t="shared" si="2"/>
        <v>0</v>
      </c>
      <c r="M66" s="525"/>
      <c r="N66" s="514">
        <f t="shared" si="4"/>
        <v>0</v>
      </c>
      <c r="O66" s="514">
        <f t="shared" si="5"/>
        <v>0</v>
      </c>
      <c r="P66" s="272"/>
    </row>
    <row r="67" spans="2:16">
      <c r="B67" s="195" t="str">
        <f t="shared" si="7"/>
        <v/>
      </c>
      <c r="C67" s="507">
        <f>IF(D11="","-",+C66+1)</f>
        <v>2067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16"/>
        <v>0</v>
      </c>
      <c r="G67" s="526">
        <f t="shared" si="19"/>
        <v>0</v>
      </c>
      <c r="H67" s="491">
        <f t="shared" si="20"/>
        <v>0</v>
      </c>
      <c r="I67" s="511">
        <f t="shared" si="0"/>
        <v>0</v>
      </c>
      <c r="J67" s="511"/>
      <c r="K67" s="525"/>
      <c r="L67" s="514">
        <f t="shared" si="2"/>
        <v>0</v>
      </c>
      <c r="M67" s="525"/>
      <c r="N67" s="514">
        <f t="shared" si="4"/>
        <v>0</v>
      </c>
      <c r="O67" s="514">
        <f t="shared" si="5"/>
        <v>0</v>
      </c>
      <c r="P67" s="272"/>
    </row>
    <row r="68" spans="2:16">
      <c r="B68" s="195" t="str">
        <f t="shared" si="7"/>
        <v/>
      </c>
      <c r="C68" s="507">
        <f>IF(D11="","-",+C67+1)</f>
        <v>2068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16"/>
        <v>0</v>
      </c>
      <c r="G68" s="526">
        <f t="shared" si="19"/>
        <v>0</v>
      </c>
      <c r="H68" s="491">
        <f t="shared" si="20"/>
        <v>0</v>
      </c>
      <c r="I68" s="511">
        <f t="shared" si="0"/>
        <v>0</v>
      </c>
      <c r="J68" s="511"/>
      <c r="K68" s="525"/>
      <c r="L68" s="514">
        <f t="shared" si="2"/>
        <v>0</v>
      </c>
      <c r="M68" s="525"/>
      <c r="N68" s="514">
        <f t="shared" si="4"/>
        <v>0</v>
      </c>
      <c r="O68" s="514">
        <f t="shared" si="5"/>
        <v>0</v>
      </c>
      <c r="P68" s="272"/>
    </row>
    <row r="69" spans="2:16">
      <c r="B69" s="195" t="str">
        <f t="shared" si="7"/>
        <v/>
      </c>
      <c r="C69" s="507">
        <f>IF(D11="","-",+C68+1)</f>
        <v>2069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16"/>
        <v>0</v>
      </c>
      <c r="G69" s="526">
        <f t="shared" si="19"/>
        <v>0</v>
      </c>
      <c r="H69" s="491">
        <f t="shared" si="20"/>
        <v>0</v>
      </c>
      <c r="I69" s="511">
        <f t="shared" si="0"/>
        <v>0</v>
      </c>
      <c r="J69" s="511"/>
      <c r="K69" s="525"/>
      <c r="L69" s="514">
        <f t="shared" si="2"/>
        <v>0</v>
      </c>
      <c r="M69" s="525"/>
      <c r="N69" s="514">
        <f t="shared" si="4"/>
        <v>0</v>
      </c>
      <c r="O69" s="514">
        <f t="shared" si="5"/>
        <v>0</v>
      </c>
      <c r="P69" s="272"/>
    </row>
    <row r="70" spans="2:16">
      <c r="B70" s="195" t="str">
        <f t="shared" si="7"/>
        <v/>
      </c>
      <c r="C70" s="507">
        <f>IF(D11="","-",+C69+1)</f>
        <v>2070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16"/>
        <v>0</v>
      </c>
      <c r="G70" s="526">
        <f t="shared" si="19"/>
        <v>0</v>
      </c>
      <c r="H70" s="491">
        <f t="shared" si="20"/>
        <v>0</v>
      </c>
      <c r="I70" s="511">
        <f t="shared" si="0"/>
        <v>0</v>
      </c>
      <c r="J70" s="511"/>
      <c r="K70" s="525"/>
      <c r="L70" s="514">
        <f t="shared" si="2"/>
        <v>0</v>
      </c>
      <c r="M70" s="525"/>
      <c r="N70" s="514">
        <f t="shared" si="4"/>
        <v>0</v>
      </c>
      <c r="O70" s="514">
        <f t="shared" si="5"/>
        <v>0</v>
      </c>
      <c r="P70" s="272"/>
    </row>
    <row r="71" spans="2:16">
      <c r="B71" s="195" t="str">
        <f t="shared" si="7"/>
        <v/>
      </c>
      <c r="C71" s="507">
        <f>IF(D11="","-",+C70+1)</f>
        <v>2071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16"/>
        <v>0</v>
      </c>
      <c r="G71" s="526">
        <f t="shared" si="19"/>
        <v>0</v>
      </c>
      <c r="H71" s="491">
        <f t="shared" si="20"/>
        <v>0</v>
      </c>
      <c r="I71" s="511">
        <f t="shared" si="0"/>
        <v>0</v>
      </c>
      <c r="J71" s="511"/>
      <c r="K71" s="525"/>
      <c r="L71" s="514">
        <f t="shared" si="2"/>
        <v>0</v>
      </c>
      <c r="M71" s="525"/>
      <c r="N71" s="514">
        <f t="shared" si="4"/>
        <v>0</v>
      </c>
      <c r="O71" s="514">
        <f t="shared" si="5"/>
        <v>0</v>
      </c>
      <c r="P71" s="272"/>
    </row>
    <row r="72" spans="2:16" ht="13.5" thickBot="1">
      <c r="B72" s="195" t="str">
        <f t="shared" si="7"/>
        <v/>
      </c>
      <c r="C72" s="527">
        <f>IF(D11="","-",+C71+1)</f>
        <v>2072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16"/>
        <v>0</v>
      </c>
      <c r="G72" s="530">
        <f t="shared" si="19"/>
        <v>0</v>
      </c>
      <c r="H72" s="471">
        <f t="shared" si="20"/>
        <v>0</v>
      </c>
      <c r="I72" s="531">
        <f t="shared" si="0"/>
        <v>0</v>
      </c>
      <c r="J72" s="511"/>
      <c r="K72" s="532"/>
      <c r="L72" s="533">
        <f t="shared" si="2"/>
        <v>0</v>
      </c>
      <c r="M72" s="532"/>
      <c r="N72" s="533">
        <f t="shared" si="4"/>
        <v>0</v>
      </c>
      <c r="O72" s="533">
        <f t="shared" si="5"/>
        <v>0</v>
      </c>
      <c r="P72" s="272"/>
    </row>
    <row r="73" spans="2:16">
      <c r="C73" s="374" t="s">
        <v>78</v>
      </c>
      <c r="D73" s="375"/>
      <c r="E73" s="375">
        <f>SUM(E17:E72)</f>
        <v>10668801.150000002</v>
      </c>
      <c r="F73" s="375"/>
      <c r="G73" s="375">
        <f>SUM(G17:G72)</f>
        <v>37861716.983042136</v>
      </c>
      <c r="H73" s="375">
        <f>SUM(H17:H72)</f>
        <v>37861716.983042136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2:16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2:16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2:16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2:16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272"/>
      <c r="P77" s="272"/>
    </row>
    <row r="78" spans="2:16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2:16"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  <c r="O79" s="269"/>
      <c r="P79" s="269"/>
    </row>
    <row r="80" spans="2:16" ht="18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6">
      <c r="B81" s="269"/>
      <c r="C81" s="340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6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</row>
    <row r="83" spans="1:16" ht="20.25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451" t="str">
        <f ca="1">P1</f>
        <v>SWEPCO Project 67 of 75</v>
      </c>
    </row>
    <row r="84" spans="1:16" ht="18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538" t="s">
        <v>128</v>
      </c>
    </row>
    <row r="85" spans="1:16" ht="18.7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</row>
    <row r="86" spans="1:16" ht="15.75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2022</v>
      </c>
      <c r="M86" s="541" t="s">
        <v>9</v>
      </c>
      <c r="N86" s="542" t="s">
        <v>159</v>
      </c>
      <c r="O86" s="543" t="s">
        <v>11</v>
      </c>
      <c r="P86" s="269"/>
    </row>
    <row r="87" spans="1:16" ht="1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391</v>
      </c>
      <c r="M87" s="546">
        <f>IF(J92&lt;D11,0,VLOOKUP(J92,C17:O72,9))</f>
        <v>1313001.915934932</v>
      </c>
      <c r="N87" s="546">
        <f>IF(J92&lt;D11,0,VLOOKUP(J92,C17:O72,11))</f>
        <v>1313001.915934932</v>
      </c>
      <c r="O87" s="547">
        <f>+N87-M87</f>
        <v>0</v>
      </c>
      <c r="P87" s="269"/>
    </row>
    <row r="88" spans="1:16" ht="15.7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392</v>
      </c>
      <c r="M88" s="550">
        <f>IF(J92&lt;D11,0,VLOOKUP(J92,C99:P154,6))</f>
        <v>1350693.7188751008</v>
      </c>
      <c r="N88" s="550">
        <f>IF(J92&lt;D11,0,VLOOKUP(J92,C99:P154,7))</f>
        <v>1350693.7188751008</v>
      </c>
      <c r="O88" s="551">
        <f>+N88-M88</f>
        <v>0</v>
      </c>
      <c r="P88" s="269"/>
    </row>
    <row r="89" spans="1:16" ht="13.5" thickBot="1">
      <c r="C89" s="467" t="s">
        <v>84</v>
      </c>
      <c r="D89" s="552" t="str">
        <f>+D7</f>
        <v>Chamber Springs - Farmington 161 kV Line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37691.802940168884</v>
      </c>
      <c r="N89" s="555">
        <f>+N88-N87</f>
        <v>37691.802940168884</v>
      </c>
      <c r="O89" s="556">
        <f>+O88-O87</f>
        <v>0</v>
      </c>
      <c r="P89" s="269"/>
    </row>
    <row r="90" spans="1:16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</row>
    <row r="91" spans="1:16" ht="13.5" thickBot="1">
      <c r="A91" s="191"/>
      <c r="C91" s="558" t="s">
        <v>85</v>
      </c>
      <c r="D91" s="559" t="str">
        <f>+D9</f>
        <v>TP2011147</v>
      </c>
      <c r="E91" s="560"/>
      <c r="F91" s="560"/>
      <c r="G91" s="560"/>
      <c r="H91" s="560"/>
      <c r="I91" s="560"/>
      <c r="J91" s="560"/>
      <c r="K91" s="562"/>
      <c r="P91" s="481"/>
    </row>
    <row r="92" spans="1:16">
      <c r="C92" s="486" t="s">
        <v>51</v>
      </c>
      <c r="D92" s="564">
        <v>10668801</v>
      </c>
      <c r="E92" s="340" t="s">
        <v>86</v>
      </c>
      <c r="H92" s="484"/>
      <c r="I92" s="484"/>
      <c r="J92" s="485">
        <f>+'SWE.WS.G.BPU.ATRR.True-up'!M16</f>
        <v>2022</v>
      </c>
      <c r="K92" s="480"/>
      <c r="L92" s="375" t="s">
        <v>87</v>
      </c>
      <c r="P92" s="272"/>
    </row>
    <row r="93" spans="1:16">
      <c r="C93" s="486" t="s">
        <v>54</v>
      </c>
      <c r="D93" s="563">
        <f>IF(D11=I10,"",D11)</f>
        <v>2017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</row>
    <row r="94" spans="1:16">
      <c r="C94" s="486" t="s">
        <v>56</v>
      </c>
      <c r="D94" s="564">
        <f>IF(D11=I10,"",D12)</f>
        <v>3</v>
      </c>
      <c r="E94" s="486" t="s">
        <v>57</v>
      </c>
      <c r="F94" s="484"/>
      <c r="G94" s="484"/>
      <c r="J94" s="490">
        <f>'SWE.WS.G.BPU.ATRR.True-up'!$F$81</f>
        <v>0.11351422637179906</v>
      </c>
      <c r="K94" s="425"/>
      <c r="L94" s="183" t="s">
        <v>88</v>
      </c>
      <c r="P94" s="272"/>
    </row>
    <row r="95" spans="1:16">
      <c r="C95" s="486" t="s">
        <v>59</v>
      </c>
      <c r="D95" s="488">
        <f>'SWE.WS.G.BPU.ATRR.True-up'!F$93</f>
        <v>41</v>
      </c>
      <c r="E95" s="486" t="s">
        <v>60</v>
      </c>
      <c r="F95" s="484"/>
      <c r="G95" s="484"/>
      <c r="J95" s="490">
        <f>IF(H87="",J94,'SWE.WS.G.BPU.ATRR.True-up'!$F$80)</f>
        <v>0.11351422637179906</v>
      </c>
      <c r="K95" s="324"/>
      <c r="L95" s="375" t="s">
        <v>61</v>
      </c>
      <c r="M95" s="324"/>
      <c r="N95" s="324"/>
      <c r="O95" s="324"/>
      <c r="P95" s="272"/>
    </row>
    <row r="96" spans="1:16" ht="13.5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260214.65853658537</v>
      </c>
      <c r="K96" s="375"/>
      <c r="L96" s="375"/>
      <c r="M96" s="375"/>
      <c r="N96" s="375"/>
      <c r="O96" s="375"/>
      <c r="P96" s="272"/>
    </row>
    <row r="97" spans="1:16" ht="38.25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388</v>
      </c>
      <c r="I97" s="495" t="s">
        <v>389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</row>
    <row r="98" spans="1:16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602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</row>
    <row r="99" spans="1:16">
      <c r="C99" s="507">
        <f>IF(D93= "","-",D93)</f>
        <v>2017</v>
      </c>
      <c r="D99" s="629">
        <v>0</v>
      </c>
      <c r="E99" s="630">
        <v>188640.89285714284</v>
      </c>
      <c r="F99" s="631">
        <v>10375249.107142856</v>
      </c>
      <c r="G99" s="631">
        <v>5187624.5535714282</v>
      </c>
      <c r="H99" s="633">
        <v>818789.20929668087</v>
      </c>
      <c r="I99" s="634">
        <v>818789.20929668087</v>
      </c>
      <c r="J99" s="514">
        <f t="shared" ref="J99:J130" si="21">+I99-H99</f>
        <v>0</v>
      </c>
      <c r="K99" s="514"/>
      <c r="L99" s="512">
        <f>+H99</f>
        <v>818789.20929668087</v>
      </c>
      <c r="M99" s="513">
        <f t="shared" ref="M99:M130" si="22">IF(L99&lt;&gt;0,+H99-L99,0)</f>
        <v>0</v>
      </c>
      <c r="N99" s="512">
        <f>+I99</f>
        <v>818789.20929668087</v>
      </c>
      <c r="O99" s="513">
        <f t="shared" ref="O99:O130" si="23">IF(N99&lt;&gt;0,+I99-N99,0)</f>
        <v>0</v>
      </c>
      <c r="P99" s="513">
        <f t="shared" ref="P99:P130" si="24">+O99-M99</f>
        <v>0</v>
      </c>
    </row>
    <row r="100" spans="1:16">
      <c r="B100" s="195" t="str">
        <f>IF(D100=F99,"","IU")</f>
        <v>IU</v>
      </c>
      <c r="C100" s="507">
        <f>IF(D93="","-",+C99+1)</f>
        <v>2018</v>
      </c>
      <c r="D100" s="629">
        <v>10481630.107142856</v>
      </c>
      <c r="E100" s="630">
        <v>254054.07142857142</v>
      </c>
      <c r="F100" s="631">
        <v>10227576.035714285</v>
      </c>
      <c r="G100" s="631">
        <v>10354603.071428571</v>
      </c>
      <c r="H100" s="633">
        <v>1347547.6401151039</v>
      </c>
      <c r="I100" s="634">
        <v>1347547.6401151039</v>
      </c>
      <c r="J100" s="514">
        <f t="shared" si="21"/>
        <v>0</v>
      </c>
      <c r="K100" s="514"/>
      <c r="L100" s="655">
        <f>+H100</f>
        <v>1347547.6401151039</v>
      </c>
      <c r="M100" s="514">
        <f t="shared" si="22"/>
        <v>0</v>
      </c>
      <c r="N100" s="655">
        <f>+I100</f>
        <v>1347547.6401151039</v>
      </c>
      <c r="O100" s="514">
        <f t="shared" si="23"/>
        <v>0</v>
      </c>
      <c r="P100" s="514">
        <f t="shared" si="24"/>
        <v>0</v>
      </c>
    </row>
    <row r="101" spans="1:16">
      <c r="B101" s="195" t="str">
        <f t="shared" ref="B101:B154" si="25">IF(D101=F100,"","IU")</f>
        <v>IU</v>
      </c>
      <c r="C101" s="507">
        <f>IF(D93="","-",+C100+1)</f>
        <v>2019</v>
      </c>
      <c r="D101" s="629">
        <v>10226106.035714285</v>
      </c>
      <c r="E101" s="630">
        <v>248111.65116279069</v>
      </c>
      <c r="F101" s="631">
        <v>9977994.3845514953</v>
      </c>
      <c r="G101" s="631">
        <v>10102050.210132889</v>
      </c>
      <c r="H101" s="633">
        <v>1329440.626850764</v>
      </c>
      <c r="I101" s="634">
        <v>1329440.626850764</v>
      </c>
      <c r="J101" s="514">
        <f t="shared" si="21"/>
        <v>0</v>
      </c>
      <c r="K101" s="514"/>
      <c r="L101" s="655">
        <f>+H101</f>
        <v>1329440.626850764</v>
      </c>
      <c r="M101" s="514">
        <f t="shared" ref="M101:M102" si="26">IF(L101&lt;&gt;0,+H101-L101,0)</f>
        <v>0</v>
      </c>
      <c r="N101" s="655">
        <f>+I101</f>
        <v>1329440.626850764</v>
      </c>
      <c r="O101" s="514">
        <f t="shared" si="23"/>
        <v>0</v>
      </c>
      <c r="P101" s="514">
        <f t="shared" si="24"/>
        <v>0</v>
      </c>
    </row>
    <row r="102" spans="1:16">
      <c r="B102" s="195" t="str">
        <f t="shared" si="25"/>
        <v/>
      </c>
      <c r="C102" s="507">
        <f>IF(D93="","-",+C101+1)</f>
        <v>2020</v>
      </c>
      <c r="D102" s="629">
        <v>9977994.3845514953</v>
      </c>
      <c r="E102" s="630">
        <v>254019.07142857142</v>
      </c>
      <c r="F102" s="631">
        <v>9723975.3131229244</v>
      </c>
      <c r="G102" s="631">
        <v>9850984.8488372099</v>
      </c>
      <c r="H102" s="633">
        <v>1313727.2655246886</v>
      </c>
      <c r="I102" s="634">
        <v>1313727.2655246886</v>
      </c>
      <c r="J102" s="514">
        <f t="shared" si="21"/>
        <v>0</v>
      </c>
      <c r="K102" s="514"/>
      <c r="L102" s="655">
        <f>+H102</f>
        <v>1313727.2655246886</v>
      </c>
      <c r="M102" s="514">
        <f t="shared" si="26"/>
        <v>0</v>
      </c>
      <c r="N102" s="655">
        <f>+I102</f>
        <v>1313727.2655246886</v>
      </c>
      <c r="O102" s="514">
        <f t="shared" si="23"/>
        <v>0</v>
      </c>
      <c r="P102" s="514">
        <f t="shared" si="24"/>
        <v>0</v>
      </c>
    </row>
    <row r="103" spans="1:16">
      <c r="B103" s="195" t="str">
        <f t="shared" si="25"/>
        <v/>
      </c>
      <c r="C103" s="507">
        <f>IF(D93="","-",+C102+1)</f>
        <v>2021</v>
      </c>
      <c r="D103" s="629">
        <v>9723975.3131229244</v>
      </c>
      <c r="E103" s="630">
        <v>260214.65853658537</v>
      </c>
      <c r="F103" s="631">
        <v>9463760.6545863394</v>
      </c>
      <c r="G103" s="631">
        <v>9593867.9838546328</v>
      </c>
      <c r="H103" s="633">
        <v>1349255.1606370155</v>
      </c>
      <c r="I103" s="634">
        <v>1349255.1606370155</v>
      </c>
      <c r="J103" s="514">
        <f t="shared" si="21"/>
        <v>0</v>
      </c>
      <c r="K103" s="514"/>
      <c r="L103" s="655">
        <f>+H103</f>
        <v>1349255.1606370155</v>
      </c>
      <c r="M103" s="514">
        <f t="shared" ref="M103" si="27">IF(L103&lt;&gt;0,+H103-L103,0)</f>
        <v>0</v>
      </c>
      <c r="N103" s="655">
        <f>+I103</f>
        <v>1349255.1606370155</v>
      </c>
      <c r="O103" s="514">
        <f t="shared" ref="O103" si="28">IF(N103&lt;&gt;0,+I103-N103,0)</f>
        <v>0</v>
      </c>
      <c r="P103" s="514">
        <f t="shared" ref="P103" si="29">+O103-M103</f>
        <v>0</v>
      </c>
    </row>
    <row r="104" spans="1:16">
      <c r="B104" s="195" t="str">
        <f t="shared" si="25"/>
        <v/>
      </c>
      <c r="C104" s="673">
        <f>IF(D93="","-",+C103+1)</f>
        <v>2022</v>
      </c>
      <c r="D104" s="374">
        <v>9463760.6545863394</v>
      </c>
      <c r="E104" s="522">
        <v>254019.07142857142</v>
      </c>
      <c r="F104" s="523">
        <v>9209741.5831577685</v>
      </c>
      <c r="G104" s="523">
        <v>9336751.1188720539</v>
      </c>
      <c r="H104" s="526">
        <v>1350693.7188751008</v>
      </c>
      <c r="I104" s="577">
        <v>1350693.7188751008</v>
      </c>
      <c r="J104" s="514">
        <f t="shared" si="21"/>
        <v>0</v>
      </c>
      <c r="K104" s="514"/>
      <c r="L104" s="525"/>
      <c r="M104" s="514">
        <f t="shared" si="22"/>
        <v>0</v>
      </c>
      <c r="N104" s="525"/>
      <c r="O104" s="514">
        <f t="shared" si="23"/>
        <v>0</v>
      </c>
      <c r="P104" s="514">
        <f t="shared" si="24"/>
        <v>0</v>
      </c>
    </row>
    <row r="105" spans="1:16">
      <c r="B105" s="195" t="str">
        <f t="shared" si="25"/>
        <v/>
      </c>
      <c r="C105" s="507">
        <f>IF(D93="","-",+C104+1)</f>
        <v>2023</v>
      </c>
      <c r="D105" s="374">
        <f>IF(F104+SUM(E$99:E104)=D$92,F104,D$92-SUM(E$99:E104))</f>
        <v>9209741.5831577685</v>
      </c>
      <c r="E105" s="522">
        <f>IF(+J96&lt;F104,J96,D105)</f>
        <v>260214.65853658537</v>
      </c>
      <c r="F105" s="523">
        <f t="shared" ref="F105:F130" si="30">+D105-E105</f>
        <v>8949526.9246211834</v>
      </c>
      <c r="G105" s="523">
        <f t="shared" ref="G105:G130" si="31">+(F105+D105)/2</f>
        <v>9079634.253889475</v>
      </c>
      <c r="H105" s="526">
        <f t="shared" ref="H105:H154" si="32">+J$94*G105+E105</f>
        <v>1290882.316605736</v>
      </c>
      <c r="I105" s="577">
        <f t="shared" ref="I105:I154" si="33">+J$95*G105+E105</f>
        <v>1290882.316605736</v>
      </c>
      <c r="J105" s="514">
        <f t="shared" si="21"/>
        <v>0</v>
      </c>
      <c r="K105" s="514"/>
      <c r="L105" s="525"/>
      <c r="M105" s="514">
        <f t="shared" si="22"/>
        <v>0</v>
      </c>
      <c r="N105" s="525"/>
      <c r="O105" s="514">
        <f t="shared" si="23"/>
        <v>0</v>
      </c>
      <c r="P105" s="514">
        <f t="shared" si="24"/>
        <v>0</v>
      </c>
    </row>
    <row r="106" spans="1:16">
      <c r="B106" s="195" t="str">
        <f t="shared" si="25"/>
        <v/>
      </c>
      <c r="C106" s="507">
        <f>IF(D93="","-",+C105+1)</f>
        <v>2024</v>
      </c>
      <c r="D106" s="374">
        <f>IF(F105+SUM(E$99:E105)=D$92,F105,D$92-SUM(E$99:E105))</f>
        <v>8949526.9246211834</v>
      </c>
      <c r="E106" s="522">
        <f>IF(+J96&lt;F105,J96,D106)</f>
        <v>260214.65853658537</v>
      </c>
      <c r="F106" s="523">
        <f t="shared" si="30"/>
        <v>8689312.2660845984</v>
      </c>
      <c r="G106" s="523">
        <f t="shared" si="31"/>
        <v>8819419.5953528918</v>
      </c>
      <c r="H106" s="526">
        <f t="shared" si="32"/>
        <v>1261344.2509513539</v>
      </c>
      <c r="I106" s="577">
        <f t="shared" si="33"/>
        <v>1261344.2509513539</v>
      </c>
      <c r="J106" s="514">
        <f t="shared" si="21"/>
        <v>0</v>
      </c>
      <c r="K106" s="514"/>
      <c r="L106" s="525"/>
      <c r="M106" s="514">
        <f t="shared" si="22"/>
        <v>0</v>
      </c>
      <c r="N106" s="525"/>
      <c r="O106" s="514">
        <f t="shared" si="23"/>
        <v>0</v>
      </c>
      <c r="P106" s="514">
        <f t="shared" si="24"/>
        <v>0</v>
      </c>
    </row>
    <row r="107" spans="1:16">
      <c r="B107" s="195" t="str">
        <f t="shared" si="25"/>
        <v/>
      </c>
      <c r="C107" s="507">
        <f>IF(D93="","-",+C106+1)</f>
        <v>2025</v>
      </c>
      <c r="D107" s="374">
        <f>IF(F106+SUM(E$99:E106)=D$92,F106,D$92-SUM(E$99:E106))</f>
        <v>8689312.2660845984</v>
      </c>
      <c r="E107" s="522">
        <f>IF(+J96&lt;F106,J96,D107)</f>
        <v>260214.65853658537</v>
      </c>
      <c r="F107" s="523">
        <f t="shared" si="30"/>
        <v>8429097.6075480133</v>
      </c>
      <c r="G107" s="523">
        <f t="shared" si="31"/>
        <v>8559204.9368163049</v>
      </c>
      <c r="H107" s="526">
        <f t="shared" si="32"/>
        <v>1231806.1852969714</v>
      </c>
      <c r="I107" s="577">
        <f t="shared" si="33"/>
        <v>1231806.1852969714</v>
      </c>
      <c r="J107" s="514">
        <f t="shared" si="21"/>
        <v>0</v>
      </c>
      <c r="K107" s="514"/>
      <c r="L107" s="525"/>
      <c r="M107" s="514">
        <f t="shared" si="22"/>
        <v>0</v>
      </c>
      <c r="N107" s="525"/>
      <c r="O107" s="514">
        <f t="shared" si="23"/>
        <v>0</v>
      </c>
      <c r="P107" s="514">
        <f t="shared" si="24"/>
        <v>0</v>
      </c>
    </row>
    <row r="108" spans="1:16">
      <c r="B108" s="195" t="str">
        <f t="shared" si="25"/>
        <v/>
      </c>
      <c r="C108" s="507">
        <f>IF(D93="","-",+C107+1)</f>
        <v>2026</v>
      </c>
      <c r="D108" s="374">
        <f>IF(F107+SUM(E$99:E107)=D$92,F107,D$92-SUM(E$99:E107))</f>
        <v>8429097.6075480133</v>
      </c>
      <c r="E108" s="522">
        <f>IF(+J96&lt;F107,J96,D108)</f>
        <v>260214.65853658537</v>
      </c>
      <c r="F108" s="523">
        <f t="shared" si="30"/>
        <v>8168882.9490114283</v>
      </c>
      <c r="G108" s="523">
        <f t="shared" si="31"/>
        <v>8298990.2782797208</v>
      </c>
      <c r="H108" s="526">
        <f t="shared" si="32"/>
        <v>1202268.1196425892</v>
      </c>
      <c r="I108" s="577">
        <f t="shared" si="33"/>
        <v>1202268.1196425892</v>
      </c>
      <c r="J108" s="514">
        <f t="shared" si="21"/>
        <v>0</v>
      </c>
      <c r="K108" s="514"/>
      <c r="L108" s="525"/>
      <c r="M108" s="514">
        <f t="shared" si="22"/>
        <v>0</v>
      </c>
      <c r="N108" s="525"/>
      <c r="O108" s="514">
        <f t="shared" si="23"/>
        <v>0</v>
      </c>
      <c r="P108" s="514">
        <f t="shared" si="24"/>
        <v>0</v>
      </c>
    </row>
    <row r="109" spans="1:16">
      <c r="B109" s="195" t="str">
        <f t="shared" si="25"/>
        <v/>
      </c>
      <c r="C109" s="507">
        <f>IF(D93="","-",+C108+1)</f>
        <v>2027</v>
      </c>
      <c r="D109" s="374">
        <f>IF(F108+SUM(E$99:E108)=D$92,F108,D$92-SUM(E$99:E108))</f>
        <v>8168882.9490114283</v>
      </c>
      <c r="E109" s="522">
        <f>IF(+J96&lt;F108,J96,D109)</f>
        <v>260214.65853658537</v>
      </c>
      <c r="F109" s="523">
        <f t="shared" si="30"/>
        <v>7908668.2904748432</v>
      </c>
      <c r="G109" s="523">
        <f t="shared" si="31"/>
        <v>8038775.6197431358</v>
      </c>
      <c r="H109" s="526">
        <f t="shared" si="32"/>
        <v>1172730.0539882069</v>
      </c>
      <c r="I109" s="577">
        <f t="shared" si="33"/>
        <v>1172730.0539882069</v>
      </c>
      <c r="J109" s="514">
        <f t="shared" si="21"/>
        <v>0</v>
      </c>
      <c r="K109" s="514"/>
      <c r="L109" s="525"/>
      <c r="M109" s="514">
        <f t="shared" si="22"/>
        <v>0</v>
      </c>
      <c r="N109" s="525"/>
      <c r="O109" s="514">
        <f t="shared" si="23"/>
        <v>0</v>
      </c>
      <c r="P109" s="514">
        <f t="shared" si="24"/>
        <v>0</v>
      </c>
    </row>
    <row r="110" spans="1:16">
      <c r="B110" s="195" t="str">
        <f t="shared" si="25"/>
        <v/>
      </c>
      <c r="C110" s="507">
        <f>IF(D93="","-",+C109+1)</f>
        <v>2028</v>
      </c>
      <c r="D110" s="374">
        <f>IF(F109+SUM(E$99:E109)=D$92,F109,D$92-SUM(E$99:E109))</f>
        <v>7908668.2904748432</v>
      </c>
      <c r="E110" s="522">
        <f>IF(+J96&lt;F109,J96,D110)</f>
        <v>260214.65853658537</v>
      </c>
      <c r="F110" s="523">
        <f t="shared" si="30"/>
        <v>7648453.6319382582</v>
      </c>
      <c r="G110" s="523">
        <f t="shared" si="31"/>
        <v>7778560.9612065507</v>
      </c>
      <c r="H110" s="526">
        <f t="shared" si="32"/>
        <v>1143191.9883338246</v>
      </c>
      <c r="I110" s="577">
        <f t="shared" si="33"/>
        <v>1143191.9883338246</v>
      </c>
      <c r="J110" s="514">
        <f t="shared" si="21"/>
        <v>0</v>
      </c>
      <c r="K110" s="514"/>
      <c r="L110" s="525"/>
      <c r="M110" s="514">
        <f t="shared" si="22"/>
        <v>0</v>
      </c>
      <c r="N110" s="525"/>
      <c r="O110" s="514">
        <f t="shared" si="23"/>
        <v>0</v>
      </c>
      <c r="P110" s="514">
        <f t="shared" si="24"/>
        <v>0</v>
      </c>
    </row>
    <row r="111" spans="1:16">
      <c r="B111" s="195" t="str">
        <f t="shared" si="25"/>
        <v/>
      </c>
      <c r="C111" s="507">
        <f>IF(D93="","-",+C110+1)</f>
        <v>2029</v>
      </c>
      <c r="D111" s="374">
        <f>IF(F110+SUM(E$99:E110)=D$92,F110,D$92-SUM(E$99:E110))</f>
        <v>7648453.6319382582</v>
      </c>
      <c r="E111" s="522">
        <f>IF(+J96&lt;F110,J96,D111)</f>
        <v>260214.65853658537</v>
      </c>
      <c r="F111" s="523">
        <f t="shared" si="30"/>
        <v>7388238.9734016731</v>
      </c>
      <c r="G111" s="523">
        <f t="shared" si="31"/>
        <v>7518346.3026699657</v>
      </c>
      <c r="H111" s="526">
        <f t="shared" si="32"/>
        <v>1113653.9226794422</v>
      </c>
      <c r="I111" s="577">
        <f t="shared" si="33"/>
        <v>1113653.9226794422</v>
      </c>
      <c r="J111" s="514">
        <f t="shared" si="21"/>
        <v>0</v>
      </c>
      <c r="K111" s="514"/>
      <c r="L111" s="525"/>
      <c r="M111" s="514">
        <f t="shared" si="22"/>
        <v>0</v>
      </c>
      <c r="N111" s="525"/>
      <c r="O111" s="514">
        <f t="shared" si="23"/>
        <v>0</v>
      </c>
      <c r="P111" s="514">
        <f t="shared" si="24"/>
        <v>0</v>
      </c>
    </row>
    <row r="112" spans="1:16">
      <c r="B112" s="195" t="str">
        <f t="shared" si="25"/>
        <v/>
      </c>
      <c r="C112" s="507">
        <f>IF(D93="","-",+C111+1)</f>
        <v>2030</v>
      </c>
      <c r="D112" s="374">
        <f>IF(F111+SUM(E$99:E111)=D$92,F111,D$92-SUM(E$99:E111))</f>
        <v>7388238.9734016731</v>
      </c>
      <c r="E112" s="522">
        <f>IF(+J96&lt;F111,J96,D112)</f>
        <v>260214.65853658537</v>
      </c>
      <c r="F112" s="523">
        <f t="shared" si="30"/>
        <v>7128024.3148650881</v>
      </c>
      <c r="G112" s="523">
        <f t="shared" si="31"/>
        <v>7258131.6441333806</v>
      </c>
      <c r="H112" s="526">
        <f t="shared" si="32"/>
        <v>1084115.8570250601</v>
      </c>
      <c r="I112" s="577">
        <f t="shared" si="33"/>
        <v>1084115.8570250601</v>
      </c>
      <c r="J112" s="514">
        <f t="shared" si="21"/>
        <v>0</v>
      </c>
      <c r="K112" s="514"/>
      <c r="L112" s="525"/>
      <c r="M112" s="514">
        <f t="shared" si="22"/>
        <v>0</v>
      </c>
      <c r="N112" s="525"/>
      <c r="O112" s="514">
        <f t="shared" si="23"/>
        <v>0</v>
      </c>
      <c r="P112" s="514">
        <f t="shared" si="24"/>
        <v>0</v>
      </c>
    </row>
    <row r="113" spans="2:16">
      <c r="B113" s="195" t="str">
        <f t="shared" si="25"/>
        <v/>
      </c>
      <c r="C113" s="507">
        <f>IF(D93="","-",+C112+1)</f>
        <v>2031</v>
      </c>
      <c r="D113" s="374">
        <f>IF(F112+SUM(E$99:E112)=D$92,F112,D$92-SUM(E$99:E112))</f>
        <v>7128024.3148650881</v>
      </c>
      <c r="E113" s="522">
        <f>IF(+J96&lt;F112,J96,D113)</f>
        <v>260214.65853658537</v>
      </c>
      <c r="F113" s="523">
        <f t="shared" si="30"/>
        <v>6867809.656328503</v>
      </c>
      <c r="G113" s="523">
        <f t="shared" si="31"/>
        <v>6997916.9855967956</v>
      </c>
      <c r="H113" s="526">
        <f t="shared" si="32"/>
        <v>1054577.7913706778</v>
      </c>
      <c r="I113" s="577">
        <f t="shared" si="33"/>
        <v>1054577.7913706778</v>
      </c>
      <c r="J113" s="514">
        <f t="shared" si="21"/>
        <v>0</v>
      </c>
      <c r="K113" s="514"/>
      <c r="L113" s="525"/>
      <c r="M113" s="514">
        <f t="shared" si="22"/>
        <v>0</v>
      </c>
      <c r="N113" s="525"/>
      <c r="O113" s="514">
        <f t="shared" si="23"/>
        <v>0</v>
      </c>
      <c r="P113" s="514">
        <f t="shared" si="24"/>
        <v>0</v>
      </c>
    </row>
    <row r="114" spans="2:16">
      <c r="B114" s="195" t="str">
        <f t="shared" si="25"/>
        <v/>
      </c>
      <c r="C114" s="507">
        <f>IF(D93="","-",+C113+1)</f>
        <v>2032</v>
      </c>
      <c r="D114" s="374">
        <f>IF(F113+SUM(E$99:E113)=D$92,F113,D$92-SUM(E$99:E113))</f>
        <v>6867809.656328503</v>
      </c>
      <c r="E114" s="522">
        <f>IF(+J96&lt;F113,J96,D114)</f>
        <v>260214.65853658537</v>
      </c>
      <c r="F114" s="523">
        <f t="shared" si="30"/>
        <v>6607594.997791918</v>
      </c>
      <c r="G114" s="523">
        <f t="shared" si="31"/>
        <v>6737702.3270602105</v>
      </c>
      <c r="H114" s="526">
        <f t="shared" si="32"/>
        <v>1025039.7257162954</v>
      </c>
      <c r="I114" s="577">
        <f t="shared" si="33"/>
        <v>1025039.7257162954</v>
      </c>
      <c r="J114" s="514">
        <f t="shared" si="21"/>
        <v>0</v>
      </c>
      <c r="K114" s="514"/>
      <c r="L114" s="525"/>
      <c r="M114" s="514">
        <f t="shared" si="22"/>
        <v>0</v>
      </c>
      <c r="N114" s="525"/>
      <c r="O114" s="514">
        <f t="shared" si="23"/>
        <v>0</v>
      </c>
      <c r="P114" s="514">
        <f t="shared" si="24"/>
        <v>0</v>
      </c>
    </row>
    <row r="115" spans="2:16">
      <c r="B115" s="195" t="str">
        <f t="shared" si="25"/>
        <v/>
      </c>
      <c r="C115" s="507">
        <f>IF(D93="","-",+C114+1)</f>
        <v>2033</v>
      </c>
      <c r="D115" s="374">
        <f>IF(F114+SUM(E$99:E114)=D$92,F114,D$92-SUM(E$99:E114))</f>
        <v>6607594.997791918</v>
      </c>
      <c r="E115" s="522">
        <f>IF(+J96&lt;F114,J96,D115)</f>
        <v>260214.65853658537</v>
      </c>
      <c r="F115" s="523">
        <f t="shared" si="30"/>
        <v>6347380.3392553329</v>
      </c>
      <c r="G115" s="523">
        <f t="shared" si="31"/>
        <v>6477487.6685236255</v>
      </c>
      <c r="H115" s="526">
        <f t="shared" si="32"/>
        <v>995501.66006191308</v>
      </c>
      <c r="I115" s="577">
        <f t="shared" si="33"/>
        <v>995501.66006191308</v>
      </c>
      <c r="J115" s="514">
        <f t="shared" si="21"/>
        <v>0</v>
      </c>
      <c r="K115" s="514"/>
      <c r="L115" s="525"/>
      <c r="M115" s="514">
        <f t="shared" si="22"/>
        <v>0</v>
      </c>
      <c r="N115" s="525"/>
      <c r="O115" s="514">
        <f t="shared" si="23"/>
        <v>0</v>
      </c>
      <c r="P115" s="514">
        <f t="shared" si="24"/>
        <v>0</v>
      </c>
    </row>
    <row r="116" spans="2:16">
      <c r="B116" s="195" t="str">
        <f t="shared" si="25"/>
        <v/>
      </c>
      <c r="C116" s="507">
        <f>IF(D93="","-",+C115+1)</f>
        <v>2034</v>
      </c>
      <c r="D116" s="374">
        <f>IF(F115+SUM(E$99:E115)=D$92,F115,D$92-SUM(E$99:E115))</f>
        <v>6347380.3392553329</v>
      </c>
      <c r="E116" s="522">
        <f>IF(+J96&lt;F115,J96,D116)</f>
        <v>260214.65853658537</v>
      </c>
      <c r="F116" s="523">
        <f t="shared" si="30"/>
        <v>6087165.6807187479</v>
      </c>
      <c r="G116" s="523">
        <f t="shared" si="31"/>
        <v>6217273.0099870404</v>
      </c>
      <c r="H116" s="526">
        <f t="shared" si="32"/>
        <v>965963.59440753085</v>
      </c>
      <c r="I116" s="577">
        <f t="shared" si="33"/>
        <v>965963.59440753085</v>
      </c>
      <c r="J116" s="514">
        <f t="shared" si="21"/>
        <v>0</v>
      </c>
      <c r="K116" s="514"/>
      <c r="L116" s="525"/>
      <c r="M116" s="514">
        <f t="shared" si="22"/>
        <v>0</v>
      </c>
      <c r="N116" s="525"/>
      <c r="O116" s="514">
        <f t="shared" si="23"/>
        <v>0</v>
      </c>
      <c r="P116" s="514">
        <f t="shared" si="24"/>
        <v>0</v>
      </c>
    </row>
    <row r="117" spans="2:16">
      <c r="B117" s="195" t="str">
        <f t="shared" si="25"/>
        <v/>
      </c>
      <c r="C117" s="507">
        <f>IF(D93="","-",+C116+1)</f>
        <v>2035</v>
      </c>
      <c r="D117" s="374">
        <f>IF(F116+SUM(E$99:E116)=D$92,F116,D$92-SUM(E$99:E116))</f>
        <v>6087165.6807187479</v>
      </c>
      <c r="E117" s="522">
        <f>IF(+J96&lt;F116,J96,D117)</f>
        <v>260214.65853658537</v>
      </c>
      <c r="F117" s="523">
        <f t="shared" si="30"/>
        <v>5826951.0221821629</v>
      </c>
      <c r="G117" s="523">
        <f t="shared" si="31"/>
        <v>5957058.3514504554</v>
      </c>
      <c r="H117" s="526">
        <f t="shared" si="32"/>
        <v>936425.52875314851</v>
      </c>
      <c r="I117" s="577">
        <f t="shared" si="33"/>
        <v>936425.52875314851</v>
      </c>
      <c r="J117" s="514">
        <f t="shared" si="21"/>
        <v>0</v>
      </c>
      <c r="K117" s="514"/>
      <c r="L117" s="525"/>
      <c r="M117" s="514">
        <f t="shared" si="22"/>
        <v>0</v>
      </c>
      <c r="N117" s="525"/>
      <c r="O117" s="514">
        <f t="shared" si="23"/>
        <v>0</v>
      </c>
      <c r="P117" s="514">
        <f t="shared" si="24"/>
        <v>0</v>
      </c>
    </row>
    <row r="118" spans="2:16">
      <c r="B118" s="195" t="str">
        <f t="shared" si="25"/>
        <v/>
      </c>
      <c r="C118" s="507">
        <f>IF(D93="","-",+C117+1)</f>
        <v>2036</v>
      </c>
      <c r="D118" s="374">
        <f>IF(F117+SUM(E$99:E117)=D$92,F117,D$92-SUM(E$99:E117))</f>
        <v>5826951.0221821629</v>
      </c>
      <c r="E118" s="522">
        <f>IF(+J96&lt;F117,J96,D118)</f>
        <v>260214.65853658537</v>
      </c>
      <c r="F118" s="523">
        <f t="shared" si="30"/>
        <v>5566736.3636455778</v>
      </c>
      <c r="G118" s="523">
        <f t="shared" si="31"/>
        <v>5696843.6929138703</v>
      </c>
      <c r="H118" s="526">
        <f t="shared" si="32"/>
        <v>906887.46309876617</v>
      </c>
      <c r="I118" s="577">
        <f t="shared" si="33"/>
        <v>906887.46309876617</v>
      </c>
      <c r="J118" s="514">
        <f t="shared" si="21"/>
        <v>0</v>
      </c>
      <c r="K118" s="514"/>
      <c r="L118" s="525"/>
      <c r="M118" s="514">
        <f t="shared" si="22"/>
        <v>0</v>
      </c>
      <c r="N118" s="525"/>
      <c r="O118" s="514">
        <f t="shared" si="23"/>
        <v>0</v>
      </c>
      <c r="P118" s="514">
        <f t="shared" si="24"/>
        <v>0</v>
      </c>
    </row>
    <row r="119" spans="2:16">
      <c r="B119" s="195" t="str">
        <f t="shared" si="25"/>
        <v/>
      </c>
      <c r="C119" s="507">
        <f>IF(D93="","-",+C118+1)</f>
        <v>2037</v>
      </c>
      <c r="D119" s="374">
        <f>IF(F118+SUM(E$99:E118)=D$92,F118,D$92-SUM(E$99:E118))</f>
        <v>5566736.3636455778</v>
      </c>
      <c r="E119" s="522">
        <f>IF(+J96&lt;F118,J96,D119)</f>
        <v>260214.65853658537</v>
      </c>
      <c r="F119" s="523">
        <f t="shared" si="30"/>
        <v>5306521.7051089928</v>
      </c>
      <c r="G119" s="523">
        <f t="shared" si="31"/>
        <v>5436629.0343772853</v>
      </c>
      <c r="H119" s="526">
        <f t="shared" si="32"/>
        <v>877349.39744438394</v>
      </c>
      <c r="I119" s="577">
        <f t="shared" si="33"/>
        <v>877349.39744438394</v>
      </c>
      <c r="J119" s="514">
        <f t="shared" si="21"/>
        <v>0</v>
      </c>
      <c r="K119" s="514"/>
      <c r="L119" s="525"/>
      <c r="M119" s="514">
        <f t="shared" si="22"/>
        <v>0</v>
      </c>
      <c r="N119" s="525"/>
      <c r="O119" s="514">
        <f t="shared" si="23"/>
        <v>0</v>
      </c>
      <c r="P119" s="514">
        <f t="shared" si="24"/>
        <v>0</v>
      </c>
    </row>
    <row r="120" spans="2:16">
      <c r="B120" s="195" t="str">
        <f t="shared" si="25"/>
        <v/>
      </c>
      <c r="C120" s="507">
        <f>IF(D93="","-",+C119+1)</f>
        <v>2038</v>
      </c>
      <c r="D120" s="374">
        <f>IF(F119+SUM(E$99:E119)=D$92,F119,D$92-SUM(E$99:E119))</f>
        <v>5306521.7051089928</v>
      </c>
      <c r="E120" s="522">
        <f>IF(+J96&lt;F119,J96,D120)</f>
        <v>260214.65853658537</v>
      </c>
      <c r="F120" s="523">
        <f t="shared" si="30"/>
        <v>5046307.0465724077</v>
      </c>
      <c r="G120" s="523">
        <f t="shared" si="31"/>
        <v>5176414.3758407002</v>
      </c>
      <c r="H120" s="526">
        <f t="shared" si="32"/>
        <v>847811.3317900016</v>
      </c>
      <c r="I120" s="577">
        <f t="shared" si="33"/>
        <v>847811.3317900016</v>
      </c>
      <c r="J120" s="514">
        <f t="shared" si="21"/>
        <v>0</v>
      </c>
      <c r="K120" s="514"/>
      <c r="L120" s="525"/>
      <c r="M120" s="514">
        <f t="shared" si="22"/>
        <v>0</v>
      </c>
      <c r="N120" s="525"/>
      <c r="O120" s="514">
        <f t="shared" si="23"/>
        <v>0</v>
      </c>
      <c r="P120" s="514">
        <f t="shared" si="24"/>
        <v>0</v>
      </c>
    </row>
    <row r="121" spans="2:16">
      <c r="B121" s="195" t="str">
        <f t="shared" si="25"/>
        <v/>
      </c>
      <c r="C121" s="507">
        <f>IF(D93="","-",+C120+1)</f>
        <v>2039</v>
      </c>
      <c r="D121" s="374">
        <f>IF(F120+SUM(E$99:E120)=D$92,F120,D$92-SUM(E$99:E120))</f>
        <v>5046307.0465724077</v>
      </c>
      <c r="E121" s="522">
        <f>IF(+J96&lt;F120,J96,D121)</f>
        <v>260214.65853658537</v>
      </c>
      <c r="F121" s="523">
        <f t="shared" si="30"/>
        <v>4786092.3880358227</v>
      </c>
      <c r="G121" s="523">
        <f t="shared" si="31"/>
        <v>4916199.7173041152</v>
      </c>
      <c r="H121" s="526">
        <f t="shared" si="32"/>
        <v>818273.26613561925</v>
      </c>
      <c r="I121" s="577">
        <f t="shared" si="33"/>
        <v>818273.26613561925</v>
      </c>
      <c r="J121" s="514">
        <f t="shared" si="21"/>
        <v>0</v>
      </c>
      <c r="K121" s="514"/>
      <c r="L121" s="525"/>
      <c r="M121" s="514">
        <f t="shared" si="22"/>
        <v>0</v>
      </c>
      <c r="N121" s="525"/>
      <c r="O121" s="514">
        <f t="shared" si="23"/>
        <v>0</v>
      </c>
      <c r="P121" s="514">
        <f t="shared" si="24"/>
        <v>0</v>
      </c>
    </row>
    <row r="122" spans="2:16">
      <c r="B122" s="195" t="str">
        <f t="shared" si="25"/>
        <v/>
      </c>
      <c r="C122" s="507">
        <f>IF(D93="","-",+C121+1)</f>
        <v>2040</v>
      </c>
      <c r="D122" s="374">
        <f>IF(F121+SUM(E$99:E121)=D$92,F121,D$92-SUM(E$99:E121))</f>
        <v>4786092.3880358227</v>
      </c>
      <c r="E122" s="522">
        <f>IF(+J96&lt;F121,J96,D122)</f>
        <v>260214.65853658537</v>
      </c>
      <c r="F122" s="523">
        <f t="shared" si="30"/>
        <v>4525877.7294992376</v>
      </c>
      <c r="G122" s="523">
        <f t="shared" si="31"/>
        <v>4655985.0587675301</v>
      </c>
      <c r="H122" s="526">
        <f t="shared" si="32"/>
        <v>788735.20048123691</v>
      </c>
      <c r="I122" s="577">
        <f t="shared" si="33"/>
        <v>788735.20048123691</v>
      </c>
      <c r="J122" s="514">
        <f t="shared" si="21"/>
        <v>0</v>
      </c>
      <c r="K122" s="514"/>
      <c r="L122" s="525"/>
      <c r="M122" s="514">
        <f t="shared" si="22"/>
        <v>0</v>
      </c>
      <c r="N122" s="525"/>
      <c r="O122" s="514">
        <f t="shared" si="23"/>
        <v>0</v>
      </c>
      <c r="P122" s="514">
        <f t="shared" si="24"/>
        <v>0</v>
      </c>
    </row>
    <row r="123" spans="2:16">
      <c r="B123" s="195" t="str">
        <f t="shared" si="25"/>
        <v/>
      </c>
      <c r="C123" s="507">
        <f>IF(D93="","-",+C122+1)</f>
        <v>2041</v>
      </c>
      <c r="D123" s="374">
        <f>IF(F122+SUM(E$99:E122)=D$92,F122,D$92-SUM(E$99:E122))</f>
        <v>4525877.7294992376</v>
      </c>
      <c r="E123" s="522">
        <f>IF(+J96&lt;F122,J96,D123)</f>
        <v>260214.65853658537</v>
      </c>
      <c r="F123" s="523">
        <f t="shared" si="30"/>
        <v>4265663.0709626526</v>
      </c>
      <c r="G123" s="523">
        <f t="shared" si="31"/>
        <v>4395770.4002309451</v>
      </c>
      <c r="H123" s="526">
        <f t="shared" si="32"/>
        <v>759197.13482685457</v>
      </c>
      <c r="I123" s="577">
        <f t="shared" si="33"/>
        <v>759197.13482685457</v>
      </c>
      <c r="J123" s="514">
        <f t="shared" si="21"/>
        <v>0</v>
      </c>
      <c r="K123" s="514"/>
      <c r="L123" s="525"/>
      <c r="M123" s="514">
        <f t="shared" si="22"/>
        <v>0</v>
      </c>
      <c r="N123" s="525"/>
      <c r="O123" s="514">
        <f t="shared" si="23"/>
        <v>0</v>
      </c>
      <c r="P123" s="514">
        <f t="shared" si="24"/>
        <v>0</v>
      </c>
    </row>
    <row r="124" spans="2:16">
      <c r="B124" s="195" t="str">
        <f t="shared" si="25"/>
        <v/>
      </c>
      <c r="C124" s="507">
        <f>IF(D93="","-",+C123+1)</f>
        <v>2042</v>
      </c>
      <c r="D124" s="374">
        <f>IF(F123+SUM(E$99:E123)=D$92,F123,D$92-SUM(E$99:E123))</f>
        <v>4265663.0709626526</v>
      </c>
      <c r="E124" s="522">
        <f>IF(+J96&lt;F123,J96,D124)</f>
        <v>260214.65853658537</v>
      </c>
      <c r="F124" s="523">
        <f t="shared" si="30"/>
        <v>4005448.4124260671</v>
      </c>
      <c r="G124" s="523">
        <f t="shared" si="31"/>
        <v>4135555.74169436</v>
      </c>
      <c r="H124" s="526">
        <f t="shared" si="32"/>
        <v>729659.06917247234</v>
      </c>
      <c r="I124" s="577">
        <f t="shared" si="33"/>
        <v>729659.06917247234</v>
      </c>
      <c r="J124" s="514">
        <f t="shared" si="21"/>
        <v>0</v>
      </c>
      <c r="K124" s="514"/>
      <c r="L124" s="525"/>
      <c r="M124" s="514">
        <f t="shared" si="22"/>
        <v>0</v>
      </c>
      <c r="N124" s="525"/>
      <c r="O124" s="514">
        <f t="shared" si="23"/>
        <v>0</v>
      </c>
      <c r="P124" s="514">
        <f t="shared" si="24"/>
        <v>0</v>
      </c>
    </row>
    <row r="125" spans="2:16">
      <c r="B125" s="195" t="str">
        <f t="shared" si="25"/>
        <v/>
      </c>
      <c r="C125" s="507">
        <f>IF(D93="","-",+C124+1)</f>
        <v>2043</v>
      </c>
      <c r="D125" s="374">
        <f>IF(F124+SUM(E$99:E124)=D$92,F124,D$92-SUM(E$99:E124))</f>
        <v>4005448.4124260671</v>
      </c>
      <c r="E125" s="522">
        <f>IF(+J96&lt;F124,J96,D125)</f>
        <v>260214.65853658537</v>
      </c>
      <c r="F125" s="523">
        <f t="shared" si="30"/>
        <v>3745233.7538894815</v>
      </c>
      <c r="G125" s="523">
        <f t="shared" si="31"/>
        <v>3875341.0831577741</v>
      </c>
      <c r="H125" s="526">
        <f t="shared" si="32"/>
        <v>700121.00351808988</v>
      </c>
      <c r="I125" s="577">
        <f t="shared" si="33"/>
        <v>700121.00351808988</v>
      </c>
      <c r="J125" s="514">
        <f t="shared" si="21"/>
        <v>0</v>
      </c>
      <c r="K125" s="514"/>
      <c r="L125" s="525"/>
      <c r="M125" s="514">
        <f t="shared" si="22"/>
        <v>0</v>
      </c>
      <c r="N125" s="525"/>
      <c r="O125" s="514">
        <f t="shared" si="23"/>
        <v>0</v>
      </c>
      <c r="P125" s="514">
        <f t="shared" si="24"/>
        <v>0</v>
      </c>
    </row>
    <row r="126" spans="2:16">
      <c r="B126" s="195" t="str">
        <f t="shared" si="25"/>
        <v/>
      </c>
      <c r="C126" s="507">
        <f>IF(D93="","-",+C125+1)</f>
        <v>2044</v>
      </c>
      <c r="D126" s="374">
        <f>IF(F125+SUM(E$99:E125)=D$92,F125,D$92-SUM(E$99:E125))</f>
        <v>3745233.7538894815</v>
      </c>
      <c r="E126" s="522">
        <f>IF(+J96&lt;F125,J96,D126)</f>
        <v>260214.65853658537</v>
      </c>
      <c r="F126" s="523">
        <f t="shared" si="30"/>
        <v>3485019.095352896</v>
      </c>
      <c r="G126" s="523">
        <f t="shared" si="31"/>
        <v>3615126.424621189</v>
      </c>
      <c r="H126" s="526">
        <f t="shared" si="32"/>
        <v>670582.93786370754</v>
      </c>
      <c r="I126" s="577">
        <f t="shared" si="33"/>
        <v>670582.93786370754</v>
      </c>
      <c r="J126" s="514">
        <f t="shared" si="21"/>
        <v>0</v>
      </c>
      <c r="K126" s="514"/>
      <c r="L126" s="525"/>
      <c r="M126" s="514">
        <f t="shared" si="22"/>
        <v>0</v>
      </c>
      <c r="N126" s="525"/>
      <c r="O126" s="514">
        <f t="shared" si="23"/>
        <v>0</v>
      </c>
      <c r="P126" s="514">
        <f t="shared" si="24"/>
        <v>0</v>
      </c>
    </row>
    <row r="127" spans="2:16">
      <c r="B127" s="195" t="str">
        <f t="shared" si="25"/>
        <v/>
      </c>
      <c r="C127" s="507">
        <f>IF(D93="","-",+C126+1)</f>
        <v>2045</v>
      </c>
      <c r="D127" s="374">
        <f>IF(F126+SUM(E$99:E126)=D$92,F126,D$92-SUM(E$99:E126))</f>
        <v>3485019.095352896</v>
      </c>
      <c r="E127" s="522">
        <f>IF(+J96&lt;F126,J96,D127)</f>
        <v>260214.65853658537</v>
      </c>
      <c r="F127" s="523">
        <f t="shared" si="30"/>
        <v>3224804.4368163105</v>
      </c>
      <c r="G127" s="523">
        <f t="shared" si="31"/>
        <v>3354911.766084603</v>
      </c>
      <c r="H127" s="526">
        <f t="shared" si="32"/>
        <v>641044.8722093252</v>
      </c>
      <c r="I127" s="577">
        <f t="shared" si="33"/>
        <v>641044.8722093252</v>
      </c>
      <c r="J127" s="514">
        <f t="shared" si="21"/>
        <v>0</v>
      </c>
      <c r="K127" s="514"/>
      <c r="L127" s="525"/>
      <c r="M127" s="514">
        <f t="shared" si="22"/>
        <v>0</v>
      </c>
      <c r="N127" s="525"/>
      <c r="O127" s="514">
        <f t="shared" si="23"/>
        <v>0</v>
      </c>
      <c r="P127" s="514">
        <f t="shared" si="24"/>
        <v>0</v>
      </c>
    </row>
    <row r="128" spans="2:16">
      <c r="B128" s="195" t="str">
        <f t="shared" si="25"/>
        <v/>
      </c>
      <c r="C128" s="507">
        <f>IF(D93="","-",+C127+1)</f>
        <v>2046</v>
      </c>
      <c r="D128" s="374">
        <f>IF(F127+SUM(E$99:E127)=D$92,F127,D$92-SUM(E$99:E127))</f>
        <v>3224804.4368163105</v>
      </c>
      <c r="E128" s="522">
        <f>IF(+J96&lt;F127,J96,D128)</f>
        <v>260214.65853658537</v>
      </c>
      <c r="F128" s="523">
        <f t="shared" si="30"/>
        <v>2964589.778279725</v>
      </c>
      <c r="G128" s="523">
        <f t="shared" si="31"/>
        <v>3094697.107548018</v>
      </c>
      <c r="H128" s="526">
        <f t="shared" si="32"/>
        <v>611506.80655494286</v>
      </c>
      <c r="I128" s="577">
        <f t="shared" si="33"/>
        <v>611506.80655494286</v>
      </c>
      <c r="J128" s="514">
        <f t="shared" si="21"/>
        <v>0</v>
      </c>
      <c r="K128" s="514"/>
      <c r="L128" s="525"/>
      <c r="M128" s="514">
        <f t="shared" si="22"/>
        <v>0</v>
      </c>
      <c r="N128" s="525"/>
      <c r="O128" s="514">
        <f t="shared" si="23"/>
        <v>0</v>
      </c>
      <c r="P128" s="514">
        <f t="shared" si="24"/>
        <v>0</v>
      </c>
    </row>
    <row r="129" spans="2:16">
      <c r="B129" s="195" t="str">
        <f t="shared" si="25"/>
        <v/>
      </c>
      <c r="C129" s="507">
        <f>IF(D93="","-",+C128+1)</f>
        <v>2047</v>
      </c>
      <c r="D129" s="374">
        <f>IF(F128+SUM(E$99:E128)=D$92,F128,D$92-SUM(E$99:E128))</f>
        <v>2964589.778279725</v>
      </c>
      <c r="E129" s="522">
        <f>IF(+J96&lt;F128,J96,D129)</f>
        <v>260214.65853658537</v>
      </c>
      <c r="F129" s="523">
        <f t="shared" si="30"/>
        <v>2704375.1197431395</v>
      </c>
      <c r="G129" s="523">
        <f t="shared" si="31"/>
        <v>2834482.449011432</v>
      </c>
      <c r="H129" s="526">
        <f t="shared" si="32"/>
        <v>581968.7409005604</v>
      </c>
      <c r="I129" s="577">
        <f t="shared" si="33"/>
        <v>581968.7409005604</v>
      </c>
      <c r="J129" s="514">
        <f t="shared" si="21"/>
        <v>0</v>
      </c>
      <c r="K129" s="514"/>
      <c r="L129" s="525"/>
      <c r="M129" s="514">
        <f t="shared" si="22"/>
        <v>0</v>
      </c>
      <c r="N129" s="525"/>
      <c r="O129" s="514">
        <f t="shared" si="23"/>
        <v>0</v>
      </c>
      <c r="P129" s="514">
        <f t="shared" si="24"/>
        <v>0</v>
      </c>
    </row>
    <row r="130" spans="2:16">
      <c r="B130" s="195" t="str">
        <f t="shared" si="25"/>
        <v/>
      </c>
      <c r="C130" s="507">
        <f>IF(D93="","-",+C129+1)</f>
        <v>2048</v>
      </c>
      <c r="D130" s="374">
        <f>IF(F129+SUM(E$99:E129)=D$92,F129,D$92-SUM(E$99:E129))</f>
        <v>2704375.1197431395</v>
      </c>
      <c r="E130" s="522">
        <f>IF(+J96&lt;F129,J96,D130)</f>
        <v>260214.65853658537</v>
      </c>
      <c r="F130" s="523">
        <f t="shared" si="30"/>
        <v>2444160.461206554</v>
      </c>
      <c r="G130" s="523">
        <f t="shared" si="31"/>
        <v>2574267.790474847</v>
      </c>
      <c r="H130" s="526">
        <f t="shared" si="32"/>
        <v>552430.67524617817</v>
      </c>
      <c r="I130" s="577">
        <f t="shared" si="33"/>
        <v>552430.67524617817</v>
      </c>
      <c r="J130" s="514">
        <f t="shared" si="21"/>
        <v>0</v>
      </c>
      <c r="K130" s="514"/>
      <c r="L130" s="525"/>
      <c r="M130" s="514">
        <f t="shared" si="22"/>
        <v>0</v>
      </c>
      <c r="N130" s="525"/>
      <c r="O130" s="514">
        <f t="shared" si="23"/>
        <v>0</v>
      </c>
      <c r="P130" s="514">
        <f t="shared" si="24"/>
        <v>0</v>
      </c>
    </row>
    <row r="131" spans="2:16">
      <c r="B131" s="195" t="str">
        <f t="shared" si="25"/>
        <v/>
      </c>
      <c r="C131" s="507">
        <f>IF(D93="","-",+C130+1)</f>
        <v>2049</v>
      </c>
      <c r="D131" s="374">
        <f>IF(F130+SUM(E$99:E130)=D$92,F130,D$92-SUM(E$99:E130))</f>
        <v>2444160.461206554</v>
      </c>
      <c r="E131" s="522">
        <f>IF(+J96&lt;F130,J96,D131)</f>
        <v>260214.65853658537</v>
      </c>
      <c r="F131" s="523">
        <f t="shared" ref="F131:F154" si="34">+D131-E131</f>
        <v>2183945.8026699685</v>
      </c>
      <c r="G131" s="523">
        <f t="shared" ref="G131:G154" si="35">+(F131+D131)/2</f>
        <v>2314053.131938261</v>
      </c>
      <c r="H131" s="526">
        <f t="shared" si="32"/>
        <v>522892.60959179571</v>
      </c>
      <c r="I131" s="577">
        <f t="shared" si="33"/>
        <v>522892.60959179571</v>
      </c>
      <c r="J131" s="514">
        <f t="shared" ref="J131:J154" si="36">+I541-H541</f>
        <v>0</v>
      </c>
      <c r="K131" s="514"/>
      <c r="L131" s="525"/>
      <c r="M131" s="514">
        <f t="shared" ref="M131:M154" si="37">IF(L541&lt;&gt;0,+H541-L541,0)</f>
        <v>0</v>
      </c>
      <c r="N131" s="525"/>
      <c r="O131" s="514">
        <f t="shared" ref="O131:O154" si="38">IF(N541&lt;&gt;0,+I541-N541,0)</f>
        <v>0</v>
      </c>
      <c r="P131" s="514">
        <f t="shared" ref="P131:P154" si="39">+O541-M541</f>
        <v>0</v>
      </c>
    </row>
    <row r="132" spans="2:16">
      <c r="B132" s="195" t="str">
        <f t="shared" si="25"/>
        <v/>
      </c>
      <c r="C132" s="507">
        <f>IF(D93="","-",+C131+1)</f>
        <v>2050</v>
      </c>
      <c r="D132" s="374">
        <f>IF(F131+SUM(E$99:E131)=D$92,F131,D$92-SUM(E$99:E131))</f>
        <v>2183945.8026699685</v>
      </c>
      <c r="E132" s="522">
        <f>IF(+J96&lt;F131,J96,D132)</f>
        <v>260214.65853658537</v>
      </c>
      <c r="F132" s="523">
        <f t="shared" si="34"/>
        <v>1923731.1441333832</v>
      </c>
      <c r="G132" s="523">
        <f t="shared" si="35"/>
        <v>2053838.4734016759</v>
      </c>
      <c r="H132" s="526">
        <f t="shared" si="32"/>
        <v>493354.54393741337</v>
      </c>
      <c r="I132" s="577">
        <f t="shared" si="33"/>
        <v>493354.54393741337</v>
      </c>
      <c r="J132" s="514">
        <f t="shared" si="36"/>
        <v>0</v>
      </c>
      <c r="K132" s="514"/>
      <c r="L132" s="525"/>
      <c r="M132" s="514">
        <f t="shared" si="37"/>
        <v>0</v>
      </c>
      <c r="N132" s="525"/>
      <c r="O132" s="514">
        <f t="shared" si="38"/>
        <v>0</v>
      </c>
      <c r="P132" s="514">
        <f t="shared" si="39"/>
        <v>0</v>
      </c>
    </row>
    <row r="133" spans="2:16">
      <c r="B133" s="195" t="str">
        <f t="shared" si="25"/>
        <v/>
      </c>
      <c r="C133" s="507">
        <f>IF(D93="","-",+C132+1)</f>
        <v>2051</v>
      </c>
      <c r="D133" s="374">
        <f>IF(F132+SUM(E$99:E132)=D$92,F132,D$92-SUM(E$99:E132))</f>
        <v>1923731.1441333832</v>
      </c>
      <c r="E133" s="522">
        <f>IF(+J96&lt;F132,J96,D133)</f>
        <v>260214.65853658537</v>
      </c>
      <c r="F133" s="523">
        <f t="shared" si="34"/>
        <v>1663516.4855967979</v>
      </c>
      <c r="G133" s="523">
        <f t="shared" si="35"/>
        <v>1793623.8148650904</v>
      </c>
      <c r="H133" s="526">
        <f t="shared" si="32"/>
        <v>463816.47828303103</v>
      </c>
      <c r="I133" s="577">
        <f t="shared" si="33"/>
        <v>463816.47828303103</v>
      </c>
      <c r="J133" s="514">
        <f t="shared" si="36"/>
        <v>0</v>
      </c>
      <c r="K133" s="514"/>
      <c r="L133" s="525"/>
      <c r="M133" s="514">
        <f t="shared" si="37"/>
        <v>0</v>
      </c>
      <c r="N133" s="525"/>
      <c r="O133" s="514">
        <f t="shared" si="38"/>
        <v>0</v>
      </c>
      <c r="P133" s="514">
        <f t="shared" si="39"/>
        <v>0</v>
      </c>
    </row>
    <row r="134" spans="2:16">
      <c r="B134" s="195" t="str">
        <f t="shared" si="25"/>
        <v/>
      </c>
      <c r="C134" s="507">
        <f>IF(D93="","-",+C133+1)</f>
        <v>2052</v>
      </c>
      <c r="D134" s="374">
        <f>IF(F133+SUM(E$99:E133)=D$92,F133,D$92-SUM(E$99:E133))</f>
        <v>1663516.4855967979</v>
      </c>
      <c r="E134" s="522">
        <f>IF(+J96&lt;F133,J96,D134)</f>
        <v>260214.65853658537</v>
      </c>
      <c r="F134" s="523">
        <f t="shared" si="34"/>
        <v>1403301.8270602126</v>
      </c>
      <c r="G134" s="523">
        <f t="shared" si="35"/>
        <v>1533409.1563285054</v>
      </c>
      <c r="H134" s="526">
        <f t="shared" si="32"/>
        <v>434278.41262864874</v>
      </c>
      <c r="I134" s="577">
        <f t="shared" si="33"/>
        <v>434278.41262864874</v>
      </c>
      <c r="J134" s="514">
        <f t="shared" si="36"/>
        <v>0</v>
      </c>
      <c r="K134" s="514"/>
      <c r="L134" s="525"/>
      <c r="M134" s="514">
        <f t="shared" si="37"/>
        <v>0</v>
      </c>
      <c r="N134" s="525"/>
      <c r="O134" s="514">
        <f t="shared" si="38"/>
        <v>0</v>
      </c>
      <c r="P134" s="514">
        <f t="shared" si="39"/>
        <v>0</v>
      </c>
    </row>
    <row r="135" spans="2:16">
      <c r="B135" s="195" t="str">
        <f t="shared" si="25"/>
        <v/>
      </c>
      <c r="C135" s="507">
        <f>IF(D93="","-",+C134+1)</f>
        <v>2053</v>
      </c>
      <c r="D135" s="374">
        <f>IF(F134+SUM(E$99:E134)=D$92,F134,D$92-SUM(E$99:E134))</f>
        <v>1403301.8270602126</v>
      </c>
      <c r="E135" s="522">
        <f>IF(+J96&lt;F134,J96,D135)</f>
        <v>260214.65853658537</v>
      </c>
      <c r="F135" s="523">
        <f t="shared" si="34"/>
        <v>1143087.1685236273</v>
      </c>
      <c r="G135" s="523">
        <f t="shared" si="35"/>
        <v>1273194.4977919199</v>
      </c>
      <c r="H135" s="526">
        <f t="shared" si="32"/>
        <v>404740.34697426634</v>
      </c>
      <c r="I135" s="577">
        <f t="shared" si="33"/>
        <v>404740.34697426634</v>
      </c>
      <c r="J135" s="514">
        <f t="shared" si="36"/>
        <v>0</v>
      </c>
      <c r="K135" s="514"/>
      <c r="L135" s="525"/>
      <c r="M135" s="514">
        <f t="shared" si="37"/>
        <v>0</v>
      </c>
      <c r="N135" s="525"/>
      <c r="O135" s="514">
        <f t="shared" si="38"/>
        <v>0</v>
      </c>
      <c r="P135" s="514">
        <f t="shared" si="39"/>
        <v>0</v>
      </c>
    </row>
    <row r="136" spans="2:16">
      <c r="B136" s="195" t="str">
        <f t="shared" si="25"/>
        <v/>
      </c>
      <c r="C136" s="507">
        <f>IF(D93="","-",+C135+1)</f>
        <v>2054</v>
      </c>
      <c r="D136" s="374">
        <f>IF(F135+SUM(E$99:E135)=D$92,F135,D$92-SUM(E$99:E135))</f>
        <v>1143087.1685236273</v>
      </c>
      <c r="E136" s="522">
        <f>IF(+J96&lt;F135,J96,D136)</f>
        <v>260214.65853658537</v>
      </c>
      <c r="F136" s="523">
        <f t="shared" si="34"/>
        <v>882872.50998704194</v>
      </c>
      <c r="G136" s="523">
        <f t="shared" si="35"/>
        <v>1012979.8392553346</v>
      </c>
      <c r="H136" s="526">
        <f t="shared" si="32"/>
        <v>375202.28131988406</v>
      </c>
      <c r="I136" s="577">
        <f t="shared" si="33"/>
        <v>375202.28131988406</v>
      </c>
      <c r="J136" s="514">
        <f t="shared" si="36"/>
        <v>0</v>
      </c>
      <c r="K136" s="514"/>
      <c r="L136" s="525"/>
      <c r="M136" s="514">
        <f t="shared" si="37"/>
        <v>0</v>
      </c>
      <c r="N136" s="525"/>
      <c r="O136" s="514">
        <f t="shared" si="38"/>
        <v>0</v>
      </c>
      <c r="P136" s="514">
        <f t="shared" si="39"/>
        <v>0</v>
      </c>
    </row>
    <row r="137" spans="2:16">
      <c r="B137" s="195" t="str">
        <f t="shared" si="25"/>
        <v/>
      </c>
      <c r="C137" s="507">
        <f>IF(D93="","-",+C136+1)</f>
        <v>2055</v>
      </c>
      <c r="D137" s="374">
        <f>IF(F136+SUM(E$99:E136)=D$92,F136,D$92-SUM(E$99:E136))</f>
        <v>882872.50998704194</v>
      </c>
      <c r="E137" s="522">
        <f>IF(+J96&lt;F136,J96,D137)</f>
        <v>260214.65853658537</v>
      </c>
      <c r="F137" s="523">
        <f t="shared" si="34"/>
        <v>622657.85145045654</v>
      </c>
      <c r="G137" s="523">
        <f t="shared" si="35"/>
        <v>752765.1807187493</v>
      </c>
      <c r="H137" s="526">
        <f t="shared" si="32"/>
        <v>345664.21566550172</v>
      </c>
      <c r="I137" s="577">
        <f t="shared" si="33"/>
        <v>345664.21566550172</v>
      </c>
      <c r="J137" s="514">
        <f t="shared" si="36"/>
        <v>0</v>
      </c>
      <c r="K137" s="514"/>
      <c r="L137" s="525"/>
      <c r="M137" s="514">
        <f t="shared" si="37"/>
        <v>0</v>
      </c>
      <c r="N137" s="525"/>
      <c r="O137" s="514">
        <f t="shared" si="38"/>
        <v>0</v>
      </c>
      <c r="P137" s="514">
        <f t="shared" si="39"/>
        <v>0</v>
      </c>
    </row>
    <row r="138" spans="2:16">
      <c r="B138" s="195" t="str">
        <f t="shared" si="25"/>
        <v/>
      </c>
      <c r="C138" s="507">
        <f>IF(D93="","-",+C137+1)</f>
        <v>2056</v>
      </c>
      <c r="D138" s="374">
        <f>IF(F137+SUM(E$99:E137)=D$92,F137,D$92-SUM(E$99:E137))</f>
        <v>622657.85145045654</v>
      </c>
      <c r="E138" s="522">
        <f>IF(+J96&lt;F137,J96,D138)</f>
        <v>260214.65853658537</v>
      </c>
      <c r="F138" s="523">
        <f t="shared" si="34"/>
        <v>362443.19291387114</v>
      </c>
      <c r="G138" s="523">
        <f t="shared" si="35"/>
        <v>492550.52218216384</v>
      </c>
      <c r="H138" s="526">
        <f t="shared" si="32"/>
        <v>316126.15001111932</v>
      </c>
      <c r="I138" s="577">
        <f t="shared" si="33"/>
        <v>316126.15001111932</v>
      </c>
      <c r="J138" s="514">
        <f t="shared" si="36"/>
        <v>0</v>
      </c>
      <c r="K138" s="514"/>
      <c r="L138" s="525"/>
      <c r="M138" s="514">
        <f t="shared" si="37"/>
        <v>0</v>
      </c>
      <c r="N138" s="525"/>
      <c r="O138" s="514">
        <f t="shared" si="38"/>
        <v>0</v>
      </c>
      <c r="P138" s="514">
        <f t="shared" si="39"/>
        <v>0</v>
      </c>
    </row>
    <row r="139" spans="2:16">
      <c r="B139" s="195" t="str">
        <f t="shared" si="25"/>
        <v/>
      </c>
      <c r="C139" s="507">
        <f>IF(D93="","-",+C138+1)</f>
        <v>2057</v>
      </c>
      <c r="D139" s="374">
        <f>IF(F138+SUM(E$99:E138)=D$92,F138,D$92-SUM(E$99:E138))</f>
        <v>362443.19291387114</v>
      </c>
      <c r="E139" s="522">
        <f>IF(+J96&lt;F138,J96,D139)</f>
        <v>260214.65853658537</v>
      </c>
      <c r="F139" s="523">
        <f t="shared" si="34"/>
        <v>102228.53437728577</v>
      </c>
      <c r="G139" s="523">
        <f t="shared" si="35"/>
        <v>232335.86364557844</v>
      </c>
      <c r="H139" s="526">
        <f t="shared" si="32"/>
        <v>286588.08435673697</v>
      </c>
      <c r="I139" s="577">
        <f t="shared" si="33"/>
        <v>286588.08435673697</v>
      </c>
      <c r="J139" s="514">
        <f t="shared" si="36"/>
        <v>0</v>
      </c>
      <c r="K139" s="514"/>
      <c r="L139" s="525"/>
      <c r="M139" s="514">
        <f t="shared" si="37"/>
        <v>0</v>
      </c>
      <c r="N139" s="525"/>
      <c r="O139" s="514">
        <f t="shared" si="38"/>
        <v>0</v>
      </c>
      <c r="P139" s="514">
        <f t="shared" si="39"/>
        <v>0</v>
      </c>
    </row>
    <row r="140" spans="2:16">
      <c r="B140" s="195" t="str">
        <f t="shared" si="25"/>
        <v/>
      </c>
      <c r="C140" s="507">
        <f>IF(D93="","-",+C139+1)</f>
        <v>2058</v>
      </c>
      <c r="D140" s="374">
        <f>IF(F139+SUM(E$99:E139)=D$92,F139,D$92-SUM(E$99:E139))</f>
        <v>102228.53437728577</v>
      </c>
      <c r="E140" s="522">
        <f>IF(+J96&lt;F139,J96,D140)</f>
        <v>102228.53437728577</v>
      </c>
      <c r="F140" s="523">
        <f t="shared" si="34"/>
        <v>0</v>
      </c>
      <c r="G140" s="523">
        <f t="shared" si="35"/>
        <v>51114.267188642887</v>
      </c>
      <c r="H140" s="526">
        <f t="shared" si="32"/>
        <v>108030.73087376601</v>
      </c>
      <c r="I140" s="577">
        <f t="shared" si="33"/>
        <v>108030.73087376601</v>
      </c>
      <c r="J140" s="514">
        <f t="shared" si="36"/>
        <v>0</v>
      </c>
      <c r="K140" s="514"/>
      <c r="L140" s="525"/>
      <c r="M140" s="514">
        <f t="shared" si="37"/>
        <v>0</v>
      </c>
      <c r="N140" s="525"/>
      <c r="O140" s="514">
        <f t="shared" si="38"/>
        <v>0</v>
      </c>
      <c r="P140" s="514">
        <f t="shared" si="39"/>
        <v>0</v>
      </c>
    </row>
    <row r="141" spans="2:16">
      <c r="B141" s="195" t="str">
        <f t="shared" si="25"/>
        <v/>
      </c>
      <c r="C141" s="507">
        <f>IF(D93="","-",+C140+1)</f>
        <v>2059</v>
      </c>
      <c r="D141" s="374">
        <f>IF(F140+SUM(E$99:E140)=D$92,F140,D$92-SUM(E$99:E140))</f>
        <v>0</v>
      </c>
      <c r="E141" s="522">
        <f>IF(+J96&lt;F140,J96,D141)</f>
        <v>0</v>
      </c>
      <c r="F141" s="523">
        <f t="shared" si="34"/>
        <v>0</v>
      </c>
      <c r="G141" s="523">
        <f t="shared" si="35"/>
        <v>0</v>
      </c>
      <c r="H141" s="526">
        <f t="shared" si="32"/>
        <v>0</v>
      </c>
      <c r="I141" s="577">
        <f t="shared" si="33"/>
        <v>0</v>
      </c>
      <c r="J141" s="514">
        <f t="shared" si="36"/>
        <v>0</v>
      </c>
      <c r="K141" s="514"/>
      <c r="L141" s="525"/>
      <c r="M141" s="514">
        <f t="shared" si="37"/>
        <v>0</v>
      </c>
      <c r="N141" s="525"/>
      <c r="O141" s="514">
        <f t="shared" si="38"/>
        <v>0</v>
      </c>
      <c r="P141" s="514">
        <f t="shared" si="39"/>
        <v>0</v>
      </c>
    </row>
    <row r="142" spans="2:16">
      <c r="B142" s="195" t="str">
        <f t="shared" si="25"/>
        <v/>
      </c>
      <c r="C142" s="507">
        <f>IF(D93="","-",+C141+1)</f>
        <v>2060</v>
      </c>
      <c r="D142" s="374">
        <f>IF(F141+SUM(E$99:E141)=D$92,F141,D$92-SUM(E$99:E141))</f>
        <v>0</v>
      </c>
      <c r="E142" s="522">
        <f>IF(+J96&lt;F141,J96,D142)</f>
        <v>0</v>
      </c>
      <c r="F142" s="523">
        <f t="shared" si="34"/>
        <v>0</v>
      </c>
      <c r="G142" s="523">
        <f t="shared" si="35"/>
        <v>0</v>
      </c>
      <c r="H142" s="526">
        <f t="shared" si="32"/>
        <v>0</v>
      </c>
      <c r="I142" s="577">
        <f t="shared" si="33"/>
        <v>0</v>
      </c>
      <c r="J142" s="514">
        <f t="shared" si="36"/>
        <v>0</v>
      </c>
      <c r="K142" s="514"/>
      <c r="L142" s="525"/>
      <c r="M142" s="514">
        <f t="shared" si="37"/>
        <v>0</v>
      </c>
      <c r="N142" s="525"/>
      <c r="O142" s="514">
        <f t="shared" si="38"/>
        <v>0</v>
      </c>
      <c r="P142" s="514">
        <f t="shared" si="39"/>
        <v>0</v>
      </c>
    </row>
    <row r="143" spans="2:16">
      <c r="B143" s="195" t="str">
        <f t="shared" si="25"/>
        <v/>
      </c>
      <c r="C143" s="507">
        <f>IF(D93="","-",+C142+1)</f>
        <v>2061</v>
      </c>
      <c r="D143" s="374">
        <f>IF(F142+SUM(E$99:E142)=D$92,F142,D$92-SUM(E$99:E142))</f>
        <v>0</v>
      </c>
      <c r="E143" s="522">
        <f>IF(+J96&lt;F142,J96,D143)</f>
        <v>0</v>
      </c>
      <c r="F143" s="523">
        <f t="shared" si="34"/>
        <v>0</v>
      </c>
      <c r="G143" s="523">
        <f t="shared" si="35"/>
        <v>0</v>
      </c>
      <c r="H143" s="526">
        <f t="shared" si="32"/>
        <v>0</v>
      </c>
      <c r="I143" s="577">
        <f t="shared" si="33"/>
        <v>0</v>
      </c>
      <c r="J143" s="514">
        <f t="shared" si="36"/>
        <v>0</v>
      </c>
      <c r="K143" s="514"/>
      <c r="L143" s="525"/>
      <c r="M143" s="514">
        <f t="shared" si="37"/>
        <v>0</v>
      </c>
      <c r="N143" s="525"/>
      <c r="O143" s="514">
        <f t="shared" si="38"/>
        <v>0</v>
      </c>
      <c r="P143" s="514">
        <f t="shared" si="39"/>
        <v>0</v>
      </c>
    </row>
    <row r="144" spans="2:16">
      <c r="B144" s="195" t="str">
        <f t="shared" si="25"/>
        <v/>
      </c>
      <c r="C144" s="507">
        <f>IF(D93="","-",+C143+1)</f>
        <v>2062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34"/>
        <v>0</v>
      </c>
      <c r="G144" s="523">
        <f t="shared" si="35"/>
        <v>0</v>
      </c>
      <c r="H144" s="526">
        <f t="shared" si="32"/>
        <v>0</v>
      </c>
      <c r="I144" s="577">
        <f t="shared" si="33"/>
        <v>0</v>
      </c>
      <c r="J144" s="514">
        <f t="shared" si="36"/>
        <v>0</v>
      </c>
      <c r="K144" s="514"/>
      <c r="L144" s="525"/>
      <c r="M144" s="514">
        <f t="shared" si="37"/>
        <v>0</v>
      </c>
      <c r="N144" s="525"/>
      <c r="O144" s="514">
        <f t="shared" si="38"/>
        <v>0</v>
      </c>
      <c r="P144" s="514">
        <f t="shared" si="39"/>
        <v>0</v>
      </c>
    </row>
    <row r="145" spans="2:16">
      <c r="B145" s="195" t="str">
        <f t="shared" si="25"/>
        <v/>
      </c>
      <c r="C145" s="507">
        <f>IF(D93="","-",+C144+1)</f>
        <v>2063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34"/>
        <v>0</v>
      </c>
      <c r="G145" s="523">
        <f t="shared" si="35"/>
        <v>0</v>
      </c>
      <c r="H145" s="526">
        <f t="shared" si="32"/>
        <v>0</v>
      </c>
      <c r="I145" s="577">
        <f t="shared" si="33"/>
        <v>0</v>
      </c>
      <c r="J145" s="514">
        <f t="shared" si="36"/>
        <v>0</v>
      </c>
      <c r="K145" s="514"/>
      <c r="L145" s="525"/>
      <c r="M145" s="514">
        <f t="shared" si="37"/>
        <v>0</v>
      </c>
      <c r="N145" s="525"/>
      <c r="O145" s="514">
        <f t="shared" si="38"/>
        <v>0</v>
      </c>
      <c r="P145" s="514">
        <f t="shared" si="39"/>
        <v>0</v>
      </c>
    </row>
    <row r="146" spans="2:16">
      <c r="B146" s="195" t="str">
        <f t="shared" si="25"/>
        <v/>
      </c>
      <c r="C146" s="507">
        <f>IF(D93="","-",+C145+1)</f>
        <v>2064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34"/>
        <v>0</v>
      </c>
      <c r="G146" s="523">
        <f t="shared" si="35"/>
        <v>0</v>
      </c>
      <c r="H146" s="526">
        <f t="shared" si="32"/>
        <v>0</v>
      </c>
      <c r="I146" s="577">
        <f t="shared" si="33"/>
        <v>0</v>
      </c>
      <c r="J146" s="514">
        <f t="shared" si="36"/>
        <v>0</v>
      </c>
      <c r="K146" s="514"/>
      <c r="L146" s="525"/>
      <c r="M146" s="514">
        <f t="shared" si="37"/>
        <v>0</v>
      </c>
      <c r="N146" s="525"/>
      <c r="O146" s="514">
        <f t="shared" si="38"/>
        <v>0</v>
      </c>
      <c r="P146" s="514">
        <f t="shared" si="39"/>
        <v>0</v>
      </c>
    </row>
    <row r="147" spans="2:16">
      <c r="B147" s="195" t="str">
        <f t="shared" si="25"/>
        <v/>
      </c>
      <c r="C147" s="507">
        <f>IF(D93="","-",+C146+1)</f>
        <v>2065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34"/>
        <v>0</v>
      </c>
      <c r="G147" s="523">
        <f t="shared" si="35"/>
        <v>0</v>
      </c>
      <c r="H147" s="526">
        <f t="shared" si="32"/>
        <v>0</v>
      </c>
      <c r="I147" s="577">
        <f t="shared" si="33"/>
        <v>0</v>
      </c>
      <c r="J147" s="514">
        <f t="shared" si="36"/>
        <v>0</v>
      </c>
      <c r="K147" s="514"/>
      <c r="L147" s="525"/>
      <c r="M147" s="514">
        <f t="shared" si="37"/>
        <v>0</v>
      </c>
      <c r="N147" s="525"/>
      <c r="O147" s="514">
        <f t="shared" si="38"/>
        <v>0</v>
      </c>
      <c r="P147" s="514">
        <f t="shared" si="39"/>
        <v>0</v>
      </c>
    </row>
    <row r="148" spans="2:16">
      <c r="B148" s="195" t="str">
        <f t="shared" si="25"/>
        <v/>
      </c>
      <c r="C148" s="507">
        <f>IF(D93="","-",+C147+1)</f>
        <v>2066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34"/>
        <v>0</v>
      </c>
      <c r="G148" s="523">
        <f t="shared" si="35"/>
        <v>0</v>
      </c>
      <c r="H148" s="526">
        <f t="shared" si="32"/>
        <v>0</v>
      </c>
      <c r="I148" s="577">
        <f t="shared" si="33"/>
        <v>0</v>
      </c>
      <c r="J148" s="514">
        <f t="shared" si="36"/>
        <v>0</v>
      </c>
      <c r="K148" s="514"/>
      <c r="L148" s="525"/>
      <c r="M148" s="514">
        <f t="shared" si="37"/>
        <v>0</v>
      </c>
      <c r="N148" s="525"/>
      <c r="O148" s="514">
        <f t="shared" si="38"/>
        <v>0</v>
      </c>
      <c r="P148" s="514">
        <f t="shared" si="39"/>
        <v>0</v>
      </c>
    </row>
    <row r="149" spans="2:16">
      <c r="B149" s="195" t="str">
        <f t="shared" si="25"/>
        <v/>
      </c>
      <c r="C149" s="507">
        <f>IF(D93="","-",+C148+1)</f>
        <v>2067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34"/>
        <v>0</v>
      </c>
      <c r="G149" s="523">
        <f t="shared" si="35"/>
        <v>0</v>
      </c>
      <c r="H149" s="526">
        <f t="shared" si="32"/>
        <v>0</v>
      </c>
      <c r="I149" s="577">
        <f t="shared" si="33"/>
        <v>0</v>
      </c>
      <c r="J149" s="514">
        <f t="shared" si="36"/>
        <v>0</v>
      </c>
      <c r="K149" s="514"/>
      <c r="L149" s="525"/>
      <c r="M149" s="514">
        <f t="shared" si="37"/>
        <v>0</v>
      </c>
      <c r="N149" s="525"/>
      <c r="O149" s="514">
        <f t="shared" si="38"/>
        <v>0</v>
      </c>
      <c r="P149" s="514">
        <f t="shared" si="39"/>
        <v>0</v>
      </c>
    </row>
    <row r="150" spans="2:16">
      <c r="B150" s="195" t="str">
        <f t="shared" si="25"/>
        <v/>
      </c>
      <c r="C150" s="507">
        <f>IF(D93="","-",+C149+1)</f>
        <v>2068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34"/>
        <v>0</v>
      </c>
      <c r="G150" s="523">
        <f t="shared" si="35"/>
        <v>0</v>
      </c>
      <c r="H150" s="526">
        <f t="shared" si="32"/>
        <v>0</v>
      </c>
      <c r="I150" s="577">
        <f t="shared" si="33"/>
        <v>0</v>
      </c>
      <c r="J150" s="514">
        <f t="shared" si="36"/>
        <v>0</v>
      </c>
      <c r="K150" s="514"/>
      <c r="L150" s="525"/>
      <c r="M150" s="514">
        <f t="shared" si="37"/>
        <v>0</v>
      </c>
      <c r="N150" s="525"/>
      <c r="O150" s="514">
        <f t="shared" si="38"/>
        <v>0</v>
      </c>
      <c r="P150" s="514">
        <f t="shared" si="39"/>
        <v>0</v>
      </c>
    </row>
    <row r="151" spans="2:16">
      <c r="B151" s="195" t="str">
        <f t="shared" si="25"/>
        <v/>
      </c>
      <c r="C151" s="507">
        <f>IF(D93="","-",+C150+1)</f>
        <v>2069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34"/>
        <v>0</v>
      </c>
      <c r="G151" s="523">
        <f t="shared" si="35"/>
        <v>0</v>
      </c>
      <c r="H151" s="526">
        <f t="shared" si="32"/>
        <v>0</v>
      </c>
      <c r="I151" s="577">
        <f t="shared" si="33"/>
        <v>0</v>
      </c>
      <c r="J151" s="514">
        <f t="shared" si="36"/>
        <v>0</v>
      </c>
      <c r="K151" s="514"/>
      <c r="L151" s="525"/>
      <c r="M151" s="514">
        <f t="shared" si="37"/>
        <v>0</v>
      </c>
      <c r="N151" s="525"/>
      <c r="O151" s="514">
        <f t="shared" si="38"/>
        <v>0</v>
      </c>
      <c r="P151" s="514">
        <f t="shared" si="39"/>
        <v>0</v>
      </c>
    </row>
    <row r="152" spans="2:16">
      <c r="B152" s="195" t="str">
        <f t="shared" si="25"/>
        <v/>
      </c>
      <c r="C152" s="507">
        <f>IF(D93="","-",+C151+1)</f>
        <v>2070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34"/>
        <v>0</v>
      </c>
      <c r="G152" s="523">
        <f t="shared" si="35"/>
        <v>0</v>
      </c>
      <c r="H152" s="526">
        <f t="shared" si="32"/>
        <v>0</v>
      </c>
      <c r="I152" s="577">
        <f t="shared" si="33"/>
        <v>0</v>
      </c>
      <c r="J152" s="514">
        <f t="shared" si="36"/>
        <v>0</v>
      </c>
      <c r="K152" s="514"/>
      <c r="L152" s="525"/>
      <c r="M152" s="514">
        <f t="shared" si="37"/>
        <v>0</v>
      </c>
      <c r="N152" s="525"/>
      <c r="O152" s="514">
        <f t="shared" si="38"/>
        <v>0</v>
      </c>
      <c r="P152" s="514">
        <f t="shared" si="39"/>
        <v>0</v>
      </c>
    </row>
    <row r="153" spans="2:16">
      <c r="B153" s="195" t="str">
        <f t="shared" si="25"/>
        <v/>
      </c>
      <c r="C153" s="507">
        <f>IF(D93="","-",+C152+1)</f>
        <v>2071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34"/>
        <v>0</v>
      </c>
      <c r="G153" s="523">
        <f t="shared" si="35"/>
        <v>0</v>
      </c>
      <c r="H153" s="526">
        <f t="shared" si="32"/>
        <v>0</v>
      </c>
      <c r="I153" s="577">
        <f t="shared" si="33"/>
        <v>0</v>
      </c>
      <c r="J153" s="514">
        <f t="shared" si="36"/>
        <v>0</v>
      </c>
      <c r="K153" s="514"/>
      <c r="L153" s="525"/>
      <c r="M153" s="514">
        <f t="shared" si="37"/>
        <v>0</v>
      </c>
      <c r="N153" s="525"/>
      <c r="O153" s="514">
        <f t="shared" si="38"/>
        <v>0</v>
      </c>
      <c r="P153" s="514">
        <f t="shared" si="39"/>
        <v>0</v>
      </c>
    </row>
    <row r="154" spans="2:16" ht="13.5" thickBot="1">
      <c r="B154" s="195" t="str">
        <f t="shared" si="25"/>
        <v/>
      </c>
      <c r="C154" s="527">
        <f>IF(D93="","-",+C153+1)</f>
        <v>2072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34"/>
        <v>0</v>
      </c>
      <c r="G154" s="528">
        <f t="shared" si="35"/>
        <v>0</v>
      </c>
      <c r="H154" s="530">
        <f t="shared" si="32"/>
        <v>0</v>
      </c>
      <c r="I154" s="579">
        <f t="shared" si="33"/>
        <v>0</v>
      </c>
      <c r="J154" s="533">
        <f t="shared" si="36"/>
        <v>0</v>
      </c>
      <c r="K154" s="514"/>
      <c r="L154" s="532"/>
      <c r="M154" s="533">
        <f t="shared" si="37"/>
        <v>0</v>
      </c>
      <c r="N154" s="532"/>
      <c r="O154" s="533">
        <f t="shared" si="38"/>
        <v>0</v>
      </c>
      <c r="P154" s="533">
        <f t="shared" si="39"/>
        <v>0</v>
      </c>
    </row>
    <row r="155" spans="2:16">
      <c r="C155" s="374" t="s">
        <v>78</v>
      </c>
      <c r="D155" s="375"/>
      <c r="E155" s="375">
        <f>SUM(E99:E154)</f>
        <v>10668801</v>
      </c>
      <c r="F155" s="375"/>
      <c r="G155" s="375"/>
      <c r="H155" s="375">
        <f>SUM(H99:H154)</f>
        <v>35223216.369016416</v>
      </c>
      <c r="I155" s="375">
        <f>SUM(I99:I154)</f>
        <v>35223216.369016416</v>
      </c>
      <c r="J155" s="375">
        <f>SUM(J99:J154)</f>
        <v>0</v>
      </c>
      <c r="K155" s="375"/>
      <c r="L155" s="375"/>
      <c r="M155" s="375"/>
      <c r="N155" s="375"/>
      <c r="O155" s="375"/>
      <c r="P155" s="269"/>
    </row>
    <row r="156" spans="2:16">
      <c r="C156" s="183" t="s">
        <v>92</v>
      </c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</row>
    <row r="157" spans="2:16">
      <c r="C157" s="580"/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</row>
    <row r="158" spans="2:16">
      <c r="C158" s="614" t="s">
        <v>132</v>
      </c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</row>
    <row r="159" spans="2:16">
      <c r="C159" s="467" t="s">
        <v>79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</row>
    <row r="160" spans="2:16">
      <c r="C160" s="581" t="s">
        <v>80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</row>
    <row r="161" spans="3:16">
      <c r="C161" s="581"/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</row>
    <row r="162" spans="3:16" ht="18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635" t="s">
        <v>131</v>
      </c>
    </row>
  </sheetData>
  <conditionalFormatting sqref="C18:C72">
    <cfRule type="cellIs" dxfId="20" priority="2" stopIfTrue="1" operator="equal">
      <formula>$I$10</formula>
    </cfRule>
  </conditionalFormatting>
  <conditionalFormatting sqref="C99:C154">
    <cfRule type="cellIs" dxfId="19" priority="3" stopIfTrue="1" operator="equal">
      <formula>$J$92</formula>
    </cfRule>
  </conditionalFormatting>
  <conditionalFormatting sqref="C17">
    <cfRule type="cellIs" dxfId="18" priority="1" stopIfTrue="1" operator="equal">
      <formula>$I$10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dimension ref="A1:P162"/>
  <sheetViews>
    <sheetView topLeftCell="A91" zoomScale="80" zoomScaleNormal="80" workbookViewId="0">
      <selection activeCell="D99" sqref="D99:I103"/>
    </sheetView>
  </sheetViews>
  <sheetFormatPr defaultColWidth="8.7109375" defaultRowHeight="12.75" customHeight="1"/>
  <cols>
    <col min="1" max="1" width="4.7109375" style="183" customWidth="1"/>
    <col min="2" max="2" width="6.7109375" style="183" customWidth="1"/>
    <col min="3" max="3" width="23.28515625" style="183" customWidth="1"/>
    <col min="4" max="8" width="17.7109375" style="183" customWidth="1"/>
    <col min="9" max="9" width="20.42578125" style="183" customWidth="1"/>
    <col min="10" max="10" width="16.42578125" style="183" customWidth="1"/>
    <col min="11" max="11" width="17.7109375" style="183" customWidth="1"/>
    <col min="12" max="12" width="16.140625" style="183" customWidth="1"/>
    <col min="13" max="13" width="17.7109375" style="183" customWidth="1"/>
    <col min="14" max="14" width="16.7109375" style="183" customWidth="1"/>
    <col min="15" max="15" width="16.85546875" style="183" customWidth="1"/>
    <col min="16" max="16" width="24.42578125" style="183" customWidth="1"/>
    <col min="17" max="17" width="9.140625" style="183" customWidth="1"/>
    <col min="18" max="22" width="8.7109375" style="183"/>
    <col min="23" max="23" width="9.140625" style="183" customWidth="1"/>
    <col min="24" max="16384" width="8.7109375" style="183"/>
  </cols>
  <sheetData>
    <row r="1" spans="1:16" ht="20.25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68 of 75</v>
      </c>
    </row>
    <row r="2" spans="1:16" ht="18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538" t="s">
        <v>129</v>
      </c>
    </row>
    <row r="3" spans="1:16" ht="18.75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/>
      <c r="P3" s="623">
        <v>1</v>
      </c>
    </row>
    <row r="4" spans="1:16" ht="15.75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6" ht="1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1401160.9479644275</v>
      </c>
      <c r="P5" s="269"/>
    </row>
    <row r="6" spans="1:16" ht="15.7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1401160.9479644275</v>
      </c>
      <c r="O6" s="269"/>
      <c r="P6" s="269"/>
    </row>
    <row r="7" spans="1:16" ht="13.5" thickBot="1">
      <c r="C7" s="467" t="s">
        <v>48</v>
      </c>
      <c r="D7" s="624" t="s">
        <v>421</v>
      </c>
      <c r="E7" s="269"/>
      <c r="F7" s="269"/>
      <c r="G7" s="269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6" ht="13.5" thickBot="1">
      <c r="C8" s="472"/>
      <c r="D8" s="625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6" ht="13.5" thickBot="1">
      <c r="C9" s="476" t="s">
        <v>50</v>
      </c>
      <c r="D9" s="477" t="s">
        <v>419</v>
      </c>
      <c r="E9" s="637" t="s">
        <v>420</v>
      </c>
      <c r="F9" s="478"/>
      <c r="G9" s="478"/>
      <c r="H9" s="478"/>
      <c r="I9" s="479"/>
      <c r="J9" s="480"/>
      <c r="O9" s="481"/>
      <c r="P9" s="272"/>
    </row>
    <row r="10" spans="1:16">
      <c r="C10" s="482" t="s">
        <v>51</v>
      </c>
      <c r="D10" s="483">
        <v>11171456.220000001</v>
      </c>
      <c r="E10" s="353" t="s">
        <v>52</v>
      </c>
      <c r="F10" s="481"/>
      <c r="G10" s="484"/>
      <c r="H10" s="484"/>
      <c r="I10" s="485">
        <f>+'SWE.WS.F.BPU.ATRR.Projected'!L19</f>
        <v>2024</v>
      </c>
      <c r="J10" s="480"/>
      <c r="K10" s="375" t="s">
        <v>53</v>
      </c>
      <c r="O10" s="272"/>
      <c r="P10" s="272"/>
    </row>
    <row r="11" spans="1:16">
      <c r="C11" s="486" t="s">
        <v>54</v>
      </c>
      <c r="D11" s="487">
        <v>2018</v>
      </c>
      <c r="E11" s="486" t="s">
        <v>55</v>
      </c>
      <c r="F11" s="484"/>
      <c r="G11" s="233"/>
      <c r="H11" s="233"/>
      <c r="I11" s="488">
        <f>IF(G5="",0,'SWE.WS.F.BPU.ATRR.Projected'!F$13)</f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6">
      <c r="C12" s="486" t="s">
        <v>56</v>
      </c>
      <c r="D12" s="483">
        <v>5</v>
      </c>
      <c r="E12" s="486" t="s">
        <v>57</v>
      </c>
      <c r="F12" s="484"/>
      <c r="G12" s="233"/>
      <c r="H12" s="233"/>
      <c r="I12" s="490">
        <f>'SWE.WS.F.BPU.ATRR.Projected'!$F$81</f>
        <v>0.11952713165403545</v>
      </c>
      <c r="J12" s="425"/>
      <c r="K12" s="183" t="s">
        <v>58</v>
      </c>
      <c r="O12" s="272"/>
      <c r="P12" s="272"/>
    </row>
    <row r="13" spans="1:16">
      <c r="C13" s="486" t="s">
        <v>59</v>
      </c>
      <c r="D13" s="488">
        <f>+'SWE.WS.F.BPU.ATRR.Projected'!F$93</f>
        <v>44</v>
      </c>
      <c r="E13" s="486" t="s">
        <v>60</v>
      </c>
      <c r="F13" s="484"/>
      <c r="G13" s="233"/>
      <c r="H13" s="233"/>
      <c r="I13" s="490">
        <f>IF(G5="",I12,'SWE.WS.F.BPU.ATRR.Projected'!$F$80)</f>
        <v>0.11952713165403545</v>
      </c>
      <c r="J13" s="425"/>
      <c r="K13" s="375" t="s">
        <v>61</v>
      </c>
      <c r="L13" s="324"/>
      <c r="M13" s="324"/>
      <c r="N13" s="324"/>
      <c r="O13" s="272"/>
      <c r="P13" s="272"/>
    </row>
    <row r="14" spans="1:16" ht="13.5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253896.7322727273</v>
      </c>
      <c r="J14" s="375"/>
      <c r="K14" s="375"/>
      <c r="L14" s="375"/>
      <c r="M14" s="375"/>
      <c r="N14" s="375"/>
      <c r="O14" s="272"/>
      <c r="P14" s="272"/>
    </row>
    <row r="15" spans="1:16" ht="38.25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388</v>
      </c>
      <c r="H15" s="495" t="s">
        <v>389</v>
      </c>
      <c r="I15" s="492" t="s">
        <v>68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6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600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>
      <c r="C17" s="507">
        <f>IF(D11= "","-",D11)</f>
        <v>2018</v>
      </c>
      <c r="D17" s="631">
        <v>0</v>
      </c>
      <c r="E17" s="630">
        <v>138449.18699186991</v>
      </c>
      <c r="F17" s="631">
        <v>9592550.8130081296</v>
      </c>
      <c r="G17" s="630">
        <v>748027.48799327505</v>
      </c>
      <c r="H17" s="639">
        <v>748027.48799327505</v>
      </c>
      <c r="I17" s="511">
        <f t="shared" ref="I17:I72" si="0">H17-G17</f>
        <v>0</v>
      </c>
      <c r="J17" s="511"/>
      <c r="K17" s="512">
        <f t="shared" ref="K17:K22" si="1">+G17</f>
        <v>748027.48799327505</v>
      </c>
      <c r="L17" s="513">
        <f t="shared" ref="L17:L72" si="2">IF(K17&lt;&gt;0,+G17-K17,0)</f>
        <v>0</v>
      </c>
      <c r="M17" s="512">
        <f t="shared" ref="M17:M22" si="3">+H17</f>
        <v>748027.48799327505</v>
      </c>
      <c r="N17" s="513">
        <f t="shared" ref="N17:N72" si="4">IF(M17&lt;&gt;0,+H17-M17,0)</f>
        <v>0</v>
      </c>
      <c r="O17" s="514">
        <f t="shared" ref="O17:O72" si="5">+N17-L17</f>
        <v>0</v>
      </c>
      <c r="P17" s="272"/>
    </row>
    <row r="18" spans="2:16">
      <c r="B18" s="195" t="str">
        <f>IF(D18=F17,"","IU")</f>
        <v/>
      </c>
      <c r="C18" s="507">
        <f>IF(D11="","-",+C17+1)</f>
        <v>2019</v>
      </c>
      <c r="D18" s="631">
        <v>9592550.8130081296</v>
      </c>
      <c r="E18" s="630">
        <v>237341.46341463414</v>
      </c>
      <c r="F18" s="631">
        <v>9355209.349593496</v>
      </c>
      <c r="G18" s="630">
        <v>1441415.7157019456</v>
      </c>
      <c r="H18" s="639">
        <v>1441415.7157019456</v>
      </c>
      <c r="I18" s="511">
        <f t="shared" si="0"/>
        <v>0</v>
      </c>
      <c r="J18" s="511"/>
      <c r="K18" s="518">
        <f t="shared" si="1"/>
        <v>1441415.7157019456</v>
      </c>
      <c r="L18" s="519">
        <f t="shared" si="2"/>
        <v>0</v>
      </c>
      <c r="M18" s="518">
        <f t="shared" si="3"/>
        <v>1441415.7157019456</v>
      </c>
      <c r="N18" s="514">
        <f t="shared" si="4"/>
        <v>0</v>
      </c>
      <c r="O18" s="514">
        <f t="shared" si="5"/>
        <v>0</v>
      </c>
      <c r="P18" s="272"/>
    </row>
    <row r="19" spans="2:16">
      <c r="B19" s="195" t="str">
        <f>IF(D19=F18,"","IU")</f>
        <v>IU</v>
      </c>
      <c r="C19" s="507">
        <f>IF(D11="","-",+C18+1)</f>
        <v>2020</v>
      </c>
      <c r="D19" s="631">
        <v>10792524.349593496</v>
      </c>
      <c r="E19" s="630">
        <v>272397.92682926828</v>
      </c>
      <c r="F19" s="631">
        <v>10520126.422764227</v>
      </c>
      <c r="G19" s="630">
        <v>1362917.8369081842</v>
      </c>
      <c r="H19" s="639">
        <v>1362917.8369081842</v>
      </c>
      <c r="I19" s="511">
        <f t="shared" si="0"/>
        <v>0</v>
      </c>
      <c r="J19" s="511"/>
      <c r="K19" s="518">
        <f t="shared" si="1"/>
        <v>1362917.8369081842</v>
      </c>
      <c r="L19" s="519">
        <f t="shared" ref="L19" si="6">IF(K19&lt;&gt;0,+G19-K19,0)</f>
        <v>0</v>
      </c>
      <c r="M19" s="518">
        <f t="shared" si="3"/>
        <v>1362917.8369081842</v>
      </c>
      <c r="N19" s="514">
        <f t="shared" si="4"/>
        <v>0</v>
      </c>
      <c r="O19" s="514">
        <f t="shared" si="5"/>
        <v>0</v>
      </c>
      <c r="P19" s="272"/>
    </row>
    <row r="20" spans="2:16">
      <c r="B20" s="195" t="str">
        <f t="shared" ref="B20:B72" si="7">IF(D20=F19,"","IU")</f>
        <v>IU</v>
      </c>
      <c r="C20" s="507">
        <f>IF(D11="","-",+C19+1)</f>
        <v>2021</v>
      </c>
      <c r="D20" s="631">
        <v>10534306.560597466</v>
      </c>
      <c r="E20" s="630">
        <v>265987.04761904763</v>
      </c>
      <c r="F20" s="631">
        <v>10268319.512978418</v>
      </c>
      <c r="G20" s="630">
        <v>1368573.5039296474</v>
      </c>
      <c r="H20" s="639">
        <v>1368573.5039296474</v>
      </c>
      <c r="I20" s="511">
        <f t="shared" si="0"/>
        <v>0</v>
      </c>
      <c r="J20" s="511"/>
      <c r="K20" s="518">
        <f t="shared" si="1"/>
        <v>1368573.5039296474</v>
      </c>
      <c r="L20" s="519">
        <f t="shared" ref="L20" si="8">IF(K20&lt;&gt;0,+G20-K20,0)</f>
        <v>0</v>
      </c>
      <c r="M20" s="518">
        <f t="shared" si="3"/>
        <v>1368573.5039296474</v>
      </c>
      <c r="N20" s="514">
        <f t="shared" si="4"/>
        <v>0</v>
      </c>
      <c r="O20" s="514">
        <f t="shared" si="5"/>
        <v>0</v>
      </c>
      <c r="P20" s="272"/>
    </row>
    <row r="21" spans="2:16">
      <c r="B21" s="195" t="str">
        <f t="shared" si="7"/>
        <v>IU</v>
      </c>
      <c r="C21" s="507">
        <f>IF(D11="","-",+C20+1)</f>
        <v>2022</v>
      </c>
      <c r="D21" s="631">
        <v>10257280.37514518</v>
      </c>
      <c r="E21" s="630">
        <v>265987.04761904763</v>
      </c>
      <c r="F21" s="631">
        <v>9991293.3275261316</v>
      </c>
      <c r="G21" s="630">
        <v>1404403.3392026301</v>
      </c>
      <c r="H21" s="639">
        <v>1404403.3392026301</v>
      </c>
      <c r="I21" s="511">
        <f t="shared" si="0"/>
        <v>0</v>
      </c>
      <c r="J21" s="511"/>
      <c r="K21" s="518">
        <f t="shared" si="1"/>
        <v>1404403.3392026301</v>
      </c>
      <c r="L21" s="519">
        <f t="shared" ref="L21" si="9">IF(K21&lt;&gt;0,+G21-K21,0)</f>
        <v>0</v>
      </c>
      <c r="M21" s="518">
        <f t="shared" si="3"/>
        <v>1404403.3392026301</v>
      </c>
      <c r="N21" s="514">
        <f t="shared" si="4"/>
        <v>0</v>
      </c>
      <c r="O21" s="514">
        <f t="shared" si="5"/>
        <v>0</v>
      </c>
      <c r="P21" s="272"/>
    </row>
    <row r="22" spans="2:16">
      <c r="B22" s="195" t="str">
        <f t="shared" si="7"/>
        <v>IU</v>
      </c>
      <c r="C22" s="507">
        <f>IF(D11="","-",+C21+1)</f>
        <v>2023</v>
      </c>
      <c r="D22" s="631">
        <v>9991293.5475261323</v>
      </c>
      <c r="E22" s="630">
        <v>265987.05285714287</v>
      </c>
      <c r="F22" s="631">
        <v>9725306.4946689904</v>
      </c>
      <c r="G22" s="630">
        <v>1511354.4294618871</v>
      </c>
      <c r="H22" s="639">
        <v>1511354.4294618871</v>
      </c>
      <c r="I22" s="511">
        <f t="shared" si="0"/>
        <v>0</v>
      </c>
      <c r="J22" s="511"/>
      <c r="K22" s="518">
        <f t="shared" si="1"/>
        <v>1511354.4294618871</v>
      </c>
      <c r="L22" s="519">
        <f t="shared" ref="L22" si="10">IF(K22&lt;&gt;0,+G22-K22,0)</f>
        <v>0</v>
      </c>
      <c r="M22" s="518">
        <f t="shared" si="3"/>
        <v>1511354.4294618871</v>
      </c>
      <c r="N22" s="514">
        <f t="shared" ref="N22" si="11">IF(M22&lt;&gt;0,+H22-M22,0)</f>
        <v>0</v>
      </c>
      <c r="O22" s="514">
        <f t="shared" ref="O22" si="12">+N22-L22</f>
        <v>0</v>
      </c>
      <c r="P22" s="272"/>
    </row>
    <row r="23" spans="2:16">
      <c r="B23" s="195" t="str">
        <f t="shared" si="7"/>
        <v/>
      </c>
      <c r="C23" s="673">
        <f>IF(D11="","-",+C22+1)</f>
        <v>2024</v>
      </c>
      <c r="D23" s="523">
        <f>IF(F22+SUM(E$17:E22)=D$10,F22,D$10-SUM(E$17:E22))</f>
        <v>9725306.4946689904</v>
      </c>
      <c r="E23" s="522">
        <f>IF(+I14&lt;F22,I14,D23)</f>
        <v>253896.7322727273</v>
      </c>
      <c r="F23" s="523">
        <f t="shared" ref="F23:F72" si="13">+D23-E23</f>
        <v>9471409.762396263</v>
      </c>
      <c r="G23" s="524">
        <f t="shared" ref="G23:G72" si="14">+I$12*((D23+F23)/2)+E23</f>
        <v>1401160.9479644275</v>
      </c>
      <c r="H23" s="491">
        <f t="shared" ref="H23:H72" si="15">+I$13*((D23+F23)/2)+E23</f>
        <v>1401160.9479644275</v>
      </c>
      <c r="I23" s="511">
        <f t="shared" si="0"/>
        <v>0</v>
      </c>
      <c r="J23" s="511"/>
      <c r="K23" s="525"/>
      <c r="L23" s="514">
        <f t="shared" si="2"/>
        <v>0</v>
      </c>
      <c r="M23" s="525"/>
      <c r="N23" s="514">
        <f t="shared" si="4"/>
        <v>0</v>
      </c>
      <c r="O23" s="514">
        <f t="shared" si="5"/>
        <v>0</v>
      </c>
      <c r="P23" s="272"/>
    </row>
    <row r="24" spans="2:16">
      <c r="B24" s="195" t="str">
        <f t="shared" si="7"/>
        <v/>
      </c>
      <c r="C24" s="507">
        <f>IF(D11="","-",+C23+1)</f>
        <v>2025</v>
      </c>
      <c r="D24" s="523">
        <f>IF(F23+SUM(E$17:E23)=D$10,F23,D$10-SUM(E$17:E23))</f>
        <v>9471409.762396263</v>
      </c>
      <c r="E24" s="522">
        <f>IF(+I14&lt;F23,I14,D24)</f>
        <v>253896.7322727273</v>
      </c>
      <c r="F24" s="523">
        <f t="shared" si="13"/>
        <v>9217513.0301235355</v>
      </c>
      <c r="G24" s="524">
        <f t="shared" si="14"/>
        <v>1370813.3998195361</v>
      </c>
      <c r="H24" s="491">
        <f t="shared" si="15"/>
        <v>1370813.3998195361</v>
      </c>
      <c r="I24" s="511">
        <f t="shared" si="0"/>
        <v>0</v>
      </c>
      <c r="J24" s="511"/>
      <c r="K24" s="525"/>
      <c r="L24" s="514">
        <f t="shared" si="2"/>
        <v>0</v>
      </c>
      <c r="M24" s="525"/>
      <c r="N24" s="514">
        <f t="shared" si="4"/>
        <v>0</v>
      </c>
      <c r="O24" s="514">
        <f t="shared" si="5"/>
        <v>0</v>
      </c>
      <c r="P24" s="272"/>
    </row>
    <row r="25" spans="2:16">
      <c r="B25" s="195" t="str">
        <f t="shared" si="7"/>
        <v/>
      </c>
      <c r="C25" s="507">
        <f>IF(D11="","-",+C24+1)</f>
        <v>2026</v>
      </c>
      <c r="D25" s="523">
        <f>IF(F24+SUM(E$17:E24)=D$10,F24,D$10-SUM(E$17:E24))</f>
        <v>9217513.0301235355</v>
      </c>
      <c r="E25" s="522">
        <f>IF(+I14&lt;F24,I14,D25)</f>
        <v>253896.7322727273</v>
      </c>
      <c r="F25" s="523">
        <f t="shared" si="13"/>
        <v>8963616.2978508081</v>
      </c>
      <c r="G25" s="524">
        <f t="shared" si="14"/>
        <v>1340465.8516746443</v>
      </c>
      <c r="H25" s="491">
        <f t="shared" si="15"/>
        <v>1340465.8516746443</v>
      </c>
      <c r="I25" s="511">
        <f t="shared" si="0"/>
        <v>0</v>
      </c>
      <c r="J25" s="511"/>
      <c r="K25" s="525"/>
      <c r="L25" s="514">
        <f t="shared" si="2"/>
        <v>0</v>
      </c>
      <c r="M25" s="525"/>
      <c r="N25" s="514">
        <f t="shared" si="4"/>
        <v>0</v>
      </c>
      <c r="O25" s="514">
        <f t="shared" si="5"/>
        <v>0</v>
      </c>
      <c r="P25" s="272"/>
    </row>
    <row r="26" spans="2:16">
      <c r="B26" s="195" t="str">
        <f t="shared" si="7"/>
        <v/>
      </c>
      <c r="C26" s="507">
        <f>IF(D11="","-",+C25+1)</f>
        <v>2027</v>
      </c>
      <c r="D26" s="523">
        <f>IF(F25+SUM(E$17:E25)=D$10,F25,D$10-SUM(E$17:E25))</f>
        <v>8963616.2978508081</v>
      </c>
      <c r="E26" s="522">
        <f>IF(+I14&lt;F25,I14,D26)</f>
        <v>253896.7322727273</v>
      </c>
      <c r="F26" s="523">
        <f t="shared" si="13"/>
        <v>8709719.5655780807</v>
      </c>
      <c r="G26" s="524">
        <f t="shared" si="14"/>
        <v>1310118.3035297529</v>
      </c>
      <c r="H26" s="491">
        <f t="shared" si="15"/>
        <v>1310118.3035297529</v>
      </c>
      <c r="I26" s="511">
        <f t="shared" si="0"/>
        <v>0</v>
      </c>
      <c r="J26" s="511"/>
      <c r="K26" s="525"/>
      <c r="L26" s="514">
        <f t="shared" si="2"/>
        <v>0</v>
      </c>
      <c r="M26" s="525"/>
      <c r="N26" s="514">
        <f t="shared" si="4"/>
        <v>0</v>
      </c>
      <c r="O26" s="514">
        <f t="shared" si="5"/>
        <v>0</v>
      </c>
      <c r="P26" s="272"/>
    </row>
    <row r="27" spans="2:16">
      <c r="B27" s="195" t="str">
        <f t="shared" si="7"/>
        <v/>
      </c>
      <c r="C27" s="507">
        <f>IF(D11="","-",+C26+1)</f>
        <v>2028</v>
      </c>
      <c r="D27" s="523">
        <f>IF(F26+SUM(E$17:E26)=D$10,F26,D$10-SUM(E$17:E26))</f>
        <v>8709719.5655780807</v>
      </c>
      <c r="E27" s="522">
        <f>IF(+I14&lt;F26,I14,D27)</f>
        <v>253896.7322727273</v>
      </c>
      <c r="F27" s="523">
        <f t="shared" si="13"/>
        <v>8455822.8333053533</v>
      </c>
      <c r="G27" s="524">
        <f t="shared" si="14"/>
        <v>1279770.755384861</v>
      </c>
      <c r="H27" s="491">
        <f t="shared" si="15"/>
        <v>1279770.755384861</v>
      </c>
      <c r="I27" s="511">
        <f t="shared" si="0"/>
        <v>0</v>
      </c>
      <c r="J27" s="511"/>
      <c r="K27" s="525"/>
      <c r="L27" s="514">
        <f t="shared" si="2"/>
        <v>0</v>
      </c>
      <c r="M27" s="525"/>
      <c r="N27" s="514">
        <f t="shared" si="4"/>
        <v>0</v>
      </c>
      <c r="O27" s="514">
        <f t="shared" si="5"/>
        <v>0</v>
      </c>
      <c r="P27" s="272"/>
    </row>
    <row r="28" spans="2:16">
      <c r="B28" s="195" t="str">
        <f t="shared" si="7"/>
        <v/>
      </c>
      <c r="C28" s="507">
        <f>IF(D11="","-",+C27+1)</f>
        <v>2029</v>
      </c>
      <c r="D28" s="523">
        <f>IF(F27+SUM(E$17:E27)=D$10,F27,D$10-SUM(E$17:E27))</f>
        <v>8455822.8333053533</v>
      </c>
      <c r="E28" s="522">
        <f>IF(+I14&lt;F27,I14,D28)</f>
        <v>253896.7322727273</v>
      </c>
      <c r="F28" s="523">
        <f t="shared" si="13"/>
        <v>8201926.1010326259</v>
      </c>
      <c r="G28" s="524">
        <f t="shared" si="14"/>
        <v>1249423.2072399694</v>
      </c>
      <c r="H28" s="491">
        <f t="shared" si="15"/>
        <v>1249423.2072399694</v>
      </c>
      <c r="I28" s="511">
        <f t="shared" si="0"/>
        <v>0</v>
      </c>
      <c r="J28" s="511"/>
      <c r="K28" s="525"/>
      <c r="L28" s="514">
        <f t="shared" si="2"/>
        <v>0</v>
      </c>
      <c r="M28" s="525"/>
      <c r="N28" s="514">
        <f t="shared" si="4"/>
        <v>0</v>
      </c>
      <c r="O28" s="514">
        <f t="shared" si="5"/>
        <v>0</v>
      </c>
      <c r="P28" s="272"/>
    </row>
    <row r="29" spans="2:16">
      <c r="B29" s="195" t="str">
        <f t="shared" si="7"/>
        <v/>
      </c>
      <c r="C29" s="507">
        <f>IF(D11="","-",+C28+1)</f>
        <v>2030</v>
      </c>
      <c r="D29" s="523">
        <f>IF(F28+SUM(E$17:E28)=D$10,F28,D$10-SUM(E$17:E28))</f>
        <v>8201926.1010326259</v>
      </c>
      <c r="E29" s="522">
        <f>IF(+I14&lt;F28,I14,D29)</f>
        <v>253896.7322727273</v>
      </c>
      <c r="F29" s="523">
        <f t="shared" si="13"/>
        <v>7948029.3687598985</v>
      </c>
      <c r="G29" s="524">
        <f t="shared" si="14"/>
        <v>1219075.6590950778</v>
      </c>
      <c r="H29" s="491">
        <f t="shared" si="15"/>
        <v>1219075.6590950778</v>
      </c>
      <c r="I29" s="511">
        <f t="shared" si="0"/>
        <v>0</v>
      </c>
      <c r="J29" s="511"/>
      <c r="K29" s="525"/>
      <c r="L29" s="514">
        <f t="shared" si="2"/>
        <v>0</v>
      </c>
      <c r="M29" s="525"/>
      <c r="N29" s="514">
        <f t="shared" si="4"/>
        <v>0</v>
      </c>
      <c r="O29" s="514">
        <f t="shared" si="5"/>
        <v>0</v>
      </c>
      <c r="P29" s="272"/>
    </row>
    <row r="30" spans="2:16">
      <c r="B30" s="195" t="str">
        <f t="shared" si="7"/>
        <v/>
      </c>
      <c r="C30" s="507">
        <f>IF(D11="","-",+C29+1)</f>
        <v>2031</v>
      </c>
      <c r="D30" s="523">
        <f>IF(F29+SUM(E$17:E29)=D$10,F29,D$10-SUM(E$17:E29))</f>
        <v>7948029.3687598985</v>
      </c>
      <c r="E30" s="522">
        <f>IF(+I14&lt;F29,I14,D30)</f>
        <v>253896.7322727273</v>
      </c>
      <c r="F30" s="523">
        <f t="shared" si="13"/>
        <v>7694132.6364871711</v>
      </c>
      <c r="G30" s="524">
        <f t="shared" si="14"/>
        <v>1188728.1109501859</v>
      </c>
      <c r="H30" s="491">
        <f t="shared" si="15"/>
        <v>1188728.1109501859</v>
      </c>
      <c r="I30" s="511">
        <f t="shared" si="0"/>
        <v>0</v>
      </c>
      <c r="J30" s="511"/>
      <c r="K30" s="525"/>
      <c r="L30" s="514">
        <f t="shared" si="2"/>
        <v>0</v>
      </c>
      <c r="M30" s="525"/>
      <c r="N30" s="514">
        <f t="shared" si="4"/>
        <v>0</v>
      </c>
      <c r="O30" s="514">
        <f t="shared" si="5"/>
        <v>0</v>
      </c>
      <c r="P30" s="272"/>
    </row>
    <row r="31" spans="2:16">
      <c r="B31" s="195" t="str">
        <f t="shared" si="7"/>
        <v/>
      </c>
      <c r="C31" s="507">
        <f>IF(D11="","-",+C30+1)</f>
        <v>2032</v>
      </c>
      <c r="D31" s="523">
        <f>IF(F30+SUM(E$17:E30)=D$10,F30,D$10-SUM(E$17:E30))</f>
        <v>7694132.6364871711</v>
      </c>
      <c r="E31" s="522">
        <f>IF(+I14&lt;F30,I14,D31)</f>
        <v>253896.7322727273</v>
      </c>
      <c r="F31" s="523">
        <f t="shared" si="13"/>
        <v>7440235.9042144436</v>
      </c>
      <c r="G31" s="524">
        <f t="shared" si="14"/>
        <v>1158380.5628052945</v>
      </c>
      <c r="H31" s="491">
        <f t="shared" si="15"/>
        <v>1158380.5628052945</v>
      </c>
      <c r="I31" s="511">
        <f t="shared" si="0"/>
        <v>0</v>
      </c>
      <c r="J31" s="511"/>
      <c r="K31" s="525"/>
      <c r="L31" s="514">
        <f t="shared" si="2"/>
        <v>0</v>
      </c>
      <c r="M31" s="525"/>
      <c r="N31" s="514">
        <f t="shared" si="4"/>
        <v>0</v>
      </c>
      <c r="O31" s="514">
        <f t="shared" si="5"/>
        <v>0</v>
      </c>
      <c r="P31" s="272"/>
    </row>
    <row r="32" spans="2:16">
      <c r="B32" s="195" t="str">
        <f t="shared" si="7"/>
        <v/>
      </c>
      <c r="C32" s="507">
        <f>IF(D11="","-",+C31+1)</f>
        <v>2033</v>
      </c>
      <c r="D32" s="523">
        <f>IF(F31+SUM(E$17:E31)=D$10,F31,D$10-SUM(E$17:E31))</f>
        <v>7440235.9042144436</v>
      </c>
      <c r="E32" s="522">
        <f>IF(+I14&lt;F31,I14,D32)</f>
        <v>253896.7322727273</v>
      </c>
      <c r="F32" s="523">
        <f t="shared" si="13"/>
        <v>7186339.1719417162</v>
      </c>
      <c r="G32" s="524">
        <f t="shared" si="14"/>
        <v>1128033.0146604027</v>
      </c>
      <c r="H32" s="491">
        <f t="shared" si="15"/>
        <v>1128033.0146604027</v>
      </c>
      <c r="I32" s="511">
        <f t="shared" si="0"/>
        <v>0</v>
      </c>
      <c r="J32" s="511"/>
      <c r="K32" s="525"/>
      <c r="L32" s="514">
        <f t="shared" si="2"/>
        <v>0</v>
      </c>
      <c r="M32" s="525"/>
      <c r="N32" s="514">
        <f t="shared" si="4"/>
        <v>0</v>
      </c>
      <c r="O32" s="514">
        <f t="shared" si="5"/>
        <v>0</v>
      </c>
      <c r="P32" s="272"/>
    </row>
    <row r="33" spans="2:16">
      <c r="B33" s="195" t="str">
        <f t="shared" si="7"/>
        <v/>
      </c>
      <c r="C33" s="507">
        <f>IF(D11="","-",+C32+1)</f>
        <v>2034</v>
      </c>
      <c r="D33" s="523">
        <f>IF(F32+SUM(E$17:E32)=D$10,F32,D$10-SUM(E$17:E32))</f>
        <v>7186339.1719417162</v>
      </c>
      <c r="E33" s="522">
        <f>IF(+I14&lt;F32,I14,D33)</f>
        <v>253896.7322727273</v>
      </c>
      <c r="F33" s="523">
        <f t="shared" si="13"/>
        <v>6932442.4396689888</v>
      </c>
      <c r="G33" s="524">
        <f t="shared" si="14"/>
        <v>1097685.466515511</v>
      </c>
      <c r="H33" s="491">
        <f t="shared" si="15"/>
        <v>1097685.466515511</v>
      </c>
      <c r="I33" s="511">
        <f t="shared" si="0"/>
        <v>0</v>
      </c>
      <c r="J33" s="511"/>
      <c r="K33" s="525"/>
      <c r="L33" s="514">
        <f t="shared" si="2"/>
        <v>0</v>
      </c>
      <c r="M33" s="525"/>
      <c r="N33" s="514">
        <f t="shared" si="4"/>
        <v>0</v>
      </c>
      <c r="O33" s="514">
        <f t="shared" si="5"/>
        <v>0</v>
      </c>
      <c r="P33" s="272"/>
    </row>
    <row r="34" spans="2:16">
      <c r="B34" s="195" t="str">
        <f t="shared" si="7"/>
        <v/>
      </c>
      <c r="C34" s="507">
        <f>IF(D11="","-",+C33+1)</f>
        <v>2035</v>
      </c>
      <c r="D34" s="523">
        <f>IF(F33+SUM(E$17:E33)=D$10,F33,D$10-SUM(E$17:E33))</f>
        <v>6932442.4396689888</v>
      </c>
      <c r="E34" s="522">
        <f>IF(+I14&lt;F33,I14,D34)</f>
        <v>253896.7322727273</v>
      </c>
      <c r="F34" s="523">
        <f t="shared" si="13"/>
        <v>6678545.7073962614</v>
      </c>
      <c r="G34" s="524">
        <f t="shared" si="14"/>
        <v>1067337.9183706194</v>
      </c>
      <c r="H34" s="491">
        <f t="shared" si="15"/>
        <v>1067337.9183706194</v>
      </c>
      <c r="I34" s="511">
        <f t="shared" si="0"/>
        <v>0</v>
      </c>
      <c r="J34" s="511"/>
      <c r="K34" s="525"/>
      <c r="L34" s="514">
        <f t="shared" si="2"/>
        <v>0</v>
      </c>
      <c r="M34" s="525"/>
      <c r="N34" s="514">
        <f t="shared" si="4"/>
        <v>0</v>
      </c>
      <c r="O34" s="514">
        <f t="shared" si="5"/>
        <v>0</v>
      </c>
      <c r="P34" s="272"/>
    </row>
    <row r="35" spans="2:16">
      <c r="B35" s="195" t="str">
        <f t="shared" si="7"/>
        <v/>
      </c>
      <c r="C35" s="507">
        <f>IF(D11="","-",+C34+1)</f>
        <v>2036</v>
      </c>
      <c r="D35" s="523">
        <f>IF(F34+SUM(E$17:E34)=D$10,F34,D$10-SUM(E$17:E34))</f>
        <v>6678545.7073962614</v>
      </c>
      <c r="E35" s="522">
        <f>IF(+I14&lt;F34,I14,D35)</f>
        <v>253896.7322727273</v>
      </c>
      <c r="F35" s="523">
        <f t="shared" si="13"/>
        <v>6424648.975123534</v>
      </c>
      <c r="G35" s="524">
        <f t="shared" si="14"/>
        <v>1036990.3702257277</v>
      </c>
      <c r="H35" s="491">
        <f t="shared" si="15"/>
        <v>1036990.3702257277</v>
      </c>
      <c r="I35" s="511">
        <f t="shared" si="0"/>
        <v>0</v>
      </c>
      <c r="J35" s="511"/>
      <c r="K35" s="525"/>
      <c r="L35" s="514">
        <f t="shared" si="2"/>
        <v>0</v>
      </c>
      <c r="M35" s="525"/>
      <c r="N35" s="514">
        <f t="shared" si="4"/>
        <v>0</v>
      </c>
      <c r="O35" s="514">
        <f t="shared" si="5"/>
        <v>0</v>
      </c>
      <c r="P35" s="272"/>
    </row>
    <row r="36" spans="2:16">
      <c r="B36" s="195" t="str">
        <f t="shared" si="7"/>
        <v/>
      </c>
      <c r="C36" s="507">
        <f>IF(D11="","-",+C35+1)</f>
        <v>2037</v>
      </c>
      <c r="D36" s="523">
        <f>IF(F35+SUM(E$17:E35)=D$10,F35,D$10-SUM(E$17:E35))</f>
        <v>6424648.975123534</v>
      </c>
      <c r="E36" s="522">
        <f>IF(+I14&lt;F35,I14,D36)</f>
        <v>253896.7322727273</v>
      </c>
      <c r="F36" s="523">
        <f t="shared" si="13"/>
        <v>6170752.2428508066</v>
      </c>
      <c r="G36" s="524">
        <f t="shared" si="14"/>
        <v>1006642.822080836</v>
      </c>
      <c r="H36" s="491">
        <f t="shared" si="15"/>
        <v>1006642.822080836</v>
      </c>
      <c r="I36" s="511">
        <f t="shared" si="0"/>
        <v>0</v>
      </c>
      <c r="J36" s="511"/>
      <c r="K36" s="525"/>
      <c r="L36" s="514">
        <f t="shared" si="2"/>
        <v>0</v>
      </c>
      <c r="M36" s="525"/>
      <c r="N36" s="514">
        <f t="shared" si="4"/>
        <v>0</v>
      </c>
      <c r="O36" s="514">
        <f t="shared" si="5"/>
        <v>0</v>
      </c>
      <c r="P36" s="272"/>
    </row>
    <row r="37" spans="2:16">
      <c r="B37" s="195" t="str">
        <f t="shared" si="7"/>
        <v/>
      </c>
      <c r="C37" s="507">
        <f>IF(D11="","-",+C36+1)</f>
        <v>2038</v>
      </c>
      <c r="D37" s="523">
        <f>IF(F36+SUM(E$17:E36)=D$10,F36,D$10-SUM(E$17:E36))</f>
        <v>6170752.2428508066</v>
      </c>
      <c r="E37" s="522">
        <f>IF(+I14&lt;F36,I14,D37)</f>
        <v>253896.7322727273</v>
      </c>
      <c r="F37" s="523">
        <f t="shared" si="13"/>
        <v>5916855.5105780791</v>
      </c>
      <c r="G37" s="524">
        <f t="shared" si="14"/>
        <v>976295.27393594431</v>
      </c>
      <c r="H37" s="491">
        <f t="shared" si="15"/>
        <v>976295.27393594431</v>
      </c>
      <c r="I37" s="511">
        <f t="shared" si="0"/>
        <v>0</v>
      </c>
      <c r="J37" s="511"/>
      <c r="K37" s="525"/>
      <c r="L37" s="514">
        <f t="shared" si="2"/>
        <v>0</v>
      </c>
      <c r="M37" s="525"/>
      <c r="N37" s="514">
        <f t="shared" si="4"/>
        <v>0</v>
      </c>
      <c r="O37" s="514">
        <f t="shared" si="5"/>
        <v>0</v>
      </c>
      <c r="P37" s="272"/>
    </row>
    <row r="38" spans="2:16">
      <c r="B38" s="195" t="str">
        <f t="shared" si="7"/>
        <v/>
      </c>
      <c r="C38" s="507">
        <f>IF(D11="","-",+C37+1)</f>
        <v>2039</v>
      </c>
      <c r="D38" s="523">
        <f>IF(F37+SUM(E$17:E37)=D$10,F37,D$10-SUM(E$17:E37))</f>
        <v>5916855.5105780791</v>
      </c>
      <c r="E38" s="522">
        <f>IF(+I14&lt;F37,I14,D38)</f>
        <v>253896.7322727273</v>
      </c>
      <c r="F38" s="523">
        <f t="shared" si="13"/>
        <v>5662958.7783053517</v>
      </c>
      <c r="G38" s="524">
        <f t="shared" si="14"/>
        <v>945947.72579105268</v>
      </c>
      <c r="H38" s="491">
        <f t="shared" si="15"/>
        <v>945947.72579105268</v>
      </c>
      <c r="I38" s="511">
        <f t="shared" si="0"/>
        <v>0</v>
      </c>
      <c r="J38" s="511"/>
      <c r="K38" s="525"/>
      <c r="L38" s="514">
        <f t="shared" si="2"/>
        <v>0</v>
      </c>
      <c r="M38" s="525"/>
      <c r="N38" s="514">
        <f t="shared" si="4"/>
        <v>0</v>
      </c>
      <c r="O38" s="514">
        <f t="shared" si="5"/>
        <v>0</v>
      </c>
      <c r="P38" s="272"/>
    </row>
    <row r="39" spans="2:16">
      <c r="B39" s="195" t="str">
        <f t="shared" si="7"/>
        <v/>
      </c>
      <c r="C39" s="507">
        <f>IF(D11="","-",+C38+1)</f>
        <v>2040</v>
      </c>
      <c r="D39" s="523">
        <f>IF(F38+SUM(E$17:E38)=D$10,F38,D$10-SUM(E$17:E38))</f>
        <v>5662958.7783053517</v>
      </c>
      <c r="E39" s="522">
        <f>IF(+I14&lt;F38,I14,D39)</f>
        <v>253896.7322727273</v>
      </c>
      <c r="F39" s="523">
        <f t="shared" si="13"/>
        <v>5409062.0460326243</v>
      </c>
      <c r="G39" s="524">
        <f t="shared" si="14"/>
        <v>915600.17764616094</v>
      </c>
      <c r="H39" s="491">
        <f t="shared" si="15"/>
        <v>915600.17764616094</v>
      </c>
      <c r="I39" s="511">
        <f t="shared" si="0"/>
        <v>0</v>
      </c>
      <c r="J39" s="511"/>
      <c r="K39" s="525"/>
      <c r="L39" s="514">
        <f t="shared" si="2"/>
        <v>0</v>
      </c>
      <c r="M39" s="525"/>
      <c r="N39" s="514">
        <f t="shared" si="4"/>
        <v>0</v>
      </c>
      <c r="O39" s="514">
        <f t="shared" si="5"/>
        <v>0</v>
      </c>
      <c r="P39" s="272"/>
    </row>
    <row r="40" spans="2:16">
      <c r="B40" s="195" t="str">
        <f t="shared" si="7"/>
        <v/>
      </c>
      <c r="C40" s="507">
        <f>IF(D11="","-",+C39+1)</f>
        <v>2041</v>
      </c>
      <c r="D40" s="523">
        <f>IF(F39+SUM(E$17:E39)=D$10,F39,D$10-SUM(E$17:E39))</f>
        <v>5409062.0460326243</v>
      </c>
      <c r="E40" s="522">
        <f>IF(+I14&lt;F39,I14,D40)</f>
        <v>253896.7322727273</v>
      </c>
      <c r="F40" s="523">
        <f t="shared" si="13"/>
        <v>5155165.3137598969</v>
      </c>
      <c r="G40" s="524">
        <f t="shared" si="14"/>
        <v>885252.62950126932</v>
      </c>
      <c r="H40" s="491">
        <f t="shared" si="15"/>
        <v>885252.62950126932</v>
      </c>
      <c r="I40" s="511">
        <f t="shared" si="0"/>
        <v>0</v>
      </c>
      <c r="J40" s="511"/>
      <c r="K40" s="525"/>
      <c r="L40" s="514">
        <f t="shared" si="2"/>
        <v>0</v>
      </c>
      <c r="M40" s="525"/>
      <c r="N40" s="514">
        <f t="shared" si="4"/>
        <v>0</v>
      </c>
      <c r="O40" s="514">
        <f t="shared" si="5"/>
        <v>0</v>
      </c>
      <c r="P40" s="272"/>
    </row>
    <row r="41" spans="2:16">
      <c r="B41" s="195" t="str">
        <f t="shared" si="7"/>
        <v/>
      </c>
      <c r="C41" s="507">
        <f>IF(D11="","-",+C40+1)</f>
        <v>2042</v>
      </c>
      <c r="D41" s="523">
        <f>IF(F40+SUM(E$17:E40)=D$10,F40,D$10-SUM(E$17:E40))</f>
        <v>5155165.3137598969</v>
      </c>
      <c r="E41" s="522">
        <f>IF(+I14&lt;F40,I14,D41)</f>
        <v>253896.7322727273</v>
      </c>
      <c r="F41" s="523">
        <f t="shared" si="13"/>
        <v>4901268.5814871695</v>
      </c>
      <c r="G41" s="524">
        <f t="shared" si="14"/>
        <v>854905.08135637757</v>
      </c>
      <c r="H41" s="491">
        <f t="shared" si="15"/>
        <v>854905.08135637757</v>
      </c>
      <c r="I41" s="511">
        <f t="shared" si="0"/>
        <v>0</v>
      </c>
      <c r="J41" s="511"/>
      <c r="K41" s="525"/>
      <c r="L41" s="514">
        <f t="shared" si="2"/>
        <v>0</v>
      </c>
      <c r="M41" s="525"/>
      <c r="N41" s="514">
        <f t="shared" si="4"/>
        <v>0</v>
      </c>
      <c r="O41" s="514">
        <f t="shared" si="5"/>
        <v>0</v>
      </c>
      <c r="P41" s="272"/>
    </row>
    <row r="42" spans="2:16">
      <c r="B42" s="195" t="str">
        <f t="shared" si="7"/>
        <v/>
      </c>
      <c r="C42" s="507">
        <f>IF(D11="","-",+C41+1)</f>
        <v>2043</v>
      </c>
      <c r="D42" s="523">
        <f>IF(F41+SUM(E$17:E41)=D$10,F41,D$10-SUM(E$17:E41))</f>
        <v>4901268.5814871695</v>
      </c>
      <c r="E42" s="522">
        <f>IF(+I14&lt;F41,I14,D42)</f>
        <v>253896.7322727273</v>
      </c>
      <c r="F42" s="523">
        <f t="shared" si="13"/>
        <v>4647371.8492144421</v>
      </c>
      <c r="G42" s="524">
        <f t="shared" si="14"/>
        <v>824557.53321148595</v>
      </c>
      <c r="H42" s="491">
        <f t="shared" si="15"/>
        <v>824557.53321148595</v>
      </c>
      <c r="I42" s="511">
        <f t="shared" si="0"/>
        <v>0</v>
      </c>
      <c r="J42" s="511"/>
      <c r="K42" s="525"/>
      <c r="L42" s="514">
        <f t="shared" si="2"/>
        <v>0</v>
      </c>
      <c r="M42" s="525"/>
      <c r="N42" s="514">
        <f t="shared" si="4"/>
        <v>0</v>
      </c>
      <c r="O42" s="514">
        <f t="shared" si="5"/>
        <v>0</v>
      </c>
      <c r="P42" s="272"/>
    </row>
    <row r="43" spans="2:16">
      <c r="B43" s="195" t="str">
        <f t="shared" si="7"/>
        <v/>
      </c>
      <c r="C43" s="507">
        <f>IF(D11="","-",+C42+1)</f>
        <v>2044</v>
      </c>
      <c r="D43" s="523">
        <f>IF(F42+SUM(E$17:E42)=D$10,F42,D$10-SUM(E$17:E42))</f>
        <v>4647371.8492144421</v>
      </c>
      <c r="E43" s="522">
        <f>IF(+I14&lt;F42,I14,D43)</f>
        <v>253896.7322727273</v>
      </c>
      <c r="F43" s="523">
        <f t="shared" si="13"/>
        <v>4393475.1169417147</v>
      </c>
      <c r="G43" s="524">
        <f t="shared" si="14"/>
        <v>794209.98506659421</v>
      </c>
      <c r="H43" s="491">
        <f t="shared" si="15"/>
        <v>794209.98506659421</v>
      </c>
      <c r="I43" s="511">
        <f t="shared" si="0"/>
        <v>0</v>
      </c>
      <c r="J43" s="511"/>
      <c r="K43" s="525"/>
      <c r="L43" s="514">
        <f t="shared" si="2"/>
        <v>0</v>
      </c>
      <c r="M43" s="525"/>
      <c r="N43" s="514">
        <f t="shared" si="4"/>
        <v>0</v>
      </c>
      <c r="O43" s="514">
        <f t="shared" si="5"/>
        <v>0</v>
      </c>
      <c r="P43" s="272"/>
    </row>
    <row r="44" spans="2:16">
      <c r="B44" s="195" t="str">
        <f t="shared" si="7"/>
        <v/>
      </c>
      <c r="C44" s="507">
        <f>IF(D11="","-",+C43+1)</f>
        <v>2045</v>
      </c>
      <c r="D44" s="523">
        <f>IF(F43+SUM(E$17:E43)=D$10,F43,D$10-SUM(E$17:E43))</f>
        <v>4393475.1169417147</v>
      </c>
      <c r="E44" s="522">
        <f>IF(+I14&lt;F43,I14,D44)</f>
        <v>253896.7322727273</v>
      </c>
      <c r="F44" s="523">
        <f t="shared" si="13"/>
        <v>4139578.3846689872</v>
      </c>
      <c r="G44" s="524">
        <f t="shared" si="14"/>
        <v>763862.43692170258</v>
      </c>
      <c r="H44" s="491">
        <f t="shared" si="15"/>
        <v>763862.43692170258</v>
      </c>
      <c r="I44" s="511">
        <f t="shared" si="0"/>
        <v>0</v>
      </c>
      <c r="J44" s="511"/>
      <c r="K44" s="525"/>
      <c r="L44" s="514">
        <f t="shared" si="2"/>
        <v>0</v>
      </c>
      <c r="M44" s="525"/>
      <c r="N44" s="514">
        <f t="shared" si="4"/>
        <v>0</v>
      </c>
      <c r="O44" s="514">
        <f t="shared" si="5"/>
        <v>0</v>
      </c>
      <c r="P44" s="272"/>
    </row>
    <row r="45" spans="2:16">
      <c r="B45" s="195" t="str">
        <f t="shared" si="7"/>
        <v/>
      </c>
      <c r="C45" s="507">
        <f>IF(D11="","-",+C44+1)</f>
        <v>2046</v>
      </c>
      <c r="D45" s="523">
        <f>IF(F44+SUM(E$17:E44)=D$10,F44,D$10-SUM(E$17:E44))</f>
        <v>4139578.3846689872</v>
      </c>
      <c r="E45" s="522">
        <f>IF(+I14&lt;F44,I14,D45)</f>
        <v>253896.7322727273</v>
      </c>
      <c r="F45" s="523">
        <f t="shared" si="13"/>
        <v>3885681.6523962598</v>
      </c>
      <c r="G45" s="524">
        <f t="shared" si="14"/>
        <v>733514.88877681084</v>
      </c>
      <c r="H45" s="491">
        <f t="shared" si="15"/>
        <v>733514.88877681084</v>
      </c>
      <c r="I45" s="511">
        <f t="shared" si="0"/>
        <v>0</v>
      </c>
      <c r="J45" s="511"/>
      <c r="K45" s="525"/>
      <c r="L45" s="514">
        <f t="shared" si="2"/>
        <v>0</v>
      </c>
      <c r="M45" s="525"/>
      <c r="N45" s="514">
        <f t="shared" si="4"/>
        <v>0</v>
      </c>
      <c r="O45" s="514">
        <f t="shared" si="5"/>
        <v>0</v>
      </c>
      <c r="P45" s="272"/>
    </row>
    <row r="46" spans="2:16">
      <c r="B46" s="195" t="str">
        <f t="shared" si="7"/>
        <v/>
      </c>
      <c r="C46" s="507">
        <f>IF(D11="","-",+C45+1)</f>
        <v>2047</v>
      </c>
      <c r="D46" s="523">
        <f>IF(F45+SUM(E$17:E45)=D$10,F45,D$10-SUM(E$17:E45))</f>
        <v>3885681.6523962598</v>
      </c>
      <c r="E46" s="522">
        <f>IF(+I14&lt;F45,I14,D46)</f>
        <v>253896.7322727273</v>
      </c>
      <c r="F46" s="523">
        <f t="shared" si="13"/>
        <v>3631784.9201235324</v>
      </c>
      <c r="G46" s="524">
        <f t="shared" si="14"/>
        <v>703167.34063191921</v>
      </c>
      <c r="H46" s="491">
        <f t="shared" si="15"/>
        <v>703167.34063191921</v>
      </c>
      <c r="I46" s="511">
        <f t="shared" si="0"/>
        <v>0</v>
      </c>
      <c r="J46" s="511"/>
      <c r="K46" s="525"/>
      <c r="L46" s="514">
        <f t="shared" si="2"/>
        <v>0</v>
      </c>
      <c r="M46" s="525"/>
      <c r="N46" s="514">
        <f t="shared" si="4"/>
        <v>0</v>
      </c>
      <c r="O46" s="514">
        <f t="shared" si="5"/>
        <v>0</v>
      </c>
      <c r="P46" s="272"/>
    </row>
    <row r="47" spans="2:16">
      <c r="B47" s="195" t="str">
        <f t="shared" si="7"/>
        <v/>
      </c>
      <c r="C47" s="507">
        <f>IF(D11="","-",+C46+1)</f>
        <v>2048</v>
      </c>
      <c r="D47" s="523">
        <f>IF(F46+SUM(E$17:E46)=D$10,F46,D$10-SUM(E$17:E46))</f>
        <v>3631784.9201235324</v>
      </c>
      <c r="E47" s="522">
        <f>IF(+I14&lt;F46,I14,D47)</f>
        <v>253896.7322727273</v>
      </c>
      <c r="F47" s="523">
        <f t="shared" si="13"/>
        <v>3377888.187850805</v>
      </c>
      <c r="G47" s="524">
        <f t="shared" si="14"/>
        <v>672819.79248702759</v>
      </c>
      <c r="H47" s="491">
        <f t="shared" si="15"/>
        <v>672819.79248702759</v>
      </c>
      <c r="I47" s="511">
        <f t="shared" si="0"/>
        <v>0</v>
      </c>
      <c r="J47" s="511"/>
      <c r="K47" s="525"/>
      <c r="L47" s="514">
        <f t="shared" si="2"/>
        <v>0</v>
      </c>
      <c r="M47" s="525"/>
      <c r="N47" s="514">
        <f t="shared" si="4"/>
        <v>0</v>
      </c>
      <c r="O47" s="514">
        <f t="shared" si="5"/>
        <v>0</v>
      </c>
      <c r="P47" s="272"/>
    </row>
    <row r="48" spans="2:16">
      <c r="B48" s="195" t="str">
        <f t="shared" si="7"/>
        <v/>
      </c>
      <c r="C48" s="507">
        <f>IF(D11="","-",+C47+1)</f>
        <v>2049</v>
      </c>
      <c r="D48" s="523">
        <f>IF(F47+SUM(E$17:E47)=D$10,F47,D$10-SUM(E$17:E47))</f>
        <v>3377888.187850805</v>
      </c>
      <c r="E48" s="522">
        <f>IF(+I14&lt;F47,I14,D48)</f>
        <v>253896.7322727273</v>
      </c>
      <c r="F48" s="523">
        <f t="shared" si="13"/>
        <v>3123991.4555780776</v>
      </c>
      <c r="G48" s="524">
        <f t="shared" si="14"/>
        <v>642472.24434213585</v>
      </c>
      <c r="H48" s="491">
        <f t="shared" si="15"/>
        <v>642472.24434213585</v>
      </c>
      <c r="I48" s="511">
        <f t="shared" si="0"/>
        <v>0</v>
      </c>
      <c r="J48" s="511"/>
      <c r="K48" s="525"/>
      <c r="L48" s="514">
        <f t="shared" si="2"/>
        <v>0</v>
      </c>
      <c r="M48" s="525"/>
      <c r="N48" s="514">
        <f t="shared" si="4"/>
        <v>0</v>
      </c>
      <c r="O48" s="514">
        <f t="shared" si="5"/>
        <v>0</v>
      </c>
      <c r="P48" s="272"/>
    </row>
    <row r="49" spans="2:16">
      <c r="B49" s="195" t="str">
        <f t="shared" si="7"/>
        <v/>
      </c>
      <c r="C49" s="507">
        <f>IF(D11="","-",+C48+1)</f>
        <v>2050</v>
      </c>
      <c r="D49" s="523">
        <f>IF(F48+SUM(E$17:E48)=D$10,F48,D$10-SUM(E$17:E48))</f>
        <v>3123991.4555780776</v>
      </c>
      <c r="E49" s="522">
        <f>IF(+I14&lt;F48,I14,D49)</f>
        <v>253896.7322727273</v>
      </c>
      <c r="F49" s="523">
        <f t="shared" si="13"/>
        <v>2870094.7233053502</v>
      </c>
      <c r="G49" s="524">
        <f t="shared" si="14"/>
        <v>612124.69619724411</v>
      </c>
      <c r="H49" s="491">
        <f t="shared" si="15"/>
        <v>612124.69619724411</v>
      </c>
      <c r="I49" s="511">
        <f t="shared" si="0"/>
        <v>0</v>
      </c>
      <c r="J49" s="511"/>
      <c r="K49" s="525"/>
      <c r="L49" s="514">
        <f t="shared" si="2"/>
        <v>0</v>
      </c>
      <c r="M49" s="525"/>
      <c r="N49" s="514">
        <f t="shared" si="4"/>
        <v>0</v>
      </c>
      <c r="O49" s="514">
        <f t="shared" si="5"/>
        <v>0</v>
      </c>
      <c r="P49" s="272"/>
    </row>
    <row r="50" spans="2:16">
      <c r="B50" s="195" t="str">
        <f t="shared" si="7"/>
        <v/>
      </c>
      <c r="C50" s="507">
        <f>IF(D11="","-",+C49+1)</f>
        <v>2051</v>
      </c>
      <c r="D50" s="523">
        <f>IF(F49+SUM(E$17:E49)=D$10,F49,D$10-SUM(E$17:E49))</f>
        <v>2870094.7233053502</v>
      </c>
      <c r="E50" s="522">
        <f>IF(+I14&lt;F49,I14,D50)</f>
        <v>253896.7322727273</v>
      </c>
      <c r="F50" s="523">
        <f t="shared" si="13"/>
        <v>2616197.9910326228</v>
      </c>
      <c r="G50" s="524">
        <f t="shared" si="14"/>
        <v>581777.14805235248</v>
      </c>
      <c r="H50" s="491">
        <f t="shared" si="15"/>
        <v>581777.14805235248</v>
      </c>
      <c r="I50" s="511">
        <f t="shared" si="0"/>
        <v>0</v>
      </c>
      <c r="J50" s="511"/>
      <c r="K50" s="525"/>
      <c r="L50" s="514">
        <f t="shared" si="2"/>
        <v>0</v>
      </c>
      <c r="M50" s="525"/>
      <c r="N50" s="514">
        <f t="shared" si="4"/>
        <v>0</v>
      </c>
      <c r="O50" s="514">
        <f t="shared" si="5"/>
        <v>0</v>
      </c>
      <c r="P50" s="272"/>
    </row>
    <row r="51" spans="2:16">
      <c r="B51" s="195" t="str">
        <f t="shared" si="7"/>
        <v/>
      </c>
      <c r="C51" s="507">
        <f>IF(D11="","-",+C50+1)</f>
        <v>2052</v>
      </c>
      <c r="D51" s="523">
        <f>IF(F50+SUM(E$17:E50)=D$10,F50,D$10-SUM(E$17:E50))</f>
        <v>2616197.9910326228</v>
      </c>
      <c r="E51" s="522">
        <f>IF(+I14&lt;F50,I14,D51)</f>
        <v>253896.7322727273</v>
      </c>
      <c r="F51" s="523">
        <f t="shared" si="13"/>
        <v>2362301.2587598953</v>
      </c>
      <c r="G51" s="524">
        <f t="shared" si="14"/>
        <v>551429.59990746086</v>
      </c>
      <c r="H51" s="491">
        <f t="shared" si="15"/>
        <v>551429.59990746086</v>
      </c>
      <c r="I51" s="511">
        <f t="shared" si="0"/>
        <v>0</v>
      </c>
      <c r="J51" s="511"/>
      <c r="K51" s="525"/>
      <c r="L51" s="514">
        <f t="shared" si="2"/>
        <v>0</v>
      </c>
      <c r="M51" s="525"/>
      <c r="N51" s="514">
        <f t="shared" si="4"/>
        <v>0</v>
      </c>
      <c r="O51" s="514">
        <f t="shared" si="5"/>
        <v>0</v>
      </c>
      <c r="P51" s="272"/>
    </row>
    <row r="52" spans="2:16">
      <c r="B52" s="195" t="str">
        <f t="shared" si="7"/>
        <v/>
      </c>
      <c r="C52" s="507">
        <f>IF(D11="","-",+C51+1)</f>
        <v>2053</v>
      </c>
      <c r="D52" s="523">
        <f>IF(F51+SUM(E$17:E51)=D$10,F51,D$10-SUM(E$17:E51))</f>
        <v>2362301.2587598953</v>
      </c>
      <c r="E52" s="522">
        <f>IF(+I14&lt;F51,I14,D52)</f>
        <v>253896.7322727273</v>
      </c>
      <c r="F52" s="523">
        <f t="shared" si="13"/>
        <v>2108404.5264871679</v>
      </c>
      <c r="G52" s="524">
        <f t="shared" si="14"/>
        <v>521082.05176256911</v>
      </c>
      <c r="H52" s="491">
        <f t="shared" si="15"/>
        <v>521082.05176256911</v>
      </c>
      <c r="I52" s="511">
        <f t="shared" si="0"/>
        <v>0</v>
      </c>
      <c r="J52" s="511"/>
      <c r="K52" s="525"/>
      <c r="L52" s="514">
        <f t="shared" si="2"/>
        <v>0</v>
      </c>
      <c r="M52" s="525"/>
      <c r="N52" s="514">
        <f t="shared" si="4"/>
        <v>0</v>
      </c>
      <c r="O52" s="514">
        <f t="shared" si="5"/>
        <v>0</v>
      </c>
      <c r="P52" s="272"/>
    </row>
    <row r="53" spans="2:16">
      <c r="B53" s="195" t="str">
        <f t="shared" si="7"/>
        <v/>
      </c>
      <c r="C53" s="507">
        <f>IF(D11="","-",+C52+1)</f>
        <v>2054</v>
      </c>
      <c r="D53" s="523">
        <f>IF(F52+SUM(E$17:E52)=D$10,F52,D$10-SUM(E$17:E52))</f>
        <v>2108404.5264871679</v>
      </c>
      <c r="E53" s="522">
        <f>IF(+I14&lt;F52,I14,D53)</f>
        <v>253896.7322727273</v>
      </c>
      <c r="F53" s="523">
        <f t="shared" si="13"/>
        <v>1854507.7942144405</v>
      </c>
      <c r="G53" s="524">
        <f t="shared" si="14"/>
        <v>490734.50361767743</v>
      </c>
      <c r="H53" s="491">
        <f t="shared" si="15"/>
        <v>490734.50361767743</v>
      </c>
      <c r="I53" s="511">
        <f t="shared" si="0"/>
        <v>0</v>
      </c>
      <c r="J53" s="511"/>
      <c r="K53" s="525"/>
      <c r="L53" s="514">
        <f t="shared" si="2"/>
        <v>0</v>
      </c>
      <c r="M53" s="525"/>
      <c r="N53" s="514">
        <f t="shared" si="4"/>
        <v>0</v>
      </c>
      <c r="O53" s="514">
        <f t="shared" si="5"/>
        <v>0</v>
      </c>
      <c r="P53" s="272"/>
    </row>
    <row r="54" spans="2:16">
      <c r="B54" s="195" t="str">
        <f t="shared" si="7"/>
        <v/>
      </c>
      <c r="C54" s="507">
        <f>IF(D11="","-",+C53+1)</f>
        <v>2055</v>
      </c>
      <c r="D54" s="523">
        <f>IF(F53+SUM(E$17:E53)=D$10,F53,D$10-SUM(E$17:E53))</f>
        <v>1854507.7942144405</v>
      </c>
      <c r="E54" s="522">
        <f>IF(+I14&lt;F53,I14,D54)</f>
        <v>253896.7322727273</v>
      </c>
      <c r="F54" s="523">
        <f t="shared" si="13"/>
        <v>1600611.0619417131</v>
      </c>
      <c r="G54" s="524">
        <f t="shared" si="14"/>
        <v>460386.95547278575</v>
      </c>
      <c r="H54" s="491">
        <f t="shared" si="15"/>
        <v>460386.95547278575</v>
      </c>
      <c r="I54" s="511">
        <f t="shared" si="0"/>
        <v>0</v>
      </c>
      <c r="J54" s="511"/>
      <c r="K54" s="525"/>
      <c r="L54" s="514">
        <f t="shared" si="2"/>
        <v>0</v>
      </c>
      <c r="M54" s="525"/>
      <c r="N54" s="514">
        <f t="shared" si="4"/>
        <v>0</v>
      </c>
      <c r="O54" s="514">
        <f t="shared" si="5"/>
        <v>0</v>
      </c>
      <c r="P54" s="272"/>
    </row>
    <row r="55" spans="2:16">
      <c r="B55" s="195" t="str">
        <f t="shared" si="7"/>
        <v/>
      </c>
      <c r="C55" s="507">
        <f>IF(D11="","-",+C54+1)</f>
        <v>2056</v>
      </c>
      <c r="D55" s="523">
        <f>IF(F54+SUM(E$17:E54)=D$10,F54,D$10-SUM(E$17:E54))</f>
        <v>1600611.0619417131</v>
      </c>
      <c r="E55" s="522">
        <f>IF(+I14&lt;F54,I14,D55)</f>
        <v>253896.7322727273</v>
      </c>
      <c r="F55" s="523">
        <f t="shared" si="13"/>
        <v>1346714.3296689857</v>
      </c>
      <c r="G55" s="524">
        <f t="shared" si="14"/>
        <v>430039.40732789412</v>
      </c>
      <c r="H55" s="491">
        <f t="shared" si="15"/>
        <v>430039.40732789412</v>
      </c>
      <c r="I55" s="511">
        <f t="shared" si="0"/>
        <v>0</v>
      </c>
      <c r="J55" s="511"/>
      <c r="K55" s="525"/>
      <c r="L55" s="514">
        <f t="shared" si="2"/>
        <v>0</v>
      </c>
      <c r="M55" s="525"/>
      <c r="N55" s="514">
        <f t="shared" si="4"/>
        <v>0</v>
      </c>
      <c r="O55" s="514">
        <f t="shared" si="5"/>
        <v>0</v>
      </c>
      <c r="P55" s="272"/>
    </row>
    <row r="56" spans="2:16">
      <c r="B56" s="195" t="str">
        <f t="shared" si="7"/>
        <v/>
      </c>
      <c r="C56" s="507">
        <f>IF(D11="","-",+C55+1)</f>
        <v>2057</v>
      </c>
      <c r="D56" s="523">
        <f>IF(F55+SUM(E$17:E55)=D$10,F55,D$10-SUM(E$17:E55))</f>
        <v>1346714.3296689857</v>
      </c>
      <c r="E56" s="522">
        <f>IF(+I14&lt;F55,I14,D56)</f>
        <v>253896.7322727273</v>
      </c>
      <c r="F56" s="523">
        <f t="shared" si="13"/>
        <v>1092817.5973962583</v>
      </c>
      <c r="G56" s="524">
        <f t="shared" si="14"/>
        <v>399691.85918300238</v>
      </c>
      <c r="H56" s="491">
        <f t="shared" si="15"/>
        <v>399691.85918300238</v>
      </c>
      <c r="I56" s="511">
        <f t="shared" si="0"/>
        <v>0</v>
      </c>
      <c r="J56" s="511"/>
      <c r="K56" s="525"/>
      <c r="L56" s="514">
        <f t="shared" si="2"/>
        <v>0</v>
      </c>
      <c r="M56" s="525"/>
      <c r="N56" s="514">
        <f t="shared" si="4"/>
        <v>0</v>
      </c>
      <c r="O56" s="514">
        <f t="shared" si="5"/>
        <v>0</v>
      </c>
      <c r="P56" s="272"/>
    </row>
    <row r="57" spans="2:16">
      <c r="B57" s="195" t="str">
        <f t="shared" si="7"/>
        <v/>
      </c>
      <c r="C57" s="507">
        <f>IF(D11="","-",+C56+1)</f>
        <v>2058</v>
      </c>
      <c r="D57" s="523">
        <f>IF(F56+SUM(E$17:E56)=D$10,F56,D$10-SUM(E$17:E56))</f>
        <v>1092817.5973962583</v>
      </c>
      <c r="E57" s="522">
        <f>IF(+I14&lt;F56,I14,D57)</f>
        <v>253896.7322727273</v>
      </c>
      <c r="F57" s="523">
        <f t="shared" si="13"/>
        <v>838920.86512353097</v>
      </c>
      <c r="G57" s="524">
        <f t="shared" si="14"/>
        <v>369344.31103811075</v>
      </c>
      <c r="H57" s="491">
        <f t="shared" si="15"/>
        <v>369344.31103811075</v>
      </c>
      <c r="I57" s="511">
        <f t="shared" si="0"/>
        <v>0</v>
      </c>
      <c r="J57" s="511"/>
      <c r="K57" s="525"/>
      <c r="L57" s="514">
        <f t="shared" si="2"/>
        <v>0</v>
      </c>
      <c r="M57" s="525"/>
      <c r="N57" s="514">
        <f t="shared" si="4"/>
        <v>0</v>
      </c>
      <c r="O57" s="514">
        <f t="shared" si="5"/>
        <v>0</v>
      </c>
      <c r="P57" s="272"/>
    </row>
    <row r="58" spans="2:16">
      <c r="B58" s="195" t="str">
        <f t="shared" si="7"/>
        <v/>
      </c>
      <c r="C58" s="507">
        <f>IF(D11="","-",+C57+1)</f>
        <v>2059</v>
      </c>
      <c r="D58" s="523">
        <f>IF(F57+SUM(E$17:E57)=D$10,F57,D$10-SUM(E$17:E57))</f>
        <v>838920.86512353097</v>
      </c>
      <c r="E58" s="522">
        <f>IF(+I14&lt;F57,I14,D58)</f>
        <v>253896.7322727273</v>
      </c>
      <c r="F58" s="523">
        <f t="shared" si="13"/>
        <v>585024.13285080367</v>
      </c>
      <c r="G58" s="524">
        <f t="shared" si="14"/>
        <v>338996.76289321907</v>
      </c>
      <c r="H58" s="491">
        <f t="shared" si="15"/>
        <v>338996.76289321907</v>
      </c>
      <c r="I58" s="511">
        <f t="shared" si="0"/>
        <v>0</v>
      </c>
      <c r="J58" s="511"/>
      <c r="K58" s="525"/>
      <c r="L58" s="514">
        <f t="shared" si="2"/>
        <v>0</v>
      </c>
      <c r="M58" s="525"/>
      <c r="N58" s="514">
        <f t="shared" si="4"/>
        <v>0</v>
      </c>
      <c r="O58" s="514">
        <f t="shared" si="5"/>
        <v>0</v>
      </c>
      <c r="P58" s="272"/>
    </row>
    <row r="59" spans="2:16">
      <c r="B59" s="195" t="str">
        <f t="shared" si="7"/>
        <v/>
      </c>
      <c r="C59" s="507">
        <f>IF(D11="","-",+C58+1)</f>
        <v>2060</v>
      </c>
      <c r="D59" s="523">
        <f>IF(F58+SUM(E$17:E58)=D$10,F58,D$10-SUM(E$17:E58))</f>
        <v>585024.13285080367</v>
      </c>
      <c r="E59" s="522">
        <f>IF(+I14&lt;F58,I14,D59)</f>
        <v>253896.7322727273</v>
      </c>
      <c r="F59" s="523">
        <f t="shared" si="13"/>
        <v>331127.40057807637</v>
      </c>
      <c r="G59" s="524">
        <f t="shared" si="14"/>
        <v>308649.21474832739</v>
      </c>
      <c r="H59" s="491">
        <f t="shared" si="15"/>
        <v>308649.21474832739</v>
      </c>
      <c r="I59" s="511">
        <f t="shared" si="0"/>
        <v>0</v>
      </c>
      <c r="J59" s="511"/>
      <c r="K59" s="525"/>
      <c r="L59" s="514">
        <f t="shared" si="2"/>
        <v>0</v>
      </c>
      <c r="M59" s="525"/>
      <c r="N59" s="514">
        <f t="shared" si="4"/>
        <v>0</v>
      </c>
      <c r="O59" s="514">
        <f t="shared" si="5"/>
        <v>0</v>
      </c>
      <c r="P59" s="272"/>
    </row>
    <row r="60" spans="2:16">
      <c r="B60" s="195" t="str">
        <f t="shared" si="7"/>
        <v/>
      </c>
      <c r="C60" s="507">
        <f>IF(D11="","-",+C59+1)</f>
        <v>2061</v>
      </c>
      <c r="D60" s="523">
        <f>IF(F59+SUM(E$17:E59)=D$10,F59,D$10-SUM(E$17:E59))</f>
        <v>331127.40057807637</v>
      </c>
      <c r="E60" s="522">
        <f>IF(+I14&lt;F59,I14,D60)</f>
        <v>253896.7322727273</v>
      </c>
      <c r="F60" s="523">
        <f t="shared" si="13"/>
        <v>77230.668305349071</v>
      </c>
      <c r="G60" s="524">
        <f t="shared" si="14"/>
        <v>278301.66660343576</v>
      </c>
      <c r="H60" s="491">
        <f t="shared" si="15"/>
        <v>278301.66660343576</v>
      </c>
      <c r="I60" s="511">
        <f t="shared" si="0"/>
        <v>0</v>
      </c>
      <c r="J60" s="511"/>
      <c r="K60" s="525"/>
      <c r="L60" s="514">
        <f t="shared" si="2"/>
        <v>0</v>
      </c>
      <c r="M60" s="525"/>
      <c r="N60" s="514">
        <f t="shared" si="4"/>
        <v>0</v>
      </c>
      <c r="O60" s="514">
        <f t="shared" si="5"/>
        <v>0</v>
      </c>
      <c r="P60" s="272"/>
    </row>
    <row r="61" spans="2:16">
      <c r="B61" s="195" t="str">
        <f t="shared" si="7"/>
        <v/>
      </c>
      <c r="C61" s="507">
        <f>IF(D11="","-",+C60+1)</f>
        <v>2062</v>
      </c>
      <c r="D61" s="523">
        <f>IF(F60+SUM(E$17:E60)=D$10,F60,D$10-SUM(E$17:E60))</f>
        <v>77230.668305349071</v>
      </c>
      <c r="E61" s="522">
        <f>IF(+I14&lt;F60,I14,D61)</f>
        <v>77230.668305349071</v>
      </c>
      <c r="F61" s="523">
        <f t="shared" si="13"/>
        <v>0</v>
      </c>
      <c r="G61" s="526">
        <f t="shared" si="14"/>
        <v>81846.248434480367</v>
      </c>
      <c r="H61" s="491">
        <f t="shared" si="15"/>
        <v>81846.248434480367</v>
      </c>
      <c r="I61" s="511">
        <f t="shared" si="0"/>
        <v>0</v>
      </c>
      <c r="J61" s="511"/>
      <c r="K61" s="525"/>
      <c r="L61" s="514">
        <f t="shared" si="2"/>
        <v>0</v>
      </c>
      <c r="M61" s="525"/>
      <c r="N61" s="514">
        <f t="shared" si="4"/>
        <v>0</v>
      </c>
      <c r="O61" s="514">
        <f t="shared" si="5"/>
        <v>0</v>
      </c>
      <c r="P61" s="272"/>
    </row>
    <row r="62" spans="2:16">
      <c r="B62" s="195" t="str">
        <f t="shared" si="7"/>
        <v/>
      </c>
      <c r="C62" s="507">
        <f>IF(D11="","-",+C61+1)</f>
        <v>2063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13"/>
        <v>0</v>
      </c>
      <c r="G62" s="526">
        <f t="shared" si="14"/>
        <v>0</v>
      </c>
      <c r="H62" s="491">
        <f t="shared" si="15"/>
        <v>0</v>
      </c>
      <c r="I62" s="511">
        <f t="shared" si="0"/>
        <v>0</v>
      </c>
      <c r="J62" s="511"/>
      <c r="K62" s="525"/>
      <c r="L62" s="514">
        <f t="shared" si="2"/>
        <v>0</v>
      </c>
      <c r="M62" s="525"/>
      <c r="N62" s="514">
        <f t="shared" si="4"/>
        <v>0</v>
      </c>
      <c r="O62" s="514">
        <f t="shared" si="5"/>
        <v>0</v>
      </c>
      <c r="P62" s="272"/>
    </row>
    <row r="63" spans="2:16">
      <c r="B63" s="195" t="str">
        <f t="shared" si="7"/>
        <v/>
      </c>
      <c r="C63" s="507">
        <f>IF(D11="","-",+C62+1)</f>
        <v>2064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13"/>
        <v>0</v>
      </c>
      <c r="G63" s="526">
        <f t="shared" si="14"/>
        <v>0</v>
      </c>
      <c r="H63" s="491">
        <f t="shared" si="15"/>
        <v>0</v>
      </c>
      <c r="I63" s="511">
        <f t="shared" si="0"/>
        <v>0</v>
      </c>
      <c r="J63" s="511"/>
      <c r="K63" s="525"/>
      <c r="L63" s="514">
        <f t="shared" si="2"/>
        <v>0</v>
      </c>
      <c r="M63" s="525"/>
      <c r="N63" s="514">
        <f t="shared" si="4"/>
        <v>0</v>
      </c>
      <c r="O63" s="514">
        <f t="shared" si="5"/>
        <v>0</v>
      </c>
      <c r="P63" s="272"/>
    </row>
    <row r="64" spans="2:16">
      <c r="B64" s="195" t="str">
        <f t="shared" si="7"/>
        <v/>
      </c>
      <c r="C64" s="507">
        <f>IF(D11="","-",+C63+1)</f>
        <v>2065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13"/>
        <v>0</v>
      </c>
      <c r="G64" s="526">
        <f t="shared" si="14"/>
        <v>0</v>
      </c>
      <c r="H64" s="491">
        <f t="shared" si="15"/>
        <v>0</v>
      </c>
      <c r="I64" s="511">
        <f t="shared" si="0"/>
        <v>0</v>
      </c>
      <c r="J64" s="511"/>
      <c r="K64" s="525"/>
      <c r="L64" s="514">
        <f t="shared" si="2"/>
        <v>0</v>
      </c>
      <c r="M64" s="525"/>
      <c r="N64" s="514">
        <f t="shared" si="4"/>
        <v>0</v>
      </c>
      <c r="O64" s="514">
        <f t="shared" si="5"/>
        <v>0</v>
      </c>
      <c r="P64" s="272"/>
    </row>
    <row r="65" spans="2:16">
      <c r="B65" s="195" t="str">
        <f t="shared" si="7"/>
        <v/>
      </c>
      <c r="C65" s="507">
        <f>IF(D11="","-",+C64+1)</f>
        <v>2066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13"/>
        <v>0</v>
      </c>
      <c r="G65" s="526">
        <f t="shared" si="14"/>
        <v>0</v>
      </c>
      <c r="H65" s="491">
        <f t="shared" si="15"/>
        <v>0</v>
      </c>
      <c r="I65" s="511">
        <f t="shared" si="0"/>
        <v>0</v>
      </c>
      <c r="J65" s="511"/>
      <c r="K65" s="525"/>
      <c r="L65" s="514">
        <f t="shared" si="2"/>
        <v>0</v>
      </c>
      <c r="M65" s="525"/>
      <c r="N65" s="514">
        <f t="shared" si="4"/>
        <v>0</v>
      </c>
      <c r="O65" s="514">
        <f t="shared" si="5"/>
        <v>0</v>
      </c>
      <c r="P65" s="272"/>
    </row>
    <row r="66" spans="2:16">
      <c r="B66" s="195" t="str">
        <f t="shared" si="7"/>
        <v/>
      </c>
      <c r="C66" s="507">
        <f>IF(D11="","-",+C65+1)</f>
        <v>2067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13"/>
        <v>0</v>
      </c>
      <c r="G66" s="526">
        <f t="shared" si="14"/>
        <v>0</v>
      </c>
      <c r="H66" s="491">
        <f t="shared" si="15"/>
        <v>0</v>
      </c>
      <c r="I66" s="511">
        <f t="shared" si="0"/>
        <v>0</v>
      </c>
      <c r="J66" s="511"/>
      <c r="K66" s="525"/>
      <c r="L66" s="514">
        <f t="shared" si="2"/>
        <v>0</v>
      </c>
      <c r="M66" s="525"/>
      <c r="N66" s="514">
        <f t="shared" si="4"/>
        <v>0</v>
      </c>
      <c r="O66" s="514">
        <f t="shared" si="5"/>
        <v>0</v>
      </c>
      <c r="P66" s="272"/>
    </row>
    <row r="67" spans="2:16">
      <c r="B67" s="195" t="str">
        <f t="shared" si="7"/>
        <v/>
      </c>
      <c r="C67" s="507">
        <f>IF(D11="","-",+C66+1)</f>
        <v>2068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13"/>
        <v>0</v>
      </c>
      <c r="G67" s="526">
        <f t="shared" si="14"/>
        <v>0</v>
      </c>
      <c r="H67" s="491">
        <f t="shared" si="15"/>
        <v>0</v>
      </c>
      <c r="I67" s="511">
        <f t="shared" si="0"/>
        <v>0</v>
      </c>
      <c r="J67" s="511"/>
      <c r="K67" s="525"/>
      <c r="L67" s="514">
        <f t="shared" si="2"/>
        <v>0</v>
      </c>
      <c r="M67" s="525"/>
      <c r="N67" s="514">
        <f t="shared" si="4"/>
        <v>0</v>
      </c>
      <c r="O67" s="514">
        <f t="shared" si="5"/>
        <v>0</v>
      </c>
      <c r="P67" s="272"/>
    </row>
    <row r="68" spans="2:16">
      <c r="B68" s="195" t="str">
        <f t="shared" si="7"/>
        <v/>
      </c>
      <c r="C68" s="507">
        <f>IF(D11="","-",+C67+1)</f>
        <v>2069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13"/>
        <v>0</v>
      </c>
      <c r="G68" s="526">
        <f t="shared" si="14"/>
        <v>0</v>
      </c>
      <c r="H68" s="491">
        <f t="shared" si="15"/>
        <v>0</v>
      </c>
      <c r="I68" s="511">
        <f t="shared" si="0"/>
        <v>0</v>
      </c>
      <c r="J68" s="511"/>
      <c r="K68" s="525"/>
      <c r="L68" s="514">
        <f t="shared" si="2"/>
        <v>0</v>
      </c>
      <c r="M68" s="525"/>
      <c r="N68" s="514">
        <f t="shared" si="4"/>
        <v>0</v>
      </c>
      <c r="O68" s="514">
        <f t="shared" si="5"/>
        <v>0</v>
      </c>
      <c r="P68" s="272"/>
    </row>
    <row r="69" spans="2:16">
      <c r="B69" s="195" t="str">
        <f t="shared" si="7"/>
        <v/>
      </c>
      <c r="C69" s="507">
        <f>IF(D11="","-",+C68+1)</f>
        <v>2070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13"/>
        <v>0</v>
      </c>
      <c r="G69" s="526">
        <f t="shared" si="14"/>
        <v>0</v>
      </c>
      <c r="H69" s="491">
        <f t="shared" si="15"/>
        <v>0</v>
      </c>
      <c r="I69" s="511">
        <f t="shared" si="0"/>
        <v>0</v>
      </c>
      <c r="J69" s="511"/>
      <c r="K69" s="525"/>
      <c r="L69" s="514">
        <f t="shared" si="2"/>
        <v>0</v>
      </c>
      <c r="M69" s="525"/>
      <c r="N69" s="514">
        <f t="shared" si="4"/>
        <v>0</v>
      </c>
      <c r="O69" s="514">
        <f t="shared" si="5"/>
        <v>0</v>
      </c>
      <c r="P69" s="272"/>
    </row>
    <row r="70" spans="2:16">
      <c r="B70" s="195" t="str">
        <f t="shared" si="7"/>
        <v/>
      </c>
      <c r="C70" s="507">
        <f>IF(D11="","-",+C69+1)</f>
        <v>2071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13"/>
        <v>0</v>
      </c>
      <c r="G70" s="526">
        <f t="shared" si="14"/>
        <v>0</v>
      </c>
      <c r="H70" s="491">
        <f t="shared" si="15"/>
        <v>0</v>
      </c>
      <c r="I70" s="511">
        <f t="shared" si="0"/>
        <v>0</v>
      </c>
      <c r="J70" s="511"/>
      <c r="K70" s="525"/>
      <c r="L70" s="514">
        <f t="shared" si="2"/>
        <v>0</v>
      </c>
      <c r="M70" s="525"/>
      <c r="N70" s="514">
        <f t="shared" si="4"/>
        <v>0</v>
      </c>
      <c r="O70" s="514">
        <f t="shared" si="5"/>
        <v>0</v>
      </c>
      <c r="P70" s="272"/>
    </row>
    <row r="71" spans="2:16">
      <c r="B71" s="195" t="str">
        <f t="shared" si="7"/>
        <v/>
      </c>
      <c r="C71" s="507">
        <f>IF(D11="","-",+C70+1)</f>
        <v>2072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13"/>
        <v>0</v>
      </c>
      <c r="G71" s="526">
        <f t="shared" si="14"/>
        <v>0</v>
      </c>
      <c r="H71" s="491">
        <f t="shared" si="15"/>
        <v>0</v>
      </c>
      <c r="I71" s="511">
        <f t="shared" si="0"/>
        <v>0</v>
      </c>
      <c r="J71" s="511"/>
      <c r="K71" s="525"/>
      <c r="L71" s="514">
        <f t="shared" si="2"/>
        <v>0</v>
      </c>
      <c r="M71" s="525"/>
      <c r="N71" s="514">
        <f t="shared" si="4"/>
        <v>0</v>
      </c>
      <c r="O71" s="514">
        <f t="shared" si="5"/>
        <v>0</v>
      </c>
      <c r="P71" s="272"/>
    </row>
    <row r="72" spans="2:16" ht="13.5" thickBot="1">
      <c r="B72" s="195" t="str">
        <f t="shared" si="7"/>
        <v/>
      </c>
      <c r="C72" s="527">
        <f>IF(D11="","-",+C71+1)</f>
        <v>2073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13"/>
        <v>0</v>
      </c>
      <c r="G72" s="530">
        <f t="shared" si="14"/>
        <v>0</v>
      </c>
      <c r="H72" s="471">
        <f t="shared" si="15"/>
        <v>0</v>
      </c>
      <c r="I72" s="531">
        <f t="shared" si="0"/>
        <v>0</v>
      </c>
      <c r="J72" s="511"/>
      <c r="K72" s="532"/>
      <c r="L72" s="533">
        <f t="shared" si="2"/>
        <v>0</v>
      </c>
      <c r="M72" s="532"/>
      <c r="N72" s="533">
        <f t="shared" si="4"/>
        <v>0</v>
      </c>
      <c r="O72" s="533">
        <f t="shared" si="5"/>
        <v>0</v>
      </c>
      <c r="P72" s="272"/>
    </row>
    <row r="73" spans="2:16">
      <c r="C73" s="374" t="s">
        <v>78</v>
      </c>
      <c r="D73" s="375"/>
      <c r="E73" s="375">
        <f>SUM(E17:E72)</f>
        <v>11171456.220000001</v>
      </c>
      <c r="F73" s="375"/>
      <c r="G73" s="375">
        <f>SUM(G17:G72)</f>
        <v>39828328.238421448</v>
      </c>
      <c r="H73" s="375">
        <f>SUM(H17:H72)</f>
        <v>39828328.238421448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2:16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2:16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2:16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2:16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272"/>
      <c r="P77" s="272"/>
    </row>
    <row r="78" spans="2:16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2:16"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  <c r="O79" s="269"/>
      <c r="P79" s="269"/>
    </row>
    <row r="80" spans="2:16" ht="18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6">
      <c r="B81" s="269"/>
      <c r="C81" s="340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6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</row>
    <row r="83" spans="1:16" ht="20.25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451" t="str">
        <f ca="1">P1</f>
        <v>SWEPCO Project 68 of 75</v>
      </c>
    </row>
    <row r="84" spans="1:16" ht="18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538" t="s">
        <v>128</v>
      </c>
    </row>
    <row r="85" spans="1:16" ht="18.7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</row>
    <row r="86" spans="1:16" ht="15.75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2022</v>
      </c>
      <c r="M86" s="541" t="s">
        <v>9</v>
      </c>
      <c r="N86" s="542" t="s">
        <v>159</v>
      </c>
      <c r="O86" s="543" t="s">
        <v>11</v>
      </c>
      <c r="P86" s="269"/>
    </row>
    <row r="87" spans="1:16" ht="1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391</v>
      </c>
      <c r="M87" s="546">
        <f>IF(J92&lt;D11,0,VLOOKUP(J92,C17:O72,9))</f>
        <v>1404403.3392026301</v>
      </c>
      <c r="N87" s="546">
        <f>IF(J92&lt;D11,0,VLOOKUP(J92,C17:O72,11))</f>
        <v>1404403.3392026301</v>
      </c>
      <c r="O87" s="547">
        <f>+N87-M87</f>
        <v>0</v>
      </c>
      <c r="P87" s="269"/>
    </row>
    <row r="88" spans="1:16" ht="15.7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392</v>
      </c>
      <c r="M88" s="550">
        <f>IF(J92&lt;D11,0,VLOOKUP(J92,C99:P154,6))</f>
        <v>1450559.273323264</v>
      </c>
      <c r="N88" s="550">
        <f>IF(J92&lt;D11,0,VLOOKUP(J92,C99:P154,7))</f>
        <v>1450559.273323264</v>
      </c>
      <c r="O88" s="551">
        <f>+N88-M88</f>
        <v>0</v>
      </c>
      <c r="P88" s="269"/>
    </row>
    <row r="89" spans="1:16" ht="13.5" thickBot="1">
      <c r="C89" s="467" t="s">
        <v>84</v>
      </c>
      <c r="D89" s="552" t="str">
        <f>+D7</f>
        <v>Evenside - Northwest Henderson 69 KV Line Rebuild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46155.934120633872</v>
      </c>
      <c r="N89" s="555">
        <f>+N88-N87</f>
        <v>46155.934120633872</v>
      </c>
      <c r="O89" s="556">
        <f>+O88-O87</f>
        <v>0</v>
      </c>
      <c r="P89" s="269"/>
    </row>
    <row r="90" spans="1:16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</row>
    <row r="91" spans="1:16" ht="13.5" thickBot="1">
      <c r="A91" s="191"/>
      <c r="C91" s="558" t="s">
        <v>85</v>
      </c>
      <c r="D91" s="559" t="str">
        <f>+D9</f>
        <v>TP2010100</v>
      </c>
      <c r="E91" s="560"/>
      <c r="F91" s="560"/>
      <c r="G91" s="560"/>
      <c r="H91" s="560"/>
      <c r="I91" s="560"/>
      <c r="J91" s="560"/>
      <c r="K91" s="562"/>
      <c r="P91" s="481"/>
    </row>
    <row r="92" spans="1:16">
      <c r="C92" s="486" t="s">
        <v>51</v>
      </c>
      <c r="D92" s="564">
        <v>11171456</v>
      </c>
      <c r="E92" s="340" t="s">
        <v>86</v>
      </c>
      <c r="H92" s="484"/>
      <c r="I92" s="484"/>
      <c r="J92" s="485">
        <f>+'SWE.WS.G.BPU.ATRR.True-up'!M16</f>
        <v>2022</v>
      </c>
      <c r="K92" s="480"/>
      <c r="L92" s="375" t="s">
        <v>87</v>
      </c>
      <c r="P92" s="272"/>
    </row>
    <row r="93" spans="1:16">
      <c r="C93" s="486" t="s">
        <v>54</v>
      </c>
      <c r="D93" s="563">
        <v>2018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</row>
    <row r="94" spans="1:16">
      <c r="C94" s="486" t="s">
        <v>56</v>
      </c>
      <c r="D94" s="564">
        <v>5</v>
      </c>
      <c r="E94" s="486" t="s">
        <v>57</v>
      </c>
      <c r="F94" s="484"/>
      <c r="G94" s="484"/>
      <c r="J94" s="490">
        <f>'SWE.WS.G.BPU.ATRR.True-up'!$F$81</f>
        <v>0.11351422637179906</v>
      </c>
      <c r="K94" s="425"/>
      <c r="L94" s="183" t="s">
        <v>88</v>
      </c>
      <c r="P94" s="272"/>
    </row>
    <row r="95" spans="1:16">
      <c r="C95" s="486" t="s">
        <v>59</v>
      </c>
      <c r="D95" s="488">
        <f>'SWE.WS.G.BPU.ATRR.True-up'!F$93</f>
        <v>41</v>
      </c>
      <c r="E95" s="486" t="s">
        <v>60</v>
      </c>
      <c r="F95" s="484"/>
      <c r="G95" s="484"/>
      <c r="J95" s="490">
        <f>IF(H87="",J94,'SWE.WS.G.BPU.ATRR.True-up'!$F$80)</f>
        <v>0.11351422637179906</v>
      </c>
      <c r="K95" s="324"/>
      <c r="L95" s="375" t="s">
        <v>61</v>
      </c>
      <c r="M95" s="324"/>
      <c r="N95" s="324"/>
      <c r="O95" s="324"/>
      <c r="P95" s="272"/>
    </row>
    <row r="96" spans="1:16" ht="13.5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272474.53658536583</v>
      </c>
      <c r="K96" s="375"/>
      <c r="L96" s="375"/>
      <c r="M96" s="375"/>
      <c r="N96" s="375"/>
      <c r="O96" s="375"/>
      <c r="P96" s="272"/>
    </row>
    <row r="97" spans="1:16" ht="38.25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388</v>
      </c>
      <c r="I97" s="495" t="s">
        <v>389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</row>
    <row r="98" spans="1:16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602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</row>
    <row r="99" spans="1:16">
      <c r="C99" s="507">
        <f>IF(D93= "","-",D93)</f>
        <v>2018</v>
      </c>
      <c r="D99" s="629">
        <v>0</v>
      </c>
      <c r="E99" s="630">
        <v>155115.48611111112</v>
      </c>
      <c r="F99" s="631">
        <v>11013199.513888888</v>
      </c>
      <c r="G99" s="631">
        <v>5506599.756944444</v>
      </c>
      <c r="H99" s="633">
        <v>736637.67271858163</v>
      </c>
      <c r="I99" s="634">
        <v>736637.67271858163</v>
      </c>
      <c r="J99" s="514">
        <f t="shared" ref="J99:J130" si="16">+I99-H99</f>
        <v>0</v>
      </c>
      <c r="K99" s="514"/>
      <c r="L99" s="512">
        <f>+H99</f>
        <v>736637.67271858163</v>
      </c>
      <c r="M99" s="513">
        <f t="shared" ref="M99:M101" si="17">IF(L99&lt;&gt;0,+H99-L99,0)</f>
        <v>0</v>
      </c>
      <c r="N99" s="512">
        <f>+I99</f>
        <v>736637.67271858163</v>
      </c>
      <c r="O99" s="513">
        <f t="shared" ref="O99:O130" si="18">IF(N99&lt;&gt;0,+I99-N99,0)</f>
        <v>0</v>
      </c>
      <c r="P99" s="513">
        <f t="shared" ref="P99:P130" si="19">+O99-M99</f>
        <v>0</v>
      </c>
    </row>
    <row r="100" spans="1:16">
      <c r="B100" s="195" t="str">
        <f>IF(D100=F99,"","IU")</f>
        <v>IU</v>
      </c>
      <c r="C100" s="507">
        <f>IF(D93="","-",+C99+1)</f>
        <v>2019</v>
      </c>
      <c r="D100" s="629">
        <v>11016340.513888888</v>
      </c>
      <c r="E100" s="630">
        <v>259801.3023255814</v>
      </c>
      <c r="F100" s="631">
        <v>10756539.211563306</v>
      </c>
      <c r="G100" s="631">
        <v>10886439.862726096</v>
      </c>
      <c r="H100" s="633">
        <v>1425091.7751290696</v>
      </c>
      <c r="I100" s="634">
        <v>1425091.7751290696</v>
      </c>
      <c r="J100" s="514">
        <f t="shared" si="16"/>
        <v>0</v>
      </c>
      <c r="K100" s="514"/>
      <c r="L100" s="655">
        <f>+H100</f>
        <v>1425091.7751290696</v>
      </c>
      <c r="M100" s="514">
        <f t="shared" si="17"/>
        <v>0</v>
      </c>
      <c r="N100" s="655">
        <f>+I100</f>
        <v>1425091.7751290696</v>
      </c>
      <c r="O100" s="514">
        <f t="shared" si="18"/>
        <v>0</v>
      </c>
      <c r="P100" s="514">
        <f t="shared" si="19"/>
        <v>0</v>
      </c>
    </row>
    <row r="101" spans="1:16">
      <c r="B101" s="195" t="str">
        <f t="shared" ref="B101:B154" si="20">IF(D101=F100,"","IU")</f>
        <v/>
      </c>
      <c r="C101" s="507">
        <f>IF(D93="","-",+C100+1)</f>
        <v>2020</v>
      </c>
      <c r="D101" s="629">
        <v>10756539.211563306</v>
      </c>
      <c r="E101" s="630">
        <v>265987.04761904763</v>
      </c>
      <c r="F101" s="631">
        <v>10490552.163944257</v>
      </c>
      <c r="G101" s="631">
        <v>10623545.687753782</v>
      </c>
      <c r="H101" s="633">
        <v>1408802.5719974055</v>
      </c>
      <c r="I101" s="634">
        <v>1408802.5719974055</v>
      </c>
      <c r="J101" s="514">
        <f t="shared" si="16"/>
        <v>0</v>
      </c>
      <c r="K101" s="514"/>
      <c r="L101" s="655">
        <f>+H101</f>
        <v>1408802.5719974055</v>
      </c>
      <c r="M101" s="514">
        <f t="shared" si="17"/>
        <v>0</v>
      </c>
      <c r="N101" s="655">
        <f>+I101</f>
        <v>1408802.5719974055</v>
      </c>
      <c r="O101" s="514">
        <f t="shared" si="18"/>
        <v>0</v>
      </c>
      <c r="P101" s="514">
        <f t="shared" si="19"/>
        <v>0</v>
      </c>
    </row>
    <row r="102" spans="1:16">
      <c r="B102" s="195" t="str">
        <f t="shared" si="20"/>
        <v/>
      </c>
      <c r="C102" s="507">
        <f>IF(D93="","-",+C101+1)</f>
        <v>2021</v>
      </c>
      <c r="D102" s="629">
        <v>10490552.163944257</v>
      </c>
      <c r="E102" s="630">
        <v>272474.53658536583</v>
      </c>
      <c r="F102" s="631">
        <v>10218077.627358891</v>
      </c>
      <c r="G102" s="631">
        <v>10354314.895651575</v>
      </c>
      <c r="H102" s="633">
        <v>1447836.5815752498</v>
      </c>
      <c r="I102" s="634">
        <v>1447836.5815752498</v>
      </c>
      <c r="J102" s="514">
        <f t="shared" si="16"/>
        <v>0</v>
      </c>
      <c r="K102" s="514"/>
      <c r="L102" s="655">
        <f>+H102</f>
        <v>1447836.5815752498</v>
      </c>
      <c r="M102" s="514">
        <f t="shared" ref="M102" si="21">IF(L102&lt;&gt;0,+H102-L102,0)</f>
        <v>0</v>
      </c>
      <c r="N102" s="655">
        <f>+I102</f>
        <v>1447836.5815752498</v>
      </c>
      <c r="O102" s="514">
        <f t="shared" ref="O102" si="22">IF(N102&lt;&gt;0,+I102-N102,0)</f>
        <v>0</v>
      </c>
      <c r="P102" s="514">
        <f t="shared" ref="P102" si="23">+O102-M102</f>
        <v>0</v>
      </c>
    </row>
    <row r="103" spans="1:16">
      <c r="B103" s="195" t="str">
        <f t="shared" si="20"/>
        <v/>
      </c>
      <c r="C103" s="673">
        <f>IF(D93="","-",+C102+1)</f>
        <v>2022</v>
      </c>
      <c r="D103" s="374">
        <v>10218077.627358891</v>
      </c>
      <c r="E103" s="522">
        <v>265987.04761904763</v>
      </c>
      <c r="F103" s="523">
        <v>9952090.5797398426</v>
      </c>
      <c r="G103" s="523">
        <v>10085084.103549367</v>
      </c>
      <c r="H103" s="526">
        <v>1450559.273323264</v>
      </c>
      <c r="I103" s="577">
        <v>1450559.273323264</v>
      </c>
      <c r="J103" s="514">
        <f t="shared" si="16"/>
        <v>0</v>
      </c>
      <c r="K103" s="514"/>
      <c r="L103" s="525"/>
      <c r="M103" s="514">
        <f t="shared" ref="M103:M130" si="24">IF(L103&lt;&gt;0,+H103-L103,0)</f>
        <v>0</v>
      </c>
      <c r="N103" s="525"/>
      <c r="O103" s="514">
        <f t="shared" si="18"/>
        <v>0</v>
      </c>
      <c r="P103" s="514">
        <f t="shared" si="19"/>
        <v>0</v>
      </c>
    </row>
    <row r="104" spans="1:16">
      <c r="B104" s="195" t="str">
        <f t="shared" si="20"/>
        <v/>
      </c>
      <c r="C104" s="507">
        <f>IF(D93="","-",+C103+1)</f>
        <v>2023</v>
      </c>
      <c r="D104" s="374">
        <f>IF(F103+SUM(E$99:E103)=D$92,F103,D$92-SUM(E$99:E103))</f>
        <v>9952090.5797398426</v>
      </c>
      <c r="E104" s="522">
        <f>IF(+J96&lt;F103,J96,D104)</f>
        <v>272474.53658536583</v>
      </c>
      <c r="F104" s="523">
        <f t="shared" ref="F104:F154" si="25">+D104-E104</f>
        <v>9679616.0431544762</v>
      </c>
      <c r="G104" s="523">
        <f t="shared" ref="G104:G154" si="26">+(F104+D104)/2</f>
        <v>9815853.3114471585</v>
      </c>
      <c r="H104" s="526">
        <f t="shared" ref="H104:H154" si="27">+J$94*G104+E104</f>
        <v>1386713.5314133521</v>
      </c>
      <c r="I104" s="577">
        <f t="shared" ref="I104:I154" si="28">+J$95*G104+E104</f>
        <v>1386713.5314133521</v>
      </c>
      <c r="J104" s="514">
        <f t="shared" si="16"/>
        <v>0</v>
      </c>
      <c r="K104" s="514"/>
      <c r="L104" s="525"/>
      <c r="M104" s="514">
        <f t="shared" si="24"/>
        <v>0</v>
      </c>
      <c r="N104" s="525"/>
      <c r="O104" s="514">
        <f t="shared" si="18"/>
        <v>0</v>
      </c>
      <c r="P104" s="514">
        <f t="shared" si="19"/>
        <v>0</v>
      </c>
    </row>
    <row r="105" spans="1:16">
      <c r="B105" s="195" t="str">
        <f t="shared" si="20"/>
        <v/>
      </c>
      <c r="C105" s="507">
        <f>IF(D93="","-",+C104+1)</f>
        <v>2024</v>
      </c>
      <c r="D105" s="374">
        <f>IF(F104+SUM(E$99:E104)=D$92,F104,D$92-SUM(E$99:E104))</f>
        <v>9679616.0431544762</v>
      </c>
      <c r="E105" s="522">
        <f>IF(+J96&lt;F104,J96,D105)</f>
        <v>272474.53658536583</v>
      </c>
      <c r="F105" s="523">
        <f t="shared" si="25"/>
        <v>9407141.5065691099</v>
      </c>
      <c r="G105" s="523">
        <f t="shared" si="26"/>
        <v>9543378.774861794</v>
      </c>
      <c r="H105" s="526">
        <f t="shared" si="27"/>
        <v>1355783.79518685</v>
      </c>
      <c r="I105" s="577">
        <f t="shared" si="28"/>
        <v>1355783.79518685</v>
      </c>
      <c r="J105" s="514">
        <f t="shared" si="16"/>
        <v>0</v>
      </c>
      <c r="K105" s="514"/>
      <c r="L105" s="525"/>
      <c r="M105" s="514">
        <f t="shared" si="24"/>
        <v>0</v>
      </c>
      <c r="N105" s="525"/>
      <c r="O105" s="514">
        <f t="shared" si="18"/>
        <v>0</v>
      </c>
      <c r="P105" s="514">
        <f t="shared" si="19"/>
        <v>0</v>
      </c>
    </row>
    <row r="106" spans="1:16">
      <c r="B106" s="195" t="str">
        <f t="shared" si="20"/>
        <v/>
      </c>
      <c r="C106" s="507">
        <f>IF(D93="","-",+C105+1)</f>
        <v>2025</v>
      </c>
      <c r="D106" s="374">
        <f>IF(F105+SUM(E$99:E105)=D$92,F105,D$92-SUM(E$99:E105))</f>
        <v>9407141.5065691099</v>
      </c>
      <c r="E106" s="522">
        <f>IF(+J96&lt;F105,J96,D106)</f>
        <v>272474.53658536583</v>
      </c>
      <c r="F106" s="523">
        <f t="shared" si="25"/>
        <v>9134666.9699837435</v>
      </c>
      <c r="G106" s="523">
        <f t="shared" si="26"/>
        <v>9270904.2382764257</v>
      </c>
      <c r="H106" s="526">
        <f t="shared" si="27"/>
        <v>1324854.0589603474</v>
      </c>
      <c r="I106" s="577">
        <f t="shared" si="28"/>
        <v>1324854.0589603474</v>
      </c>
      <c r="J106" s="514">
        <f t="shared" si="16"/>
        <v>0</v>
      </c>
      <c r="K106" s="514"/>
      <c r="L106" s="525"/>
      <c r="M106" s="514">
        <f t="shared" si="24"/>
        <v>0</v>
      </c>
      <c r="N106" s="525"/>
      <c r="O106" s="514">
        <f t="shared" si="18"/>
        <v>0</v>
      </c>
      <c r="P106" s="514">
        <f t="shared" si="19"/>
        <v>0</v>
      </c>
    </row>
    <row r="107" spans="1:16">
      <c r="B107" s="195" t="str">
        <f t="shared" si="20"/>
        <v/>
      </c>
      <c r="C107" s="507">
        <f>IF(D93="","-",+C106+1)</f>
        <v>2026</v>
      </c>
      <c r="D107" s="374">
        <f>IF(F106+SUM(E$99:E106)=D$92,F106,D$92-SUM(E$99:E106))</f>
        <v>9134666.9699837435</v>
      </c>
      <c r="E107" s="522">
        <f>IF(+J96&lt;F106,J96,D107)</f>
        <v>272474.53658536583</v>
      </c>
      <c r="F107" s="523">
        <f t="shared" si="25"/>
        <v>8862192.4333983772</v>
      </c>
      <c r="G107" s="523">
        <f t="shared" si="26"/>
        <v>8998429.7016910613</v>
      </c>
      <c r="H107" s="526">
        <f t="shared" si="27"/>
        <v>1293924.3227338453</v>
      </c>
      <c r="I107" s="577">
        <f t="shared" si="28"/>
        <v>1293924.3227338453</v>
      </c>
      <c r="J107" s="514">
        <f t="shared" si="16"/>
        <v>0</v>
      </c>
      <c r="K107" s="514"/>
      <c r="L107" s="525"/>
      <c r="M107" s="514">
        <f t="shared" si="24"/>
        <v>0</v>
      </c>
      <c r="N107" s="525"/>
      <c r="O107" s="514">
        <f t="shared" si="18"/>
        <v>0</v>
      </c>
      <c r="P107" s="514">
        <f t="shared" si="19"/>
        <v>0</v>
      </c>
    </row>
    <row r="108" spans="1:16">
      <c r="B108" s="195" t="str">
        <f t="shared" si="20"/>
        <v/>
      </c>
      <c r="C108" s="507">
        <f>IF(D93="","-",+C107+1)</f>
        <v>2027</v>
      </c>
      <c r="D108" s="374">
        <f>IF(F107+SUM(E$99:E107)=D$92,F107,D$92-SUM(E$99:E107))</f>
        <v>8862192.4333983772</v>
      </c>
      <c r="E108" s="522">
        <f>IF(+J96&lt;F107,J96,D108)</f>
        <v>272474.53658536583</v>
      </c>
      <c r="F108" s="523">
        <f t="shared" si="25"/>
        <v>8589717.8968130108</v>
      </c>
      <c r="G108" s="523">
        <f t="shared" si="26"/>
        <v>8725955.165105693</v>
      </c>
      <c r="H108" s="526">
        <f t="shared" si="27"/>
        <v>1262994.5865073428</v>
      </c>
      <c r="I108" s="577">
        <f t="shared" si="28"/>
        <v>1262994.5865073428</v>
      </c>
      <c r="J108" s="514">
        <f t="shared" si="16"/>
        <v>0</v>
      </c>
      <c r="K108" s="514"/>
      <c r="L108" s="525"/>
      <c r="M108" s="514">
        <f t="shared" si="24"/>
        <v>0</v>
      </c>
      <c r="N108" s="525"/>
      <c r="O108" s="514">
        <f t="shared" si="18"/>
        <v>0</v>
      </c>
      <c r="P108" s="514">
        <f t="shared" si="19"/>
        <v>0</v>
      </c>
    </row>
    <row r="109" spans="1:16">
      <c r="B109" s="195" t="str">
        <f t="shared" si="20"/>
        <v/>
      </c>
      <c r="C109" s="507">
        <f>IF(D93="","-",+C108+1)</f>
        <v>2028</v>
      </c>
      <c r="D109" s="374">
        <f>IF(F108+SUM(E$99:E108)=D$92,F108,D$92-SUM(E$99:E108))</f>
        <v>8589717.8968130108</v>
      </c>
      <c r="E109" s="522">
        <f>IF(+J96&lt;F108,J96,D109)</f>
        <v>272474.53658536583</v>
      </c>
      <c r="F109" s="523">
        <f t="shared" si="25"/>
        <v>8317243.3602276454</v>
      </c>
      <c r="G109" s="523">
        <f t="shared" si="26"/>
        <v>8453480.6285203286</v>
      </c>
      <c r="H109" s="526">
        <f t="shared" si="27"/>
        <v>1232064.8502808406</v>
      </c>
      <c r="I109" s="577">
        <f t="shared" si="28"/>
        <v>1232064.8502808406</v>
      </c>
      <c r="J109" s="514">
        <f t="shared" si="16"/>
        <v>0</v>
      </c>
      <c r="K109" s="514"/>
      <c r="L109" s="525"/>
      <c r="M109" s="514">
        <f t="shared" si="24"/>
        <v>0</v>
      </c>
      <c r="N109" s="525"/>
      <c r="O109" s="514">
        <f t="shared" si="18"/>
        <v>0</v>
      </c>
      <c r="P109" s="514">
        <f t="shared" si="19"/>
        <v>0</v>
      </c>
    </row>
    <row r="110" spans="1:16">
      <c r="B110" s="195" t="str">
        <f t="shared" si="20"/>
        <v/>
      </c>
      <c r="C110" s="507">
        <f>IF(D93="","-",+C109+1)</f>
        <v>2029</v>
      </c>
      <c r="D110" s="374">
        <f>IF(F109+SUM(E$99:E109)=D$92,F109,D$92-SUM(E$99:E109))</f>
        <v>8317243.3602276454</v>
      </c>
      <c r="E110" s="522">
        <f>IF(+J96&lt;F109,J96,D110)</f>
        <v>272474.53658536583</v>
      </c>
      <c r="F110" s="523">
        <f t="shared" si="25"/>
        <v>8044768.82364228</v>
      </c>
      <c r="G110" s="523">
        <f t="shared" si="26"/>
        <v>8181006.0919349622</v>
      </c>
      <c r="H110" s="526">
        <f t="shared" si="27"/>
        <v>1201135.1140543383</v>
      </c>
      <c r="I110" s="577">
        <f t="shared" si="28"/>
        <v>1201135.1140543383</v>
      </c>
      <c r="J110" s="514">
        <f t="shared" si="16"/>
        <v>0</v>
      </c>
      <c r="K110" s="514"/>
      <c r="L110" s="525"/>
      <c r="M110" s="514">
        <f t="shared" si="24"/>
        <v>0</v>
      </c>
      <c r="N110" s="525"/>
      <c r="O110" s="514">
        <f t="shared" si="18"/>
        <v>0</v>
      </c>
      <c r="P110" s="514">
        <f t="shared" si="19"/>
        <v>0</v>
      </c>
    </row>
    <row r="111" spans="1:16">
      <c r="B111" s="195" t="str">
        <f t="shared" si="20"/>
        <v/>
      </c>
      <c r="C111" s="507">
        <f>IF(D93="","-",+C110+1)</f>
        <v>2030</v>
      </c>
      <c r="D111" s="374">
        <f>IF(F110+SUM(E$99:E110)=D$92,F110,D$92-SUM(E$99:E110))</f>
        <v>8044768.82364228</v>
      </c>
      <c r="E111" s="522">
        <f>IF(+J96&lt;F110,J96,D111)</f>
        <v>272474.53658536583</v>
      </c>
      <c r="F111" s="523">
        <f t="shared" si="25"/>
        <v>7772294.2870569145</v>
      </c>
      <c r="G111" s="523">
        <f t="shared" si="26"/>
        <v>7908531.5553495977</v>
      </c>
      <c r="H111" s="526">
        <f t="shared" si="27"/>
        <v>1170205.3778278362</v>
      </c>
      <c r="I111" s="577">
        <f t="shared" si="28"/>
        <v>1170205.3778278362</v>
      </c>
      <c r="J111" s="514">
        <f t="shared" si="16"/>
        <v>0</v>
      </c>
      <c r="K111" s="514"/>
      <c r="L111" s="525"/>
      <c r="M111" s="514">
        <f t="shared" si="24"/>
        <v>0</v>
      </c>
      <c r="N111" s="525"/>
      <c r="O111" s="514">
        <f t="shared" si="18"/>
        <v>0</v>
      </c>
      <c r="P111" s="514">
        <f t="shared" si="19"/>
        <v>0</v>
      </c>
    </row>
    <row r="112" spans="1:16">
      <c r="B112" s="195" t="str">
        <f t="shared" si="20"/>
        <v/>
      </c>
      <c r="C112" s="507">
        <f>IF(D93="","-",+C111+1)</f>
        <v>2031</v>
      </c>
      <c r="D112" s="374">
        <f>IF(F111+SUM(E$99:E111)=D$92,F111,D$92-SUM(E$99:E111))</f>
        <v>7772294.2870569145</v>
      </c>
      <c r="E112" s="522">
        <f>IF(+J96&lt;F111,J96,D112)</f>
        <v>272474.53658536583</v>
      </c>
      <c r="F112" s="523">
        <f t="shared" si="25"/>
        <v>7499819.7504715491</v>
      </c>
      <c r="G112" s="523">
        <f t="shared" si="26"/>
        <v>7636057.0187642314</v>
      </c>
      <c r="H112" s="526">
        <f t="shared" si="27"/>
        <v>1139275.6416013339</v>
      </c>
      <c r="I112" s="577">
        <f t="shared" si="28"/>
        <v>1139275.6416013339</v>
      </c>
      <c r="J112" s="514">
        <f t="shared" si="16"/>
        <v>0</v>
      </c>
      <c r="K112" s="514"/>
      <c r="L112" s="525"/>
      <c r="M112" s="514">
        <f t="shared" si="24"/>
        <v>0</v>
      </c>
      <c r="N112" s="525"/>
      <c r="O112" s="514">
        <f t="shared" si="18"/>
        <v>0</v>
      </c>
      <c r="P112" s="514">
        <f t="shared" si="19"/>
        <v>0</v>
      </c>
    </row>
    <row r="113" spans="2:16">
      <c r="B113" s="195" t="str">
        <f t="shared" si="20"/>
        <v/>
      </c>
      <c r="C113" s="507">
        <f>IF(D93="","-",+C112+1)</f>
        <v>2032</v>
      </c>
      <c r="D113" s="374">
        <f>IF(F112+SUM(E$99:E112)=D$92,F112,D$92-SUM(E$99:E112))</f>
        <v>7499819.7504715491</v>
      </c>
      <c r="E113" s="522">
        <f>IF(+J96&lt;F112,J96,D113)</f>
        <v>272474.53658536583</v>
      </c>
      <c r="F113" s="523">
        <f t="shared" si="25"/>
        <v>7227345.2138861837</v>
      </c>
      <c r="G113" s="523">
        <f t="shared" si="26"/>
        <v>7363582.4821788669</v>
      </c>
      <c r="H113" s="526">
        <f t="shared" si="27"/>
        <v>1108345.9053748318</v>
      </c>
      <c r="I113" s="577">
        <f t="shared" si="28"/>
        <v>1108345.9053748318</v>
      </c>
      <c r="J113" s="514">
        <f t="shared" si="16"/>
        <v>0</v>
      </c>
      <c r="K113" s="514"/>
      <c r="L113" s="525"/>
      <c r="M113" s="514">
        <f t="shared" si="24"/>
        <v>0</v>
      </c>
      <c r="N113" s="525"/>
      <c r="O113" s="514">
        <f t="shared" si="18"/>
        <v>0</v>
      </c>
      <c r="P113" s="514">
        <f t="shared" si="19"/>
        <v>0</v>
      </c>
    </row>
    <row r="114" spans="2:16">
      <c r="B114" s="195" t="str">
        <f t="shared" si="20"/>
        <v/>
      </c>
      <c r="C114" s="507">
        <f>IF(D93="","-",+C113+1)</f>
        <v>2033</v>
      </c>
      <c r="D114" s="374">
        <f>IF(F113+SUM(E$99:E113)=D$92,F113,D$92-SUM(E$99:E113))</f>
        <v>7227345.2138861837</v>
      </c>
      <c r="E114" s="522">
        <f>IF(+J96&lt;F113,J96,D114)</f>
        <v>272474.53658536583</v>
      </c>
      <c r="F114" s="523">
        <f t="shared" si="25"/>
        <v>6954870.6773008183</v>
      </c>
      <c r="G114" s="523">
        <f t="shared" si="26"/>
        <v>7091107.9455935005</v>
      </c>
      <c r="H114" s="526">
        <f t="shared" si="27"/>
        <v>1077416.1691483294</v>
      </c>
      <c r="I114" s="577">
        <f t="shared" si="28"/>
        <v>1077416.1691483294</v>
      </c>
      <c r="J114" s="514">
        <f t="shared" si="16"/>
        <v>0</v>
      </c>
      <c r="K114" s="514"/>
      <c r="L114" s="525"/>
      <c r="M114" s="514">
        <f t="shared" si="24"/>
        <v>0</v>
      </c>
      <c r="N114" s="525"/>
      <c r="O114" s="514">
        <f t="shared" si="18"/>
        <v>0</v>
      </c>
      <c r="P114" s="514">
        <f t="shared" si="19"/>
        <v>0</v>
      </c>
    </row>
    <row r="115" spans="2:16">
      <c r="B115" s="195" t="str">
        <f t="shared" si="20"/>
        <v/>
      </c>
      <c r="C115" s="507">
        <f>IF(D93="","-",+C114+1)</f>
        <v>2034</v>
      </c>
      <c r="D115" s="374">
        <f>IF(F114+SUM(E$99:E114)=D$92,F114,D$92-SUM(E$99:E114))</f>
        <v>6954870.6773008183</v>
      </c>
      <c r="E115" s="522">
        <f>IF(+J96&lt;F114,J96,D115)</f>
        <v>272474.53658536583</v>
      </c>
      <c r="F115" s="523">
        <f t="shared" si="25"/>
        <v>6682396.1407154528</v>
      </c>
      <c r="G115" s="523">
        <f t="shared" si="26"/>
        <v>6818633.409008136</v>
      </c>
      <c r="H115" s="526">
        <f t="shared" si="27"/>
        <v>1046486.4329218273</v>
      </c>
      <c r="I115" s="577">
        <f t="shared" si="28"/>
        <v>1046486.4329218273</v>
      </c>
      <c r="J115" s="514">
        <f t="shared" si="16"/>
        <v>0</v>
      </c>
      <c r="K115" s="514"/>
      <c r="L115" s="525"/>
      <c r="M115" s="514">
        <f t="shared" si="24"/>
        <v>0</v>
      </c>
      <c r="N115" s="525"/>
      <c r="O115" s="514">
        <f t="shared" si="18"/>
        <v>0</v>
      </c>
      <c r="P115" s="514">
        <f t="shared" si="19"/>
        <v>0</v>
      </c>
    </row>
    <row r="116" spans="2:16">
      <c r="B116" s="195" t="str">
        <f t="shared" si="20"/>
        <v/>
      </c>
      <c r="C116" s="507">
        <f>IF(D93="","-",+C115+1)</f>
        <v>2035</v>
      </c>
      <c r="D116" s="374">
        <f>IF(F115+SUM(E$99:E115)=D$92,F115,D$92-SUM(E$99:E115))</f>
        <v>6682396.1407154528</v>
      </c>
      <c r="E116" s="522">
        <f>IF(+J96&lt;F115,J96,D116)</f>
        <v>272474.53658536583</v>
      </c>
      <c r="F116" s="523">
        <f t="shared" si="25"/>
        <v>6409921.6041300874</v>
      </c>
      <c r="G116" s="523">
        <f t="shared" si="26"/>
        <v>6546158.8724227697</v>
      </c>
      <c r="H116" s="526">
        <f t="shared" si="27"/>
        <v>1015556.696695325</v>
      </c>
      <c r="I116" s="577">
        <f t="shared" si="28"/>
        <v>1015556.696695325</v>
      </c>
      <c r="J116" s="514">
        <f t="shared" si="16"/>
        <v>0</v>
      </c>
      <c r="K116" s="514"/>
      <c r="L116" s="525"/>
      <c r="M116" s="514">
        <f t="shared" si="24"/>
        <v>0</v>
      </c>
      <c r="N116" s="525"/>
      <c r="O116" s="514">
        <f t="shared" si="18"/>
        <v>0</v>
      </c>
      <c r="P116" s="514">
        <f t="shared" si="19"/>
        <v>0</v>
      </c>
    </row>
    <row r="117" spans="2:16">
      <c r="B117" s="195" t="str">
        <f t="shared" si="20"/>
        <v/>
      </c>
      <c r="C117" s="507">
        <f>IF(D93="","-",+C116+1)</f>
        <v>2036</v>
      </c>
      <c r="D117" s="374">
        <f>IF(F116+SUM(E$99:E116)=D$92,F116,D$92-SUM(E$99:E116))</f>
        <v>6409921.6041300874</v>
      </c>
      <c r="E117" s="522">
        <f>IF(+J96&lt;F116,J96,D117)</f>
        <v>272474.53658536583</v>
      </c>
      <c r="F117" s="523">
        <f t="shared" si="25"/>
        <v>6137447.067544722</v>
      </c>
      <c r="G117" s="523">
        <f t="shared" si="26"/>
        <v>6273684.3358374052</v>
      </c>
      <c r="H117" s="526">
        <f t="shared" si="27"/>
        <v>984626.96046882286</v>
      </c>
      <c r="I117" s="577">
        <f t="shared" si="28"/>
        <v>984626.96046882286</v>
      </c>
      <c r="J117" s="514">
        <f t="shared" si="16"/>
        <v>0</v>
      </c>
      <c r="K117" s="514"/>
      <c r="L117" s="525"/>
      <c r="M117" s="514">
        <f t="shared" si="24"/>
        <v>0</v>
      </c>
      <c r="N117" s="525"/>
      <c r="O117" s="514">
        <f t="shared" si="18"/>
        <v>0</v>
      </c>
      <c r="P117" s="514">
        <f t="shared" si="19"/>
        <v>0</v>
      </c>
    </row>
    <row r="118" spans="2:16">
      <c r="B118" s="195" t="str">
        <f t="shared" si="20"/>
        <v/>
      </c>
      <c r="C118" s="507">
        <f>IF(D93="","-",+C117+1)</f>
        <v>2037</v>
      </c>
      <c r="D118" s="374">
        <f>IF(F117+SUM(E$99:E117)=D$92,F117,D$92-SUM(E$99:E117))</f>
        <v>6137447.067544722</v>
      </c>
      <c r="E118" s="522">
        <f>IF(+J96&lt;F117,J96,D118)</f>
        <v>272474.53658536583</v>
      </c>
      <c r="F118" s="523">
        <f t="shared" si="25"/>
        <v>5864972.5309593566</v>
      </c>
      <c r="G118" s="523">
        <f t="shared" si="26"/>
        <v>6001209.7992520388</v>
      </c>
      <c r="H118" s="526">
        <f t="shared" si="27"/>
        <v>953697.22424232052</v>
      </c>
      <c r="I118" s="577">
        <f t="shared" si="28"/>
        <v>953697.22424232052</v>
      </c>
      <c r="J118" s="514">
        <f t="shared" si="16"/>
        <v>0</v>
      </c>
      <c r="K118" s="514"/>
      <c r="L118" s="525"/>
      <c r="M118" s="514">
        <f t="shared" si="24"/>
        <v>0</v>
      </c>
      <c r="N118" s="525"/>
      <c r="O118" s="514">
        <f t="shared" si="18"/>
        <v>0</v>
      </c>
      <c r="P118" s="514">
        <f t="shared" si="19"/>
        <v>0</v>
      </c>
    </row>
    <row r="119" spans="2:16">
      <c r="B119" s="195" t="str">
        <f t="shared" si="20"/>
        <v/>
      </c>
      <c r="C119" s="507">
        <f>IF(D93="","-",+C118+1)</f>
        <v>2038</v>
      </c>
      <c r="D119" s="374">
        <f>IF(F118+SUM(E$99:E118)=D$92,F118,D$92-SUM(E$99:E118))</f>
        <v>5864972.5309593566</v>
      </c>
      <c r="E119" s="522">
        <f>IF(+J96&lt;F118,J96,D119)</f>
        <v>272474.53658536583</v>
      </c>
      <c r="F119" s="523">
        <f t="shared" si="25"/>
        <v>5592497.9943739912</v>
      </c>
      <c r="G119" s="523">
        <f t="shared" si="26"/>
        <v>5728735.2626666743</v>
      </c>
      <c r="H119" s="526">
        <f t="shared" si="27"/>
        <v>922767.48801581841</v>
      </c>
      <c r="I119" s="577">
        <f t="shared" si="28"/>
        <v>922767.48801581841</v>
      </c>
      <c r="J119" s="514">
        <f t="shared" si="16"/>
        <v>0</v>
      </c>
      <c r="K119" s="514"/>
      <c r="L119" s="525"/>
      <c r="M119" s="514">
        <f t="shared" si="24"/>
        <v>0</v>
      </c>
      <c r="N119" s="525"/>
      <c r="O119" s="514">
        <f t="shared" si="18"/>
        <v>0</v>
      </c>
      <c r="P119" s="514">
        <f t="shared" si="19"/>
        <v>0</v>
      </c>
    </row>
    <row r="120" spans="2:16">
      <c r="B120" s="195" t="str">
        <f t="shared" si="20"/>
        <v/>
      </c>
      <c r="C120" s="507">
        <f>IF(D93="","-",+C119+1)</f>
        <v>2039</v>
      </c>
      <c r="D120" s="374">
        <f>IF(F119+SUM(E$99:E119)=D$92,F119,D$92-SUM(E$99:E119))</f>
        <v>5592497.9943739912</v>
      </c>
      <c r="E120" s="522">
        <f>IF(+J96&lt;F119,J96,D120)</f>
        <v>272474.53658536583</v>
      </c>
      <c r="F120" s="523">
        <f t="shared" si="25"/>
        <v>5320023.4577886257</v>
      </c>
      <c r="G120" s="523">
        <f t="shared" si="26"/>
        <v>5456260.726081308</v>
      </c>
      <c r="H120" s="526">
        <f t="shared" si="27"/>
        <v>891837.75178931607</v>
      </c>
      <c r="I120" s="577">
        <f t="shared" si="28"/>
        <v>891837.75178931607</v>
      </c>
      <c r="J120" s="514">
        <f t="shared" si="16"/>
        <v>0</v>
      </c>
      <c r="K120" s="514"/>
      <c r="L120" s="525"/>
      <c r="M120" s="514">
        <f t="shared" si="24"/>
        <v>0</v>
      </c>
      <c r="N120" s="525"/>
      <c r="O120" s="514">
        <f t="shared" si="18"/>
        <v>0</v>
      </c>
      <c r="P120" s="514">
        <f t="shared" si="19"/>
        <v>0</v>
      </c>
    </row>
    <row r="121" spans="2:16">
      <c r="B121" s="195" t="str">
        <f t="shared" si="20"/>
        <v/>
      </c>
      <c r="C121" s="507">
        <f>IF(D93="","-",+C120+1)</f>
        <v>2040</v>
      </c>
      <c r="D121" s="374">
        <f>IF(F120+SUM(E$99:E120)=D$92,F120,D$92-SUM(E$99:E120))</f>
        <v>5320023.4577886257</v>
      </c>
      <c r="E121" s="522">
        <f>IF(+J96&lt;F120,J96,D121)</f>
        <v>272474.53658536583</v>
      </c>
      <c r="F121" s="523">
        <f t="shared" si="25"/>
        <v>5047548.9212032603</v>
      </c>
      <c r="G121" s="523">
        <f t="shared" si="26"/>
        <v>5183786.1894959435</v>
      </c>
      <c r="H121" s="526">
        <f t="shared" si="27"/>
        <v>860908.01556281396</v>
      </c>
      <c r="I121" s="577">
        <f t="shared" si="28"/>
        <v>860908.01556281396</v>
      </c>
      <c r="J121" s="514">
        <f t="shared" si="16"/>
        <v>0</v>
      </c>
      <c r="K121" s="514"/>
      <c r="L121" s="525"/>
      <c r="M121" s="514">
        <f t="shared" si="24"/>
        <v>0</v>
      </c>
      <c r="N121" s="525"/>
      <c r="O121" s="514">
        <f t="shared" si="18"/>
        <v>0</v>
      </c>
      <c r="P121" s="514">
        <f t="shared" si="19"/>
        <v>0</v>
      </c>
    </row>
    <row r="122" spans="2:16">
      <c r="B122" s="195" t="str">
        <f t="shared" si="20"/>
        <v/>
      </c>
      <c r="C122" s="507">
        <f>IF(D93="","-",+C121+1)</f>
        <v>2041</v>
      </c>
      <c r="D122" s="374">
        <f>IF(F121+SUM(E$99:E121)=D$92,F121,D$92-SUM(E$99:E121))</f>
        <v>5047548.9212032603</v>
      </c>
      <c r="E122" s="522">
        <f>IF(+J96&lt;F121,J96,D122)</f>
        <v>272474.53658536583</v>
      </c>
      <c r="F122" s="523">
        <f t="shared" si="25"/>
        <v>4775074.3846178949</v>
      </c>
      <c r="G122" s="523">
        <f t="shared" si="26"/>
        <v>4911311.6529105771</v>
      </c>
      <c r="H122" s="526">
        <f t="shared" si="27"/>
        <v>829978.27933631162</v>
      </c>
      <c r="I122" s="577">
        <f t="shared" si="28"/>
        <v>829978.27933631162</v>
      </c>
      <c r="J122" s="514">
        <f t="shared" si="16"/>
        <v>0</v>
      </c>
      <c r="K122" s="514"/>
      <c r="L122" s="525"/>
      <c r="M122" s="514">
        <f t="shared" si="24"/>
        <v>0</v>
      </c>
      <c r="N122" s="525"/>
      <c r="O122" s="514">
        <f t="shared" si="18"/>
        <v>0</v>
      </c>
      <c r="P122" s="514">
        <f t="shared" si="19"/>
        <v>0</v>
      </c>
    </row>
    <row r="123" spans="2:16">
      <c r="B123" s="195" t="str">
        <f t="shared" si="20"/>
        <v/>
      </c>
      <c r="C123" s="507">
        <f>IF(D93="","-",+C122+1)</f>
        <v>2042</v>
      </c>
      <c r="D123" s="374">
        <f>IF(F122+SUM(E$99:E122)=D$92,F122,D$92-SUM(E$99:E122))</f>
        <v>4775074.3846178949</v>
      </c>
      <c r="E123" s="522">
        <f>IF(+J96&lt;F122,J96,D123)</f>
        <v>272474.53658536583</v>
      </c>
      <c r="F123" s="523">
        <f t="shared" si="25"/>
        <v>4502599.8480325295</v>
      </c>
      <c r="G123" s="523">
        <f t="shared" si="26"/>
        <v>4638837.1163252126</v>
      </c>
      <c r="H123" s="526">
        <f t="shared" si="27"/>
        <v>799048.54310980951</v>
      </c>
      <c r="I123" s="577">
        <f t="shared" si="28"/>
        <v>799048.54310980951</v>
      </c>
      <c r="J123" s="514">
        <f t="shared" si="16"/>
        <v>0</v>
      </c>
      <c r="K123" s="514"/>
      <c r="L123" s="525"/>
      <c r="M123" s="514">
        <f t="shared" si="24"/>
        <v>0</v>
      </c>
      <c r="N123" s="525"/>
      <c r="O123" s="514">
        <f t="shared" si="18"/>
        <v>0</v>
      </c>
      <c r="P123" s="514">
        <f t="shared" si="19"/>
        <v>0</v>
      </c>
    </row>
    <row r="124" spans="2:16">
      <c r="B124" s="195" t="str">
        <f t="shared" si="20"/>
        <v/>
      </c>
      <c r="C124" s="507">
        <f>IF(D93="","-",+C123+1)</f>
        <v>2043</v>
      </c>
      <c r="D124" s="374">
        <f>IF(F123+SUM(E$99:E123)=D$92,F123,D$92-SUM(E$99:E123))</f>
        <v>4502599.8480325295</v>
      </c>
      <c r="E124" s="522">
        <f>IF(+J96&lt;F123,J96,D124)</f>
        <v>272474.53658536583</v>
      </c>
      <c r="F124" s="523">
        <f t="shared" si="25"/>
        <v>4230125.311447164</v>
      </c>
      <c r="G124" s="523">
        <f t="shared" si="26"/>
        <v>4366362.5797398463</v>
      </c>
      <c r="H124" s="526">
        <f t="shared" si="27"/>
        <v>768118.80688330729</v>
      </c>
      <c r="I124" s="577">
        <f t="shared" si="28"/>
        <v>768118.80688330729</v>
      </c>
      <c r="J124" s="514">
        <f t="shared" si="16"/>
        <v>0</v>
      </c>
      <c r="K124" s="514"/>
      <c r="L124" s="525"/>
      <c r="M124" s="514">
        <f t="shared" si="24"/>
        <v>0</v>
      </c>
      <c r="N124" s="525"/>
      <c r="O124" s="514">
        <f t="shared" si="18"/>
        <v>0</v>
      </c>
      <c r="P124" s="514">
        <f t="shared" si="19"/>
        <v>0</v>
      </c>
    </row>
    <row r="125" spans="2:16">
      <c r="B125" s="195" t="str">
        <f t="shared" si="20"/>
        <v/>
      </c>
      <c r="C125" s="507">
        <f>IF(D93="","-",+C124+1)</f>
        <v>2044</v>
      </c>
      <c r="D125" s="374">
        <f>IF(F124+SUM(E$99:E124)=D$92,F124,D$92-SUM(E$99:E124))</f>
        <v>4230125.311447164</v>
      </c>
      <c r="E125" s="522">
        <f>IF(+J96&lt;F124,J96,D125)</f>
        <v>272474.53658536583</v>
      </c>
      <c r="F125" s="523">
        <f t="shared" si="25"/>
        <v>3957650.7748617982</v>
      </c>
      <c r="G125" s="523">
        <f t="shared" si="26"/>
        <v>4093888.0431544809</v>
      </c>
      <c r="H125" s="526">
        <f t="shared" si="27"/>
        <v>737189.07065680507</v>
      </c>
      <c r="I125" s="577">
        <f t="shared" si="28"/>
        <v>737189.07065680507</v>
      </c>
      <c r="J125" s="514">
        <f t="shared" si="16"/>
        <v>0</v>
      </c>
      <c r="K125" s="514"/>
      <c r="L125" s="525"/>
      <c r="M125" s="514">
        <f t="shared" si="24"/>
        <v>0</v>
      </c>
      <c r="N125" s="525"/>
      <c r="O125" s="514">
        <f t="shared" si="18"/>
        <v>0</v>
      </c>
      <c r="P125" s="514">
        <f t="shared" si="19"/>
        <v>0</v>
      </c>
    </row>
    <row r="126" spans="2:16">
      <c r="B126" s="195" t="str">
        <f t="shared" si="20"/>
        <v/>
      </c>
      <c r="C126" s="507">
        <f>IF(D93="","-",+C125+1)</f>
        <v>2045</v>
      </c>
      <c r="D126" s="374">
        <f>IF(F125+SUM(E$99:E125)=D$92,F125,D$92-SUM(E$99:E125))</f>
        <v>3957650.7748617982</v>
      </c>
      <c r="E126" s="522">
        <f>IF(+J96&lt;F125,J96,D126)</f>
        <v>272474.53658536583</v>
      </c>
      <c r="F126" s="523">
        <f t="shared" si="25"/>
        <v>3685176.2382764323</v>
      </c>
      <c r="G126" s="523">
        <f t="shared" si="26"/>
        <v>3821413.5065691154</v>
      </c>
      <c r="H126" s="526">
        <f t="shared" si="27"/>
        <v>706259.33443030284</v>
      </c>
      <c r="I126" s="577">
        <f t="shared" si="28"/>
        <v>706259.33443030284</v>
      </c>
      <c r="J126" s="514">
        <f t="shared" si="16"/>
        <v>0</v>
      </c>
      <c r="K126" s="514"/>
      <c r="L126" s="525"/>
      <c r="M126" s="514">
        <f t="shared" si="24"/>
        <v>0</v>
      </c>
      <c r="N126" s="525"/>
      <c r="O126" s="514">
        <f t="shared" si="18"/>
        <v>0</v>
      </c>
      <c r="P126" s="514">
        <f t="shared" si="19"/>
        <v>0</v>
      </c>
    </row>
    <row r="127" spans="2:16">
      <c r="B127" s="195" t="str">
        <f t="shared" si="20"/>
        <v/>
      </c>
      <c r="C127" s="507">
        <f>IF(D93="","-",+C126+1)</f>
        <v>2046</v>
      </c>
      <c r="D127" s="374">
        <f>IF(F126+SUM(E$99:E126)=D$92,F126,D$92-SUM(E$99:E126))</f>
        <v>3685176.2382764323</v>
      </c>
      <c r="E127" s="522">
        <f>IF(+J96&lt;F126,J96,D127)</f>
        <v>272474.53658536583</v>
      </c>
      <c r="F127" s="523">
        <f t="shared" si="25"/>
        <v>3412701.7016910664</v>
      </c>
      <c r="G127" s="523">
        <f t="shared" si="26"/>
        <v>3548938.9699837491</v>
      </c>
      <c r="H127" s="526">
        <f t="shared" si="27"/>
        <v>675329.5982038005</v>
      </c>
      <c r="I127" s="577">
        <f t="shared" si="28"/>
        <v>675329.5982038005</v>
      </c>
      <c r="J127" s="514">
        <f t="shared" si="16"/>
        <v>0</v>
      </c>
      <c r="K127" s="514"/>
      <c r="L127" s="525"/>
      <c r="M127" s="514">
        <f t="shared" si="24"/>
        <v>0</v>
      </c>
      <c r="N127" s="525"/>
      <c r="O127" s="514">
        <f t="shared" si="18"/>
        <v>0</v>
      </c>
      <c r="P127" s="514">
        <f t="shared" si="19"/>
        <v>0</v>
      </c>
    </row>
    <row r="128" spans="2:16">
      <c r="B128" s="195" t="str">
        <f t="shared" si="20"/>
        <v/>
      </c>
      <c r="C128" s="507">
        <f>IF(D93="","-",+C127+1)</f>
        <v>2047</v>
      </c>
      <c r="D128" s="374">
        <f>IF(F127+SUM(E$99:E127)=D$92,F127,D$92-SUM(E$99:E127))</f>
        <v>3412701.7016910664</v>
      </c>
      <c r="E128" s="522">
        <f>IF(+J96&lt;F127,J96,D128)</f>
        <v>272474.53658536583</v>
      </c>
      <c r="F128" s="523">
        <f t="shared" si="25"/>
        <v>3140227.1651057005</v>
      </c>
      <c r="G128" s="523">
        <f t="shared" si="26"/>
        <v>3276464.4333983837</v>
      </c>
      <c r="H128" s="526">
        <f t="shared" si="27"/>
        <v>644399.86197729828</v>
      </c>
      <c r="I128" s="577">
        <f t="shared" si="28"/>
        <v>644399.86197729828</v>
      </c>
      <c r="J128" s="514">
        <f t="shared" si="16"/>
        <v>0</v>
      </c>
      <c r="K128" s="514"/>
      <c r="L128" s="525"/>
      <c r="M128" s="514">
        <f t="shared" si="24"/>
        <v>0</v>
      </c>
      <c r="N128" s="525"/>
      <c r="O128" s="514">
        <f t="shared" si="18"/>
        <v>0</v>
      </c>
      <c r="P128" s="514">
        <f t="shared" si="19"/>
        <v>0</v>
      </c>
    </row>
    <row r="129" spans="2:16">
      <c r="B129" s="195" t="str">
        <f t="shared" si="20"/>
        <v/>
      </c>
      <c r="C129" s="507">
        <f>IF(D93="","-",+C128+1)</f>
        <v>2048</v>
      </c>
      <c r="D129" s="374">
        <f>IF(F128+SUM(E$99:E128)=D$92,F128,D$92-SUM(E$99:E128))</f>
        <v>3140227.1651057005</v>
      </c>
      <c r="E129" s="522">
        <f>IF(+J96&lt;F128,J96,D129)</f>
        <v>272474.53658536583</v>
      </c>
      <c r="F129" s="523">
        <f t="shared" si="25"/>
        <v>2867752.6285203346</v>
      </c>
      <c r="G129" s="523">
        <f t="shared" si="26"/>
        <v>3003989.8968130173</v>
      </c>
      <c r="H129" s="526">
        <f t="shared" si="27"/>
        <v>613470.12575079594</v>
      </c>
      <c r="I129" s="577">
        <f t="shared" si="28"/>
        <v>613470.12575079594</v>
      </c>
      <c r="J129" s="514">
        <f t="shared" si="16"/>
        <v>0</v>
      </c>
      <c r="K129" s="514"/>
      <c r="L129" s="525"/>
      <c r="M129" s="514">
        <f t="shared" si="24"/>
        <v>0</v>
      </c>
      <c r="N129" s="525"/>
      <c r="O129" s="514">
        <f t="shared" si="18"/>
        <v>0</v>
      </c>
      <c r="P129" s="514">
        <f t="shared" si="19"/>
        <v>0</v>
      </c>
    </row>
    <row r="130" spans="2:16">
      <c r="B130" s="195" t="str">
        <f t="shared" si="20"/>
        <v/>
      </c>
      <c r="C130" s="507">
        <f>IF(D93="","-",+C129+1)</f>
        <v>2049</v>
      </c>
      <c r="D130" s="374">
        <f>IF(F129+SUM(E$99:E129)=D$92,F129,D$92-SUM(E$99:E129))</f>
        <v>2867752.6285203346</v>
      </c>
      <c r="E130" s="522">
        <f>IF(+J96&lt;F129,J96,D130)</f>
        <v>272474.53658536583</v>
      </c>
      <c r="F130" s="523">
        <f t="shared" si="25"/>
        <v>2595278.0919349687</v>
      </c>
      <c r="G130" s="523">
        <f t="shared" si="26"/>
        <v>2731515.3602276519</v>
      </c>
      <c r="H130" s="526">
        <f t="shared" si="27"/>
        <v>582540.38952429383</v>
      </c>
      <c r="I130" s="577">
        <f t="shared" si="28"/>
        <v>582540.38952429383</v>
      </c>
      <c r="J130" s="514">
        <f t="shared" si="16"/>
        <v>0</v>
      </c>
      <c r="K130" s="514"/>
      <c r="L130" s="525"/>
      <c r="M130" s="514">
        <f t="shared" si="24"/>
        <v>0</v>
      </c>
      <c r="N130" s="525"/>
      <c r="O130" s="514">
        <f t="shared" si="18"/>
        <v>0</v>
      </c>
      <c r="P130" s="514">
        <f t="shared" si="19"/>
        <v>0</v>
      </c>
    </row>
    <row r="131" spans="2:16">
      <c r="B131" s="195" t="str">
        <f t="shared" si="20"/>
        <v/>
      </c>
      <c r="C131" s="507">
        <f>IF(D93="","-",+C130+1)</f>
        <v>2050</v>
      </c>
      <c r="D131" s="374">
        <f>IF(F130+SUM(E$99:E130)=D$92,F130,D$92-SUM(E$99:E130))</f>
        <v>2595278.0919349687</v>
      </c>
      <c r="E131" s="522">
        <f>IF(+J96&lt;F130,J96,D131)</f>
        <v>272474.53658536583</v>
      </c>
      <c r="F131" s="523">
        <f t="shared" si="25"/>
        <v>2322803.5553496028</v>
      </c>
      <c r="G131" s="523">
        <f t="shared" si="26"/>
        <v>2459040.8236422855</v>
      </c>
      <c r="H131" s="526">
        <f t="shared" si="27"/>
        <v>551610.65329779149</v>
      </c>
      <c r="I131" s="577">
        <f t="shared" si="28"/>
        <v>551610.65329779149</v>
      </c>
      <c r="J131" s="514">
        <f t="shared" ref="J131:J154" si="29">+I541-H541</f>
        <v>0</v>
      </c>
      <c r="K131" s="514"/>
      <c r="L131" s="525"/>
      <c r="M131" s="514">
        <f t="shared" ref="M131:M154" si="30">IF(L541&lt;&gt;0,+H541-L541,0)</f>
        <v>0</v>
      </c>
      <c r="N131" s="525"/>
      <c r="O131" s="514">
        <f t="shared" ref="O131:O154" si="31">IF(N541&lt;&gt;0,+I541-N541,0)</f>
        <v>0</v>
      </c>
      <c r="P131" s="514">
        <f t="shared" ref="P131:P154" si="32">+O541-M541</f>
        <v>0</v>
      </c>
    </row>
    <row r="132" spans="2:16">
      <c r="B132" s="195" t="str">
        <f t="shared" si="20"/>
        <v/>
      </c>
      <c r="C132" s="507">
        <f>IF(D93="","-",+C131+1)</f>
        <v>2051</v>
      </c>
      <c r="D132" s="374">
        <f>IF(F131+SUM(E$99:E131)=D$92,F131,D$92-SUM(E$99:E131))</f>
        <v>2322803.5553496028</v>
      </c>
      <c r="E132" s="522">
        <f>IF(+J96&lt;F131,J96,D132)</f>
        <v>272474.53658536583</v>
      </c>
      <c r="F132" s="523">
        <f t="shared" si="25"/>
        <v>2050329.0187642369</v>
      </c>
      <c r="G132" s="523">
        <f t="shared" si="26"/>
        <v>2186566.2870569201</v>
      </c>
      <c r="H132" s="526">
        <f t="shared" si="27"/>
        <v>520680.91707128927</v>
      </c>
      <c r="I132" s="577">
        <f t="shared" si="28"/>
        <v>520680.91707128927</v>
      </c>
      <c r="J132" s="514">
        <f t="shared" si="29"/>
        <v>0</v>
      </c>
      <c r="K132" s="514"/>
      <c r="L132" s="525"/>
      <c r="M132" s="514">
        <f t="shared" si="30"/>
        <v>0</v>
      </c>
      <c r="N132" s="525"/>
      <c r="O132" s="514">
        <f t="shared" si="31"/>
        <v>0</v>
      </c>
      <c r="P132" s="514">
        <f t="shared" si="32"/>
        <v>0</v>
      </c>
    </row>
    <row r="133" spans="2:16">
      <c r="B133" s="195" t="str">
        <f t="shared" si="20"/>
        <v/>
      </c>
      <c r="C133" s="507">
        <f>IF(D93="","-",+C132+1)</f>
        <v>2052</v>
      </c>
      <c r="D133" s="374">
        <f>IF(F132+SUM(E$99:E132)=D$92,F132,D$92-SUM(E$99:E132))</f>
        <v>2050329.0187642369</v>
      </c>
      <c r="E133" s="522">
        <f>IF(+J96&lt;F132,J96,D133)</f>
        <v>272474.53658536583</v>
      </c>
      <c r="F133" s="523">
        <f t="shared" si="25"/>
        <v>1777854.4821788711</v>
      </c>
      <c r="G133" s="523">
        <f t="shared" si="26"/>
        <v>1914091.750471554</v>
      </c>
      <c r="H133" s="526">
        <f t="shared" si="27"/>
        <v>489751.18084478693</v>
      </c>
      <c r="I133" s="577">
        <f t="shared" si="28"/>
        <v>489751.18084478693</v>
      </c>
      <c r="J133" s="514">
        <f t="shared" si="29"/>
        <v>0</v>
      </c>
      <c r="K133" s="514"/>
      <c r="L133" s="525"/>
      <c r="M133" s="514">
        <f t="shared" si="30"/>
        <v>0</v>
      </c>
      <c r="N133" s="525"/>
      <c r="O133" s="514">
        <f t="shared" si="31"/>
        <v>0</v>
      </c>
      <c r="P133" s="514">
        <f t="shared" si="32"/>
        <v>0</v>
      </c>
    </row>
    <row r="134" spans="2:16">
      <c r="B134" s="195" t="str">
        <f t="shared" si="20"/>
        <v/>
      </c>
      <c r="C134" s="507">
        <f>IF(D93="","-",+C133+1)</f>
        <v>2053</v>
      </c>
      <c r="D134" s="374">
        <f>IF(F133+SUM(E$99:E133)=D$92,F133,D$92-SUM(E$99:E133))</f>
        <v>1777854.4821788711</v>
      </c>
      <c r="E134" s="522">
        <f>IF(+J96&lt;F133,J96,D134)</f>
        <v>272474.53658536583</v>
      </c>
      <c r="F134" s="523">
        <f t="shared" si="25"/>
        <v>1505379.9455935052</v>
      </c>
      <c r="G134" s="523">
        <f t="shared" si="26"/>
        <v>1641617.2138861881</v>
      </c>
      <c r="H134" s="526">
        <f t="shared" si="27"/>
        <v>458821.4446182847</v>
      </c>
      <c r="I134" s="577">
        <f t="shared" si="28"/>
        <v>458821.4446182847</v>
      </c>
      <c r="J134" s="514">
        <f t="shared" si="29"/>
        <v>0</v>
      </c>
      <c r="K134" s="514"/>
      <c r="L134" s="525"/>
      <c r="M134" s="514">
        <f t="shared" si="30"/>
        <v>0</v>
      </c>
      <c r="N134" s="525"/>
      <c r="O134" s="514">
        <f t="shared" si="31"/>
        <v>0</v>
      </c>
      <c r="P134" s="514">
        <f t="shared" si="32"/>
        <v>0</v>
      </c>
    </row>
    <row r="135" spans="2:16">
      <c r="B135" s="195" t="str">
        <f t="shared" si="20"/>
        <v/>
      </c>
      <c r="C135" s="507">
        <f>IF(D93="","-",+C134+1)</f>
        <v>2054</v>
      </c>
      <c r="D135" s="374">
        <f>IF(F134+SUM(E$99:E134)=D$92,F134,D$92-SUM(E$99:E134))</f>
        <v>1505379.9455935052</v>
      </c>
      <c r="E135" s="522">
        <f>IF(+J96&lt;F134,J96,D135)</f>
        <v>272474.53658536583</v>
      </c>
      <c r="F135" s="523">
        <f t="shared" si="25"/>
        <v>1232905.4090081393</v>
      </c>
      <c r="G135" s="523">
        <f t="shared" si="26"/>
        <v>1369142.6773008222</v>
      </c>
      <c r="H135" s="526">
        <f t="shared" si="27"/>
        <v>427891.70839178236</v>
      </c>
      <c r="I135" s="577">
        <f t="shared" si="28"/>
        <v>427891.70839178236</v>
      </c>
      <c r="J135" s="514">
        <f t="shared" si="29"/>
        <v>0</v>
      </c>
      <c r="K135" s="514"/>
      <c r="L135" s="525"/>
      <c r="M135" s="514">
        <f t="shared" si="30"/>
        <v>0</v>
      </c>
      <c r="N135" s="525"/>
      <c r="O135" s="514">
        <f t="shared" si="31"/>
        <v>0</v>
      </c>
      <c r="P135" s="514">
        <f t="shared" si="32"/>
        <v>0</v>
      </c>
    </row>
    <row r="136" spans="2:16">
      <c r="B136" s="195" t="str">
        <f t="shared" si="20"/>
        <v/>
      </c>
      <c r="C136" s="507">
        <f>IF(D93="","-",+C135+1)</f>
        <v>2055</v>
      </c>
      <c r="D136" s="374">
        <f>IF(F135+SUM(E$99:E135)=D$92,F135,D$92-SUM(E$99:E135))</f>
        <v>1232905.4090081393</v>
      </c>
      <c r="E136" s="522">
        <f>IF(+J96&lt;F135,J96,D136)</f>
        <v>272474.53658536583</v>
      </c>
      <c r="F136" s="523">
        <f t="shared" si="25"/>
        <v>960430.87242277339</v>
      </c>
      <c r="G136" s="523">
        <f t="shared" si="26"/>
        <v>1096668.1407154563</v>
      </c>
      <c r="H136" s="526">
        <f t="shared" si="27"/>
        <v>396961.97216528014</v>
      </c>
      <c r="I136" s="577">
        <f t="shared" si="28"/>
        <v>396961.97216528014</v>
      </c>
      <c r="J136" s="514">
        <f t="shared" si="29"/>
        <v>0</v>
      </c>
      <c r="K136" s="514"/>
      <c r="L136" s="525"/>
      <c r="M136" s="514">
        <f t="shared" si="30"/>
        <v>0</v>
      </c>
      <c r="N136" s="525"/>
      <c r="O136" s="514">
        <f t="shared" si="31"/>
        <v>0</v>
      </c>
      <c r="P136" s="514">
        <f t="shared" si="32"/>
        <v>0</v>
      </c>
    </row>
    <row r="137" spans="2:16">
      <c r="B137" s="195" t="str">
        <f t="shared" si="20"/>
        <v/>
      </c>
      <c r="C137" s="507">
        <f>IF(D93="","-",+C136+1)</f>
        <v>2056</v>
      </c>
      <c r="D137" s="374">
        <f>IF(F136+SUM(E$99:E136)=D$92,F136,D$92-SUM(E$99:E136))</f>
        <v>960430.87242277339</v>
      </c>
      <c r="E137" s="522">
        <f>IF(+J96&lt;F136,J96,D137)</f>
        <v>272474.53658536583</v>
      </c>
      <c r="F137" s="523">
        <f t="shared" si="25"/>
        <v>687956.3358374075</v>
      </c>
      <c r="G137" s="523">
        <f t="shared" si="26"/>
        <v>824193.60413009045</v>
      </c>
      <c r="H137" s="526">
        <f t="shared" si="27"/>
        <v>366032.23593877786</v>
      </c>
      <c r="I137" s="577">
        <f t="shared" si="28"/>
        <v>366032.23593877786</v>
      </c>
      <c r="J137" s="514">
        <f t="shared" si="29"/>
        <v>0</v>
      </c>
      <c r="K137" s="514"/>
      <c r="L137" s="525"/>
      <c r="M137" s="514">
        <f t="shared" si="30"/>
        <v>0</v>
      </c>
      <c r="N137" s="525"/>
      <c r="O137" s="514">
        <f t="shared" si="31"/>
        <v>0</v>
      </c>
      <c r="P137" s="514">
        <f t="shared" si="32"/>
        <v>0</v>
      </c>
    </row>
    <row r="138" spans="2:16">
      <c r="B138" s="195" t="str">
        <f t="shared" si="20"/>
        <v/>
      </c>
      <c r="C138" s="507">
        <f>IF(D93="","-",+C137+1)</f>
        <v>2057</v>
      </c>
      <c r="D138" s="374">
        <f>IF(F137+SUM(E$99:E137)=D$92,F137,D$92-SUM(E$99:E137))</f>
        <v>687956.3358374075</v>
      </c>
      <c r="E138" s="522">
        <f>IF(+J96&lt;F137,J96,D138)</f>
        <v>272474.53658536583</v>
      </c>
      <c r="F138" s="523">
        <f t="shared" si="25"/>
        <v>415481.79925204167</v>
      </c>
      <c r="G138" s="523">
        <f t="shared" si="26"/>
        <v>551719.06754472456</v>
      </c>
      <c r="H138" s="526">
        <f t="shared" si="27"/>
        <v>335102.49971227557</v>
      </c>
      <c r="I138" s="577">
        <f t="shared" si="28"/>
        <v>335102.49971227557</v>
      </c>
      <c r="J138" s="514">
        <f t="shared" si="29"/>
        <v>0</v>
      </c>
      <c r="K138" s="514"/>
      <c r="L138" s="525"/>
      <c r="M138" s="514">
        <f t="shared" si="30"/>
        <v>0</v>
      </c>
      <c r="N138" s="525"/>
      <c r="O138" s="514">
        <f t="shared" si="31"/>
        <v>0</v>
      </c>
      <c r="P138" s="514">
        <f t="shared" si="32"/>
        <v>0</v>
      </c>
    </row>
    <row r="139" spans="2:16">
      <c r="B139" s="195" t="str">
        <f t="shared" si="20"/>
        <v/>
      </c>
      <c r="C139" s="507">
        <f>IF(D93="","-",+C138+1)</f>
        <v>2058</v>
      </c>
      <c r="D139" s="374">
        <f>IF(F138+SUM(E$99:E138)=D$92,F138,D$92-SUM(E$99:E138))</f>
        <v>415481.79925204167</v>
      </c>
      <c r="E139" s="522">
        <f>IF(+J96&lt;F138,J96,D139)</f>
        <v>272474.53658536583</v>
      </c>
      <c r="F139" s="523">
        <f t="shared" si="25"/>
        <v>143007.26266667584</v>
      </c>
      <c r="G139" s="523">
        <f t="shared" si="26"/>
        <v>279244.53095935879</v>
      </c>
      <c r="H139" s="526">
        <f t="shared" si="27"/>
        <v>304172.76348577335</v>
      </c>
      <c r="I139" s="577">
        <f t="shared" si="28"/>
        <v>304172.76348577335</v>
      </c>
      <c r="J139" s="514">
        <f t="shared" si="29"/>
        <v>0</v>
      </c>
      <c r="K139" s="514"/>
      <c r="L139" s="525"/>
      <c r="M139" s="514">
        <f t="shared" si="30"/>
        <v>0</v>
      </c>
      <c r="N139" s="525"/>
      <c r="O139" s="514">
        <f t="shared" si="31"/>
        <v>0</v>
      </c>
      <c r="P139" s="514">
        <f t="shared" si="32"/>
        <v>0</v>
      </c>
    </row>
    <row r="140" spans="2:16">
      <c r="B140" s="195" t="str">
        <f t="shared" si="20"/>
        <v/>
      </c>
      <c r="C140" s="507">
        <f>IF(D93="","-",+C139+1)</f>
        <v>2059</v>
      </c>
      <c r="D140" s="374">
        <f>IF(F139+SUM(E$99:E139)=D$92,F139,D$92-SUM(E$99:E139))</f>
        <v>143007.26266667584</v>
      </c>
      <c r="E140" s="522">
        <f>IF(+J96&lt;F139,J96,D140)</f>
        <v>143007.26266667584</v>
      </c>
      <c r="F140" s="523">
        <f t="shared" si="25"/>
        <v>0</v>
      </c>
      <c r="G140" s="523">
        <f t="shared" si="26"/>
        <v>71503.631333337922</v>
      </c>
      <c r="H140" s="526">
        <f t="shared" si="27"/>
        <v>151123.94206025402</v>
      </c>
      <c r="I140" s="577">
        <f t="shared" si="28"/>
        <v>151123.94206025402</v>
      </c>
      <c r="J140" s="514">
        <f t="shared" si="29"/>
        <v>0</v>
      </c>
      <c r="K140" s="514"/>
      <c r="L140" s="525"/>
      <c r="M140" s="514">
        <f t="shared" si="30"/>
        <v>0</v>
      </c>
      <c r="N140" s="525"/>
      <c r="O140" s="514">
        <f t="shared" si="31"/>
        <v>0</v>
      </c>
      <c r="P140" s="514">
        <f t="shared" si="32"/>
        <v>0</v>
      </c>
    </row>
    <row r="141" spans="2:16">
      <c r="B141" s="195" t="str">
        <f t="shared" si="20"/>
        <v/>
      </c>
      <c r="C141" s="507">
        <f>IF(D93="","-",+C140+1)</f>
        <v>2060</v>
      </c>
      <c r="D141" s="374">
        <f>IF(F140+SUM(E$99:E140)=D$92,F140,D$92-SUM(E$99:E140))</f>
        <v>0</v>
      </c>
      <c r="E141" s="522">
        <f>IF(+J96&lt;F140,J96,D141)</f>
        <v>0</v>
      </c>
      <c r="F141" s="523">
        <f t="shared" si="25"/>
        <v>0</v>
      </c>
      <c r="G141" s="523">
        <f t="shared" si="26"/>
        <v>0</v>
      </c>
      <c r="H141" s="526">
        <f t="shared" si="27"/>
        <v>0</v>
      </c>
      <c r="I141" s="577">
        <f t="shared" si="28"/>
        <v>0</v>
      </c>
      <c r="J141" s="514">
        <f t="shared" si="29"/>
        <v>0</v>
      </c>
      <c r="K141" s="514"/>
      <c r="L141" s="525"/>
      <c r="M141" s="514">
        <f t="shared" si="30"/>
        <v>0</v>
      </c>
      <c r="N141" s="525"/>
      <c r="O141" s="514">
        <f t="shared" si="31"/>
        <v>0</v>
      </c>
      <c r="P141" s="514">
        <f t="shared" si="32"/>
        <v>0</v>
      </c>
    </row>
    <row r="142" spans="2:16">
      <c r="B142" s="195" t="str">
        <f t="shared" si="20"/>
        <v/>
      </c>
      <c r="C142" s="507">
        <f>IF(D93="","-",+C141+1)</f>
        <v>2061</v>
      </c>
      <c r="D142" s="374">
        <f>IF(F141+SUM(E$99:E141)=D$92,F141,D$92-SUM(E$99:E141))</f>
        <v>0</v>
      </c>
      <c r="E142" s="522">
        <f>IF(+J96&lt;F141,J96,D142)</f>
        <v>0</v>
      </c>
      <c r="F142" s="523">
        <f t="shared" si="25"/>
        <v>0</v>
      </c>
      <c r="G142" s="523">
        <f t="shared" si="26"/>
        <v>0</v>
      </c>
      <c r="H142" s="526">
        <f t="shared" si="27"/>
        <v>0</v>
      </c>
      <c r="I142" s="577">
        <f t="shared" si="28"/>
        <v>0</v>
      </c>
      <c r="J142" s="514">
        <f t="shared" si="29"/>
        <v>0</v>
      </c>
      <c r="K142" s="514"/>
      <c r="L142" s="525"/>
      <c r="M142" s="514">
        <f t="shared" si="30"/>
        <v>0</v>
      </c>
      <c r="N142" s="525"/>
      <c r="O142" s="514">
        <f t="shared" si="31"/>
        <v>0</v>
      </c>
      <c r="P142" s="514">
        <f t="shared" si="32"/>
        <v>0</v>
      </c>
    </row>
    <row r="143" spans="2:16">
      <c r="B143" s="195" t="str">
        <f t="shared" si="20"/>
        <v/>
      </c>
      <c r="C143" s="507">
        <f>IF(D93="","-",+C142+1)</f>
        <v>2062</v>
      </c>
      <c r="D143" s="374">
        <f>IF(F142+SUM(E$99:E142)=D$92,F142,D$92-SUM(E$99:E142))</f>
        <v>0</v>
      </c>
      <c r="E143" s="522">
        <f>IF(+J96&lt;F142,J96,D143)</f>
        <v>0</v>
      </c>
      <c r="F143" s="523">
        <f t="shared" si="25"/>
        <v>0</v>
      </c>
      <c r="G143" s="523">
        <f t="shared" si="26"/>
        <v>0</v>
      </c>
      <c r="H143" s="526">
        <f t="shared" si="27"/>
        <v>0</v>
      </c>
      <c r="I143" s="577">
        <f t="shared" si="28"/>
        <v>0</v>
      </c>
      <c r="J143" s="514">
        <f t="shared" si="29"/>
        <v>0</v>
      </c>
      <c r="K143" s="514"/>
      <c r="L143" s="525"/>
      <c r="M143" s="514">
        <f t="shared" si="30"/>
        <v>0</v>
      </c>
      <c r="N143" s="525"/>
      <c r="O143" s="514">
        <f t="shared" si="31"/>
        <v>0</v>
      </c>
      <c r="P143" s="514">
        <f t="shared" si="32"/>
        <v>0</v>
      </c>
    </row>
    <row r="144" spans="2:16">
      <c r="B144" s="195" t="str">
        <f t="shared" si="20"/>
        <v/>
      </c>
      <c r="C144" s="507">
        <f>IF(D93="","-",+C143+1)</f>
        <v>2063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25"/>
        <v>0</v>
      </c>
      <c r="G144" s="523">
        <f t="shared" si="26"/>
        <v>0</v>
      </c>
      <c r="H144" s="526">
        <f t="shared" si="27"/>
        <v>0</v>
      </c>
      <c r="I144" s="577">
        <f t="shared" si="28"/>
        <v>0</v>
      </c>
      <c r="J144" s="514">
        <f t="shared" si="29"/>
        <v>0</v>
      </c>
      <c r="K144" s="514"/>
      <c r="L144" s="525"/>
      <c r="M144" s="514">
        <f t="shared" si="30"/>
        <v>0</v>
      </c>
      <c r="N144" s="525"/>
      <c r="O144" s="514">
        <f t="shared" si="31"/>
        <v>0</v>
      </c>
      <c r="P144" s="514">
        <f t="shared" si="32"/>
        <v>0</v>
      </c>
    </row>
    <row r="145" spans="2:16">
      <c r="B145" s="195" t="str">
        <f t="shared" si="20"/>
        <v/>
      </c>
      <c r="C145" s="507">
        <f>IF(D93="","-",+C144+1)</f>
        <v>2064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25"/>
        <v>0</v>
      </c>
      <c r="G145" s="523">
        <f t="shared" si="26"/>
        <v>0</v>
      </c>
      <c r="H145" s="526">
        <f t="shared" si="27"/>
        <v>0</v>
      </c>
      <c r="I145" s="577">
        <f t="shared" si="28"/>
        <v>0</v>
      </c>
      <c r="J145" s="514">
        <f t="shared" si="29"/>
        <v>0</v>
      </c>
      <c r="K145" s="514"/>
      <c r="L145" s="525"/>
      <c r="M145" s="514">
        <f t="shared" si="30"/>
        <v>0</v>
      </c>
      <c r="N145" s="525"/>
      <c r="O145" s="514">
        <f t="shared" si="31"/>
        <v>0</v>
      </c>
      <c r="P145" s="514">
        <f t="shared" si="32"/>
        <v>0</v>
      </c>
    </row>
    <row r="146" spans="2:16">
      <c r="B146" s="195" t="str">
        <f t="shared" si="20"/>
        <v/>
      </c>
      <c r="C146" s="507">
        <f>IF(D93="","-",+C145+1)</f>
        <v>2065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25"/>
        <v>0</v>
      </c>
      <c r="G146" s="523">
        <f t="shared" si="26"/>
        <v>0</v>
      </c>
      <c r="H146" s="526">
        <f t="shared" si="27"/>
        <v>0</v>
      </c>
      <c r="I146" s="577">
        <f t="shared" si="28"/>
        <v>0</v>
      </c>
      <c r="J146" s="514">
        <f t="shared" si="29"/>
        <v>0</v>
      </c>
      <c r="K146" s="514"/>
      <c r="L146" s="525"/>
      <c r="M146" s="514">
        <f t="shared" si="30"/>
        <v>0</v>
      </c>
      <c r="N146" s="525"/>
      <c r="O146" s="514">
        <f t="shared" si="31"/>
        <v>0</v>
      </c>
      <c r="P146" s="514">
        <f t="shared" si="32"/>
        <v>0</v>
      </c>
    </row>
    <row r="147" spans="2:16">
      <c r="B147" s="195" t="str">
        <f t="shared" si="20"/>
        <v/>
      </c>
      <c r="C147" s="507">
        <f>IF(D93="","-",+C146+1)</f>
        <v>2066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25"/>
        <v>0</v>
      </c>
      <c r="G147" s="523">
        <f t="shared" si="26"/>
        <v>0</v>
      </c>
      <c r="H147" s="526">
        <f t="shared" si="27"/>
        <v>0</v>
      </c>
      <c r="I147" s="577">
        <f t="shared" si="28"/>
        <v>0</v>
      </c>
      <c r="J147" s="514">
        <f t="shared" si="29"/>
        <v>0</v>
      </c>
      <c r="K147" s="514"/>
      <c r="L147" s="525"/>
      <c r="M147" s="514">
        <f t="shared" si="30"/>
        <v>0</v>
      </c>
      <c r="N147" s="525"/>
      <c r="O147" s="514">
        <f t="shared" si="31"/>
        <v>0</v>
      </c>
      <c r="P147" s="514">
        <f t="shared" si="32"/>
        <v>0</v>
      </c>
    </row>
    <row r="148" spans="2:16">
      <c r="B148" s="195" t="str">
        <f t="shared" si="20"/>
        <v/>
      </c>
      <c r="C148" s="507">
        <f>IF(D93="","-",+C147+1)</f>
        <v>2067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25"/>
        <v>0</v>
      </c>
      <c r="G148" s="523">
        <f t="shared" si="26"/>
        <v>0</v>
      </c>
      <c r="H148" s="526">
        <f t="shared" si="27"/>
        <v>0</v>
      </c>
      <c r="I148" s="577">
        <f t="shared" si="28"/>
        <v>0</v>
      </c>
      <c r="J148" s="514">
        <f t="shared" si="29"/>
        <v>0</v>
      </c>
      <c r="K148" s="514"/>
      <c r="L148" s="525"/>
      <c r="M148" s="514">
        <f t="shared" si="30"/>
        <v>0</v>
      </c>
      <c r="N148" s="525"/>
      <c r="O148" s="514">
        <f t="shared" si="31"/>
        <v>0</v>
      </c>
      <c r="P148" s="514">
        <f t="shared" si="32"/>
        <v>0</v>
      </c>
    </row>
    <row r="149" spans="2:16">
      <c r="B149" s="195" t="str">
        <f t="shared" si="20"/>
        <v/>
      </c>
      <c r="C149" s="507">
        <f>IF(D93="","-",+C148+1)</f>
        <v>2068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25"/>
        <v>0</v>
      </c>
      <c r="G149" s="523">
        <f t="shared" si="26"/>
        <v>0</v>
      </c>
      <c r="H149" s="526">
        <f t="shared" si="27"/>
        <v>0</v>
      </c>
      <c r="I149" s="577">
        <f t="shared" si="28"/>
        <v>0</v>
      </c>
      <c r="J149" s="514">
        <f t="shared" si="29"/>
        <v>0</v>
      </c>
      <c r="K149" s="514"/>
      <c r="L149" s="525"/>
      <c r="M149" s="514">
        <f t="shared" si="30"/>
        <v>0</v>
      </c>
      <c r="N149" s="525"/>
      <c r="O149" s="514">
        <f t="shared" si="31"/>
        <v>0</v>
      </c>
      <c r="P149" s="514">
        <f t="shared" si="32"/>
        <v>0</v>
      </c>
    </row>
    <row r="150" spans="2:16">
      <c r="B150" s="195" t="str">
        <f t="shared" si="20"/>
        <v/>
      </c>
      <c r="C150" s="507">
        <f>IF(D93="","-",+C149+1)</f>
        <v>2069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25"/>
        <v>0</v>
      </c>
      <c r="G150" s="523">
        <f t="shared" si="26"/>
        <v>0</v>
      </c>
      <c r="H150" s="526">
        <f t="shared" si="27"/>
        <v>0</v>
      </c>
      <c r="I150" s="577">
        <f t="shared" si="28"/>
        <v>0</v>
      </c>
      <c r="J150" s="514">
        <f t="shared" si="29"/>
        <v>0</v>
      </c>
      <c r="K150" s="514"/>
      <c r="L150" s="525"/>
      <c r="M150" s="514">
        <f t="shared" si="30"/>
        <v>0</v>
      </c>
      <c r="N150" s="525"/>
      <c r="O150" s="514">
        <f t="shared" si="31"/>
        <v>0</v>
      </c>
      <c r="P150" s="514">
        <f t="shared" si="32"/>
        <v>0</v>
      </c>
    </row>
    <row r="151" spans="2:16">
      <c r="B151" s="195" t="str">
        <f t="shared" si="20"/>
        <v/>
      </c>
      <c r="C151" s="507">
        <f>IF(D93="","-",+C150+1)</f>
        <v>2070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25"/>
        <v>0</v>
      </c>
      <c r="G151" s="523">
        <f t="shared" si="26"/>
        <v>0</v>
      </c>
      <c r="H151" s="526">
        <f t="shared" si="27"/>
        <v>0</v>
      </c>
      <c r="I151" s="577">
        <f t="shared" si="28"/>
        <v>0</v>
      </c>
      <c r="J151" s="514">
        <f t="shared" si="29"/>
        <v>0</v>
      </c>
      <c r="K151" s="514"/>
      <c r="L151" s="525"/>
      <c r="M151" s="514">
        <f t="shared" si="30"/>
        <v>0</v>
      </c>
      <c r="N151" s="525"/>
      <c r="O151" s="514">
        <f t="shared" si="31"/>
        <v>0</v>
      </c>
      <c r="P151" s="514">
        <f t="shared" si="32"/>
        <v>0</v>
      </c>
    </row>
    <row r="152" spans="2:16">
      <c r="B152" s="195" t="str">
        <f t="shared" si="20"/>
        <v/>
      </c>
      <c r="C152" s="507">
        <f>IF(D93="","-",+C151+1)</f>
        <v>2071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25"/>
        <v>0</v>
      </c>
      <c r="G152" s="523">
        <f t="shared" si="26"/>
        <v>0</v>
      </c>
      <c r="H152" s="526">
        <f t="shared" si="27"/>
        <v>0</v>
      </c>
      <c r="I152" s="577">
        <f t="shared" si="28"/>
        <v>0</v>
      </c>
      <c r="J152" s="514">
        <f t="shared" si="29"/>
        <v>0</v>
      </c>
      <c r="K152" s="514"/>
      <c r="L152" s="525"/>
      <c r="M152" s="514">
        <f t="shared" si="30"/>
        <v>0</v>
      </c>
      <c r="N152" s="525"/>
      <c r="O152" s="514">
        <f t="shared" si="31"/>
        <v>0</v>
      </c>
      <c r="P152" s="514">
        <f t="shared" si="32"/>
        <v>0</v>
      </c>
    </row>
    <row r="153" spans="2:16">
      <c r="B153" s="195" t="str">
        <f t="shared" si="20"/>
        <v/>
      </c>
      <c r="C153" s="507">
        <f>IF(D93="","-",+C152+1)</f>
        <v>2072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25"/>
        <v>0</v>
      </c>
      <c r="G153" s="523">
        <f t="shared" si="26"/>
        <v>0</v>
      </c>
      <c r="H153" s="526">
        <f t="shared" si="27"/>
        <v>0</v>
      </c>
      <c r="I153" s="577">
        <f t="shared" si="28"/>
        <v>0</v>
      </c>
      <c r="J153" s="514">
        <f t="shared" si="29"/>
        <v>0</v>
      </c>
      <c r="K153" s="514"/>
      <c r="L153" s="525"/>
      <c r="M153" s="514">
        <f t="shared" si="30"/>
        <v>0</v>
      </c>
      <c r="N153" s="525"/>
      <c r="O153" s="514">
        <f t="shared" si="31"/>
        <v>0</v>
      </c>
      <c r="P153" s="514">
        <f t="shared" si="32"/>
        <v>0</v>
      </c>
    </row>
    <row r="154" spans="2:16" ht="13.5" thickBot="1">
      <c r="B154" s="195" t="str">
        <f t="shared" si="20"/>
        <v/>
      </c>
      <c r="C154" s="527">
        <f>IF(D93="","-",+C153+1)</f>
        <v>2073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25"/>
        <v>0</v>
      </c>
      <c r="G154" s="528">
        <f t="shared" si="26"/>
        <v>0</v>
      </c>
      <c r="H154" s="530">
        <f t="shared" si="27"/>
        <v>0</v>
      </c>
      <c r="I154" s="579">
        <f t="shared" si="28"/>
        <v>0</v>
      </c>
      <c r="J154" s="533">
        <f t="shared" si="29"/>
        <v>0</v>
      </c>
      <c r="K154" s="514"/>
      <c r="L154" s="532"/>
      <c r="M154" s="533">
        <f t="shared" si="30"/>
        <v>0</v>
      </c>
      <c r="N154" s="532"/>
      <c r="O154" s="533">
        <f t="shared" si="31"/>
        <v>0</v>
      </c>
      <c r="P154" s="533">
        <f t="shared" si="32"/>
        <v>0</v>
      </c>
    </row>
    <row r="155" spans="2:16">
      <c r="C155" s="374" t="s">
        <v>78</v>
      </c>
      <c r="D155" s="375"/>
      <c r="E155" s="375">
        <f>SUM(E99:E154)</f>
        <v>11171455.999999998</v>
      </c>
      <c r="F155" s="375"/>
      <c r="G155" s="375"/>
      <c r="H155" s="375">
        <f>SUM(H99:H154)</f>
        <v>37056005.124988087</v>
      </c>
      <c r="I155" s="375">
        <f>SUM(I99:I154)</f>
        <v>37056005.124988087</v>
      </c>
      <c r="J155" s="375">
        <f>SUM(J99:J154)</f>
        <v>0</v>
      </c>
      <c r="K155" s="375"/>
      <c r="L155" s="375"/>
      <c r="M155" s="375"/>
      <c r="N155" s="375"/>
      <c r="O155" s="375"/>
      <c r="P155" s="269"/>
    </row>
    <row r="156" spans="2:16">
      <c r="C156" s="183" t="s">
        <v>92</v>
      </c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</row>
    <row r="157" spans="2:16">
      <c r="C157" s="580"/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</row>
    <row r="158" spans="2:16">
      <c r="C158" s="614" t="s">
        <v>132</v>
      </c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</row>
    <row r="159" spans="2:16">
      <c r="C159" s="467" t="s">
        <v>79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</row>
    <row r="160" spans="2:16">
      <c r="C160" s="581" t="s">
        <v>80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</row>
    <row r="161" spans="3:16">
      <c r="C161" s="581"/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</row>
    <row r="162" spans="3:16" ht="18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635" t="s">
        <v>131</v>
      </c>
    </row>
  </sheetData>
  <conditionalFormatting sqref="C17:C72">
    <cfRule type="cellIs" dxfId="17" priority="1" stopIfTrue="1" operator="equal">
      <formula>$I$10</formula>
    </cfRule>
  </conditionalFormatting>
  <conditionalFormatting sqref="C99:C154">
    <cfRule type="cellIs" dxfId="16" priority="2" stopIfTrue="1" operator="equal">
      <formula>$J$92</formula>
    </cfRule>
  </conditionalFormatting>
  <pageMargins left="0.5" right="0.25" top="1" bottom="0.25" header="0.25" footer="0.5"/>
  <pageSetup scale="47" orientation="landscape" r:id="rId1"/>
  <headerFooter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0" max="16383" man="1"/>
  </rowBreaks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dimension ref="A1:P162"/>
  <sheetViews>
    <sheetView topLeftCell="A85" zoomScale="80" zoomScaleNormal="80" workbookViewId="0">
      <selection activeCell="D99" sqref="D99:I104"/>
    </sheetView>
  </sheetViews>
  <sheetFormatPr defaultColWidth="8.7109375" defaultRowHeight="12.75" customHeight="1"/>
  <cols>
    <col min="1" max="1" width="4.7109375" style="183" customWidth="1"/>
    <col min="2" max="2" width="6.7109375" style="183" customWidth="1"/>
    <col min="3" max="3" width="23.28515625" style="183" customWidth="1"/>
    <col min="4" max="8" width="17.7109375" style="183" customWidth="1"/>
    <col min="9" max="9" width="20.42578125" style="183" customWidth="1"/>
    <col min="10" max="10" width="16.42578125" style="183" customWidth="1"/>
    <col min="11" max="11" width="17.7109375" style="183" customWidth="1"/>
    <col min="12" max="12" width="16.140625" style="183" customWidth="1"/>
    <col min="13" max="13" width="17.7109375" style="183" customWidth="1"/>
    <col min="14" max="14" width="16.7109375" style="183" customWidth="1"/>
    <col min="15" max="15" width="16.85546875" style="183" customWidth="1"/>
    <col min="16" max="16" width="24.42578125" style="183" customWidth="1"/>
    <col min="17" max="17" width="9.140625" style="183" customWidth="1"/>
    <col min="18" max="22" width="8.7109375" style="183"/>
    <col min="23" max="23" width="9.140625" style="183" customWidth="1"/>
    <col min="24" max="16384" width="8.7109375" style="183"/>
  </cols>
  <sheetData>
    <row r="1" spans="1:16" ht="20.25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69 of 75</v>
      </c>
    </row>
    <row r="2" spans="1:16" ht="18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538" t="s">
        <v>129</v>
      </c>
    </row>
    <row r="3" spans="1:16" ht="18.75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/>
      <c r="P3" s="623">
        <v>1</v>
      </c>
    </row>
    <row r="4" spans="1:16" ht="15.75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6" ht="1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1209735.6216286737</v>
      </c>
      <c r="P5" s="269"/>
    </row>
    <row r="6" spans="1:16" ht="15.7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1209735.6216286737</v>
      </c>
      <c r="O6" s="269"/>
      <c r="P6" s="269"/>
    </row>
    <row r="7" spans="1:16" ht="13.5" thickBot="1">
      <c r="C7" s="467" t="s">
        <v>48</v>
      </c>
      <c r="D7" s="624" t="s">
        <v>423</v>
      </c>
      <c r="E7" s="269"/>
      <c r="F7" s="269"/>
      <c r="G7" s="269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6" ht="13.5" thickBot="1">
      <c r="C8" s="472"/>
      <c r="D8" s="625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6" ht="13.5" thickBot="1">
      <c r="C9" s="476" t="s">
        <v>50</v>
      </c>
      <c r="D9" s="477" t="s">
        <v>411</v>
      </c>
      <c r="E9" s="637" t="s">
        <v>422</v>
      </c>
      <c r="F9" s="478"/>
      <c r="G9" s="478"/>
      <c r="H9" s="478"/>
      <c r="I9" s="479"/>
      <c r="J9" s="480"/>
      <c r="O9" s="481"/>
      <c r="P9" s="272"/>
    </row>
    <row r="10" spans="1:16">
      <c r="C10" s="482" t="s">
        <v>51</v>
      </c>
      <c r="D10" s="483">
        <v>9930039.3200000003</v>
      </c>
      <c r="E10" s="353" t="s">
        <v>52</v>
      </c>
      <c r="F10" s="481"/>
      <c r="G10" s="484"/>
      <c r="H10" s="484"/>
      <c r="I10" s="485">
        <f>+'SWE.WS.F.BPU.ATRR.Projected'!L19</f>
        <v>2024</v>
      </c>
      <c r="J10" s="480"/>
      <c r="K10" s="375" t="s">
        <v>53</v>
      </c>
      <c r="O10" s="272"/>
      <c r="P10" s="272"/>
    </row>
    <row r="11" spans="1:16">
      <c r="C11" s="486" t="s">
        <v>54</v>
      </c>
      <c r="D11" s="487">
        <v>2017</v>
      </c>
      <c r="E11" s="486" t="s">
        <v>55</v>
      </c>
      <c r="F11" s="484"/>
      <c r="G11" s="233"/>
      <c r="H11" s="233"/>
      <c r="I11" s="488">
        <f>IF(G5="",0,'SWE.WS.F.BPU.ATRR.Projected'!F$13)</f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6">
      <c r="C12" s="486" t="s">
        <v>56</v>
      </c>
      <c r="D12" s="483">
        <v>4</v>
      </c>
      <c r="E12" s="486" t="s">
        <v>57</v>
      </c>
      <c r="F12" s="484"/>
      <c r="G12" s="233"/>
      <c r="H12" s="233"/>
      <c r="I12" s="490">
        <f>'SWE.WS.F.BPU.ATRR.Projected'!$F$81</f>
        <v>0.11952713165403545</v>
      </c>
      <c r="J12" s="425"/>
      <c r="K12" s="183" t="s">
        <v>58</v>
      </c>
      <c r="O12" s="272"/>
      <c r="P12" s="272"/>
    </row>
    <row r="13" spans="1:16">
      <c r="C13" s="486" t="s">
        <v>59</v>
      </c>
      <c r="D13" s="488">
        <f>+'SWE.WS.F.BPU.ATRR.Projected'!F$93</f>
        <v>44</v>
      </c>
      <c r="E13" s="486" t="s">
        <v>60</v>
      </c>
      <c r="F13" s="484"/>
      <c r="G13" s="233"/>
      <c r="H13" s="233"/>
      <c r="I13" s="490">
        <f>IF(G5="",I12,'SWE.WS.F.BPU.ATRR.Projected'!$F$80)</f>
        <v>0.11952713165403545</v>
      </c>
      <c r="J13" s="425"/>
      <c r="K13" s="375" t="s">
        <v>61</v>
      </c>
      <c r="L13" s="324"/>
      <c r="M13" s="324"/>
      <c r="N13" s="324"/>
      <c r="O13" s="272"/>
      <c r="P13" s="272"/>
    </row>
    <row r="14" spans="1:16" ht="13.5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225682.71181818182</v>
      </c>
      <c r="J14" s="375"/>
      <c r="K14" s="375"/>
      <c r="L14" s="375"/>
      <c r="M14" s="375"/>
      <c r="N14" s="375"/>
      <c r="O14" s="272"/>
      <c r="P14" s="272"/>
    </row>
    <row r="15" spans="1:16" ht="38.25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388</v>
      </c>
      <c r="H15" s="495" t="s">
        <v>389</v>
      </c>
      <c r="I15" s="492" t="s">
        <v>68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6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600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>
      <c r="C17" s="507">
        <f>IF(D11= "","-",D11)</f>
        <v>2017</v>
      </c>
      <c r="D17" s="631">
        <v>0</v>
      </c>
      <c r="E17" s="630">
        <v>167414.63414634147</v>
      </c>
      <c r="F17" s="631">
        <v>8984585.3658536579</v>
      </c>
      <c r="G17" s="630">
        <v>738358.52480493963</v>
      </c>
      <c r="H17" s="639">
        <v>738358.52480493963</v>
      </c>
      <c r="I17" s="511">
        <f t="shared" ref="I17:I72" si="0">H17-G17</f>
        <v>0</v>
      </c>
      <c r="J17" s="511"/>
      <c r="K17" s="512">
        <f t="shared" ref="K17:K22" si="1">+G17</f>
        <v>738358.52480493963</v>
      </c>
      <c r="L17" s="513">
        <f t="shared" ref="L17:L72" si="2">IF(K17&lt;&gt;0,+G17-K17,0)</f>
        <v>0</v>
      </c>
      <c r="M17" s="512">
        <f t="shared" ref="M17:M22" si="3">+H17</f>
        <v>738358.52480493963</v>
      </c>
      <c r="N17" s="513">
        <f t="shared" ref="N17:N72" si="4">IF(M17&lt;&gt;0,+H17-M17,0)</f>
        <v>0</v>
      </c>
      <c r="O17" s="514">
        <f t="shared" ref="O17:O72" si="5">+N17-L17</f>
        <v>0</v>
      </c>
      <c r="P17" s="272"/>
    </row>
    <row r="18" spans="2:16">
      <c r="B18" s="195" t="str">
        <f>IF(D18=F17,"","IU")</f>
        <v/>
      </c>
      <c r="C18" s="507">
        <f>IF(D11="","-",+C17+1)</f>
        <v>2018</v>
      </c>
      <c r="D18" s="631">
        <v>8984585.3658536579</v>
      </c>
      <c r="E18" s="630">
        <v>223219.51219512196</v>
      </c>
      <c r="F18" s="631">
        <v>8761365.8536585364</v>
      </c>
      <c r="G18" s="630">
        <v>1350922.3521294959</v>
      </c>
      <c r="H18" s="639">
        <v>1350922.3521294959</v>
      </c>
      <c r="I18" s="511">
        <f t="shared" si="0"/>
        <v>0</v>
      </c>
      <c r="J18" s="511"/>
      <c r="K18" s="518">
        <f t="shared" si="1"/>
        <v>1350922.3521294959</v>
      </c>
      <c r="L18" s="519">
        <f t="shared" si="2"/>
        <v>0</v>
      </c>
      <c r="M18" s="518">
        <f t="shared" si="3"/>
        <v>1350922.3521294959</v>
      </c>
      <c r="N18" s="514">
        <f t="shared" si="4"/>
        <v>0</v>
      </c>
      <c r="O18" s="514">
        <f t="shared" si="5"/>
        <v>0</v>
      </c>
      <c r="P18" s="272"/>
    </row>
    <row r="19" spans="2:16">
      <c r="B19" s="195" t="str">
        <f>IF(D19=F18,"","IU")</f>
        <v>IU</v>
      </c>
      <c r="C19" s="507">
        <f>IF(D11="","-",+C18+1)</f>
        <v>2019</v>
      </c>
      <c r="D19" s="631">
        <v>9539404.8536585364</v>
      </c>
      <c r="E19" s="630">
        <v>242196.07317073172</v>
      </c>
      <c r="F19" s="631">
        <v>9297208.7804878056</v>
      </c>
      <c r="G19" s="630">
        <v>1206022.789326702</v>
      </c>
      <c r="H19" s="639">
        <v>1206022.789326702</v>
      </c>
      <c r="I19" s="511">
        <f t="shared" si="0"/>
        <v>0</v>
      </c>
      <c r="J19" s="511"/>
      <c r="K19" s="518">
        <f t="shared" si="1"/>
        <v>1206022.789326702</v>
      </c>
      <c r="L19" s="519">
        <f t="shared" ref="L19" si="6">IF(K19&lt;&gt;0,+G19-K19,0)</f>
        <v>0</v>
      </c>
      <c r="M19" s="518">
        <f t="shared" si="3"/>
        <v>1206022.789326702</v>
      </c>
      <c r="N19" s="514">
        <f t="shared" si="4"/>
        <v>0</v>
      </c>
      <c r="O19" s="514">
        <f t="shared" si="5"/>
        <v>0</v>
      </c>
      <c r="P19" s="272"/>
    </row>
    <row r="20" spans="2:16">
      <c r="B20" s="195" t="str">
        <f t="shared" ref="B20:B72" si="7">IF(D20=F19,"","IU")</f>
        <v>IU</v>
      </c>
      <c r="C20" s="507">
        <f>IF(D11="","-",+C19+1)</f>
        <v>2020</v>
      </c>
      <c r="D20" s="631">
        <v>9539404.8536585364</v>
      </c>
      <c r="E20" s="630">
        <v>242196.07317073172</v>
      </c>
      <c r="F20" s="631">
        <v>9297208.7804878056</v>
      </c>
      <c r="G20" s="630">
        <v>1206022.789326702</v>
      </c>
      <c r="H20" s="639">
        <v>1206022.789326702</v>
      </c>
      <c r="I20" s="511">
        <f t="shared" si="0"/>
        <v>0</v>
      </c>
      <c r="J20" s="511"/>
      <c r="K20" s="518">
        <f t="shared" si="1"/>
        <v>1206022.789326702</v>
      </c>
      <c r="L20" s="519">
        <f t="shared" ref="L20" si="8">IF(K20&lt;&gt;0,+G20-K20,0)</f>
        <v>0</v>
      </c>
      <c r="M20" s="518">
        <f t="shared" si="3"/>
        <v>1206022.789326702</v>
      </c>
      <c r="N20" s="514">
        <f t="shared" si="4"/>
        <v>0</v>
      </c>
      <c r="O20" s="514">
        <f t="shared" si="5"/>
        <v>0</v>
      </c>
      <c r="P20" s="272"/>
    </row>
    <row r="21" spans="2:16">
      <c r="B21" s="195" t="str">
        <f t="shared" si="7"/>
        <v>IU</v>
      </c>
      <c r="C21" s="507">
        <f>IF(D11="","-",+C20+1)</f>
        <v>2021</v>
      </c>
      <c r="D21" s="631">
        <v>9084371.5711854789</v>
      </c>
      <c r="E21" s="630">
        <v>236429.5</v>
      </c>
      <c r="F21" s="631">
        <v>8847942.0711854789</v>
      </c>
      <c r="G21" s="630">
        <v>1186882.8746105693</v>
      </c>
      <c r="H21" s="639">
        <v>1186882.8746105693</v>
      </c>
      <c r="I21" s="511">
        <f t="shared" si="0"/>
        <v>0</v>
      </c>
      <c r="J21" s="511"/>
      <c r="K21" s="518">
        <f t="shared" si="1"/>
        <v>1186882.8746105693</v>
      </c>
      <c r="L21" s="519">
        <f t="shared" ref="L21" si="9">IF(K21&lt;&gt;0,+G21-K21,0)</f>
        <v>0</v>
      </c>
      <c r="M21" s="518">
        <f t="shared" si="3"/>
        <v>1186882.8746105693</v>
      </c>
      <c r="N21" s="514">
        <f t="shared" si="4"/>
        <v>0</v>
      </c>
      <c r="O21" s="514">
        <f t="shared" si="5"/>
        <v>0</v>
      </c>
      <c r="P21" s="272"/>
    </row>
    <row r="22" spans="2:16">
      <c r="B22" s="195" t="str">
        <f t="shared" si="7"/>
        <v>IU</v>
      </c>
      <c r="C22" s="507">
        <f>IF(D11="","-",+C21+1)</f>
        <v>2022</v>
      </c>
      <c r="D22" s="631">
        <v>8818583.2073170729</v>
      </c>
      <c r="E22" s="630">
        <v>236429.5</v>
      </c>
      <c r="F22" s="631">
        <v>8582153.7073170729</v>
      </c>
      <c r="G22" s="630">
        <v>1214734.5737329707</v>
      </c>
      <c r="H22" s="639">
        <v>1214734.5737329707</v>
      </c>
      <c r="I22" s="511">
        <f t="shared" si="0"/>
        <v>0</v>
      </c>
      <c r="J22" s="511"/>
      <c r="K22" s="518">
        <f t="shared" si="1"/>
        <v>1214734.5737329707</v>
      </c>
      <c r="L22" s="519">
        <f t="shared" ref="L22" si="10">IF(K22&lt;&gt;0,+G22-K22,0)</f>
        <v>0</v>
      </c>
      <c r="M22" s="518">
        <f t="shared" si="3"/>
        <v>1214734.5737329707</v>
      </c>
      <c r="N22" s="514">
        <f t="shared" si="4"/>
        <v>0</v>
      </c>
      <c r="O22" s="514">
        <f t="shared" si="5"/>
        <v>0</v>
      </c>
      <c r="P22" s="272"/>
    </row>
    <row r="23" spans="2:16">
      <c r="B23" s="195" t="str">
        <f t="shared" si="7"/>
        <v>IU</v>
      </c>
      <c r="C23" s="507">
        <f>IF(D11="","-",+C22+1)</f>
        <v>2023</v>
      </c>
      <c r="D23" s="631">
        <v>8582154.0273170732</v>
      </c>
      <c r="E23" s="630">
        <v>236429.50761904762</v>
      </c>
      <c r="F23" s="631">
        <v>8345724.5196980257</v>
      </c>
      <c r="G23" s="630">
        <v>1305651.7696958741</v>
      </c>
      <c r="H23" s="639">
        <v>1305651.7696958741</v>
      </c>
      <c r="I23" s="511">
        <f t="shared" si="0"/>
        <v>0</v>
      </c>
      <c r="J23" s="511"/>
      <c r="K23" s="518">
        <f t="shared" ref="K23" si="11">+G23</f>
        <v>1305651.7696958741</v>
      </c>
      <c r="L23" s="519">
        <f t="shared" ref="L23" si="12">IF(K23&lt;&gt;0,+G23-K23,0)</f>
        <v>0</v>
      </c>
      <c r="M23" s="518">
        <f t="shared" ref="M23" si="13">+H23</f>
        <v>1305651.7696958741</v>
      </c>
      <c r="N23" s="514">
        <f t="shared" ref="N23" si="14">IF(M23&lt;&gt;0,+H23-M23,0)</f>
        <v>0</v>
      </c>
      <c r="O23" s="514">
        <f t="shared" ref="O23" si="15">+N23-L23</f>
        <v>0</v>
      </c>
      <c r="P23" s="272"/>
    </row>
    <row r="24" spans="2:16">
      <c r="B24" s="195" t="str">
        <f t="shared" si="7"/>
        <v/>
      </c>
      <c r="C24" s="673">
        <f>IF(D11="","-",+C23+1)</f>
        <v>2024</v>
      </c>
      <c r="D24" s="523">
        <f>IF(F23+SUM(E$17:E23)=D$10,F23,D$10-SUM(E$17:E23))</f>
        <v>8345724.5196980257</v>
      </c>
      <c r="E24" s="522">
        <f>IF(+I14&lt;F23,I14,D24)</f>
        <v>225682.71181818182</v>
      </c>
      <c r="F24" s="523">
        <f t="shared" ref="F24:F72" si="16">+D24-E24</f>
        <v>8120041.8078798437</v>
      </c>
      <c r="G24" s="524">
        <f t="shared" ref="G24:G72" si="17">+I$12*((D24+F24)/2)+E24</f>
        <v>1209735.6216286737</v>
      </c>
      <c r="H24" s="491">
        <f t="shared" ref="H24:H72" si="18">+I$13*((D24+F24)/2)+E24</f>
        <v>1209735.6216286737</v>
      </c>
      <c r="I24" s="511">
        <f t="shared" si="0"/>
        <v>0</v>
      </c>
      <c r="J24" s="511"/>
      <c r="K24" s="525"/>
      <c r="L24" s="514">
        <f t="shared" si="2"/>
        <v>0</v>
      </c>
      <c r="M24" s="525"/>
      <c r="N24" s="514">
        <f t="shared" si="4"/>
        <v>0</v>
      </c>
      <c r="O24" s="514">
        <f t="shared" si="5"/>
        <v>0</v>
      </c>
      <c r="P24" s="272"/>
    </row>
    <row r="25" spans="2:16">
      <c r="B25" s="195" t="str">
        <f t="shared" si="7"/>
        <v/>
      </c>
      <c r="C25" s="507">
        <f>IF(D11="","-",+C24+1)</f>
        <v>2025</v>
      </c>
      <c r="D25" s="523">
        <f>IF(F24+SUM(E$17:E24)=D$10,F24,D$10-SUM(E$17:E24))</f>
        <v>8120041.8078798437</v>
      </c>
      <c r="E25" s="522">
        <f>IF(+I14&lt;F24,I14,D25)</f>
        <v>225682.71181818182</v>
      </c>
      <c r="F25" s="523">
        <f t="shared" si="16"/>
        <v>7894359.0960616618</v>
      </c>
      <c r="G25" s="524">
        <f t="shared" si="17"/>
        <v>1182760.4144211421</v>
      </c>
      <c r="H25" s="491">
        <f t="shared" si="18"/>
        <v>1182760.4144211421</v>
      </c>
      <c r="I25" s="511">
        <f t="shared" si="0"/>
        <v>0</v>
      </c>
      <c r="J25" s="511"/>
      <c r="K25" s="525"/>
      <c r="L25" s="514">
        <f t="shared" si="2"/>
        <v>0</v>
      </c>
      <c r="M25" s="525"/>
      <c r="N25" s="514">
        <f t="shared" si="4"/>
        <v>0</v>
      </c>
      <c r="O25" s="514">
        <f t="shared" si="5"/>
        <v>0</v>
      </c>
      <c r="P25" s="272"/>
    </row>
    <row r="26" spans="2:16">
      <c r="B26" s="195" t="str">
        <f t="shared" si="7"/>
        <v/>
      </c>
      <c r="C26" s="507">
        <f>IF(D11="","-",+C25+1)</f>
        <v>2026</v>
      </c>
      <c r="D26" s="523">
        <f>IF(F25+SUM(E$17:E25)=D$10,F25,D$10-SUM(E$17:E25))</f>
        <v>7894359.0960616618</v>
      </c>
      <c r="E26" s="522">
        <f>IF(+I14&lt;F25,I14,D26)</f>
        <v>225682.71181818182</v>
      </c>
      <c r="F26" s="523">
        <f t="shared" si="16"/>
        <v>7668676.3842434799</v>
      </c>
      <c r="G26" s="524">
        <f t="shared" si="17"/>
        <v>1155785.2072136106</v>
      </c>
      <c r="H26" s="491">
        <f t="shared" si="18"/>
        <v>1155785.2072136106</v>
      </c>
      <c r="I26" s="511">
        <f t="shared" si="0"/>
        <v>0</v>
      </c>
      <c r="J26" s="511"/>
      <c r="K26" s="525"/>
      <c r="L26" s="514">
        <f t="shared" si="2"/>
        <v>0</v>
      </c>
      <c r="M26" s="525"/>
      <c r="N26" s="514">
        <f t="shared" si="4"/>
        <v>0</v>
      </c>
      <c r="O26" s="514">
        <f t="shared" si="5"/>
        <v>0</v>
      </c>
      <c r="P26" s="272"/>
    </row>
    <row r="27" spans="2:16">
      <c r="B27" s="195" t="str">
        <f t="shared" si="7"/>
        <v/>
      </c>
      <c r="C27" s="507">
        <f>IF(D11="","-",+C26+1)</f>
        <v>2027</v>
      </c>
      <c r="D27" s="523">
        <f>IF(F26+SUM(E$17:E26)=D$10,F26,D$10-SUM(E$17:E26))</f>
        <v>7668676.3842434799</v>
      </c>
      <c r="E27" s="522">
        <f>IF(+I14&lt;F26,I14,D27)</f>
        <v>225682.71181818182</v>
      </c>
      <c r="F27" s="523">
        <f t="shared" si="16"/>
        <v>7442993.672425298</v>
      </c>
      <c r="G27" s="524">
        <f t="shared" si="17"/>
        <v>1128810.000006079</v>
      </c>
      <c r="H27" s="491">
        <f t="shared" si="18"/>
        <v>1128810.000006079</v>
      </c>
      <c r="I27" s="511">
        <f t="shared" si="0"/>
        <v>0</v>
      </c>
      <c r="J27" s="511"/>
      <c r="K27" s="525"/>
      <c r="L27" s="514">
        <f t="shared" si="2"/>
        <v>0</v>
      </c>
      <c r="M27" s="525"/>
      <c r="N27" s="514">
        <f t="shared" si="4"/>
        <v>0</v>
      </c>
      <c r="O27" s="514">
        <f t="shared" si="5"/>
        <v>0</v>
      </c>
      <c r="P27" s="272"/>
    </row>
    <row r="28" spans="2:16">
      <c r="B28" s="195" t="str">
        <f t="shared" si="7"/>
        <v/>
      </c>
      <c r="C28" s="507">
        <f>IF(D11="","-",+C27+1)</f>
        <v>2028</v>
      </c>
      <c r="D28" s="523">
        <f>IF(F27+SUM(E$17:E27)=D$10,F27,D$10-SUM(E$17:E27))</f>
        <v>7442993.672425298</v>
      </c>
      <c r="E28" s="522">
        <f>IF(+I14&lt;F27,I14,D28)</f>
        <v>225682.71181818182</v>
      </c>
      <c r="F28" s="523">
        <f t="shared" si="16"/>
        <v>7217310.9606071161</v>
      </c>
      <c r="G28" s="524">
        <f t="shared" si="17"/>
        <v>1101834.7927985475</v>
      </c>
      <c r="H28" s="491">
        <f t="shared" si="18"/>
        <v>1101834.7927985475</v>
      </c>
      <c r="I28" s="511">
        <f t="shared" si="0"/>
        <v>0</v>
      </c>
      <c r="J28" s="511"/>
      <c r="K28" s="525"/>
      <c r="L28" s="514">
        <f t="shared" si="2"/>
        <v>0</v>
      </c>
      <c r="M28" s="525"/>
      <c r="N28" s="514">
        <f t="shared" si="4"/>
        <v>0</v>
      </c>
      <c r="O28" s="514">
        <f t="shared" si="5"/>
        <v>0</v>
      </c>
      <c r="P28" s="272"/>
    </row>
    <row r="29" spans="2:16">
      <c r="B29" s="195" t="str">
        <f t="shared" si="7"/>
        <v/>
      </c>
      <c r="C29" s="507">
        <f>IF(D11="","-",+C28+1)</f>
        <v>2029</v>
      </c>
      <c r="D29" s="523">
        <f>IF(F28+SUM(E$17:E28)=D$10,F28,D$10-SUM(E$17:E28))</f>
        <v>7217310.9606071161</v>
      </c>
      <c r="E29" s="522">
        <f>IF(+I14&lt;F28,I14,D29)</f>
        <v>225682.71181818182</v>
      </c>
      <c r="F29" s="523">
        <f t="shared" si="16"/>
        <v>6991628.2487889342</v>
      </c>
      <c r="G29" s="524">
        <f t="shared" si="17"/>
        <v>1074859.5855910159</v>
      </c>
      <c r="H29" s="491">
        <f t="shared" si="18"/>
        <v>1074859.5855910159</v>
      </c>
      <c r="I29" s="511">
        <f t="shared" si="0"/>
        <v>0</v>
      </c>
      <c r="J29" s="511"/>
      <c r="K29" s="525"/>
      <c r="L29" s="514">
        <f t="shared" si="2"/>
        <v>0</v>
      </c>
      <c r="M29" s="525"/>
      <c r="N29" s="514">
        <f t="shared" si="4"/>
        <v>0</v>
      </c>
      <c r="O29" s="514">
        <f t="shared" si="5"/>
        <v>0</v>
      </c>
      <c r="P29" s="272"/>
    </row>
    <row r="30" spans="2:16">
      <c r="B30" s="195" t="str">
        <f t="shared" si="7"/>
        <v/>
      </c>
      <c r="C30" s="507">
        <f>IF(D11="","-",+C29+1)</f>
        <v>2030</v>
      </c>
      <c r="D30" s="523">
        <f>IF(F29+SUM(E$17:E29)=D$10,F29,D$10-SUM(E$17:E29))</f>
        <v>6991628.2487889342</v>
      </c>
      <c r="E30" s="522">
        <f>IF(+I14&lt;F29,I14,D30)</f>
        <v>225682.71181818182</v>
      </c>
      <c r="F30" s="523">
        <f t="shared" si="16"/>
        <v>6765945.5369707523</v>
      </c>
      <c r="G30" s="524">
        <f t="shared" si="17"/>
        <v>1047884.3783834843</v>
      </c>
      <c r="H30" s="491">
        <f t="shared" si="18"/>
        <v>1047884.3783834843</v>
      </c>
      <c r="I30" s="511">
        <f t="shared" si="0"/>
        <v>0</v>
      </c>
      <c r="J30" s="511"/>
      <c r="K30" s="525"/>
      <c r="L30" s="514">
        <f t="shared" si="2"/>
        <v>0</v>
      </c>
      <c r="M30" s="525"/>
      <c r="N30" s="514">
        <f t="shared" si="4"/>
        <v>0</v>
      </c>
      <c r="O30" s="514">
        <f t="shared" si="5"/>
        <v>0</v>
      </c>
      <c r="P30" s="272"/>
    </row>
    <row r="31" spans="2:16">
      <c r="B31" s="195" t="str">
        <f t="shared" si="7"/>
        <v/>
      </c>
      <c r="C31" s="507">
        <f>IF(D11="","-",+C30+1)</f>
        <v>2031</v>
      </c>
      <c r="D31" s="523">
        <f>IF(F30+SUM(E$17:E30)=D$10,F30,D$10-SUM(E$17:E30))</f>
        <v>6765945.5369707523</v>
      </c>
      <c r="E31" s="522">
        <f>IF(+I14&lt;F30,I14,D31)</f>
        <v>225682.71181818182</v>
      </c>
      <c r="F31" s="523">
        <f t="shared" si="16"/>
        <v>6540262.8251525704</v>
      </c>
      <c r="G31" s="524">
        <f t="shared" si="17"/>
        <v>1020909.1711759527</v>
      </c>
      <c r="H31" s="491">
        <f t="shared" si="18"/>
        <v>1020909.1711759527</v>
      </c>
      <c r="I31" s="511">
        <f t="shared" si="0"/>
        <v>0</v>
      </c>
      <c r="J31" s="511"/>
      <c r="K31" s="525"/>
      <c r="L31" s="514">
        <f t="shared" si="2"/>
        <v>0</v>
      </c>
      <c r="M31" s="525"/>
      <c r="N31" s="514">
        <f t="shared" si="4"/>
        <v>0</v>
      </c>
      <c r="O31" s="514">
        <f t="shared" si="5"/>
        <v>0</v>
      </c>
      <c r="P31" s="272"/>
    </row>
    <row r="32" spans="2:16">
      <c r="B32" s="195" t="str">
        <f t="shared" si="7"/>
        <v/>
      </c>
      <c r="C32" s="507">
        <f>IF(D11="","-",+C31+1)</f>
        <v>2032</v>
      </c>
      <c r="D32" s="523">
        <f>IF(F31+SUM(E$17:E31)=D$10,F31,D$10-SUM(E$17:E31))</f>
        <v>6540262.8251525704</v>
      </c>
      <c r="E32" s="522">
        <f>IF(+I14&lt;F31,I14,D32)</f>
        <v>225682.71181818182</v>
      </c>
      <c r="F32" s="523">
        <f t="shared" si="16"/>
        <v>6314580.1133343885</v>
      </c>
      <c r="G32" s="524">
        <f t="shared" si="17"/>
        <v>993933.9639684211</v>
      </c>
      <c r="H32" s="491">
        <f t="shared" si="18"/>
        <v>993933.9639684211</v>
      </c>
      <c r="I32" s="511">
        <f t="shared" si="0"/>
        <v>0</v>
      </c>
      <c r="J32" s="511"/>
      <c r="K32" s="525"/>
      <c r="L32" s="514">
        <f t="shared" si="2"/>
        <v>0</v>
      </c>
      <c r="M32" s="525"/>
      <c r="N32" s="514">
        <f t="shared" si="4"/>
        <v>0</v>
      </c>
      <c r="O32" s="514">
        <f t="shared" si="5"/>
        <v>0</v>
      </c>
      <c r="P32" s="272"/>
    </row>
    <row r="33" spans="2:16">
      <c r="B33" s="195" t="str">
        <f t="shared" si="7"/>
        <v/>
      </c>
      <c r="C33" s="507">
        <f>IF(D11="","-",+C32+1)</f>
        <v>2033</v>
      </c>
      <c r="D33" s="523">
        <f>IF(F32+SUM(E$17:E32)=D$10,F32,D$10-SUM(E$17:E32))</f>
        <v>6314580.1133343885</v>
      </c>
      <c r="E33" s="522">
        <f>IF(+I14&lt;F32,I14,D33)</f>
        <v>225682.71181818182</v>
      </c>
      <c r="F33" s="523">
        <f t="shared" si="16"/>
        <v>6088897.4015162066</v>
      </c>
      <c r="G33" s="524">
        <f t="shared" si="17"/>
        <v>966958.75676088943</v>
      </c>
      <c r="H33" s="491">
        <f t="shared" si="18"/>
        <v>966958.75676088943</v>
      </c>
      <c r="I33" s="511">
        <f t="shared" si="0"/>
        <v>0</v>
      </c>
      <c r="J33" s="511"/>
      <c r="K33" s="525"/>
      <c r="L33" s="514">
        <f t="shared" si="2"/>
        <v>0</v>
      </c>
      <c r="M33" s="525"/>
      <c r="N33" s="514">
        <f t="shared" si="4"/>
        <v>0</v>
      </c>
      <c r="O33" s="514">
        <f t="shared" si="5"/>
        <v>0</v>
      </c>
      <c r="P33" s="272"/>
    </row>
    <row r="34" spans="2:16">
      <c r="B34" s="195" t="str">
        <f t="shared" si="7"/>
        <v/>
      </c>
      <c r="C34" s="507">
        <f>IF(D11="","-",+C33+1)</f>
        <v>2034</v>
      </c>
      <c r="D34" s="523">
        <f>IF(F33+SUM(E$17:E33)=D$10,F33,D$10-SUM(E$17:E33))</f>
        <v>6088897.4015162066</v>
      </c>
      <c r="E34" s="522">
        <f>IF(+I14&lt;F33,I14,D34)</f>
        <v>225682.71181818182</v>
      </c>
      <c r="F34" s="523">
        <f t="shared" si="16"/>
        <v>5863214.6896980247</v>
      </c>
      <c r="G34" s="524">
        <f t="shared" si="17"/>
        <v>939983.549553358</v>
      </c>
      <c r="H34" s="491">
        <f t="shared" si="18"/>
        <v>939983.549553358</v>
      </c>
      <c r="I34" s="511">
        <f t="shared" si="0"/>
        <v>0</v>
      </c>
      <c r="J34" s="511"/>
      <c r="K34" s="525"/>
      <c r="L34" s="514">
        <f t="shared" si="2"/>
        <v>0</v>
      </c>
      <c r="M34" s="525"/>
      <c r="N34" s="514">
        <f t="shared" si="4"/>
        <v>0</v>
      </c>
      <c r="O34" s="514">
        <f t="shared" si="5"/>
        <v>0</v>
      </c>
      <c r="P34" s="272"/>
    </row>
    <row r="35" spans="2:16">
      <c r="B35" s="195" t="str">
        <f t="shared" si="7"/>
        <v/>
      </c>
      <c r="C35" s="507">
        <f>IF(D11="","-",+C34+1)</f>
        <v>2035</v>
      </c>
      <c r="D35" s="523">
        <f>IF(F34+SUM(E$17:E34)=D$10,F34,D$10-SUM(E$17:E34))</f>
        <v>5863214.6896980247</v>
      </c>
      <c r="E35" s="522">
        <f>IF(+I14&lt;F34,I14,D35)</f>
        <v>225682.71181818182</v>
      </c>
      <c r="F35" s="523">
        <f t="shared" si="16"/>
        <v>5637531.9778798427</v>
      </c>
      <c r="G35" s="524">
        <f t="shared" si="17"/>
        <v>913008.34234582633</v>
      </c>
      <c r="H35" s="491">
        <f t="shared" si="18"/>
        <v>913008.34234582633</v>
      </c>
      <c r="I35" s="511">
        <f t="shared" si="0"/>
        <v>0</v>
      </c>
      <c r="J35" s="511"/>
      <c r="K35" s="525"/>
      <c r="L35" s="514">
        <f t="shared" si="2"/>
        <v>0</v>
      </c>
      <c r="M35" s="525"/>
      <c r="N35" s="514">
        <f t="shared" si="4"/>
        <v>0</v>
      </c>
      <c r="O35" s="514">
        <f t="shared" si="5"/>
        <v>0</v>
      </c>
      <c r="P35" s="272"/>
    </row>
    <row r="36" spans="2:16">
      <c r="B36" s="195" t="str">
        <f t="shared" si="7"/>
        <v/>
      </c>
      <c r="C36" s="507">
        <f>IF(D11="","-",+C35+1)</f>
        <v>2036</v>
      </c>
      <c r="D36" s="523">
        <f>IF(F35+SUM(E$17:E35)=D$10,F35,D$10-SUM(E$17:E35))</f>
        <v>5637531.9778798427</v>
      </c>
      <c r="E36" s="522">
        <f>IF(+I14&lt;F35,I14,D36)</f>
        <v>225682.71181818182</v>
      </c>
      <c r="F36" s="523">
        <f t="shared" si="16"/>
        <v>5411849.2660616608</v>
      </c>
      <c r="G36" s="524">
        <f t="shared" si="17"/>
        <v>886033.13513829489</v>
      </c>
      <c r="H36" s="491">
        <f t="shared" si="18"/>
        <v>886033.13513829489</v>
      </c>
      <c r="I36" s="511">
        <f t="shared" si="0"/>
        <v>0</v>
      </c>
      <c r="J36" s="511"/>
      <c r="K36" s="525"/>
      <c r="L36" s="514">
        <f t="shared" si="2"/>
        <v>0</v>
      </c>
      <c r="M36" s="525"/>
      <c r="N36" s="514">
        <f t="shared" si="4"/>
        <v>0</v>
      </c>
      <c r="O36" s="514">
        <f t="shared" si="5"/>
        <v>0</v>
      </c>
      <c r="P36" s="272"/>
    </row>
    <row r="37" spans="2:16">
      <c r="B37" s="195" t="str">
        <f t="shared" si="7"/>
        <v/>
      </c>
      <c r="C37" s="507">
        <f>IF(D11="","-",+C36+1)</f>
        <v>2037</v>
      </c>
      <c r="D37" s="523">
        <f>IF(F36+SUM(E$17:E36)=D$10,F36,D$10-SUM(E$17:E36))</f>
        <v>5411849.2660616608</v>
      </c>
      <c r="E37" s="522">
        <f>IF(+I14&lt;F36,I14,D37)</f>
        <v>225682.71181818182</v>
      </c>
      <c r="F37" s="523">
        <f t="shared" si="16"/>
        <v>5186166.5542434789</v>
      </c>
      <c r="G37" s="524">
        <f t="shared" si="17"/>
        <v>859057.92793076322</v>
      </c>
      <c r="H37" s="491">
        <f t="shared" si="18"/>
        <v>859057.92793076322</v>
      </c>
      <c r="I37" s="511">
        <f t="shared" si="0"/>
        <v>0</v>
      </c>
      <c r="J37" s="511"/>
      <c r="K37" s="525"/>
      <c r="L37" s="514">
        <f t="shared" si="2"/>
        <v>0</v>
      </c>
      <c r="M37" s="525"/>
      <c r="N37" s="514">
        <f t="shared" si="4"/>
        <v>0</v>
      </c>
      <c r="O37" s="514">
        <f t="shared" si="5"/>
        <v>0</v>
      </c>
      <c r="P37" s="272"/>
    </row>
    <row r="38" spans="2:16">
      <c r="B38" s="195" t="str">
        <f t="shared" si="7"/>
        <v/>
      </c>
      <c r="C38" s="507">
        <f>IF(D11="","-",+C37+1)</f>
        <v>2038</v>
      </c>
      <c r="D38" s="523">
        <f>IF(F37+SUM(E$17:E37)=D$10,F37,D$10-SUM(E$17:E37))</f>
        <v>5186166.5542434789</v>
      </c>
      <c r="E38" s="522">
        <f>IF(+I14&lt;F37,I14,D38)</f>
        <v>225682.71181818182</v>
      </c>
      <c r="F38" s="523">
        <f t="shared" si="16"/>
        <v>4960483.842425297</v>
      </c>
      <c r="G38" s="524">
        <f t="shared" si="17"/>
        <v>832082.72072323167</v>
      </c>
      <c r="H38" s="491">
        <f t="shared" si="18"/>
        <v>832082.72072323167</v>
      </c>
      <c r="I38" s="511">
        <f t="shared" si="0"/>
        <v>0</v>
      </c>
      <c r="J38" s="511"/>
      <c r="K38" s="525"/>
      <c r="L38" s="514">
        <f t="shared" si="2"/>
        <v>0</v>
      </c>
      <c r="M38" s="525"/>
      <c r="N38" s="514">
        <f t="shared" si="4"/>
        <v>0</v>
      </c>
      <c r="O38" s="514">
        <f t="shared" si="5"/>
        <v>0</v>
      </c>
      <c r="P38" s="272"/>
    </row>
    <row r="39" spans="2:16">
      <c r="B39" s="195" t="str">
        <f t="shared" si="7"/>
        <v/>
      </c>
      <c r="C39" s="507">
        <f>IF(D11="","-",+C38+1)</f>
        <v>2039</v>
      </c>
      <c r="D39" s="523">
        <f>IF(F38+SUM(E$17:E38)=D$10,F38,D$10-SUM(E$17:E38))</f>
        <v>4960483.842425297</v>
      </c>
      <c r="E39" s="522">
        <f>IF(+I14&lt;F38,I14,D39)</f>
        <v>225682.71181818182</v>
      </c>
      <c r="F39" s="523">
        <f t="shared" si="16"/>
        <v>4734801.1306071151</v>
      </c>
      <c r="G39" s="524">
        <f t="shared" si="17"/>
        <v>805107.5135157</v>
      </c>
      <c r="H39" s="491">
        <f t="shared" si="18"/>
        <v>805107.5135157</v>
      </c>
      <c r="I39" s="511">
        <f t="shared" si="0"/>
        <v>0</v>
      </c>
      <c r="J39" s="511"/>
      <c r="K39" s="525"/>
      <c r="L39" s="514">
        <f t="shared" si="2"/>
        <v>0</v>
      </c>
      <c r="M39" s="525"/>
      <c r="N39" s="514">
        <f t="shared" si="4"/>
        <v>0</v>
      </c>
      <c r="O39" s="514">
        <f t="shared" si="5"/>
        <v>0</v>
      </c>
      <c r="P39" s="272"/>
    </row>
    <row r="40" spans="2:16">
      <c r="B40" s="195" t="str">
        <f t="shared" si="7"/>
        <v/>
      </c>
      <c r="C40" s="507">
        <f>IF(D11="","-",+C39+1)</f>
        <v>2040</v>
      </c>
      <c r="D40" s="523">
        <f>IF(F39+SUM(E$17:E39)=D$10,F39,D$10-SUM(E$17:E39))</f>
        <v>4734801.1306071151</v>
      </c>
      <c r="E40" s="522">
        <f>IF(+I14&lt;F39,I14,D40)</f>
        <v>225682.71181818182</v>
      </c>
      <c r="F40" s="523">
        <f t="shared" si="16"/>
        <v>4509118.4187889332</v>
      </c>
      <c r="G40" s="524">
        <f t="shared" si="17"/>
        <v>778132.30630816857</v>
      </c>
      <c r="H40" s="491">
        <f t="shared" si="18"/>
        <v>778132.30630816857</v>
      </c>
      <c r="I40" s="511">
        <f t="shared" si="0"/>
        <v>0</v>
      </c>
      <c r="J40" s="511"/>
      <c r="K40" s="525"/>
      <c r="L40" s="514">
        <f t="shared" si="2"/>
        <v>0</v>
      </c>
      <c r="M40" s="525"/>
      <c r="N40" s="514">
        <f t="shared" si="4"/>
        <v>0</v>
      </c>
      <c r="O40" s="514">
        <f t="shared" si="5"/>
        <v>0</v>
      </c>
      <c r="P40" s="272"/>
    </row>
    <row r="41" spans="2:16">
      <c r="B41" s="195" t="str">
        <f t="shared" si="7"/>
        <v/>
      </c>
      <c r="C41" s="507">
        <f>IF(D11="","-",+C40+1)</f>
        <v>2041</v>
      </c>
      <c r="D41" s="523">
        <f>IF(F40+SUM(E$17:E40)=D$10,F40,D$10-SUM(E$17:E40))</f>
        <v>4509118.4187889332</v>
      </c>
      <c r="E41" s="522">
        <f>IF(+I14&lt;F40,I14,D41)</f>
        <v>225682.71181818182</v>
      </c>
      <c r="F41" s="523">
        <f t="shared" si="16"/>
        <v>4283435.7069707513</v>
      </c>
      <c r="G41" s="524">
        <f t="shared" si="17"/>
        <v>751157.0991006369</v>
      </c>
      <c r="H41" s="491">
        <f t="shared" si="18"/>
        <v>751157.0991006369</v>
      </c>
      <c r="I41" s="511">
        <f t="shared" si="0"/>
        <v>0</v>
      </c>
      <c r="J41" s="511"/>
      <c r="K41" s="525"/>
      <c r="L41" s="514">
        <f t="shared" si="2"/>
        <v>0</v>
      </c>
      <c r="M41" s="525"/>
      <c r="N41" s="514">
        <f t="shared" si="4"/>
        <v>0</v>
      </c>
      <c r="O41" s="514">
        <f t="shared" si="5"/>
        <v>0</v>
      </c>
      <c r="P41" s="272"/>
    </row>
    <row r="42" spans="2:16">
      <c r="B42" s="195" t="str">
        <f t="shared" si="7"/>
        <v/>
      </c>
      <c r="C42" s="507">
        <f>IF(D11="","-",+C41+1)</f>
        <v>2042</v>
      </c>
      <c r="D42" s="523">
        <f>IF(F41+SUM(E$17:E41)=D$10,F41,D$10-SUM(E$17:E41))</f>
        <v>4283435.7069707513</v>
      </c>
      <c r="E42" s="522">
        <f>IF(+I14&lt;F41,I14,D42)</f>
        <v>225682.71181818182</v>
      </c>
      <c r="F42" s="523">
        <f t="shared" si="16"/>
        <v>4057752.9951525694</v>
      </c>
      <c r="G42" s="524">
        <f t="shared" si="17"/>
        <v>724181.89189310546</v>
      </c>
      <c r="H42" s="491">
        <f t="shared" si="18"/>
        <v>724181.89189310546</v>
      </c>
      <c r="I42" s="511">
        <f t="shared" si="0"/>
        <v>0</v>
      </c>
      <c r="J42" s="511"/>
      <c r="K42" s="525"/>
      <c r="L42" s="514">
        <f t="shared" si="2"/>
        <v>0</v>
      </c>
      <c r="M42" s="525"/>
      <c r="N42" s="514">
        <f t="shared" si="4"/>
        <v>0</v>
      </c>
      <c r="O42" s="514">
        <f t="shared" si="5"/>
        <v>0</v>
      </c>
      <c r="P42" s="272"/>
    </row>
    <row r="43" spans="2:16">
      <c r="B43" s="195" t="str">
        <f t="shared" si="7"/>
        <v/>
      </c>
      <c r="C43" s="507">
        <f>IF(D11="","-",+C42+1)</f>
        <v>2043</v>
      </c>
      <c r="D43" s="523">
        <f>IF(F42+SUM(E$17:E42)=D$10,F42,D$10-SUM(E$17:E42))</f>
        <v>4057752.9951525694</v>
      </c>
      <c r="E43" s="522">
        <f>IF(+I14&lt;F42,I14,D43)</f>
        <v>225682.71181818182</v>
      </c>
      <c r="F43" s="523">
        <f t="shared" si="16"/>
        <v>3832070.2833343875</v>
      </c>
      <c r="G43" s="524">
        <f t="shared" si="17"/>
        <v>697206.6846855738</v>
      </c>
      <c r="H43" s="491">
        <f t="shared" si="18"/>
        <v>697206.6846855738</v>
      </c>
      <c r="I43" s="511">
        <f t="shared" si="0"/>
        <v>0</v>
      </c>
      <c r="J43" s="511"/>
      <c r="K43" s="525"/>
      <c r="L43" s="514">
        <f t="shared" si="2"/>
        <v>0</v>
      </c>
      <c r="M43" s="525"/>
      <c r="N43" s="514">
        <f t="shared" si="4"/>
        <v>0</v>
      </c>
      <c r="O43" s="514">
        <f t="shared" si="5"/>
        <v>0</v>
      </c>
      <c r="P43" s="272"/>
    </row>
    <row r="44" spans="2:16">
      <c r="B44" s="195" t="str">
        <f t="shared" si="7"/>
        <v/>
      </c>
      <c r="C44" s="507">
        <f>IF(D11="","-",+C43+1)</f>
        <v>2044</v>
      </c>
      <c r="D44" s="523">
        <f>IF(F43+SUM(E$17:E43)=D$10,F43,D$10-SUM(E$17:E43))</f>
        <v>3832070.2833343875</v>
      </c>
      <c r="E44" s="522">
        <f>IF(+I14&lt;F43,I14,D44)</f>
        <v>225682.71181818182</v>
      </c>
      <c r="F44" s="523">
        <f t="shared" si="16"/>
        <v>3606387.5715162056</v>
      </c>
      <c r="G44" s="524">
        <f t="shared" si="17"/>
        <v>670231.47747804224</v>
      </c>
      <c r="H44" s="491">
        <f t="shared" si="18"/>
        <v>670231.47747804224</v>
      </c>
      <c r="I44" s="511">
        <f t="shared" si="0"/>
        <v>0</v>
      </c>
      <c r="J44" s="511"/>
      <c r="K44" s="525"/>
      <c r="L44" s="514">
        <f t="shared" si="2"/>
        <v>0</v>
      </c>
      <c r="M44" s="525"/>
      <c r="N44" s="514">
        <f t="shared" si="4"/>
        <v>0</v>
      </c>
      <c r="O44" s="514">
        <f t="shared" si="5"/>
        <v>0</v>
      </c>
      <c r="P44" s="272"/>
    </row>
    <row r="45" spans="2:16">
      <c r="B45" s="195" t="str">
        <f t="shared" si="7"/>
        <v/>
      </c>
      <c r="C45" s="507">
        <f>IF(D11="","-",+C44+1)</f>
        <v>2045</v>
      </c>
      <c r="D45" s="523">
        <f>IF(F44+SUM(E$17:E44)=D$10,F44,D$10-SUM(E$17:E44))</f>
        <v>3606387.5715162056</v>
      </c>
      <c r="E45" s="522">
        <f>IF(+I14&lt;F44,I14,D45)</f>
        <v>225682.71181818182</v>
      </c>
      <c r="F45" s="523">
        <f t="shared" si="16"/>
        <v>3380704.8596980236</v>
      </c>
      <c r="G45" s="524">
        <f t="shared" si="17"/>
        <v>643256.27027051069</v>
      </c>
      <c r="H45" s="491">
        <f t="shared" si="18"/>
        <v>643256.27027051069</v>
      </c>
      <c r="I45" s="511">
        <f t="shared" si="0"/>
        <v>0</v>
      </c>
      <c r="J45" s="511"/>
      <c r="K45" s="525"/>
      <c r="L45" s="514">
        <f t="shared" si="2"/>
        <v>0</v>
      </c>
      <c r="M45" s="525"/>
      <c r="N45" s="514">
        <f t="shared" si="4"/>
        <v>0</v>
      </c>
      <c r="O45" s="514">
        <f t="shared" si="5"/>
        <v>0</v>
      </c>
      <c r="P45" s="272"/>
    </row>
    <row r="46" spans="2:16">
      <c r="B46" s="195" t="str">
        <f t="shared" si="7"/>
        <v/>
      </c>
      <c r="C46" s="507">
        <f>IF(D11="","-",+C45+1)</f>
        <v>2046</v>
      </c>
      <c r="D46" s="523">
        <f>IF(F45+SUM(E$17:E45)=D$10,F45,D$10-SUM(E$17:E45))</f>
        <v>3380704.8596980236</v>
      </c>
      <c r="E46" s="522">
        <f>IF(+I14&lt;F45,I14,D46)</f>
        <v>225682.71181818182</v>
      </c>
      <c r="F46" s="523">
        <f t="shared" si="16"/>
        <v>3155022.1478798417</v>
      </c>
      <c r="G46" s="524">
        <f t="shared" si="17"/>
        <v>616281.06306297914</v>
      </c>
      <c r="H46" s="491">
        <f t="shared" si="18"/>
        <v>616281.06306297914</v>
      </c>
      <c r="I46" s="511">
        <f t="shared" si="0"/>
        <v>0</v>
      </c>
      <c r="J46" s="511"/>
      <c r="K46" s="525"/>
      <c r="L46" s="514">
        <f t="shared" si="2"/>
        <v>0</v>
      </c>
      <c r="M46" s="525"/>
      <c r="N46" s="514">
        <f t="shared" si="4"/>
        <v>0</v>
      </c>
      <c r="O46" s="514">
        <f t="shared" si="5"/>
        <v>0</v>
      </c>
      <c r="P46" s="272"/>
    </row>
    <row r="47" spans="2:16">
      <c r="B47" s="195" t="str">
        <f t="shared" si="7"/>
        <v/>
      </c>
      <c r="C47" s="507">
        <f>IF(D11="","-",+C46+1)</f>
        <v>2047</v>
      </c>
      <c r="D47" s="523">
        <f>IF(F46+SUM(E$17:E46)=D$10,F46,D$10-SUM(E$17:E46))</f>
        <v>3155022.1478798417</v>
      </c>
      <c r="E47" s="522">
        <f>IF(+I14&lt;F46,I14,D47)</f>
        <v>225682.71181818182</v>
      </c>
      <c r="F47" s="523">
        <f t="shared" si="16"/>
        <v>2929339.4360616598</v>
      </c>
      <c r="G47" s="524">
        <f t="shared" si="17"/>
        <v>589305.85585544759</v>
      </c>
      <c r="H47" s="491">
        <f t="shared" si="18"/>
        <v>589305.85585544759</v>
      </c>
      <c r="I47" s="511">
        <f t="shared" si="0"/>
        <v>0</v>
      </c>
      <c r="J47" s="511"/>
      <c r="K47" s="525"/>
      <c r="L47" s="514">
        <f t="shared" si="2"/>
        <v>0</v>
      </c>
      <c r="M47" s="525"/>
      <c r="N47" s="514">
        <f t="shared" si="4"/>
        <v>0</v>
      </c>
      <c r="O47" s="514">
        <f t="shared" si="5"/>
        <v>0</v>
      </c>
      <c r="P47" s="272"/>
    </row>
    <row r="48" spans="2:16">
      <c r="B48" s="195" t="str">
        <f t="shared" si="7"/>
        <v/>
      </c>
      <c r="C48" s="507">
        <f>IF(D11="","-",+C47+1)</f>
        <v>2048</v>
      </c>
      <c r="D48" s="523">
        <f>IF(F47+SUM(E$17:E47)=D$10,F47,D$10-SUM(E$17:E47))</f>
        <v>2929339.4360616598</v>
      </c>
      <c r="E48" s="522">
        <f>IF(+I14&lt;F47,I14,D48)</f>
        <v>225682.71181818182</v>
      </c>
      <c r="F48" s="523">
        <f t="shared" si="16"/>
        <v>2703656.7242434779</v>
      </c>
      <c r="G48" s="524">
        <f t="shared" si="17"/>
        <v>562330.64864791604</v>
      </c>
      <c r="H48" s="491">
        <f t="shared" si="18"/>
        <v>562330.64864791604</v>
      </c>
      <c r="I48" s="511">
        <f t="shared" si="0"/>
        <v>0</v>
      </c>
      <c r="J48" s="511"/>
      <c r="K48" s="525"/>
      <c r="L48" s="514">
        <f t="shared" si="2"/>
        <v>0</v>
      </c>
      <c r="M48" s="525"/>
      <c r="N48" s="514">
        <f t="shared" si="4"/>
        <v>0</v>
      </c>
      <c r="O48" s="514">
        <f t="shared" si="5"/>
        <v>0</v>
      </c>
      <c r="P48" s="272"/>
    </row>
    <row r="49" spans="2:16">
      <c r="B49" s="195" t="str">
        <f t="shared" si="7"/>
        <v/>
      </c>
      <c r="C49" s="507">
        <f>IF(D11="","-",+C48+1)</f>
        <v>2049</v>
      </c>
      <c r="D49" s="523">
        <f>IF(F48+SUM(E$17:E48)=D$10,F48,D$10-SUM(E$17:E48))</f>
        <v>2703656.7242434779</v>
      </c>
      <c r="E49" s="522">
        <f>IF(+I14&lt;F48,I14,D49)</f>
        <v>225682.71181818182</v>
      </c>
      <c r="F49" s="523">
        <f t="shared" si="16"/>
        <v>2477974.012425296</v>
      </c>
      <c r="G49" s="524">
        <f t="shared" si="17"/>
        <v>535355.44144038449</v>
      </c>
      <c r="H49" s="491">
        <f t="shared" si="18"/>
        <v>535355.44144038449</v>
      </c>
      <c r="I49" s="511">
        <f t="shared" si="0"/>
        <v>0</v>
      </c>
      <c r="J49" s="511"/>
      <c r="K49" s="525"/>
      <c r="L49" s="514">
        <f t="shared" si="2"/>
        <v>0</v>
      </c>
      <c r="M49" s="525"/>
      <c r="N49" s="514">
        <f t="shared" si="4"/>
        <v>0</v>
      </c>
      <c r="O49" s="514">
        <f t="shared" si="5"/>
        <v>0</v>
      </c>
      <c r="P49" s="272"/>
    </row>
    <row r="50" spans="2:16">
      <c r="B50" s="195" t="str">
        <f t="shared" si="7"/>
        <v/>
      </c>
      <c r="C50" s="507">
        <f>IF(D11="","-",+C49+1)</f>
        <v>2050</v>
      </c>
      <c r="D50" s="523">
        <f>IF(F49+SUM(E$17:E49)=D$10,F49,D$10-SUM(E$17:E49))</f>
        <v>2477974.012425296</v>
      </c>
      <c r="E50" s="522">
        <f>IF(+I14&lt;F49,I14,D50)</f>
        <v>225682.71181818182</v>
      </c>
      <c r="F50" s="523">
        <f t="shared" si="16"/>
        <v>2252291.3006071141</v>
      </c>
      <c r="G50" s="524">
        <f t="shared" si="17"/>
        <v>508380.23423285282</v>
      </c>
      <c r="H50" s="491">
        <f t="shared" si="18"/>
        <v>508380.23423285282</v>
      </c>
      <c r="I50" s="511">
        <f t="shared" si="0"/>
        <v>0</v>
      </c>
      <c r="J50" s="511"/>
      <c r="K50" s="525"/>
      <c r="L50" s="514">
        <f t="shared" si="2"/>
        <v>0</v>
      </c>
      <c r="M50" s="525"/>
      <c r="N50" s="514">
        <f t="shared" si="4"/>
        <v>0</v>
      </c>
      <c r="O50" s="514">
        <f t="shared" si="5"/>
        <v>0</v>
      </c>
      <c r="P50" s="272"/>
    </row>
    <row r="51" spans="2:16">
      <c r="B51" s="195" t="str">
        <f t="shared" si="7"/>
        <v/>
      </c>
      <c r="C51" s="507">
        <f>IF(D11="","-",+C50+1)</f>
        <v>2051</v>
      </c>
      <c r="D51" s="523">
        <f>IF(F50+SUM(E$17:E50)=D$10,F50,D$10-SUM(E$17:E50))</f>
        <v>2252291.3006071141</v>
      </c>
      <c r="E51" s="522">
        <f>IF(+I14&lt;F50,I14,D51)</f>
        <v>225682.71181818182</v>
      </c>
      <c r="F51" s="523">
        <f t="shared" si="16"/>
        <v>2026608.5887889322</v>
      </c>
      <c r="G51" s="524">
        <f t="shared" si="17"/>
        <v>481405.02702532127</v>
      </c>
      <c r="H51" s="491">
        <f t="shared" si="18"/>
        <v>481405.02702532127</v>
      </c>
      <c r="I51" s="511">
        <f t="shared" si="0"/>
        <v>0</v>
      </c>
      <c r="J51" s="511"/>
      <c r="K51" s="525"/>
      <c r="L51" s="514">
        <f t="shared" si="2"/>
        <v>0</v>
      </c>
      <c r="M51" s="525"/>
      <c r="N51" s="514">
        <f t="shared" si="4"/>
        <v>0</v>
      </c>
      <c r="O51" s="514">
        <f t="shared" si="5"/>
        <v>0</v>
      </c>
      <c r="P51" s="272"/>
    </row>
    <row r="52" spans="2:16">
      <c r="B52" s="195" t="str">
        <f t="shared" si="7"/>
        <v/>
      </c>
      <c r="C52" s="507">
        <f>IF(D11="","-",+C51+1)</f>
        <v>2052</v>
      </c>
      <c r="D52" s="523">
        <f>IF(F51+SUM(E$17:E51)=D$10,F51,D$10-SUM(E$17:E51))</f>
        <v>2026608.5887889322</v>
      </c>
      <c r="E52" s="522">
        <f>IF(+I14&lt;F51,I14,D52)</f>
        <v>225682.71181818182</v>
      </c>
      <c r="F52" s="523">
        <f t="shared" si="16"/>
        <v>1800925.8769707503</v>
      </c>
      <c r="G52" s="524">
        <f t="shared" si="17"/>
        <v>454429.81981778971</v>
      </c>
      <c r="H52" s="491">
        <f t="shared" si="18"/>
        <v>454429.81981778971</v>
      </c>
      <c r="I52" s="511">
        <f t="shared" si="0"/>
        <v>0</v>
      </c>
      <c r="J52" s="511"/>
      <c r="K52" s="525"/>
      <c r="L52" s="514">
        <f t="shared" si="2"/>
        <v>0</v>
      </c>
      <c r="M52" s="525"/>
      <c r="N52" s="514">
        <f t="shared" si="4"/>
        <v>0</v>
      </c>
      <c r="O52" s="514">
        <f t="shared" si="5"/>
        <v>0</v>
      </c>
      <c r="P52" s="272"/>
    </row>
    <row r="53" spans="2:16">
      <c r="B53" s="195" t="str">
        <f t="shared" si="7"/>
        <v/>
      </c>
      <c r="C53" s="507">
        <f>IF(D11="","-",+C52+1)</f>
        <v>2053</v>
      </c>
      <c r="D53" s="523">
        <f>IF(F52+SUM(E$17:E52)=D$10,F52,D$10-SUM(E$17:E52))</f>
        <v>1800925.8769707503</v>
      </c>
      <c r="E53" s="522">
        <f>IF(+I14&lt;F52,I14,D53)</f>
        <v>225682.71181818182</v>
      </c>
      <c r="F53" s="523">
        <f t="shared" si="16"/>
        <v>1575243.1651525684</v>
      </c>
      <c r="G53" s="524">
        <f t="shared" si="17"/>
        <v>427454.61261025816</v>
      </c>
      <c r="H53" s="491">
        <f t="shared" si="18"/>
        <v>427454.61261025816</v>
      </c>
      <c r="I53" s="511">
        <f t="shared" si="0"/>
        <v>0</v>
      </c>
      <c r="J53" s="511"/>
      <c r="K53" s="525"/>
      <c r="L53" s="514">
        <f t="shared" si="2"/>
        <v>0</v>
      </c>
      <c r="M53" s="525"/>
      <c r="N53" s="514">
        <f t="shared" si="4"/>
        <v>0</v>
      </c>
      <c r="O53" s="514">
        <f t="shared" si="5"/>
        <v>0</v>
      </c>
      <c r="P53" s="272"/>
    </row>
    <row r="54" spans="2:16">
      <c r="B54" s="195" t="str">
        <f t="shared" si="7"/>
        <v/>
      </c>
      <c r="C54" s="507">
        <f>IF(D11="","-",+C53+1)</f>
        <v>2054</v>
      </c>
      <c r="D54" s="523">
        <f>IF(F53+SUM(E$17:E53)=D$10,F53,D$10-SUM(E$17:E53))</f>
        <v>1575243.1651525684</v>
      </c>
      <c r="E54" s="522">
        <f>IF(+I14&lt;F53,I14,D54)</f>
        <v>225682.71181818182</v>
      </c>
      <c r="F54" s="523">
        <f t="shared" si="16"/>
        <v>1349560.4533343865</v>
      </c>
      <c r="G54" s="524">
        <f t="shared" si="17"/>
        <v>400479.40540272661</v>
      </c>
      <c r="H54" s="491">
        <f t="shared" si="18"/>
        <v>400479.40540272661</v>
      </c>
      <c r="I54" s="511">
        <f t="shared" si="0"/>
        <v>0</v>
      </c>
      <c r="J54" s="511"/>
      <c r="K54" s="525"/>
      <c r="L54" s="514">
        <f t="shared" si="2"/>
        <v>0</v>
      </c>
      <c r="M54" s="525"/>
      <c r="N54" s="514">
        <f t="shared" si="4"/>
        <v>0</v>
      </c>
      <c r="O54" s="514">
        <f t="shared" si="5"/>
        <v>0</v>
      </c>
      <c r="P54" s="272"/>
    </row>
    <row r="55" spans="2:16">
      <c r="B55" s="195" t="str">
        <f t="shared" si="7"/>
        <v/>
      </c>
      <c r="C55" s="507">
        <f>IF(D11="","-",+C54+1)</f>
        <v>2055</v>
      </c>
      <c r="D55" s="523">
        <f>IF(F54+SUM(E$17:E54)=D$10,F54,D$10-SUM(E$17:E54))</f>
        <v>1349560.4533343865</v>
      </c>
      <c r="E55" s="522">
        <f>IF(+I14&lt;F54,I14,D55)</f>
        <v>225682.71181818182</v>
      </c>
      <c r="F55" s="523">
        <f t="shared" si="16"/>
        <v>1123877.7415162046</v>
      </c>
      <c r="G55" s="524">
        <f t="shared" si="17"/>
        <v>373504.198195195</v>
      </c>
      <c r="H55" s="491">
        <f t="shared" si="18"/>
        <v>373504.198195195</v>
      </c>
      <c r="I55" s="511">
        <f t="shared" si="0"/>
        <v>0</v>
      </c>
      <c r="J55" s="511"/>
      <c r="K55" s="525"/>
      <c r="L55" s="514">
        <f t="shared" si="2"/>
        <v>0</v>
      </c>
      <c r="M55" s="525"/>
      <c r="N55" s="514">
        <f t="shared" si="4"/>
        <v>0</v>
      </c>
      <c r="O55" s="514">
        <f t="shared" si="5"/>
        <v>0</v>
      </c>
      <c r="P55" s="272"/>
    </row>
    <row r="56" spans="2:16">
      <c r="B56" s="195" t="str">
        <f t="shared" si="7"/>
        <v/>
      </c>
      <c r="C56" s="507">
        <f>IF(D11="","-",+C55+1)</f>
        <v>2056</v>
      </c>
      <c r="D56" s="523">
        <f>IF(F55+SUM(E$17:E55)=D$10,F55,D$10-SUM(E$17:E55))</f>
        <v>1123877.7415162046</v>
      </c>
      <c r="E56" s="522">
        <f>IF(+I14&lt;F55,I14,D56)</f>
        <v>225682.71181818182</v>
      </c>
      <c r="F56" s="523">
        <f t="shared" si="16"/>
        <v>898195.02969802276</v>
      </c>
      <c r="G56" s="524">
        <f t="shared" si="17"/>
        <v>346528.99098766345</v>
      </c>
      <c r="H56" s="491">
        <f t="shared" si="18"/>
        <v>346528.99098766345</v>
      </c>
      <c r="I56" s="511">
        <f t="shared" si="0"/>
        <v>0</v>
      </c>
      <c r="J56" s="511"/>
      <c r="K56" s="525"/>
      <c r="L56" s="514">
        <f t="shared" si="2"/>
        <v>0</v>
      </c>
      <c r="M56" s="525"/>
      <c r="N56" s="514">
        <f t="shared" si="4"/>
        <v>0</v>
      </c>
      <c r="O56" s="514">
        <f t="shared" si="5"/>
        <v>0</v>
      </c>
      <c r="P56" s="272"/>
    </row>
    <row r="57" spans="2:16">
      <c r="B57" s="195" t="str">
        <f t="shared" si="7"/>
        <v/>
      </c>
      <c r="C57" s="507">
        <f>IF(D11="","-",+C56+1)</f>
        <v>2057</v>
      </c>
      <c r="D57" s="523">
        <f>IF(F56+SUM(E$17:E56)=D$10,F56,D$10-SUM(E$17:E56))</f>
        <v>898195.02969802276</v>
      </c>
      <c r="E57" s="522">
        <f>IF(+I14&lt;F56,I14,D57)</f>
        <v>225682.71181818182</v>
      </c>
      <c r="F57" s="523">
        <f t="shared" si="16"/>
        <v>672512.31787984096</v>
      </c>
      <c r="G57" s="524">
        <f t="shared" si="17"/>
        <v>319553.7837801319</v>
      </c>
      <c r="H57" s="491">
        <f t="shared" si="18"/>
        <v>319553.7837801319</v>
      </c>
      <c r="I57" s="511">
        <f t="shared" si="0"/>
        <v>0</v>
      </c>
      <c r="J57" s="511"/>
      <c r="K57" s="525"/>
      <c r="L57" s="514">
        <f t="shared" si="2"/>
        <v>0</v>
      </c>
      <c r="M57" s="525"/>
      <c r="N57" s="514">
        <f t="shared" si="4"/>
        <v>0</v>
      </c>
      <c r="O57" s="514">
        <f t="shared" si="5"/>
        <v>0</v>
      </c>
      <c r="P57" s="272"/>
    </row>
    <row r="58" spans="2:16">
      <c r="B58" s="195" t="str">
        <f t="shared" si="7"/>
        <v/>
      </c>
      <c r="C58" s="507">
        <f>IF(D11="","-",+C57+1)</f>
        <v>2058</v>
      </c>
      <c r="D58" s="523">
        <f>IF(F57+SUM(E$17:E57)=D$10,F57,D$10-SUM(E$17:E57))</f>
        <v>672512.31787984096</v>
      </c>
      <c r="E58" s="522">
        <f>IF(+I14&lt;F57,I14,D58)</f>
        <v>225682.71181818182</v>
      </c>
      <c r="F58" s="523">
        <f t="shared" si="16"/>
        <v>446829.60606165917</v>
      </c>
      <c r="G58" s="524">
        <f t="shared" si="17"/>
        <v>292578.57657260034</v>
      </c>
      <c r="H58" s="491">
        <f t="shared" si="18"/>
        <v>292578.57657260034</v>
      </c>
      <c r="I58" s="511">
        <f t="shared" si="0"/>
        <v>0</v>
      </c>
      <c r="J58" s="511"/>
      <c r="K58" s="525"/>
      <c r="L58" s="514">
        <f t="shared" si="2"/>
        <v>0</v>
      </c>
      <c r="M58" s="525"/>
      <c r="N58" s="514">
        <f t="shared" si="4"/>
        <v>0</v>
      </c>
      <c r="O58" s="514">
        <f t="shared" si="5"/>
        <v>0</v>
      </c>
      <c r="P58" s="272"/>
    </row>
    <row r="59" spans="2:16">
      <c r="B59" s="195" t="str">
        <f t="shared" si="7"/>
        <v/>
      </c>
      <c r="C59" s="507">
        <f>IF(D11="","-",+C58+1)</f>
        <v>2059</v>
      </c>
      <c r="D59" s="523">
        <f>IF(F58+SUM(E$17:E58)=D$10,F58,D$10-SUM(E$17:E58))</f>
        <v>446829.60606165917</v>
      </c>
      <c r="E59" s="522">
        <f>IF(+I14&lt;F58,I14,D59)</f>
        <v>225682.71181818182</v>
      </c>
      <c r="F59" s="523">
        <f t="shared" si="16"/>
        <v>221146.89424347735</v>
      </c>
      <c r="G59" s="524">
        <f t="shared" si="17"/>
        <v>265603.36936506879</v>
      </c>
      <c r="H59" s="491">
        <f t="shared" si="18"/>
        <v>265603.36936506879</v>
      </c>
      <c r="I59" s="511">
        <f t="shared" si="0"/>
        <v>0</v>
      </c>
      <c r="J59" s="511"/>
      <c r="K59" s="525"/>
      <c r="L59" s="514">
        <f t="shared" si="2"/>
        <v>0</v>
      </c>
      <c r="M59" s="525"/>
      <c r="N59" s="514">
        <f t="shared" si="4"/>
        <v>0</v>
      </c>
      <c r="O59" s="514">
        <f t="shared" si="5"/>
        <v>0</v>
      </c>
      <c r="P59" s="272"/>
    </row>
    <row r="60" spans="2:16">
      <c r="B60" s="195" t="str">
        <f t="shared" si="7"/>
        <v>IU</v>
      </c>
      <c r="C60" s="507">
        <f>IF(D11="","-",+C59+1)</f>
        <v>2060</v>
      </c>
      <c r="D60" s="523">
        <f>IF(F59+SUM(E$17:E59)=D$10,F59,D$10-SUM(E$17:E59))</f>
        <v>221146.8942434825</v>
      </c>
      <c r="E60" s="522">
        <f>IF(+I14&lt;F59,I14,D60)</f>
        <v>221146.8942434825</v>
      </c>
      <c r="F60" s="523">
        <f t="shared" si="16"/>
        <v>0</v>
      </c>
      <c r="G60" s="524">
        <f t="shared" si="17"/>
        <v>234363.4212150434</v>
      </c>
      <c r="H60" s="491">
        <f t="shared" si="18"/>
        <v>234363.4212150434</v>
      </c>
      <c r="I60" s="511">
        <f t="shared" si="0"/>
        <v>0</v>
      </c>
      <c r="J60" s="511"/>
      <c r="K60" s="525"/>
      <c r="L60" s="514">
        <f t="shared" si="2"/>
        <v>0</v>
      </c>
      <c r="M60" s="525"/>
      <c r="N60" s="514">
        <f t="shared" si="4"/>
        <v>0</v>
      </c>
      <c r="O60" s="514">
        <f t="shared" si="5"/>
        <v>0</v>
      </c>
      <c r="P60" s="272"/>
    </row>
    <row r="61" spans="2:16">
      <c r="B61" s="195" t="str">
        <f t="shared" si="7"/>
        <v/>
      </c>
      <c r="C61" s="507">
        <f>IF(D11="","-",+C60+1)</f>
        <v>2061</v>
      </c>
      <c r="D61" s="523">
        <f>IF(F60+SUM(E$17:E60)=D$10,F60,D$10-SUM(E$17:E60))</f>
        <v>0</v>
      </c>
      <c r="E61" s="522">
        <f>IF(+I14&lt;F60,I14,D61)</f>
        <v>0</v>
      </c>
      <c r="F61" s="523">
        <f t="shared" si="16"/>
        <v>0</v>
      </c>
      <c r="G61" s="526">
        <f t="shared" si="17"/>
        <v>0</v>
      </c>
      <c r="H61" s="491">
        <f t="shared" si="18"/>
        <v>0</v>
      </c>
      <c r="I61" s="511">
        <f t="shared" si="0"/>
        <v>0</v>
      </c>
      <c r="J61" s="511"/>
      <c r="K61" s="525"/>
      <c r="L61" s="514">
        <f t="shared" si="2"/>
        <v>0</v>
      </c>
      <c r="M61" s="525"/>
      <c r="N61" s="514">
        <f t="shared" si="4"/>
        <v>0</v>
      </c>
      <c r="O61" s="514">
        <f t="shared" si="5"/>
        <v>0</v>
      </c>
      <c r="P61" s="272"/>
    </row>
    <row r="62" spans="2:16">
      <c r="B62" s="195" t="str">
        <f t="shared" si="7"/>
        <v/>
      </c>
      <c r="C62" s="507">
        <f>IF(D11="","-",+C61+1)</f>
        <v>2062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16"/>
        <v>0</v>
      </c>
      <c r="G62" s="526">
        <f t="shared" si="17"/>
        <v>0</v>
      </c>
      <c r="H62" s="491">
        <f t="shared" si="18"/>
        <v>0</v>
      </c>
      <c r="I62" s="511">
        <f t="shared" si="0"/>
        <v>0</v>
      </c>
      <c r="J62" s="511"/>
      <c r="K62" s="525"/>
      <c r="L62" s="514">
        <f t="shared" si="2"/>
        <v>0</v>
      </c>
      <c r="M62" s="525"/>
      <c r="N62" s="514">
        <f t="shared" si="4"/>
        <v>0</v>
      </c>
      <c r="O62" s="514">
        <f t="shared" si="5"/>
        <v>0</v>
      </c>
      <c r="P62" s="272"/>
    </row>
    <row r="63" spans="2:16">
      <c r="B63" s="195" t="str">
        <f t="shared" si="7"/>
        <v/>
      </c>
      <c r="C63" s="507">
        <f>IF(D11="","-",+C62+1)</f>
        <v>2063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16"/>
        <v>0</v>
      </c>
      <c r="G63" s="526">
        <f t="shared" si="17"/>
        <v>0</v>
      </c>
      <c r="H63" s="491">
        <f t="shared" si="18"/>
        <v>0</v>
      </c>
      <c r="I63" s="511">
        <f t="shared" si="0"/>
        <v>0</v>
      </c>
      <c r="J63" s="511"/>
      <c r="K63" s="525"/>
      <c r="L63" s="514">
        <f t="shared" si="2"/>
        <v>0</v>
      </c>
      <c r="M63" s="525"/>
      <c r="N63" s="514">
        <f t="shared" si="4"/>
        <v>0</v>
      </c>
      <c r="O63" s="514">
        <f t="shared" si="5"/>
        <v>0</v>
      </c>
      <c r="P63" s="272"/>
    </row>
    <row r="64" spans="2:16">
      <c r="B64" s="195" t="str">
        <f t="shared" si="7"/>
        <v/>
      </c>
      <c r="C64" s="507">
        <f>IF(D11="","-",+C63+1)</f>
        <v>2064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16"/>
        <v>0</v>
      </c>
      <c r="G64" s="526">
        <f t="shared" si="17"/>
        <v>0</v>
      </c>
      <c r="H64" s="491">
        <f t="shared" si="18"/>
        <v>0</v>
      </c>
      <c r="I64" s="511">
        <f t="shared" si="0"/>
        <v>0</v>
      </c>
      <c r="J64" s="511"/>
      <c r="K64" s="525"/>
      <c r="L64" s="514">
        <f t="shared" si="2"/>
        <v>0</v>
      </c>
      <c r="M64" s="525"/>
      <c r="N64" s="514">
        <f t="shared" si="4"/>
        <v>0</v>
      </c>
      <c r="O64" s="514">
        <f t="shared" si="5"/>
        <v>0</v>
      </c>
      <c r="P64" s="272"/>
    </row>
    <row r="65" spans="2:16">
      <c r="B65" s="195" t="str">
        <f t="shared" si="7"/>
        <v/>
      </c>
      <c r="C65" s="507">
        <f>IF(D11="","-",+C64+1)</f>
        <v>2065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16"/>
        <v>0</v>
      </c>
      <c r="G65" s="526">
        <f t="shared" si="17"/>
        <v>0</v>
      </c>
      <c r="H65" s="491">
        <f t="shared" si="18"/>
        <v>0</v>
      </c>
      <c r="I65" s="511">
        <f t="shared" si="0"/>
        <v>0</v>
      </c>
      <c r="J65" s="511"/>
      <c r="K65" s="525"/>
      <c r="L65" s="514">
        <f t="shared" si="2"/>
        <v>0</v>
      </c>
      <c r="M65" s="525"/>
      <c r="N65" s="514">
        <f t="shared" si="4"/>
        <v>0</v>
      </c>
      <c r="O65" s="514">
        <f t="shared" si="5"/>
        <v>0</v>
      </c>
      <c r="P65" s="272"/>
    </row>
    <row r="66" spans="2:16">
      <c r="B66" s="195" t="str">
        <f t="shared" si="7"/>
        <v/>
      </c>
      <c r="C66" s="507">
        <f>IF(D11="","-",+C65+1)</f>
        <v>2066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16"/>
        <v>0</v>
      </c>
      <c r="G66" s="526">
        <f t="shared" si="17"/>
        <v>0</v>
      </c>
      <c r="H66" s="491">
        <f t="shared" si="18"/>
        <v>0</v>
      </c>
      <c r="I66" s="511">
        <f t="shared" si="0"/>
        <v>0</v>
      </c>
      <c r="J66" s="511"/>
      <c r="K66" s="525"/>
      <c r="L66" s="514">
        <f t="shared" si="2"/>
        <v>0</v>
      </c>
      <c r="M66" s="525"/>
      <c r="N66" s="514">
        <f t="shared" si="4"/>
        <v>0</v>
      </c>
      <c r="O66" s="514">
        <f t="shared" si="5"/>
        <v>0</v>
      </c>
      <c r="P66" s="272"/>
    </row>
    <row r="67" spans="2:16">
      <c r="B67" s="195" t="str">
        <f t="shared" si="7"/>
        <v/>
      </c>
      <c r="C67" s="507">
        <f>IF(D11="","-",+C66+1)</f>
        <v>2067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16"/>
        <v>0</v>
      </c>
      <c r="G67" s="526">
        <f t="shared" si="17"/>
        <v>0</v>
      </c>
      <c r="H67" s="491">
        <f t="shared" si="18"/>
        <v>0</v>
      </c>
      <c r="I67" s="511">
        <f t="shared" si="0"/>
        <v>0</v>
      </c>
      <c r="J67" s="511"/>
      <c r="K67" s="525"/>
      <c r="L67" s="514">
        <f t="shared" si="2"/>
        <v>0</v>
      </c>
      <c r="M67" s="525"/>
      <c r="N67" s="514">
        <f t="shared" si="4"/>
        <v>0</v>
      </c>
      <c r="O67" s="514">
        <f t="shared" si="5"/>
        <v>0</v>
      </c>
      <c r="P67" s="272"/>
    </row>
    <row r="68" spans="2:16">
      <c r="B68" s="195" t="str">
        <f t="shared" si="7"/>
        <v/>
      </c>
      <c r="C68" s="507">
        <f>IF(D11="","-",+C67+1)</f>
        <v>2068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16"/>
        <v>0</v>
      </c>
      <c r="G68" s="526">
        <f t="shared" si="17"/>
        <v>0</v>
      </c>
      <c r="H68" s="491">
        <f t="shared" si="18"/>
        <v>0</v>
      </c>
      <c r="I68" s="511">
        <f t="shared" si="0"/>
        <v>0</v>
      </c>
      <c r="J68" s="511"/>
      <c r="K68" s="525"/>
      <c r="L68" s="514">
        <f t="shared" si="2"/>
        <v>0</v>
      </c>
      <c r="M68" s="525"/>
      <c r="N68" s="514">
        <f t="shared" si="4"/>
        <v>0</v>
      </c>
      <c r="O68" s="514">
        <f t="shared" si="5"/>
        <v>0</v>
      </c>
      <c r="P68" s="272"/>
    </row>
    <row r="69" spans="2:16">
      <c r="B69" s="195" t="str">
        <f t="shared" si="7"/>
        <v/>
      </c>
      <c r="C69" s="507">
        <f>IF(D11="","-",+C68+1)</f>
        <v>2069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16"/>
        <v>0</v>
      </c>
      <c r="G69" s="526">
        <f t="shared" si="17"/>
        <v>0</v>
      </c>
      <c r="H69" s="491">
        <f t="shared" si="18"/>
        <v>0</v>
      </c>
      <c r="I69" s="511">
        <f t="shared" si="0"/>
        <v>0</v>
      </c>
      <c r="J69" s="511"/>
      <c r="K69" s="525"/>
      <c r="L69" s="514">
        <f t="shared" si="2"/>
        <v>0</v>
      </c>
      <c r="M69" s="525"/>
      <c r="N69" s="514">
        <f t="shared" si="4"/>
        <v>0</v>
      </c>
      <c r="O69" s="514">
        <f t="shared" si="5"/>
        <v>0</v>
      </c>
      <c r="P69" s="272"/>
    </row>
    <row r="70" spans="2:16">
      <c r="B70" s="195" t="str">
        <f t="shared" si="7"/>
        <v/>
      </c>
      <c r="C70" s="507">
        <f>IF(D11="","-",+C69+1)</f>
        <v>2070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16"/>
        <v>0</v>
      </c>
      <c r="G70" s="526">
        <f t="shared" si="17"/>
        <v>0</v>
      </c>
      <c r="H70" s="491">
        <f t="shared" si="18"/>
        <v>0</v>
      </c>
      <c r="I70" s="511">
        <f t="shared" si="0"/>
        <v>0</v>
      </c>
      <c r="J70" s="511"/>
      <c r="K70" s="525"/>
      <c r="L70" s="514">
        <f t="shared" si="2"/>
        <v>0</v>
      </c>
      <c r="M70" s="525"/>
      <c r="N70" s="514">
        <f t="shared" si="4"/>
        <v>0</v>
      </c>
      <c r="O70" s="514">
        <f t="shared" si="5"/>
        <v>0</v>
      </c>
      <c r="P70" s="272"/>
    </row>
    <row r="71" spans="2:16">
      <c r="B71" s="195" t="str">
        <f t="shared" si="7"/>
        <v/>
      </c>
      <c r="C71" s="507">
        <f>IF(D11="","-",+C70+1)</f>
        <v>2071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16"/>
        <v>0</v>
      </c>
      <c r="G71" s="526">
        <f t="shared" si="17"/>
        <v>0</v>
      </c>
      <c r="H71" s="491">
        <f t="shared" si="18"/>
        <v>0</v>
      </c>
      <c r="I71" s="511">
        <f t="shared" si="0"/>
        <v>0</v>
      </c>
      <c r="J71" s="511"/>
      <c r="K71" s="525"/>
      <c r="L71" s="514">
        <f t="shared" si="2"/>
        <v>0</v>
      </c>
      <c r="M71" s="525"/>
      <c r="N71" s="514">
        <f t="shared" si="4"/>
        <v>0</v>
      </c>
      <c r="O71" s="514">
        <f t="shared" si="5"/>
        <v>0</v>
      </c>
      <c r="P71" s="272"/>
    </row>
    <row r="72" spans="2:16" ht="13.5" thickBot="1">
      <c r="B72" s="195" t="str">
        <f t="shared" si="7"/>
        <v/>
      </c>
      <c r="C72" s="527">
        <f>IF(D11="","-",+C71+1)</f>
        <v>2072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16"/>
        <v>0</v>
      </c>
      <c r="G72" s="530">
        <f t="shared" si="17"/>
        <v>0</v>
      </c>
      <c r="H72" s="471">
        <f t="shared" si="18"/>
        <v>0</v>
      </c>
      <c r="I72" s="531">
        <f t="shared" si="0"/>
        <v>0</v>
      </c>
      <c r="J72" s="511"/>
      <c r="K72" s="532"/>
      <c r="L72" s="533">
        <f t="shared" si="2"/>
        <v>0</v>
      </c>
      <c r="M72" s="532"/>
      <c r="N72" s="533">
        <f t="shared" si="4"/>
        <v>0</v>
      </c>
      <c r="O72" s="533">
        <f t="shared" si="5"/>
        <v>0</v>
      </c>
      <c r="P72" s="272"/>
    </row>
    <row r="73" spans="2:16">
      <c r="C73" s="374" t="s">
        <v>78</v>
      </c>
      <c r="D73" s="375"/>
      <c r="E73" s="375">
        <f>SUM(E17:E72)</f>
        <v>9930039.3200000003</v>
      </c>
      <c r="F73" s="375"/>
      <c r="G73" s="375">
        <f>SUM(G17:G72)</f>
        <v>34999060.932729661</v>
      </c>
      <c r="H73" s="375">
        <f>SUM(H17:H72)</f>
        <v>34999060.932729661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2:16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2:16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2:16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2:16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272"/>
      <c r="P77" s="272"/>
    </row>
    <row r="78" spans="2:16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2:16"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  <c r="O79" s="269"/>
      <c r="P79" s="269"/>
    </row>
    <row r="80" spans="2:16" ht="18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6">
      <c r="B81" s="269"/>
      <c r="C81" s="340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6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</row>
    <row r="83" spans="1:16" ht="20.25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451" t="str">
        <f ca="1">P1</f>
        <v>SWEPCO Project 69 of 75</v>
      </c>
    </row>
    <row r="84" spans="1:16" ht="18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538" t="s">
        <v>128</v>
      </c>
    </row>
    <row r="85" spans="1:16" ht="18.7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</row>
    <row r="86" spans="1:16" ht="15.75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2022</v>
      </c>
      <c r="M86" s="541" t="s">
        <v>9</v>
      </c>
      <c r="N86" s="542" t="s">
        <v>159</v>
      </c>
      <c r="O86" s="543" t="s">
        <v>11</v>
      </c>
      <c r="P86" s="269"/>
    </row>
    <row r="87" spans="1:16" ht="1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391</v>
      </c>
      <c r="M87" s="546">
        <f>IF(J92&lt;D11,0,VLOOKUP(J92,C17:O72,9))</f>
        <v>1214734.5737329707</v>
      </c>
      <c r="N87" s="546">
        <f>IF(J92&lt;D11,0,VLOOKUP(J92,C17:O72,11))</f>
        <v>1214734.5737329707</v>
      </c>
      <c r="O87" s="547">
        <f>+N87-M87</f>
        <v>0</v>
      </c>
      <c r="P87" s="269"/>
    </row>
    <row r="88" spans="1:16" ht="15.7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392</v>
      </c>
      <c r="M88" s="550">
        <f>IF(J92&lt;D11,0,VLOOKUP(J92,C99:P154,6))</f>
        <v>1257609.663858267</v>
      </c>
      <c r="N88" s="550">
        <f>IF(J92&lt;D11,0,VLOOKUP(J92,C99:P154,7))</f>
        <v>1257609.663858267</v>
      </c>
      <c r="O88" s="551">
        <f>+N88-M88</f>
        <v>0</v>
      </c>
      <c r="P88" s="269"/>
    </row>
    <row r="89" spans="1:16" ht="13.5" thickBot="1">
      <c r="C89" s="467" t="s">
        <v>84</v>
      </c>
      <c r="D89" s="552" t="str">
        <f>+D7</f>
        <v>Hallsville - Longview Heights 69 KV Line Rebuild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42875.090125296265</v>
      </c>
      <c r="N89" s="555">
        <f>+N88-N87</f>
        <v>42875.090125296265</v>
      </c>
      <c r="O89" s="556">
        <f>+O88-O87</f>
        <v>0</v>
      </c>
      <c r="P89" s="269"/>
    </row>
    <row r="90" spans="1:16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</row>
    <row r="91" spans="1:16" ht="13.5" thickBot="1">
      <c r="A91" s="191"/>
      <c r="C91" s="558" t="s">
        <v>85</v>
      </c>
      <c r="D91" s="559" t="str">
        <f>+D9</f>
        <v>TP2013167</v>
      </c>
      <c r="E91" s="560"/>
      <c r="F91" s="560"/>
      <c r="G91" s="560"/>
      <c r="H91" s="560"/>
      <c r="I91" s="560"/>
      <c r="J91" s="560"/>
      <c r="K91" s="562"/>
      <c r="P91" s="481"/>
    </row>
    <row r="92" spans="1:16">
      <c r="C92" s="486" t="s">
        <v>51</v>
      </c>
      <c r="D92" s="564">
        <v>9930039</v>
      </c>
      <c r="E92" s="340" t="s">
        <v>86</v>
      </c>
      <c r="H92" s="484"/>
      <c r="I92" s="484"/>
      <c r="J92" s="485">
        <f>+'SWE.WS.G.BPU.ATRR.True-up'!M16</f>
        <v>2022</v>
      </c>
      <c r="K92" s="480"/>
      <c r="L92" s="375" t="s">
        <v>87</v>
      </c>
      <c r="P92" s="272"/>
    </row>
    <row r="93" spans="1:16">
      <c r="C93" s="486" t="s">
        <v>54</v>
      </c>
      <c r="D93" s="563">
        <v>2017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</row>
    <row r="94" spans="1:16">
      <c r="C94" s="486" t="s">
        <v>56</v>
      </c>
      <c r="D94" s="564">
        <v>4</v>
      </c>
      <c r="E94" s="486" t="s">
        <v>57</v>
      </c>
      <c r="F94" s="484"/>
      <c r="G94" s="484"/>
      <c r="J94" s="490">
        <f>'SWE.WS.G.BPU.ATRR.True-up'!$F$81</f>
        <v>0.11351422637179906</v>
      </c>
      <c r="K94" s="425"/>
      <c r="L94" s="183" t="s">
        <v>88</v>
      </c>
      <c r="P94" s="272"/>
    </row>
    <row r="95" spans="1:16">
      <c r="C95" s="486" t="s">
        <v>59</v>
      </c>
      <c r="D95" s="488">
        <f>'SWE.WS.G.BPU.ATRR.True-up'!F$93</f>
        <v>41</v>
      </c>
      <c r="E95" s="486" t="s">
        <v>60</v>
      </c>
      <c r="F95" s="484"/>
      <c r="G95" s="484"/>
      <c r="J95" s="490">
        <f>IF(H87="",J94,'SWE.WS.G.BPU.ATRR.True-up'!$F$80)</f>
        <v>0.11351422637179906</v>
      </c>
      <c r="K95" s="324"/>
      <c r="L95" s="375" t="s">
        <v>61</v>
      </c>
      <c r="M95" s="324"/>
      <c r="N95" s="324"/>
      <c r="O95" s="324"/>
      <c r="P95" s="272"/>
    </row>
    <row r="96" spans="1:16" ht="13.5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242196.07317073172</v>
      </c>
      <c r="K96" s="375"/>
      <c r="L96" s="375"/>
      <c r="M96" s="375"/>
      <c r="N96" s="375"/>
      <c r="O96" s="375"/>
      <c r="P96" s="272"/>
    </row>
    <row r="97" spans="1:16" ht="38.25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388</v>
      </c>
      <c r="I97" s="495" t="s">
        <v>389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</row>
    <row r="98" spans="1:16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602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</row>
    <row r="99" spans="1:16">
      <c r="C99" s="507">
        <f>IF(D93= "","-",D93)</f>
        <v>2017</v>
      </c>
      <c r="D99" s="629">
        <v>0</v>
      </c>
      <c r="E99" s="630">
        <v>177322.125</v>
      </c>
      <c r="F99" s="631">
        <v>9752716.875</v>
      </c>
      <c r="G99" s="631">
        <v>4876358.4375</v>
      </c>
      <c r="H99" s="633">
        <v>692287.9381010225</v>
      </c>
      <c r="I99" s="634">
        <v>692287.9381010225</v>
      </c>
      <c r="J99" s="514">
        <f t="shared" ref="J99:J130" si="19">+I99-H99</f>
        <v>0</v>
      </c>
      <c r="K99" s="514"/>
      <c r="L99" s="512">
        <f>+H99</f>
        <v>692287.9381010225</v>
      </c>
      <c r="M99" s="513">
        <f t="shared" ref="M99:M102" si="20">IF(L99&lt;&gt;0,+H99-L99,0)</f>
        <v>0</v>
      </c>
      <c r="N99" s="512">
        <f>+I99</f>
        <v>692287.9381010225</v>
      </c>
      <c r="O99" s="513">
        <f t="shared" ref="O99:O130" si="21">IF(N99&lt;&gt;0,+I99-N99,0)</f>
        <v>0</v>
      </c>
      <c r="P99" s="513">
        <f t="shared" ref="P99:P130" si="22">+O99-M99</f>
        <v>0</v>
      </c>
    </row>
    <row r="100" spans="1:16">
      <c r="B100" s="195" t="str">
        <f>IF(D100=F99,"","IU")</f>
        <v/>
      </c>
      <c r="C100" s="507">
        <f>IF(D93="","-",+C99+1)</f>
        <v>2018</v>
      </c>
      <c r="D100" s="629">
        <v>9752716.875</v>
      </c>
      <c r="E100" s="630">
        <v>230931.13953488372</v>
      </c>
      <c r="F100" s="631">
        <v>9521785.7354651168</v>
      </c>
      <c r="G100" s="631">
        <v>9637251.3052325584</v>
      </c>
      <c r="H100" s="633">
        <v>1262507.7864101741</v>
      </c>
      <c r="I100" s="634">
        <v>1262507.7864101741</v>
      </c>
      <c r="J100" s="514">
        <f t="shared" si="19"/>
        <v>0</v>
      </c>
      <c r="K100" s="514"/>
      <c r="L100" s="655">
        <f>+H100</f>
        <v>1262507.7864101741</v>
      </c>
      <c r="M100" s="514">
        <f t="shared" si="20"/>
        <v>0</v>
      </c>
      <c r="N100" s="655">
        <f>+I100</f>
        <v>1262507.7864101741</v>
      </c>
      <c r="O100" s="514">
        <f t="shared" si="21"/>
        <v>0</v>
      </c>
      <c r="P100" s="514">
        <f t="shared" si="22"/>
        <v>0</v>
      </c>
    </row>
    <row r="101" spans="1:16">
      <c r="B101" s="195" t="str">
        <f t="shared" ref="B101:B154" si="23">IF(D101=F100,"","IU")</f>
        <v/>
      </c>
      <c r="C101" s="507">
        <f>IF(D93="","-",+C100+1)</f>
        <v>2019</v>
      </c>
      <c r="D101" s="629">
        <v>9521785.7354651168</v>
      </c>
      <c r="E101" s="630">
        <v>230931.13953488372</v>
      </c>
      <c r="F101" s="631">
        <v>9290854.5959302336</v>
      </c>
      <c r="G101" s="631">
        <v>9406320.1656976752</v>
      </c>
      <c r="H101" s="633">
        <v>1237788.7910207789</v>
      </c>
      <c r="I101" s="634">
        <v>1237788.7910207789</v>
      </c>
      <c r="J101" s="514">
        <f t="shared" si="19"/>
        <v>0</v>
      </c>
      <c r="K101" s="514"/>
      <c r="L101" s="655">
        <f>+H101</f>
        <v>1237788.7910207789</v>
      </c>
      <c r="M101" s="514">
        <f t="shared" si="20"/>
        <v>0</v>
      </c>
      <c r="N101" s="655">
        <f>+I101</f>
        <v>1237788.7910207789</v>
      </c>
      <c r="O101" s="514">
        <f t="shared" si="21"/>
        <v>0</v>
      </c>
      <c r="P101" s="514">
        <f t="shared" si="22"/>
        <v>0</v>
      </c>
    </row>
    <row r="102" spans="1:16">
      <c r="B102" s="195" t="str">
        <f t="shared" si="23"/>
        <v/>
      </c>
      <c r="C102" s="507">
        <f>IF(D93="","-",+C101+1)</f>
        <v>2020</v>
      </c>
      <c r="D102" s="629">
        <v>9290854.5959302336</v>
      </c>
      <c r="E102" s="630">
        <v>236429.5</v>
      </c>
      <c r="F102" s="631">
        <v>9054425.0959302336</v>
      </c>
      <c r="G102" s="631">
        <v>9172639.8459302336</v>
      </c>
      <c r="H102" s="633">
        <v>1223165.5223756898</v>
      </c>
      <c r="I102" s="634">
        <v>1223165.5223756898</v>
      </c>
      <c r="J102" s="514">
        <f t="shared" si="19"/>
        <v>0</v>
      </c>
      <c r="K102" s="514"/>
      <c r="L102" s="655">
        <f>+H102</f>
        <v>1223165.5223756898</v>
      </c>
      <c r="M102" s="514">
        <f t="shared" si="20"/>
        <v>0</v>
      </c>
      <c r="N102" s="655">
        <f>+I102</f>
        <v>1223165.5223756898</v>
      </c>
      <c r="O102" s="514">
        <f t="shared" si="21"/>
        <v>0</v>
      </c>
      <c r="P102" s="514">
        <f t="shared" si="22"/>
        <v>0</v>
      </c>
    </row>
    <row r="103" spans="1:16">
      <c r="B103" s="195" t="str">
        <f t="shared" si="23"/>
        <v/>
      </c>
      <c r="C103" s="507">
        <f>IF(D93="","-",+C102+1)</f>
        <v>2021</v>
      </c>
      <c r="D103" s="629">
        <v>9054425.0959302336</v>
      </c>
      <c r="E103" s="630">
        <v>242196.07317073172</v>
      </c>
      <c r="F103" s="631">
        <v>8812229.0227595028</v>
      </c>
      <c r="G103" s="631">
        <v>8933327.0593448691</v>
      </c>
      <c r="H103" s="633">
        <v>1256255.7832385232</v>
      </c>
      <c r="I103" s="634">
        <v>1256255.7832385232</v>
      </c>
      <c r="J103" s="514">
        <f t="shared" si="19"/>
        <v>0</v>
      </c>
      <c r="K103" s="514"/>
      <c r="L103" s="655">
        <f>+H103</f>
        <v>1256255.7832385232</v>
      </c>
      <c r="M103" s="514">
        <f t="shared" ref="M103" si="24">IF(L103&lt;&gt;0,+H103-L103,0)</f>
        <v>0</v>
      </c>
      <c r="N103" s="655">
        <f>+I103</f>
        <v>1256255.7832385232</v>
      </c>
      <c r="O103" s="514">
        <f t="shared" ref="O103" si="25">IF(N103&lt;&gt;0,+I103-N103,0)</f>
        <v>0</v>
      </c>
      <c r="P103" s="514">
        <f t="shared" ref="P103" si="26">+O103-M103</f>
        <v>0</v>
      </c>
    </row>
    <row r="104" spans="1:16">
      <c r="B104" s="195" t="str">
        <f t="shared" si="23"/>
        <v/>
      </c>
      <c r="C104" s="673">
        <f>IF(D93="","-",+C103+1)</f>
        <v>2022</v>
      </c>
      <c r="D104" s="374">
        <v>8812229.0227595028</v>
      </c>
      <c r="E104" s="522">
        <v>236429.5</v>
      </c>
      <c r="F104" s="523">
        <v>8575799.5227595028</v>
      </c>
      <c r="G104" s="523">
        <v>8694014.2727595028</v>
      </c>
      <c r="H104" s="526">
        <v>1257609.663858267</v>
      </c>
      <c r="I104" s="577">
        <v>1257609.663858267</v>
      </c>
      <c r="J104" s="514">
        <f t="shared" si="19"/>
        <v>0</v>
      </c>
      <c r="K104" s="514"/>
      <c r="L104" s="525"/>
      <c r="M104" s="514">
        <f t="shared" ref="M104:M130" si="27">IF(L104&lt;&gt;0,+H104-L104,0)</f>
        <v>0</v>
      </c>
      <c r="N104" s="525"/>
      <c r="O104" s="514">
        <f t="shared" si="21"/>
        <v>0</v>
      </c>
      <c r="P104" s="514">
        <f t="shared" si="22"/>
        <v>0</v>
      </c>
    </row>
    <row r="105" spans="1:16">
      <c r="B105" s="195" t="str">
        <f t="shared" si="23"/>
        <v/>
      </c>
      <c r="C105" s="507">
        <f>IF(D93="","-",+C104+1)</f>
        <v>2023</v>
      </c>
      <c r="D105" s="374">
        <f>IF(F104+SUM(E$99:E104)=D$92,F104,D$92-SUM(E$99:E104))</f>
        <v>8575799.5227595028</v>
      </c>
      <c r="E105" s="522">
        <f>IF(+J96&lt;F104,J96,D105)</f>
        <v>242196.07317073172</v>
      </c>
      <c r="F105" s="523">
        <f t="shared" ref="F105:F154" si="28">+D105-E105</f>
        <v>8333603.449588771</v>
      </c>
      <c r="G105" s="523">
        <f t="shared" ref="G105:G154" si="29">+(F105+D105)/2</f>
        <v>8454701.4861741364</v>
      </c>
      <c r="H105" s="526">
        <f t="shared" ref="H105:H154" si="30">+J$94*G105+E105</f>
        <v>1201924.9715782886</v>
      </c>
      <c r="I105" s="577">
        <f t="shared" ref="I105:I154" si="31">+J$95*G105+E105</f>
        <v>1201924.9715782886</v>
      </c>
      <c r="J105" s="514">
        <f t="shared" si="19"/>
        <v>0</v>
      </c>
      <c r="K105" s="514"/>
      <c r="L105" s="525"/>
      <c r="M105" s="514">
        <f t="shared" si="27"/>
        <v>0</v>
      </c>
      <c r="N105" s="525"/>
      <c r="O105" s="514">
        <f t="shared" si="21"/>
        <v>0</v>
      </c>
      <c r="P105" s="514">
        <f t="shared" si="22"/>
        <v>0</v>
      </c>
    </row>
    <row r="106" spans="1:16">
      <c r="B106" s="195" t="str">
        <f t="shared" si="23"/>
        <v/>
      </c>
      <c r="C106" s="507">
        <f>IF(D93="","-",+C105+1)</f>
        <v>2024</v>
      </c>
      <c r="D106" s="374">
        <f>IF(F105+SUM(E$99:E105)=D$92,F105,D$92-SUM(E$99:E105))</f>
        <v>8333603.449588771</v>
      </c>
      <c r="E106" s="522">
        <f>IF(+J96&lt;F105,J96,D106)</f>
        <v>242196.07317073172</v>
      </c>
      <c r="F106" s="523">
        <f t="shared" si="28"/>
        <v>8091407.3764180392</v>
      </c>
      <c r="G106" s="523">
        <f t="shared" si="29"/>
        <v>8212505.4130034056</v>
      </c>
      <c r="H106" s="526">
        <f t="shared" si="30"/>
        <v>1174432.2717020253</v>
      </c>
      <c r="I106" s="577">
        <f t="shared" si="31"/>
        <v>1174432.2717020253</v>
      </c>
      <c r="J106" s="514">
        <f t="shared" si="19"/>
        <v>0</v>
      </c>
      <c r="K106" s="514"/>
      <c r="L106" s="525"/>
      <c r="M106" s="514">
        <f t="shared" si="27"/>
        <v>0</v>
      </c>
      <c r="N106" s="525"/>
      <c r="O106" s="514">
        <f t="shared" si="21"/>
        <v>0</v>
      </c>
      <c r="P106" s="514">
        <f t="shared" si="22"/>
        <v>0</v>
      </c>
    </row>
    <row r="107" spans="1:16">
      <c r="B107" s="195" t="str">
        <f t="shared" si="23"/>
        <v/>
      </c>
      <c r="C107" s="507">
        <f>IF(D93="","-",+C106+1)</f>
        <v>2025</v>
      </c>
      <c r="D107" s="374">
        <f>IF(F106+SUM(E$99:E106)=D$92,F106,D$92-SUM(E$99:E106))</f>
        <v>8091407.3764180392</v>
      </c>
      <c r="E107" s="522">
        <f>IF(+J96&lt;F106,J96,D107)</f>
        <v>242196.07317073172</v>
      </c>
      <c r="F107" s="523">
        <f t="shared" si="28"/>
        <v>7849211.3032473074</v>
      </c>
      <c r="G107" s="523">
        <f t="shared" si="29"/>
        <v>7970309.3398326728</v>
      </c>
      <c r="H107" s="526">
        <f t="shared" si="30"/>
        <v>1146939.571825762</v>
      </c>
      <c r="I107" s="577">
        <f t="shared" si="31"/>
        <v>1146939.571825762</v>
      </c>
      <c r="J107" s="514">
        <f t="shared" si="19"/>
        <v>0</v>
      </c>
      <c r="K107" s="514"/>
      <c r="L107" s="525"/>
      <c r="M107" s="514">
        <f t="shared" si="27"/>
        <v>0</v>
      </c>
      <c r="N107" s="525"/>
      <c r="O107" s="514">
        <f t="shared" si="21"/>
        <v>0</v>
      </c>
      <c r="P107" s="514">
        <f t="shared" si="22"/>
        <v>0</v>
      </c>
    </row>
    <row r="108" spans="1:16">
      <c r="B108" s="195" t="str">
        <f t="shared" si="23"/>
        <v/>
      </c>
      <c r="C108" s="507">
        <f>IF(D93="","-",+C107+1)</f>
        <v>2026</v>
      </c>
      <c r="D108" s="374">
        <f>IF(F107+SUM(E$99:E107)=D$92,F107,D$92-SUM(E$99:E107))</f>
        <v>7849211.3032473074</v>
      </c>
      <c r="E108" s="522">
        <f>IF(+J96&lt;F107,J96,D108)</f>
        <v>242196.07317073172</v>
      </c>
      <c r="F108" s="523">
        <f t="shared" si="28"/>
        <v>7607015.2300765757</v>
      </c>
      <c r="G108" s="523">
        <f t="shared" si="29"/>
        <v>7728113.266661942</v>
      </c>
      <c r="H108" s="526">
        <f t="shared" si="30"/>
        <v>1119446.871949499</v>
      </c>
      <c r="I108" s="577">
        <f t="shared" si="31"/>
        <v>1119446.871949499</v>
      </c>
      <c r="J108" s="514">
        <f t="shared" si="19"/>
        <v>0</v>
      </c>
      <c r="K108" s="514"/>
      <c r="L108" s="525"/>
      <c r="M108" s="514">
        <f t="shared" si="27"/>
        <v>0</v>
      </c>
      <c r="N108" s="525"/>
      <c r="O108" s="514">
        <f t="shared" si="21"/>
        <v>0</v>
      </c>
      <c r="P108" s="514">
        <f t="shared" si="22"/>
        <v>0</v>
      </c>
    </row>
    <row r="109" spans="1:16">
      <c r="B109" s="195" t="str">
        <f t="shared" si="23"/>
        <v/>
      </c>
      <c r="C109" s="507">
        <f>IF(D93="","-",+C108+1)</f>
        <v>2027</v>
      </c>
      <c r="D109" s="374">
        <f>IF(F108+SUM(E$99:E108)=D$92,F108,D$92-SUM(E$99:E108))</f>
        <v>7607015.2300765757</v>
      </c>
      <c r="E109" s="522">
        <f>IF(+J96&lt;F108,J96,D109)</f>
        <v>242196.07317073172</v>
      </c>
      <c r="F109" s="523">
        <f t="shared" si="28"/>
        <v>7364819.1569058439</v>
      </c>
      <c r="G109" s="523">
        <f t="shared" si="29"/>
        <v>7485917.1934912093</v>
      </c>
      <c r="H109" s="526">
        <f t="shared" si="30"/>
        <v>1091954.1720732355</v>
      </c>
      <c r="I109" s="577">
        <f t="shared" si="31"/>
        <v>1091954.1720732355</v>
      </c>
      <c r="J109" s="514">
        <f t="shared" si="19"/>
        <v>0</v>
      </c>
      <c r="K109" s="514"/>
      <c r="L109" s="525"/>
      <c r="M109" s="514">
        <f t="shared" si="27"/>
        <v>0</v>
      </c>
      <c r="N109" s="525"/>
      <c r="O109" s="514">
        <f t="shared" si="21"/>
        <v>0</v>
      </c>
      <c r="P109" s="514">
        <f t="shared" si="22"/>
        <v>0</v>
      </c>
    </row>
    <row r="110" spans="1:16">
      <c r="B110" s="195" t="str">
        <f t="shared" si="23"/>
        <v/>
      </c>
      <c r="C110" s="507">
        <f>IF(D93="","-",+C109+1)</f>
        <v>2028</v>
      </c>
      <c r="D110" s="374">
        <f>IF(F109+SUM(E$99:E109)=D$92,F109,D$92-SUM(E$99:E109))</f>
        <v>7364819.1569058439</v>
      </c>
      <c r="E110" s="522">
        <f>IF(+J96&lt;F109,J96,D110)</f>
        <v>242196.07317073172</v>
      </c>
      <c r="F110" s="523">
        <f t="shared" si="28"/>
        <v>7122623.0837351121</v>
      </c>
      <c r="G110" s="523">
        <f t="shared" si="29"/>
        <v>7243721.1203204785</v>
      </c>
      <c r="H110" s="526">
        <f t="shared" si="30"/>
        <v>1064461.4721969725</v>
      </c>
      <c r="I110" s="577">
        <f t="shared" si="31"/>
        <v>1064461.4721969725</v>
      </c>
      <c r="J110" s="514">
        <f t="shared" si="19"/>
        <v>0</v>
      </c>
      <c r="K110" s="514"/>
      <c r="L110" s="525"/>
      <c r="M110" s="514">
        <f t="shared" si="27"/>
        <v>0</v>
      </c>
      <c r="N110" s="525"/>
      <c r="O110" s="514">
        <f t="shared" si="21"/>
        <v>0</v>
      </c>
      <c r="P110" s="514">
        <f t="shared" si="22"/>
        <v>0</v>
      </c>
    </row>
    <row r="111" spans="1:16">
      <c r="B111" s="195" t="str">
        <f t="shared" si="23"/>
        <v/>
      </c>
      <c r="C111" s="507">
        <f>IF(D93="","-",+C110+1)</f>
        <v>2029</v>
      </c>
      <c r="D111" s="374">
        <f>IF(F110+SUM(E$99:E110)=D$92,F110,D$92-SUM(E$99:E110))</f>
        <v>7122623.0837351121</v>
      </c>
      <c r="E111" s="522">
        <f>IF(+J96&lt;F110,J96,D111)</f>
        <v>242196.07317073172</v>
      </c>
      <c r="F111" s="523">
        <f t="shared" si="28"/>
        <v>6880427.0105643803</v>
      </c>
      <c r="G111" s="523">
        <f t="shared" si="29"/>
        <v>7001525.0471497457</v>
      </c>
      <c r="H111" s="526">
        <f t="shared" si="30"/>
        <v>1036968.772320709</v>
      </c>
      <c r="I111" s="577">
        <f t="shared" si="31"/>
        <v>1036968.772320709</v>
      </c>
      <c r="J111" s="514">
        <f t="shared" si="19"/>
        <v>0</v>
      </c>
      <c r="K111" s="514"/>
      <c r="L111" s="525"/>
      <c r="M111" s="514">
        <f t="shared" si="27"/>
        <v>0</v>
      </c>
      <c r="N111" s="525"/>
      <c r="O111" s="514">
        <f t="shared" si="21"/>
        <v>0</v>
      </c>
      <c r="P111" s="514">
        <f t="shared" si="22"/>
        <v>0</v>
      </c>
    </row>
    <row r="112" spans="1:16">
      <c r="B112" s="195" t="str">
        <f t="shared" si="23"/>
        <v/>
      </c>
      <c r="C112" s="507">
        <f>IF(D93="","-",+C111+1)</f>
        <v>2030</v>
      </c>
      <c r="D112" s="374">
        <f>IF(F111+SUM(E$99:E111)=D$92,F111,D$92-SUM(E$99:E111))</f>
        <v>6880427.0105643803</v>
      </c>
      <c r="E112" s="522">
        <f>IF(+J96&lt;F111,J96,D112)</f>
        <v>242196.07317073172</v>
      </c>
      <c r="F112" s="523">
        <f t="shared" si="28"/>
        <v>6638230.9373936485</v>
      </c>
      <c r="G112" s="523">
        <f t="shared" si="29"/>
        <v>6759328.9739790149</v>
      </c>
      <c r="H112" s="526">
        <f t="shared" si="30"/>
        <v>1009476.0724444459</v>
      </c>
      <c r="I112" s="577">
        <f t="shared" si="31"/>
        <v>1009476.0724444459</v>
      </c>
      <c r="J112" s="514">
        <f t="shared" si="19"/>
        <v>0</v>
      </c>
      <c r="K112" s="514"/>
      <c r="L112" s="525"/>
      <c r="M112" s="514">
        <f t="shared" si="27"/>
        <v>0</v>
      </c>
      <c r="N112" s="525"/>
      <c r="O112" s="514">
        <f t="shared" si="21"/>
        <v>0</v>
      </c>
      <c r="P112" s="514">
        <f t="shared" si="22"/>
        <v>0</v>
      </c>
    </row>
    <row r="113" spans="2:16">
      <c r="B113" s="195" t="str">
        <f t="shared" si="23"/>
        <v/>
      </c>
      <c r="C113" s="507">
        <f>IF(D93="","-",+C112+1)</f>
        <v>2031</v>
      </c>
      <c r="D113" s="374">
        <f>IF(F112+SUM(E$99:E112)=D$92,F112,D$92-SUM(E$99:E112))</f>
        <v>6638230.9373936485</v>
      </c>
      <c r="E113" s="522">
        <f>IF(+J96&lt;F112,J96,D113)</f>
        <v>242196.07317073172</v>
      </c>
      <c r="F113" s="523">
        <f t="shared" si="28"/>
        <v>6396034.8642229168</v>
      </c>
      <c r="G113" s="523">
        <f t="shared" si="29"/>
        <v>6517132.9008082822</v>
      </c>
      <c r="H113" s="526">
        <f t="shared" si="30"/>
        <v>981983.37256818241</v>
      </c>
      <c r="I113" s="577">
        <f t="shared" si="31"/>
        <v>981983.37256818241</v>
      </c>
      <c r="J113" s="514">
        <f t="shared" si="19"/>
        <v>0</v>
      </c>
      <c r="K113" s="514"/>
      <c r="L113" s="525"/>
      <c r="M113" s="514">
        <f t="shared" si="27"/>
        <v>0</v>
      </c>
      <c r="N113" s="525"/>
      <c r="O113" s="514">
        <f t="shared" si="21"/>
        <v>0</v>
      </c>
      <c r="P113" s="514">
        <f t="shared" si="22"/>
        <v>0</v>
      </c>
    </row>
    <row r="114" spans="2:16">
      <c r="B114" s="195" t="str">
        <f t="shared" si="23"/>
        <v/>
      </c>
      <c r="C114" s="507">
        <f>IF(D93="","-",+C113+1)</f>
        <v>2032</v>
      </c>
      <c r="D114" s="374">
        <f>IF(F113+SUM(E$99:E113)=D$92,F113,D$92-SUM(E$99:E113))</f>
        <v>6396034.8642229168</v>
      </c>
      <c r="E114" s="522">
        <f>IF(+J96&lt;F113,J96,D114)</f>
        <v>242196.07317073172</v>
      </c>
      <c r="F114" s="523">
        <f t="shared" si="28"/>
        <v>6153838.791052185</v>
      </c>
      <c r="G114" s="523">
        <f t="shared" si="29"/>
        <v>6274936.8276375514</v>
      </c>
      <c r="H114" s="526">
        <f t="shared" si="30"/>
        <v>954490.67269191938</v>
      </c>
      <c r="I114" s="577">
        <f t="shared" si="31"/>
        <v>954490.67269191938</v>
      </c>
      <c r="J114" s="514">
        <f t="shared" si="19"/>
        <v>0</v>
      </c>
      <c r="K114" s="514"/>
      <c r="L114" s="525"/>
      <c r="M114" s="514">
        <f t="shared" si="27"/>
        <v>0</v>
      </c>
      <c r="N114" s="525"/>
      <c r="O114" s="514">
        <f t="shared" si="21"/>
        <v>0</v>
      </c>
      <c r="P114" s="514">
        <f t="shared" si="22"/>
        <v>0</v>
      </c>
    </row>
    <row r="115" spans="2:16">
      <c r="B115" s="195" t="str">
        <f t="shared" si="23"/>
        <v/>
      </c>
      <c r="C115" s="507">
        <f>IF(D93="","-",+C114+1)</f>
        <v>2033</v>
      </c>
      <c r="D115" s="374">
        <f>IF(F114+SUM(E$99:E114)=D$92,F114,D$92-SUM(E$99:E114))</f>
        <v>6153838.791052185</v>
      </c>
      <c r="E115" s="522">
        <f>IF(+J96&lt;F114,J96,D115)</f>
        <v>242196.07317073172</v>
      </c>
      <c r="F115" s="523">
        <f t="shared" si="28"/>
        <v>5911642.7178814532</v>
      </c>
      <c r="G115" s="523">
        <f t="shared" si="29"/>
        <v>6032740.7544668186</v>
      </c>
      <c r="H115" s="526">
        <f t="shared" si="30"/>
        <v>926997.9728156561</v>
      </c>
      <c r="I115" s="577">
        <f t="shared" si="31"/>
        <v>926997.9728156561</v>
      </c>
      <c r="J115" s="514">
        <f t="shared" si="19"/>
        <v>0</v>
      </c>
      <c r="K115" s="514"/>
      <c r="L115" s="525"/>
      <c r="M115" s="514">
        <f t="shared" si="27"/>
        <v>0</v>
      </c>
      <c r="N115" s="525"/>
      <c r="O115" s="514">
        <f t="shared" si="21"/>
        <v>0</v>
      </c>
      <c r="P115" s="514">
        <f t="shared" si="22"/>
        <v>0</v>
      </c>
    </row>
    <row r="116" spans="2:16">
      <c r="B116" s="195" t="str">
        <f t="shared" si="23"/>
        <v/>
      </c>
      <c r="C116" s="507">
        <f>IF(D93="","-",+C115+1)</f>
        <v>2034</v>
      </c>
      <c r="D116" s="374">
        <f>IF(F115+SUM(E$99:E115)=D$92,F115,D$92-SUM(E$99:E115))</f>
        <v>5911642.7178814532</v>
      </c>
      <c r="E116" s="522">
        <f>IF(+J96&lt;F115,J96,D116)</f>
        <v>242196.07317073172</v>
      </c>
      <c r="F116" s="523">
        <f t="shared" si="28"/>
        <v>5669446.6447107214</v>
      </c>
      <c r="G116" s="523">
        <f t="shared" si="29"/>
        <v>5790544.6812960878</v>
      </c>
      <c r="H116" s="526">
        <f t="shared" si="30"/>
        <v>899505.27293939283</v>
      </c>
      <c r="I116" s="577">
        <f t="shared" si="31"/>
        <v>899505.27293939283</v>
      </c>
      <c r="J116" s="514">
        <f t="shared" si="19"/>
        <v>0</v>
      </c>
      <c r="K116" s="514"/>
      <c r="L116" s="525"/>
      <c r="M116" s="514">
        <f t="shared" si="27"/>
        <v>0</v>
      </c>
      <c r="N116" s="525"/>
      <c r="O116" s="514">
        <f t="shared" si="21"/>
        <v>0</v>
      </c>
      <c r="P116" s="514">
        <f t="shared" si="22"/>
        <v>0</v>
      </c>
    </row>
    <row r="117" spans="2:16">
      <c r="B117" s="195" t="str">
        <f t="shared" si="23"/>
        <v/>
      </c>
      <c r="C117" s="507">
        <f>IF(D93="","-",+C116+1)</f>
        <v>2035</v>
      </c>
      <c r="D117" s="374">
        <f>IF(F116+SUM(E$99:E116)=D$92,F116,D$92-SUM(E$99:E116))</f>
        <v>5669446.6447107214</v>
      </c>
      <c r="E117" s="522">
        <f>IF(+J96&lt;F116,J96,D117)</f>
        <v>242196.07317073172</v>
      </c>
      <c r="F117" s="523">
        <f t="shared" si="28"/>
        <v>5427250.5715399897</v>
      </c>
      <c r="G117" s="523">
        <f t="shared" si="29"/>
        <v>5548348.6081253551</v>
      </c>
      <c r="H117" s="526">
        <f t="shared" si="30"/>
        <v>872012.57306312956</v>
      </c>
      <c r="I117" s="577">
        <f t="shared" si="31"/>
        <v>872012.57306312956</v>
      </c>
      <c r="J117" s="514">
        <f t="shared" si="19"/>
        <v>0</v>
      </c>
      <c r="K117" s="514"/>
      <c r="L117" s="525"/>
      <c r="M117" s="514">
        <f t="shared" si="27"/>
        <v>0</v>
      </c>
      <c r="N117" s="525"/>
      <c r="O117" s="514">
        <f t="shared" si="21"/>
        <v>0</v>
      </c>
      <c r="P117" s="514">
        <f t="shared" si="22"/>
        <v>0</v>
      </c>
    </row>
    <row r="118" spans="2:16">
      <c r="B118" s="195" t="str">
        <f t="shared" si="23"/>
        <v/>
      </c>
      <c r="C118" s="507">
        <f>IF(D93="","-",+C117+1)</f>
        <v>2036</v>
      </c>
      <c r="D118" s="374">
        <f>IF(F117+SUM(E$99:E117)=D$92,F117,D$92-SUM(E$99:E117))</f>
        <v>5427250.5715399897</v>
      </c>
      <c r="E118" s="522">
        <f>IF(+J96&lt;F117,J96,D118)</f>
        <v>242196.07317073172</v>
      </c>
      <c r="F118" s="523">
        <f t="shared" si="28"/>
        <v>5185054.4983692579</v>
      </c>
      <c r="G118" s="523">
        <f t="shared" si="29"/>
        <v>5306152.5349546243</v>
      </c>
      <c r="H118" s="526">
        <f t="shared" si="30"/>
        <v>844519.87318686629</v>
      </c>
      <c r="I118" s="577">
        <f t="shared" si="31"/>
        <v>844519.87318686629</v>
      </c>
      <c r="J118" s="514">
        <f t="shared" si="19"/>
        <v>0</v>
      </c>
      <c r="K118" s="514"/>
      <c r="L118" s="525"/>
      <c r="M118" s="514">
        <f t="shared" si="27"/>
        <v>0</v>
      </c>
      <c r="N118" s="525"/>
      <c r="O118" s="514">
        <f t="shared" si="21"/>
        <v>0</v>
      </c>
      <c r="P118" s="514">
        <f t="shared" si="22"/>
        <v>0</v>
      </c>
    </row>
    <row r="119" spans="2:16">
      <c r="B119" s="195" t="str">
        <f t="shared" si="23"/>
        <v/>
      </c>
      <c r="C119" s="507">
        <f>IF(D93="","-",+C118+1)</f>
        <v>2037</v>
      </c>
      <c r="D119" s="374">
        <f>IF(F118+SUM(E$99:E118)=D$92,F118,D$92-SUM(E$99:E118))</f>
        <v>5185054.4983692579</v>
      </c>
      <c r="E119" s="522">
        <f>IF(+J96&lt;F118,J96,D119)</f>
        <v>242196.07317073172</v>
      </c>
      <c r="F119" s="523">
        <f t="shared" si="28"/>
        <v>4942858.4251985261</v>
      </c>
      <c r="G119" s="523">
        <f t="shared" si="29"/>
        <v>5063956.4617838915</v>
      </c>
      <c r="H119" s="526">
        <f t="shared" si="30"/>
        <v>817027.17331060302</v>
      </c>
      <c r="I119" s="577">
        <f t="shared" si="31"/>
        <v>817027.17331060302</v>
      </c>
      <c r="J119" s="514">
        <f t="shared" si="19"/>
        <v>0</v>
      </c>
      <c r="K119" s="514"/>
      <c r="L119" s="525"/>
      <c r="M119" s="514">
        <f t="shared" si="27"/>
        <v>0</v>
      </c>
      <c r="N119" s="525"/>
      <c r="O119" s="514">
        <f t="shared" si="21"/>
        <v>0</v>
      </c>
      <c r="P119" s="514">
        <f t="shared" si="22"/>
        <v>0</v>
      </c>
    </row>
    <row r="120" spans="2:16">
      <c r="B120" s="195" t="str">
        <f t="shared" si="23"/>
        <v/>
      </c>
      <c r="C120" s="507">
        <f>IF(D93="","-",+C119+1)</f>
        <v>2038</v>
      </c>
      <c r="D120" s="374">
        <f>IF(F119+SUM(E$99:E119)=D$92,F119,D$92-SUM(E$99:E119))</f>
        <v>4942858.4251985261</v>
      </c>
      <c r="E120" s="522">
        <f>IF(+J96&lt;F119,J96,D120)</f>
        <v>242196.07317073172</v>
      </c>
      <c r="F120" s="523">
        <f t="shared" si="28"/>
        <v>4700662.3520277943</v>
      </c>
      <c r="G120" s="523">
        <f t="shared" si="29"/>
        <v>4821760.3886131607</v>
      </c>
      <c r="H120" s="526">
        <f t="shared" si="30"/>
        <v>789534.47343433974</v>
      </c>
      <c r="I120" s="577">
        <f t="shared" si="31"/>
        <v>789534.47343433974</v>
      </c>
      <c r="J120" s="514">
        <f t="shared" si="19"/>
        <v>0</v>
      </c>
      <c r="K120" s="514"/>
      <c r="L120" s="525"/>
      <c r="M120" s="514">
        <f t="shared" si="27"/>
        <v>0</v>
      </c>
      <c r="N120" s="525"/>
      <c r="O120" s="514">
        <f t="shared" si="21"/>
        <v>0</v>
      </c>
      <c r="P120" s="514">
        <f t="shared" si="22"/>
        <v>0</v>
      </c>
    </row>
    <row r="121" spans="2:16">
      <c r="B121" s="195" t="str">
        <f t="shared" si="23"/>
        <v/>
      </c>
      <c r="C121" s="507">
        <f>IF(D93="","-",+C120+1)</f>
        <v>2039</v>
      </c>
      <c r="D121" s="374">
        <f>IF(F120+SUM(E$99:E120)=D$92,F120,D$92-SUM(E$99:E120))</f>
        <v>4700662.3520277943</v>
      </c>
      <c r="E121" s="522">
        <f>IF(+J96&lt;F120,J96,D121)</f>
        <v>242196.07317073172</v>
      </c>
      <c r="F121" s="523">
        <f t="shared" si="28"/>
        <v>4458466.2788570626</v>
      </c>
      <c r="G121" s="523">
        <f t="shared" si="29"/>
        <v>4579564.315442428</v>
      </c>
      <c r="H121" s="526">
        <f t="shared" si="30"/>
        <v>762041.77355807647</v>
      </c>
      <c r="I121" s="577">
        <f t="shared" si="31"/>
        <v>762041.77355807647</v>
      </c>
      <c r="J121" s="514">
        <f t="shared" si="19"/>
        <v>0</v>
      </c>
      <c r="K121" s="514"/>
      <c r="L121" s="525"/>
      <c r="M121" s="514">
        <f t="shared" si="27"/>
        <v>0</v>
      </c>
      <c r="N121" s="525"/>
      <c r="O121" s="514">
        <f t="shared" si="21"/>
        <v>0</v>
      </c>
      <c r="P121" s="514">
        <f t="shared" si="22"/>
        <v>0</v>
      </c>
    </row>
    <row r="122" spans="2:16">
      <c r="B122" s="195" t="str">
        <f t="shared" si="23"/>
        <v/>
      </c>
      <c r="C122" s="507">
        <f>IF(D93="","-",+C121+1)</f>
        <v>2040</v>
      </c>
      <c r="D122" s="374">
        <f>IF(F121+SUM(E$99:E121)=D$92,F121,D$92-SUM(E$99:E121))</f>
        <v>4458466.2788570626</v>
      </c>
      <c r="E122" s="522">
        <f>IF(+J96&lt;F121,J96,D122)</f>
        <v>242196.07317073172</v>
      </c>
      <c r="F122" s="523">
        <f t="shared" si="28"/>
        <v>4216270.2056863308</v>
      </c>
      <c r="G122" s="523">
        <f t="shared" si="29"/>
        <v>4337368.2422716971</v>
      </c>
      <c r="H122" s="526">
        <f t="shared" si="30"/>
        <v>734549.07368181332</v>
      </c>
      <c r="I122" s="577">
        <f t="shared" si="31"/>
        <v>734549.07368181332</v>
      </c>
      <c r="J122" s="514">
        <f t="shared" si="19"/>
        <v>0</v>
      </c>
      <c r="K122" s="514"/>
      <c r="L122" s="525"/>
      <c r="M122" s="514">
        <f t="shared" si="27"/>
        <v>0</v>
      </c>
      <c r="N122" s="525"/>
      <c r="O122" s="514">
        <f t="shared" si="21"/>
        <v>0</v>
      </c>
      <c r="P122" s="514">
        <f t="shared" si="22"/>
        <v>0</v>
      </c>
    </row>
    <row r="123" spans="2:16">
      <c r="B123" s="195" t="str">
        <f t="shared" si="23"/>
        <v/>
      </c>
      <c r="C123" s="507">
        <f>IF(D93="","-",+C122+1)</f>
        <v>2041</v>
      </c>
      <c r="D123" s="374">
        <f>IF(F122+SUM(E$99:E122)=D$92,F122,D$92-SUM(E$99:E122))</f>
        <v>4216270.2056863308</v>
      </c>
      <c r="E123" s="522">
        <f>IF(+J96&lt;F122,J96,D123)</f>
        <v>242196.07317073172</v>
      </c>
      <c r="F123" s="523">
        <f t="shared" si="28"/>
        <v>3974074.132515599</v>
      </c>
      <c r="G123" s="523">
        <f t="shared" si="29"/>
        <v>4095172.1691009649</v>
      </c>
      <c r="H123" s="526">
        <f t="shared" si="30"/>
        <v>707056.37380555004</v>
      </c>
      <c r="I123" s="577">
        <f t="shared" si="31"/>
        <v>707056.37380555004</v>
      </c>
      <c r="J123" s="514">
        <f t="shared" si="19"/>
        <v>0</v>
      </c>
      <c r="K123" s="514"/>
      <c r="L123" s="525"/>
      <c r="M123" s="514">
        <f t="shared" si="27"/>
        <v>0</v>
      </c>
      <c r="N123" s="525"/>
      <c r="O123" s="514">
        <f t="shared" si="21"/>
        <v>0</v>
      </c>
      <c r="P123" s="514">
        <f t="shared" si="22"/>
        <v>0</v>
      </c>
    </row>
    <row r="124" spans="2:16">
      <c r="B124" s="195" t="str">
        <f t="shared" si="23"/>
        <v/>
      </c>
      <c r="C124" s="507">
        <f>IF(D93="","-",+C123+1)</f>
        <v>2042</v>
      </c>
      <c r="D124" s="374">
        <f>IF(F123+SUM(E$99:E123)=D$92,F123,D$92-SUM(E$99:E123))</f>
        <v>3974074.132515599</v>
      </c>
      <c r="E124" s="522">
        <f>IF(+J96&lt;F123,J96,D124)</f>
        <v>242196.07317073172</v>
      </c>
      <c r="F124" s="523">
        <f t="shared" si="28"/>
        <v>3731878.0593448672</v>
      </c>
      <c r="G124" s="523">
        <f t="shared" si="29"/>
        <v>3852976.0959302331</v>
      </c>
      <c r="H124" s="526">
        <f t="shared" si="30"/>
        <v>679563.67392928677</v>
      </c>
      <c r="I124" s="577">
        <f t="shared" si="31"/>
        <v>679563.67392928677</v>
      </c>
      <c r="J124" s="514">
        <f t="shared" si="19"/>
        <v>0</v>
      </c>
      <c r="K124" s="514"/>
      <c r="L124" s="525"/>
      <c r="M124" s="514">
        <f t="shared" si="27"/>
        <v>0</v>
      </c>
      <c r="N124" s="525"/>
      <c r="O124" s="514">
        <f t="shared" si="21"/>
        <v>0</v>
      </c>
      <c r="P124" s="514">
        <f t="shared" si="22"/>
        <v>0</v>
      </c>
    </row>
    <row r="125" spans="2:16">
      <c r="B125" s="195" t="str">
        <f t="shared" si="23"/>
        <v/>
      </c>
      <c r="C125" s="507">
        <f>IF(D93="","-",+C124+1)</f>
        <v>2043</v>
      </c>
      <c r="D125" s="374">
        <f>IF(F124+SUM(E$99:E124)=D$92,F124,D$92-SUM(E$99:E124))</f>
        <v>3731878.0593448672</v>
      </c>
      <c r="E125" s="522">
        <f>IF(+J96&lt;F124,J96,D125)</f>
        <v>242196.07317073172</v>
      </c>
      <c r="F125" s="523">
        <f t="shared" si="28"/>
        <v>3489681.9861741355</v>
      </c>
      <c r="G125" s="523">
        <f t="shared" si="29"/>
        <v>3610780.0227595014</v>
      </c>
      <c r="H125" s="526">
        <f t="shared" si="30"/>
        <v>652070.9740530235</v>
      </c>
      <c r="I125" s="577">
        <f t="shared" si="31"/>
        <v>652070.9740530235</v>
      </c>
      <c r="J125" s="514">
        <f t="shared" si="19"/>
        <v>0</v>
      </c>
      <c r="K125" s="514"/>
      <c r="L125" s="525"/>
      <c r="M125" s="514">
        <f t="shared" si="27"/>
        <v>0</v>
      </c>
      <c r="N125" s="525"/>
      <c r="O125" s="514">
        <f t="shared" si="21"/>
        <v>0</v>
      </c>
      <c r="P125" s="514">
        <f t="shared" si="22"/>
        <v>0</v>
      </c>
    </row>
    <row r="126" spans="2:16">
      <c r="B126" s="195" t="str">
        <f t="shared" si="23"/>
        <v/>
      </c>
      <c r="C126" s="507">
        <f>IF(D93="","-",+C125+1)</f>
        <v>2044</v>
      </c>
      <c r="D126" s="374">
        <f>IF(F125+SUM(E$99:E125)=D$92,F125,D$92-SUM(E$99:E125))</f>
        <v>3489681.9861741355</v>
      </c>
      <c r="E126" s="522">
        <f>IF(+J96&lt;F125,J96,D126)</f>
        <v>242196.07317073172</v>
      </c>
      <c r="F126" s="523">
        <f t="shared" si="28"/>
        <v>3247485.9130034037</v>
      </c>
      <c r="G126" s="523">
        <f t="shared" si="29"/>
        <v>3368583.9495887696</v>
      </c>
      <c r="H126" s="526">
        <f t="shared" si="30"/>
        <v>624578.27417676034</v>
      </c>
      <c r="I126" s="577">
        <f t="shared" si="31"/>
        <v>624578.27417676034</v>
      </c>
      <c r="J126" s="514">
        <f t="shared" si="19"/>
        <v>0</v>
      </c>
      <c r="K126" s="514"/>
      <c r="L126" s="525"/>
      <c r="M126" s="514">
        <f t="shared" si="27"/>
        <v>0</v>
      </c>
      <c r="N126" s="525"/>
      <c r="O126" s="514">
        <f t="shared" si="21"/>
        <v>0</v>
      </c>
      <c r="P126" s="514">
        <f t="shared" si="22"/>
        <v>0</v>
      </c>
    </row>
    <row r="127" spans="2:16">
      <c r="B127" s="195" t="str">
        <f t="shared" si="23"/>
        <v/>
      </c>
      <c r="C127" s="507">
        <f>IF(D93="","-",+C126+1)</f>
        <v>2045</v>
      </c>
      <c r="D127" s="374">
        <f>IF(F126+SUM(E$99:E126)=D$92,F126,D$92-SUM(E$99:E126))</f>
        <v>3247485.9130034037</v>
      </c>
      <c r="E127" s="522">
        <f>IF(+J96&lt;F126,J96,D127)</f>
        <v>242196.07317073172</v>
      </c>
      <c r="F127" s="523">
        <f t="shared" si="28"/>
        <v>3005289.8398326719</v>
      </c>
      <c r="G127" s="523">
        <f t="shared" si="29"/>
        <v>3126387.8764180378</v>
      </c>
      <c r="H127" s="526">
        <f t="shared" si="30"/>
        <v>597085.57430049707</v>
      </c>
      <c r="I127" s="577">
        <f t="shared" si="31"/>
        <v>597085.57430049707</v>
      </c>
      <c r="J127" s="514">
        <f t="shared" si="19"/>
        <v>0</v>
      </c>
      <c r="K127" s="514"/>
      <c r="L127" s="525"/>
      <c r="M127" s="514">
        <f t="shared" si="27"/>
        <v>0</v>
      </c>
      <c r="N127" s="525"/>
      <c r="O127" s="514">
        <f t="shared" si="21"/>
        <v>0</v>
      </c>
      <c r="P127" s="514">
        <f t="shared" si="22"/>
        <v>0</v>
      </c>
    </row>
    <row r="128" spans="2:16">
      <c r="B128" s="195" t="str">
        <f t="shared" si="23"/>
        <v/>
      </c>
      <c r="C128" s="507">
        <f>IF(D93="","-",+C127+1)</f>
        <v>2046</v>
      </c>
      <c r="D128" s="374">
        <f>IF(F127+SUM(E$99:E127)=D$92,F127,D$92-SUM(E$99:E127))</f>
        <v>3005289.8398326719</v>
      </c>
      <c r="E128" s="522">
        <f>IF(+J96&lt;F127,J96,D128)</f>
        <v>242196.07317073172</v>
      </c>
      <c r="F128" s="523">
        <f t="shared" si="28"/>
        <v>2763093.7666619401</v>
      </c>
      <c r="G128" s="523">
        <f t="shared" si="29"/>
        <v>2884191.803247306</v>
      </c>
      <c r="H128" s="526">
        <f t="shared" si="30"/>
        <v>569592.8744242338</v>
      </c>
      <c r="I128" s="577">
        <f t="shared" si="31"/>
        <v>569592.8744242338</v>
      </c>
      <c r="J128" s="514">
        <f t="shared" si="19"/>
        <v>0</v>
      </c>
      <c r="K128" s="514"/>
      <c r="L128" s="525"/>
      <c r="M128" s="514">
        <f t="shared" si="27"/>
        <v>0</v>
      </c>
      <c r="N128" s="525"/>
      <c r="O128" s="514">
        <f t="shared" si="21"/>
        <v>0</v>
      </c>
      <c r="P128" s="514">
        <f t="shared" si="22"/>
        <v>0</v>
      </c>
    </row>
    <row r="129" spans="2:16">
      <c r="B129" s="195" t="str">
        <f t="shared" si="23"/>
        <v/>
      </c>
      <c r="C129" s="507">
        <f>IF(D93="","-",+C128+1)</f>
        <v>2047</v>
      </c>
      <c r="D129" s="374">
        <f>IF(F128+SUM(E$99:E128)=D$92,F128,D$92-SUM(E$99:E128))</f>
        <v>2763093.7666619401</v>
      </c>
      <c r="E129" s="522">
        <f>IF(+J96&lt;F128,J96,D129)</f>
        <v>242196.07317073172</v>
      </c>
      <c r="F129" s="523">
        <f t="shared" si="28"/>
        <v>2520897.6934912084</v>
      </c>
      <c r="G129" s="523">
        <f t="shared" si="29"/>
        <v>2641995.7300765743</v>
      </c>
      <c r="H129" s="526">
        <f t="shared" si="30"/>
        <v>542100.17454797053</v>
      </c>
      <c r="I129" s="577">
        <f t="shared" si="31"/>
        <v>542100.17454797053</v>
      </c>
      <c r="J129" s="514">
        <f t="shared" si="19"/>
        <v>0</v>
      </c>
      <c r="K129" s="514"/>
      <c r="L129" s="525"/>
      <c r="M129" s="514">
        <f t="shared" si="27"/>
        <v>0</v>
      </c>
      <c r="N129" s="525"/>
      <c r="O129" s="514">
        <f t="shared" si="21"/>
        <v>0</v>
      </c>
      <c r="P129" s="514">
        <f t="shared" si="22"/>
        <v>0</v>
      </c>
    </row>
    <row r="130" spans="2:16">
      <c r="B130" s="195" t="str">
        <f t="shared" si="23"/>
        <v/>
      </c>
      <c r="C130" s="507">
        <f>IF(D93="","-",+C129+1)</f>
        <v>2048</v>
      </c>
      <c r="D130" s="374">
        <f>IF(F129+SUM(E$99:E129)=D$92,F129,D$92-SUM(E$99:E129))</f>
        <v>2520897.6934912084</v>
      </c>
      <c r="E130" s="522">
        <f>IF(+J96&lt;F129,J96,D130)</f>
        <v>242196.07317073172</v>
      </c>
      <c r="F130" s="523">
        <f t="shared" si="28"/>
        <v>2278701.6203204766</v>
      </c>
      <c r="G130" s="523">
        <f t="shared" si="29"/>
        <v>2399799.6569058425</v>
      </c>
      <c r="H130" s="526">
        <f t="shared" si="30"/>
        <v>514607.47467170726</v>
      </c>
      <c r="I130" s="577">
        <f t="shared" si="31"/>
        <v>514607.47467170726</v>
      </c>
      <c r="J130" s="514">
        <f t="shared" si="19"/>
        <v>0</v>
      </c>
      <c r="K130" s="514"/>
      <c r="L130" s="525"/>
      <c r="M130" s="514">
        <f t="shared" si="27"/>
        <v>0</v>
      </c>
      <c r="N130" s="525"/>
      <c r="O130" s="514">
        <f t="shared" si="21"/>
        <v>0</v>
      </c>
      <c r="P130" s="514">
        <f t="shared" si="22"/>
        <v>0</v>
      </c>
    </row>
    <row r="131" spans="2:16">
      <c r="B131" s="195" t="str">
        <f t="shared" si="23"/>
        <v/>
      </c>
      <c r="C131" s="507">
        <f>IF(D93="","-",+C130+1)</f>
        <v>2049</v>
      </c>
      <c r="D131" s="374">
        <f>IF(F130+SUM(E$99:E130)=D$92,F130,D$92-SUM(E$99:E130))</f>
        <v>2278701.6203204766</v>
      </c>
      <c r="E131" s="522">
        <f>IF(+J96&lt;F130,J96,D131)</f>
        <v>242196.07317073172</v>
      </c>
      <c r="F131" s="523">
        <f t="shared" si="28"/>
        <v>2036505.5471497448</v>
      </c>
      <c r="G131" s="523">
        <f t="shared" si="29"/>
        <v>2157603.5837351107</v>
      </c>
      <c r="H131" s="526">
        <f t="shared" si="30"/>
        <v>487114.77479544398</v>
      </c>
      <c r="I131" s="577">
        <f t="shared" si="31"/>
        <v>487114.77479544398</v>
      </c>
      <c r="J131" s="514">
        <f t="shared" ref="J131:J154" si="32">+I541-H541</f>
        <v>0</v>
      </c>
      <c r="K131" s="514"/>
      <c r="L131" s="525"/>
      <c r="M131" s="514">
        <f t="shared" ref="M131:M154" si="33">IF(L541&lt;&gt;0,+H541-L541,0)</f>
        <v>0</v>
      </c>
      <c r="N131" s="525"/>
      <c r="O131" s="514">
        <f t="shared" ref="O131:O154" si="34">IF(N541&lt;&gt;0,+I541-N541,0)</f>
        <v>0</v>
      </c>
      <c r="P131" s="514">
        <f t="shared" ref="P131:P154" si="35">+O541-M541</f>
        <v>0</v>
      </c>
    </row>
    <row r="132" spans="2:16">
      <c r="B132" s="195" t="str">
        <f t="shared" si="23"/>
        <v/>
      </c>
      <c r="C132" s="507">
        <f>IF(D93="","-",+C131+1)</f>
        <v>2050</v>
      </c>
      <c r="D132" s="374">
        <f>IF(F131+SUM(E$99:E131)=D$92,F131,D$92-SUM(E$99:E131))</f>
        <v>2036505.5471497448</v>
      </c>
      <c r="E132" s="522">
        <f>IF(+J96&lt;F131,J96,D132)</f>
        <v>242196.07317073172</v>
      </c>
      <c r="F132" s="523">
        <f t="shared" si="28"/>
        <v>1794309.473979013</v>
      </c>
      <c r="G132" s="523">
        <f t="shared" si="29"/>
        <v>1915407.5105643789</v>
      </c>
      <c r="H132" s="526">
        <f t="shared" si="30"/>
        <v>459622.07491918071</v>
      </c>
      <c r="I132" s="577">
        <f t="shared" si="31"/>
        <v>459622.07491918071</v>
      </c>
      <c r="J132" s="514">
        <f t="shared" si="32"/>
        <v>0</v>
      </c>
      <c r="K132" s="514"/>
      <c r="L132" s="525"/>
      <c r="M132" s="514">
        <f t="shared" si="33"/>
        <v>0</v>
      </c>
      <c r="N132" s="525"/>
      <c r="O132" s="514">
        <f t="shared" si="34"/>
        <v>0</v>
      </c>
      <c r="P132" s="514">
        <f t="shared" si="35"/>
        <v>0</v>
      </c>
    </row>
    <row r="133" spans="2:16">
      <c r="B133" s="195" t="str">
        <f t="shared" si="23"/>
        <v/>
      </c>
      <c r="C133" s="507">
        <f>IF(D93="","-",+C132+1)</f>
        <v>2051</v>
      </c>
      <c r="D133" s="374">
        <f>IF(F132+SUM(E$99:E132)=D$92,F132,D$92-SUM(E$99:E132))</f>
        <v>1794309.473979013</v>
      </c>
      <c r="E133" s="522">
        <f>IF(+J96&lt;F132,J96,D133)</f>
        <v>242196.07317073172</v>
      </c>
      <c r="F133" s="523">
        <f t="shared" si="28"/>
        <v>1552113.4008082813</v>
      </c>
      <c r="G133" s="523">
        <f t="shared" si="29"/>
        <v>1673211.4373936472</v>
      </c>
      <c r="H133" s="526">
        <f t="shared" si="30"/>
        <v>432129.37504291744</v>
      </c>
      <c r="I133" s="577">
        <f t="shared" si="31"/>
        <v>432129.37504291744</v>
      </c>
      <c r="J133" s="514">
        <f t="shared" si="32"/>
        <v>0</v>
      </c>
      <c r="K133" s="514"/>
      <c r="L133" s="525"/>
      <c r="M133" s="514">
        <f t="shared" si="33"/>
        <v>0</v>
      </c>
      <c r="N133" s="525"/>
      <c r="O133" s="514">
        <f t="shared" si="34"/>
        <v>0</v>
      </c>
      <c r="P133" s="514">
        <f t="shared" si="35"/>
        <v>0</v>
      </c>
    </row>
    <row r="134" spans="2:16">
      <c r="B134" s="195" t="str">
        <f t="shared" si="23"/>
        <v/>
      </c>
      <c r="C134" s="507">
        <f>IF(D93="","-",+C133+1)</f>
        <v>2052</v>
      </c>
      <c r="D134" s="374">
        <f>IF(F133+SUM(E$99:E133)=D$92,F133,D$92-SUM(E$99:E133))</f>
        <v>1552113.4008082813</v>
      </c>
      <c r="E134" s="522">
        <f>IF(+J96&lt;F133,J96,D134)</f>
        <v>242196.07317073172</v>
      </c>
      <c r="F134" s="523">
        <f t="shared" si="28"/>
        <v>1309917.3276375495</v>
      </c>
      <c r="G134" s="523">
        <f t="shared" si="29"/>
        <v>1431015.3642229154</v>
      </c>
      <c r="H134" s="526">
        <f t="shared" si="30"/>
        <v>404636.67516665423</v>
      </c>
      <c r="I134" s="577">
        <f t="shared" si="31"/>
        <v>404636.67516665423</v>
      </c>
      <c r="J134" s="514">
        <f t="shared" si="32"/>
        <v>0</v>
      </c>
      <c r="K134" s="514"/>
      <c r="L134" s="525"/>
      <c r="M134" s="514">
        <f t="shared" si="33"/>
        <v>0</v>
      </c>
      <c r="N134" s="525"/>
      <c r="O134" s="514">
        <f t="shared" si="34"/>
        <v>0</v>
      </c>
      <c r="P134" s="514">
        <f t="shared" si="35"/>
        <v>0</v>
      </c>
    </row>
    <row r="135" spans="2:16">
      <c r="B135" s="195" t="str">
        <f t="shared" si="23"/>
        <v/>
      </c>
      <c r="C135" s="507">
        <f>IF(D93="","-",+C134+1)</f>
        <v>2053</v>
      </c>
      <c r="D135" s="374">
        <f>IF(F134+SUM(E$99:E134)=D$92,F134,D$92-SUM(E$99:E134))</f>
        <v>1309917.3276375495</v>
      </c>
      <c r="E135" s="522">
        <f>IF(+J96&lt;F134,J96,D135)</f>
        <v>242196.07317073172</v>
      </c>
      <c r="F135" s="523">
        <f t="shared" si="28"/>
        <v>1067721.2544668177</v>
      </c>
      <c r="G135" s="523">
        <f t="shared" si="29"/>
        <v>1188819.2910521836</v>
      </c>
      <c r="H135" s="526">
        <f t="shared" si="30"/>
        <v>377143.97529039095</v>
      </c>
      <c r="I135" s="577">
        <f t="shared" si="31"/>
        <v>377143.97529039095</v>
      </c>
      <c r="J135" s="514">
        <f t="shared" si="32"/>
        <v>0</v>
      </c>
      <c r="K135" s="514"/>
      <c r="L135" s="525"/>
      <c r="M135" s="514">
        <f t="shared" si="33"/>
        <v>0</v>
      </c>
      <c r="N135" s="525"/>
      <c r="O135" s="514">
        <f t="shared" si="34"/>
        <v>0</v>
      </c>
      <c r="P135" s="514">
        <f t="shared" si="35"/>
        <v>0</v>
      </c>
    </row>
    <row r="136" spans="2:16">
      <c r="B136" s="195" t="str">
        <f t="shared" si="23"/>
        <v/>
      </c>
      <c r="C136" s="507">
        <f>IF(D93="","-",+C135+1)</f>
        <v>2054</v>
      </c>
      <c r="D136" s="374">
        <f>IF(F135+SUM(E$99:E135)=D$92,F135,D$92-SUM(E$99:E135))</f>
        <v>1067721.2544668177</v>
      </c>
      <c r="E136" s="522">
        <f>IF(+J96&lt;F135,J96,D136)</f>
        <v>242196.07317073172</v>
      </c>
      <c r="F136" s="523">
        <f t="shared" si="28"/>
        <v>825525.18129608594</v>
      </c>
      <c r="G136" s="523">
        <f t="shared" si="29"/>
        <v>946623.21788145183</v>
      </c>
      <c r="H136" s="526">
        <f t="shared" si="30"/>
        <v>349651.27541412768</v>
      </c>
      <c r="I136" s="577">
        <f t="shared" si="31"/>
        <v>349651.27541412768</v>
      </c>
      <c r="J136" s="514">
        <f t="shared" si="32"/>
        <v>0</v>
      </c>
      <c r="K136" s="514"/>
      <c r="L136" s="525"/>
      <c r="M136" s="514">
        <f t="shared" si="33"/>
        <v>0</v>
      </c>
      <c r="N136" s="525"/>
      <c r="O136" s="514">
        <f t="shared" si="34"/>
        <v>0</v>
      </c>
      <c r="P136" s="514">
        <f t="shared" si="35"/>
        <v>0</v>
      </c>
    </row>
    <row r="137" spans="2:16">
      <c r="B137" s="195" t="str">
        <f t="shared" si="23"/>
        <v/>
      </c>
      <c r="C137" s="507">
        <f>IF(D93="","-",+C136+1)</f>
        <v>2055</v>
      </c>
      <c r="D137" s="374">
        <f>IF(F136+SUM(E$99:E136)=D$92,F136,D$92-SUM(E$99:E136))</f>
        <v>825525.18129608594</v>
      </c>
      <c r="E137" s="522">
        <f>IF(+J96&lt;F136,J96,D137)</f>
        <v>242196.07317073172</v>
      </c>
      <c r="F137" s="523">
        <f t="shared" si="28"/>
        <v>583329.10812535416</v>
      </c>
      <c r="G137" s="523">
        <f t="shared" si="29"/>
        <v>704427.14471072005</v>
      </c>
      <c r="H137" s="526">
        <f t="shared" si="30"/>
        <v>322158.57553786447</v>
      </c>
      <c r="I137" s="577">
        <f t="shared" si="31"/>
        <v>322158.57553786447</v>
      </c>
      <c r="J137" s="514">
        <f t="shared" si="32"/>
        <v>0</v>
      </c>
      <c r="K137" s="514"/>
      <c r="L137" s="525"/>
      <c r="M137" s="514">
        <f t="shared" si="33"/>
        <v>0</v>
      </c>
      <c r="N137" s="525"/>
      <c r="O137" s="514">
        <f t="shared" si="34"/>
        <v>0</v>
      </c>
      <c r="P137" s="514">
        <f t="shared" si="35"/>
        <v>0</v>
      </c>
    </row>
    <row r="138" spans="2:16">
      <c r="B138" s="195" t="str">
        <f t="shared" si="23"/>
        <v/>
      </c>
      <c r="C138" s="507">
        <f>IF(D93="","-",+C137+1)</f>
        <v>2056</v>
      </c>
      <c r="D138" s="374">
        <f>IF(F137+SUM(E$99:E137)=D$92,F137,D$92-SUM(E$99:E137))</f>
        <v>583329.10812535416</v>
      </c>
      <c r="E138" s="522">
        <f>IF(+J96&lt;F137,J96,D138)</f>
        <v>242196.07317073172</v>
      </c>
      <c r="F138" s="523">
        <f t="shared" si="28"/>
        <v>341133.03495462245</v>
      </c>
      <c r="G138" s="523">
        <f t="shared" si="29"/>
        <v>462231.07153998828</v>
      </c>
      <c r="H138" s="526">
        <f t="shared" si="30"/>
        <v>294665.8756616012</v>
      </c>
      <c r="I138" s="577">
        <f t="shared" si="31"/>
        <v>294665.8756616012</v>
      </c>
      <c r="J138" s="514">
        <f t="shared" si="32"/>
        <v>0</v>
      </c>
      <c r="K138" s="514"/>
      <c r="L138" s="525"/>
      <c r="M138" s="514">
        <f t="shared" si="33"/>
        <v>0</v>
      </c>
      <c r="N138" s="525"/>
      <c r="O138" s="514">
        <f t="shared" si="34"/>
        <v>0</v>
      </c>
      <c r="P138" s="514">
        <f t="shared" si="35"/>
        <v>0</v>
      </c>
    </row>
    <row r="139" spans="2:16">
      <c r="B139" s="195" t="str">
        <f t="shared" si="23"/>
        <v/>
      </c>
      <c r="C139" s="507">
        <f>IF(D93="","-",+C138+1)</f>
        <v>2057</v>
      </c>
      <c r="D139" s="374">
        <f>IF(F138+SUM(E$99:E138)=D$92,F138,D$92-SUM(E$99:E138))</f>
        <v>341133.03495462245</v>
      </c>
      <c r="E139" s="522">
        <f>IF(+J96&lt;F138,J96,D139)</f>
        <v>242196.07317073172</v>
      </c>
      <c r="F139" s="523">
        <f t="shared" si="28"/>
        <v>98936.961783890729</v>
      </c>
      <c r="G139" s="523">
        <f t="shared" si="29"/>
        <v>220034.99836925659</v>
      </c>
      <c r="H139" s="526">
        <f t="shared" si="30"/>
        <v>267173.17578533792</v>
      </c>
      <c r="I139" s="577">
        <f t="shared" si="31"/>
        <v>267173.17578533792</v>
      </c>
      <c r="J139" s="514">
        <f t="shared" si="32"/>
        <v>0</v>
      </c>
      <c r="K139" s="514"/>
      <c r="L139" s="525"/>
      <c r="M139" s="514">
        <f t="shared" si="33"/>
        <v>0</v>
      </c>
      <c r="N139" s="525"/>
      <c r="O139" s="514">
        <f t="shared" si="34"/>
        <v>0</v>
      </c>
      <c r="P139" s="514">
        <f t="shared" si="35"/>
        <v>0</v>
      </c>
    </row>
    <row r="140" spans="2:16">
      <c r="B140" s="195" t="str">
        <f t="shared" si="23"/>
        <v/>
      </c>
      <c r="C140" s="507">
        <f>IF(D93="","-",+C139+1)</f>
        <v>2058</v>
      </c>
      <c r="D140" s="374">
        <f>IF(F139+SUM(E$99:E139)=D$92,F139,D$92-SUM(E$99:E139))</f>
        <v>98936.961783890729</v>
      </c>
      <c r="E140" s="522">
        <f>IF(+J96&lt;F139,J96,D140)</f>
        <v>98936.961783890729</v>
      </c>
      <c r="F140" s="523">
        <f t="shared" si="28"/>
        <v>0</v>
      </c>
      <c r="G140" s="523">
        <f t="shared" si="29"/>
        <v>49468.480891945364</v>
      </c>
      <c r="H140" s="526">
        <f t="shared" si="30"/>
        <v>104552.33812212803</v>
      </c>
      <c r="I140" s="577">
        <f t="shared" si="31"/>
        <v>104552.33812212803</v>
      </c>
      <c r="J140" s="514">
        <f t="shared" si="32"/>
        <v>0</v>
      </c>
      <c r="K140" s="514"/>
      <c r="L140" s="525"/>
      <c r="M140" s="514">
        <f t="shared" si="33"/>
        <v>0</v>
      </c>
      <c r="N140" s="525"/>
      <c r="O140" s="514">
        <f t="shared" si="34"/>
        <v>0</v>
      </c>
      <c r="P140" s="514">
        <f t="shared" si="35"/>
        <v>0</v>
      </c>
    </row>
    <row r="141" spans="2:16">
      <c r="B141" s="195" t="str">
        <f t="shared" si="23"/>
        <v/>
      </c>
      <c r="C141" s="507">
        <f>IF(D93="","-",+C140+1)</f>
        <v>2059</v>
      </c>
      <c r="D141" s="374">
        <f>IF(F140+SUM(E$99:E140)=D$92,F140,D$92-SUM(E$99:E140))</f>
        <v>0</v>
      </c>
      <c r="E141" s="522">
        <f>IF(+J96&lt;F140,J96,D141)</f>
        <v>0</v>
      </c>
      <c r="F141" s="523">
        <f t="shared" si="28"/>
        <v>0</v>
      </c>
      <c r="G141" s="523">
        <f t="shared" si="29"/>
        <v>0</v>
      </c>
      <c r="H141" s="526">
        <f t="shared" si="30"/>
        <v>0</v>
      </c>
      <c r="I141" s="577">
        <f t="shared" si="31"/>
        <v>0</v>
      </c>
      <c r="J141" s="514">
        <f t="shared" si="32"/>
        <v>0</v>
      </c>
      <c r="K141" s="514"/>
      <c r="L141" s="525"/>
      <c r="M141" s="514">
        <f t="shared" si="33"/>
        <v>0</v>
      </c>
      <c r="N141" s="525"/>
      <c r="O141" s="514">
        <f t="shared" si="34"/>
        <v>0</v>
      </c>
      <c r="P141" s="514">
        <f t="shared" si="35"/>
        <v>0</v>
      </c>
    </row>
    <row r="142" spans="2:16">
      <c r="B142" s="195" t="str">
        <f t="shared" si="23"/>
        <v/>
      </c>
      <c r="C142" s="507">
        <f>IF(D93="","-",+C141+1)</f>
        <v>2060</v>
      </c>
      <c r="D142" s="374">
        <f>IF(F141+SUM(E$99:E141)=D$92,F141,D$92-SUM(E$99:E141))</f>
        <v>0</v>
      </c>
      <c r="E142" s="522">
        <f>IF(+J96&lt;F141,J96,D142)</f>
        <v>0</v>
      </c>
      <c r="F142" s="523">
        <f t="shared" si="28"/>
        <v>0</v>
      </c>
      <c r="G142" s="523">
        <f t="shared" si="29"/>
        <v>0</v>
      </c>
      <c r="H142" s="526">
        <f t="shared" si="30"/>
        <v>0</v>
      </c>
      <c r="I142" s="577">
        <f t="shared" si="31"/>
        <v>0</v>
      </c>
      <c r="J142" s="514">
        <f t="shared" si="32"/>
        <v>0</v>
      </c>
      <c r="K142" s="514"/>
      <c r="L142" s="525"/>
      <c r="M142" s="514">
        <f t="shared" si="33"/>
        <v>0</v>
      </c>
      <c r="N142" s="525"/>
      <c r="O142" s="514">
        <f t="shared" si="34"/>
        <v>0</v>
      </c>
      <c r="P142" s="514">
        <f t="shared" si="35"/>
        <v>0</v>
      </c>
    </row>
    <row r="143" spans="2:16">
      <c r="B143" s="195" t="str">
        <f t="shared" si="23"/>
        <v/>
      </c>
      <c r="C143" s="507">
        <f>IF(D93="","-",+C142+1)</f>
        <v>2061</v>
      </c>
      <c r="D143" s="374">
        <f>IF(F142+SUM(E$99:E142)=D$92,F142,D$92-SUM(E$99:E142))</f>
        <v>0</v>
      </c>
      <c r="E143" s="522">
        <f>IF(+J96&lt;F142,J96,D143)</f>
        <v>0</v>
      </c>
      <c r="F143" s="523">
        <f t="shared" si="28"/>
        <v>0</v>
      </c>
      <c r="G143" s="523">
        <f t="shared" si="29"/>
        <v>0</v>
      </c>
      <c r="H143" s="526">
        <f t="shared" si="30"/>
        <v>0</v>
      </c>
      <c r="I143" s="577">
        <f t="shared" si="31"/>
        <v>0</v>
      </c>
      <c r="J143" s="514">
        <f t="shared" si="32"/>
        <v>0</v>
      </c>
      <c r="K143" s="514"/>
      <c r="L143" s="525"/>
      <c r="M143" s="514">
        <f t="shared" si="33"/>
        <v>0</v>
      </c>
      <c r="N143" s="525"/>
      <c r="O143" s="514">
        <f t="shared" si="34"/>
        <v>0</v>
      </c>
      <c r="P143" s="514">
        <f t="shared" si="35"/>
        <v>0</v>
      </c>
    </row>
    <row r="144" spans="2:16">
      <c r="B144" s="195" t="str">
        <f t="shared" si="23"/>
        <v/>
      </c>
      <c r="C144" s="507">
        <f>IF(D93="","-",+C143+1)</f>
        <v>2062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28"/>
        <v>0</v>
      </c>
      <c r="G144" s="523">
        <f t="shared" si="29"/>
        <v>0</v>
      </c>
      <c r="H144" s="526">
        <f t="shared" si="30"/>
        <v>0</v>
      </c>
      <c r="I144" s="577">
        <f t="shared" si="31"/>
        <v>0</v>
      </c>
      <c r="J144" s="514">
        <f t="shared" si="32"/>
        <v>0</v>
      </c>
      <c r="K144" s="514"/>
      <c r="L144" s="525"/>
      <c r="M144" s="514">
        <f t="shared" si="33"/>
        <v>0</v>
      </c>
      <c r="N144" s="525"/>
      <c r="O144" s="514">
        <f t="shared" si="34"/>
        <v>0</v>
      </c>
      <c r="P144" s="514">
        <f t="shared" si="35"/>
        <v>0</v>
      </c>
    </row>
    <row r="145" spans="2:16">
      <c r="B145" s="195" t="str">
        <f t="shared" si="23"/>
        <v/>
      </c>
      <c r="C145" s="507">
        <f>IF(D93="","-",+C144+1)</f>
        <v>2063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28"/>
        <v>0</v>
      </c>
      <c r="G145" s="523">
        <f t="shared" si="29"/>
        <v>0</v>
      </c>
      <c r="H145" s="526">
        <f t="shared" si="30"/>
        <v>0</v>
      </c>
      <c r="I145" s="577">
        <f t="shared" si="31"/>
        <v>0</v>
      </c>
      <c r="J145" s="514">
        <f t="shared" si="32"/>
        <v>0</v>
      </c>
      <c r="K145" s="514"/>
      <c r="L145" s="525"/>
      <c r="M145" s="514">
        <f t="shared" si="33"/>
        <v>0</v>
      </c>
      <c r="N145" s="525"/>
      <c r="O145" s="514">
        <f t="shared" si="34"/>
        <v>0</v>
      </c>
      <c r="P145" s="514">
        <f t="shared" si="35"/>
        <v>0</v>
      </c>
    </row>
    <row r="146" spans="2:16">
      <c r="B146" s="195" t="str">
        <f t="shared" si="23"/>
        <v/>
      </c>
      <c r="C146" s="507">
        <f>IF(D93="","-",+C145+1)</f>
        <v>2064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28"/>
        <v>0</v>
      </c>
      <c r="G146" s="523">
        <f t="shared" si="29"/>
        <v>0</v>
      </c>
      <c r="H146" s="526">
        <f t="shared" si="30"/>
        <v>0</v>
      </c>
      <c r="I146" s="577">
        <f t="shared" si="31"/>
        <v>0</v>
      </c>
      <c r="J146" s="514">
        <f t="shared" si="32"/>
        <v>0</v>
      </c>
      <c r="K146" s="514"/>
      <c r="L146" s="525"/>
      <c r="M146" s="514">
        <f t="shared" si="33"/>
        <v>0</v>
      </c>
      <c r="N146" s="525"/>
      <c r="O146" s="514">
        <f t="shared" si="34"/>
        <v>0</v>
      </c>
      <c r="P146" s="514">
        <f t="shared" si="35"/>
        <v>0</v>
      </c>
    </row>
    <row r="147" spans="2:16">
      <c r="B147" s="195" t="str">
        <f t="shared" si="23"/>
        <v/>
      </c>
      <c r="C147" s="507">
        <f>IF(D93="","-",+C146+1)</f>
        <v>2065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28"/>
        <v>0</v>
      </c>
      <c r="G147" s="523">
        <f t="shared" si="29"/>
        <v>0</v>
      </c>
      <c r="H147" s="526">
        <f t="shared" si="30"/>
        <v>0</v>
      </c>
      <c r="I147" s="577">
        <f t="shared" si="31"/>
        <v>0</v>
      </c>
      <c r="J147" s="514">
        <f t="shared" si="32"/>
        <v>0</v>
      </c>
      <c r="K147" s="514"/>
      <c r="L147" s="525"/>
      <c r="M147" s="514">
        <f t="shared" si="33"/>
        <v>0</v>
      </c>
      <c r="N147" s="525"/>
      <c r="O147" s="514">
        <f t="shared" si="34"/>
        <v>0</v>
      </c>
      <c r="P147" s="514">
        <f t="shared" si="35"/>
        <v>0</v>
      </c>
    </row>
    <row r="148" spans="2:16">
      <c r="B148" s="195" t="str">
        <f t="shared" si="23"/>
        <v/>
      </c>
      <c r="C148" s="507">
        <f>IF(D93="","-",+C147+1)</f>
        <v>2066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28"/>
        <v>0</v>
      </c>
      <c r="G148" s="523">
        <f t="shared" si="29"/>
        <v>0</v>
      </c>
      <c r="H148" s="526">
        <f t="shared" si="30"/>
        <v>0</v>
      </c>
      <c r="I148" s="577">
        <f t="shared" si="31"/>
        <v>0</v>
      </c>
      <c r="J148" s="514">
        <f t="shared" si="32"/>
        <v>0</v>
      </c>
      <c r="K148" s="514"/>
      <c r="L148" s="525"/>
      <c r="M148" s="514">
        <f t="shared" si="33"/>
        <v>0</v>
      </c>
      <c r="N148" s="525"/>
      <c r="O148" s="514">
        <f t="shared" si="34"/>
        <v>0</v>
      </c>
      <c r="P148" s="514">
        <f t="shared" si="35"/>
        <v>0</v>
      </c>
    </row>
    <row r="149" spans="2:16">
      <c r="B149" s="195" t="str">
        <f t="shared" si="23"/>
        <v/>
      </c>
      <c r="C149" s="507">
        <f>IF(D93="","-",+C148+1)</f>
        <v>2067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28"/>
        <v>0</v>
      </c>
      <c r="G149" s="523">
        <f t="shared" si="29"/>
        <v>0</v>
      </c>
      <c r="H149" s="526">
        <f t="shared" si="30"/>
        <v>0</v>
      </c>
      <c r="I149" s="577">
        <f t="shared" si="31"/>
        <v>0</v>
      </c>
      <c r="J149" s="514">
        <f t="shared" si="32"/>
        <v>0</v>
      </c>
      <c r="K149" s="514"/>
      <c r="L149" s="525"/>
      <c r="M149" s="514">
        <f t="shared" si="33"/>
        <v>0</v>
      </c>
      <c r="N149" s="525"/>
      <c r="O149" s="514">
        <f t="shared" si="34"/>
        <v>0</v>
      </c>
      <c r="P149" s="514">
        <f t="shared" si="35"/>
        <v>0</v>
      </c>
    </row>
    <row r="150" spans="2:16">
      <c r="B150" s="195" t="str">
        <f t="shared" si="23"/>
        <v/>
      </c>
      <c r="C150" s="507">
        <f>IF(D93="","-",+C149+1)</f>
        <v>2068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28"/>
        <v>0</v>
      </c>
      <c r="G150" s="523">
        <f t="shared" si="29"/>
        <v>0</v>
      </c>
      <c r="H150" s="526">
        <f t="shared" si="30"/>
        <v>0</v>
      </c>
      <c r="I150" s="577">
        <f t="shared" si="31"/>
        <v>0</v>
      </c>
      <c r="J150" s="514">
        <f t="shared" si="32"/>
        <v>0</v>
      </c>
      <c r="K150" s="514"/>
      <c r="L150" s="525"/>
      <c r="M150" s="514">
        <f t="shared" si="33"/>
        <v>0</v>
      </c>
      <c r="N150" s="525"/>
      <c r="O150" s="514">
        <f t="shared" si="34"/>
        <v>0</v>
      </c>
      <c r="P150" s="514">
        <f t="shared" si="35"/>
        <v>0</v>
      </c>
    </row>
    <row r="151" spans="2:16">
      <c r="B151" s="195" t="str">
        <f t="shared" si="23"/>
        <v/>
      </c>
      <c r="C151" s="507">
        <f>IF(D93="","-",+C150+1)</f>
        <v>2069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28"/>
        <v>0</v>
      </c>
      <c r="G151" s="523">
        <f t="shared" si="29"/>
        <v>0</v>
      </c>
      <c r="H151" s="526">
        <f t="shared" si="30"/>
        <v>0</v>
      </c>
      <c r="I151" s="577">
        <f t="shared" si="31"/>
        <v>0</v>
      </c>
      <c r="J151" s="514">
        <f t="shared" si="32"/>
        <v>0</v>
      </c>
      <c r="K151" s="514"/>
      <c r="L151" s="525"/>
      <c r="M151" s="514">
        <f t="shared" si="33"/>
        <v>0</v>
      </c>
      <c r="N151" s="525"/>
      <c r="O151" s="514">
        <f t="shared" si="34"/>
        <v>0</v>
      </c>
      <c r="P151" s="514">
        <f t="shared" si="35"/>
        <v>0</v>
      </c>
    </row>
    <row r="152" spans="2:16">
      <c r="B152" s="195" t="str">
        <f t="shared" si="23"/>
        <v/>
      </c>
      <c r="C152" s="507">
        <f>IF(D93="","-",+C151+1)</f>
        <v>2070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28"/>
        <v>0</v>
      </c>
      <c r="G152" s="523">
        <f t="shared" si="29"/>
        <v>0</v>
      </c>
      <c r="H152" s="526">
        <f t="shared" si="30"/>
        <v>0</v>
      </c>
      <c r="I152" s="577">
        <f t="shared" si="31"/>
        <v>0</v>
      </c>
      <c r="J152" s="514">
        <f t="shared" si="32"/>
        <v>0</v>
      </c>
      <c r="K152" s="514"/>
      <c r="L152" s="525"/>
      <c r="M152" s="514">
        <f t="shared" si="33"/>
        <v>0</v>
      </c>
      <c r="N152" s="525"/>
      <c r="O152" s="514">
        <f t="shared" si="34"/>
        <v>0</v>
      </c>
      <c r="P152" s="514">
        <f t="shared" si="35"/>
        <v>0</v>
      </c>
    </row>
    <row r="153" spans="2:16">
      <c r="B153" s="195" t="str">
        <f t="shared" si="23"/>
        <v/>
      </c>
      <c r="C153" s="507">
        <f>IF(D93="","-",+C152+1)</f>
        <v>2071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28"/>
        <v>0</v>
      </c>
      <c r="G153" s="523">
        <f t="shared" si="29"/>
        <v>0</v>
      </c>
      <c r="H153" s="526">
        <f t="shared" si="30"/>
        <v>0</v>
      </c>
      <c r="I153" s="577">
        <f t="shared" si="31"/>
        <v>0</v>
      </c>
      <c r="J153" s="514">
        <f t="shared" si="32"/>
        <v>0</v>
      </c>
      <c r="K153" s="514"/>
      <c r="L153" s="525"/>
      <c r="M153" s="514">
        <f t="shared" si="33"/>
        <v>0</v>
      </c>
      <c r="N153" s="525"/>
      <c r="O153" s="514">
        <f t="shared" si="34"/>
        <v>0</v>
      </c>
      <c r="P153" s="514">
        <f t="shared" si="35"/>
        <v>0</v>
      </c>
    </row>
    <row r="154" spans="2:16" ht="13.5" thickBot="1">
      <c r="B154" s="195" t="str">
        <f t="shared" si="23"/>
        <v/>
      </c>
      <c r="C154" s="527">
        <f>IF(D93="","-",+C153+1)</f>
        <v>2072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28"/>
        <v>0</v>
      </c>
      <c r="G154" s="528">
        <f t="shared" si="29"/>
        <v>0</v>
      </c>
      <c r="H154" s="530">
        <f t="shared" si="30"/>
        <v>0</v>
      </c>
      <c r="I154" s="579">
        <f t="shared" si="31"/>
        <v>0</v>
      </c>
      <c r="J154" s="533">
        <f t="shared" si="32"/>
        <v>0</v>
      </c>
      <c r="K154" s="514"/>
      <c r="L154" s="532"/>
      <c r="M154" s="533">
        <f t="shared" si="33"/>
        <v>0</v>
      </c>
      <c r="N154" s="532"/>
      <c r="O154" s="533">
        <f t="shared" si="34"/>
        <v>0</v>
      </c>
      <c r="P154" s="533">
        <f t="shared" si="35"/>
        <v>0</v>
      </c>
    </row>
    <row r="155" spans="2:16">
      <c r="C155" s="374" t="s">
        <v>78</v>
      </c>
      <c r="D155" s="375"/>
      <c r="E155" s="375">
        <f>SUM(E99:E154)</f>
        <v>9930038.9999999981</v>
      </c>
      <c r="F155" s="375"/>
      <c r="G155" s="375"/>
      <c r="H155" s="375">
        <f>SUM(H99:H154)</f>
        <v>32743385.401990049</v>
      </c>
      <c r="I155" s="375">
        <f>SUM(I99:I154)</f>
        <v>32743385.401990049</v>
      </c>
      <c r="J155" s="375">
        <f>SUM(J99:J154)</f>
        <v>0</v>
      </c>
      <c r="K155" s="375"/>
      <c r="L155" s="375"/>
      <c r="M155" s="375"/>
      <c r="N155" s="375"/>
      <c r="O155" s="375"/>
      <c r="P155" s="269"/>
    </row>
    <row r="156" spans="2:16">
      <c r="C156" s="183" t="s">
        <v>92</v>
      </c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</row>
    <row r="157" spans="2:16">
      <c r="C157" s="580"/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</row>
    <row r="158" spans="2:16">
      <c r="C158" s="614" t="s">
        <v>132</v>
      </c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</row>
    <row r="159" spans="2:16">
      <c r="C159" s="467" t="s">
        <v>79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</row>
    <row r="160" spans="2:16">
      <c r="C160" s="581" t="s">
        <v>80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</row>
    <row r="161" spans="3:16">
      <c r="C161" s="581"/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</row>
    <row r="162" spans="3:16" ht="18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635" t="s">
        <v>131</v>
      </c>
    </row>
  </sheetData>
  <conditionalFormatting sqref="C17:C72">
    <cfRule type="cellIs" dxfId="15" priority="1" stopIfTrue="1" operator="equal">
      <formula>$I$10</formula>
    </cfRule>
  </conditionalFormatting>
  <conditionalFormatting sqref="C99:C154">
    <cfRule type="cellIs" dxfId="14" priority="2" stopIfTrue="1" operator="equal">
      <formula>$J$92</formula>
    </cfRule>
  </conditionalFormatting>
  <pageMargins left="0.5" right="0.25" top="1" bottom="0.25" header="0.25" footer="0.5"/>
  <pageSetup scale="47" orientation="landscape" r:id="rId1"/>
  <headerFooter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0" max="16383" man="1"/>
  </rowBreaks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dimension ref="A1:P162"/>
  <sheetViews>
    <sheetView topLeftCell="A85" zoomScale="80" zoomScaleNormal="80" workbookViewId="0">
      <selection activeCell="D99" sqref="D99:I103"/>
    </sheetView>
  </sheetViews>
  <sheetFormatPr defaultColWidth="8.7109375" defaultRowHeight="12.75" customHeight="1"/>
  <cols>
    <col min="1" max="1" width="4.7109375" style="183" customWidth="1"/>
    <col min="2" max="2" width="6.7109375" style="183" customWidth="1"/>
    <col min="3" max="3" width="23.28515625" style="183" customWidth="1"/>
    <col min="4" max="8" width="17.7109375" style="183" customWidth="1"/>
    <col min="9" max="9" width="20.42578125" style="183" customWidth="1"/>
    <col min="10" max="10" width="16.42578125" style="183" customWidth="1"/>
    <col min="11" max="11" width="17.7109375" style="183" customWidth="1"/>
    <col min="12" max="12" width="16.140625" style="183" customWidth="1"/>
    <col min="13" max="13" width="17.7109375" style="183" customWidth="1"/>
    <col min="14" max="14" width="16.7109375" style="183" customWidth="1"/>
    <col min="15" max="15" width="16.85546875" style="183" customWidth="1"/>
    <col min="16" max="16" width="24.42578125" style="183" customWidth="1"/>
    <col min="17" max="17" width="9.140625" style="183" customWidth="1"/>
    <col min="18" max="22" width="8.7109375" style="183"/>
    <col min="23" max="23" width="9.140625" style="183" customWidth="1"/>
    <col min="24" max="16384" width="8.7109375" style="183"/>
  </cols>
  <sheetData>
    <row r="1" spans="1:16" ht="20.25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70 of 75</v>
      </c>
    </row>
    <row r="2" spans="1:16" ht="18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538" t="s">
        <v>129</v>
      </c>
    </row>
    <row r="3" spans="1:16" ht="18.75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/>
      <c r="P3" s="623">
        <v>1</v>
      </c>
    </row>
    <row r="4" spans="1:16" ht="15.75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6" ht="1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897042.5025772223</v>
      </c>
      <c r="P5" s="269"/>
    </row>
    <row r="6" spans="1:16" ht="15.7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897042.5025772223</v>
      </c>
      <c r="O6" s="269"/>
      <c r="P6" s="269"/>
    </row>
    <row r="7" spans="1:16" ht="13.5" thickBot="1">
      <c r="C7" s="467" t="s">
        <v>48</v>
      </c>
      <c r="D7" s="624" t="s">
        <v>432</v>
      </c>
      <c r="E7" s="269"/>
      <c r="F7" s="269"/>
      <c r="G7" s="269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6" ht="13.5" thickBot="1">
      <c r="C8" s="472"/>
      <c r="D8" s="625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6" ht="13.5" thickBot="1">
      <c r="C9" s="476" t="s">
        <v>50</v>
      </c>
      <c r="D9" s="477" t="s">
        <v>424</v>
      </c>
      <c r="E9" s="637" t="s">
        <v>425</v>
      </c>
      <c r="F9" s="478"/>
      <c r="G9" s="478"/>
      <c r="H9" s="478"/>
      <c r="I9" s="479"/>
      <c r="J9" s="480"/>
      <c r="O9" s="481"/>
      <c r="P9" s="272"/>
    </row>
    <row r="10" spans="1:16">
      <c r="C10" s="482" t="s">
        <v>51</v>
      </c>
      <c r="D10" s="483">
        <v>7196364.3600000003</v>
      </c>
      <c r="E10" s="353" t="s">
        <v>52</v>
      </c>
      <c r="F10" s="481"/>
      <c r="G10" s="484"/>
      <c r="H10" s="484"/>
      <c r="I10" s="485">
        <f>+'SWE.WS.F.BPU.ATRR.Projected'!L19</f>
        <v>2024</v>
      </c>
      <c r="J10" s="480"/>
      <c r="K10" s="375" t="s">
        <v>53</v>
      </c>
      <c r="O10" s="272"/>
      <c r="P10" s="272"/>
    </row>
    <row r="11" spans="1:16">
      <c r="C11" s="486" t="s">
        <v>54</v>
      </c>
      <c r="D11" s="487">
        <v>2018</v>
      </c>
      <c r="E11" s="486" t="s">
        <v>55</v>
      </c>
      <c r="F11" s="484"/>
      <c r="G11" s="233"/>
      <c r="H11" s="233"/>
      <c r="I11" s="488">
        <f>IF(G5="",0,'SWE.WS.F.BPU.ATRR.Projected'!F$13)</f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6">
      <c r="C12" s="486" t="s">
        <v>56</v>
      </c>
      <c r="D12" s="483">
        <v>5</v>
      </c>
      <c r="E12" s="486" t="s">
        <v>57</v>
      </c>
      <c r="F12" s="484"/>
      <c r="G12" s="233"/>
      <c r="H12" s="233"/>
      <c r="I12" s="490">
        <f>'SWE.WS.F.BPU.ATRR.Projected'!$F$81</f>
        <v>0.11952713165403545</v>
      </c>
      <c r="J12" s="425"/>
      <c r="K12" s="183" t="s">
        <v>58</v>
      </c>
      <c r="O12" s="272"/>
      <c r="P12" s="272"/>
    </row>
    <row r="13" spans="1:16">
      <c r="C13" s="486" t="s">
        <v>59</v>
      </c>
      <c r="D13" s="488">
        <f>+'SWE.WS.F.BPU.ATRR.Projected'!F$93</f>
        <v>44</v>
      </c>
      <c r="E13" s="486" t="s">
        <v>60</v>
      </c>
      <c r="F13" s="484"/>
      <c r="G13" s="233"/>
      <c r="H13" s="233"/>
      <c r="I13" s="490">
        <f>IF(G5="",I12,'SWE.WS.F.BPU.ATRR.Projected'!$F$80)</f>
        <v>0.11952713165403545</v>
      </c>
      <c r="J13" s="425"/>
      <c r="K13" s="375" t="s">
        <v>61</v>
      </c>
      <c r="L13" s="324"/>
      <c r="M13" s="324"/>
      <c r="N13" s="324"/>
      <c r="O13" s="272"/>
      <c r="P13" s="272"/>
    </row>
    <row r="14" spans="1:16" ht="13.5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163553.73545454547</v>
      </c>
      <c r="J14" s="375"/>
      <c r="K14" s="375"/>
      <c r="L14" s="375"/>
      <c r="M14" s="375"/>
      <c r="N14" s="375"/>
      <c r="O14" s="272"/>
      <c r="P14" s="272"/>
    </row>
    <row r="15" spans="1:16" ht="38.25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388</v>
      </c>
      <c r="H15" s="495" t="s">
        <v>389</v>
      </c>
      <c r="I15" s="492" t="s">
        <v>68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6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600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>
      <c r="C17" s="507">
        <f>IF(D11= "","-",D11)</f>
        <v>2018</v>
      </c>
      <c r="D17" s="631">
        <v>0</v>
      </c>
      <c r="E17" s="630">
        <v>96158.536585365859</v>
      </c>
      <c r="F17" s="631">
        <v>7788841.4634146346</v>
      </c>
      <c r="G17" s="630">
        <v>591116.43032923993</v>
      </c>
      <c r="H17" s="639">
        <v>591116.43032923993</v>
      </c>
      <c r="I17" s="511">
        <f t="shared" ref="I17:I72" si="0">H17-G17</f>
        <v>0</v>
      </c>
      <c r="J17" s="511"/>
      <c r="K17" s="512">
        <f t="shared" ref="K17:K22" si="1">+G17</f>
        <v>591116.43032923993</v>
      </c>
      <c r="L17" s="513">
        <f t="shared" ref="L17:L72" si="2">IF(K17&lt;&gt;0,+G17-K17,0)</f>
        <v>0</v>
      </c>
      <c r="M17" s="512">
        <f t="shared" ref="M17:M22" si="3">+H17</f>
        <v>591116.43032923993</v>
      </c>
      <c r="N17" s="513">
        <f t="shared" ref="N17:N72" si="4">IF(M17&lt;&gt;0,+H17-M17,0)</f>
        <v>0</v>
      </c>
      <c r="O17" s="514">
        <f t="shared" ref="O17:O72" si="5">+N17-L17</f>
        <v>0</v>
      </c>
      <c r="P17" s="272"/>
    </row>
    <row r="18" spans="2:16">
      <c r="B18" s="195" t="str">
        <f>IF(D18=F17,"","IU")</f>
        <v/>
      </c>
      <c r="C18" s="507">
        <f>IF(D11="","-",+C17+1)</f>
        <v>2019</v>
      </c>
      <c r="D18" s="631">
        <v>7788841.4634146346</v>
      </c>
      <c r="E18" s="630">
        <v>192317.07317073172</v>
      </c>
      <c r="F18" s="631">
        <v>7596524.3902439028</v>
      </c>
      <c r="G18" s="630">
        <v>1170011.6780969028</v>
      </c>
      <c r="H18" s="639">
        <v>1170011.6780969028</v>
      </c>
      <c r="I18" s="511">
        <f t="shared" si="0"/>
        <v>0</v>
      </c>
      <c r="J18" s="511"/>
      <c r="K18" s="518">
        <f t="shared" si="1"/>
        <v>1170011.6780969028</v>
      </c>
      <c r="L18" s="519">
        <f t="shared" si="2"/>
        <v>0</v>
      </c>
      <c r="M18" s="518">
        <f t="shared" si="3"/>
        <v>1170011.6780969028</v>
      </c>
      <c r="N18" s="514">
        <f t="shared" si="4"/>
        <v>0</v>
      </c>
      <c r="O18" s="514">
        <f t="shared" si="5"/>
        <v>0</v>
      </c>
      <c r="P18" s="272"/>
    </row>
    <row r="19" spans="2:16">
      <c r="B19" s="195" t="str">
        <f>IF(D19=F18,"","IU")</f>
        <v>IU</v>
      </c>
      <c r="C19" s="507">
        <f>IF(D11="","-",+C18+1)</f>
        <v>2020</v>
      </c>
      <c r="D19" s="631">
        <v>6906935.3902439028</v>
      </c>
      <c r="E19" s="630">
        <v>175497.82926829267</v>
      </c>
      <c r="F19" s="631">
        <v>6731437.5609756103</v>
      </c>
      <c r="G19" s="630">
        <v>873342.3819354173</v>
      </c>
      <c r="H19" s="639">
        <v>873342.3819354173</v>
      </c>
      <c r="I19" s="511">
        <f t="shared" si="0"/>
        <v>0</v>
      </c>
      <c r="J19" s="511"/>
      <c r="K19" s="518">
        <f t="shared" si="1"/>
        <v>873342.3819354173</v>
      </c>
      <c r="L19" s="519">
        <f t="shared" ref="L19" si="6">IF(K19&lt;&gt;0,+G19-K19,0)</f>
        <v>0</v>
      </c>
      <c r="M19" s="518">
        <f t="shared" si="3"/>
        <v>873342.3819354173</v>
      </c>
      <c r="N19" s="514">
        <f t="shared" si="4"/>
        <v>0</v>
      </c>
      <c r="O19" s="514">
        <f t="shared" si="5"/>
        <v>0</v>
      </c>
      <c r="P19" s="272"/>
    </row>
    <row r="20" spans="2:16">
      <c r="B20" s="195" t="str">
        <f t="shared" ref="B20:B72" si="7">IF(D20=F19,"","IU")</f>
        <v>IU</v>
      </c>
      <c r="C20" s="507">
        <f>IF(D11="","-",+C19+1)</f>
        <v>2021</v>
      </c>
      <c r="D20" s="631">
        <v>6741335.5411230857</v>
      </c>
      <c r="E20" s="630">
        <v>171342</v>
      </c>
      <c r="F20" s="631">
        <v>6569993.5411230857</v>
      </c>
      <c r="G20" s="630">
        <v>876872.6916380648</v>
      </c>
      <c r="H20" s="639">
        <v>876872.6916380648</v>
      </c>
      <c r="I20" s="511">
        <f t="shared" si="0"/>
        <v>0</v>
      </c>
      <c r="J20" s="511"/>
      <c r="K20" s="518">
        <f t="shared" si="1"/>
        <v>876872.6916380648</v>
      </c>
      <c r="L20" s="519">
        <f t="shared" ref="L20" si="8">IF(K20&lt;&gt;0,+G20-K20,0)</f>
        <v>0</v>
      </c>
      <c r="M20" s="518">
        <f t="shared" si="3"/>
        <v>876872.6916380648</v>
      </c>
      <c r="N20" s="514">
        <f t="shared" si="4"/>
        <v>0</v>
      </c>
      <c r="O20" s="514">
        <f t="shared" si="5"/>
        <v>0</v>
      </c>
      <c r="P20" s="272"/>
    </row>
    <row r="21" spans="2:16">
      <c r="B21" s="195" t="str">
        <f t="shared" si="7"/>
        <v>IU</v>
      </c>
      <c r="C21" s="507">
        <f>IF(D11="","-",+C20+1)</f>
        <v>2022</v>
      </c>
      <c r="D21" s="631">
        <v>6561048.5609756093</v>
      </c>
      <c r="E21" s="630">
        <v>171342</v>
      </c>
      <c r="F21" s="631">
        <v>6389706.5609756093</v>
      </c>
      <c r="G21" s="630">
        <v>899459.98182080162</v>
      </c>
      <c r="H21" s="639">
        <v>899459.98182080162</v>
      </c>
      <c r="I21" s="511">
        <f t="shared" si="0"/>
        <v>0</v>
      </c>
      <c r="J21" s="511"/>
      <c r="K21" s="518">
        <f t="shared" si="1"/>
        <v>899459.98182080162</v>
      </c>
      <c r="L21" s="519">
        <f t="shared" ref="L21" si="9">IF(K21&lt;&gt;0,+G21-K21,0)</f>
        <v>0</v>
      </c>
      <c r="M21" s="518">
        <f t="shared" si="3"/>
        <v>899459.98182080162</v>
      </c>
      <c r="N21" s="514">
        <f t="shared" si="4"/>
        <v>0</v>
      </c>
      <c r="O21" s="514">
        <f t="shared" si="5"/>
        <v>0</v>
      </c>
      <c r="P21" s="272"/>
    </row>
    <row r="22" spans="2:16">
      <c r="B22" s="195" t="str">
        <f t="shared" si="7"/>
        <v>IU</v>
      </c>
      <c r="C22" s="507">
        <f>IF(D11="","-",+C21+1)</f>
        <v>2023</v>
      </c>
      <c r="D22" s="631">
        <v>6389706.9209756106</v>
      </c>
      <c r="E22" s="630">
        <v>171342.00857142857</v>
      </c>
      <c r="F22" s="631">
        <v>6218364.9124041824</v>
      </c>
      <c r="G22" s="630">
        <v>967710.61723506683</v>
      </c>
      <c r="H22" s="639">
        <v>967710.61723506683</v>
      </c>
      <c r="I22" s="511">
        <f t="shared" si="0"/>
        <v>0</v>
      </c>
      <c r="J22" s="511"/>
      <c r="K22" s="518">
        <f t="shared" si="1"/>
        <v>967710.61723506683</v>
      </c>
      <c r="L22" s="519">
        <f t="shared" ref="L22" si="10">IF(K22&lt;&gt;0,+G22-K22,0)</f>
        <v>0</v>
      </c>
      <c r="M22" s="518">
        <f t="shared" si="3"/>
        <v>967710.61723506683</v>
      </c>
      <c r="N22" s="514">
        <f t="shared" ref="N22" si="11">IF(M22&lt;&gt;0,+H22-M22,0)</f>
        <v>0</v>
      </c>
      <c r="O22" s="514">
        <f t="shared" ref="O22" si="12">+N22-L22</f>
        <v>0</v>
      </c>
      <c r="P22" s="272"/>
    </row>
    <row r="23" spans="2:16">
      <c r="B23" s="195" t="str">
        <f t="shared" si="7"/>
        <v/>
      </c>
      <c r="C23" s="673">
        <f>IF(D11="","-",+C22+1)</f>
        <v>2024</v>
      </c>
      <c r="D23" s="523">
        <f>IF(F22+SUM(E$17:E22)=D$10,F22,D$10-SUM(E$17:E22))</f>
        <v>6218364.9124041824</v>
      </c>
      <c r="E23" s="522">
        <f>IF(+I14&lt;F22,I14,D23)</f>
        <v>163553.73545454547</v>
      </c>
      <c r="F23" s="523">
        <f t="shared" ref="F23:F72" si="13">+D23-E23</f>
        <v>6054811.176949637</v>
      </c>
      <c r="G23" s="524">
        <f t="shared" ref="G23:G72" si="14">+I$12*((D23+F23)/2)+E23</f>
        <v>897042.5025772223</v>
      </c>
      <c r="H23" s="491">
        <f t="shared" ref="H23:H72" si="15">+I$13*((D23+F23)/2)+E23</f>
        <v>897042.5025772223</v>
      </c>
      <c r="I23" s="511">
        <f t="shared" si="0"/>
        <v>0</v>
      </c>
      <c r="J23" s="511"/>
      <c r="K23" s="525"/>
      <c r="L23" s="514">
        <f t="shared" si="2"/>
        <v>0</v>
      </c>
      <c r="M23" s="525"/>
      <c r="N23" s="514">
        <f t="shared" si="4"/>
        <v>0</v>
      </c>
      <c r="O23" s="514">
        <f t="shared" si="5"/>
        <v>0</v>
      </c>
      <c r="P23" s="272"/>
    </row>
    <row r="24" spans="2:16">
      <c r="B24" s="195" t="str">
        <f t="shared" si="7"/>
        <v/>
      </c>
      <c r="C24" s="507">
        <f>IF(D11="","-",+C23+1)</f>
        <v>2025</v>
      </c>
      <c r="D24" s="523">
        <f>IF(F23+SUM(E$17:E23)=D$10,F23,D$10-SUM(E$17:E23))</f>
        <v>6054811.176949637</v>
      </c>
      <c r="E24" s="522">
        <f>IF(+I14&lt;F23,I14,D24)</f>
        <v>163553.73545454547</v>
      </c>
      <c r="F24" s="523">
        <f t="shared" si="13"/>
        <v>5891257.4414950917</v>
      </c>
      <c r="G24" s="524">
        <f t="shared" si="14"/>
        <v>877493.39370703779</v>
      </c>
      <c r="H24" s="491">
        <f t="shared" si="15"/>
        <v>877493.39370703779</v>
      </c>
      <c r="I24" s="511">
        <f t="shared" si="0"/>
        <v>0</v>
      </c>
      <c r="J24" s="511"/>
      <c r="K24" s="525"/>
      <c r="L24" s="514">
        <f t="shared" si="2"/>
        <v>0</v>
      </c>
      <c r="M24" s="525"/>
      <c r="N24" s="514">
        <f t="shared" si="4"/>
        <v>0</v>
      </c>
      <c r="O24" s="514">
        <f t="shared" si="5"/>
        <v>0</v>
      </c>
      <c r="P24" s="272"/>
    </row>
    <row r="25" spans="2:16">
      <c r="B25" s="195" t="str">
        <f t="shared" si="7"/>
        <v/>
      </c>
      <c r="C25" s="507">
        <f>IF(D11="","-",+C24+1)</f>
        <v>2026</v>
      </c>
      <c r="D25" s="523">
        <f>IF(F24+SUM(E$17:E24)=D$10,F24,D$10-SUM(E$17:E24))</f>
        <v>5891257.4414950917</v>
      </c>
      <c r="E25" s="522">
        <f>IF(+I14&lt;F24,I14,D25)</f>
        <v>163553.73545454547</v>
      </c>
      <c r="F25" s="523">
        <f t="shared" si="13"/>
        <v>5727703.7060405463</v>
      </c>
      <c r="G25" s="524">
        <f t="shared" si="14"/>
        <v>857944.28483685292</v>
      </c>
      <c r="H25" s="491">
        <f t="shared" si="15"/>
        <v>857944.28483685292</v>
      </c>
      <c r="I25" s="511">
        <f t="shared" si="0"/>
        <v>0</v>
      </c>
      <c r="J25" s="511"/>
      <c r="K25" s="525"/>
      <c r="L25" s="514">
        <f t="shared" si="2"/>
        <v>0</v>
      </c>
      <c r="M25" s="525"/>
      <c r="N25" s="514">
        <f t="shared" si="4"/>
        <v>0</v>
      </c>
      <c r="O25" s="514">
        <f t="shared" si="5"/>
        <v>0</v>
      </c>
      <c r="P25" s="272"/>
    </row>
    <row r="26" spans="2:16">
      <c r="B26" s="195" t="str">
        <f t="shared" si="7"/>
        <v/>
      </c>
      <c r="C26" s="507">
        <f>IF(D11="","-",+C25+1)</f>
        <v>2027</v>
      </c>
      <c r="D26" s="523">
        <f>IF(F25+SUM(E$17:E25)=D$10,F25,D$10-SUM(E$17:E25))</f>
        <v>5727703.7060405463</v>
      </c>
      <c r="E26" s="522">
        <f>IF(+I14&lt;F25,I14,D26)</f>
        <v>163553.73545454547</v>
      </c>
      <c r="F26" s="523">
        <f t="shared" si="13"/>
        <v>5564149.9705860009</v>
      </c>
      <c r="G26" s="524">
        <f t="shared" si="14"/>
        <v>838395.17596666829</v>
      </c>
      <c r="H26" s="491">
        <f t="shared" si="15"/>
        <v>838395.17596666829</v>
      </c>
      <c r="I26" s="511">
        <f t="shared" si="0"/>
        <v>0</v>
      </c>
      <c r="J26" s="511"/>
      <c r="K26" s="525"/>
      <c r="L26" s="514">
        <f t="shared" si="2"/>
        <v>0</v>
      </c>
      <c r="M26" s="525"/>
      <c r="N26" s="514">
        <f t="shared" si="4"/>
        <v>0</v>
      </c>
      <c r="O26" s="514">
        <f t="shared" si="5"/>
        <v>0</v>
      </c>
      <c r="P26" s="272"/>
    </row>
    <row r="27" spans="2:16">
      <c r="B27" s="195" t="str">
        <f t="shared" si="7"/>
        <v/>
      </c>
      <c r="C27" s="507">
        <f>IF(D11="","-",+C26+1)</f>
        <v>2028</v>
      </c>
      <c r="D27" s="523">
        <f>IF(F26+SUM(E$17:E26)=D$10,F26,D$10-SUM(E$17:E26))</f>
        <v>5564149.9705860009</v>
      </c>
      <c r="E27" s="522">
        <f>IF(+I14&lt;F26,I14,D27)</f>
        <v>163553.73545454547</v>
      </c>
      <c r="F27" s="523">
        <f t="shared" si="13"/>
        <v>5400596.2351314556</v>
      </c>
      <c r="G27" s="524">
        <f t="shared" si="14"/>
        <v>818846.06709648343</v>
      </c>
      <c r="H27" s="491">
        <f t="shared" si="15"/>
        <v>818846.06709648343</v>
      </c>
      <c r="I27" s="511">
        <f t="shared" si="0"/>
        <v>0</v>
      </c>
      <c r="J27" s="511"/>
      <c r="K27" s="525"/>
      <c r="L27" s="514">
        <f t="shared" si="2"/>
        <v>0</v>
      </c>
      <c r="M27" s="525"/>
      <c r="N27" s="514">
        <f t="shared" si="4"/>
        <v>0</v>
      </c>
      <c r="O27" s="514">
        <f t="shared" si="5"/>
        <v>0</v>
      </c>
      <c r="P27" s="272"/>
    </row>
    <row r="28" spans="2:16">
      <c r="B28" s="195" t="str">
        <f t="shared" si="7"/>
        <v/>
      </c>
      <c r="C28" s="507">
        <f>IF(D11="","-",+C27+1)</f>
        <v>2029</v>
      </c>
      <c r="D28" s="523">
        <f>IF(F27+SUM(E$17:E27)=D$10,F27,D$10-SUM(E$17:E27))</f>
        <v>5400596.2351314556</v>
      </c>
      <c r="E28" s="522">
        <f>IF(+I14&lt;F27,I14,D28)</f>
        <v>163553.73545454547</v>
      </c>
      <c r="F28" s="523">
        <f t="shared" si="13"/>
        <v>5237042.4996769102</v>
      </c>
      <c r="G28" s="524">
        <f t="shared" si="14"/>
        <v>799296.9582262988</v>
      </c>
      <c r="H28" s="491">
        <f t="shared" si="15"/>
        <v>799296.9582262988</v>
      </c>
      <c r="I28" s="511">
        <f t="shared" si="0"/>
        <v>0</v>
      </c>
      <c r="J28" s="511"/>
      <c r="K28" s="525"/>
      <c r="L28" s="514">
        <f t="shared" si="2"/>
        <v>0</v>
      </c>
      <c r="M28" s="525"/>
      <c r="N28" s="514">
        <f t="shared" si="4"/>
        <v>0</v>
      </c>
      <c r="O28" s="514">
        <f t="shared" si="5"/>
        <v>0</v>
      </c>
      <c r="P28" s="272"/>
    </row>
    <row r="29" spans="2:16">
      <c r="B29" s="195" t="str">
        <f t="shared" si="7"/>
        <v/>
      </c>
      <c r="C29" s="507">
        <f>IF(D11="","-",+C28+1)</f>
        <v>2030</v>
      </c>
      <c r="D29" s="523">
        <f>IF(F28+SUM(E$17:E28)=D$10,F28,D$10-SUM(E$17:E28))</f>
        <v>5237042.4996769102</v>
      </c>
      <c r="E29" s="522">
        <f>IF(+I14&lt;F28,I14,D29)</f>
        <v>163553.73545454547</v>
      </c>
      <c r="F29" s="523">
        <f t="shared" si="13"/>
        <v>5073488.7642223649</v>
      </c>
      <c r="G29" s="524">
        <f t="shared" si="14"/>
        <v>779747.84935611393</v>
      </c>
      <c r="H29" s="491">
        <f t="shared" si="15"/>
        <v>779747.84935611393</v>
      </c>
      <c r="I29" s="511">
        <f t="shared" si="0"/>
        <v>0</v>
      </c>
      <c r="J29" s="511"/>
      <c r="K29" s="525"/>
      <c r="L29" s="514">
        <f t="shared" si="2"/>
        <v>0</v>
      </c>
      <c r="M29" s="525"/>
      <c r="N29" s="514">
        <f t="shared" si="4"/>
        <v>0</v>
      </c>
      <c r="O29" s="514">
        <f t="shared" si="5"/>
        <v>0</v>
      </c>
      <c r="P29" s="272"/>
    </row>
    <row r="30" spans="2:16">
      <c r="B30" s="195" t="str">
        <f t="shared" si="7"/>
        <v/>
      </c>
      <c r="C30" s="507">
        <f>IF(D11="","-",+C29+1)</f>
        <v>2031</v>
      </c>
      <c r="D30" s="523">
        <f>IF(F29+SUM(E$17:E29)=D$10,F29,D$10-SUM(E$17:E29))</f>
        <v>5073488.7642223649</v>
      </c>
      <c r="E30" s="522">
        <f>IF(+I14&lt;F29,I14,D30)</f>
        <v>163553.73545454547</v>
      </c>
      <c r="F30" s="523">
        <f t="shared" si="13"/>
        <v>4909935.0287678195</v>
      </c>
      <c r="G30" s="524">
        <f t="shared" si="14"/>
        <v>760198.74048592942</v>
      </c>
      <c r="H30" s="491">
        <f t="shared" si="15"/>
        <v>760198.74048592942</v>
      </c>
      <c r="I30" s="511">
        <f t="shared" si="0"/>
        <v>0</v>
      </c>
      <c r="J30" s="511"/>
      <c r="K30" s="525"/>
      <c r="L30" s="514">
        <f t="shared" si="2"/>
        <v>0</v>
      </c>
      <c r="M30" s="525"/>
      <c r="N30" s="514">
        <f t="shared" si="4"/>
        <v>0</v>
      </c>
      <c r="O30" s="514">
        <f t="shared" si="5"/>
        <v>0</v>
      </c>
      <c r="P30" s="272"/>
    </row>
    <row r="31" spans="2:16">
      <c r="B31" s="195" t="str">
        <f t="shared" si="7"/>
        <v/>
      </c>
      <c r="C31" s="507">
        <f>IF(D11="","-",+C30+1)</f>
        <v>2032</v>
      </c>
      <c r="D31" s="523">
        <f>IF(F30+SUM(E$17:E30)=D$10,F30,D$10-SUM(E$17:E30))</f>
        <v>4909935.0287678195</v>
      </c>
      <c r="E31" s="522">
        <f>IF(+I14&lt;F30,I14,D31)</f>
        <v>163553.73545454547</v>
      </c>
      <c r="F31" s="523">
        <f t="shared" si="13"/>
        <v>4746381.2933132742</v>
      </c>
      <c r="G31" s="524">
        <f t="shared" si="14"/>
        <v>740649.63161574455</v>
      </c>
      <c r="H31" s="491">
        <f t="shared" si="15"/>
        <v>740649.63161574455</v>
      </c>
      <c r="I31" s="511">
        <f t="shared" si="0"/>
        <v>0</v>
      </c>
      <c r="J31" s="511"/>
      <c r="K31" s="525"/>
      <c r="L31" s="514">
        <f t="shared" si="2"/>
        <v>0</v>
      </c>
      <c r="M31" s="525"/>
      <c r="N31" s="514">
        <f t="shared" si="4"/>
        <v>0</v>
      </c>
      <c r="O31" s="514">
        <f t="shared" si="5"/>
        <v>0</v>
      </c>
      <c r="P31" s="272"/>
    </row>
    <row r="32" spans="2:16">
      <c r="B32" s="195" t="str">
        <f t="shared" si="7"/>
        <v/>
      </c>
      <c r="C32" s="507">
        <f>IF(D11="","-",+C31+1)</f>
        <v>2033</v>
      </c>
      <c r="D32" s="523">
        <f>IF(F31+SUM(E$17:E31)=D$10,F31,D$10-SUM(E$17:E31))</f>
        <v>4746381.2933132742</v>
      </c>
      <c r="E32" s="522">
        <f>IF(+I14&lt;F31,I14,D32)</f>
        <v>163553.73545454547</v>
      </c>
      <c r="F32" s="523">
        <f t="shared" si="13"/>
        <v>4582827.5578587288</v>
      </c>
      <c r="G32" s="524">
        <f t="shared" si="14"/>
        <v>721100.52274555992</v>
      </c>
      <c r="H32" s="491">
        <f t="shared" si="15"/>
        <v>721100.52274555992</v>
      </c>
      <c r="I32" s="511">
        <f t="shared" si="0"/>
        <v>0</v>
      </c>
      <c r="J32" s="511"/>
      <c r="K32" s="525"/>
      <c r="L32" s="514">
        <f t="shared" si="2"/>
        <v>0</v>
      </c>
      <c r="M32" s="525"/>
      <c r="N32" s="514">
        <f t="shared" si="4"/>
        <v>0</v>
      </c>
      <c r="O32" s="514">
        <f t="shared" si="5"/>
        <v>0</v>
      </c>
      <c r="P32" s="272"/>
    </row>
    <row r="33" spans="2:16">
      <c r="B33" s="195" t="str">
        <f t="shared" si="7"/>
        <v/>
      </c>
      <c r="C33" s="507">
        <f>IF(D11="","-",+C32+1)</f>
        <v>2034</v>
      </c>
      <c r="D33" s="523">
        <f>IF(F32+SUM(E$17:E32)=D$10,F32,D$10-SUM(E$17:E32))</f>
        <v>4582827.5578587288</v>
      </c>
      <c r="E33" s="522">
        <f>IF(+I14&lt;F32,I14,D33)</f>
        <v>163553.73545454547</v>
      </c>
      <c r="F33" s="523">
        <f t="shared" si="13"/>
        <v>4419273.8224041834</v>
      </c>
      <c r="G33" s="524">
        <f t="shared" si="14"/>
        <v>701551.41387537506</v>
      </c>
      <c r="H33" s="491">
        <f t="shared" si="15"/>
        <v>701551.41387537506</v>
      </c>
      <c r="I33" s="511">
        <f t="shared" si="0"/>
        <v>0</v>
      </c>
      <c r="J33" s="511"/>
      <c r="K33" s="525"/>
      <c r="L33" s="514">
        <f t="shared" si="2"/>
        <v>0</v>
      </c>
      <c r="M33" s="525"/>
      <c r="N33" s="514">
        <f t="shared" si="4"/>
        <v>0</v>
      </c>
      <c r="O33" s="514">
        <f t="shared" si="5"/>
        <v>0</v>
      </c>
      <c r="P33" s="272"/>
    </row>
    <row r="34" spans="2:16">
      <c r="B34" s="195" t="str">
        <f t="shared" si="7"/>
        <v/>
      </c>
      <c r="C34" s="507">
        <f>IF(D11="","-",+C33+1)</f>
        <v>2035</v>
      </c>
      <c r="D34" s="523">
        <f>IF(F33+SUM(E$17:E33)=D$10,F33,D$10-SUM(E$17:E33))</f>
        <v>4419273.8224041834</v>
      </c>
      <c r="E34" s="522">
        <f>IF(+I14&lt;F33,I14,D34)</f>
        <v>163553.73545454547</v>
      </c>
      <c r="F34" s="523">
        <f t="shared" si="13"/>
        <v>4255720.0869496381</v>
      </c>
      <c r="G34" s="524">
        <f t="shared" si="14"/>
        <v>682002.30500519043</v>
      </c>
      <c r="H34" s="491">
        <f t="shared" si="15"/>
        <v>682002.30500519043</v>
      </c>
      <c r="I34" s="511">
        <f t="shared" si="0"/>
        <v>0</v>
      </c>
      <c r="J34" s="511"/>
      <c r="K34" s="525"/>
      <c r="L34" s="514">
        <f t="shared" si="2"/>
        <v>0</v>
      </c>
      <c r="M34" s="525"/>
      <c r="N34" s="514">
        <f t="shared" si="4"/>
        <v>0</v>
      </c>
      <c r="O34" s="514">
        <f t="shared" si="5"/>
        <v>0</v>
      </c>
      <c r="P34" s="272"/>
    </row>
    <row r="35" spans="2:16">
      <c r="B35" s="195" t="str">
        <f t="shared" si="7"/>
        <v/>
      </c>
      <c r="C35" s="507">
        <f>IF(D11="","-",+C34+1)</f>
        <v>2036</v>
      </c>
      <c r="D35" s="523">
        <f>IF(F34+SUM(E$17:E34)=D$10,F34,D$10-SUM(E$17:E34))</f>
        <v>4255720.0869496381</v>
      </c>
      <c r="E35" s="522">
        <f>IF(+I14&lt;F34,I14,D35)</f>
        <v>163553.73545454547</v>
      </c>
      <c r="F35" s="523">
        <f t="shared" si="13"/>
        <v>4092166.3514950927</v>
      </c>
      <c r="G35" s="524">
        <f t="shared" si="14"/>
        <v>662453.19613500568</v>
      </c>
      <c r="H35" s="491">
        <f t="shared" si="15"/>
        <v>662453.19613500568</v>
      </c>
      <c r="I35" s="511">
        <f t="shared" si="0"/>
        <v>0</v>
      </c>
      <c r="J35" s="511"/>
      <c r="K35" s="525"/>
      <c r="L35" s="514">
        <f t="shared" si="2"/>
        <v>0</v>
      </c>
      <c r="M35" s="525"/>
      <c r="N35" s="514">
        <f t="shared" si="4"/>
        <v>0</v>
      </c>
      <c r="O35" s="514">
        <f t="shared" si="5"/>
        <v>0</v>
      </c>
      <c r="P35" s="272"/>
    </row>
    <row r="36" spans="2:16">
      <c r="B36" s="195" t="str">
        <f t="shared" si="7"/>
        <v/>
      </c>
      <c r="C36" s="507">
        <f>IF(D11="","-",+C35+1)</f>
        <v>2037</v>
      </c>
      <c r="D36" s="523">
        <f>IF(F35+SUM(E$17:E35)=D$10,F35,D$10-SUM(E$17:E35))</f>
        <v>4092166.3514950927</v>
      </c>
      <c r="E36" s="522">
        <f>IF(+I14&lt;F35,I14,D36)</f>
        <v>163553.73545454547</v>
      </c>
      <c r="F36" s="523">
        <f t="shared" si="13"/>
        <v>3928612.6160405474</v>
      </c>
      <c r="G36" s="524">
        <f t="shared" si="14"/>
        <v>642904.08726482093</v>
      </c>
      <c r="H36" s="491">
        <f t="shared" si="15"/>
        <v>642904.08726482093</v>
      </c>
      <c r="I36" s="511">
        <f t="shared" si="0"/>
        <v>0</v>
      </c>
      <c r="J36" s="511"/>
      <c r="K36" s="525"/>
      <c r="L36" s="514">
        <f t="shared" si="2"/>
        <v>0</v>
      </c>
      <c r="M36" s="525"/>
      <c r="N36" s="514">
        <f t="shared" si="4"/>
        <v>0</v>
      </c>
      <c r="O36" s="514">
        <f t="shared" si="5"/>
        <v>0</v>
      </c>
      <c r="P36" s="272"/>
    </row>
    <row r="37" spans="2:16">
      <c r="B37" s="195" t="str">
        <f t="shared" si="7"/>
        <v/>
      </c>
      <c r="C37" s="507">
        <f>IF(D11="","-",+C36+1)</f>
        <v>2038</v>
      </c>
      <c r="D37" s="523">
        <f>IF(F36+SUM(E$17:E36)=D$10,F36,D$10-SUM(E$17:E36))</f>
        <v>3928612.6160405474</v>
      </c>
      <c r="E37" s="522">
        <f>IF(+I14&lt;F36,I14,D37)</f>
        <v>163553.73545454547</v>
      </c>
      <c r="F37" s="523">
        <f t="shared" si="13"/>
        <v>3765058.880586002</v>
      </c>
      <c r="G37" s="524">
        <f t="shared" si="14"/>
        <v>623354.97839463619</v>
      </c>
      <c r="H37" s="491">
        <f t="shared" si="15"/>
        <v>623354.97839463619</v>
      </c>
      <c r="I37" s="511">
        <f t="shared" si="0"/>
        <v>0</v>
      </c>
      <c r="J37" s="511"/>
      <c r="K37" s="525"/>
      <c r="L37" s="514">
        <f t="shared" si="2"/>
        <v>0</v>
      </c>
      <c r="M37" s="525"/>
      <c r="N37" s="514">
        <f t="shared" si="4"/>
        <v>0</v>
      </c>
      <c r="O37" s="514">
        <f t="shared" si="5"/>
        <v>0</v>
      </c>
      <c r="P37" s="272"/>
    </row>
    <row r="38" spans="2:16">
      <c r="B38" s="195" t="str">
        <f t="shared" si="7"/>
        <v/>
      </c>
      <c r="C38" s="507">
        <f>IF(D11="","-",+C37+1)</f>
        <v>2039</v>
      </c>
      <c r="D38" s="523">
        <f>IF(F37+SUM(E$17:E37)=D$10,F37,D$10-SUM(E$17:E37))</f>
        <v>3765058.880586002</v>
      </c>
      <c r="E38" s="522">
        <f>IF(+I14&lt;F37,I14,D38)</f>
        <v>163553.73545454547</v>
      </c>
      <c r="F38" s="523">
        <f t="shared" si="13"/>
        <v>3601505.1451314567</v>
      </c>
      <c r="G38" s="524">
        <f t="shared" si="14"/>
        <v>603805.86952445144</v>
      </c>
      <c r="H38" s="491">
        <f t="shared" si="15"/>
        <v>603805.86952445144</v>
      </c>
      <c r="I38" s="511">
        <f t="shared" si="0"/>
        <v>0</v>
      </c>
      <c r="J38" s="511"/>
      <c r="K38" s="525"/>
      <c r="L38" s="514">
        <f t="shared" si="2"/>
        <v>0</v>
      </c>
      <c r="M38" s="525"/>
      <c r="N38" s="514">
        <f t="shared" si="4"/>
        <v>0</v>
      </c>
      <c r="O38" s="514">
        <f t="shared" si="5"/>
        <v>0</v>
      </c>
      <c r="P38" s="272"/>
    </row>
    <row r="39" spans="2:16">
      <c r="B39" s="195" t="str">
        <f t="shared" si="7"/>
        <v/>
      </c>
      <c r="C39" s="507">
        <f>IF(D11="","-",+C38+1)</f>
        <v>2040</v>
      </c>
      <c r="D39" s="523">
        <f>IF(F38+SUM(E$17:E38)=D$10,F38,D$10-SUM(E$17:E38))</f>
        <v>3601505.1451314567</v>
      </c>
      <c r="E39" s="522">
        <f>IF(+I14&lt;F38,I14,D39)</f>
        <v>163553.73545454547</v>
      </c>
      <c r="F39" s="523">
        <f t="shared" si="13"/>
        <v>3437951.4096769113</v>
      </c>
      <c r="G39" s="524">
        <f t="shared" si="14"/>
        <v>584256.76065426669</v>
      </c>
      <c r="H39" s="491">
        <f t="shared" si="15"/>
        <v>584256.76065426669</v>
      </c>
      <c r="I39" s="511">
        <f t="shared" si="0"/>
        <v>0</v>
      </c>
      <c r="J39" s="511"/>
      <c r="K39" s="525"/>
      <c r="L39" s="514">
        <f t="shared" si="2"/>
        <v>0</v>
      </c>
      <c r="M39" s="525"/>
      <c r="N39" s="514">
        <f t="shared" si="4"/>
        <v>0</v>
      </c>
      <c r="O39" s="514">
        <f t="shared" si="5"/>
        <v>0</v>
      </c>
      <c r="P39" s="272"/>
    </row>
    <row r="40" spans="2:16">
      <c r="B40" s="195" t="str">
        <f t="shared" si="7"/>
        <v/>
      </c>
      <c r="C40" s="507">
        <f>IF(D11="","-",+C39+1)</f>
        <v>2041</v>
      </c>
      <c r="D40" s="523">
        <f>IF(F39+SUM(E$17:E39)=D$10,F39,D$10-SUM(E$17:E39))</f>
        <v>3437951.4096769113</v>
      </c>
      <c r="E40" s="522">
        <f>IF(+I14&lt;F39,I14,D40)</f>
        <v>163553.73545454547</v>
      </c>
      <c r="F40" s="523">
        <f t="shared" si="13"/>
        <v>3274397.674222366</v>
      </c>
      <c r="G40" s="524">
        <f t="shared" si="14"/>
        <v>564707.65178408206</v>
      </c>
      <c r="H40" s="491">
        <f t="shared" si="15"/>
        <v>564707.65178408206</v>
      </c>
      <c r="I40" s="511">
        <f t="shared" si="0"/>
        <v>0</v>
      </c>
      <c r="J40" s="511"/>
      <c r="K40" s="525"/>
      <c r="L40" s="514">
        <f t="shared" si="2"/>
        <v>0</v>
      </c>
      <c r="M40" s="525"/>
      <c r="N40" s="514">
        <f t="shared" si="4"/>
        <v>0</v>
      </c>
      <c r="O40" s="514">
        <f t="shared" si="5"/>
        <v>0</v>
      </c>
      <c r="P40" s="272"/>
    </row>
    <row r="41" spans="2:16">
      <c r="B41" s="195" t="str">
        <f t="shared" si="7"/>
        <v/>
      </c>
      <c r="C41" s="507">
        <f>IF(D11="","-",+C40+1)</f>
        <v>2042</v>
      </c>
      <c r="D41" s="523">
        <f>IF(F40+SUM(E$17:E40)=D$10,F40,D$10-SUM(E$17:E40))</f>
        <v>3274397.674222366</v>
      </c>
      <c r="E41" s="522">
        <f>IF(+I14&lt;F40,I14,D41)</f>
        <v>163553.73545454547</v>
      </c>
      <c r="F41" s="523">
        <f t="shared" si="13"/>
        <v>3110843.9387678206</v>
      </c>
      <c r="G41" s="524">
        <f t="shared" si="14"/>
        <v>545158.54291389731</v>
      </c>
      <c r="H41" s="491">
        <f t="shared" si="15"/>
        <v>545158.54291389731</v>
      </c>
      <c r="I41" s="511">
        <f t="shared" si="0"/>
        <v>0</v>
      </c>
      <c r="J41" s="511"/>
      <c r="K41" s="525"/>
      <c r="L41" s="514">
        <f t="shared" si="2"/>
        <v>0</v>
      </c>
      <c r="M41" s="525"/>
      <c r="N41" s="514">
        <f t="shared" si="4"/>
        <v>0</v>
      </c>
      <c r="O41" s="514">
        <f t="shared" si="5"/>
        <v>0</v>
      </c>
      <c r="P41" s="272"/>
    </row>
    <row r="42" spans="2:16">
      <c r="B42" s="195" t="str">
        <f t="shared" si="7"/>
        <v/>
      </c>
      <c r="C42" s="507">
        <f>IF(D11="","-",+C41+1)</f>
        <v>2043</v>
      </c>
      <c r="D42" s="523">
        <f>IF(F41+SUM(E$17:E41)=D$10,F41,D$10-SUM(E$17:E41))</f>
        <v>3110843.9387678206</v>
      </c>
      <c r="E42" s="522">
        <f>IF(+I14&lt;F41,I14,D42)</f>
        <v>163553.73545454547</v>
      </c>
      <c r="F42" s="523">
        <f t="shared" si="13"/>
        <v>2947290.2033132752</v>
      </c>
      <c r="G42" s="524">
        <f t="shared" si="14"/>
        <v>525609.43404371256</v>
      </c>
      <c r="H42" s="491">
        <f t="shared" si="15"/>
        <v>525609.43404371256</v>
      </c>
      <c r="I42" s="511">
        <f t="shared" si="0"/>
        <v>0</v>
      </c>
      <c r="J42" s="511"/>
      <c r="K42" s="525"/>
      <c r="L42" s="514">
        <f t="shared" si="2"/>
        <v>0</v>
      </c>
      <c r="M42" s="525"/>
      <c r="N42" s="514">
        <f t="shared" si="4"/>
        <v>0</v>
      </c>
      <c r="O42" s="514">
        <f t="shared" si="5"/>
        <v>0</v>
      </c>
      <c r="P42" s="272"/>
    </row>
    <row r="43" spans="2:16">
      <c r="B43" s="195" t="str">
        <f t="shared" si="7"/>
        <v/>
      </c>
      <c r="C43" s="507">
        <f>IF(D11="","-",+C42+1)</f>
        <v>2044</v>
      </c>
      <c r="D43" s="523">
        <f>IF(F42+SUM(E$17:E42)=D$10,F42,D$10-SUM(E$17:E42))</f>
        <v>2947290.2033132752</v>
      </c>
      <c r="E43" s="522">
        <f>IF(+I14&lt;F42,I14,D43)</f>
        <v>163553.73545454547</v>
      </c>
      <c r="F43" s="523">
        <f t="shared" si="13"/>
        <v>2783736.4678587299</v>
      </c>
      <c r="G43" s="524">
        <f t="shared" si="14"/>
        <v>506060.32517352788</v>
      </c>
      <c r="H43" s="491">
        <f t="shared" si="15"/>
        <v>506060.32517352788</v>
      </c>
      <c r="I43" s="511">
        <f t="shared" si="0"/>
        <v>0</v>
      </c>
      <c r="J43" s="511"/>
      <c r="K43" s="525"/>
      <c r="L43" s="514">
        <f t="shared" si="2"/>
        <v>0</v>
      </c>
      <c r="M43" s="525"/>
      <c r="N43" s="514">
        <f t="shared" si="4"/>
        <v>0</v>
      </c>
      <c r="O43" s="514">
        <f t="shared" si="5"/>
        <v>0</v>
      </c>
      <c r="P43" s="272"/>
    </row>
    <row r="44" spans="2:16">
      <c r="B44" s="195" t="str">
        <f t="shared" si="7"/>
        <v/>
      </c>
      <c r="C44" s="507">
        <f>IF(D11="","-",+C43+1)</f>
        <v>2045</v>
      </c>
      <c r="D44" s="523">
        <f>IF(F43+SUM(E$17:E43)=D$10,F43,D$10-SUM(E$17:E43))</f>
        <v>2783736.4678587299</v>
      </c>
      <c r="E44" s="522">
        <f>IF(+I14&lt;F43,I14,D44)</f>
        <v>163553.73545454547</v>
      </c>
      <c r="F44" s="523">
        <f t="shared" si="13"/>
        <v>2620182.7324041845</v>
      </c>
      <c r="G44" s="524">
        <f t="shared" si="14"/>
        <v>486511.21630334313</v>
      </c>
      <c r="H44" s="491">
        <f t="shared" si="15"/>
        <v>486511.21630334313</v>
      </c>
      <c r="I44" s="511">
        <f t="shared" si="0"/>
        <v>0</v>
      </c>
      <c r="J44" s="511"/>
      <c r="K44" s="525"/>
      <c r="L44" s="514">
        <f t="shared" si="2"/>
        <v>0</v>
      </c>
      <c r="M44" s="525"/>
      <c r="N44" s="514">
        <f t="shared" si="4"/>
        <v>0</v>
      </c>
      <c r="O44" s="514">
        <f t="shared" si="5"/>
        <v>0</v>
      </c>
      <c r="P44" s="272"/>
    </row>
    <row r="45" spans="2:16">
      <c r="B45" s="195" t="str">
        <f t="shared" si="7"/>
        <v/>
      </c>
      <c r="C45" s="507">
        <f>IF(D11="","-",+C44+1)</f>
        <v>2046</v>
      </c>
      <c r="D45" s="523">
        <f>IF(F44+SUM(E$17:E44)=D$10,F44,D$10-SUM(E$17:E44))</f>
        <v>2620182.7324041845</v>
      </c>
      <c r="E45" s="522">
        <f>IF(+I14&lt;F44,I14,D45)</f>
        <v>163553.73545454547</v>
      </c>
      <c r="F45" s="523">
        <f t="shared" si="13"/>
        <v>2456628.9969496392</v>
      </c>
      <c r="G45" s="524">
        <f t="shared" si="14"/>
        <v>466962.10743315838</v>
      </c>
      <c r="H45" s="491">
        <f t="shared" si="15"/>
        <v>466962.10743315838</v>
      </c>
      <c r="I45" s="511">
        <f t="shared" si="0"/>
        <v>0</v>
      </c>
      <c r="J45" s="511"/>
      <c r="K45" s="525"/>
      <c r="L45" s="514">
        <f t="shared" si="2"/>
        <v>0</v>
      </c>
      <c r="M45" s="525"/>
      <c r="N45" s="514">
        <f t="shared" si="4"/>
        <v>0</v>
      </c>
      <c r="O45" s="514">
        <f t="shared" si="5"/>
        <v>0</v>
      </c>
      <c r="P45" s="272"/>
    </row>
    <row r="46" spans="2:16">
      <c r="B46" s="195" t="str">
        <f t="shared" si="7"/>
        <v/>
      </c>
      <c r="C46" s="507">
        <f>IF(D11="","-",+C45+1)</f>
        <v>2047</v>
      </c>
      <c r="D46" s="523">
        <f>IF(F45+SUM(E$17:E45)=D$10,F45,D$10-SUM(E$17:E45))</f>
        <v>2456628.9969496392</v>
      </c>
      <c r="E46" s="522">
        <f>IF(+I14&lt;F45,I14,D46)</f>
        <v>163553.73545454547</v>
      </c>
      <c r="F46" s="523">
        <f t="shared" si="13"/>
        <v>2293075.2614950938</v>
      </c>
      <c r="G46" s="524">
        <f t="shared" si="14"/>
        <v>447412.99856297369</v>
      </c>
      <c r="H46" s="491">
        <f t="shared" si="15"/>
        <v>447412.99856297369</v>
      </c>
      <c r="I46" s="511">
        <f t="shared" si="0"/>
        <v>0</v>
      </c>
      <c r="J46" s="511"/>
      <c r="K46" s="525"/>
      <c r="L46" s="514">
        <f t="shared" si="2"/>
        <v>0</v>
      </c>
      <c r="M46" s="525"/>
      <c r="N46" s="514">
        <f t="shared" si="4"/>
        <v>0</v>
      </c>
      <c r="O46" s="514">
        <f t="shared" si="5"/>
        <v>0</v>
      </c>
      <c r="P46" s="272"/>
    </row>
    <row r="47" spans="2:16">
      <c r="B47" s="195" t="str">
        <f t="shared" si="7"/>
        <v/>
      </c>
      <c r="C47" s="507">
        <f>IF(D11="","-",+C46+1)</f>
        <v>2048</v>
      </c>
      <c r="D47" s="523">
        <f>IF(F46+SUM(E$17:E46)=D$10,F46,D$10-SUM(E$17:E46))</f>
        <v>2293075.2614950938</v>
      </c>
      <c r="E47" s="522">
        <f>IF(+I14&lt;F46,I14,D47)</f>
        <v>163553.73545454547</v>
      </c>
      <c r="F47" s="523">
        <f t="shared" si="13"/>
        <v>2129521.5260405485</v>
      </c>
      <c r="G47" s="524">
        <f t="shared" si="14"/>
        <v>427863.88969278894</v>
      </c>
      <c r="H47" s="491">
        <f t="shared" si="15"/>
        <v>427863.88969278894</v>
      </c>
      <c r="I47" s="511">
        <f t="shared" si="0"/>
        <v>0</v>
      </c>
      <c r="J47" s="511"/>
      <c r="K47" s="525"/>
      <c r="L47" s="514">
        <f t="shared" si="2"/>
        <v>0</v>
      </c>
      <c r="M47" s="525"/>
      <c r="N47" s="514">
        <f t="shared" si="4"/>
        <v>0</v>
      </c>
      <c r="O47" s="514">
        <f t="shared" si="5"/>
        <v>0</v>
      </c>
      <c r="P47" s="272"/>
    </row>
    <row r="48" spans="2:16">
      <c r="B48" s="195" t="str">
        <f t="shared" si="7"/>
        <v/>
      </c>
      <c r="C48" s="507">
        <f>IF(D11="","-",+C47+1)</f>
        <v>2049</v>
      </c>
      <c r="D48" s="523">
        <f>IF(F47+SUM(E$17:E47)=D$10,F47,D$10-SUM(E$17:E47))</f>
        <v>2129521.5260405485</v>
      </c>
      <c r="E48" s="522">
        <f>IF(+I14&lt;F47,I14,D48)</f>
        <v>163553.73545454547</v>
      </c>
      <c r="F48" s="523">
        <f t="shared" si="13"/>
        <v>1965967.7905860031</v>
      </c>
      <c r="G48" s="524">
        <f t="shared" si="14"/>
        <v>408314.7808226042</v>
      </c>
      <c r="H48" s="491">
        <f t="shared" si="15"/>
        <v>408314.7808226042</v>
      </c>
      <c r="I48" s="511">
        <f t="shared" si="0"/>
        <v>0</v>
      </c>
      <c r="J48" s="511"/>
      <c r="K48" s="525"/>
      <c r="L48" s="514">
        <f t="shared" si="2"/>
        <v>0</v>
      </c>
      <c r="M48" s="525"/>
      <c r="N48" s="514">
        <f t="shared" si="4"/>
        <v>0</v>
      </c>
      <c r="O48" s="514">
        <f t="shared" si="5"/>
        <v>0</v>
      </c>
      <c r="P48" s="272"/>
    </row>
    <row r="49" spans="2:16">
      <c r="B49" s="195" t="str">
        <f t="shared" si="7"/>
        <v/>
      </c>
      <c r="C49" s="507">
        <f>IF(D11="","-",+C48+1)</f>
        <v>2050</v>
      </c>
      <c r="D49" s="523">
        <f>IF(F48+SUM(E$17:E48)=D$10,F48,D$10-SUM(E$17:E48))</f>
        <v>1965967.7905860031</v>
      </c>
      <c r="E49" s="522">
        <f>IF(+I14&lt;F48,I14,D49)</f>
        <v>163553.73545454547</v>
      </c>
      <c r="F49" s="523">
        <f t="shared" si="13"/>
        <v>1802414.0551314577</v>
      </c>
      <c r="G49" s="524">
        <f t="shared" si="14"/>
        <v>388765.67195241945</v>
      </c>
      <c r="H49" s="491">
        <f t="shared" si="15"/>
        <v>388765.67195241945</v>
      </c>
      <c r="I49" s="511">
        <f t="shared" si="0"/>
        <v>0</v>
      </c>
      <c r="J49" s="511"/>
      <c r="K49" s="525"/>
      <c r="L49" s="514">
        <f t="shared" si="2"/>
        <v>0</v>
      </c>
      <c r="M49" s="525"/>
      <c r="N49" s="514">
        <f t="shared" si="4"/>
        <v>0</v>
      </c>
      <c r="O49" s="514">
        <f t="shared" si="5"/>
        <v>0</v>
      </c>
      <c r="P49" s="272"/>
    </row>
    <row r="50" spans="2:16">
      <c r="B50" s="195" t="str">
        <f t="shared" si="7"/>
        <v/>
      </c>
      <c r="C50" s="507">
        <f>IF(D11="","-",+C49+1)</f>
        <v>2051</v>
      </c>
      <c r="D50" s="523">
        <f>IF(F49+SUM(E$17:E49)=D$10,F49,D$10-SUM(E$17:E49))</f>
        <v>1802414.0551314577</v>
      </c>
      <c r="E50" s="522">
        <f>IF(+I14&lt;F49,I14,D50)</f>
        <v>163553.73545454547</v>
      </c>
      <c r="F50" s="523">
        <f t="shared" si="13"/>
        <v>1638860.3196769124</v>
      </c>
      <c r="G50" s="524">
        <f t="shared" si="14"/>
        <v>369216.56308223476</v>
      </c>
      <c r="H50" s="491">
        <f t="shared" si="15"/>
        <v>369216.56308223476</v>
      </c>
      <c r="I50" s="511">
        <f t="shared" si="0"/>
        <v>0</v>
      </c>
      <c r="J50" s="511"/>
      <c r="K50" s="525"/>
      <c r="L50" s="514">
        <f t="shared" si="2"/>
        <v>0</v>
      </c>
      <c r="M50" s="525"/>
      <c r="N50" s="514">
        <f t="shared" si="4"/>
        <v>0</v>
      </c>
      <c r="O50" s="514">
        <f t="shared" si="5"/>
        <v>0</v>
      </c>
      <c r="P50" s="272"/>
    </row>
    <row r="51" spans="2:16">
      <c r="B51" s="195" t="str">
        <f t="shared" si="7"/>
        <v/>
      </c>
      <c r="C51" s="507">
        <f>IF(D11="","-",+C50+1)</f>
        <v>2052</v>
      </c>
      <c r="D51" s="523">
        <f>IF(F50+SUM(E$17:E50)=D$10,F50,D$10-SUM(E$17:E50))</f>
        <v>1638860.3196769124</v>
      </c>
      <c r="E51" s="522">
        <f>IF(+I14&lt;F50,I14,D51)</f>
        <v>163553.73545454547</v>
      </c>
      <c r="F51" s="523">
        <f t="shared" si="13"/>
        <v>1475306.584222367</v>
      </c>
      <c r="G51" s="524">
        <f t="shared" si="14"/>
        <v>349667.45421205007</v>
      </c>
      <c r="H51" s="491">
        <f t="shared" si="15"/>
        <v>349667.45421205007</v>
      </c>
      <c r="I51" s="511">
        <f t="shared" si="0"/>
        <v>0</v>
      </c>
      <c r="J51" s="511"/>
      <c r="K51" s="525"/>
      <c r="L51" s="514">
        <f t="shared" si="2"/>
        <v>0</v>
      </c>
      <c r="M51" s="525"/>
      <c r="N51" s="514">
        <f t="shared" si="4"/>
        <v>0</v>
      </c>
      <c r="O51" s="514">
        <f t="shared" si="5"/>
        <v>0</v>
      </c>
      <c r="P51" s="272"/>
    </row>
    <row r="52" spans="2:16">
      <c r="B52" s="195" t="str">
        <f t="shared" si="7"/>
        <v/>
      </c>
      <c r="C52" s="507">
        <f>IF(D11="","-",+C51+1)</f>
        <v>2053</v>
      </c>
      <c r="D52" s="523">
        <f>IF(F51+SUM(E$17:E51)=D$10,F51,D$10-SUM(E$17:E51))</f>
        <v>1475306.584222367</v>
      </c>
      <c r="E52" s="522">
        <f>IF(+I14&lt;F51,I14,D52)</f>
        <v>163553.73545454547</v>
      </c>
      <c r="F52" s="523">
        <f t="shared" si="13"/>
        <v>1311752.8487678217</v>
      </c>
      <c r="G52" s="524">
        <f t="shared" si="14"/>
        <v>330118.34534186532</v>
      </c>
      <c r="H52" s="491">
        <f t="shared" si="15"/>
        <v>330118.34534186532</v>
      </c>
      <c r="I52" s="511">
        <f t="shared" si="0"/>
        <v>0</v>
      </c>
      <c r="J52" s="511"/>
      <c r="K52" s="525"/>
      <c r="L52" s="514">
        <f t="shared" si="2"/>
        <v>0</v>
      </c>
      <c r="M52" s="525"/>
      <c r="N52" s="514">
        <f t="shared" si="4"/>
        <v>0</v>
      </c>
      <c r="O52" s="514">
        <f t="shared" si="5"/>
        <v>0</v>
      </c>
      <c r="P52" s="272"/>
    </row>
    <row r="53" spans="2:16">
      <c r="B53" s="195" t="str">
        <f t="shared" si="7"/>
        <v/>
      </c>
      <c r="C53" s="507">
        <f>IF(D11="","-",+C52+1)</f>
        <v>2054</v>
      </c>
      <c r="D53" s="523">
        <f>IF(F52+SUM(E$17:E52)=D$10,F52,D$10-SUM(E$17:E52))</f>
        <v>1311752.8487678217</v>
      </c>
      <c r="E53" s="522">
        <f>IF(+I14&lt;F52,I14,D53)</f>
        <v>163553.73545454547</v>
      </c>
      <c r="F53" s="523">
        <f t="shared" si="13"/>
        <v>1148199.1133132763</v>
      </c>
      <c r="G53" s="524">
        <f t="shared" si="14"/>
        <v>310569.23647168058</v>
      </c>
      <c r="H53" s="491">
        <f t="shared" si="15"/>
        <v>310569.23647168058</v>
      </c>
      <c r="I53" s="511">
        <f t="shared" si="0"/>
        <v>0</v>
      </c>
      <c r="J53" s="511"/>
      <c r="K53" s="525"/>
      <c r="L53" s="514">
        <f t="shared" si="2"/>
        <v>0</v>
      </c>
      <c r="M53" s="525"/>
      <c r="N53" s="514">
        <f t="shared" si="4"/>
        <v>0</v>
      </c>
      <c r="O53" s="514">
        <f t="shared" si="5"/>
        <v>0</v>
      </c>
      <c r="P53" s="272"/>
    </row>
    <row r="54" spans="2:16">
      <c r="B54" s="195" t="str">
        <f t="shared" si="7"/>
        <v/>
      </c>
      <c r="C54" s="507">
        <f>IF(D11="","-",+C53+1)</f>
        <v>2055</v>
      </c>
      <c r="D54" s="523">
        <f>IF(F53+SUM(E$17:E53)=D$10,F53,D$10-SUM(E$17:E53))</f>
        <v>1148199.1133132763</v>
      </c>
      <c r="E54" s="522">
        <f>IF(+I14&lt;F53,I14,D54)</f>
        <v>163553.73545454547</v>
      </c>
      <c r="F54" s="523">
        <f t="shared" si="13"/>
        <v>984645.37785873085</v>
      </c>
      <c r="G54" s="524">
        <f t="shared" si="14"/>
        <v>291020.12760149583</v>
      </c>
      <c r="H54" s="491">
        <f t="shared" si="15"/>
        <v>291020.12760149583</v>
      </c>
      <c r="I54" s="511">
        <f t="shared" si="0"/>
        <v>0</v>
      </c>
      <c r="J54" s="511"/>
      <c r="K54" s="525"/>
      <c r="L54" s="514">
        <f t="shared" si="2"/>
        <v>0</v>
      </c>
      <c r="M54" s="525"/>
      <c r="N54" s="514">
        <f t="shared" si="4"/>
        <v>0</v>
      </c>
      <c r="O54" s="514">
        <f t="shared" si="5"/>
        <v>0</v>
      </c>
      <c r="P54" s="272"/>
    </row>
    <row r="55" spans="2:16">
      <c r="B55" s="195" t="str">
        <f t="shared" si="7"/>
        <v/>
      </c>
      <c r="C55" s="507">
        <f>IF(D11="","-",+C54+1)</f>
        <v>2056</v>
      </c>
      <c r="D55" s="523">
        <f>IF(F54+SUM(E$17:E54)=D$10,F54,D$10-SUM(E$17:E54))</f>
        <v>984645.37785873085</v>
      </c>
      <c r="E55" s="522">
        <f>IF(+I14&lt;F54,I14,D55)</f>
        <v>163553.73545454547</v>
      </c>
      <c r="F55" s="523">
        <f t="shared" si="13"/>
        <v>821091.64240418538</v>
      </c>
      <c r="G55" s="524">
        <f t="shared" si="14"/>
        <v>271471.01873131108</v>
      </c>
      <c r="H55" s="491">
        <f t="shared" si="15"/>
        <v>271471.01873131108</v>
      </c>
      <c r="I55" s="511">
        <f t="shared" si="0"/>
        <v>0</v>
      </c>
      <c r="J55" s="511"/>
      <c r="K55" s="525"/>
      <c r="L55" s="514">
        <f t="shared" si="2"/>
        <v>0</v>
      </c>
      <c r="M55" s="525"/>
      <c r="N55" s="514">
        <f t="shared" si="4"/>
        <v>0</v>
      </c>
      <c r="O55" s="514">
        <f t="shared" si="5"/>
        <v>0</v>
      </c>
      <c r="P55" s="272"/>
    </row>
    <row r="56" spans="2:16">
      <c r="B56" s="195" t="str">
        <f t="shared" si="7"/>
        <v/>
      </c>
      <c r="C56" s="507">
        <f>IF(D11="","-",+C55+1)</f>
        <v>2057</v>
      </c>
      <c r="D56" s="523">
        <f>IF(F55+SUM(E$17:E55)=D$10,F55,D$10-SUM(E$17:E55))</f>
        <v>821091.64240418538</v>
      </c>
      <c r="E56" s="522">
        <f>IF(+I14&lt;F55,I14,D56)</f>
        <v>163553.73545454547</v>
      </c>
      <c r="F56" s="523">
        <f t="shared" si="13"/>
        <v>657537.9069496399</v>
      </c>
      <c r="G56" s="524">
        <f t="shared" si="14"/>
        <v>251921.90986112636</v>
      </c>
      <c r="H56" s="491">
        <f t="shared" si="15"/>
        <v>251921.90986112636</v>
      </c>
      <c r="I56" s="511">
        <f t="shared" si="0"/>
        <v>0</v>
      </c>
      <c r="J56" s="511"/>
      <c r="K56" s="525"/>
      <c r="L56" s="514">
        <f t="shared" si="2"/>
        <v>0</v>
      </c>
      <c r="M56" s="525"/>
      <c r="N56" s="514">
        <f t="shared" si="4"/>
        <v>0</v>
      </c>
      <c r="O56" s="514">
        <f t="shared" si="5"/>
        <v>0</v>
      </c>
      <c r="P56" s="272"/>
    </row>
    <row r="57" spans="2:16">
      <c r="B57" s="195" t="str">
        <f t="shared" si="7"/>
        <v/>
      </c>
      <c r="C57" s="507">
        <f>IF(D11="","-",+C56+1)</f>
        <v>2058</v>
      </c>
      <c r="D57" s="523">
        <f>IF(F56+SUM(E$17:E56)=D$10,F56,D$10-SUM(E$17:E56))</f>
        <v>657537.9069496399</v>
      </c>
      <c r="E57" s="522">
        <f>IF(+I14&lt;F56,I14,D57)</f>
        <v>163553.73545454547</v>
      </c>
      <c r="F57" s="523">
        <f t="shared" si="13"/>
        <v>493984.17149509443</v>
      </c>
      <c r="G57" s="524">
        <f t="shared" si="14"/>
        <v>232372.80099094161</v>
      </c>
      <c r="H57" s="491">
        <f t="shared" si="15"/>
        <v>232372.80099094161</v>
      </c>
      <c r="I57" s="511">
        <f t="shared" si="0"/>
        <v>0</v>
      </c>
      <c r="J57" s="511"/>
      <c r="K57" s="525"/>
      <c r="L57" s="514">
        <f t="shared" si="2"/>
        <v>0</v>
      </c>
      <c r="M57" s="525"/>
      <c r="N57" s="514">
        <f t="shared" si="4"/>
        <v>0</v>
      </c>
      <c r="O57" s="514">
        <f t="shared" si="5"/>
        <v>0</v>
      </c>
      <c r="P57" s="272"/>
    </row>
    <row r="58" spans="2:16">
      <c r="B58" s="195" t="str">
        <f t="shared" si="7"/>
        <v/>
      </c>
      <c r="C58" s="507">
        <f>IF(D11="","-",+C57+1)</f>
        <v>2059</v>
      </c>
      <c r="D58" s="523">
        <f>IF(F57+SUM(E$17:E57)=D$10,F57,D$10-SUM(E$17:E57))</f>
        <v>493984.17149509443</v>
      </c>
      <c r="E58" s="522">
        <f>IF(+I14&lt;F57,I14,D58)</f>
        <v>163553.73545454547</v>
      </c>
      <c r="F58" s="523">
        <f t="shared" si="13"/>
        <v>330430.43604054896</v>
      </c>
      <c r="G58" s="524">
        <f t="shared" si="14"/>
        <v>212823.69212075687</v>
      </c>
      <c r="H58" s="491">
        <f t="shared" si="15"/>
        <v>212823.69212075687</v>
      </c>
      <c r="I58" s="511">
        <f t="shared" si="0"/>
        <v>0</v>
      </c>
      <c r="J58" s="511"/>
      <c r="K58" s="525"/>
      <c r="L58" s="514">
        <f t="shared" si="2"/>
        <v>0</v>
      </c>
      <c r="M58" s="525"/>
      <c r="N58" s="514">
        <f t="shared" si="4"/>
        <v>0</v>
      </c>
      <c r="O58" s="514">
        <f t="shared" si="5"/>
        <v>0</v>
      </c>
      <c r="P58" s="272"/>
    </row>
    <row r="59" spans="2:16">
      <c r="B59" s="195" t="str">
        <f t="shared" si="7"/>
        <v/>
      </c>
      <c r="C59" s="507">
        <f>IF(D11="","-",+C58+1)</f>
        <v>2060</v>
      </c>
      <c r="D59" s="523">
        <f>IF(F58+SUM(E$17:E58)=D$10,F58,D$10-SUM(E$17:E58))</f>
        <v>330430.43604054896</v>
      </c>
      <c r="E59" s="522">
        <f>IF(+I14&lt;F58,I14,D59)</f>
        <v>163553.73545454547</v>
      </c>
      <c r="F59" s="523">
        <f t="shared" si="13"/>
        <v>166876.70058600348</v>
      </c>
      <c r="G59" s="524">
        <f t="shared" si="14"/>
        <v>193274.58325057215</v>
      </c>
      <c r="H59" s="491">
        <f t="shared" si="15"/>
        <v>193274.58325057215</v>
      </c>
      <c r="I59" s="511">
        <f t="shared" si="0"/>
        <v>0</v>
      </c>
      <c r="J59" s="511"/>
      <c r="K59" s="525"/>
      <c r="L59" s="514">
        <f t="shared" si="2"/>
        <v>0</v>
      </c>
      <c r="M59" s="525"/>
      <c r="N59" s="514">
        <f t="shared" si="4"/>
        <v>0</v>
      </c>
      <c r="O59" s="514">
        <f t="shared" si="5"/>
        <v>0</v>
      </c>
      <c r="P59" s="272"/>
    </row>
    <row r="60" spans="2:16">
      <c r="B60" s="195" t="str">
        <f t="shared" si="7"/>
        <v/>
      </c>
      <c r="C60" s="507">
        <f>IF(D11="","-",+C59+1)</f>
        <v>2061</v>
      </c>
      <c r="D60" s="523">
        <f>IF(F59+SUM(E$17:E59)=D$10,F59,D$10-SUM(E$17:E59))</f>
        <v>166876.70058600348</v>
      </c>
      <c r="E60" s="522">
        <f>IF(+I14&lt;F59,I14,D60)</f>
        <v>163553.73545454547</v>
      </c>
      <c r="F60" s="523">
        <f t="shared" si="13"/>
        <v>3322.9651314580115</v>
      </c>
      <c r="G60" s="524">
        <f t="shared" si="14"/>
        <v>173725.4743803874</v>
      </c>
      <c r="H60" s="491">
        <f t="shared" si="15"/>
        <v>173725.4743803874</v>
      </c>
      <c r="I60" s="511">
        <f t="shared" si="0"/>
        <v>0</v>
      </c>
      <c r="J60" s="511"/>
      <c r="K60" s="525"/>
      <c r="L60" s="514">
        <f t="shared" si="2"/>
        <v>0</v>
      </c>
      <c r="M60" s="525"/>
      <c r="N60" s="514">
        <f t="shared" si="4"/>
        <v>0</v>
      </c>
      <c r="O60" s="514">
        <f t="shared" si="5"/>
        <v>0</v>
      </c>
      <c r="P60" s="272"/>
    </row>
    <row r="61" spans="2:16">
      <c r="B61" s="195" t="str">
        <f t="shared" si="7"/>
        <v/>
      </c>
      <c r="C61" s="507">
        <f>IF(D11="","-",+C60+1)</f>
        <v>2062</v>
      </c>
      <c r="D61" s="523">
        <f>IF(F60+SUM(E$17:E60)=D$10,F60,D$10-SUM(E$17:E60))</f>
        <v>3322.9651314580115</v>
      </c>
      <c r="E61" s="522">
        <f>IF(+I14&lt;F60,I14,D61)</f>
        <v>3322.9651314580115</v>
      </c>
      <c r="F61" s="523">
        <f t="shared" si="13"/>
        <v>0</v>
      </c>
      <c r="G61" s="526">
        <f t="shared" si="14"/>
        <v>3521.5573768327868</v>
      </c>
      <c r="H61" s="491">
        <f t="shared" si="15"/>
        <v>3521.5573768327868</v>
      </c>
      <c r="I61" s="511">
        <f t="shared" si="0"/>
        <v>0</v>
      </c>
      <c r="J61" s="511"/>
      <c r="K61" s="525"/>
      <c r="L61" s="514">
        <f t="shared" si="2"/>
        <v>0</v>
      </c>
      <c r="M61" s="525"/>
      <c r="N61" s="514">
        <f t="shared" si="4"/>
        <v>0</v>
      </c>
      <c r="O61" s="514">
        <f t="shared" si="5"/>
        <v>0</v>
      </c>
      <c r="P61" s="272"/>
    </row>
    <row r="62" spans="2:16">
      <c r="B62" s="195" t="str">
        <f t="shared" si="7"/>
        <v/>
      </c>
      <c r="C62" s="507">
        <f>IF(D11="","-",+C61+1)</f>
        <v>2063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13"/>
        <v>0</v>
      </c>
      <c r="G62" s="526">
        <f t="shared" si="14"/>
        <v>0</v>
      </c>
      <c r="H62" s="491">
        <f t="shared" si="15"/>
        <v>0</v>
      </c>
      <c r="I62" s="511">
        <f t="shared" si="0"/>
        <v>0</v>
      </c>
      <c r="J62" s="511"/>
      <c r="K62" s="525"/>
      <c r="L62" s="514">
        <f t="shared" si="2"/>
        <v>0</v>
      </c>
      <c r="M62" s="525"/>
      <c r="N62" s="514">
        <f t="shared" si="4"/>
        <v>0</v>
      </c>
      <c r="O62" s="514">
        <f t="shared" si="5"/>
        <v>0</v>
      </c>
      <c r="P62" s="272"/>
    </row>
    <row r="63" spans="2:16">
      <c r="B63" s="195" t="str">
        <f t="shared" si="7"/>
        <v/>
      </c>
      <c r="C63" s="507">
        <f>IF(D11="","-",+C62+1)</f>
        <v>2064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13"/>
        <v>0</v>
      </c>
      <c r="G63" s="526">
        <f t="shared" si="14"/>
        <v>0</v>
      </c>
      <c r="H63" s="491">
        <f t="shared" si="15"/>
        <v>0</v>
      </c>
      <c r="I63" s="511">
        <f t="shared" si="0"/>
        <v>0</v>
      </c>
      <c r="J63" s="511"/>
      <c r="K63" s="525"/>
      <c r="L63" s="514">
        <f t="shared" si="2"/>
        <v>0</v>
      </c>
      <c r="M63" s="525"/>
      <c r="N63" s="514">
        <f t="shared" si="4"/>
        <v>0</v>
      </c>
      <c r="O63" s="514">
        <f t="shared" si="5"/>
        <v>0</v>
      </c>
      <c r="P63" s="272"/>
    </row>
    <row r="64" spans="2:16">
      <c r="B64" s="195" t="str">
        <f t="shared" si="7"/>
        <v/>
      </c>
      <c r="C64" s="507">
        <f>IF(D11="","-",+C63+1)</f>
        <v>2065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13"/>
        <v>0</v>
      </c>
      <c r="G64" s="526">
        <f t="shared" si="14"/>
        <v>0</v>
      </c>
      <c r="H64" s="491">
        <f t="shared" si="15"/>
        <v>0</v>
      </c>
      <c r="I64" s="511">
        <f t="shared" si="0"/>
        <v>0</v>
      </c>
      <c r="J64" s="511"/>
      <c r="K64" s="525"/>
      <c r="L64" s="514">
        <f t="shared" si="2"/>
        <v>0</v>
      </c>
      <c r="M64" s="525"/>
      <c r="N64" s="514">
        <f t="shared" si="4"/>
        <v>0</v>
      </c>
      <c r="O64" s="514">
        <f t="shared" si="5"/>
        <v>0</v>
      </c>
      <c r="P64" s="272"/>
    </row>
    <row r="65" spans="2:16">
      <c r="B65" s="195" t="str">
        <f t="shared" si="7"/>
        <v/>
      </c>
      <c r="C65" s="507">
        <f>IF(D11="","-",+C64+1)</f>
        <v>2066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13"/>
        <v>0</v>
      </c>
      <c r="G65" s="526">
        <f t="shared" si="14"/>
        <v>0</v>
      </c>
      <c r="H65" s="491">
        <f t="shared" si="15"/>
        <v>0</v>
      </c>
      <c r="I65" s="511">
        <f t="shared" si="0"/>
        <v>0</v>
      </c>
      <c r="J65" s="511"/>
      <c r="K65" s="525"/>
      <c r="L65" s="514">
        <f t="shared" si="2"/>
        <v>0</v>
      </c>
      <c r="M65" s="525"/>
      <c r="N65" s="514">
        <f t="shared" si="4"/>
        <v>0</v>
      </c>
      <c r="O65" s="514">
        <f t="shared" si="5"/>
        <v>0</v>
      </c>
      <c r="P65" s="272"/>
    </row>
    <row r="66" spans="2:16">
      <c r="B66" s="195" t="str">
        <f t="shared" si="7"/>
        <v/>
      </c>
      <c r="C66" s="507">
        <f>IF(D11="","-",+C65+1)</f>
        <v>2067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13"/>
        <v>0</v>
      </c>
      <c r="G66" s="526">
        <f t="shared" si="14"/>
        <v>0</v>
      </c>
      <c r="H66" s="491">
        <f t="shared" si="15"/>
        <v>0</v>
      </c>
      <c r="I66" s="511">
        <f t="shared" si="0"/>
        <v>0</v>
      </c>
      <c r="J66" s="511"/>
      <c r="K66" s="525"/>
      <c r="L66" s="514">
        <f t="shared" si="2"/>
        <v>0</v>
      </c>
      <c r="M66" s="525"/>
      <c r="N66" s="514">
        <f t="shared" si="4"/>
        <v>0</v>
      </c>
      <c r="O66" s="514">
        <f t="shared" si="5"/>
        <v>0</v>
      </c>
      <c r="P66" s="272"/>
    </row>
    <row r="67" spans="2:16">
      <c r="B67" s="195" t="str">
        <f t="shared" si="7"/>
        <v/>
      </c>
      <c r="C67" s="507">
        <f>IF(D11="","-",+C66+1)</f>
        <v>2068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13"/>
        <v>0</v>
      </c>
      <c r="G67" s="526">
        <f t="shared" si="14"/>
        <v>0</v>
      </c>
      <c r="H67" s="491">
        <f t="shared" si="15"/>
        <v>0</v>
      </c>
      <c r="I67" s="511">
        <f t="shared" si="0"/>
        <v>0</v>
      </c>
      <c r="J67" s="511"/>
      <c r="K67" s="525"/>
      <c r="L67" s="514">
        <f t="shared" si="2"/>
        <v>0</v>
      </c>
      <c r="M67" s="525"/>
      <c r="N67" s="514">
        <f t="shared" si="4"/>
        <v>0</v>
      </c>
      <c r="O67" s="514">
        <f t="shared" si="5"/>
        <v>0</v>
      </c>
      <c r="P67" s="272"/>
    </row>
    <row r="68" spans="2:16">
      <c r="B68" s="195" t="str">
        <f t="shared" si="7"/>
        <v/>
      </c>
      <c r="C68" s="507">
        <f>IF(D11="","-",+C67+1)</f>
        <v>2069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13"/>
        <v>0</v>
      </c>
      <c r="G68" s="526">
        <f t="shared" si="14"/>
        <v>0</v>
      </c>
      <c r="H68" s="491">
        <f t="shared" si="15"/>
        <v>0</v>
      </c>
      <c r="I68" s="511">
        <f t="shared" si="0"/>
        <v>0</v>
      </c>
      <c r="J68" s="511"/>
      <c r="K68" s="525"/>
      <c r="L68" s="514">
        <f t="shared" si="2"/>
        <v>0</v>
      </c>
      <c r="M68" s="525"/>
      <c r="N68" s="514">
        <f t="shared" si="4"/>
        <v>0</v>
      </c>
      <c r="O68" s="514">
        <f t="shared" si="5"/>
        <v>0</v>
      </c>
      <c r="P68" s="272"/>
    </row>
    <row r="69" spans="2:16">
      <c r="B69" s="195" t="str">
        <f t="shared" si="7"/>
        <v/>
      </c>
      <c r="C69" s="507">
        <f>IF(D11="","-",+C68+1)</f>
        <v>2070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13"/>
        <v>0</v>
      </c>
      <c r="G69" s="526">
        <f t="shared" si="14"/>
        <v>0</v>
      </c>
      <c r="H69" s="491">
        <f t="shared" si="15"/>
        <v>0</v>
      </c>
      <c r="I69" s="511">
        <f t="shared" si="0"/>
        <v>0</v>
      </c>
      <c r="J69" s="511"/>
      <c r="K69" s="525"/>
      <c r="L69" s="514">
        <f t="shared" si="2"/>
        <v>0</v>
      </c>
      <c r="M69" s="525"/>
      <c r="N69" s="514">
        <f t="shared" si="4"/>
        <v>0</v>
      </c>
      <c r="O69" s="514">
        <f t="shared" si="5"/>
        <v>0</v>
      </c>
      <c r="P69" s="272"/>
    </row>
    <row r="70" spans="2:16">
      <c r="B70" s="195" t="str">
        <f t="shared" si="7"/>
        <v/>
      </c>
      <c r="C70" s="507">
        <f>IF(D11="","-",+C69+1)</f>
        <v>2071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13"/>
        <v>0</v>
      </c>
      <c r="G70" s="526">
        <f t="shared" si="14"/>
        <v>0</v>
      </c>
      <c r="H70" s="491">
        <f t="shared" si="15"/>
        <v>0</v>
      </c>
      <c r="I70" s="511">
        <f t="shared" si="0"/>
        <v>0</v>
      </c>
      <c r="J70" s="511"/>
      <c r="K70" s="525"/>
      <c r="L70" s="514">
        <f t="shared" si="2"/>
        <v>0</v>
      </c>
      <c r="M70" s="525"/>
      <c r="N70" s="514">
        <f t="shared" si="4"/>
        <v>0</v>
      </c>
      <c r="O70" s="514">
        <f t="shared" si="5"/>
        <v>0</v>
      </c>
      <c r="P70" s="272"/>
    </row>
    <row r="71" spans="2:16">
      <c r="B71" s="195" t="str">
        <f t="shared" si="7"/>
        <v/>
      </c>
      <c r="C71" s="507">
        <f>IF(D11="","-",+C70+1)</f>
        <v>2072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13"/>
        <v>0</v>
      </c>
      <c r="G71" s="526">
        <f t="shared" si="14"/>
        <v>0</v>
      </c>
      <c r="H71" s="491">
        <f t="shared" si="15"/>
        <v>0</v>
      </c>
      <c r="I71" s="511">
        <f t="shared" si="0"/>
        <v>0</v>
      </c>
      <c r="J71" s="511"/>
      <c r="K71" s="525"/>
      <c r="L71" s="514">
        <f t="shared" si="2"/>
        <v>0</v>
      </c>
      <c r="M71" s="525"/>
      <c r="N71" s="514">
        <f t="shared" si="4"/>
        <v>0</v>
      </c>
      <c r="O71" s="514">
        <f t="shared" si="5"/>
        <v>0</v>
      </c>
      <c r="P71" s="272"/>
    </row>
    <row r="72" spans="2:16" ht="13.5" thickBot="1">
      <c r="B72" s="195" t="str">
        <f t="shared" si="7"/>
        <v/>
      </c>
      <c r="C72" s="527">
        <f>IF(D11="","-",+C71+1)</f>
        <v>2073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13"/>
        <v>0</v>
      </c>
      <c r="G72" s="530">
        <f t="shared" si="14"/>
        <v>0</v>
      </c>
      <c r="H72" s="471">
        <f t="shared" si="15"/>
        <v>0</v>
      </c>
      <c r="I72" s="531">
        <f t="shared" si="0"/>
        <v>0</v>
      </c>
      <c r="J72" s="511"/>
      <c r="K72" s="532"/>
      <c r="L72" s="533">
        <f t="shared" si="2"/>
        <v>0</v>
      </c>
      <c r="M72" s="532"/>
      <c r="N72" s="533">
        <f t="shared" si="4"/>
        <v>0</v>
      </c>
      <c r="O72" s="533">
        <f t="shared" si="5"/>
        <v>0</v>
      </c>
      <c r="P72" s="272"/>
    </row>
    <row r="73" spans="2:16">
      <c r="C73" s="374" t="s">
        <v>78</v>
      </c>
      <c r="D73" s="375"/>
      <c r="E73" s="375">
        <f>SUM(E17:E72)</f>
        <v>7196364.3600000003</v>
      </c>
      <c r="F73" s="375"/>
      <c r="G73" s="375">
        <f>SUM(G17:G72)</f>
        <v>25726626.900626913</v>
      </c>
      <c r="H73" s="375">
        <f>SUM(H17:H72)</f>
        <v>25726626.900626913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2:16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2:16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2:16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2:16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272"/>
      <c r="P77" s="272"/>
    </row>
    <row r="78" spans="2:16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2:16"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  <c r="O79" s="269"/>
      <c r="P79" s="269"/>
    </row>
    <row r="80" spans="2:16" ht="18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6">
      <c r="B81" s="269"/>
      <c r="C81" s="340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6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</row>
    <row r="83" spans="1:16" ht="20.25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451" t="str">
        <f ca="1">P1</f>
        <v>SWEPCO Project 70 of 75</v>
      </c>
    </row>
    <row r="84" spans="1:16" ht="18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538" t="s">
        <v>128</v>
      </c>
    </row>
    <row r="85" spans="1:16" ht="18.7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</row>
    <row r="86" spans="1:16" ht="15.75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2022</v>
      </c>
      <c r="M86" s="541" t="s">
        <v>9</v>
      </c>
      <c r="N86" s="542" t="s">
        <v>159</v>
      </c>
      <c r="O86" s="543" t="s">
        <v>11</v>
      </c>
      <c r="P86" s="269"/>
    </row>
    <row r="87" spans="1:16" ht="1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391</v>
      </c>
      <c r="M87" s="546">
        <f>IF(J92&lt;D11,0,VLOOKUP(J92,C17:O72,9))</f>
        <v>899459.98182080162</v>
      </c>
      <c r="N87" s="546">
        <f>IF(J92&lt;D11,0,VLOOKUP(J92,C17:O72,11))</f>
        <v>899459.98182080162</v>
      </c>
      <c r="O87" s="547">
        <f>+N87-M87</f>
        <v>0</v>
      </c>
      <c r="P87" s="269"/>
    </row>
    <row r="88" spans="1:16" ht="15.7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392</v>
      </c>
      <c r="M88" s="550">
        <f>IF(J92&lt;D11,0,VLOOKUP(J92,C99:P154,6))</f>
        <v>936088.0478784244</v>
      </c>
      <c r="N88" s="550">
        <f>IF(J92&lt;D11,0,VLOOKUP(J92,C99:P154,7))</f>
        <v>936088.0478784244</v>
      </c>
      <c r="O88" s="551">
        <f>+N88-M88</f>
        <v>0</v>
      </c>
      <c r="P88" s="269"/>
    </row>
    <row r="89" spans="1:16" ht="13.5" thickBot="1">
      <c r="C89" s="467" t="s">
        <v>84</v>
      </c>
      <c r="D89" s="552" t="str">
        <f>+D7</f>
        <v>Linwood - South Shreveport 138 KV Kine Rebuild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36628.066057622782</v>
      </c>
      <c r="N89" s="555">
        <f>+N88-N87</f>
        <v>36628.066057622782</v>
      </c>
      <c r="O89" s="556">
        <f>+O88-O87</f>
        <v>0</v>
      </c>
      <c r="P89" s="269"/>
    </row>
    <row r="90" spans="1:16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</row>
    <row r="91" spans="1:16" ht="13.5" thickBot="1">
      <c r="A91" s="191"/>
      <c r="C91" s="558" t="s">
        <v>85</v>
      </c>
      <c r="D91" s="559" t="str">
        <f>+D9</f>
        <v>TP2014139</v>
      </c>
      <c r="E91" s="560"/>
      <c r="F91" s="560"/>
      <c r="G91" s="560"/>
      <c r="H91" s="560"/>
      <c r="I91" s="560"/>
      <c r="J91" s="560"/>
      <c r="K91" s="562"/>
      <c r="P91" s="481"/>
    </row>
    <row r="92" spans="1:16">
      <c r="C92" s="486" t="s">
        <v>51</v>
      </c>
      <c r="D92" s="564">
        <v>7196364</v>
      </c>
      <c r="E92" s="340" t="s">
        <v>86</v>
      </c>
      <c r="H92" s="484"/>
      <c r="I92" s="484"/>
      <c r="J92" s="485">
        <f>+'SWE.WS.G.BPU.ATRR.True-up'!M16</f>
        <v>2022</v>
      </c>
      <c r="K92" s="480"/>
      <c r="L92" s="375" t="s">
        <v>87</v>
      </c>
      <c r="P92" s="272"/>
    </row>
    <row r="93" spans="1:16">
      <c r="C93" s="486" t="s">
        <v>54</v>
      </c>
      <c r="D93" s="563">
        <v>2018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</row>
    <row r="94" spans="1:16">
      <c r="C94" s="486" t="s">
        <v>56</v>
      </c>
      <c r="D94" s="564">
        <v>5</v>
      </c>
      <c r="E94" s="486" t="s">
        <v>57</v>
      </c>
      <c r="F94" s="484"/>
      <c r="G94" s="484"/>
      <c r="J94" s="490">
        <f>'SWE.WS.G.BPU.ATRR.True-up'!$F$81</f>
        <v>0.11351422637179906</v>
      </c>
      <c r="K94" s="425"/>
      <c r="L94" s="183" t="s">
        <v>88</v>
      </c>
      <c r="P94" s="272"/>
    </row>
    <row r="95" spans="1:16">
      <c r="C95" s="486" t="s">
        <v>59</v>
      </c>
      <c r="D95" s="488">
        <f>'SWE.WS.G.BPU.ATRR.True-up'!F$93</f>
        <v>41</v>
      </c>
      <c r="E95" s="486" t="s">
        <v>60</v>
      </c>
      <c r="F95" s="484"/>
      <c r="G95" s="484"/>
      <c r="J95" s="490">
        <f>IF(H87="",J94,'SWE.WS.G.BPU.ATRR.True-up'!$F$80)</f>
        <v>0.11351422637179906</v>
      </c>
      <c r="K95" s="324"/>
      <c r="L95" s="375" t="s">
        <v>61</v>
      </c>
      <c r="M95" s="324"/>
      <c r="N95" s="324"/>
      <c r="O95" s="324"/>
      <c r="P95" s="272"/>
    </row>
    <row r="96" spans="1:16" ht="13.5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175521.07317073172</v>
      </c>
      <c r="K96" s="375"/>
      <c r="L96" s="375"/>
      <c r="M96" s="375"/>
      <c r="N96" s="375"/>
      <c r="O96" s="375"/>
      <c r="P96" s="272"/>
    </row>
    <row r="97" spans="1:16" ht="38.25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388</v>
      </c>
      <c r="I97" s="495" t="s">
        <v>389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</row>
    <row r="98" spans="1:16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602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</row>
    <row r="99" spans="1:16">
      <c r="C99" s="507">
        <f>IF(D93= "","-",D93)</f>
        <v>2018</v>
      </c>
      <c r="D99" s="629">
        <v>0</v>
      </c>
      <c r="E99" s="630">
        <v>85659.654761904763</v>
      </c>
      <c r="F99" s="631">
        <v>7109751.3452380951</v>
      </c>
      <c r="G99" s="631">
        <v>3554875.6726190476</v>
      </c>
      <c r="H99" s="633">
        <v>461070.82780968421</v>
      </c>
      <c r="I99" s="634">
        <v>461070.82780968421</v>
      </c>
      <c r="J99" s="514">
        <f t="shared" ref="J99:J130" si="16">+I99-H99</f>
        <v>0</v>
      </c>
      <c r="K99" s="514"/>
      <c r="L99" s="512">
        <f>+H99</f>
        <v>461070.82780968421</v>
      </c>
      <c r="M99" s="513">
        <f t="shared" ref="M99:M101" si="17">IF(L99&lt;&gt;0,+H99-L99,0)</f>
        <v>0</v>
      </c>
      <c r="N99" s="512">
        <f>+I99</f>
        <v>461070.82780968421</v>
      </c>
      <c r="O99" s="513">
        <f t="shared" ref="O99:O130" si="18">IF(N99&lt;&gt;0,+I99-N99,0)</f>
        <v>0</v>
      </c>
      <c r="P99" s="513">
        <f t="shared" ref="P99:P130" si="19">+O99-M99</f>
        <v>0</v>
      </c>
    </row>
    <row r="100" spans="1:16">
      <c r="B100" s="195" t="str">
        <f>IF(D100=F99,"","IU")</f>
        <v>IU</v>
      </c>
      <c r="C100" s="507">
        <f>IF(D93="","-",+C99+1)</f>
        <v>2019</v>
      </c>
      <c r="D100" s="629">
        <v>7110704.3452380951</v>
      </c>
      <c r="E100" s="630">
        <v>167357.3023255814</v>
      </c>
      <c r="F100" s="631">
        <v>6943347.0429125139</v>
      </c>
      <c r="G100" s="631">
        <v>7027025.694075305</v>
      </c>
      <c r="H100" s="633">
        <v>919533.97318451235</v>
      </c>
      <c r="I100" s="634">
        <v>919533.97318451235</v>
      </c>
      <c r="J100" s="514">
        <f t="shared" si="16"/>
        <v>0</v>
      </c>
      <c r="K100" s="514"/>
      <c r="L100" s="655">
        <f>+H100</f>
        <v>919533.97318451235</v>
      </c>
      <c r="M100" s="514">
        <f t="shared" si="17"/>
        <v>0</v>
      </c>
      <c r="N100" s="655">
        <f>+I100</f>
        <v>919533.97318451235</v>
      </c>
      <c r="O100" s="514">
        <f t="shared" si="18"/>
        <v>0</v>
      </c>
      <c r="P100" s="514">
        <f t="shared" si="19"/>
        <v>0</v>
      </c>
    </row>
    <row r="101" spans="1:16">
      <c r="B101" s="195" t="str">
        <f t="shared" ref="B101:B154" si="20">IF(D101=F100,"","IU")</f>
        <v/>
      </c>
      <c r="C101" s="507">
        <f>IF(D93="","-",+C100+1)</f>
        <v>2020</v>
      </c>
      <c r="D101" s="629">
        <v>6943347.0429125139</v>
      </c>
      <c r="E101" s="630">
        <v>171342</v>
      </c>
      <c r="F101" s="631">
        <v>6772005.0429125139</v>
      </c>
      <c r="G101" s="631">
        <v>6857676.0429125139</v>
      </c>
      <c r="H101" s="633">
        <v>909048.49398459145</v>
      </c>
      <c r="I101" s="634">
        <v>909048.49398459145</v>
      </c>
      <c r="J101" s="514">
        <f t="shared" si="16"/>
        <v>0</v>
      </c>
      <c r="K101" s="514"/>
      <c r="L101" s="655">
        <f>+H101</f>
        <v>909048.49398459145</v>
      </c>
      <c r="M101" s="514">
        <f t="shared" si="17"/>
        <v>0</v>
      </c>
      <c r="N101" s="655">
        <f>+I101</f>
        <v>909048.49398459145</v>
      </c>
      <c r="O101" s="514">
        <f t="shared" si="18"/>
        <v>0</v>
      </c>
      <c r="P101" s="514">
        <f t="shared" si="19"/>
        <v>0</v>
      </c>
    </row>
    <row r="102" spans="1:16">
      <c r="B102" s="195" t="str">
        <f t="shared" si="20"/>
        <v/>
      </c>
      <c r="C102" s="507">
        <f>IF(D93="","-",+C101+1)</f>
        <v>2021</v>
      </c>
      <c r="D102" s="629">
        <v>6772005.0429125139</v>
      </c>
      <c r="E102" s="630">
        <v>175521.07317073172</v>
      </c>
      <c r="F102" s="631">
        <v>6596483.9697417822</v>
      </c>
      <c r="G102" s="631">
        <v>6684244.5063271485</v>
      </c>
      <c r="H102" s="633">
        <v>934277.91718640598</v>
      </c>
      <c r="I102" s="634">
        <v>934277.91718640598</v>
      </c>
      <c r="J102" s="514">
        <f t="shared" si="16"/>
        <v>0</v>
      </c>
      <c r="K102" s="514"/>
      <c r="L102" s="655">
        <f>+H102</f>
        <v>934277.91718640598</v>
      </c>
      <c r="M102" s="514">
        <f t="shared" ref="M102" si="21">IF(L102&lt;&gt;0,+H102-L102,0)</f>
        <v>0</v>
      </c>
      <c r="N102" s="655">
        <f>+I102</f>
        <v>934277.91718640598</v>
      </c>
      <c r="O102" s="514">
        <f t="shared" ref="O102" si="22">IF(N102&lt;&gt;0,+I102-N102,0)</f>
        <v>0</v>
      </c>
      <c r="P102" s="514">
        <f t="shared" ref="P102" si="23">+O102-M102</f>
        <v>0</v>
      </c>
    </row>
    <row r="103" spans="1:16">
      <c r="B103" s="195" t="str">
        <f t="shared" si="20"/>
        <v/>
      </c>
      <c r="C103" s="673">
        <f>IF(D93="","-",+C102+1)</f>
        <v>2022</v>
      </c>
      <c r="D103" s="374">
        <v>6596483.9697417822</v>
      </c>
      <c r="E103" s="522">
        <v>171342</v>
      </c>
      <c r="F103" s="523">
        <v>6425141.9697417822</v>
      </c>
      <c r="G103" s="523">
        <v>6510812.9697417822</v>
      </c>
      <c r="H103" s="526">
        <v>936088.0478784244</v>
      </c>
      <c r="I103" s="577">
        <v>936088.0478784244</v>
      </c>
      <c r="J103" s="514">
        <f t="shared" si="16"/>
        <v>0</v>
      </c>
      <c r="K103" s="514"/>
      <c r="L103" s="525"/>
      <c r="M103" s="514">
        <f t="shared" ref="M103:M130" si="24">IF(L103&lt;&gt;0,+H103-L103,0)</f>
        <v>0</v>
      </c>
      <c r="N103" s="525"/>
      <c r="O103" s="514">
        <f t="shared" si="18"/>
        <v>0</v>
      </c>
      <c r="P103" s="514">
        <f t="shared" si="19"/>
        <v>0</v>
      </c>
    </row>
    <row r="104" spans="1:16">
      <c r="B104" s="195" t="str">
        <f t="shared" si="20"/>
        <v/>
      </c>
      <c r="C104" s="507">
        <f>IF(D93="","-",+C103+1)</f>
        <v>2023</v>
      </c>
      <c r="D104" s="374">
        <f>IF(F103+SUM(E$99:E103)=D$92,F103,D$92-SUM(E$99:E103))</f>
        <v>6425141.9697417822</v>
      </c>
      <c r="E104" s="522">
        <f>IF(+J96&lt;F103,J96,D104)</f>
        <v>175521.07317073172</v>
      </c>
      <c r="F104" s="523">
        <f t="shared" ref="F104:F154" si="25">+D104-E104</f>
        <v>6249620.8965710504</v>
      </c>
      <c r="G104" s="523">
        <f t="shared" ref="G104:G154" si="26">+(F104+D104)/2</f>
        <v>6337381.4331564158</v>
      </c>
      <c r="H104" s="526">
        <f t="shared" ref="H104:H154" si="27">+J$94*G104+E104</f>
        <v>894904.02377848537</v>
      </c>
      <c r="I104" s="577">
        <f t="shared" ref="I104:I154" si="28">+J$95*G104+E104</f>
        <v>894904.02377848537</v>
      </c>
      <c r="J104" s="514">
        <f t="shared" si="16"/>
        <v>0</v>
      </c>
      <c r="K104" s="514"/>
      <c r="L104" s="525"/>
      <c r="M104" s="514">
        <f t="shared" si="24"/>
        <v>0</v>
      </c>
      <c r="N104" s="525"/>
      <c r="O104" s="514">
        <f t="shared" si="18"/>
        <v>0</v>
      </c>
      <c r="P104" s="514">
        <f t="shared" si="19"/>
        <v>0</v>
      </c>
    </row>
    <row r="105" spans="1:16">
      <c r="B105" s="195" t="str">
        <f t="shared" si="20"/>
        <v/>
      </c>
      <c r="C105" s="507">
        <f>IF(D93="","-",+C104+1)</f>
        <v>2024</v>
      </c>
      <c r="D105" s="374">
        <f>IF(F104+SUM(E$99:E104)=D$92,F104,D$92-SUM(E$99:E104))</f>
        <v>6249620.8965710504</v>
      </c>
      <c r="E105" s="522">
        <f>IF(+J96&lt;F104,J96,D105)</f>
        <v>175521.07317073172</v>
      </c>
      <c r="F105" s="523">
        <f t="shared" si="25"/>
        <v>6074099.8234003186</v>
      </c>
      <c r="G105" s="523">
        <f t="shared" si="26"/>
        <v>6161860.359985685</v>
      </c>
      <c r="H105" s="526">
        <f t="shared" si="27"/>
        <v>874979.88494556211</v>
      </c>
      <c r="I105" s="577">
        <f t="shared" si="28"/>
        <v>874979.88494556211</v>
      </c>
      <c r="J105" s="514">
        <f t="shared" si="16"/>
        <v>0</v>
      </c>
      <c r="K105" s="514"/>
      <c r="L105" s="525"/>
      <c r="M105" s="514">
        <f t="shared" si="24"/>
        <v>0</v>
      </c>
      <c r="N105" s="525"/>
      <c r="O105" s="514">
        <f t="shared" si="18"/>
        <v>0</v>
      </c>
      <c r="P105" s="514">
        <f t="shared" si="19"/>
        <v>0</v>
      </c>
    </row>
    <row r="106" spans="1:16">
      <c r="B106" s="195" t="str">
        <f t="shared" si="20"/>
        <v/>
      </c>
      <c r="C106" s="507">
        <f>IF(D93="","-",+C105+1)</f>
        <v>2025</v>
      </c>
      <c r="D106" s="374">
        <f>IF(F105+SUM(E$99:E105)=D$92,F105,D$92-SUM(E$99:E105))</f>
        <v>6074099.8234003186</v>
      </c>
      <c r="E106" s="522">
        <f>IF(+J96&lt;F105,J96,D106)</f>
        <v>175521.07317073172</v>
      </c>
      <c r="F106" s="523">
        <f t="shared" si="25"/>
        <v>5898578.7502295868</v>
      </c>
      <c r="G106" s="523">
        <f t="shared" si="26"/>
        <v>5986339.2868149523</v>
      </c>
      <c r="H106" s="526">
        <f t="shared" si="27"/>
        <v>855055.74611263839</v>
      </c>
      <c r="I106" s="577">
        <f t="shared" si="28"/>
        <v>855055.74611263839</v>
      </c>
      <c r="J106" s="514">
        <f t="shared" si="16"/>
        <v>0</v>
      </c>
      <c r="K106" s="514"/>
      <c r="L106" s="525"/>
      <c r="M106" s="514">
        <f t="shared" si="24"/>
        <v>0</v>
      </c>
      <c r="N106" s="525"/>
      <c r="O106" s="514">
        <f t="shared" si="18"/>
        <v>0</v>
      </c>
      <c r="P106" s="514">
        <f t="shared" si="19"/>
        <v>0</v>
      </c>
    </row>
    <row r="107" spans="1:16">
      <c r="B107" s="195" t="str">
        <f t="shared" si="20"/>
        <v/>
      </c>
      <c r="C107" s="507">
        <f>IF(D93="","-",+C106+1)</f>
        <v>2026</v>
      </c>
      <c r="D107" s="374">
        <f>IF(F106+SUM(E$99:E106)=D$92,F106,D$92-SUM(E$99:E106))</f>
        <v>5898578.7502295868</v>
      </c>
      <c r="E107" s="522">
        <f>IF(+J96&lt;F106,J96,D107)</f>
        <v>175521.07317073172</v>
      </c>
      <c r="F107" s="523">
        <f t="shared" si="25"/>
        <v>5723057.6770588551</v>
      </c>
      <c r="G107" s="523">
        <f t="shared" si="26"/>
        <v>5810818.2136442214</v>
      </c>
      <c r="H107" s="526">
        <f t="shared" si="27"/>
        <v>835131.6072797149</v>
      </c>
      <c r="I107" s="577">
        <f t="shared" si="28"/>
        <v>835131.6072797149</v>
      </c>
      <c r="J107" s="514">
        <f t="shared" si="16"/>
        <v>0</v>
      </c>
      <c r="K107" s="514"/>
      <c r="L107" s="525"/>
      <c r="M107" s="514">
        <f t="shared" si="24"/>
        <v>0</v>
      </c>
      <c r="N107" s="525"/>
      <c r="O107" s="514">
        <f t="shared" si="18"/>
        <v>0</v>
      </c>
      <c r="P107" s="514">
        <f t="shared" si="19"/>
        <v>0</v>
      </c>
    </row>
    <row r="108" spans="1:16">
      <c r="B108" s="195" t="str">
        <f t="shared" si="20"/>
        <v/>
      </c>
      <c r="C108" s="507">
        <f>IF(D93="","-",+C107+1)</f>
        <v>2027</v>
      </c>
      <c r="D108" s="374">
        <f>IF(F107+SUM(E$99:E107)=D$92,F107,D$92-SUM(E$99:E107))</f>
        <v>5723057.6770588551</v>
      </c>
      <c r="E108" s="522">
        <f>IF(+J96&lt;F107,J96,D108)</f>
        <v>175521.07317073172</v>
      </c>
      <c r="F108" s="523">
        <f t="shared" si="25"/>
        <v>5547536.6038881233</v>
      </c>
      <c r="G108" s="523">
        <f t="shared" si="26"/>
        <v>5635297.1404734887</v>
      </c>
      <c r="H108" s="526">
        <f t="shared" si="27"/>
        <v>815207.46844679117</v>
      </c>
      <c r="I108" s="577">
        <f t="shared" si="28"/>
        <v>815207.46844679117</v>
      </c>
      <c r="J108" s="514">
        <f t="shared" si="16"/>
        <v>0</v>
      </c>
      <c r="K108" s="514"/>
      <c r="L108" s="525"/>
      <c r="M108" s="514">
        <f t="shared" si="24"/>
        <v>0</v>
      </c>
      <c r="N108" s="525"/>
      <c r="O108" s="514">
        <f t="shared" si="18"/>
        <v>0</v>
      </c>
      <c r="P108" s="514">
        <f t="shared" si="19"/>
        <v>0</v>
      </c>
    </row>
    <row r="109" spans="1:16">
      <c r="B109" s="195" t="str">
        <f t="shared" si="20"/>
        <v/>
      </c>
      <c r="C109" s="507">
        <f>IF(D93="","-",+C108+1)</f>
        <v>2028</v>
      </c>
      <c r="D109" s="374">
        <f>IF(F108+SUM(E$99:E108)=D$92,F108,D$92-SUM(E$99:E108))</f>
        <v>5547536.6038881233</v>
      </c>
      <c r="E109" s="522">
        <f>IF(+J96&lt;F108,J96,D109)</f>
        <v>175521.07317073172</v>
      </c>
      <c r="F109" s="523">
        <f t="shared" si="25"/>
        <v>5372015.5307173915</v>
      </c>
      <c r="G109" s="523">
        <f t="shared" si="26"/>
        <v>5459776.0673027579</v>
      </c>
      <c r="H109" s="526">
        <f t="shared" si="27"/>
        <v>795283.32961386768</v>
      </c>
      <c r="I109" s="577">
        <f t="shared" si="28"/>
        <v>795283.32961386768</v>
      </c>
      <c r="J109" s="514">
        <f t="shared" si="16"/>
        <v>0</v>
      </c>
      <c r="K109" s="514"/>
      <c r="L109" s="525"/>
      <c r="M109" s="514">
        <f t="shared" si="24"/>
        <v>0</v>
      </c>
      <c r="N109" s="525"/>
      <c r="O109" s="514">
        <f t="shared" si="18"/>
        <v>0</v>
      </c>
      <c r="P109" s="514">
        <f t="shared" si="19"/>
        <v>0</v>
      </c>
    </row>
    <row r="110" spans="1:16">
      <c r="B110" s="195" t="str">
        <f t="shared" si="20"/>
        <v/>
      </c>
      <c r="C110" s="507">
        <f>IF(D93="","-",+C109+1)</f>
        <v>2029</v>
      </c>
      <c r="D110" s="374">
        <f>IF(F109+SUM(E$99:E109)=D$92,F109,D$92-SUM(E$99:E109))</f>
        <v>5372015.5307173915</v>
      </c>
      <c r="E110" s="522">
        <f>IF(+J96&lt;F109,J96,D110)</f>
        <v>175521.07317073172</v>
      </c>
      <c r="F110" s="523">
        <f t="shared" si="25"/>
        <v>5196494.4575466597</v>
      </c>
      <c r="G110" s="523">
        <f t="shared" si="26"/>
        <v>5284254.9941320252</v>
      </c>
      <c r="H110" s="526">
        <f t="shared" si="27"/>
        <v>775359.19078094419</v>
      </c>
      <c r="I110" s="577">
        <f t="shared" si="28"/>
        <v>775359.19078094419</v>
      </c>
      <c r="J110" s="514">
        <f t="shared" si="16"/>
        <v>0</v>
      </c>
      <c r="K110" s="514"/>
      <c r="L110" s="525"/>
      <c r="M110" s="514">
        <f t="shared" si="24"/>
        <v>0</v>
      </c>
      <c r="N110" s="525"/>
      <c r="O110" s="514">
        <f t="shared" si="18"/>
        <v>0</v>
      </c>
      <c r="P110" s="514">
        <f t="shared" si="19"/>
        <v>0</v>
      </c>
    </row>
    <row r="111" spans="1:16">
      <c r="B111" s="195" t="str">
        <f t="shared" si="20"/>
        <v/>
      </c>
      <c r="C111" s="507">
        <f>IF(D93="","-",+C110+1)</f>
        <v>2030</v>
      </c>
      <c r="D111" s="374">
        <f>IF(F110+SUM(E$99:E110)=D$92,F110,D$92-SUM(E$99:E110))</f>
        <v>5196494.4575466597</v>
      </c>
      <c r="E111" s="522">
        <f>IF(+J96&lt;F110,J96,D111)</f>
        <v>175521.07317073172</v>
      </c>
      <c r="F111" s="523">
        <f t="shared" si="25"/>
        <v>5020973.384375928</v>
      </c>
      <c r="G111" s="523">
        <f t="shared" si="26"/>
        <v>5108733.9209612943</v>
      </c>
      <c r="H111" s="526">
        <f t="shared" si="27"/>
        <v>755435.0519480207</v>
      </c>
      <c r="I111" s="577">
        <f t="shared" si="28"/>
        <v>755435.0519480207</v>
      </c>
      <c r="J111" s="514">
        <f t="shared" si="16"/>
        <v>0</v>
      </c>
      <c r="K111" s="514"/>
      <c r="L111" s="525"/>
      <c r="M111" s="514">
        <f t="shared" si="24"/>
        <v>0</v>
      </c>
      <c r="N111" s="525"/>
      <c r="O111" s="514">
        <f t="shared" si="18"/>
        <v>0</v>
      </c>
      <c r="P111" s="514">
        <f t="shared" si="19"/>
        <v>0</v>
      </c>
    </row>
    <row r="112" spans="1:16">
      <c r="B112" s="195" t="str">
        <f t="shared" si="20"/>
        <v/>
      </c>
      <c r="C112" s="507">
        <f>IF(D93="","-",+C111+1)</f>
        <v>2031</v>
      </c>
      <c r="D112" s="374">
        <f>IF(F111+SUM(E$99:E111)=D$92,F111,D$92-SUM(E$99:E111))</f>
        <v>5020973.384375928</v>
      </c>
      <c r="E112" s="522">
        <f>IF(+J96&lt;F111,J96,D112)</f>
        <v>175521.07317073172</v>
      </c>
      <c r="F112" s="523">
        <f t="shared" si="25"/>
        <v>4845452.3112051962</v>
      </c>
      <c r="G112" s="523">
        <f t="shared" si="26"/>
        <v>4933212.8477905616</v>
      </c>
      <c r="H112" s="526">
        <f t="shared" si="27"/>
        <v>735510.91311509698</v>
      </c>
      <c r="I112" s="577">
        <f t="shared" si="28"/>
        <v>735510.91311509698</v>
      </c>
      <c r="J112" s="514">
        <f t="shared" si="16"/>
        <v>0</v>
      </c>
      <c r="K112" s="514"/>
      <c r="L112" s="525"/>
      <c r="M112" s="514">
        <f t="shared" si="24"/>
        <v>0</v>
      </c>
      <c r="N112" s="525"/>
      <c r="O112" s="514">
        <f t="shared" si="18"/>
        <v>0</v>
      </c>
      <c r="P112" s="514">
        <f t="shared" si="19"/>
        <v>0</v>
      </c>
    </row>
    <row r="113" spans="2:16">
      <c r="B113" s="195" t="str">
        <f t="shared" si="20"/>
        <v/>
      </c>
      <c r="C113" s="507">
        <f>IF(D93="","-",+C112+1)</f>
        <v>2032</v>
      </c>
      <c r="D113" s="374">
        <f>IF(F112+SUM(E$99:E112)=D$92,F112,D$92-SUM(E$99:E112))</f>
        <v>4845452.3112051962</v>
      </c>
      <c r="E113" s="522">
        <f>IF(+J96&lt;F112,J96,D113)</f>
        <v>175521.07317073172</v>
      </c>
      <c r="F113" s="523">
        <f t="shared" si="25"/>
        <v>4669931.2380344644</v>
      </c>
      <c r="G113" s="523">
        <f t="shared" si="26"/>
        <v>4757691.7746198308</v>
      </c>
      <c r="H113" s="526">
        <f t="shared" si="27"/>
        <v>715586.77428217349</v>
      </c>
      <c r="I113" s="577">
        <f t="shared" si="28"/>
        <v>715586.77428217349</v>
      </c>
      <c r="J113" s="514">
        <f t="shared" si="16"/>
        <v>0</v>
      </c>
      <c r="K113" s="514"/>
      <c r="L113" s="525"/>
      <c r="M113" s="514">
        <f t="shared" si="24"/>
        <v>0</v>
      </c>
      <c r="N113" s="525"/>
      <c r="O113" s="514">
        <f t="shared" si="18"/>
        <v>0</v>
      </c>
      <c r="P113" s="514">
        <f t="shared" si="19"/>
        <v>0</v>
      </c>
    </row>
    <row r="114" spans="2:16">
      <c r="B114" s="195" t="str">
        <f t="shared" si="20"/>
        <v/>
      </c>
      <c r="C114" s="507">
        <f>IF(D93="","-",+C113+1)</f>
        <v>2033</v>
      </c>
      <c r="D114" s="374">
        <f>IF(F113+SUM(E$99:E113)=D$92,F113,D$92-SUM(E$99:E113))</f>
        <v>4669931.2380344644</v>
      </c>
      <c r="E114" s="522">
        <f>IF(+J96&lt;F113,J96,D114)</f>
        <v>175521.07317073172</v>
      </c>
      <c r="F114" s="523">
        <f t="shared" si="25"/>
        <v>4494410.1648637326</v>
      </c>
      <c r="G114" s="523">
        <f t="shared" si="26"/>
        <v>4582170.7014490981</v>
      </c>
      <c r="H114" s="526">
        <f t="shared" si="27"/>
        <v>695662.63544925</v>
      </c>
      <c r="I114" s="577">
        <f t="shared" si="28"/>
        <v>695662.63544925</v>
      </c>
      <c r="J114" s="514">
        <f t="shared" si="16"/>
        <v>0</v>
      </c>
      <c r="K114" s="514"/>
      <c r="L114" s="525"/>
      <c r="M114" s="514">
        <f t="shared" si="24"/>
        <v>0</v>
      </c>
      <c r="N114" s="525"/>
      <c r="O114" s="514">
        <f t="shared" si="18"/>
        <v>0</v>
      </c>
      <c r="P114" s="514">
        <f t="shared" si="19"/>
        <v>0</v>
      </c>
    </row>
    <row r="115" spans="2:16">
      <c r="B115" s="195" t="str">
        <f t="shared" si="20"/>
        <v/>
      </c>
      <c r="C115" s="507">
        <f>IF(D93="","-",+C114+1)</f>
        <v>2034</v>
      </c>
      <c r="D115" s="374">
        <f>IF(F114+SUM(E$99:E114)=D$92,F114,D$92-SUM(E$99:E114))</f>
        <v>4494410.1648637326</v>
      </c>
      <c r="E115" s="522">
        <f>IF(+J96&lt;F114,J96,D115)</f>
        <v>175521.07317073172</v>
      </c>
      <c r="F115" s="523">
        <f t="shared" si="25"/>
        <v>4318889.0916930009</v>
      </c>
      <c r="G115" s="523">
        <f t="shared" si="26"/>
        <v>4406649.6282783672</v>
      </c>
      <c r="H115" s="526">
        <f t="shared" si="27"/>
        <v>675738.49661632651</v>
      </c>
      <c r="I115" s="577">
        <f t="shared" si="28"/>
        <v>675738.49661632651</v>
      </c>
      <c r="J115" s="514">
        <f t="shared" si="16"/>
        <v>0</v>
      </c>
      <c r="K115" s="514"/>
      <c r="L115" s="525"/>
      <c r="M115" s="514">
        <f t="shared" si="24"/>
        <v>0</v>
      </c>
      <c r="N115" s="525"/>
      <c r="O115" s="514">
        <f t="shared" si="18"/>
        <v>0</v>
      </c>
      <c r="P115" s="514">
        <f t="shared" si="19"/>
        <v>0</v>
      </c>
    </row>
    <row r="116" spans="2:16">
      <c r="B116" s="195" t="str">
        <f t="shared" si="20"/>
        <v/>
      </c>
      <c r="C116" s="507">
        <f>IF(D93="","-",+C115+1)</f>
        <v>2035</v>
      </c>
      <c r="D116" s="374">
        <f>IF(F115+SUM(E$99:E115)=D$92,F115,D$92-SUM(E$99:E115))</f>
        <v>4318889.0916930009</v>
      </c>
      <c r="E116" s="522">
        <f>IF(+J96&lt;F115,J96,D116)</f>
        <v>175521.07317073172</v>
      </c>
      <c r="F116" s="523">
        <f t="shared" si="25"/>
        <v>4143368.0185222691</v>
      </c>
      <c r="G116" s="523">
        <f t="shared" si="26"/>
        <v>4231128.5551076345</v>
      </c>
      <c r="H116" s="526">
        <f t="shared" si="27"/>
        <v>655814.35778340278</v>
      </c>
      <c r="I116" s="577">
        <f t="shared" si="28"/>
        <v>655814.35778340278</v>
      </c>
      <c r="J116" s="514">
        <f t="shared" si="16"/>
        <v>0</v>
      </c>
      <c r="K116" s="514"/>
      <c r="L116" s="525"/>
      <c r="M116" s="514">
        <f t="shared" si="24"/>
        <v>0</v>
      </c>
      <c r="N116" s="525"/>
      <c r="O116" s="514">
        <f t="shared" si="18"/>
        <v>0</v>
      </c>
      <c r="P116" s="514">
        <f t="shared" si="19"/>
        <v>0</v>
      </c>
    </row>
    <row r="117" spans="2:16">
      <c r="B117" s="195" t="str">
        <f t="shared" si="20"/>
        <v/>
      </c>
      <c r="C117" s="507">
        <f>IF(D93="","-",+C116+1)</f>
        <v>2036</v>
      </c>
      <c r="D117" s="374">
        <f>IF(F116+SUM(E$99:E116)=D$92,F116,D$92-SUM(E$99:E116))</f>
        <v>4143368.0185222691</v>
      </c>
      <c r="E117" s="522">
        <f>IF(+J96&lt;F116,J96,D117)</f>
        <v>175521.07317073172</v>
      </c>
      <c r="F117" s="523">
        <f t="shared" si="25"/>
        <v>3967846.9453515373</v>
      </c>
      <c r="G117" s="523">
        <f t="shared" si="26"/>
        <v>4055607.4819369032</v>
      </c>
      <c r="H117" s="526">
        <f t="shared" si="27"/>
        <v>635890.21895047929</v>
      </c>
      <c r="I117" s="577">
        <f t="shared" si="28"/>
        <v>635890.21895047929</v>
      </c>
      <c r="J117" s="514">
        <f t="shared" si="16"/>
        <v>0</v>
      </c>
      <c r="K117" s="514"/>
      <c r="L117" s="525"/>
      <c r="M117" s="514">
        <f t="shared" si="24"/>
        <v>0</v>
      </c>
      <c r="N117" s="525"/>
      <c r="O117" s="514">
        <f t="shared" si="18"/>
        <v>0</v>
      </c>
      <c r="P117" s="514">
        <f t="shared" si="19"/>
        <v>0</v>
      </c>
    </row>
    <row r="118" spans="2:16">
      <c r="B118" s="195" t="str">
        <f t="shared" si="20"/>
        <v/>
      </c>
      <c r="C118" s="507">
        <f>IF(D93="","-",+C117+1)</f>
        <v>2037</v>
      </c>
      <c r="D118" s="374">
        <f>IF(F117+SUM(E$99:E117)=D$92,F117,D$92-SUM(E$99:E117))</f>
        <v>3967846.9453515373</v>
      </c>
      <c r="E118" s="522">
        <f>IF(+J96&lt;F117,J96,D118)</f>
        <v>175521.07317073172</v>
      </c>
      <c r="F118" s="523">
        <f t="shared" si="25"/>
        <v>3792325.8721808055</v>
      </c>
      <c r="G118" s="523">
        <f t="shared" si="26"/>
        <v>3880086.4087661714</v>
      </c>
      <c r="H118" s="526">
        <f t="shared" si="27"/>
        <v>615966.0801175558</v>
      </c>
      <c r="I118" s="577">
        <f t="shared" si="28"/>
        <v>615966.0801175558</v>
      </c>
      <c r="J118" s="514">
        <f t="shared" si="16"/>
        <v>0</v>
      </c>
      <c r="K118" s="514"/>
      <c r="L118" s="525"/>
      <c r="M118" s="514">
        <f t="shared" si="24"/>
        <v>0</v>
      </c>
      <c r="N118" s="525"/>
      <c r="O118" s="514">
        <f t="shared" si="18"/>
        <v>0</v>
      </c>
      <c r="P118" s="514">
        <f t="shared" si="19"/>
        <v>0</v>
      </c>
    </row>
    <row r="119" spans="2:16">
      <c r="B119" s="195" t="str">
        <f t="shared" si="20"/>
        <v/>
      </c>
      <c r="C119" s="507">
        <f>IF(D93="","-",+C118+1)</f>
        <v>2038</v>
      </c>
      <c r="D119" s="374">
        <f>IF(F118+SUM(E$99:E118)=D$92,F118,D$92-SUM(E$99:E118))</f>
        <v>3792325.8721808055</v>
      </c>
      <c r="E119" s="522">
        <f>IF(+J96&lt;F118,J96,D119)</f>
        <v>175521.07317073172</v>
      </c>
      <c r="F119" s="523">
        <f t="shared" si="25"/>
        <v>3616804.7990100738</v>
      </c>
      <c r="G119" s="523">
        <f t="shared" si="26"/>
        <v>3704565.3355954397</v>
      </c>
      <c r="H119" s="526">
        <f t="shared" si="27"/>
        <v>596041.94128463219</v>
      </c>
      <c r="I119" s="577">
        <f t="shared" si="28"/>
        <v>596041.94128463219</v>
      </c>
      <c r="J119" s="514">
        <f t="shared" si="16"/>
        <v>0</v>
      </c>
      <c r="K119" s="514"/>
      <c r="L119" s="525"/>
      <c r="M119" s="514">
        <f t="shared" si="24"/>
        <v>0</v>
      </c>
      <c r="N119" s="525"/>
      <c r="O119" s="514">
        <f t="shared" si="18"/>
        <v>0</v>
      </c>
      <c r="P119" s="514">
        <f t="shared" si="19"/>
        <v>0</v>
      </c>
    </row>
    <row r="120" spans="2:16">
      <c r="B120" s="195" t="str">
        <f t="shared" si="20"/>
        <v/>
      </c>
      <c r="C120" s="507">
        <f>IF(D93="","-",+C119+1)</f>
        <v>2039</v>
      </c>
      <c r="D120" s="374">
        <f>IF(F119+SUM(E$99:E119)=D$92,F119,D$92-SUM(E$99:E119))</f>
        <v>3616804.7990100738</v>
      </c>
      <c r="E120" s="522">
        <f>IF(+J96&lt;F119,J96,D120)</f>
        <v>175521.07317073172</v>
      </c>
      <c r="F120" s="523">
        <f t="shared" si="25"/>
        <v>3441283.725839342</v>
      </c>
      <c r="G120" s="523">
        <f t="shared" si="26"/>
        <v>3529044.2624247079</v>
      </c>
      <c r="H120" s="526">
        <f t="shared" si="27"/>
        <v>576117.80245170859</v>
      </c>
      <c r="I120" s="577">
        <f t="shared" si="28"/>
        <v>576117.80245170859</v>
      </c>
      <c r="J120" s="514">
        <f t="shared" si="16"/>
        <v>0</v>
      </c>
      <c r="K120" s="514"/>
      <c r="L120" s="525"/>
      <c r="M120" s="514">
        <f t="shared" si="24"/>
        <v>0</v>
      </c>
      <c r="N120" s="525"/>
      <c r="O120" s="514">
        <f t="shared" si="18"/>
        <v>0</v>
      </c>
      <c r="P120" s="514">
        <f t="shared" si="19"/>
        <v>0</v>
      </c>
    </row>
    <row r="121" spans="2:16">
      <c r="B121" s="195" t="str">
        <f t="shared" si="20"/>
        <v/>
      </c>
      <c r="C121" s="507">
        <f>IF(D93="","-",+C120+1)</f>
        <v>2040</v>
      </c>
      <c r="D121" s="374">
        <f>IF(F120+SUM(E$99:E120)=D$92,F120,D$92-SUM(E$99:E120))</f>
        <v>3441283.725839342</v>
      </c>
      <c r="E121" s="522">
        <f>IF(+J96&lt;F120,J96,D121)</f>
        <v>175521.07317073172</v>
      </c>
      <c r="F121" s="523">
        <f t="shared" si="25"/>
        <v>3265762.6526686102</v>
      </c>
      <c r="G121" s="523">
        <f t="shared" si="26"/>
        <v>3353523.1892539761</v>
      </c>
      <c r="H121" s="526">
        <f t="shared" si="27"/>
        <v>556193.6636187851</v>
      </c>
      <c r="I121" s="577">
        <f t="shared" si="28"/>
        <v>556193.6636187851</v>
      </c>
      <c r="J121" s="514">
        <f t="shared" si="16"/>
        <v>0</v>
      </c>
      <c r="K121" s="514"/>
      <c r="L121" s="525"/>
      <c r="M121" s="514">
        <f t="shared" si="24"/>
        <v>0</v>
      </c>
      <c r="N121" s="525"/>
      <c r="O121" s="514">
        <f t="shared" si="18"/>
        <v>0</v>
      </c>
      <c r="P121" s="514">
        <f t="shared" si="19"/>
        <v>0</v>
      </c>
    </row>
    <row r="122" spans="2:16">
      <c r="B122" s="195" t="str">
        <f t="shared" si="20"/>
        <v/>
      </c>
      <c r="C122" s="507">
        <f>IF(D93="","-",+C121+1)</f>
        <v>2041</v>
      </c>
      <c r="D122" s="374">
        <f>IF(F121+SUM(E$99:E121)=D$92,F121,D$92-SUM(E$99:E121))</f>
        <v>3265762.6526686102</v>
      </c>
      <c r="E122" s="522">
        <f>IF(+J96&lt;F121,J96,D122)</f>
        <v>175521.07317073172</v>
      </c>
      <c r="F122" s="523">
        <f t="shared" si="25"/>
        <v>3090241.5794978784</v>
      </c>
      <c r="G122" s="523">
        <f t="shared" si="26"/>
        <v>3178002.1160832443</v>
      </c>
      <c r="H122" s="526">
        <f t="shared" si="27"/>
        <v>536269.52478586161</v>
      </c>
      <c r="I122" s="577">
        <f t="shared" si="28"/>
        <v>536269.52478586161</v>
      </c>
      <c r="J122" s="514">
        <f t="shared" si="16"/>
        <v>0</v>
      </c>
      <c r="K122" s="514"/>
      <c r="L122" s="525"/>
      <c r="M122" s="514">
        <f t="shared" si="24"/>
        <v>0</v>
      </c>
      <c r="N122" s="525"/>
      <c r="O122" s="514">
        <f t="shared" si="18"/>
        <v>0</v>
      </c>
      <c r="P122" s="514">
        <f t="shared" si="19"/>
        <v>0</v>
      </c>
    </row>
    <row r="123" spans="2:16">
      <c r="B123" s="195" t="str">
        <f t="shared" si="20"/>
        <v/>
      </c>
      <c r="C123" s="507">
        <f>IF(D93="","-",+C122+1)</f>
        <v>2042</v>
      </c>
      <c r="D123" s="374">
        <f>IF(F122+SUM(E$99:E122)=D$92,F122,D$92-SUM(E$99:E122))</f>
        <v>3090241.5794978784</v>
      </c>
      <c r="E123" s="522">
        <f>IF(+J96&lt;F122,J96,D123)</f>
        <v>175521.07317073172</v>
      </c>
      <c r="F123" s="523">
        <f t="shared" si="25"/>
        <v>2914720.5063271467</v>
      </c>
      <c r="G123" s="523">
        <f t="shared" si="26"/>
        <v>3002481.0429125126</v>
      </c>
      <c r="H123" s="526">
        <f t="shared" si="27"/>
        <v>516345.385952938</v>
      </c>
      <c r="I123" s="577">
        <f t="shared" si="28"/>
        <v>516345.385952938</v>
      </c>
      <c r="J123" s="514">
        <f t="shared" si="16"/>
        <v>0</v>
      </c>
      <c r="K123" s="514"/>
      <c r="L123" s="525"/>
      <c r="M123" s="514">
        <f t="shared" si="24"/>
        <v>0</v>
      </c>
      <c r="N123" s="525"/>
      <c r="O123" s="514">
        <f t="shared" si="18"/>
        <v>0</v>
      </c>
      <c r="P123" s="514">
        <f t="shared" si="19"/>
        <v>0</v>
      </c>
    </row>
    <row r="124" spans="2:16">
      <c r="B124" s="195" t="str">
        <f t="shared" si="20"/>
        <v/>
      </c>
      <c r="C124" s="507">
        <f>IF(D93="","-",+C123+1)</f>
        <v>2043</v>
      </c>
      <c r="D124" s="374">
        <f>IF(F123+SUM(E$99:E123)=D$92,F123,D$92-SUM(E$99:E123))</f>
        <v>2914720.5063271467</v>
      </c>
      <c r="E124" s="522">
        <f>IF(+J96&lt;F123,J96,D124)</f>
        <v>175521.07317073172</v>
      </c>
      <c r="F124" s="523">
        <f t="shared" si="25"/>
        <v>2739199.4331564149</v>
      </c>
      <c r="G124" s="523">
        <f t="shared" si="26"/>
        <v>2826959.9697417808</v>
      </c>
      <c r="H124" s="526">
        <f t="shared" si="27"/>
        <v>496421.24712001445</v>
      </c>
      <c r="I124" s="577">
        <f t="shared" si="28"/>
        <v>496421.24712001445</v>
      </c>
      <c r="J124" s="514">
        <f t="shared" si="16"/>
        <v>0</v>
      </c>
      <c r="K124" s="514"/>
      <c r="L124" s="525"/>
      <c r="M124" s="514">
        <f t="shared" si="24"/>
        <v>0</v>
      </c>
      <c r="N124" s="525"/>
      <c r="O124" s="514">
        <f t="shared" si="18"/>
        <v>0</v>
      </c>
      <c r="P124" s="514">
        <f t="shared" si="19"/>
        <v>0</v>
      </c>
    </row>
    <row r="125" spans="2:16">
      <c r="B125" s="195" t="str">
        <f t="shared" si="20"/>
        <v/>
      </c>
      <c r="C125" s="507">
        <f>IF(D93="","-",+C124+1)</f>
        <v>2044</v>
      </c>
      <c r="D125" s="374">
        <f>IF(F124+SUM(E$99:E124)=D$92,F124,D$92-SUM(E$99:E124))</f>
        <v>2739199.4331564149</v>
      </c>
      <c r="E125" s="522">
        <f>IF(+J96&lt;F124,J96,D125)</f>
        <v>175521.07317073172</v>
      </c>
      <c r="F125" s="523">
        <f t="shared" si="25"/>
        <v>2563678.3599856831</v>
      </c>
      <c r="G125" s="523">
        <f t="shared" si="26"/>
        <v>2651438.896571049</v>
      </c>
      <c r="H125" s="526">
        <f t="shared" si="27"/>
        <v>476497.1082870909</v>
      </c>
      <c r="I125" s="577">
        <f t="shared" si="28"/>
        <v>476497.1082870909</v>
      </c>
      <c r="J125" s="514">
        <f t="shared" si="16"/>
        <v>0</v>
      </c>
      <c r="K125" s="514"/>
      <c r="L125" s="525"/>
      <c r="M125" s="514">
        <f t="shared" si="24"/>
        <v>0</v>
      </c>
      <c r="N125" s="525"/>
      <c r="O125" s="514">
        <f t="shared" si="18"/>
        <v>0</v>
      </c>
      <c r="P125" s="514">
        <f t="shared" si="19"/>
        <v>0</v>
      </c>
    </row>
    <row r="126" spans="2:16">
      <c r="B126" s="195" t="str">
        <f t="shared" si="20"/>
        <v/>
      </c>
      <c r="C126" s="507">
        <f>IF(D93="","-",+C125+1)</f>
        <v>2045</v>
      </c>
      <c r="D126" s="374">
        <f>IF(F125+SUM(E$99:E125)=D$92,F125,D$92-SUM(E$99:E125))</f>
        <v>2563678.3599856831</v>
      </c>
      <c r="E126" s="522">
        <f>IF(+J96&lt;F125,J96,D126)</f>
        <v>175521.07317073172</v>
      </c>
      <c r="F126" s="523">
        <f t="shared" si="25"/>
        <v>2388157.2868149513</v>
      </c>
      <c r="G126" s="523">
        <f t="shared" si="26"/>
        <v>2475917.8234003172</v>
      </c>
      <c r="H126" s="526">
        <f t="shared" si="27"/>
        <v>456572.96945416735</v>
      </c>
      <c r="I126" s="577">
        <f t="shared" si="28"/>
        <v>456572.96945416735</v>
      </c>
      <c r="J126" s="514">
        <f t="shared" si="16"/>
        <v>0</v>
      </c>
      <c r="K126" s="514"/>
      <c r="L126" s="525"/>
      <c r="M126" s="514">
        <f t="shared" si="24"/>
        <v>0</v>
      </c>
      <c r="N126" s="525"/>
      <c r="O126" s="514">
        <f t="shared" si="18"/>
        <v>0</v>
      </c>
      <c r="P126" s="514">
        <f t="shared" si="19"/>
        <v>0</v>
      </c>
    </row>
    <row r="127" spans="2:16">
      <c r="B127" s="195" t="str">
        <f t="shared" si="20"/>
        <v/>
      </c>
      <c r="C127" s="507">
        <f>IF(D93="","-",+C126+1)</f>
        <v>2046</v>
      </c>
      <c r="D127" s="374">
        <f>IF(F126+SUM(E$99:E126)=D$92,F126,D$92-SUM(E$99:E126))</f>
        <v>2388157.2868149513</v>
      </c>
      <c r="E127" s="522">
        <f>IF(+J96&lt;F126,J96,D127)</f>
        <v>175521.07317073172</v>
      </c>
      <c r="F127" s="523">
        <f t="shared" si="25"/>
        <v>2212636.2136442196</v>
      </c>
      <c r="G127" s="523">
        <f t="shared" si="26"/>
        <v>2300396.7502295855</v>
      </c>
      <c r="H127" s="526">
        <f t="shared" si="27"/>
        <v>436648.8306212438</v>
      </c>
      <c r="I127" s="577">
        <f t="shared" si="28"/>
        <v>436648.8306212438</v>
      </c>
      <c r="J127" s="514">
        <f t="shared" si="16"/>
        <v>0</v>
      </c>
      <c r="K127" s="514"/>
      <c r="L127" s="525"/>
      <c r="M127" s="514">
        <f t="shared" si="24"/>
        <v>0</v>
      </c>
      <c r="N127" s="525"/>
      <c r="O127" s="514">
        <f t="shared" si="18"/>
        <v>0</v>
      </c>
      <c r="P127" s="514">
        <f t="shared" si="19"/>
        <v>0</v>
      </c>
    </row>
    <row r="128" spans="2:16">
      <c r="B128" s="195" t="str">
        <f t="shared" si="20"/>
        <v/>
      </c>
      <c r="C128" s="507">
        <f>IF(D93="","-",+C127+1)</f>
        <v>2047</v>
      </c>
      <c r="D128" s="374">
        <f>IF(F127+SUM(E$99:E127)=D$92,F127,D$92-SUM(E$99:E127))</f>
        <v>2212636.2136442196</v>
      </c>
      <c r="E128" s="522">
        <f>IF(+J96&lt;F127,J96,D128)</f>
        <v>175521.07317073172</v>
      </c>
      <c r="F128" s="523">
        <f t="shared" si="25"/>
        <v>2037115.1404734878</v>
      </c>
      <c r="G128" s="523">
        <f t="shared" si="26"/>
        <v>2124875.6770588537</v>
      </c>
      <c r="H128" s="526">
        <f t="shared" si="27"/>
        <v>416724.6917883202</v>
      </c>
      <c r="I128" s="577">
        <f t="shared" si="28"/>
        <v>416724.6917883202</v>
      </c>
      <c r="J128" s="514">
        <f t="shared" si="16"/>
        <v>0</v>
      </c>
      <c r="K128" s="514"/>
      <c r="L128" s="525"/>
      <c r="M128" s="514">
        <f t="shared" si="24"/>
        <v>0</v>
      </c>
      <c r="N128" s="525"/>
      <c r="O128" s="514">
        <f t="shared" si="18"/>
        <v>0</v>
      </c>
      <c r="P128" s="514">
        <f t="shared" si="19"/>
        <v>0</v>
      </c>
    </row>
    <row r="129" spans="2:16">
      <c r="B129" s="195" t="str">
        <f t="shared" si="20"/>
        <v/>
      </c>
      <c r="C129" s="507">
        <f>IF(D93="","-",+C128+1)</f>
        <v>2048</v>
      </c>
      <c r="D129" s="374">
        <f>IF(F128+SUM(E$99:E128)=D$92,F128,D$92-SUM(E$99:E128))</f>
        <v>2037115.1404734878</v>
      </c>
      <c r="E129" s="522">
        <f>IF(+J96&lt;F128,J96,D129)</f>
        <v>175521.07317073172</v>
      </c>
      <c r="F129" s="523">
        <f t="shared" si="25"/>
        <v>1861594.067302756</v>
      </c>
      <c r="G129" s="523">
        <f t="shared" si="26"/>
        <v>1949354.6038881219</v>
      </c>
      <c r="H129" s="526">
        <f t="shared" si="27"/>
        <v>396800.55295539671</v>
      </c>
      <c r="I129" s="577">
        <f t="shared" si="28"/>
        <v>396800.55295539671</v>
      </c>
      <c r="J129" s="514">
        <f t="shared" si="16"/>
        <v>0</v>
      </c>
      <c r="K129" s="514"/>
      <c r="L129" s="525"/>
      <c r="M129" s="514">
        <f t="shared" si="24"/>
        <v>0</v>
      </c>
      <c r="N129" s="525"/>
      <c r="O129" s="514">
        <f t="shared" si="18"/>
        <v>0</v>
      </c>
      <c r="P129" s="514">
        <f t="shared" si="19"/>
        <v>0</v>
      </c>
    </row>
    <row r="130" spans="2:16">
      <c r="B130" s="195" t="str">
        <f t="shared" si="20"/>
        <v/>
      </c>
      <c r="C130" s="507">
        <f>IF(D93="","-",+C129+1)</f>
        <v>2049</v>
      </c>
      <c r="D130" s="374">
        <f>IF(F129+SUM(E$99:E129)=D$92,F129,D$92-SUM(E$99:E129))</f>
        <v>1861594.067302756</v>
      </c>
      <c r="E130" s="522">
        <f>IF(+J96&lt;F129,J96,D130)</f>
        <v>175521.07317073172</v>
      </c>
      <c r="F130" s="523">
        <f t="shared" si="25"/>
        <v>1686072.9941320242</v>
      </c>
      <c r="G130" s="523">
        <f t="shared" si="26"/>
        <v>1773833.5307173901</v>
      </c>
      <c r="H130" s="526">
        <f t="shared" si="27"/>
        <v>376876.4141224731</v>
      </c>
      <c r="I130" s="577">
        <f t="shared" si="28"/>
        <v>376876.4141224731</v>
      </c>
      <c r="J130" s="514">
        <f t="shared" si="16"/>
        <v>0</v>
      </c>
      <c r="K130" s="514"/>
      <c r="L130" s="525"/>
      <c r="M130" s="514">
        <f t="shared" si="24"/>
        <v>0</v>
      </c>
      <c r="N130" s="525"/>
      <c r="O130" s="514">
        <f t="shared" si="18"/>
        <v>0</v>
      </c>
      <c r="P130" s="514">
        <f t="shared" si="19"/>
        <v>0</v>
      </c>
    </row>
    <row r="131" spans="2:16">
      <c r="B131" s="195" t="str">
        <f t="shared" si="20"/>
        <v/>
      </c>
      <c r="C131" s="507">
        <f>IF(D93="","-",+C130+1)</f>
        <v>2050</v>
      </c>
      <c r="D131" s="374">
        <f>IF(F130+SUM(E$99:E130)=D$92,F130,D$92-SUM(E$99:E130))</f>
        <v>1686072.9941320242</v>
      </c>
      <c r="E131" s="522">
        <f>IF(+J96&lt;F130,J96,D131)</f>
        <v>175521.07317073172</v>
      </c>
      <c r="F131" s="523">
        <f t="shared" si="25"/>
        <v>1510551.9209612925</v>
      </c>
      <c r="G131" s="523">
        <f t="shared" si="26"/>
        <v>1598312.4575466583</v>
      </c>
      <c r="H131" s="526">
        <f t="shared" si="27"/>
        <v>356952.27528954961</v>
      </c>
      <c r="I131" s="577">
        <f t="shared" si="28"/>
        <v>356952.27528954961</v>
      </c>
      <c r="J131" s="514">
        <f t="shared" ref="J131:J154" si="29">+I541-H541</f>
        <v>0</v>
      </c>
      <c r="K131" s="514"/>
      <c r="L131" s="525"/>
      <c r="M131" s="514">
        <f t="shared" ref="M131:M154" si="30">IF(L541&lt;&gt;0,+H541-L541,0)</f>
        <v>0</v>
      </c>
      <c r="N131" s="525"/>
      <c r="O131" s="514">
        <f t="shared" ref="O131:O154" si="31">IF(N541&lt;&gt;0,+I541-N541,0)</f>
        <v>0</v>
      </c>
      <c r="P131" s="514">
        <f t="shared" ref="P131:P154" si="32">+O541-M541</f>
        <v>0</v>
      </c>
    </row>
    <row r="132" spans="2:16">
      <c r="B132" s="195" t="str">
        <f t="shared" si="20"/>
        <v/>
      </c>
      <c r="C132" s="507">
        <f>IF(D93="","-",+C131+1)</f>
        <v>2051</v>
      </c>
      <c r="D132" s="374">
        <f>IF(F131+SUM(E$99:E131)=D$92,F131,D$92-SUM(E$99:E131))</f>
        <v>1510551.9209612925</v>
      </c>
      <c r="E132" s="522">
        <f>IF(+J96&lt;F131,J96,D132)</f>
        <v>175521.07317073172</v>
      </c>
      <c r="F132" s="523">
        <f t="shared" si="25"/>
        <v>1335030.8477905607</v>
      </c>
      <c r="G132" s="523">
        <f t="shared" si="26"/>
        <v>1422791.3843759266</v>
      </c>
      <c r="H132" s="526">
        <f t="shared" si="27"/>
        <v>337028.136456626</v>
      </c>
      <c r="I132" s="577">
        <f t="shared" si="28"/>
        <v>337028.136456626</v>
      </c>
      <c r="J132" s="514">
        <f t="shared" si="29"/>
        <v>0</v>
      </c>
      <c r="K132" s="514"/>
      <c r="L132" s="525"/>
      <c r="M132" s="514">
        <f t="shared" si="30"/>
        <v>0</v>
      </c>
      <c r="N132" s="525"/>
      <c r="O132" s="514">
        <f t="shared" si="31"/>
        <v>0</v>
      </c>
      <c r="P132" s="514">
        <f t="shared" si="32"/>
        <v>0</v>
      </c>
    </row>
    <row r="133" spans="2:16">
      <c r="B133" s="195" t="str">
        <f t="shared" si="20"/>
        <v/>
      </c>
      <c r="C133" s="507">
        <f>IF(D93="","-",+C132+1)</f>
        <v>2052</v>
      </c>
      <c r="D133" s="374">
        <f>IF(F132+SUM(E$99:E132)=D$92,F132,D$92-SUM(E$99:E132))</f>
        <v>1335030.8477905607</v>
      </c>
      <c r="E133" s="522">
        <f>IF(+J96&lt;F132,J96,D133)</f>
        <v>175521.07317073172</v>
      </c>
      <c r="F133" s="523">
        <f t="shared" si="25"/>
        <v>1159509.7746198289</v>
      </c>
      <c r="G133" s="523">
        <f t="shared" si="26"/>
        <v>1247270.3112051948</v>
      </c>
      <c r="H133" s="526">
        <f t="shared" si="27"/>
        <v>317103.99762370245</v>
      </c>
      <c r="I133" s="577">
        <f t="shared" si="28"/>
        <v>317103.99762370245</v>
      </c>
      <c r="J133" s="514">
        <f t="shared" si="29"/>
        <v>0</v>
      </c>
      <c r="K133" s="514"/>
      <c r="L133" s="525"/>
      <c r="M133" s="514">
        <f t="shared" si="30"/>
        <v>0</v>
      </c>
      <c r="N133" s="525"/>
      <c r="O133" s="514">
        <f t="shared" si="31"/>
        <v>0</v>
      </c>
      <c r="P133" s="514">
        <f t="shared" si="32"/>
        <v>0</v>
      </c>
    </row>
    <row r="134" spans="2:16">
      <c r="B134" s="195" t="str">
        <f t="shared" si="20"/>
        <v/>
      </c>
      <c r="C134" s="507">
        <f>IF(D93="","-",+C133+1)</f>
        <v>2053</v>
      </c>
      <c r="D134" s="374">
        <f>IF(F133+SUM(E$99:E133)=D$92,F133,D$92-SUM(E$99:E133))</f>
        <v>1159509.7746198289</v>
      </c>
      <c r="E134" s="522">
        <f>IF(+J96&lt;F133,J96,D134)</f>
        <v>175521.07317073172</v>
      </c>
      <c r="F134" s="523">
        <f t="shared" si="25"/>
        <v>983988.70144909713</v>
      </c>
      <c r="G134" s="523">
        <f t="shared" si="26"/>
        <v>1071749.238034463</v>
      </c>
      <c r="H134" s="526">
        <f t="shared" si="27"/>
        <v>297179.8587907789</v>
      </c>
      <c r="I134" s="577">
        <f t="shared" si="28"/>
        <v>297179.8587907789</v>
      </c>
      <c r="J134" s="514">
        <f t="shared" si="29"/>
        <v>0</v>
      </c>
      <c r="K134" s="514"/>
      <c r="L134" s="525"/>
      <c r="M134" s="514">
        <f t="shared" si="30"/>
        <v>0</v>
      </c>
      <c r="N134" s="525"/>
      <c r="O134" s="514">
        <f t="shared" si="31"/>
        <v>0</v>
      </c>
      <c r="P134" s="514">
        <f t="shared" si="32"/>
        <v>0</v>
      </c>
    </row>
    <row r="135" spans="2:16">
      <c r="B135" s="195" t="str">
        <f t="shared" si="20"/>
        <v/>
      </c>
      <c r="C135" s="507">
        <f>IF(D93="","-",+C134+1)</f>
        <v>2054</v>
      </c>
      <c r="D135" s="374">
        <f>IF(F134+SUM(E$99:E134)=D$92,F134,D$92-SUM(E$99:E134))</f>
        <v>983988.70144909713</v>
      </c>
      <c r="E135" s="522">
        <f>IF(+J96&lt;F134,J96,D135)</f>
        <v>175521.07317073172</v>
      </c>
      <c r="F135" s="523">
        <f t="shared" si="25"/>
        <v>808467.62827836536</v>
      </c>
      <c r="G135" s="523">
        <f t="shared" si="26"/>
        <v>896228.16486373125</v>
      </c>
      <c r="H135" s="526">
        <f t="shared" si="27"/>
        <v>277255.71995785536</v>
      </c>
      <c r="I135" s="577">
        <f t="shared" si="28"/>
        <v>277255.71995785536</v>
      </c>
      <c r="J135" s="514">
        <f t="shared" si="29"/>
        <v>0</v>
      </c>
      <c r="K135" s="514"/>
      <c r="L135" s="525"/>
      <c r="M135" s="514">
        <f t="shared" si="30"/>
        <v>0</v>
      </c>
      <c r="N135" s="525"/>
      <c r="O135" s="514">
        <f t="shared" si="31"/>
        <v>0</v>
      </c>
      <c r="P135" s="514">
        <f t="shared" si="32"/>
        <v>0</v>
      </c>
    </row>
    <row r="136" spans="2:16">
      <c r="B136" s="195" t="str">
        <f t="shared" si="20"/>
        <v/>
      </c>
      <c r="C136" s="507">
        <f>IF(D93="","-",+C135+1)</f>
        <v>2055</v>
      </c>
      <c r="D136" s="374">
        <f>IF(F135+SUM(E$99:E135)=D$92,F135,D$92-SUM(E$99:E135))</f>
        <v>808467.62827836536</v>
      </c>
      <c r="E136" s="522">
        <f>IF(+J96&lt;F135,J96,D136)</f>
        <v>175521.07317073172</v>
      </c>
      <c r="F136" s="523">
        <f t="shared" si="25"/>
        <v>632946.55510763358</v>
      </c>
      <c r="G136" s="523">
        <f t="shared" si="26"/>
        <v>720707.09169299947</v>
      </c>
      <c r="H136" s="526">
        <f t="shared" si="27"/>
        <v>257331.58112493181</v>
      </c>
      <c r="I136" s="577">
        <f t="shared" si="28"/>
        <v>257331.58112493181</v>
      </c>
      <c r="J136" s="514">
        <f t="shared" si="29"/>
        <v>0</v>
      </c>
      <c r="K136" s="514"/>
      <c r="L136" s="525"/>
      <c r="M136" s="514">
        <f t="shared" si="30"/>
        <v>0</v>
      </c>
      <c r="N136" s="525"/>
      <c r="O136" s="514">
        <f t="shared" si="31"/>
        <v>0</v>
      </c>
      <c r="P136" s="514">
        <f t="shared" si="32"/>
        <v>0</v>
      </c>
    </row>
    <row r="137" spans="2:16">
      <c r="B137" s="195" t="str">
        <f t="shared" si="20"/>
        <v/>
      </c>
      <c r="C137" s="507">
        <f>IF(D93="","-",+C136+1)</f>
        <v>2056</v>
      </c>
      <c r="D137" s="374">
        <f>IF(F136+SUM(E$99:E136)=D$92,F136,D$92-SUM(E$99:E136))</f>
        <v>632946.55510763358</v>
      </c>
      <c r="E137" s="522">
        <f>IF(+J96&lt;F136,J96,D137)</f>
        <v>175521.07317073172</v>
      </c>
      <c r="F137" s="523">
        <f t="shared" si="25"/>
        <v>457425.48193690187</v>
      </c>
      <c r="G137" s="523">
        <f t="shared" si="26"/>
        <v>545186.0185222677</v>
      </c>
      <c r="H137" s="526">
        <f t="shared" si="27"/>
        <v>237407.44229200826</v>
      </c>
      <c r="I137" s="577">
        <f t="shared" si="28"/>
        <v>237407.44229200826</v>
      </c>
      <c r="J137" s="514">
        <f t="shared" si="29"/>
        <v>0</v>
      </c>
      <c r="K137" s="514"/>
      <c r="L137" s="525"/>
      <c r="M137" s="514">
        <f t="shared" si="30"/>
        <v>0</v>
      </c>
      <c r="N137" s="525"/>
      <c r="O137" s="514">
        <f t="shared" si="31"/>
        <v>0</v>
      </c>
      <c r="P137" s="514">
        <f t="shared" si="32"/>
        <v>0</v>
      </c>
    </row>
    <row r="138" spans="2:16">
      <c r="B138" s="195" t="str">
        <f t="shared" si="20"/>
        <v/>
      </c>
      <c r="C138" s="507">
        <f>IF(D93="","-",+C137+1)</f>
        <v>2057</v>
      </c>
      <c r="D138" s="374">
        <f>IF(F137+SUM(E$99:E137)=D$92,F137,D$92-SUM(E$99:E137))</f>
        <v>457425.48193690187</v>
      </c>
      <c r="E138" s="522">
        <f>IF(+J96&lt;F137,J96,D138)</f>
        <v>175521.07317073172</v>
      </c>
      <c r="F138" s="523">
        <f t="shared" si="25"/>
        <v>281904.40876617015</v>
      </c>
      <c r="G138" s="523">
        <f t="shared" si="26"/>
        <v>369664.94535153604</v>
      </c>
      <c r="H138" s="526">
        <f t="shared" si="27"/>
        <v>217483.30345908471</v>
      </c>
      <c r="I138" s="577">
        <f t="shared" si="28"/>
        <v>217483.30345908471</v>
      </c>
      <c r="J138" s="514">
        <f t="shared" si="29"/>
        <v>0</v>
      </c>
      <c r="K138" s="514"/>
      <c r="L138" s="525"/>
      <c r="M138" s="514">
        <f t="shared" si="30"/>
        <v>0</v>
      </c>
      <c r="N138" s="525"/>
      <c r="O138" s="514">
        <f t="shared" si="31"/>
        <v>0</v>
      </c>
      <c r="P138" s="514">
        <f t="shared" si="32"/>
        <v>0</v>
      </c>
    </row>
    <row r="139" spans="2:16">
      <c r="B139" s="195" t="str">
        <f t="shared" si="20"/>
        <v/>
      </c>
      <c r="C139" s="507">
        <f>IF(D93="","-",+C138+1)</f>
        <v>2058</v>
      </c>
      <c r="D139" s="374">
        <f>IF(F138+SUM(E$99:E138)=D$92,F138,D$92-SUM(E$99:E138))</f>
        <v>281904.40876617015</v>
      </c>
      <c r="E139" s="522">
        <f>IF(+J96&lt;F138,J96,D139)</f>
        <v>175521.07317073172</v>
      </c>
      <c r="F139" s="523">
        <f t="shared" si="25"/>
        <v>106383.33559543843</v>
      </c>
      <c r="G139" s="523">
        <f t="shared" si="26"/>
        <v>194143.87218080429</v>
      </c>
      <c r="H139" s="526">
        <f t="shared" si="27"/>
        <v>197559.16462616116</v>
      </c>
      <c r="I139" s="577">
        <f t="shared" si="28"/>
        <v>197559.16462616116</v>
      </c>
      <c r="J139" s="514">
        <f t="shared" si="29"/>
        <v>0</v>
      </c>
      <c r="K139" s="514"/>
      <c r="L139" s="525"/>
      <c r="M139" s="514">
        <f t="shared" si="30"/>
        <v>0</v>
      </c>
      <c r="N139" s="525"/>
      <c r="O139" s="514">
        <f t="shared" si="31"/>
        <v>0</v>
      </c>
      <c r="P139" s="514">
        <f t="shared" si="32"/>
        <v>0</v>
      </c>
    </row>
    <row r="140" spans="2:16">
      <c r="B140" s="195" t="str">
        <f t="shared" si="20"/>
        <v/>
      </c>
      <c r="C140" s="507">
        <f>IF(D93="","-",+C139+1)</f>
        <v>2059</v>
      </c>
      <c r="D140" s="374">
        <f>IF(F139+SUM(E$99:E139)=D$92,F139,D$92-SUM(E$99:E139))</f>
        <v>106383.33559543843</v>
      </c>
      <c r="E140" s="522">
        <f>IF(+J96&lt;F139,J96,D140)</f>
        <v>106383.33559543843</v>
      </c>
      <c r="F140" s="523">
        <f t="shared" si="25"/>
        <v>0</v>
      </c>
      <c r="G140" s="523">
        <f t="shared" si="26"/>
        <v>53191.667797719216</v>
      </c>
      <c r="H140" s="526">
        <f t="shared" si="27"/>
        <v>112421.34661492227</v>
      </c>
      <c r="I140" s="577">
        <f t="shared" si="28"/>
        <v>112421.34661492227</v>
      </c>
      <c r="J140" s="514">
        <f t="shared" si="29"/>
        <v>0</v>
      </c>
      <c r="K140" s="514"/>
      <c r="L140" s="525"/>
      <c r="M140" s="514">
        <f t="shared" si="30"/>
        <v>0</v>
      </c>
      <c r="N140" s="525"/>
      <c r="O140" s="514">
        <f t="shared" si="31"/>
        <v>0</v>
      </c>
      <c r="P140" s="514">
        <f t="shared" si="32"/>
        <v>0</v>
      </c>
    </row>
    <row r="141" spans="2:16">
      <c r="B141" s="195" t="str">
        <f t="shared" si="20"/>
        <v/>
      </c>
      <c r="C141" s="507">
        <f>IF(D93="","-",+C140+1)</f>
        <v>2060</v>
      </c>
      <c r="D141" s="374">
        <f>IF(F140+SUM(E$99:E140)=D$92,F140,D$92-SUM(E$99:E140))</f>
        <v>0</v>
      </c>
      <c r="E141" s="522">
        <f>IF(+J96&lt;F140,J96,D141)</f>
        <v>0</v>
      </c>
      <c r="F141" s="523">
        <f t="shared" si="25"/>
        <v>0</v>
      </c>
      <c r="G141" s="523">
        <f t="shared" si="26"/>
        <v>0</v>
      </c>
      <c r="H141" s="526">
        <f t="shared" si="27"/>
        <v>0</v>
      </c>
      <c r="I141" s="577">
        <f t="shared" si="28"/>
        <v>0</v>
      </c>
      <c r="J141" s="514">
        <f t="shared" si="29"/>
        <v>0</v>
      </c>
      <c r="K141" s="514"/>
      <c r="L141" s="525"/>
      <c r="M141" s="514">
        <f t="shared" si="30"/>
        <v>0</v>
      </c>
      <c r="N141" s="525"/>
      <c r="O141" s="514">
        <f t="shared" si="31"/>
        <v>0</v>
      </c>
      <c r="P141" s="514">
        <f t="shared" si="32"/>
        <v>0</v>
      </c>
    </row>
    <row r="142" spans="2:16">
      <c r="B142" s="195" t="str">
        <f t="shared" si="20"/>
        <v/>
      </c>
      <c r="C142" s="507">
        <f>IF(D93="","-",+C141+1)</f>
        <v>2061</v>
      </c>
      <c r="D142" s="374">
        <f>IF(F141+SUM(E$99:E141)=D$92,F141,D$92-SUM(E$99:E141))</f>
        <v>0</v>
      </c>
      <c r="E142" s="522">
        <f>IF(+J96&lt;F141,J96,D142)</f>
        <v>0</v>
      </c>
      <c r="F142" s="523">
        <f t="shared" si="25"/>
        <v>0</v>
      </c>
      <c r="G142" s="523">
        <f t="shared" si="26"/>
        <v>0</v>
      </c>
      <c r="H142" s="526">
        <f t="shared" si="27"/>
        <v>0</v>
      </c>
      <c r="I142" s="577">
        <f t="shared" si="28"/>
        <v>0</v>
      </c>
      <c r="J142" s="514">
        <f t="shared" si="29"/>
        <v>0</v>
      </c>
      <c r="K142" s="514"/>
      <c r="L142" s="525"/>
      <c r="M142" s="514">
        <f t="shared" si="30"/>
        <v>0</v>
      </c>
      <c r="N142" s="525"/>
      <c r="O142" s="514">
        <f t="shared" si="31"/>
        <v>0</v>
      </c>
      <c r="P142" s="514">
        <f t="shared" si="32"/>
        <v>0</v>
      </c>
    </row>
    <row r="143" spans="2:16">
      <c r="B143" s="195" t="str">
        <f t="shared" si="20"/>
        <v/>
      </c>
      <c r="C143" s="507">
        <f>IF(D93="","-",+C142+1)</f>
        <v>2062</v>
      </c>
      <c r="D143" s="374">
        <f>IF(F142+SUM(E$99:E142)=D$92,F142,D$92-SUM(E$99:E142))</f>
        <v>0</v>
      </c>
      <c r="E143" s="522">
        <f>IF(+J96&lt;F142,J96,D143)</f>
        <v>0</v>
      </c>
      <c r="F143" s="523">
        <f t="shared" si="25"/>
        <v>0</v>
      </c>
      <c r="G143" s="523">
        <f t="shared" si="26"/>
        <v>0</v>
      </c>
      <c r="H143" s="526">
        <f t="shared" si="27"/>
        <v>0</v>
      </c>
      <c r="I143" s="577">
        <f t="shared" si="28"/>
        <v>0</v>
      </c>
      <c r="J143" s="514">
        <f t="shared" si="29"/>
        <v>0</v>
      </c>
      <c r="K143" s="514"/>
      <c r="L143" s="525"/>
      <c r="M143" s="514">
        <f t="shared" si="30"/>
        <v>0</v>
      </c>
      <c r="N143" s="525"/>
      <c r="O143" s="514">
        <f t="shared" si="31"/>
        <v>0</v>
      </c>
      <c r="P143" s="514">
        <f t="shared" si="32"/>
        <v>0</v>
      </c>
    </row>
    <row r="144" spans="2:16">
      <c r="B144" s="195" t="str">
        <f t="shared" si="20"/>
        <v/>
      </c>
      <c r="C144" s="507">
        <f>IF(D93="","-",+C143+1)</f>
        <v>2063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25"/>
        <v>0</v>
      </c>
      <c r="G144" s="523">
        <f t="shared" si="26"/>
        <v>0</v>
      </c>
      <c r="H144" s="526">
        <f t="shared" si="27"/>
        <v>0</v>
      </c>
      <c r="I144" s="577">
        <f t="shared" si="28"/>
        <v>0</v>
      </c>
      <c r="J144" s="514">
        <f t="shared" si="29"/>
        <v>0</v>
      </c>
      <c r="K144" s="514"/>
      <c r="L144" s="525"/>
      <c r="M144" s="514">
        <f t="shared" si="30"/>
        <v>0</v>
      </c>
      <c r="N144" s="525"/>
      <c r="O144" s="514">
        <f t="shared" si="31"/>
        <v>0</v>
      </c>
      <c r="P144" s="514">
        <f t="shared" si="32"/>
        <v>0</v>
      </c>
    </row>
    <row r="145" spans="2:16">
      <c r="B145" s="195" t="str">
        <f t="shared" si="20"/>
        <v/>
      </c>
      <c r="C145" s="507">
        <f>IF(D93="","-",+C144+1)</f>
        <v>2064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25"/>
        <v>0</v>
      </c>
      <c r="G145" s="523">
        <f t="shared" si="26"/>
        <v>0</v>
      </c>
      <c r="H145" s="526">
        <f t="shared" si="27"/>
        <v>0</v>
      </c>
      <c r="I145" s="577">
        <f t="shared" si="28"/>
        <v>0</v>
      </c>
      <c r="J145" s="514">
        <f t="shared" si="29"/>
        <v>0</v>
      </c>
      <c r="K145" s="514"/>
      <c r="L145" s="525"/>
      <c r="M145" s="514">
        <f t="shared" si="30"/>
        <v>0</v>
      </c>
      <c r="N145" s="525"/>
      <c r="O145" s="514">
        <f t="shared" si="31"/>
        <v>0</v>
      </c>
      <c r="P145" s="514">
        <f t="shared" si="32"/>
        <v>0</v>
      </c>
    </row>
    <row r="146" spans="2:16">
      <c r="B146" s="195" t="str">
        <f t="shared" si="20"/>
        <v/>
      </c>
      <c r="C146" s="507">
        <f>IF(D93="","-",+C145+1)</f>
        <v>2065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25"/>
        <v>0</v>
      </c>
      <c r="G146" s="523">
        <f t="shared" si="26"/>
        <v>0</v>
      </c>
      <c r="H146" s="526">
        <f t="shared" si="27"/>
        <v>0</v>
      </c>
      <c r="I146" s="577">
        <f t="shared" si="28"/>
        <v>0</v>
      </c>
      <c r="J146" s="514">
        <f t="shared" si="29"/>
        <v>0</v>
      </c>
      <c r="K146" s="514"/>
      <c r="L146" s="525"/>
      <c r="M146" s="514">
        <f t="shared" si="30"/>
        <v>0</v>
      </c>
      <c r="N146" s="525"/>
      <c r="O146" s="514">
        <f t="shared" si="31"/>
        <v>0</v>
      </c>
      <c r="P146" s="514">
        <f t="shared" si="32"/>
        <v>0</v>
      </c>
    </row>
    <row r="147" spans="2:16">
      <c r="B147" s="195" t="str">
        <f t="shared" si="20"/>
        <v/>
      </c>
      <c r="C147" s="507">
        <f>IF(D93="","-",+C146+1)</f>
        <v>2066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25"/>
        <v>0</v>
      </c>
      <c r="G147" s="523">
        <f t="shared" si="26"/>
        <v>0</v>
      </c>
      <c r="H147" s="526">
        <f t="shared" si="27"/>
        <v>0</v>
      </c>
      <c r="I147" s="577">
        <f t="shared" si="28"/>
        <v>0</v>
      </c>
      <c r="J147" s="514">
        <f t="shared" si="29"/>
        <v>0</v>
      </c>
      <c r="K147" s="514"/>
      <c r="L147" s="525"/>
      <c r="M147" s="514">
        <f t="shared" si="30"/>
        <v>0</v>
      </c>
      <c r="N147" s="525"/>
      <c r="O147" s="514">
        <f t="shared" si="31"/>
        <v>0</v>
      </c>
      <c r="P147" s="514">
        <f t="shared" si="32"/>
        <v>0</v>
      </c>
    </row>
    <row r="148" spans="2:16">
      <c r="B148" s="195" t="str">
        <f t="shared" si="20"/>
        <v/>
      </c>
      <c r="C148" s="507">
        <f>IF(D93="","-",+C147+1)</f>
        <v>2067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25"/>
        <v>0</v>
      </c>
      <c r="G148" s="523">
        <f t="shared" si="26"/>
        <v>0</v>
      </c>
      <c r="H148" s="526">
        <f t="shared" si="27"/>
        <v>0</v>
      </c>
      <c r="I148" s="577">
        <f t="shared" si="28"/>
        <v>0</v>
      </c>
      <c r="J148" s="514">
        <f t="shared" si="29"/>
        <v>0</v>
      </c>
      <c r="K148" s="514"/>
      <c r="L148" s="525"/>
      <c r="M148" s="514">
        <f t="shared" si="30"/>
        <v>0</v>
      </c>
      <c r="N148" s="525"/>
      <c r="O148" s="514">
        <f t="shared" si="31"/>
        <v>0</v>
      </c>
      <c r="P148" s="514">
        <f t="shared" si="32"/>
        <v>0</v>
      </c>
    </row>
    <row r="149" spans="2:16">
      <c r="B149" s="195" t="str">
        <f t="shared" si="20"/>
        <v/>
      </c>
      <c r="C149" s="507">
        <f>IF(D93="","-",+C148+1)</f>
        <v>2068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25"/>
        <v>0</v>
      </c>
      <c r="G149" s="523">
        <f t="shared" si="26"/>
        <v>0</v>
      </c>
      <c r="H149" s="526">
        <f t="shared" si="27"/>
        <v>0</v>
      </c>
      <c r="I149" s="577">
        <f t="shared" si="28"/>
        <v>0</v>
      </c>
      <c r="J149" s="514">
        <f t="shared" si="29"/>
        <v>0</v>
      </c>
      <c r="K149" s="514"/>
      <c r="L149" s="525"/>
      <c r="M149" s="514">
        <f t="shared" si="30"/>
        <v>0</v>
      </c>
      <c r="N149" s="525"/>
      <c r="O149" s="514">
        <f t="shared" si="31"/>
        <v>0</v>
      </c>
      <c r="P149" s="514">
        <f t="shared" si="32"/>
        <v>0</v>
      </c>
    </row>
    <row r="150" spans="2:16">
      <c r="B150" s="195" t="str">
        <f t="shared" si="20"/>
        <v/>
      </c>
      <c r="C150" s="507">
        <f>IF(D93="","-",+C149+1)</f>
        <v>2069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25"/>
        <v>0</v>
      </c>
      <c r="G150" s="523">
        <f t="shared" si="26"/>
        <v>0</v>
      </c>
      <c r="H150" s="526">
        <f t="shared" si="27"/>
        <v>0</v>
      </c>
      <c r="I150" s="577">
        <f t="shared" si="28"/>
        <v>0</v>
      </c>
      <c r="J150" s="514">
        <f t="shared" si="29"/>
        <v>0</v>
      </c>
      <c r="K150" s="514"/>
      <c r="L150" s="525"/>
      <c r="M150" s="514">
        <f t="shared" si="30"/>
        <v>0</v>
      </c>
      <c r="N150" s="525"/>
      <c r="O150" s="514">
        <f t="shared" si="31"/>
        <v>0</v>
      </c>
      <c r="P150" s="514">
        <f t="shared" si="32"/>
        <v>0</v>
      </c>
    </row>
    <row r="151" spans="2:16">
      <c r="B151" s="195" t="str">
        <f t="shared" si="20"/>
        <v/>
      </c>
      <c r="C151" s="507">
        <f>IF(D93="","-",+C150+1)</f>
        <v>2070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25"/>
        <v>0</v>
      </c>
      <c r="G151" s="523">
        <f t="shared" si="26"/>
        <v>0</v>
      </c>
      <c r="H151" s="526">
        <f t="shared" si="27"/>
        <v>0</v>
      </c>
      <c r="I151" s="577">
        <f t="shared" si="28"/>
        <v>0</v>
      </c>
      <c r="J151" s="514">
        <f t="shared" si="29"/>
        <v>0</v>
      </c>
      <c r="K151" s="514"/>
      <c r="L151" s="525"/>
      <c r="M151" s="514">
        <f t="shared" si="30"/>
        <v>0</v>
      </c>
      <c r="N151" s="525"/>
      <c r="O151" s="514">
        <f t="shared" si="31"/>
        <v>0</v>
      </c>
      <c r="P151" s="514">
        <f t="shared" si="32"/>
        <v>0</v>
      </c>
    </row>
    <row r="152" spans="2:16">
      <c r="B152" s="195" t="str">
        <f t="shared" si="20"/>
        <v/>
      </c>
      <c r="C152" s="507">
        <f>IF(D93="","-",+C151+1)</f>
        <v>2071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25"/>
        <v>0</v>
      </c>
      <c r="G152" s="523">
        <f t="shared" si="26"/>
        <v>0</v>
      </c>
      <c r="H152" s="526">
        <f t="shared" si="27"/>
        <v>0</v>
      </c>
      <c r="I152" s="577">
        <f t="shared" si="28"/>
        <v>0</v>
      </c>
      <c r="J152" s="514">
        <f t="shared" si="29"/>
        <v>0</v>
      </c>
      <c r="K152" s="514"/>
      <c r="L152" s="525"/>
      <c r="M152" s="514">
        <f t="shared" si="30"/>
        <v>0</v>
      </c>
      <c r="N152" s="525"/>
      <c r="O152" s="514">
        <f t="shared" si="31"/>
        <v>0</v>
      </c>
      <c r="P152" s="514">
        <f t="shared" si="32"/>
        <v>0</v>
      </c>
    </row>
    <row r="153" spans="2:16">
      <c r="B153" s="195" t="str">
        <f t="shared" si="20"/>
        <v/>
      </c>
      <c r="C153" s="507">
        <f>IF(D93="","-",+C152+1)</f>
        <v>2072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25"/>
        <v>0</v>
      </c>
      <c r="G153" s="523">
        <f t="shared" si="26"/>
        <v>0</v>
      </c>
      <c r="H153" s="526">
        <f t="shared" si="27"/>
        <v>0</v>
      </c>
      <c r="I153" s="577">
        <f t="shared" si="28"/>
        <v>0</v>
      </c>
      <c r="J153" s="514">
        <f t="shared" si="29"/>
        <v>0</v>
      </c>
      <c r="K153" s="514"/>
      <c r="L153" s="525"/>
      <c r="M153" s="514">
        <f t="shared" si="30"/>
        <v>0</v>
      </c>
      <c r="N153" s="525"/>
      <c r="O153" s="514">
        <f t="shared" si="31"/>
        <v>0</v>
      </c>
      <c r="P153" s="514">
        <f t="shared" si="32"/>
        <v>0</v>
      </c>
    </row>
    <row r="154" spans="2:16" ht="13.5" thickBot="1">
      <c r="B154" s="195" t="str">
        <f t="shared" si="20"/>
        <v/>
      </c>
      <c r="C154" s="527">
        <f>IF(D93="","-",+C153+1)</f>
        <v>2073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25"/>
        <v>0</v>
      </c>
      <c r="G154" s="528">
        <f t="shared" si="26"/>
        <v>0</v>
      </c>
      <c r="H154" s="530">
        <f t="shared" si="27"/>
        <v>0</v>
      </c>
      <c r="I154" s="579">
        <f t="shared" si="28"/>
        <v>0</v>
      </c>
      <c r="J154" s="533">
        <f t="shared" si="29"/>
        <v>0</v>
      </c>
      <c r="K154" s="514"/>
      <c r="L154" s="532"/>
      <c r="M154" s="533">
        <f t="shared" si="30"/>
        <v>0</v>
      </c>
      <c r="N154" s="532"/>
      <c r="O154" s="533">
        <f t="shared" si="31"/>
        <v>0</v>
      </c>
      <c r="P154" s="533">
        <f t="shared" si="32"/>
        <v>0</v>
      </c>
    </row>
    <row r="155" spans="2:16">
      <c r="C155" s="374" t="s">
        <v>78</v>
      </c>
      <c r="D155" s="375"/>
      <c r="E155" s="375">
        <f>SUM(E99:E154)</f>
        <v>7196364</v>
      </c>
      <c r="F155" s="375"/>
      <c r="G155" s="375"/>
      <c r="H155" s="375">
        <f>SUM(H99:H154)</f>
        <v>23936777.997942183</v>
      </c>
      <c r="I155" s="375">
        <f>SUM(I99:I154)</f>
        <v>23936777.997942183</v>
      </c>
      <c r="J155" s="375">
        <f>SUM(J99:J154)</f>
        <v>0</v>
      </c>
      <c r="K155" s="375"/>
      <c r="L155" s="375"/>
      <c r="M155" s="375"/>
      <c r="N155" s="375"/>
      <c r="O155" s="375"/>
      <c r="P155" s="269"/>
    </row>
    <row r="156" spans="2:16">
      <c r="C156" s="183" t="s">
        <v>92</v>
      </c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</row>
    <row r="157" spans="2:16">
      <c r="C157" s="580"/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</row>
    <row r="158" spans="2:16">
      <c r="C158" s="614" t="s">
        <v>132</v>
      </c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</row>
    <row r="159" spans="2:16">
      <c r="C159" s="467" t="s">
        <v>79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</row>
    <row r="160" spans="2:16">
      <c r="C160" s="581" t="s">
        <v>80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</row>
    <row r="161" spans="3:16">
      <c r="C161" s="581"/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</row>
    <row r="162" spans="3:16" ht="18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635" t="s">
        <v>131</v>
      </c>
    </row>
  </sheetData>
  <conditionalFormatting sqref="C17:C72">
    <cfRule type="cellIs" dxfId="13" priority="1" stopIfTrue="1" operator="equal">
      <formula>$I$10</formula>
    </cfRule>
  </conditionalFormatting>
  <conditionalFormatting sqref="C99:C154">
    <cfRule type="cellIs" dxfId="12" priority="2" stopIfTrue="1" operator="equal">
      <formula>$J$92</formula>
    </cfRule>
  </conditionalFormatting>
  <pageMargins left="0.5" right="0.25" top="1" bottom="0.25" header="0.25" footer="0.5"/>
  <pageSetup scale="47" orientation="landscape" r:id="rId1"/>
  <headerFooter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0" max="16383" man="1"/>
  </rowBreaks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dimension ref="A1:P162"/>
  <sheetViews>
    <sheetView topLeftCell="A85" zoomScale="80" zoomScaleNormal="80" workbookViewId="0">
      <selection activeCell="D99" sqref="D99:I103"/>
    </sheetView>
  </sheetViews>
  <sheetFormatPr defaultColWidth="8.7109375" defaultRowHeight="12.75" customHeight="1"/>
  <cols>
    <col min="1" max="1" width="4.7109375" style="183" customWidth="1"/>
    <col min="2" max="2" width="6.7109375" style="183" customWidth="1"/>
    <col min="3" max="3" width="23.28515625" style="183" customWidth="1"/>
    <col min="4" max="8" width="17.7109375" style="183" customWidth="1"/>
    <col min="9" max="9" width="20.42578125" style="183" customWidth="1"/>
    <col min="10" max="10" width="16.42578125" style="183" customWidth="1"/>
    <col min="11" max="11" width="17.7109375" style="183" customWidth="1"/>
    <col min="12" max="12" width="16.140625" style="183" customWidth="1"/>
    <col min="13" max="13" width="17.7109375" style="183" customWidth="1"/>
    <col min="14" max="14" width="16.7109375" style="183" customWidth="1"/>
    <col min="15" max="15" width="16.85546875" style="183" customWidth="1"/>
    <col min="16" max="16" width="24.42578125" style="183" customWidth="1"/>
    <col min="17" max="17" width="9.140625" style="183" customWidth="1"/>
    <col min="18" max="22" width="8.7109375" style="183"/>
    <col min="23" max="23" width="9.140625" style="183" customWidth="1"/>
    <col min="24" max="16384" width="8.7109375" style="183"/>
  </cols>
  <sheetData>
    <row r="1" spans="1:16" ht="20.25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71 of 75</v>
      </c>
    </row>
    <row r="2" spans="1:16" ht="18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538" t="s">
        <v>129</v>
      </c>
    </row>
    <row r="3" spans="1:16" ht="18.75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/>
      <c r="P3" s="623">
        <v>1</v>
      </c>
    </row>
    <row r="4" spans="1:16" ht="15.75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6" ht="1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222109.18721263934</v>
      </c>
      <c r="P5" s="269"/>
    </row>
    <row r="6" spans="1:16" ht="15.7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222109.18721263934</v>
      </c>
      <c r="O6" s="269"/>
      <c r="P6" s="269"/>
    </row>
    <row r="7" spans="1:16" ht="13.5" thickBot="1">
      <c r="C7" s="467" t="s">
        <v>48</v>
      </c>
      <c r="D7" s="624" t="s">
        <v>433</v>
      </c>
      <c r="E7" s="269"/>
      <c r="F7" s="269"/>
      <c r="G7" s="269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6" ht="13.5" thickBot="1">
      <c r="C8" s="472"/>
      <c r="D8" s="625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6" ht="13.5" thickBot="1">
      <c r="C9" s="476" t="s">
        <v>50</v>
      </c>
      <c r="D9" s="477" t="s">
        <v>426</v>
      </c>
      <c r="E9" s="637" t="s">
        <v>427</v>
      </c>
      <c r="F9" s="478"/>
      <c r="G9" s="478"/>
      <c r="H9" s="478"/>
      <c r="I9" s="479"/>
      <c r="J9" s="480"/>
      <c r="O9" s="481"/>
      <c r="P9" s="272"/>
    </row>
    <row r="10" spans="1:16">
      <c r="C10" s="482" t="s">
        <v>51</v>
      </c>
      <c r="D10" s="483">
        <v>1742923.9700000002</v>
      </c>
      <c r="E10" s="353" t="s">
        <v>52</v>
      </c>
      <c r="F10" s="481"/>
      <c r="G10" s="484"/>
      <c r="H10" s="484"/>
      <c r="I10" s="485">
        <f>+'SWE.WS.F.BPU.ATRR.Projected'!L19</f>
        <v>2024</v>
      </c>
      <c r="J10" s="480"/>
      <c r="K10" s="375" t="s">
        <v>53</v>
      </c>
      <c r="O10" s="272"/>
      <c r="P10" s="272"/>
    </row>
    <row r="11" spans="1:16">
      <c r="C11" s="486" t="s">
        <v>54</v>
      </c>
      <c r="D11" s="487">
        <v>2018</v>
      </c>
      <c r="E11" s="486" t="s">
        <v>55</v>
      </c>
      <c r="F11" s="484"/>
      <c r="G11" s="233"/>
      <c r="H11" s="233"/>
      <c r="I11" s="488">
        <f>IF(G5="",0,'SWE.WS.F.BPU.ATRR.Projected'!F$13)</f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6">
      <c r="C12" s="486" t="s">
        <v>56</v>
      </c>
      <c r="D12" s="483">
        <v>12</v>
      </c>
      <c r="E12" s="486" t="s">
        <v>57</v>
      </c>
      <c r="F12" s="484"/>
      <c r="G12" s="233"/>
      <c r="H12" s="233"/>
      <c r="I12" s="490">
        <f>'SWE.WS.F.BPU.ATRR.Projected'!$F$81</f>
        <v>0.11952713165403545</v>
      </c>
      <c r="J12" s="425"/>
      <c r="K12" s="183" t="s">
        <v>58</v>
      </c>
      <c r="O12" s="272"/>
      <c r="P12" s="272"/>
    </row>
    <row r="13" spans="1:16">
      <c r="C13" s="486" t="s">
        <v>59</v>
      </c>
      <c r="D13" s="488">
        <f>+'SWE.WS.F.BPU.ATRR.Projected'!F$93</f>
        <v>44</v>
      </c>
      <c r="E13" s="486" t="s">
        <v>60</v>
      </c>
      <c r="F13" s="484"/>
      <c r="G13" s="233"/>
      <c r="H13" s="233"/>
      <c r="I13" s="490">
        <f>IF(G5="",I12,'SWE.WS.F.BPU.ATRR.Projected'!$F$80)</f>
        <v>0.11952713165403545</v>
      </c>
      <c r="J13" s="425"/>
      <c r="K13" s="375" t="s">
        <v>61</v>
      </c>
      <c r="L13" s="324"/>
      <c r="M13" s="324"/>
      <c r="N13" s="324"/>
      <c r="O13" s="272"/>
      <c r="P13" s="272"/>
    </row>
    <row r="14" spans="1:16" ht="13.5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39611.908409090916</v>
      </c>
      <c r="J14" s="375"/>
      <c r="K14" s="375"/>
      <c r="L14" s="375"/>
      <c r="M14" s="375"/>
      <c r="N14" s="375"/>
      <c r="O14" s="272"/>
      <c r="P14" s="272"/>
    </row>
    <row r="15" spans="1:16" ht="38.25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388</v>
      </c>
      <c r="H15" s="495" t="s">
        <v>389</v>
      </c>
      <c r="I15" s="492" t="s">
        <v>68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6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600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>
      <c r="C17" s="507">
        <f>IF(D11= "","-",D11)</f>
        <v>2018</v>
      </c>
      <c r="D17" s="631">
        <v>0</v>
      </c>
      <c r="E17" s="630">
        <v>0</v>
      </c>
      <c r="F17" s="631">
        <v>1254000</v>
      </c>
      <c r="G17" s="630">
        <v>79688.000028018621</v>
      </c>
      <c r="H17" s="639">
        <v>79688.000028018621</v>
      </c>
      <c r="I17" s="511">
        <f t="shared" ref="I17:I72" si="0">H17-G17</f>
        <v>0</v>
      </c>
      <c r="J17" s="511"/>
      <c r="K17" s="512">
        <f t="shared" ref="K17:K22" si="1">+G17</f>
        <v>79688.000028018621</v>
      </c>
      <c r="L17" s="513">
        <f t="shared" ref="L17:L72" si="2">IF(K17&lt;&gt;0,+G17-K17,0)</f>
        <v>0</v>
      </c>
      <c r="M17" s="512">
        <f t="shared" ref="M17:M22" si="3">+H17</f>
        <v>79688.000028018621</v>
      </c>
      <c r="N17" s="513">
        <f t="shared" ref="N17:N72" si="4">IF(M17&lt;&gt;0,+H17-M17,0)</f>
        <v>0</v>
      </c>
      <c r="O17" s="514">
        <f t="shared" ref="O17:O72" si="5">+N17-L17</f>
        <v>0</v>
      </c>
      <c r="P17" s="272"/>
    </row>
    <row r="18" spans="2:16">
      <c r="B18" s="195" t="str">
        <f>IF(D18=F17,"","IU")</f>
        <v/>
      </c>
      <c r="C18" s="507">
        <f>IF(D11="","-",+C17+1)</f>
        <v>2019</v>
      </c>
      <c r="D18" s="631">
        <v>1254000</v>
      </c>
      <c r="E18" s="630">
        <v>30585.365853658535</v>
      </c>
      <c r="F18" s="631">
        <v>1223414.6341463414</v>
      </c>
      <c r="G18" s="630">
        <v>188017.75615291481</v>
      </c>
      <c r="H18" s="639">
        <v>188017.75615291481</v>
      </c>
      <c r="I18" s="511">
        <f t="shared" si="0"/>
        <v>0</v>
      </c>
      <c r="J18" s="511"/>
      <c r="K18" s="518">
        <f t="shared" si="1"/>
        <v>188017.75615291481</v>
      </c>
      <c r="L18" s="519">
        <f t="shared" si="2"/>
        <v>0</v>
      </c>
      <c r="M18" s="518">
        <f t="shared" si="3"/>
        <v>188017.75615291481</v>
      </c>
      <c r="N18" s="514">
        <f t="shared" si="4"/>
        <v>0</v>
      </c>
      <c r="O18" s="514">
        <f t="shared" si="5"/>
        <v>0</v>
      </c>
      <c r="P18" s="272"/>
    </row>
    <row r="19" spans="2:16">
      <c r="B19" s="195" t="str">
        <f>IF(D19=F18,"","IU")</f>
        <v>IU</v>
      </c>
      <c r="C19" s="507">
        <f>IF(D11="","-",+C18+1)</f>
        <v>2020</v>
      </c>
      <c r="D19" s="631">
        <v>1659059.6341463414</v>
      </c>
      <c r="E19" s="630">
        <v>41210.853658536587</v>
      </c>
      <c r="F19" s="631">
        <v>1617848.7804878047</v>
      </c>
      <c r="G19" s="630">
        <v>208882.8109309049</v>
      </c>
      <c r="H19" s="639">
        <v>208882.8109309049</v>
      </c>
      <c r="I19" s="511">
        <f t="shared" si="0"/>
        <v>0</v>
      </c>
      <c r="J19" s="511"/>
      <c r="K19" s="518">
        <f t="shared" si="1"/>
        <v>208882.8109309049</v>
      </c>
      <c r="L19" s="519">
        <f t="shared" ref="L19" si="6">IF(K19&lt;&gt;0,+G19-K19,0)</f>
        <v>0</v>
      </c>
      <c r="M19" s="518">
        <f t="shared" si="3"/>
        <v>208882.8109309049</v>
      </c>
      <c r="N19" s="514">
        <f t="shared" si="4"/>
        <v>0</v>
      </c>
      <c r="O19" s="514">
        <f t="shared" si="5"/>
        <v>0</v>
      </c>
      <c r="P19" s="272"/>
    </row>
    <row r="20" spans="2:16">
      <c r="B20" s="195" t="str">
        <f t="shared" ref="B20:B72" si="7">IF(D20=F19,"","IU")</f>
        <v>IU</v>
      </c>
      <c r="C20" s="507">
        <f>IF(D11="","-",+C19+1)</f>
        <v>2021</v>
      </c>
      <c r="D20" s="631">
        <v>1662410.820760068</v>
      </c>
      <c r="E20" s="630">
        <v>41498.190476190473</v>
      </c>
      <c r="F20" s="631">
        <v>1620912.6302838775</v>
      </c>
      <c r="G20" s="630">
        <v>215521.79480403315</v>
      </c>
      <c r="H20" s="639">
        <v>215521.79480403315</v>
      </c>
      <c r="I20" s="511">
        <f t="shared" si="0"/>
        <v>0</v>
      </c>
      <c r="J20" s="511"/>
      <c r="K20" s="518">
        <f t="shared" si="1"/>
        <v>215521.79480403315</v>
      </c>
      <c r="L20" s="519">
        <f t="shared" ref="L20" si="8">IF(K20&lt;&gt;0,+G20-K20,0)</f>
        <v>0</v>
      </c>
      <c r="M20" s="518">
        <f t="shared" si="3"/>
        <v>215521.79480403315</v>
      </c>
      <c r="N20" s="514">
        <f t="shared" si="4"/>
        <v>0</v>
      </c>
      <c r="O20" s="514">
        <f t="shared" si="5"/>
        <v>0</v>
      </c>
      <c r="P20" s="272"/>
    </row>
    <row r="21" spans="2:16">
      <c r="B21" s="195" t="str">
        <f t="shared" si="7"/>
        <v>IU</v>
      </c>
      <c r="C21" s="507">
        <f>IF(D11="","-",+C20+1)</f>
        <v>2022</v>
      </c>
      <c r="D21" s="631">
        <v>1629629.5900116144</v>
      </c>
      <c r="E21" s="630">
        <v>41498.190476190473</v>
      </c>
      <c r="F21" s="631">
        <v>1588131.3995354238</v>
      </c>
      <c r="G21" s="630">
        <v>222407.30470378633</v>
      </c>
      <c r="H21" s="639">
        <v>222407.30470378633</v>
      </c>
      <c r="I21" s="511">
        <f t="shared" si="0"/>
        <v>0</v>
      </c>
      <c r="J21" s="511"/>
      <c r="K21" s="518">
        <f t="shared" si="1"/>
        <v>222407.30470378633</v>
      </c>
      <c r="L21" s="519">
        <f t="shared" ref="L21" si="9">IF(K21&lt;&gt;0,+G21-K21,0)</f>
        <v>0</v>
      </c>
      <c r="M21" s="518">
        <f t="shared" si="3"/>
        <v>222407.30470378633</v>
      </c>
      <c r="N21" s="514">
        <f t="shared" si="4"/>
        <v>0</v>
      </c>
      <c r="O21" s="514">
        <f t="shared" si="5"/>
        <v>0</v>
      </c>
      <c r="P21" s="272"/>
    </row>
    <row r="22" spans="2:16">
      <c r="B22" s="195" t="str">
        <f t="shared" si="7"/>
        <v>IU</v>
      </c>
      <c r="C22" s="507">
        <f>IF(D11="","-",+C21+1)</f>
        <v>2023</v>
      </c>
      <c r="D22" s="631">
        <v>1588131.369535424</v>
      </c>
      <c r="E22" s="630">
        <v>41498.189761904767</v>
      </c>
      <c r="F22" s="631">
        <v>1546633.1797735193</v>
      </c>
      <c r="G22" s="630">
        <v>239500.55805520574</v>
      </c>
      <c r="H22" s="639">
        <v>239500.55805520574</v>
      </c>
      <c r="I22" s="511">
        <f t="shared" si="0"/>
        <v>0</v>
      </c>
      <c r="J22" s="511"/>
      <c r="K22" s="518">
        <f t="shared" si="1"/>
        <v>239500.55805520574</v>
      </c>
      <c r="L22" s="519">
        <f t="shared" ref="L22" si="10">IF(K22&lt;&gt;0,+G22-K22,0)</f>
        <v>0</v>
      </c>
      <c r="M22" s="518">
        <f t="shared" si="3"/>
        <v>239500.55805520574</v>
      </c>
      <c r="N22" s="514">
        <f t="shared" ref="N22" si="11">IF(M22&lt;&gt;0,+H22-M22,0)</f>
        <v>0</v>
      </c>
      <c r="O22" s="514">
        <f t="shared" ref="O22" si="12">+N22-L22</f>
        <v>0</v>
      </c>
      <c r="P22" s="272"/>
    </row>
    <row r="23" spans="2:16">
      <c r="B23" s="195" t="str">
        <f t="shared" si="7"/>
        <v/>
      </c>
      <c r="C23" s="673">
        <f>IF(D11="","-",+C22+1)</f>
        <v>2024</v>
      </c>
      <c r="D23" s="523">
        <f>IF(F22+SUM(E$17:E22)=D$10,F22,D$10-SUM(E$17:E22))</f>
        <v>1546633.1797735193</v>
      </c>
      <c r="E23" s="522">
        <f>IF(+I14&lt;F22,I14,D23)</f>
        <v>39611.908409090916</v>
      </c>
      <c r="F23" s="523">
        <f t="shared" ref="F23:F72" si="13">+D23-E23</f>
        <v>1507021.2713644283</v>
      </c>
      <c r="G23" s="524">
        <f t="shared" ref="G23:G72" si="14">+I$12*((D23+F23)/2)+E23</f>
        <v>222109.18721263934</v>
      </c>
      <c r="H23" s="491">
        <f t="shared" ref="H23:H72" si="15">+I$13*((D23+F23)/2)+E23</f>
        <v>222109.18721263934</v>
      </c>
      <c r="I23" s="511">
        <f t="shared" si="0"/>
        <v>0</v>
      </c>
      <c r="J23" s="511"/>
      <c r="K23" s="525"/>
      <c r="L23" s="514">
        <f t="shared" si="2"/>
        <v>0</v>
      </c>
      <c r="M23" s="525"/>
      <c r="N23" s="514">
        <f t="shared" si="4"/>
        <v>0</v>
      </c>
      <c r="O23" s="514">
        <f t="shared" si="5"/>
        <v>0</v>
      </c>
      <c r="P23" s="272"/>
    </row>
    <row r="24" spans="2:16">
      <c r="B24" s="195" t="str">
        <f t="shared" si="7"/>
        <v/>
      </c>
      <c r="C24" s="507">
        <f>IF(D11="","-",+C23+1)</f>
        <v>2025</v>
      </c>
      <c r="D24" s="523">
        <f>IF(F23+SUM(E$17:E23)=D$10,F23,D$10-SUM(E$17:E23))</f>
        <v>1507021.2713644283</v>
      </c>
      <c r="E24" s="522">
        <f>IF(+I14&lt;F23,I14,D24)</f>
        <v>39611.908409090916</v>
      </c>
      <c r="F24" s="523">
        <f t="shared" si="13"/>
        <v>1467409.3629553374</v>
      </c>
      <c r="G24" s="524">
        <f t="shared" si="14"/>
        <v>217374.4894211583</v>
      </c>
      <c r="H24" s="491">
        <f t="shared" si="15"/>
        <v>217374.4894211583</v>
      </c>
      <c r="I24" s="511">
        <f t="shared" si="0"/>
        <v>0</v>
      </c>
      <c r="J24" s="511"/>
      <c r="K24" s="525"/>
      <c r="L24" s="514">
        <f t="shared" si="2"/>
        <v>0</v>
      </c>
      <c r="M24" s="525"/>
      <c r="N24" s="514">
        <f t="shared" si="4"/>
        <v>0</v>
      </c>
      <c r="O24" s="514">
        <f t="shared" si="5"/>
        <v>0</v>
      </c>
      <c r="P24" s="272"/>
    </row>
    <row r="25" spans="2:16">
      <c r="B25" s="195" t="str">
        <f t="shared" si="7"/>
        <v/>
      </c>
      <c r="C25" s="507">
        <f>IF(D11="","-",+C24+1)</f>
        <v>2026</v>
      </c>
      <c r="D25" s="523">
        <f>IF(F24+SUM(E$17:E24)=D$10,F24,D$10-SUM(E$17:E24))</f>
        <v>1467409.3629553374</v>
      </c>
      <c r="E25" s="522">
        <f>IF(+I14&lt;F24,I14,D25)</f>
        <v>39611.908409090916</v>
      </c>
      <c r="F25" s="523">
        <f t="shared" si="13"/>
        <v>1427797.4545462464</v>
      </c>
      <c r="G25" s="524">
        <f t="shared" si="14"/>
        <v>212639.79162967732</v>
      </c>
      <c r="H25" s="491">
        <f t="shared" si="15"/>
        <v>212639.79162967732</v>
      </c>
      <c r="I25" s="511">
        <f t="shared" si="0"/>
        <v>0</v>
      </c>
      <c r="J25" s="511"/>
      <c r="K25" s="525"/>
      <c r="L25" s="514">
        <f t="shared" si="2"/>
        <v>0</v>
      </c>
      <c r="M25" s="525"/>
      <c r="N25" s="514">
        <f t="shared" si="4"/>
        <v>0</v>
      </c>
      <c r="O25" s="514">
        <f t="shared" si="5"/>
        <v>0</v>
      </c>
      <c r="P25" s="272"/>
    </row>
    <row r="26" spans="2:16">
      <c r="B26" s="195" t="str">
        <f t="shared" si="7"/>
        <v/>
      </c>
      <c r="C26" s="507">
        <f>IF(D11="","-",+C25+1)</f>
        <v>2027</v>
      </c>
      <c r="D26" s="523">
        <f>IF(F25+SUM(E$17:E25)=D$10,F25,D$10-SUM(E$17:E25))</f>
        <v>1427797.4545462464</v>
      </c>
      <c r="E26" s="522">
        <f>IF(+I14&lt;F25,I14,D26)</f>
        <v>39611.908409090916</v>
      </c>
      <c r="F26" s="523">
        <f t="shared" si="13"/>
        <v>1388185.5461371555</v>
      </c>
      <c r="G26" s="524">
        <f t="shared" si="14"/>
        <v>207905.09383819628</v>
      </c>
      <c r="H26" s="491">
        <f t="shared" si="15"/>
        <v>207905.09383819628</v>
      </c>
      <c r="I26" s="511">
        <f t="shared" si="0"/>
        <v>0</v>
      </c>
      <c r="J26" s="511"/>
      <c r="K26" s="525"/>
      <c r="L26" s="514">
        <f t="shared" si="2"/>
        <v>0</v>
      </c>
      <c r="M26" s="525"/>
      <c r="N26" s="514">
        <f t="shared" si="4"/>
        <v>0</v>
      </c>
      <c r="O26" s="514">
        <f t="shared" si="5"/>
        <v>0</v>
      </c>
      <c r="P26" s="272"/>
    </row>
    <row r="27" spans="2:16">
      <c r="B27" s="195" t="str">
        <f t="shared" si="7"/>
        <v/>
      </c>
      <c r="C27" s="507">
        <f>IF(D11="","-",+C26+1)</f>
        <v>2028</v>
      </c>
      <c r="D27" s="523">
        <f>IF(F26+SUM(E$17:E26)=D$10,F26,D$10-SUM(E$17:E26))</f>
        <v>1388185.5461371555</v>
      </c>
      <c r="E27" s="522">
        <f>IF(+I14&lt;F26,I14,D27)</f>
        <v>39611.908409090916</v>
      </c>
      <c r="F27" s="523">
        <f t="shared" si="13"/>
        <v>1348573.6377280646</v>
      </c>
      <c r="G27" s="524">
        <f t="shared" si="14"/>
        <v>203170.39604671529</v>
      </c>
      <c r="H27" s="491">
        <f t="shared" si="15"/>
        <v>203170.39604671529</v>
      </c>
      <c r="I27" s="511">
        <f t="shared" si="0"/>
        <v>0</v>
      </c>
      <c r="J27" s="511"/>
      <c r="K27" s="525"/>
      <c r="L27" s="514">
        <f t="shared" si="2"/>
        <v>0</v>
      </c>
      <c r="M27" s="525"/>
      <c r="N27" s="514">
        <f t="shared" si="4"/>
        <v>0</v>
      </c>
      <c r="O27" s="514">
        <f t="shared" si="5"/>
        <v>0</v>
      </c>
      <c r="P27" s="272"/>
    </row>
    <row r="28" spans="2:16">
      <c r="B28" s="195" t="str">
        <f t="shared" si="7"/>
        <v/>
      </c>
      <c r="C28" s="507">
        <f>IF(D11="","-",+C27+1)</f>
        <v>2029</v>
      </c>
      <c r="D28" s="523">
        <f>IF(F27+SUM(E$17:E27)=D$10,F27,D$10-SUM(E$17:E27))</f>
        <v>1348573.6377280646</v>
      </c>
      <c r="E28" s="522">
        <f>IF(+I14&lt;F27,I14,D28)</f>
        <v>39611.908409090916</v>
      </c>
      <c r="F28" s="523">
        <f t="shared" si="13"/>
        <v>1308961.7293189736</v>
      </c>
      <c r="G28" s="524">
        <f t="shared" si="14"/>
        <v>198435.69825523428</v>
      </c>
      <c r="H28" s="491">
        <f t="shared" si="15"/>
        <v>198435.69825523428</v>
      </c>
      <c r="I28" s="511">
        <f t="shared" si="0"/>
        <v>0</v>
      </c>
      <c r="J28" s="511"/>
      <c r="K28" s="525"/>
      <c r="L28" s="514">
        <f t="shared" si="2"/>
        <v>0</v>
      </c>
      <c r="M28" s="525"/>
      <c r="N28" s="514">
        <f t="shared" si="4"/>
        <v>0</v>
      </c>
      <c r="O28" s="514">
        <f t="shared" si="5"/>
        <v>0</v>
      </c>
      <c r="P28" s="272"/>
    </row>
    <row r="29" spans="2:16">
      <c r="B29" s="195" t="str">
        <f t="shared" si="7"/>
        <v/>
      </c>
      <c r="C29" s="507">
        <f>IF(D11="","-",+C28+1)</f>
        <v>2030</v>
      </c>
      <c r="D29" s="523">
        <f>IF(F28+SUM(E$17:E28)=D$10,F28,D$10-SUM(E$17:E28))</f>
        <v>1308961.7293189736</v>
      </c>
      <c r="E29" s="522">
        <f>IF(+I14&lt;F28,I14,D29)</f>
        <v>39611.908409090916</v>
      </c>
      <c r="F29" s="523">
        <f t="shared" si="13"/>
        <v>1269349.8209098827</v>
      </c>
      <c r="G29" s="524">
        <f t="shared" si="14"/>
        <v>193701.0004637533</v>
      </c>
      <c r="H29" s="491">
        <f t="shared" si="15"/>
        <v>193701.0004637533</v>
      </c>
      <c r="I29" s="511">
        <f t="shared" si="0"/>
        <v>0</v>
      </c>
      <c r="J29" s="511"/>
      <c r="K29" s="525"/>
      <c r="L29" s="514">
        <f t="shared" si="2"/>
        <v>0</v>
      </c>
      <c r="M29" s="525"/>
      <c r="N29" s="514">
        <f t="shared" si="4"/>
        <v>0</v>
      </c>
      <c r="O29" s="514">
        <f t="shared" si="5"/>
        <v>0</v>
      </c>
      <c r="P29" s="272"/>
    </row>
    <row r="30" spans="2:16">
      <c r="B30" s="195" t="str">
        <f t="shared" si="7"/>
        <v/>
      </c>
      <c r="C30" s="507">
        <f>IF(D11="","-",+C29+1)</f>
        <v>2031</v>
      </c>
      <c r="D30" s="523">
        <f>IF(F29+SUM(E$17:E29)=D$10,F29,D$10-SUM(E$17:E29))</f>
        <v>1269349.8209098827</v>
      </c>
      <c r="E30" s="522">
        <f>IF(+I14&lt;F29,I14,D30)</f>
        <v>39611.908409090916</v>
      </c>
      <c r="F30" s="523">
        <f t="shared" si="13"/>
        <v>1229737.9125007917</v>
      </c>
      <c r="G30" s="524">
        <f t="shared" si="14"/>
        <v>188966.30267227226</v>
      </c>
      <c r="H30" s="491">
        <f t="shared" si="15"/>
        <v>188966.30267227226</v>
      </c>
      <c r="I30" s="511">
        <f t="shared" si="0"/>
        <v>0</v>
      </c>
      <c r="J30" s="511"/>
      <c r="K30" s="525"/>
      <c r="L30" s="514">
        <f t="shared" si="2"/>
        <v>0</v>
      </c>
      <c r="M30" s="525"/>
      <c r="N30" s="514">
        <f t="shared" si="4"/>
        <v>0</v>
      </c>
      <c r="O30" s="514">
        <f t="shared" si="5"/>
        <v>0</v>
      </c>
      <c r="P30" s="272"/>
    </row>
    <row r="31" spans="2:16">
      <c r="B31" s="195" t="str">
        <f t="shared" si="7"/>
        <v/>
      </c>
      <c r="C31" s="507">
        <f>IF(D11="","-",+C30+1)</f>
        <v>2032</v>
      </c>
      <c r="D31" s="523">
        <f>IF(F30+SUM(E$17:E30)=D$10,F30,D$10-SUM(E$17:E30))</f>
        <v>1229737.9125007917</v>
      </c>
      <c r="E31" s="522">
        <f>IF(+I14&lt;F30,I14,D31)</f>
        <v>39611.908409090916</v>
      </c>
      <c r="F31" s="523">
        <f t="shared" si="13"/>
        <v>1190126.0040917008</v>
      </c>
      <c r="G31" s="524">
        <f t="shared" si="14"/>
        <v>184231.60488079127</v>
      </c>
      <c r="H31" s="491">
        <f t="shared" si="15"/>
        <v>184231.60488079127</v>
      </c>
      <c r="I31" s="511">
        <f t="shared" si="0"/>
        <v>0</v>
      </c>
      <c r="J31" s="511"/>
      <c r="K31" s="525"/>
      <c r="L31" s="514">
        <f t="shared" si="2"/>
        <v>0</v>
      </c>
      <c r="M31" s="525"/>
      <c r="N31" s="514">
        <f t="shared" si="4"/>
        <v>0</v>
      </c>
      <c r="O31" s="514">
        <f t="shared" si="5"/>
        <v>0</v>
      </c>
      <c r="P31" s="272"/>
    </row>
    <row r="32" spans="2:16">
      <c r="B32" s="195" t="str">
        <f t="shared" si="7"/>
        <v/>
      </c>
      <c r="C32" s="507">
        <f>IF(D11="","-",+C31+1)</f>
        <v>2033</v>
      </c>
      <c r="D32" s="523">
        <f>IF(F31+SUM(E$17:E31)=D$10,F31,D$10-SUM(E$17:E31))</f>
        <v>1190126.0040917008</v>
      </c>
      <c r="E32" s="522">
        <f>IF(+I14&lt;F31,I14,D32)</f>
        <v>39611.908409090916</v>
      </c>
      <c r="F32" s="523">
        <f t="shared" si="13"/>
        <v>1150514.0956826098</v>
      </c>
      <c r="G32" s="524">
        <f t="shared" si="14"/>
        <v>179496.90708931023</v>
      </c>
      <c r="H32" s="491">
        <f t="shared" si="15"/>
        <v>179496.90708931023</v>
      </c>
      <c r="I32" s="511">
        <f t="shared" si="0"/>
        <v>0</v>
      </c>
      <c r="J32" s="511"/>
      <c r="K32" s="525"/>
      <c r="L32" s="514">
        <f t="shared" si="2"/>
        <v>0</v>
      </c>
      <c r="M32" s="525"/>
      <c r="N32" s="514">
        <f t="shared" si="4"/>
        <v>0</v>
      </c>
      <c r="O32" s="514">
        <f t="shared" si="5"/>
        <v>0</v>
      </c>
      <c r="P32" s="272"/>
    </row>
    <row r="33" spans="2:16">
      <c r="B33" s="195" t="str">
        <f t="shared" si="7"/>
        <v/>
      </c>
      <c r="C33" s="507">
        <f>IF(D11="","-",+C32+1)</f>
        <v>2034</v>
      </c>
      <c r="D33" s="523">
        <f>IF(F32+SUM(E$17:E32)=D$10,F32,D$10-SUM(E$17:E32))</f>
        <v>1150514.0956826098</v>
      </c>
      <c r="E33" s="522">
        <f>IF(+I14&lt;F32,I14,D33)</f>
        <v>39611.908409090916</v>
      </c>
      <c r="F33" s="523">
        <f t="shared" si="13"/>
        <v>1110902.1872735189</v>
      </c>
      <c r="G33" s="524">
        <f t="shared" si="14"/>
        <v>174762.20929782928</v>
      </c>
      <c r="H33" s="491">
        <f t="shared" si="15"/>
        <v>174762.20929782928</v>
      </c>
      <c r="I33" s="511">
        <f t="shared" si="0"/>
        <v>0</v>
      </c>
      <c r="J33" s="511"/>
      <c r="K33" s="525"/>
      <c r="L33" s="514">
        <f t="shared" si="2"/>
        <v>0</v>
      </c>
      <c r="M33" s="525"/>
      <c r="N33" s="514">
        <f t="shared" si="4"/>
        <v>0</v>
      </c>
      <c r="O33" s="514">
        <f t="shared" si="5"/>
        <v>0</v>
      </c>
      <c r="P33" s="272"/>
    </row>
    <row r="34" spans="2:16">
      <c r="B34" s="195" t="str">
        <f t="shared" si="7"/>
        <v/>
      </c>
      <c r="C34" s="507">
        <f>IF(D11="","-",+C33+1)</f>
        <v>2035</v>
      </c>
      <c r="D34" s="523">
        <f>IF(F33+SUM(E$17:E33)=D$10,F33,D$10-SUM(E$17:E33))</f>
        <v>1110902.1872735189</v>
      </c>
      <c r="E34" s="522">
        <f>IF(+I14&lt;F33,I14,D34)</f>
        <v>39611.908409090916</v>
      </c>
      <c r="F34" s="523">
        <f t="shared" si="13"/>
        <v>1071290.2788644279</v>
      </c>
      <c r="G34" s="524">
        <f t="shared" si="14"/>
        <v>170027.51150634824</v>
      </c>
      <c r="H34" s="491">
        <f t="shared" si="15"/>
        <v>170027.51150634824</v>
      </c>
      <c r="I34" s="511">
        <f t="shared" si="0"/>
        <v>0</v>
      </c>
      <c r="J34" s="511"/>
      <c r="K34" s="525"/>
      <c r="L34" s="514">
        <f t="shared" si="2"/>
        <v>0</v>
      </c>
      <c r="M34" s="525"/>
      <c r="N34" s="514">
        <f t="shared" si="4"/>
        <v>0</v>
      </c>
      <c r="O34" s="514">
        <f t="shared" si="5"/>
        <v>0</v>
      </c>
      <c r="P34" s="272"/>
    </row>
    <row r="35" spans="2:16">
      <c r="B35" s="195" t="str">
        <f t="shared" si="7"/>
        <v/>
      </c>
      <c r="C35" s="507">
        <f>IF(D11="","-",+C34+1)</f>
        <v>2036</v>
      </c>
      <c r="D35" s="523">
        <f>IF(F34+SUM(E$17:E34)=D$10,F34,D$10-SUM(E$17:E34))</f>
        <v>1071290.2788644279</v>
      </c>
      <c r="E35" s="522">
        <f>IF(+I14&lt;F34,I14,D35)</f>
        <v>39611.908409090916</v>
      </c>
      <c r="F35" s="523">
        <f t="shared" si="13"/>
        <v>1031678.370455337</v>
      </c>
      <c r="G35" s="524">
        <f t="shared" si="14"/>
        <v>165292.81371486725</v>
      </c>
      <c r="H35" s="491">
        <f t="shared" si="15"/>
        <v>165292.81371486725</v>
      </c>
      <c r="I35" s="511">
        <f t="shared" si="0"/>
        <v>0</v>
      </c>
      <c r="J35" s="511"/>
      <c r="K35" s="525"/>
      <c r="L35" s="514">
        <f t="shared" si="2"/>
        <v>0</v>
      </c>
      <c r="M35" s="525"/>
      <c r="N35" s="514">
        <f t="shared" si="4"/>
        <v>0</v>
      </c>
      <c r="O35" s="514">
        <f t="shared" si="5"/>
        <v>0</v>
      </c>
      <c r="P35" s="272"/>
    </row>
    <row r="36" spans="2:16">
      <c r="B36" s="195" t="str">
        <f t="shared" si="7"/>
        <v/>
      </c>
      <c r="C36" s="507">
        <f>IF(D11="","-",+C35+1)</f>
        <v>2037</v>
      </c>
      <c r="D36" s="523">
        <f>IF(F35+SUM(E$17:E35)=D$10,F35,D$10-SUM(E$17:E35))</f>
        <v>1031678.370455337</v>
      </c>
      <c r="E36" s="522">
        <f>IF(+I14&lt;F35,I14,D36)</f>
        <v>39611.908409090916</v>
      </c>
      <c r="F36" s="523">
        <f t="shared" si="13"/>
        <v>992066.46204624604</v>
      </c>
      <c r="G36" s="524">
        <f t="shared" si="14"/>
        <v>160558.11592338624</v>
      </c>
      <c r="H36" s="491">
        <f t="shared" si="15"/>
        <v>160558.11592338624</v>
      </c>
      <c r="I36" s="511">
        <f t="shared" si="0"/>
        <v>0</v>
      </c>
      <c r="J36" s="511"/>
      <c r="K36" s="525"/>
      <c r="L36" s="514">
        <f t="shared" si="2"/>
        <v>0</v>
      </c>
      <c r="M36" s="525"/>
      <c r="N36" s="514">
        <f t="shared" si="4"/>
        <v>0</v>
      </c>
      <c r="O36" s="514">
        <f t="shared" si="5"/>
        <v>0</v>
      </c>
      <c r="P36" s="272"/>
    </row>
    <row r="37" spans="2:16">
      <c r="B37" s="195" t="str">
        <f t="shared" si="7"/>
        <v/>
      </c>
      <c r="C37" s="507">
        <f>IF(D11="","-",+C36+1)</f>
        <v>2038</v>
      </c>
      <c r="D37" s="523">
        <f>IF(F36+SUM(E$17:E36)=D$10,F36,D$10-SUM(E$17:E36))</f>
        <v>992066.46204624604</v>
      </c>
      <c r="E37" s="522">
        <f>IF(+I14&lt;F36,I14,D37)</f>
        <v>39611.908409090916</v>
      </c>
      <c r="F37" s="523">
        <f t="shared" si="13"/>
        <v>952454.5536371551</v>
      </c>
      <c r="G37" s="524">
        <f t="shared" si="14"/>
        <v>155823.41813190523</v>
      </c>
      <c r="H37" s="491">
        <f t="shared" si="15"/>
        <v>155823.41813190523</v>
      </c>
      <c r="I37" s="511">
        <f t="shared" si="0"/>
        <v>0</v>
      </c>
      <c r="J37" s="511"/>
      <c r="K37" s="525"/>
      <c r="L37" s="514">
        <f t="shared" si="2"/>
        <v>0</v>
      </c>
      <c r="M37" s="525"/>
      <c r="N37" s="514">
        <f t="shared" si="4"/>
        <v>0</v>
      </c>
      <c r="O37" s="514">
        <f t="shared" si="5"/>
        <v>0</v>
      </c>
      <c r="P37" s="272"/>
    </row>
    <row r="38" spans="2:16">
      <c r="B38" s="195" t="str">
        <f t="shared" si="7"/>
        <v/>
      </c>
      <c r="C38" s="507">
        <f>IF(D11="","-",+C37+1)</f>
        <v>2039</v>
      </c>
      <c r="D38" s="523">
        <f>IF(F37+SUM(E$17:E37)=D$10,F37,D$10-SUM(E$17:E37))</f>
        <v>952454.5536371551</v>
      </c>
      <c r="E38" s="522">
        <f>IF(+I14&lt;F37,I14,D38)</f>
        <v>39611.908409090916</v>
      </c>
      <c r="F38" s="523">
        <f t="shared" si="13"/>
        <v>912842.64522806415</v>
      </c>
      <c r="G38" s="524">
        <f t="shared" si="14"/>
        <v>151088.72034042422</v>
      </c>
      <c r="H38" s="491">
        <f t="shared" si="15"/>
        <v>151088.72034042422</v>
      </c>
      <c r="I38" s="511">
        <f t="shared" si="0"/>
        <v>0</v>
      </c>
      <c r="J38" s="511"/>
      <c r="K38" s="525"/>
      <c r="L38" s="514">
        <f t="shared" si="2"/>
        <v>0</v>
      </c>
      <c r="M38" s="525"/>
      <c r="N38" s="514">
        <f t="shared" si="4"/>
        <v>0</v>
      </c>
      <c r="O38" s="514">
        <f t="shared" si="5"/>
        <v>0</v>
      </c>
      <c r="P38" s="272"/>
    </row>
    <row r="39" spans="2:16">
      <c r="B39" s="195" t="str">
        <f t="shared" si="7"/>
        <v/>
      </c>
      <c r="C39" s="507">
        <f>IF(D11="","-",+C38+1)</f>
        <v>2040</v>
      </c>
      <c r="D39" s="523">
        <f>IF(F38+SUM(E$17:E38)=D$10,F38,D$10-SUM(E$17:E38))</f>
        <v>912842.64522806415</v>
      </c>
      <c r="E39" s="522">
        <f>IF(+I14&lt;F38,I14,D39)</f>
        <v>39611.908409090916</v>
      </c>
      <c r="F39" s="523">
        <f t="shared" si="13"/>
        <v>873230.73681897321</v>
      </c>
      <c r="G39" s="524">
        <f t="shared" si="14"/>
        <v>146354.02254894321</v>
      </c>
      <c r="H39" s="491">
        <f t="shared" si="15"/>
        <v>146354.02254894321</v>
      </c>
      <c r="I39" s="511">
        <f t="shared" si="0"/>
        <v>0</v>
      </c>
      <c r="J39" s="511"/>
      <c r="K39" s="525"/>
      <c r="L39" s="514">
        <f t="shared" si="2"/>
        <v>0</v>
      </c>
      <c r="M39" s="525"/>
      <c r="N39" s="514">
        <f t="shared" si="4"/>
        <v>0</v>
      </c>
      <c r="O39" s="514">
        <f t="shared" si="5"/>
        <v>0</v>
      </c>
      <c r="P39" s="272"/>
    </row>
    <row r="40" spans="2:16">
      <c r="B40" s="195" t="str">
        <f t="shared" si="7"/>
        <v/>
      </c>
      <c r="C40" s="507">
        <f>IF(D11="","-",+C39+1)</f>
        <v>2041</v>
      </c>
      <c r="D40" s="523">
        <f>IF(F39+SUM(E$17:E39)=D$10,F39,D$10-SUM(E$17:E39))</f>
        <v>873230.73681897321</v>
      </c>
      <c r="E40" s="522">
        <f>IF(+I14&lt;F39,I14,D40)</f>
        <v>39611.908409090916</v>
      </c>
      <c r="F40" s="523">
        <f t="shared" si="13"/>
        <v>833618.82840988226</v>
      </c>
      <c r="G40" s="524">
        <f t="shared" si="14"/>
        <v>141619.32475746219</v>
      </c>
      <c r="H40" s="491">
        <f t="shared" si="15"/>
        <v>141619.32475746219</v>
      </c>
      <c r="I40" s="511">
        <f t="shared" si="0"/>
        <v>0</v>
      </c>
      <c r="J40" s="511"/>
      <c r="K40" s="525"/>
      <c r="L40" s="514">
        <f t="shared" si="2"/>
        <v>0</v>
      </c>
      <c r="M40" s="525"/>
      <c r="N40" s="514">
        <f t="shared" si="4"/>
        <v>0</v>
      </c>
      <c r="O40" s="514">
        <f t="shared" si="5"/>
        <v>0</v>
      </c>
      <c r="P40" s="272"/>
    </row>
    <row r="41" spans="2:16">
      <c r="B41" s="195" t="str">
        <f t="shared" si="7"/>
        <v/>
      </c>
      <c r="C41" s="507">
        <f>IF(D11="","-",+C40+1)</f>
        <v>2042</v>
      </c>
      <c r="D41" s="523">
        <f>IF(F40+SUM(E$17:E40)=D$10,F40,D$10-SUM(E$17:E40))</f>
        <v>833618.82840988226</v>
      </c>
      <c r="E41" s="522">
        <f>IF(+I14&lt;F40,I14,D41)</f>
        <v>39611.908409090916</v>
      </c>
      <c r="F41" s="523">
        <f t="shared" si="13"/>
        <v>794006.92000079132</v>
      </c>
      <c r="G41" s="524">
        <f t="shared" si="14"/>
        <v>136884.62696598121</v>
      </c>
      <c r="H41" s="491">
        <f t="shared" si="15"/>
        <v>136884.62696598121</v>
      </c>
      <c r="I41" s="511">
        <f t="shared" si="0"/>
        <v>0</v>
      </c>
      <c r="J41" s="511"/>
      <c r="K41" s="525"/>
      <c r="L41" s="514">
        <f t="shared" si="2"/>
        <v>0</v>
      </c>
      <c r="M41" s="525"/>
      <c r="N41" s="514">
        <f t="shared" si="4"/>
        <v>0</v>
      </c>
      <c r="O41" s="514">
        <f t="shared" si="5"/>
        <v>0</v>
      </c>
      <c r="P41" s="272"/>
    </row>
    <row r="42" spans="2:16">
      <c r="B42" s="195" t="str">
        <f t="shared" si="7"/>
        <v/>
      </c>
      <c r="C42" s="507">
        <f>IF(D11="","-",+C41+1)</f>
        <v>2043</v>
      </c>
      <c r="D42" s="523">
        <f>IF(F41+SUM(E$17:E41)=D$10,F41,D$10-SUM(E$17:E41))</f>
        <v>794006.92000079132</v>
      </c>
      <c r="E42" s="522">
        <f>IF(+I14&lt;F41,I14,D42)</f>
        <v>39611.908409090916</v>
      </c>
      <c r="F42" s="523">
        <f t="shared" si="13"/>
        <v>754395.01159170037</v>
      </c>
      <c r="G42" s="524">
        <f t="shared" si="14"/>
        <v>132149.92917450017</v>
      </c>
      <c r="H42" s="491">
        <f t="shared" si="15"/>
        <v>132149.92917450017</v>
      </c>
      <c r="I42" s="511">
        <f t="shared" si="0"/>
        <v>0</v>
      </c>
      <c r="J42" s="511"/>
      <c r="K42" s="525"/>
      <c r="L42" s="514">
        <f t="shared" si="2"/>
        <v>0</v>
      </c>
      <c r="M42" s="525"/>
      <c r="N42" s="514">
        <f t="shared" si="4"/>
        <v>0</v>
      </c>
      <c r="O42" s="514">
        <f t="shared" si="5"/>
        <v>0</v>
      </c>
      <c r="P42" s="272"/>
    </row>
    <row r="43" spans="2:16">
      <c r="B43" s="195" t="str">
        <f t="shared" si="7"/>
        <v/>
      </c>
      <c r="C43" s="507">
        <f>IF(D11="","-",+C42+1)</f>
        <v>2044</v>
      </c>
      <c r="D43" s="523">
        <f>IF(F42+SUM(E$17:E42)=D$10,F42,D$10-SUM(E$17:E42))</f>
        <v>754395.01159170037</v>
      </c>
      <c r="E43" s="522">
        <f>IF(+I14&lt;F42,I14,D43)</f>
        <v>39611.908409090916</v>
      </c>
      <c r="F43" s="523">
        <f t="shared" si="13"/>
        <v>714783.10318260943</v>
      </c>
      <c r="G43" s="524">
        <f t="shared" si="14"/>
        <v>127415.23138301919</v>
      </c>
      <c r="H43" s="491">
        <f t="shared" si="15"/>
        <v>127415.23138301919</v>
      </c>
      <c r="I43" s="511">
        <f t="shared" si="0"/>
        <v>0</v>
      </c>
      <c r="J43" s="511"/>
      <c r="K43" s="525"/>
      <c r="L43" s="514">
        <f t="shared" si="2"/>
        <v>0</v>
      </c>
      <c r="M43" s="525"/>
      <c r="N43" s="514">
        <f t="shared" si="4"/>
        <v>0</v>
      </c>
      <c r="O43" s="514">
        <f t="shared" si="5"/>
        <v>0</v>
      </c>
      <c r="P43" s="272"/>
    </row>
    <row r="44" spans="2:16">
      <c r="B44" s="195" t="str">
        <f t="shared" si="7"/>
        <v/>
      </c>
      <c r="C44" s="507">
        <f>IF(D11="","-",+C43+1)</f>
        <v>2045</v>
      </c>
      <c r="D44" s="523">
        <f>IF(F43+SUM(E$17:E43)=D$10,F43,D$10-SUM(E$17:E43))</f>
        <v>714783.10318260943</v>
      </c>
      <c r="E44" s="522">
        <f>IF(+I14&lt;F43,I14,D44)</f>
        <v>39611.908409090916</v>
      </c>
      <c r="F44" s="523">
        <f t="shared" si="13"/>
        <v>675171.19477351848</v>
      </c>
      <c r="G44" s="524">
        <f t="shared" si="14"/>
        <v>122680.53359153817</v>
      </c>
      <c r="H44" s="491">
        <f t="shared" si="15"/>
        <v>122680.53359153817</v>
      </c>
      <c r="I44" s="511">
        <f t="shared" si="0"/>
        <v>0</v>
      </c>
      <c r="J44" s="511"/>
      <c r="K44" s="525"/>
      <c r="L44" s="514">
        <f t="shared" si="2"/>
        <v>0</v>
      </c>
      <c r="M44" s="525"/>
      <c r="N44" s="514">
        <f t="shared" si="4"/>
        <v>0</v>
      </c>
      <c r="O44" s="514">
        <f t="shared" si="5"/>
        <v>0</v>
      </c>
      <c r="P44" s="272"/>
    </row>
    <row r="45" spans="2:16">
      <c r="B45" s="195" t="str">
        <f t="shared" si="7"/>
        <v/>
      </c>
      <c r="C45" s="507">
        <f>IF(D11="","-",+C44+1)</f>
        <v>2046</v>
      </c>
      <c r="D45" s="523">
        <f>IF(F44+SUM(E$17:E44)=D$10,F44,D$10-SUM(E$17:E44))</f>
        <v>675171.19477351848</v>
      </c>
      <c r="E45" s="522">
        <f>IF(+I14&lt;F44,I14,D45)</f>
        <v>39611.908409090916</v>
      </c>
      <c r="F45" s="523">
        <f t="shared" si="13"/>
        <v>635559.28636442753</v>
      </c>
      <c r="G45" s="524">
        <f t="shared" si="14"/>
        <v>117945.83580005716</v>
      </c>
      <c r="H45" s="491">
        <f t="shared" si="15"/>
        <v>117945.83580005716</v>
      </c>
      <c r="I45" s="511">
        <f t="shared" si="0"/>
        <v>0</v>
      </c>
      <c r="J45" s="511"/>
      <c r="K45" s="525"/>
      <c r="L45" s="514">
        <f t="shared" si="2"/>
        <v>0</v>
      </c>
      <c r="M45" s="525"/>
      <c r="N45" s="514">
        <f t="shared" si="4"/>
        <v>0</v>
      </c>
      <c r="O45" s="514">
        <f t="shared" si="5"/>
        <v>0</v>
      </c>
      <c r="P45" s="272"/>
    </row>
    <row r="46" spans="2:16">
      <c r="B46" s="195" t="str">
        <f t="shared" si="7"/>
        <v/>
      </c>
      <c r="C46" s="507">
        <f>IF(D11="","-",+C45+1)</f>
        <v>2047</v>
      </c>
      <c r="D46" s="523">
        <f>IF(F45+SUM(E$17:E45)=D$10,F45,D$10-SUM(E$17:E45))</f>
        <v>635559.28636442753</v>
      </c>
      <c r="E46" s="522">
        <f>IF(+I14&lt;F45,I14,D46)</f>
        <v>39611.908409090916</v>
      </c>
      <c r="F46" s="523">
        <f t="shared" si="13"/>
        <v>595947.37795533659</v>
      </c>
      <c r="G46" s="524">
        <f t="shared" si="14"/>
        <v>113211.13800857616</v>
      </c>
      <c r="H46" s="491">
        <f t="shared" si="15"/>
        <v>113211.13800857616</v>
      </c>
      <c r="I46" s="511">
        <f t="shared" si="0"/>
        <v>0</v>
      </c>
      <c r="J46" s="511"/>
      <c r="K46" s="525"/>
      <c r="L46" s="514">
        <f t="shared" si="2"/>
        <v>0</v>
      </c>
      <c r="M46" s="525"/>
      <c r="N46" s="514">
        <f t="shared" si="4"/>
        <v>0</v>
      </c>
      <c r="O46" s="514">
        <f t="shared" si="5"/>
        <v>0</v>
      </c>
      <c r="P46" s="272"/>
    </row>
    <row r="47" spans="2:16">
      <c r="B47" s="195" t="str">
        <f t="shared" si="7"/>
        <v/>
      </c>
      <c r="C47" s="507">
        <f>IF(D11="","-",+C46+1)</f>
        <v>2048</v>
      </c>
      <c r="D47" s="523">
        <f>IF(F46+SUM(E$17:E46)=D$10,F46,D$10-SUM(E$17:E46))</f>
        <v>595947.37795533659</v>
      </c>
      <c r="E47" s="522">
        <f>IF(+I14&lt;F46,I14,D47)</f>
        <v>39611.908409090916</v>
      </c>
      <c r="F47" s="523">
        <f t="shared" si="13"/>
        <v>556335.46954624564</v>
      </c>
      <c r="G47" s="524">
        <f t="shared" si="14"/>
        <v>108476.44021709515</v>
      </c>
      <c r="H47" s="491">
        <f t="shared" si="15"/>
        <v>108476.44021709515</v>
      </c>
      <c r="I47" s="511">
        <f t="shared" si="0"/>
        <v>0</v>
      </c>
      <c r="J47" s="511"/>
      <c r="K47" s="525"/>
      <c r="L47" s="514">
        <f t="shared" si="2"/>
        <v>0</v>
      </c>
      <c r="M47" s="525"/>
      <c r="N47" s="514">
        <f t="shared" si="4"/>
        <v>0</v>
      </c>
      <c r="O47" s="514">
        <f t="shared" si="5"/>
        <v>0</v>
      </c>
      <c r="P47" s="272"/>
    </row>
    <row r="48" spans="2:16">
      <c r="B48" s="195" t="str">
        <f t="shared" si="7"/>
        <v/>
      </c>
      <c r="C48" s="507">
        <f>IF(D11="","-",+C47+1)</f>
        <v>2049</v>
      </c>
      <c r="D48" s="523">
        <f>IF(F47+SUM(E$17:E47)=D$10,F47,D$10-SUM(E$17:E47))</f>
        <v>556335.46954624564</v>
      </c>
      <c r="E48" s="522">
        <f>IF(+I14&lt;F47,I14,D48)</f>
        <v>39611.908409090916</v>
      </c>
      <c r="F48" s="523">
        <f t="shared" si="13"/>
        <v>516723.5611371547</v>
      </c>
      <c r="G48" s="524">
        <f t="shared" si="14"/>
        <v>103741.74242561415</v>
      </c>
      <c r="H48" s="491">
        <f t="shared" si="15"/>
        <v>103741.74242561415</v>
      </c>
      <c r="I48" s="511">
        <f t="shared" si="0"/>
        <v>0</v>
      </c>
      <c r="J48" s="511"/>
      <c r="K48" s="525"/>
      <c r="L48" s="514">
        <f t="shared" si="2"/>
        <v>0</v>
      </c>
      <c r="M48" s="525"/>
      <c r="N48" s="514">
        <f t="shared" si="4"/>
        <v>0</v>
      </c>
      <c r="O48" s="514">
        <f t="shared" si="5"/>
        <v>0</v>
      </c>
      <c r="P48" s="272"/>
    </row>
    <row r="49" spans="2:16">
      <c r="B49" s="195" t="str">
        <f t="shared" si="7"/>
        <v/>
      </c>
      <c r="C49" s="507">
        <f>IF(D11="","-",+C48+1)</f>
        <v>2050</v>
      </c>
      <c r="D49" s="523">
        <f>IF(F48+SUM(E$17:E48)=D$10,F48,D$10-SUM(E$17:E48))</f>
        <v>516723.5611371547</v>
      </c>
      <c r="E49" s="522">
        <f>IF(+I14&lt;F48,I14,D49)</f>
        <v>39611.908409090916</v>
      </c>
      <c r="F49" s="523">
        <f t="shared" si="13"/>
        <v>477111.65272806375</v>
      </c>
      <c r="G49" s="524">
        <f t="shared" si="14"/>
        <v>99007.044634133141</v>
      </c>
      <c r="H49" s="491">
        <f t="shared" si="15"/>
        <v>99007.044634133141</v>
      </c>
      <c r="I49" s="511">
        <f t="shared" si="0"/>
        <v>0</v>
      </c>
      <c r="J49" s="511"/>
      <c r="K49" s="525"/>
      <c r="L49" s="514">
        <f t="shared" si="2"/>
        <v>0</v>
      </c>
      <c r="M49" s="525"/>
      <c r="N49" s="514">
        <f t="shared" si="4"/>
        <v>0</v>
      </c>
      <c r="O49" s="514">
        <f t="shared" si="5"/>
        <v>0</v>
      </c>
      <c r="P49" s="272"/>
    </row>
    <row r="50" spans="2:16">
      <c r="B50" s="195" t="str">
        <f t="shared" si="7"/>
        <v/>
      </c>
      <c r="C50" s="507">
        <f>IF(D11="","-",+C49+1)</f>
        <v>2051</v>
      </c>
      <c r="D50" s="523">
        <f>IF(F49+SUM(E$17:E49)=D$10,F49,D$10-SUM(E$17:E49))</f>
        <v>477111.65272806375</v>
      </c>
      <c r="E50" s="522">
        <f>IF(+I14&lt;F49,I14,D50)</f>
        <v>39611.908409090916</v>
      </c>
      <c r="F50" s="523">
        <f t="shared" si="13"/>
        <v>437499.74431897281</v>
      </c>
      <c r="G50" s="524">
        <f t="shared" si="14"/>
        <v>94272.346842652129</v>
      </c>
      <c r="H50" s="491">
        <f t="shared" si="15"/>
        <v>94272.346842652129</v>
      </c>
      <c r="I50" s="511">
        <f t="shared" si="0"/>
        <v>0</v>
      </c>
      <c r="J50" s="511"/>
      <c r="K50" s="525"/>
      <c r="L50" s="514">
        <f t="shared" si="2"/>
        <v>0</v>
      </c>
      <c r="M50" s="525"/>
      <c r="N50" s="514">
        <f t="shared" si="4"/>
        <v>0</v>
      </c>
      <c r="O50" s="514">
        <f t="shared" si="5"/>
        <v>0</v>
      </c>
      <c r="P50" s="272"/>
    </row>
    <row r="51" spans="2:16">
      <c r="B51" s="195" t="str">
        <f t="shared" si="7"/>
        <v/>
      </c>
      <c r="C51" s="507">
        <f>IF(D11="","-",+C50+1)</f>
        <v>2052</v>
      </c>
      <c r="D51" s="523">
        <f>IF(F50+SUM(E$17:E50)=D$10,F50,D$10-SUM(E$17:E50))</f>
        <v>437499.74431897281</v>
      </c>
      <c r="E51" s="522">
        <f>IF(+I14&lt;F50,I14,D51)</f>
        <v>39611.908409090916</v>
      </c>
      <c r="F51" s="523">
        <f t="shared" si="13"/>
        <v>397887.83590988186</v>
      </c>
      <c r="G51" s="524">
        <f t="shared" si="14"/>
        <v>89537.649051171116</v>
      </c>
      <c r="H51" s="491">
        <f t="shared" si="15"/>
        <v>89537.649051171116</v>
      </c>
      <c r="I51" s="511">
        <f t="shared" si="0"/>
        <v>0</v>
      </c>
      <c r="J51" s="511"/>
      <c r="K51" s="525"/>
      <c r="L51" s="514">
        <f t="shared" si="2"/>
        <v>0</v>
      </c>
      <c r="M51" s="525"/>
      <c r="N51" s="514">
        <f t="shared" si="4"/>
        <v>0</v>
      </c>
      <c r="O51" s="514">
        <f t="shared" si="5"/>
        <v>0</v>
      </c>
      <c r="P51" s="272"/>
    </row>
    <row r="52" spans="2:16">
      <c r="B52" s="195" t="str">
        <f t="shared" si="7"/>
        <v/>
      </c>
      <c r="C52" s="507">
        <f>IF(D11="","-",+C51+1)</f>
        <v>2053</v>
      </c>
      <c r="D52" s="523">
        <f>IF(F51+SUM(E$17:E51)=D$10,F51,D$10-SUM(E$17:E51))</f>
        <v>397887.83590988186</v>
      </c>
      <c r="E52" s="522">
        <f>IF(+I14&lt;F51,I14,D52)</f>
        <v>39611.908409090916</v>
      </c>
      <c r="F52" s="523">
        <f t="shared" si="13"/>
        <v>358275.92750079092</v>
      </c>
      <c r="G52" s="524">
        <f t="shared" si="14"/>
        <v>84802.951259690104</v>
      </c>
      <c r="H52" s="491">
        <f t="shared" si="15"/>
        <v>84802.951259690104</v>
      </c>
      <c r="I52" s="511">
        <f t="shared" si="0"/>
        <v>0</v>
      </c>
      <c r="J52" s="511"/>
      <c r="K52" s="525"/>
      <c r="L52" s="514">
        <f t="shared" si="2"/>
        <v>0</v>
      </c>
      <c r="M52" s="525"/>
      <c r="N52" s="514">
        <f t="shared" si="4"/>
        <v>0</v>
      </c>
      <c r="O52" s="514">
        <f t="shared" si="5"/>
        <v>0</v>
      </c>
      <c r="P52" s="272"/>
    </row>
    <row r="53" spans="2:16">
      <c r="B53" s="195" t="str">
        <f t="shared" si="7"/>
        <v/>
      </c>
      <c r="C53" s="507">
        <f>IF(D11="","-",+C52+1)</f>
        <v>2054</v>
      </c>
      <c r="D53" s="523">
        <f>IF(F52+SUM(E$17:E52)=D$10,F52,D$10-SUM(E$17:E52))</f>
        <v>358275.92750079092</v>
      </c>
      <c r="E53" s="522">
        <f>IF(+I14&lt;F52,I14,D53)</f>
        <v>39611.908409090916</v>
      </c>
      <c r="F53" s="523">
        <f t="shared" si="13"/>
        <v>318664.01909169997</v>
      </c>
      <c r="G53" s="524">
        <f t="shared" si="14"/>
        <v>80068.253468209106</v>
      </c>
      <c r="H53" s="491">
        <f t="shared" si="15"/>
        <v>80068.253468209106</v>
      </c>
      <c r="I53" s="511">
        <f t="shared" si="0"/>
        <v>0</v>
      </c>
      <c r="J53" s="511"/>
      <c r="K53" s="525"/>
      <c r="L53" s="514">
        <f t="shared" si="2"/>
        <v>0</v>
      </c>
      <c r="M53" s="525"/>
      <c r="N53" s="514">
        <f t="shared" si="4"/>
        <v>0</v>
      </c>
      <c r="O53" s="514">
        <f t="shared" si="5"/>
        <v>0</v>
      </c>
      <c r="P53" s="272"/>
    </row>
    <row r="54" spans="2:16">
      <c r="B54" s="195" t="str">
        <f t="shared" si="7"/>
        <v/>
      </c>
      <c r="C54" s="507">
        <f>IF(D11="","-",+C53+1)</f>
        <v>2055</v>
      </c>
      <c r="D54" s="523">
        <f>IF(F53+SUM(E$17:E53)=D$10,F53,D$10-SUM(E$17:E53))</f>
        <v>318664.01909169997</v>
      </c>
      <c r="E54" s="522">
        <f>IF(+I14&lt;F53,I14,D54)</f>
        <v>39611.908409090916</v>
      </c>
      <c r="F54" s="523">
        <f t="shared" si="13"/>
        <v>279052.11068260903</v>
      </c>
      <c r="G54" s="524">
        <f t="shared" si="14"/>
        <v>75333.555676728109</v>
      </c>
      <c r="H54" s="491">
        <f t="shared" si="15"/>
        <v>75333.555676728109</v>
      </c>
      <c r="I54" s="511">
        <f t="shared" si="0"/>
        <v>0</v>
      </c>
      <c r="J54" s="511"/>
      <c r="K54" s="525"/>
      <c r="L54" s="514">
        <f t="shared" si="2"/>
        <v>0</v>
      </c>
      <c r="M54" s="525"/>
      <c r="N54" s="514">
        <f t="shared" si="4"/>
        <v>0</v>
      </c>
      <c r="O54" s="514">
        <f t="shared" si="5"/>
        <v>0</v>
      </c>
      <c r="P54" s="272"/>
    </row>
    <row r="55" spans="2:16">
      <c r="B55" s="195" t="str">
        <f t="shared" si="7"/>
        <v/>
      </c>
      <c r="C55" s="507">
        <f>IF(D11="","-",+C54+1)</f>
        <v>2056</v>
      </c>
      <c r="D55" s="523">
        <f>IF(F54+SUM(E$17:E54)=D$10,F54,D$10-SUM(E$17:E54))</f>
        <v>279052.11068260903</v>
      </c>
      <c r="E55" s="522">
        <f>IF(+I14&lt;F54,I14,D55)</f>
        <v>39611.908409090916</v>
      </c>
      <c r="F55" s="523">
        <f t="shared" si="13"/>
        <v>239440.20227351811</v>
      </c>
      <c r="G55" s="524">
        <f t="shared" si="14"/>
        <v>70598.857885247096</v>
      </c>
      <c r="H55" s="491">
        <f t="shared" si="15"/>
        <v>70598.857885247096</v>
      </c>
      <c r="I55" s="511">
        <f t="shared" si="0"/>
        <v>0</v>
      </c>
      <c r="J55" s="511"/>
      <c r="K55" s="525"/>
      <c r="L55" s="514">
        <f t="shared" si="2"/>
        <v>0</v>
      </c>
      <c r="M55" s="525"/>
      <c r="N55" s="514">
        <f t="shared" si="4"/>
        <v>0</v>
      </c>
      <c r="O55" s="514">
        <f t="shared" si="5"/>
        <v>0</v>
      </c>
      <c r="P55" s="272"/>
    </row>
    <row r="56" spans="2:16">
      <c r="B56" s="195" t="str">
        <f t="shared" si="7"/>
        <v/>
      </c>
      <c r="C56" s="507">
        <f>IF(D11="","-",+C55+1)</f>
        <v>2057</v>
      </c>
      <c r="D56" s="523">
        <f>IF(F55+SUM(E$17:E55)=D$10,F55,D$10-SUM(E$17:E55))</f>
        <v>239440.20227351811</v>
      </c>
      <c r="E56" s="522">
        <f>IF(+I14&lt;F55,I14,D56)</f>
        <v>39611.908409090916</v>
      </c>
      <c r="F56" s="523">
        <f t="shared" si="13"/>
        <v>199828.29386442719</v>
      </c>
      <c r="G56" s="524">
        <f t="shared" si="14"/>
        <v>65864.160093766084</v>
      </c>
      <c r="H56" s="491">
        <f t="shared" si="15"/>
        <v>65864.160093766084</v>
      </c>
      <c r="I56" s="511">
        <f t="shared" si="0"/>
        <v>0</v>
      </c>
      <c r="J56" s="511"/>
      <c r="K56" s="525"/>
      <c r="L56" s="514">
        <f t="shared" si="2"/>
        <v>0</v>
      </c>
      <c r="M56" s="525"/>
      <c r="N56" s="514">
        <f t="shared" si="4"/>
        <v>0</v>
      </c>
      <c r="O56" s="514">
        <f t="shared" si="5"/>
        <v>0</v>
      </c>
      <c r="P56" s="272"/>
    </row>
    <row r="57" spans="2:16">
      <c r="B57" s="195" t="str">
        <f t="shared" si="7"/>
        <v/>
      </c>
      <c r="C57" s="507">
        <f>IF(D11="","-",+C56+1)</f>
        <v>2058</v>
      </c>
      <c r="D57" s="523">
        <f>IF(F56+SUM(E$17:E56)=D$10,F56,D$10-SUM(E$17:E56))</f>
        <v>199828.29386442719</v>
      </c>
      <c r="E57" s="522">
        <f>IF(+I14&lt;F56,I14,D57)</f>
        <v>39611.908409090916</v>
      </c>
      <c r="F57" s="523">
        <f t="shared" si="13"/>
        <v>160216.38545533628</v>
      </c>
      <c r="G57" s="524">
        <f t="shared" si="14"/>
        <v>61129.462302285086</v>
      </c>
      <c r="H57" s="491">
        <f t="shared" si="15"/>
        <v>61129.462302285086</v>
      </c>
      <c r="I57" s="511">
        <f t="shared" si="0"/>
        <v>0</v>
      </c>
      <c r="J57" s="511"/>
      <c r="K57" s="525"/>
      <c r="L57" s="514">
        <f t="shared" si="2"/>
        <v>0</v>
      </c>
      <c r="M57" s="525"/>
      <c r="N57" s="514">
        <f t="shared" si="4"/>
        <v>0</v>
      </c>
      <c r="O57" s="514">
        <f t="shared" si="5"/>
        <v>0</v>
      </c>
      <c r="P57" s="272"/>
    </row>
    <row r="58" spans="2:16">
      <c r="B58" s="195" t="str">
        <f t="shared" si="7"/>
        <v/>
      </c>
      <c r="C58" s="507">
        <f>IF(D11="","-",+C57+1)</f>
        <v>2059</v>
      </c>
      <c r="D58" s="523">
        <f>IF(F57+SUM(E$17:E57)=D$10,F57,D$10-SUM(E$17:E57))</f>
        <v>160216.38545533628</v>
      </c>
      <c r="E58" s="522">
        <f>IF(+I14&lt;F57,I14,D58)</f>
        <v>39611.908409090916</v>
      </c>
      <c r="F58" s="523">
        <f t="shared" si="13"/>
        <v>120604.47704624536</v>
      </c>
      <c r="G58" s="524">
        <f t="shared" si="14"/>
        <v>56394.764510804089</v>
      </c>
      <c r="H58" s="491">
        <f t="shared" si="15"/>
        <v>56394.764510804089</v>
      </c>
      <c r="I58" s="511">
        <f t="shared" si="0"/>
        <v>0</v>
      </c>
      <c r="J58" s="511"/>
      <c r="K58" s="525"/>
      <c r="L58" s="514">
        <f t="shared" si="2"/>
        <v>0</v>
      </c>
      <c r="M58" s="525"/>
      <c r="N58" s="514">
        <f t="shared" si="4"/>
        <v>0</v>
      </c>
      <c r="O58" s="514">
        <f t="shared" si="5"/>
        <v>0</v>
      </c>
      <c r="P58" s="272"/>
    </row>
    <row r="59" spans="2:16">
      <c r="B59" s="195" t="str">
        <f t="shared" si="7"/>
        <v/>
      </c>
      <c r="C59" s="507">
        <f>IF(D11="","-",+C58+1)</f>
        <v>2060</v>
      </c>
      <c r="D59" s="523">
        <f>IF(F58+SUM(E$17:E58)=D$10,F58,D$10-SUM(E$17:E58))</f>
        <v>120604.47704624536</v>
      </c>
      <c r="E59" s="522">
        <f>IF(+I14&lt;F58,I14,D59)</f>
        <v>39611.908409090916</v>
      </c>
      <c r="F59" s="523">
        <f t="shared" si="13"/>
        <v>80992.568637154443</v>
      </c>
      <c r="G59" s="524">
        <f t="shared" si="14"/>
        <v>51660.066719323077</v>
      </c>
      <c r="H59" s="491">
        <f t="shared" si="15"/>
        <v>51660.066719323077</v>
      </c>
      <c r="I59" s="511">
        <f t="shared" si="0"/>
        <v>0</v>
      </c>
      <c r="J59" s="511"/>
      <c r="K59" s="525"/>
      <c r="L59" s="514">
        <f t="shared" si="2"/>
        <v>0</v>
      </c>
      <c r="M59" s="525"/>
      <c r="N59" s="514">
        <f t="shared" si="4"/>
        <v>0</v>
      </c>
      <c r="O59" s="514">
        <f t="shared" si="5"/>
        <v>0</v>
      </c>
      <c r="P59" s="272"/>
    </row>
    <row r="60" spans="2:16">
      <c r="B60" s="195" t="str">
        <f t="shared" si="7"/>
        <v/>
      </c>
      <c r="C60" s="507">
        <f>IF(D11="","-",+C59+1)</f>
        <v>2061</v>
      </c>
      <c r="D60" s="523">
        <f>IF(F59+SUM(E$17:E59)=D$10,F59,D$10-SUM(E$17:E59))</f>
        <v>80992.568637154443</v>
      </c>
      <c r="E60" s="522">
        <f>IF(+I14&lt;F59,I14,D60)</f>
        <v>39611.908409090916</v>
      </c>
      <c r="F60" s="523">
        <f t="shared" si="13"/>
        <v>41380.660228063527</v>
      </c>
      <c r="G60" s="524">
        <f t="shared" si="14"/>
        <v>46925.368927842079</v>
      </c>
      <c r="H60" s="491">
        <f t="shared" si="15"/>
        <v>46925.368927842079</v>
      </c>
      <c r="I60" s="511">
        <f t="shared" si="0"/>
        <v>0</v>
      </c>
      <c r="J60" s="511"/>
      <c r="K60" s="525"/>
      <c r="L60" s="514">
        <f t="shared" si="2"/>
        <v>0</v>
      </c>
      <c r="M60" s="525"/>
      <c r="N60" s="514">
        <f t="shared" si="4"/>
        <v>0</v>
      </c>
      <c r="O60" s="514">
        <f t="shared" si="5"/>
        <v>0</v>
      </c>
      <c r="P60" s="272"/>
    </row>
    <row r="61" spans="2:16">
      <c r="B61" s="195" t="str">
        <f t="shared" si="7"/>
        <v/>
      </c>
      <c r="C61" s="507">
        <f>IF(D11="","-",+C60+1)</f>
        <v>2062</v>
      </c>
      <c r="D61" s="523">
        <f>IF(F60+SUM(E$17:E60)=D$10,F60,D$10-SUM(E$17:E60))</f>
        <v>41380.660228063527</v>
      </c>
      <c r="E61" s="522">
        <f>IF(+I14&lt;F60,I14,D61)</f>
        <v>39611.908409090916</v>
      </c>
      <c r="F61" s="523">
        <f t="shared" si="13"/>
        <v>1768.7518189726106</v>
      </c>
      <c r="G61" s="526">
        <f t="shared" si="14"/>
        <v>42190.671136361074</v>
      </c>
      <c r="H61" s="491">
        <f t="shared" si="15"/>
        <v>42190.671136361074</v>
      </c>
      <c r="I61" s="511">
        <f t="shared" si="0"/>
        <v>0</v>
      </c>
      <c r="J61" s="511"/>
      <c r="K61" s="525"/>
      <c r="L61" s="514">
        <f t="shared" si="2"/>
        <v>0</v>
      </c>
      <c r="M61" s="525"/>
      <c r="N61" s="514">
        <f t="shared" si="4"/>
        <v>0</v>
      </c>
      <c r="O61" s="514">
        <f t="shared" si="5"/>
        <v>0</v>
      </c>
      <c r="P61" s="272"/>
    </row>
    <row r="62" spans="2:16">
      <c r="B62" s="195" t="str">
        <f t="shared" si="7"/>
        <v/>
      </c>
      <c r="C62" s="507">
        <f>IF(D11="","-",+C61+1)</f>
        <v>2063</v>
      </c>
      <c r="D62" s="523">
        <f>IF(F61+SUM(E$17:E61)=D$10,F61,D$10-SUM(E$17:E61))</f>
        <v>1768.7518189726106</v>
      </c>
      <c r="E62" s="522">
        <f>IF(+I14&lt;F61,I14,D62)</f>
        <v>1768.7518189726106</v>
      </c>
      <c r="F62" s="523">
        <f t="shared" si="13"/>
        <v>0</v>
      </c>
      <c r="G62" s="526">
        <f t="shared" si="14"/>
        <v>1874.4587347374377</v>
      </c>
      <c r="H62" s="491">
        <f t="shared" si="15"/>
        <v>1874.4587347374377</v>
      </c>
      <c r="I62" s="511">
        <f t="shared" si="0"/>
        <v>0</v>
      </c>
      <c r="J62" s="511"/>
      <c r="K62" s="525"/>
      <c r="L62" s="514">
        <f t="shared" si="2"/>
        <v>0</v>
      </c>
      <c r="M62" s="525"/>
      <c r="N62" s="514">
        <f t="shared" si="4"/>
        <v>0</v>
      </c>
      <c r="O62" s="514">
        <f t="shared" si="5"/>
        <v>0</v>
      </c>
      <c r="P62" s="272"/>
    </row>
    <row r="63" spans="2:16">
      <c r="B63" s="195" t="str">
        <f t="shared" si="7"/>
        <v/>
      </c>
      <c r="C63" s="507">
        <f>IF(D11="","-",+C62+1)</f>
        <v>2064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13"/>
        <v>0</v>
      </c>
      <c r="G63" s="526">
        <f t="shared" si="14"/>
        <v>0</v>
      </c>
      <c r="H63" s="491">
        <f t="shared" si="15"/>
        <v>0</v>
      </c>
      <c r="I63" s="511">
        <f t="shared" si="0"/>
        <v>0</v>
      </c>
      <c r="J63" s="511"/>
      <c r="K63" s="525"/>
      <c r="L63" s="514">
        <f t="shared" si="2"/>
        <v>0</v>
      </c>
      <c r="M63" s="525"/>
      <c r="N63" s="514">
        <f t="shared" si="4"/>
        <v>0</v>
      </c>
      <c r="O63" s="514">
        <f t="shared" si="5"/>
        <v>0</v>
      </c>
      <c r="P63" s="272"/>
    </row>
    <row r="64" spans="2:16">
      <c r="B64" s="195" t="str">
        <f t="shared" si="7"/>
        <v/>
      </c>
      <c r="C64" s="507">
        <f>IF(D11="","-",+C63+1)</f>
        <v>2065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13"/>
        <v>0</v>
      </c>
      <c r="G64" s="526">
        <f t="shared" si="14"/>
        <v>0</v>
      </c>
      <c r="H64" s="491">
        <f t="shared" si="15"/>
        <v>0</v>
      </c>
      <c r="I64" s="511">
        <f t="shared" si="0"/>
        <v>0</v>
      </c>
      <c r="J64" s="511"/>
      <c r="K64" s="525"/>
      <c r="L64" s="514">
        <f t="shared" si="2"/>
        <v>0</v>
      </c>
      <c r="M64" s="525"/>
      <c r="N64" s="514">
        <f t="shared" si="4"/>
        <v>0</v>
      </c>
      <c r="O64" s="514">
        <f t="shared" si="5"/>
        <v>0</v>
      </c>
      <c r="P64" s="272"/>
    </row>
    <row r="65" spans="2:16">
      <c r="B65" s="195" t="str">
        <f t="shared" si="7"/>
        <v/>
      </c>
      <c r="C65" s="507">
        <f>IF(D11="","-",+C64+1)</f>
        <v>2066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13"/>
        <v>0</v>
      </c>
      <c r="G65" s="526">
        <f t="shared" si="14"/>
        <v>0</v>
      </c>
      <c r="H65" s="491">
        <f t="shared" si="15"/>
        <v>0</v>
      </c>
      <c r="I65" s="511">
        <f t="shared" si="0"/>
        <v>0</v>
      </c>
      <c r="J65" s="511"/>
      <c r="K65" s="525"/>
      <c r="L65" s="514">
        <f t="shared" si="2"/>
        <v>0</v>
      </c>
      <c r="M65" s="525"/>
      <c r="N65" s="514">
        <f t="shared" si="4"/>
        <v>0</v>
      </c>
      <c r="O65" s="514">
        <f t="shared" si="5"/>
        <v>0</v>
      </c>
      <c r="P65" s="272"/>
    </row>
    <row r="66" spans="2:16">
      <c r="B66" s="195" t="str">
        <f t="shared" si="7"/>
        <v/>
      </c>
      <c r="C66" s="507">
        <f>IF(D11="","-",+C65+1)</f>
        <v>2067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13"/>
        <v>0</v>
      </c>
      <c r="G66" s="526">
        <f t="shared" si="14"/>
        <v>0</v>
      </c>
      <c r="H66" s="491">
        <f t="shared" si="15"/>
        <v>0</v>
      </c>
      <c r="I66" s="511">
        <f t="shared" si="0"/>
        <v>0</v>
      </c>
      <c r="J66" s="511"/>
      <c r="K66" s="525"/>
      <c r="L66" s="514">
        <f t="shared" si="2"/>
        <v>0</v>
      </c>
      <c r="M66" s="525"/>
      <c r="N66" s="514">
        <f t="shared" si="4"/>
        <v>0</v>
      </c>
      <c r="O66" s="514">
        <f t="shared" si="5"/>
        <v>0</v>
      </c>
      <c r="P66" s="272"/>
    </row>
    <row r="67" spans="2:16">
      <c r="B67" s="195" t="str">
        <f t="shared" si="7"/>
        <v/>
      </c>
      <c r="C67" s="507">
        <f>IF(D11="","-",+C66+1)</f>
        <v>2068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13"/>
        <v>0</v>
      </c>
      <c r="G67" s="526">
        <f t="shared" si="14"/>
        <v>0</v>
      </c>
      <c r="H67" s="491">
        <f t="shared" si="15"/>
        <v>0</v>
      </c>
      <c r="I67" s="511">
        <f t="shared" si="0"/>
        <v>0</v>
      </c>
      <c r="J67" s="511"/>
      <c r="K67" s="525"/>
      <c r="L67" s="514">
        <f t="shared" si="2"/>
        <v>0</v>
      </c>
      <c r="M67" s="525"/>
      <c r="N67" s="514">
        <f t="shared" si="4"/>
        <v>0</v>
      </c>
      <c r="O67" s="514">
        <f t="shared" si="5"/>
        <v>0</v>
      </c>
      <c r="P67" s="272"/>
    </row>
    <row r="68" spans="2:16">
      <c r="B68" s="195" t="str">
        <f t="shared" si="7"/>
        <v/>
      </c>
      <c r="C68" s="507">
        <f>IF(D11="","-",+C67+1)</f>
        <v>2069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13"/>
        <v>0</v>
      </c>
      <c r="G68" s="526">
        <f t="shared" si="14"/>
        <v>0</v>
      </c>
      <c r="H68" s="491">
        <f t="shared" si="15"/>
        <v>0</v>
      </c>
      <c r="I68" s="511">
        <f t="shared" si="0"/>
        <v>0</v>
      </c>
      <c r="J68" s="511"/>
      <c r="K68" s="525"/>
      <c r="L68" s="514">
        <f t="shared" si="2"/>
        <v>0</v>
      </c>
      <c r="M68" s="525"/>
      <c r="N68" s="514">
        <f t="shared" si="4"/>
        <v>0</v>
      </c>
      <c r="O68" s="514">
        <f t="shared" si="5"/>
        <v>0</v>
      </c>
      <c r="P68" s="272"/>
    </row>
    <row r="69" spans="2:16">
      <c r="B69" s="195" t="str">
        <f t="shared" si="7"/>
        <v/>
      </c>
      <c r="C69" s="507">
        <f>IF(D11="","-",+C68+1)</f>
        <v>2070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13"/>
        <v>0</v>
      </c>
      <c r="G69" s="526">
        <f t="shared" si="14"/>
        <v>0</v>
      </c>
      <c r="H69" s="491">
        <f t="shared" si="15"/>
        <v>0</v>
      </c>
      <c r="I69" s="511">
        <f t="shared" si="0"/>
        <v>0</v>
      </c>
      <c r="J69" s="511"/>
      <c r="K69" s="525"/>
      <c r="L69" s="514">
        <f t="shared" si="2"/>
        <v>0</v>
      </c>
      <c r="M69" s="525"/>
      <c r="N69" s="514">
        <f t="shared" si="4"/>
        <v>0</v>
      </c>
      <c r="O69" s="514">
        <f t="shared" si="5"/>
        <v>0</v>
      </c>
      <c r="P69" s="272"/>
    </row>
    <row r="70" spans="2:16">
      <c r="B70" s="195" t="str">
        <f t="shared" si="7"/>
        <v/>
      </c>
      <c r="C70" s="507">
        <f>IF(D11="","-",+C69+1)</f>
        <v>2071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13"/>
        <v>0</v>
      </c>
      <c r="G70" s="526">
        <f t="shared" si="14"/>
        <v>0</v>
      </c>
      <c r="H70" s="491">
        <f t="shared" si="15"/>
        <v>0</v>
      </c>
      <c r="I70" s="511">
        <f t="shared" si="0"/>
        <v>0</v>
      </c>
      <c r="J70" s="511"/>
      <c r="K70" s="525"/>
      <c r="L70" s="514">
        <f t="shared" si="2"/>
        <v>0</v>
      </c>
      <c r="M70" s="525"/>
      <c r="N70" s="514">
        <f t="shared" si="4"/>
        <v>0</v>
      </c>
      <c r="O70" s="514">
        <f t="shared" si="5"/>
        <v>0</v>
      </c>
      <c r="P70" s="272"/>
    </row>
    <row r="71" spans="2:16">
      <c r="B71" s="195" t="str">
        <f t="shared" si="7"/>
        <v/>
      </c>
      <c r="C71" s="507">
        <f>IF(D11="","-",+C70+1)</f>
        <v>2072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13"/>
        <v>0</v>
      </c>
      <c r="G71" s="526">
        <f t="shared" si="14"/>
        <v>0</v>
      </c>
      <c r="H71" s="491">
        <f t="shared" si="15"/>
        <v>0</v>
      </c>
      <c r="I71" s="511">
        <f t="shared" si="0"/>
        <v>0</v>
      </c>
      <c r="J71" s="511"/>
      <c r="K71" s="525"/>
      <c r="L71" s="514">
        <f t="shared" si="2"/>
        <v>0</v>
      </c>
      <c r="M71" s="525"/>
      <c r="N71" s="514">
        <f t="shared" si="4"/>
        <v>0</v>
      </c>
      <c r="O71" s="514">
        <f t="shared" si="5"/>
        <v>0</v>
      </c>
      <c r="P71" s="272"/>
    </row>
    <row r="72" spans="2:16" ht="13.5" thickBot="1">
      <c r="B72" s="195" t="str">
        <f t="shared" si="7"/>
        <v/>
      </c>
      <c r="C72" s="527">
        <f>IF(D11="","-",+C71+1)</f>
        <v>2073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13"/>
        <v>0</v>
      </c>
      <c r="G72" s="530">
        <f t="shared" si="14"/>
        <v>0</v>
      </c>
      <c r="H72" s="471">
        <f t="shared" si="15"/>
        <v>0</v>
      </c>
      <c r="I72" s="531">
        <f t="shared" si="0"/>
        <v>0</v>
      </c>
      <c r="J72" s="511"/>
      <c r="K72" s="532"/>
      <c r="L72" s="533">
        <f t="shared" si="2"/>
        <v>0</v>
      </c>
      <c r="M72" s="532"/>
      <c r="N72" s="533">
        <f t="shared" si="4"/>
        <v>0</v>
      </c>
      <c r="O72" s="533">
        <f t="shared" si="5"/>
        <v>0</v>
      </c>
      <c r="P72" s="272"/>
    </row>
    <row r="73" spans="2:16">
      <c r="C73" s="374" t="s">
        <v>78</v>
      </c>
      <c r="D73" s="375"/>
      <c r="E73" s="375">
        <f>SUM(E17:E72)</f>
        <v>1742923.9700000002</v>
      </c>
      <c r="F73" s="375"/>
      <c r="G73" s="375">
        <f>SUM(G17:G72)</f>
        <v>6309739.9212151086</v>
      </c>
      <c r="H73" s="375">
        <f>SUM(H17:H72)</f>
        <v>6309739.9212151086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2:16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2:16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2:16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2:16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272"/>
      <c r="P77" s="272"/>
    </row>
    <row r="78" spans="2:16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2:16"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  <c r="O79" s="269"/>
      <c r="P79" s="269"/>
    </row>
    <row r="80" spans="2:16" ht="18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6">
      <c r="B81" s="269"/>
      <c r="C81" s="340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6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</row>
    <row r="83" spans="1:16" ht="20.25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451" t="str">
        <f ca="1">P1</f>
        <v>SWEPCO Project 71 of 75</v>
      </c>
    </row>
    <row r="84" spans="1:16" ht="18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538" t="s">
        <v>128</v>
      </c>
    </row>
    <row r="85" spans="1:16" ht="18.7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</row>
    <row r="86" spans="1:16" ht="15.75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2022</v>
      </c>
      <c r="M86" s="541" t="s">
        <v>9</v>
      </c>
      <c r="N86" s="542" t="s">
        <v>159</v>
      </c>
      <c r="O86" s="543" t="s">
        <v>11</v>
      </c>
      <c r="P86" s="269"/>
    </row>
    <row r="87" spans="1:16" ht="1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391</v>
      </c>
      <c r="M87" s="546">
        <f>IF(J92&lt;D11,0,VLOOKUP(J92,C17:O72,9))</f>
        <v>222407.30470378633</v>
      </c>
      <c r="N87" s="546">
        <f>IF(J92&lt;D11,0,VLOOKUP(J92,C17:O72,11))</f>
        <v>222407.30470378633</v>
      </c>
      <c r="O87" s="547">
        <f>+N87-M87</f>
        <v>0</v>
      </c>
      <c r="P87" s="269"/>
    </row>
    <row r="88" spans="1:16" ht="15.7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392</v>
      </c>
      <c r="M88" s="550">
        <f>IF(J92&lt;D11,0,VLOOKUP(J92,C99:P154,6))</f>
        <v>229152.7467625812</v>
      </c>
      <c r="N88" s="550">
        <f>IF(J92&lt;D11,0,VLOOKUP(J92,C99:P154,7))</f>
        <v>229152.7467625812</v>
      </c>
      <c r="O88" s="551">
        <f>+N88-M88</f>
        <v>0</v>
      </c>
      <c r="P88" s="269"/>
    </row>
    <row r="89" spans="1:16" ht="13.5" thickBot="1">
      <c r="C89" s="467" t="s">
        <v>84</v>
      </c>
      <c r="D89" s="552" t="str">
        <f>+D7</f>
        <v>IPC 138 KV Capacitor Bank Addition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6745.4420587948698</v>
      </c>
      <c r="N89" s="555">
        <f>+N88-N87</f>
        <v>6745.4420587948698</v>
      </c>
      <c r="O89" s="556">
        <f>+O88-O87</f>
        <v>0</v>
      </c>
      <c r="P89" s="269"/>
    </row>
    <row r="90" spans="1:16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</row>
    <row r="91" spans="1:16" ht="13.5" thickBot="1">
      <c r="A91" s="191"/>
      <c r="C91" s="558" t="s">
        <v>85</v>
      </c>
      <c r="D91" s="559" t="str">
        <f>+D9</f>
        <v>TP2017012</v>
      </c>
      <c r="E91" s="560"/>
      <c r="F91" s="560"/>
      <c r="G91" s="560"/>
      <c r="H91" s="560"/>
      <c r="I91" s="560"/>
      <c r="J91" s="560"/>
      <c r="K91" s="562"/>
      <c r="P91" s="481"/>
    </row>
    <row r="92" spans="1:16">
      <c r="C92" s="486" t="s">
        <v>51</v>
      </c>
      <c r="D92" s="564">
        <v>1742924</v>
      </c>
      <c r="E92" s="340" t="s">
        <v>86</v>
      </c>
      <c r="H92" s="484"/>
      <c r="I92" s="484"/>
      <c r="J92" s="485">
        <f>+'SWE.WS.G.BPU.ATRR.True-up'!M16</f>
        <v>2022</v>
      </c>
      <c r="K92" s="480"/>
      <c r="L92" s="375" t="s">
        <v>87</v>
      </c>
      <c r="P92" s="272"/>
    </row>
    <row r="93" spans="1:16">
      <c r="C93" s="486" t="s">
        <v>54</v>
      </c>
      <c r="D93" s="563">
        <v>2018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</row>
    <row r="94" spans="1:16">
      <c r="C94" s="486" t="s">
        <v>56</v>
      </c>
      <c r="D94" s="564">
        <v>12</v>
      </c>
      <c r="E94" s="486" t="s">
        <v>57</v>
      </c>
      <c r="F94" s="484"/>
      <c r="G94" s="484"/>
      <c r="J94" s="490">
        <f>'SWE.WS.G.BPU.ATRR.True-up'!$F$81</f>
        <v>0.11351422637179906</v>
      </c>
      <c r="K94" s="425"/>
      <c r="L94" s="183" t="s">
        <v>88</v>
      </c>
      <c r="P94" s="272"/>
    </row>
    <row r="95" spans="1:16">
      <c r="C95" s="486" t="s">
        <v>59</v>
      </c>
      <c r="D95" s="488">
        <f>'SWE.WS.G.BPU.ATRR.True-up'!F$93</f>
        <v>41</v>
      </c>
      <c r="E95" s="486" t="s">
        <v>60</v>
      </c>
      <c r="F95" s="484"/>
      <c r="G95" s="484"/>
      <c r="J95" s="490">
        <f>IF(H87="",J94,'SWE.WS.G.BPU.ATRR.True-up'!$F$80)</f>
        <v>0.11351422637179906</v>
      </c>
      <c r="K95" s="324"/>
      <c r="L95" s="375" t="s">
        <v>61</v>
      </c>
      <c r="M95" s="324"/>
      <c r="N95" s="324"/>
      <c r="O95" s="324"/>
      <c r="P95" s="272"/>
    </row>
    <row r="96" spans="1:16" ht="13.5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42510.341463414632</v>
      </c>
      <c r="K96" s="375"/>
      <c r="L96" s="375"/>
      <c r="M96" s="375"/>
      <c r="N96" s="375"/>
      <c r="O96" s="375"/>
      <c r="P96" s="272"/>
    </row>
    <row r="97" spans="1:16" ht="38.25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388</v>
      </c>
      <c r="I97" s="495" t="s">
        <v>389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</row>
    <row r="98" spans="1:16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602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</row>
    <row r="99" spans="1:16">
      <c r="C99" s="507">
        <f>IF(D93= "","-",D93)</f>
        <v>2018</v>
      </c>
      <c r="D99" s="629">
        <v>0</v>
      </c>
      <c r="E99" s="630">
        <v>0</v>
      </c>
      <c r="F99" s="631">
        <v>1689645</v>
      </c>
      <c r="G99" s="631">
        <v>844822.5</v>
      </c>
      <c r="H99" s="633">
        <v>89217.130203738969</v>
      </c>
      <c r="I99" s="634">
        <v>89217.130203738969</v>
      </c>
      <c r="J99" s="514">
        <f t="shared" ref="J99:J130" si="16">+I99-H99</f>
        <v>0</v>
      </c>
      <c r="K99" s="514"/>
      <c r="L99" s="512">
        <f>+H99</f>
        <v>89217.130203738969</v>
      </c>
      <c r="M99" s="513">
        <f t="shared" ref="M99:M101" si="17">IF(L99&lt;&gt;0,+H99-L99,0)</f>
        <v>0</v>
      </c>
      <c r="N99" s="512">
        <f>+I99</f>
        <v>89217.130203738969</v>
      </c>
      <c r="O99" s="513">
        <f t="shared" ref="O99:O130" si="18">IF(N99&lt;&gt;0,+I99-N99,0)</f>
        <v>0</v>
      </c>
      <c r="P99" s="513">
        <f t="shared" ref="P99:P130" si="19">+O99-M99</f>
        <v>0</v>
      </c>
    </row>
    <row r="100" spans="1:16">
      <c r="B100" s="195" t="str">
        <f>IF(D100=F99,"","IU")</f>
        <v>IU</v>
      </c>
      <c r="C100" s="507">
        <f>IF(D93="","-",+C99+1)</f>
        <v>2019</v>
      </c>
      <c r="D100" s="629">
        <v>1742924</v>
      </c>
      <c r="E100" s="630">
        <v>40533.116279069771</v>
      </c>
      <c r="F100" s="631">
        <v>1702390.8837209302</v>
      </c>
      <c r="G100" s="631">
        <v>1722657.4418604651</v>
      </c>
      <c r="H100" s="633">
        <v>224927.31036056377</v>
      </c>
      <c r="I100" s="634">
        <v>224927.31036056377</v>
      </c>
      <c r="J100" s="514">
        <f t="shared" si="16"/>
        <v>0</v>
      </c>
      <c r="K100" s="514"/>
      <c r="L100" s="655">
        <f>+H100</f>
        <v>224927.31036056377</v>
      </c>
      <c r="M100" s="514">
        <f t="shared" si="17"/>
        <v>0</v>
      </c>
      <c r="N100" s="655">
        <f>+I100</f>
        <v>224927.31036056377</v>
      </c>
      <c r="O100" s="514">
        <f t="shared" si="18"/>
        <v>0</v>
      </c>
      <c r="P100" s="514">
        <f t="shared" si="19"/>
        <v>0</v>
      </c>
    </row>
    <row r="101" spans="1:16">
      <c r="B101" s="195" t="str">
        <f t="shared" ref="B101:B154" si="20">IF(D101=F100,"","IU")</f>
        <v/>
      </c>
      <c r="C101" s="507">
        <f>IF(D93="","-",+C100+1)</f>
        <v>2020</v>
      </c>
      <c r="D101" s="629">
        <v>1702390.8837209302</v>
      </c>
      <c r="E101" s="630">
        <v>41498.190476190473</v>
      </c>
      <c r="F101" s="631">
        <v>1660892.6932447397</v>
      </c>
      <c r="G101" s="631">
        <v>1681641.7884828351</v>
      </c>
      <c r="H101" s="633">
        <v>222398.8425566837</v>
      </c>
      <c r="I101" s="634">
        <v>222398.8425566837</v>
      </c>
      <c r="J101" s="514">
        <f t="shared" si="16"/>
        <v>0</v>
      </c>
      <c r="K101" s="514"/>
      <c r="L101" s="655">
        <f>+H101</f>
        <v>222398.8425566837</v>
      </c>
      <c r="M101" s="514">
        <f t="shared" si="17"/>
        <v>0</v>
      </c>
      <c r="N101" s="655">
        <f>+I101</f>
        <v>222398.8425566837</v>
      </c>
      <c r="O101" s="514">
        <f t="shared" si="18"/>
        <v>0</v>
      </c>
      <c r="P101" s="514">
        <f t="shared" si="19"/>
        <v>0</v>
      </c>
    </row>
    <row r="102" spans="1:16">
      <c r="B102" s="195" t="str">
        <f t="shared" si="20"/>
        <v/>
      </c>
      <c r="C102" s="507">
        <f>IF(D93="","-",+C101+1)</f>
        <v>2021</v>
      </c>
      <c r="D102" s="629">
        <v>1660892.6932447397</v>
      </c>
      <c r="E102" s="630">
        <v>42510.341463414632</v>
      </c>
      <c r="F102" s="631">
        <v>1618382.3517813249</v>
      </c>
      <c r="G102" s="631">
        <v>1639637.5225130324</v>
      </c>
      <c r="H102" s="633">
        <v>228632.52636165477</v>
      </c>
      <c r="I102" s="634">
        <v>228632.52636165477</v>
      </c>
      <c r="J102" s="514">
        <f t="shared" si="16"/>
        <v>0</v>
      </c>
      <c r="K102" s="514"/>
      <c r="L102" s="655">
        <f>+H102</f>
        <v>228632.52636165477</v>
      </c>
      <c r="M102" s="514">
        <f t="shared" ref="M102" si="21">IF(L102&lt;&gt;0,+H102-L102,0)</f>
        <v>0</v>
      </c>
      <c r="N102" s="655">
        <f>+I102</f>
        <v>228632.52636165477</v>
      </c>
      <c r="O102" s="514">
        <f t="shared" ref="O102" si="22">IF(N102&lt;&gt;0,+I102-N102,0)</f>
        <v>0</v>
      </c>
      <c r="P102" s="514">
        <f t="shared" ref="P102" si="23">+O102-M102</f>
        <v>0</v>
      </c>
    </row>
    <row r="103" spans="1:16">
      <c r="B103" s="195" t="str">
        <f t="shared" si="20"/>
        <v/>
      </c>
      <c r="C103" s="673">
        <f>IF(D93="","-",+C102+1)</f>
        <v>2022</v>
      </c>
      <c r="D103" s="374">
        <v>1618382.3517813249</v>
      </c>
      <c r="E103" s="522">
        <v>41498.190476190473</v>
      </c>
      <c r="F103" s="523">
        <v>1576884.1613051344</v>
      </c>
      <c r="G103" s="523">
        <v>1597633.2565432298</v>
      </c>
      <c r="H103" s="526">
        <v>229152.7467625812</v>
      </c>
      <c r="I103" s="577">
        <v>229152.7467625812</v>
      </c>
      <c r="J103" s="514">
        <f t="shared" si="16"/>
        <v>0</v>
      </c>
      <c r="K103" s="514"/>
      <c r="L103" s="525"/>
      <c r="M103" s="514">
        <f t="shared" ref="M103:M130" si="24">IF(L103&lt;&gt;0,+H103-L103,0)</f>
        <v>0</v>
      </c>
      <c r="N103" s="525"/>
      <c r="O103" s="514">
        <f t="shared" si="18"/>
        <v>0</v>
      </c>
      <c r="P103" s="514">
        <f t="shared" si="19"/>
        <v>0</v>
      </c>
    </row>
    <row r="104" spans="1:16">
      <c r="B104" s="195" t="str">
        <f t="shared" si="20"/>
        <v/>
      </c>
      <c r="C104" s="507">
        <f>IF(D93="","-",+C103+1)</f>
        <v>2023</v>
      </c>
      <c r="D104" s="374">
        <f>IF(F103+SUM(E$99:E103)=D$92,F103,D$92-SUM(E$99:E103))</f>
        <v>1576884.1613051344</v>
      </c>
      <c r="E104" s="522">
        <f>IF(+J96&lt;F103,J96,D104)</f>
        <v>42510.341463414632</v>
      </c>
      <c r="F104" s="523">
        <f t="shared" ref="F104:F154" si="25">+D104-E104</f>
        <v>1534373.8198417197</v>
      </c>
      <c r="G104" s="523">
        <f t="shared" ref="G104:G154" si="26">+(F104+D104)/2</f>
        <v>1555628.9905734272</v>
      </c>
      <c r="H104" s="526">
        <f t="shared" ref="H104:H154" si="27">+J$94*G104+E104</f>
        <v>219096.36284989992</v>
      </c>
      <c r="I104" s="577">
        <f t="shared" ref="I104:I154" si="28">+J$95*G104+E104</f>
        <v>219096.36284989992</v>
      </c>
      <c r="J104" s="514">
        <f t="shared" si="16"/>
        <v>0</v>
      </c>
      <c r="K104" s="514"/>
      <c r="L104" s="525"/>
      <c r="M104" s="514">
        <f t="shared" si="24"/>
        <v>0</v>
      </c>
      <c r="N104" s="525"/>
      <c r="O104" s="514">
        <f t="shared" si="18"/>
        <v>0</v>
      </c>
      <c r="P104" s="514">
        <f t="shared" si="19"/>
        <v>0</v>
      </c>
    </row>
    <row r="105" spans="1:16">
      <c r="B105" s="195" t="str">
        <f t="shared" si="20"/>
        <v/>
      </c>
      <c r="C105" s="507">
        <f>IF(D93="","-",+C104+1)</f>
        <v>2024</v>
      </c>
      <c r="D105" s="374">
        <f>IF(F104+SUM(E$99:E104)=D$92,F104,D$92-SUM(E$99:E104))</f>
        <v>1534373.8198417197</v>
      </c>
      <c r="E105" s="522">
        <f>IF(+J96&lt;F104,J96,D105)</f>
        <v>42510.341463414632</v>
      </c>
      <c r="F105" s="523">
        <f t="shared" si="25"/>
        <v>1491863.478378305</v>
      </c>
      <c r="G105" s="523">
        <f t="shared" si="26"/>
        <v>1513118.6491100122</v>
      </c>
      <c r="H105" s="526">
        <f t="shared" si="27"/>
        <v>214270.83432587935</v>
      </c>
      <c r="I105" s="577">
        <f t="shared" si="28"/>
        <v>214270.83432587935</v>
      </c>
      <c r="J105" s="514">
        <f t="shared" si="16"/>
        <v>0</v>
      </c>
      <c r="K105" s="514"/>
      <c r="L105" s="525"/>
      <c r="M105" s="514">
        <f t="shared" si="24"/>
        <v>0</v>
      </c>
      <c r="N105" s="525"/>
      <c r="O105" s="514">
        <f t="shared" si="18"/>
        <v>0</v>
      </c>
      <c r="P105" s="514">
        <f t="shared" si="19"/>
        <v>0</v>
      </c>
    </row>
    <row r="106" spans="1:16">
      <c r="B106" s="195" t="str">
        <f t="shared" si="20"/>
        <v/>
      </c>
      <c r="C106" s="507">
        <f>IF(D93="","-",+C105+1)</f>
        <v>2025</v>
      </c>
      <c r="D106" s="374">
        <f>IF(F105+SUM(E$99:E105)=D$92,F105,D$92-SUM(E$99:E105))</f>
        <v>1491863.478378305</v>
      </c>
      <c r="E106" s="522">
        <f>IF(+J96&lt;F105,J96,D106)</f>
        <v>42510.341463414632</v>
      </c>
      <c r="F106" s="523">
        <f t="shared" si="25"/>
        <v>1449353.1369148903</v>
      </c>
      <c r="G106" s="523">
        <f t="shared" si="26"/>
        <v>1470608.3076465977</v>
      </c>
      <c r="H106" s="526">
        <f t="shared" si="27"/>
        <v>209445.30580185883</v>
      </c>
      <c r="I106" s="577">
        <f t="shared" si="28"/>
        <v>209445.30580185883</v>
      </c>
      <c r="J106" s="514">
        <f t="shared" si="16"/>
        <v>0</v>
      </c>
      <c r="K106" s="514"/>
      <c r="L106" s="525"/>
      <c r="M106" s="514">
        <f t="shared" si="24"/>
        <v>0</v>
      </c>
      <c r="N106" s="525"/>
      <c r="O106" s="514">
        <f t="shared" si="18"/>
        <v>0</v>
      </c>
      <c r="P106" s="514">
        <f t="shared" si="19"/>
        <v>0</v>
      </c>
    </row>
    <row r="107" spans="1:16">
      <c r="B107" s="195" t="str">
        <f t="shared" si="20"/>
        <v/>
      </c>
      <c r="C107" s="507">
        <f>IF(D93="","-",+C106+1)</f>
        <v>2026</v>
      </c>
      <c r="D107" s="374">
        <f>IF(F106+SUM(E$99:E106)=D$92,F106,D$92-SUM(E$99:E106))</f>
        <v>1449353.1369148903</v>
      </c>
      <c r="E107" s="522">
        <f>IF(+J96&lt;F106,J96,D107)</f>
        <v>42510.341463414632</v>
      </c>
      <c r="F107" s="523">
        <f t="shared" si="25"/>
        <v>1406842.7954514755</v>
      </c>
      <c r="G107" s="523">
        <f t="shared" si="26"/>
        <v>1428097.9661831828</v>
      </c>
      <c r="H107" s="526">
        <f t="shared" si="27"/>
        <v>204619.77727783829</v>
      </c>
      <c r="I107" s="577">
        <f t="shared" si="28"/>
        <v>204619.77727783829</v>
      </c>
      <c r="J107" s="514">
        <f t="shared" si="16"/>
        <v>0</v>
      </c>
      <c r="K107" s="514"/>
      <c r="L107" s="525"/>
      <c r="M107" s="514">
        <f t="shared" si="24"/>
        <v>0</v>
      </c>
      <c r="N107" s="525"/>
      <c r="O107" s="514">
        <f t="shared" si="18"/>
        <v>0</v>
      </c>
      <c r="P107" s="514">
        <f t="shared" si="19"/>
        <v>0</v>
      </c>
    </row>
    <row r="108" spans="1:16">
      <c r="B108" s="195" t="str">
        <f t="shared" si="20"/>
        <v/>
      </c>
      <c r="C108" s="507">
        <f>IF(D93="","-",+C107+1)</f>
        <v>2027</v>
      </c>
      <c r="D108" s="374">
        <f>IF(F107+SUM(E$99:E107)=D$92,F107,D$92-SUM(E$99:E107))</f>
        <v>1406842.7954514755</v>
      </c>
      <c r="E108" s="522">
        <f>IF(+J96&lt;F107,J96,D108)</f>
        <v>42510.341463414632</v>
      </c>
      <c r="F108" s="523">
        <f t="shared" si="25"/>
        <v>1364332.4539880608</v>
      </c>
      <c r="G108" s="523">
        <f t="shared" si="26"/>
        <v>1385587.6247197683</v>
      </c>
      <c r="H108" s="526">
        <f t="shared" si="27"/>
        <v>199794.24875381778</v>
      </c>
      <c r="I108" s="577">
        <f t="shared" si="28"/>
        <v>199794.24875381778</v>
      </c>
      <c r="J108" s="514">
        <f t="shared" si="16"/>
        <v>0</v>
      </c>
      <c r="K108" s="514"/>
      <c r="L108" s="525"/>
      <c r="M108" s="514">
        <f t="shared" si="24"/>
        <v>0</v>
      </c>
      <c r="N108" s="525"/>
      <c r="O108" s="514">
        <f t="shared" si="18"/>
        <v>0</v>
      </c>
      <c r="P108" s="514">
        <f t="shared" si="19"/>
        <v>0</v>
      </c>
    </row>
    <row r="109" spans="1:16">
      <c r="B109" s="195" t="str">
        <f t="shared" si="20"/>
        <v/>
      </c>
      <c r="C109" s="507">
        <f>IF(D93="","-",+C108+1)</f>
        <v>2028</v>
      </c>
      <c r="D109" s="374">
        <f>IF(F108+SUM(E$99:E108)=D$92,F108,D$92-SUM(E$99:E108))</f>
        <v>1364332.4539880608</v>
      </c>
      <c r="E109" s="522">
        <f>IF(+J96&lt;F108,J96,D109)</f>
        <v>42510.341463414632</v>
      </c>
      <c r="F109" s="523">
        <f t="shared" si="25"/>
        <v>1321822.1125246461</v>
      </c>
      <c r="G109" s="523">
        <f t="shared" si="26"/>
        <v>1343077.2832563533</v>
      </c>
      <c r="H109" s="526">
        <f t="shared" si="27"/>
        <v>194968.72022979721</v>
      </c>
      <c r="I109" s="577">
        <f t="shared" si="28"/>
        <v>194968.72022979721</v>
      </c>
      <c r="J109" s="514">
        <f t="shared" si="16"/>
        <v>0</v>
      </c>
      <c r="K109" s="514"/>
      <c r="L109" s="525"/>
      <c r="M109" s="514">
        <f t="shared" si="24"/>
        <v>0</v>
      </c>
      <c r="N109" s="525"/>
      <c r="O109" s="514">
        <f t="shared" si="18"/>
        <v>0</v>
      </c>
      <c r="P109" s="514">
        <f t="shared" si="19"/>
        <v>0</v>
      </c>
    </row>
    <row r="110" spans="1:16">
      <c r="B110" s="195" t="str">
        <f t="shared" si="20"/>
        <v/>
      </c>
      <c r="C110" s="507">
        <f>IF(D93="","-",+C109+1)</f>
        <v>2029</v>
      </c>
      <c r="D110" s="374">
        <f>IF(F109+SUM(E$99:E109)=D$92,F109,D$92-SUM(E$99:E109))</f>
        <v>1321822.1125246461</v>
      </c>
      <c r="E110" s="522">
        <f>IF(+J96&lt;F109,J96,D110)</f>
        <v>42510.341463414632</v>
      </c>
      <c r="F110" s="523">
        <f t="shared" si="25"/>
        <v>1279311.7710612314</v>
      </c>
      <c r="G110" s="523">
        <f t="shared" si="26"/>
        <v>1300566.9417929389</v>
      </c>
      <c r="H110" s="526">
        <f t="shared" si="27"/>
        <v>190143.1917057767</v>
      </c>
      <c r="I110" s="577">
        <f t="shared" si="28"/>
        <v>190143.1917057767</v>
      </c>
      <c r="J110" s="514">
        <f t="shared" si="16"/>
        <v>0</v>
      </c>
      <c r="K110" s="514"/>
      <c r="L110" s="525"/>
      <c r="M110" s="514">
        <f t="shared" si="24"/>
        <v>0</v>
      </c>
      <c r="N110" s="525"/>
      <c r="O110" s="514">
        <f t="shared" si="18"/>
        <v>0</v>
      </c>
      <c r="P110" s="514">
        <f t="shared" si="19"/>
        <v>0</v>
      </c>
    </row>
    <row r="111" spans="1:16">
      <c r="B111" s="195" t="str">
        <f t="shared" si="20"/>
        <v/>
      </c>
      <c r="C111" s="507">
        <f>IF(D93="","-",+C110+1)</f>
        <v>2030</v>
      </c>
      <c r="D111" s="374">
        <f>IF(F110+SUM(E$99:E110)=D$92,F110,D$92-SUM(E$99:E110))</f>
        <v>1279311.7710612314</v>
      </c>
      <c r="E111" s="522">
        <f>IF(+J96&lt;F110,J96,D111)</f>
        <v>42510.341463414632</v>
      </c>
      <c r="F111" s="523">
        <f t="shared" si="25"/>
        <v>1236801.4295978167</v>
      </c>
      <c r="G111" s="523">
        <f t="shared" si="26"/>
        <v>1258056.6003295239</v>
      </c>
      <c r="H111" s="526">
        <f t="shared" si="27"/>
        <v>185317.66318175616</v>
      </c>
      <c r="I111" s="577">
        <f t="shared" si="28"/>
        <v>185317.66318175616</v>
      </c>
      <c r="J111" s="514">
        <f t="shared" si="16"/>
        <v>0</v>
      </c>
      <c r="K111" s="514"/>
      <c r="L111" s="525"/>
      <c r="M111" s="514">
        <f t="shared" si="24"/>
        <v>0</v>
      </c>
      <c r="N111" s="525"/>
      <c r="O111" s="514">
        <f t="shared" si="18"/>
        <v>0</v>
      </c>
      <c r="P111" s="514">
        <f t="shared" si="19"/>
        <v>0</v>
      </c>
    </row>
    <row r="112" spans="1:16">
      <c r="B112" s="195" t="str">
        <f t="shared" si="20"/>
        <v/>
      </c>
      <c r="C112" s="507">
        <f>IF(D93="","-",+C111+1)</f>
        <v>2031</v>
      </c>
      <c r="D112" s="374">
        <f>IF(F111+SUM(E$99:E111)=D$92,F111,D$92-SUM(E$99:E111))</f>
        <v>1236801.4295978167</v>
      </c>
      <c r="E112" s="522">
        <f>IF(+J96&lt;F111,J96,D112)</f>
        <v>42510.341463414632</v>
      </c>
      <c r="F112" s="523">
        <f t="shared" si="25"/>
        <v>1194291.0881344019</v>
      </c>
      <c r="G112" s="523">
        <f t="shared" si="26"/>
        <v>1215546.2588661094</v>
      </c>
      <c r="H112" s="526">
        <f t="shared" si="27"/>
        <v>180492.13465773565</v>
      </c>
      <c r="I112" s="577">
        <f t="shared" si="28"/>
        <v>180492.13465773565</v>
      </c>
      <c r="J112" s="514">
        <f t="shared" si="16"/>
        <v>0</v>
      </c>
      <c r="K112" s="514"/>
      <c r="L112" s="525"/>
      <c r="M112" s="514">
        <f t="shared" si="24"/>
        <v>0</v>
      </c>
      <c r="N112" s="525"/>
      <c r="O112" s="514">
        <f t="shared" si="18"/>
        <v>0</v>
      </c>
      <c r="P112" s="514">
        <f t="shared" si="19"/>
        <v>0</v>
      </c>
    </row>
    <row r="113" spans="2:16">
      <c r="B113" s="195" t="str">
        <f t="shared" si="20"/>
        <v/>
      </c>
      <c r="C113" s="507">
        <f>IF(D93="","-",+C112+1)</f>
        <v>2032</v>
      </c>
      <c r="D113" s="374">
        <f>IF(F112+SUM(E$99:E112)=D$92,F112,D$92-SUM(E$99:E112))</f>
        <v>1194291.0881344019</v>
      </c>
      <c r="E113" s="522">
        <f>IF(+J96&lt;F112,J96,D113)</f>
        <v>42510.341463414632</v>
      </c>
      <c r="F113" s="523">
        <f t="shared" si="25"/>
        <v>1151780.7466709872</v>
      </c>
      <c r="G113" s="523">
        <f t="shared" si="26"/>
        <v>1173035.9174026945</v>
      </c>
      <c r="H113" s="526">
        <f t="shared" si="27"/>
        <v>175666.60613371507</v>
      </c>
      <c r="I113" s="577">
        <f t="shared" si="28"/>
        <v>175666.60613371507</v>
      </c>
      <c r="J113" s="514">
        <f t="shared" si="16"/>
        <v>0</v>
      </c>
      <c r="K113" s="514"/>
      <c r="L113" s="525"/>
      <c r="M113" s="514">
        <f t="shared" si="24"/>
        <v>0</v>
      </c>
      <c r="N113" s="525"/>
      <c r="O113" s="514">
        <f t="shared" si="18"/>
        <v>0</v>
      </c>
      <c r="P113" s="514">
        <f t="shared" si="19"/>
        <v>0</v>
      </c>
    </row>
    <row r="114" spans="2:16">
      <c r="B114" s="195" t="str">
        <f t="shared" si="20"/>
        <v/>
      </c>
      <c r="C114" s="507">
        <f>IF(D93="","-",+C113+1)</f>
        <v>2033</v>
      </c>
      <c r="D114" s="374">
        <f>IF(F113+SUM(E$99:E113)=D$92,F113,D$92-SUM(E$99:E113))</f>
        <v>1151780.7466709872</v>
      </c>
      <c r="E114" s="522">
        <f>IF(+J96&lt;F113,J96,D114)</f>
        <v>42510.341463414632</v>
      </c>
      <c r="F114" s="523">
        <f t="shared" si="25"/>
        <v>1109270.4052075725</v>
      </c>
      <c r="G114" s="523">
        <f t="shared" si="26"/>
        <v>1130525.57593928</v>
      </c>
      <c r="H114" s="526">
        <f t="shared" si="27"/>
        <v>170841.07760969456</v>
      </c>
      <c r="I114" s="577">
        <f t="shared" si="28"/>
        <v>170841.07760969456</v>
      </c>
      <c r="J114" s="514">
        <f t="shared" si="16"/>
        <v>0</v>
      </c>
      <c r="K114" s="514"/>
      <c r="L114" s="525"/>
      <c r="M114" s="514">
        <f t="shared" si="24"/>
        <v>0</v>
      </c>
      <c r="N114" s="525"/>
      <c r="O114" s="514">
        <f t="shared" si="18"/>
        <v>0</v>
      </c>
      <c r="P114" s="514">
        <f t="shared" si="19"/>
        <v>0</v>
      </c>
    </row>
    <row r="115" spans="2:16">
      <c r="B115" s="195" t="str">
        <f t="shared" si="20"/>
        <v/>
      </c>
      <c r="C115" s="507">
        <f>IF(D93="","-",+C114+1)</f>
        <v>2034</v>
      </c>
      <c r="D115" s="374">
        <f>IF(F114+SUM(E$99:E114)=D$92,F114,D$92-SUM(E$99:E114))</f>
        <v>1109270.4052075725</v>
      </c>
      <c r="E115" s="522">
        <f>IF(+J96&lt;F114,J96,D115)</f>
        <v>42510.341463414632</v>
      </c>
      <c r="F115" s="523">
        <f t="shared" si="25"/>
        <v>1066760.0637441578</v>
      </c>
      <c r="G115" s="523">
        <f t="shared" si="26"/>
        <v>1088015.234475865</v>
      </c>
      <c r="H115" s="526">
        <f t="shared" si="27"/>
        <v>166015.54908567399</v>
      </c>
      <c r="I115" s="577">
        <f t="shared" si="28"/>
        <v>166015.54908567399</v>
      </c>
      <c r="J115" s="514">
        <f t="shared" si="16"/>
        <v>0</v>
      </c>
      <c r="K115" s="514"/>
      <c r="L115" s="525"/>
      <c r="M115" s="514">
        <f t="shared" si="24"/>
        <v>0</v>
      </c>
      <c r="N115" s="525"/>
      <c r="O115" s="514">
        <f t="shared" si="18"/>
        <v>0</v>
      </c>
      <c r="P115" s="514">
        <f t="shared" si="19"/>
        <v>0</v>
      </c>
    </row>
    <row r="116" spans="2:16">
      <c r="B116" s="195" t="str">
        <f t="shared" si="20"/>
        <v/>
      </c>
      <c r="C116" s="507">
        <f>IF(D93="","-",+C115+1)</f>
        <v>2035</v>
      </c>
      <c r="D116" s="374">
        <f>IF(F115+SUM(E$99:E115)=D$92,F115,D$92-SUM(E$99:E115))</f>
        <v>1066760.0637441578</v>
      </c>
      <c r="E116" s="522">
        <f>IF(+J96&lt;F115,J96,D116)</f>
        <v>42510.341463414632</v>
      </c>
      <c r="F116" s="523">
        <f t="shared" si="25"/>
        <v>1024249.7222807432</v>
      </c>
      <c r="G116" s="523">
        <f t="shared" si="26"/>
        <v>1045504.8930124505</v>
      </c>
      <c r="H116" s="526">
        <f t="shared" si="27"/>
        <v>161190.02056165348</v>
      </c>
      <c r="I116" s="577">
        <f t="shared" si="28"/>
        <v>161190.02056165348</v>
      </c>
      <c r="J116" s="514">
        <f t="shared" si="16"/>
        <v>0</v>
      </c>
      <c r="K116" s="514"/>
      <c r="L116" s="525"/>
      <c r="M116" s="514">
        <f t="shared" si="24"/>
        <v>0</v>
      </c>
      <c r="N116" s="525"/>
      <c r="O116" s="514">
        <f t="shared" si="18"/>
        <v>0</v>
      </c>
      <c r="P116" s="514">
        <f t="shared" si="19"/>
        <v>0</v>
      </c>
    </row>
    <row r="117" spans="2:16">
      <c r="B117" s="195" t="str">
        <f t="shared" si="20"/>
        <v/>
      </c>
      <c r="C117" s="507">
        <f>IF(D93="","-",+C116+1)</f>
        <v>2036</v>
      </c>
      <c r="D117" s="374">
        <f>IF(F116+SUM(E$99:E116)=D$92,F116,D$92-SUM(E$99:E116))</f>
        <v>1024249.7222807432</v>
      </c>
      <c r="E117" s="522">
        <f>IF(+J96&lt;F116,J96,D117)</f>
        <v>42510.341463414632</v>
      </c>
      <c r="F117" s="523">
        <f t="shared" si="25"/>
        <v>981739.38081732858</v>
      </c>
      <c r="G117" s="523">
        <f t="shared" si="26"/>
        <v>1002994.5515490358</v>
      </c>
      <c r="H117" s="526">
        <f t="shared" si="27"/>
        <v>156364.49203763297</v>
      </c>
      <c r="I117" s="577">
        <f t="shared" si="28"/>
        <v>156364.49203763297</v>
      </c>
      <c r="J117" s="514">
        <f t="shared" si="16"/>
        <v>0</v>
      </c>
      <c r="K117" s="514"/>
      <c r="L117" s="525"/>
      <c r="M117" s="514">
        <f t="shared" si="24"/>
        <v>0</v>
      </c>
      <c r="N117" s="525"/>
      <c r="O117" s="514">
        <f t="shared" si="18"/>
        <v>0</v>
      </c>
      <c r="P117" s="514">
        <f t="shared" si="19"/>
        <v>0</v>
      </c>
    </row>
    <row r="118" spans="2:16">
      <c r="B118" s="195" t="str">
        <f t="shared" si="20"/>
        <v/>
      </c>
      <c r="C118" s="507">
        <f>IF(D93="","-",+C117+1)</f>
        <v>2037</v>
      </c>
      <c r="D118" s="374">
        <f>IF(F117+SUM(E$99:E117)=D$92,F117,D$92-SUM(E$99:E117))</f>
        <v>981739.38081732858</v>
      </c>
      <c r="E118" s="522">
        <f>IF(+J96&lt;F117,J96,D118)</f>
        <v>42510.341463414632</v>
      </c>
      <c r="F118" s="523">
        <f t="shared" si="25"/>
        <v>939229.03935391398</v>
      </c>
      <c r="G118" s="523">
        <f t="shared" si="26"/>
        <v>960484.21008562134</v>
      </c>
      <c r="H118" s="526">
        <f t="shared" si="27"/>
        <v>151538.96351361246</v>
      </c>
      <c r="I118" s="577">
        <f t="shared" si="28"/>
        <v>151538.96351361246</v>
      </c>
      <c r="J118" s="514">
        <f t="shared" si="16"/>
        <v>0</v>
      </c>
      <c r="K118" s="514"/>
      <c r="L118" s="525"/>
      <c r="M118" s="514">
        <f t="shared" si="24"/>
        <v>0</v>
      </c>
      <c r="N118" s="525"/>
      <c r="O118" s="514">
        <f t="shared" si="18"/>
        <v>0</v>
      </c>
      <c r="P118" s="514">
        <f t="shared" si="19"/>
        <v>0</v>
      </c>
    </row>
    <row r="119" spans="2:16">
      <c r="B119" s="195" t="str">
        <f t="shared" si="20"/>
        <v/>
      </c>
      <c r="C119" s="507">
        <f>IF(D93="","-",+C118+1)</f>
        <v>2038</v>
      </c>
      <c r="D119" s="374">
        <f>IF(F118+SUM(E$99:E118)=D$92,F118,D$92-SUM(E$99:E118))</f>
        <v>939229.03935391398</v>
      </c>
      <c r="E119" s="522">
        <f>IF(+J96&lt;F118,J96,D119)</f>
        <v>42510.341463414632</v>
      </c>
      <c r="F119" s="523">
        <f t="shared" si="25"/>
        <v>896718.69789049937</v>
      </c>
      <c r="G119" s="523">
        <f t="shared" si="26"/>
        <v>917973.86862220662</v>
      </c>
      <c r="H119" s="526">
        <f t="shared" si="27"/>
        <v>146713.43498959194</v>
      </c>
      <c r="I119" s="577">
        <f t="shared" si="28"/>
        <v>146713.43498959194</v>
      </c>
      <c r="J119" s="514">
        <f t="shared" si="16"/>
        <v>0</v>
      </c>
      <c r="K119" s="514"/>
      <c r="L119" s="525"/>
      <c r="M119" s="514">
        <f t="shared" si="24"/>
        <v>0</v>
      </c>
      <c r="N119" s="525"/>
      <c r="O119" s="514">
        <f t="shared" si="18"/>
        <v>0</v>
      </c>
      <c r="P119" s="514">
        <f t="shared" si="19"/>
        <v>0</v>
      </c>
    </row>
    <row r="120" spans="2:16">
      <c r="B120" s="195" t="str">
        <f t="shared" si="20"/>
        <v/>
      </c>
      <c r="C120" s="507">
        <f>IF(D93="","-",+C119+1)</f>
        <v>2039</v>
      </c>
      <c r="D120" s="374">
        <f>IF(F119+SUM(E$99:E119)=D$92,F119,D$92-SUM(E$99:E119))</f>
        <v>896718.69789049937</v>
      </c>
      <c r="E120" s="522">
        <f>IF(+J96&lt;F119,J96,D120)</f>
        <v>42510.341463414632</v>
      </c>
      <c r="F120" s="523">
        <f t="shared" si="25"/>
        <v>854208.35642708477</v>
      </c>
      <c r="G120" s="523">
        <f t="shared" si="26"/>
        <v>875463.52715879213</v>
      </c>
      <c r="H120" s="526">
        <f t="shared" si="27"/>
        <v>141887.90646557143</v>
      </c>
      <c r="I120" s="577">
        <f t="shared" si="28"/>
        <v>141887.90646557143</v>
      </c>
      <c r="J120" s="514">
        <f t="shared" si="16"/>
        <v>0</v>
      </c>
      <c r="K120" s="514"/>
      <c r="L120" s="525"/>
      <c r="M120" s="514">
        <f t="shared" si="24"/>
        <v>0</v>
      </c>
      <c r="N120" s="525"/>
      <c r="O120" s="514">
        <f t="shared" si="18"/>
        <v>0</v>
      </c>
      <c r="P120" s="514">
        <f t="shared" si="19"/>
        <v>0</v>
      </c>
    </row>
    <row r="121" spans="2:16">
      <c r="B121" s="195" t="str">
        <f t="shared" si="20"/>
        <v/>
      </c>
      <c r="C121" s="507">
        <f>IF(D93="","-",+C120+1)</f>
        <v>2040</v>
      </c>
      <c r="D121" s="374">
        <f>IF(F120+SUM(E$99:E120)=D$92,F120,D$92-SUM(E$99:E120))</f>
        <v>854208.35642708477</v>
      </c>
      <c r="E121" s="522">
        <f>IF(+J96&lt;F120,J96,D121)</f>
        <v>42510.341463414632</v>
      </c>
      <c r="F121" s="523">
        <f t="shared" si="25"/>
        <v>811698.01496367017</v>
      </c>
      <c r="G121" s="523">
        <f t="shared" si="26"/>
        <v>832953.18569537741</v>
      </c>
      <c r="H121" s="526">
        <f t="shared" si="27"/>
        <v>137062.37794155086</v>
      </c>
      <c r="I121" s="577">
        <f t="shared" si="28"/>
        <v>137062.37794155086</v>
      </c>
      <c r="J121" s="514">
        <f t="shared" si="16"/>
        <v>0</v>
      </c>
      <c r="K121" s="514"/>
      <c r="L121" s="525"/>
      <c r="M121" s="514">
        <f t="shared" si="24"/>
        <v>0</v>
      </c>
      <c r="N121" s="525"/>
      <c r="O121" s="514">
        <f t="shared" si="18"/>
        <v>0</v>
      </c>
      <c r="P121" s="514">
        <f t="shared" si="19"/>
        <v>0</v>
      </c>
    </row>
    <row r="122" spans="2:16">
      <c r="B122" s="195" t="str">
        <f t="shared" si="20"/>
        <v/>
      </c>
      <c r="C122" s="507">
        <f>IF(D93="","-",+C121+1)</f>
        <v>2041</v>
      </c>
      <c r="D122" s="374">
        <f>IF(F121+SUM(E$99:E121)=D$92,F121,D$92-SUM(E$99:E121))</f>
        <v>811698.01496367017</v>
      </c>
      <c r="E122" s="522">
        <f>IF(+J96&lt;F121,J96,D122)</f>
        <v>42510.341463414632</v>
      </c>
      <c r="F122" s="523">
        <f t="shared" si="25"/>
        <v>769187.67350025557</v>
      </c>
      <c r="G122" s="523">
        <f t="shared" si="26"/>
        <v>790442.84423196292</v>
      </c>
      <c r="H122" s="526">
        <f t="shared" si="27"/>
        <v>132236.84941753038</v>
      </c>
      <c r="I122" s="577">
        <f t="shared" si="28"/>
        <v>132236.84941753038</v>
      </c>
      <c r="J122" s="514">
        <f t="shared" si="16"/>
        <v>0</v>
      </c>
      <c r="K122" s="514"/>
      <c r="L122" s="525"/>
      <c r="M122" s="514">
        <f t="shared" si="24"/>
        <v>0</v>
      </c>
      <c r="N122" s="525"/>
      <c r="O122" s="514">
        <f t="shared" si="18"/>
        <v>0</v>
      </c>
      <c r="P122" s="514">
        <f t="shared" si="19"/>
        <v>0</v>
      </c>
    </row>
    <row r="123" spans="2:16">
      <c r="B123" s="195" t="str">
        <f t="shared" si="20"/>
        <v/>
      </c>
      <c r="C123" s="507">
        <f>IF(D93="","-",+C122+1)</f>
        <v>2042</v>
      </c>
      <c r="D123" s="374">
        <f>IF(F122+SUM(E$99:E122)=D$92,F122,D$92-SUM(E$99:E122))</f>
        <v>769187.67350025557</v>
      </c>
      <c r="E123" s="522">
        <f>IF(+J96&lt;F122,J96,D123)</f>
        <v>42510.341463414632</v>
      </c>
      <c r="F123" s="523">
        <f t="shared" si="25"/>
        <v>726677.33203684096</v>
      </c>
      <c r="G123" s="523">
        <f t="shared" si="26"/>
        <v>747932.50276854821</v>
      </c>
      <c r="H123" s="526">
        <f t="shared" si="27"/>
        <v>127411.32089350984</v>
      </c>
      <c r="I123" s="577">
        <f t="shared" si="28"/>
        <v>127411.32089350984</v>
      </c>
      <c r="J123" s="514">
        <f t="shared" si="16"/>
        <v>0</v>
      </c>
      <c r="K123" s="514"/>
      <c r="L123" s="525"/>
      <c r="M123" s="514">
        <f t="shared" si="24"/>
        <v>0</v>
      </c>
      <c r="N123" s="525"/>
      <c r="O123" s="514">
        <f t="shared" si="18"/>
        <v>0</v>
      </c>
      <c r="P123" s="514">
        <f t="shared" si="19"/>
        <v>0</v>
      </c>
    </row>
    <row r="124" spans="2:16">
      <c r="B124" s="195" t="str">
        <f t="shared" si="20"/>
        <v/>
      </c>
      <c r="C124" s="507">
        <f>IF(D93="","-",+C123+1)</f>
        <v>2043</v>
      </c>
      <c r="D124" s="374">
        <f>IF(F123+SUM(E$99:E123)=D$92,F123,D$92-SUM(E$99:E123))</f>
        <v>726677.33203684096</v>
      </c>
      <c r="E124" s="522">
        <f>IF(+J96&lt;F123,J96,D124)</f>
        <v>42510.341463414632</v>
      </c>
      <c r="F124" s="523">
        <f t="shared" si="25"/>
        <v>684166.99057342636</v>
      </c>
      <c r="G124" s="523">
        <f t="shared" si="26"/>
        <v>705422.16130513372</v>
      </c>
      <c r="H124" s="526">
        <f t="shared" si="27"/>
        <v>122585.79236948933</v>
      </c>
      <c r="I124" s="577">
        <f t="shared" si="28"/>
        <v>122585.79236948933</v>
      </c>
      <c r="J124" s="514">
        <f t="shared" si="16"/>
        <v>0</v>
      </c>
      <c r="K124" s="514"/>
      <c r="L124" s="525"/>
      <c r="M124" s="514">
        <f t="shared" si="24"/>
        <v>0</v>
      </c>
      <c r="N124" s="525"/>
      <c r="O124" s="514">
        <f t="shared" si="18"/>
        <v>0</v>
      </c>
      <c r="P124" s="514">
        <f t="shared" si="19"/>
        <v>0</v>
      </c>
    </row>
    <row r="125" spans="2:16">
      <c r="B125" s="195" t="str">
        <f t="shared" si="20"/>
        <v/>
      </c>
      <c r="C125" s="507">
        <f>IF(D93="","-",+C124+1)</f>
        <v>2044</v>
      </c>
      <c r="D125" s="374">
        <f>IF(F124+SUM(E$99:E124)=D$92,F124,D$92-SUM(E$99:E124))</f>
        <v>684166.99057342636</v>
      </c>
      <c r="E125" s="522">
        <f>IF(+J96&lt;F124,J96,D125)</f>
        <v>42510.341463414632</v>
      </c>
      <c r="F125" s="523">
        <f t="shared" si="25"/>
        <v>641656.64911001176</v>
      </c>
      <c r="G125" s="523">
        <f t="shared" si="26"/>
        <v>662911.819841719</v>
      </c>
      <c r="H125" s="526">
        <f t="shared" si="27"/>
        <v>117760.2638454688</v>
      </c>
      <c r="I125" s="577">
        <f t="shared" si="28"/>
        <v>117760.2638454688</v>
      </c>
      <c r="J125" s="514">
        <f t="shared" si="16"/>
        <v>0</v>
      </c>
      <c r="K125" s="514"/>
      <c r="L125" s="525"/>
      <c r="M125" s="514">
        <f t="shared" si="24"/>
        <v>0</v>
      </c>
      <c r="N125" s="525"/>
      <c r="O125" s="514">
        <f t="shared" si="18"/>
        <v>0</v>
      </c>
      <c r="P125" s="514">
        <f t="shared" si="19"/>
        <v>0</v>
      </c>
    </row>
    <row r="126" spans="2:16">
      <c r="B126" s="195" t="str">
        <f t="shared" si="20"/>
        <v/>
      </c>
      <c r="C126" s="507">
        <f>IF(D93="","-",+C125+1)</f>
        <v>2045</v>
      </c>
      <c r="D126" s="374">
        <f>IF(F125+SUM(E$99:E125)=D$92,F125,D$92-SUM(E$99:E125))</f>
        <v>641656.64911001176</v>
      </c>
      <c r="E126" s="522">
        <f>IF(+J96&lt;F125,J96,D126)</f>
        <v>42510.341463414632</v>
      </c>
      <c r="F126" s="523">
        <f t="shared" si="25"/>
        <v>599146.30764659715</v>
      </c>
      <c r="G126" s="523">
        <f t="shared" si="26"/>
        <v>620401.47837830451</v>
      </c>
      <c r="H126" s="526">
        <f t="shared" si="27"/>
        <v>112934.73532144829</v>
      </c>
      <c r="I126" s="577">
        <f t="shared" si="28"/>
        <v>112934.73532144829</v>
      </c>
      <c r="J126" s="514">
        <f t="shared" si="16"/>
        <v>0</v>
      </c>
      <c r="K126" s="514"/>
      <c r="L126" s="525"/>
      <c r="M126" s="514">
        <f t="shared" si="24"/>
        <v>0</v>
      </c>
      <c r="N126" s="525"/>
      <c r="O126" s="514">
        <f t="shared" si="18"/>
        <v>0</v>
      </c>
      <c r="P126" s="514">
        <f t="shared" si="19"/>
        <v>0</v>
      </c>
    </row>
    <row r="127" spans="2:16">
      <c r="B127" s="195" t="str">
        <f t="shared" si="20"/>
        <v/>
      </c>
      <c r="C127" s="507">
        <f>IF(D93="","-",+C126+1)</f>
        <v>2046</v>
      </c>
      <c r="D127" s="374">
        <f>IF(F126+SUM(E$99:E126)=D$92,F126,D$92-SUM(E$99:E126))</f>
        <v>599146.30764659715</v>
      </c>
      <c r="E127" s="522">
        <f>IF(+J96&lt;F126,J96,D127)</f>
        <v>42510.341463414632</v>
      </c>
      <c r="F127" s="523">
        <f t="shared" si="25"/>
        <v>556635.96618318255</v>
      </c>
      <c r="G127" s="523">
        <f t="shared" si="26"/>
        <v>577891.13691488979</v>
      </c>
      <c r="H127" s="526">
        <f t="shared" si="27"/>
        <v>108109.20679742776</v>
      </c>
      <c r="I127" s="577">
        <f t="shared" si="28"/>
        <v>108109.20679742776</v>
      </c>
      <c r="J127" s="514">
        <f t="shared" si="16"/>
        <v>0</v>
      </c>
      <c r="K127" s="514"/>
      <c r="L127" s="525"/>
      <c r="M127" s="514">
        <f t="shared" si="24"/>
        <v>0</v>
      </c>
      <c r="N127" s="525"/>
      <c r="O127" s="514">
        <f t="shared" si="18"/>
        <v>0</v>
      </c>
      <c r="P127" s="514">
        <f t="shared" si="19"/>
        <v>0</v>
      </c>
    </row>
    <row r="128" spans="2:16">
      <c r="B128" s="195" t="str">
        <f t="shared" si="20"/>
        <v/>
      </c>
      <c r="C128" s="507">
        <f>IF(D93="","-",+C127+1)</f>
        <v>2047</v>
      </c>
      <c r="D128" s="374">
        <f>IF(F127+SUM(E$99:E127)=D$92,F127,D$92-SUM(E$99:E127))</f>
        <v>556635.96618318255</v>
      </c>
      <c r="E128" s="522">
        <f>IF(+J96&lt;F127,J96,D128)</f>
        <v>42510.341463414632</v>
      </c>
      <c r="F128" s="523">
        <f t="shared" si="25"/>
        <v>514125.62471976795</v>
      </c>
      <c r="G128" s="523">
        <f t="shared" si="26"/>
        <v>535380.79545147531</v>
      </c>
      <c r="H128" s="526">
        <f t="shared" si="27"/>
        <v>103283.67827340725</v>
      </c>
      <c r="I128" s="577">
        <f t="shared" si="28"/>
        <v>103283.67827340725</v>
      </c>
      <c r="J128" s="514">
        <f t="shared" si="16"/>
        <v>0</v>
      </c>
      <c r="K128" s="514"/>
      <c r="L128" s="525"/>
      <c r="M128" s="514">
        <f t="shared" si="24"/>
        <v>0</v>
      </c>
      <c r="N128" s="525"/>
      <c r="O128" s="514">
        <f t="shared" si="18"/>
        <v>0</v>
      </c>
      <c r="P128" s="514">
        <f t="shared" si="19"/>
        <v>0</v>
      </c>
    </row>
    <row r="129" spans="2:16">
      <c r="B129" s="195" t="str">
        <f t="shared" si="20"/>
        <v/>
      </c>
      <c r="C129" s="507">
        <f>IF(D93="","-",+C128+1)</f>
        <v>2048</v>
      </c>
      <c r="D129" s="374">
        <f>IF(F128+SUM(E$99:E128)=D$92,F128,D$92-SUM(E$99:E128))</f>
        <v>514125.62471976795</v>
      </c>
      <c r="E129" s="522">
        <f>IF(+J96&lt;F128,J96,D129)</f>
        <v>42510.341463414632</v>
      </c>
      <c r="F129" s="523">
        <f t="shared" si="25"/>
        <v>471615.28325635334</v>
      </c>
      <c r="G129" s="523">
        <f t="shared" si="26"/>
        <v>492870.45398806065</v>
      </c>
      <c r="H129" s="526">
        <f t="shared" si="27"/>
        <v>98458.149749386721</v>
      </c>
      <c r="I129" s="577">
        <f t="shared" si="28"/>
        <v>98458.149749386721</v>
      </c>
      <c r="J129" s="514">
        <f t="shared" si="16"/>
        <v>0</v>
      </c>
      <c r="K129" s="514"/>
      <c r="L129" s="525"/>
      <c r="M129" s="514">
        <f t="shared" si="24"/>
        <v>0</v>
      </c>
      <c r="N129" s="525"/>
      <c r="O129" s="514">
        <f t="shared" si="18"/>
        <v>0</v>
      </c>
      <c r="P129" s="514">
        <f t="shared" si="19"/>
        <v>0</v>
      </c>
    </row>
    <row r="130" spans="2:16">
      <c r="B130" s="195" t="str">
        <f t="shared" si="20"/>
        <v/>
      </c>
      <c r="C130" s="507">
        <f>IF(D93="","-",+C129+1)</f>
        <v>2049</v>
      </c>
      <c r="D130" s="374">
        <f>IF(F129+SUM(E$99:E129)=D$92,F129,D$92-SUM(E$99:E129))</f>
        <v>471615.28325635334</v>
      </c>
      <c r="E130" s="522">
        <f>IF(+J96&lt;F129,J96,D130)</f>
        <v>42510.341463414632</v>
      </c>
      <c r="F130" s="523">
        <f t="shared" si="25"/>
        <v>429104.94179293874</v>
      </c>
      <c r="G130" s="523">
        <f t="shared" si="26"/>
        <v>450360.11252464604</v>
      </c>
      <c r="H130" s="526">
        <f t="shared" si="27"/>
        <v>93632.621225366194</v>
      </c>
      <c r="I130" s="577">
        <f t="shared" si="28"/>
        <v>93632.621225366194</v>
      </c>
      <c r="J130" s="514">
        <f t="shared" si="16"/>
        <v>0</v>
      </c>
      <c r="K130" s="514"/>
      <c r="L130" s="525"/>
      <c r="M130" s="514">
        <f t="shared" si="24"/>
        <v>0</v>
      </c>
      <c r="N130" s="525"/>
      <c r="O130" s="514">
        <f t="shared" si="18"/>
        <v>0</v>
      </c>
      <c r="P130" s="514">
        <f t="shared" si="19"/>
        <v>0</v>
      </c>
    </row>
    <row r="131" spans="2:16">
      <c r="B131" s="195" t="str">
        <f t="shared" si="20"/>
        <v/>
      </c>
      <c r="C131" s="507">
        <f>IF(D93="","-",+C130+1)</f>
        <v>2050</v>
      </c>
      <c r="D131" s="374">
        <f>IF(F130+SUM(E$99:E130)=D$92,F130,D$92-SUM(E$99:E130))</f>
        <v>429104.94179293874</v>
      </c>
      <c r="E131" s="522">
        <f>IF(+J96&lt;F130,J96,D131)</f>
        <v>42510.341463414632</v>
      </c>
      <c r="F131" s="523">
        <f t="shared" si="25"/>
        <v>386594.60032952414</v>
      </c>
      <c r="G131" s="523">
        <f t="shared" si="26"/>
        <v>407849.77106123144</v>
      </c>
      <c r="H131" s="526">
        <f t="shared" si="27"/>
        <v>88807.092701345682</v>
      </c>
      <c r="I131" s="577">
        <f t="shared" si="28"/>
        <v>88807.092701345682</v>
      </c>
      <c r="J131" s="514">
        <f t="shared" ref="J131:J154" si="29">+I541-H541</f>
        <v>0</v>
      </c>
      <c r="K131" s="514"/>
      <c r="L131" s="525"/>
      <c r="M131" s="514">
        <f t="shared" ref="M131:M154" si="30">IF(L541&lt;&gt;0,+H541-L541,0)</f>
        <v>0</v>
      </c>
      <c r="N131" s="525"/>
      <c r="O131" s="514">
        <f t="shared" ref="O131:O154" si="31">IF(N541&lt;&gt;0,+I541-N541,0)</f>
        <v>0</v>
      </c>
      <c r="P131" s="514">
        <f t="shared" ref="P131:P154" si="32">+O541-M541</f>
        <v>0</v>
      </c>
    </row>
    <row r="132" spans="2:16">
      <c r="B132" s="195" t="str">
        <f t="shared" si="20"/>
        <v/>
      </c>
      <c r="C132" s="507">
        <f>IF(D93="","-",+C131+1)</f>
        <v>2051</v>
      </c>
      <c r="D132" s="374">
        <f>IF(F131+SUM(E$99:E131)=D$92,F131,D$92-SUM(E$99:E131))</f>
        <v>386594.60032952414</v>
      </c>
      <c r="E132" s="522">
        <f>IF(+J96&lt;F131,J96,D132)</f>
        <v>42510.341463414632</v>
      </c>
      <c r="F132" s="523">
        <f t="shared" si="25"/>
        <v>344084.25886610954</v>
      </c>
      <c r="G132" s="523">
        <f t="shared" si="26"/>
        <v>365339.42959781684</v>
      </c>
      <c r="H132" s="526">
        <f t="shared" si="27"/>
        <v>83981.564177325155</v>
      </c>
      <c r="I132" s="577">
        <f t="shared" si="28"/>
        <v>83981.564177325155</v>
      </c>
      <c r="J132" s="514">
        <f t="shared" si="29"/>
        <v>0</v>
      </c>
      <c r="K132" s="514"/>
      <c r="L132" s="525"/>
      <c r="M132" s="514">
        <f t="shared" si="30"/>
        <v>0</v>
      </c>
      <c r="N132" s="525"/>
      <c r="O132" s="514">
        <f t="shared" si="31"/>
        <v>0</v>
      </c>
      <c r="P132" s="514">
        <f t="shared" si="32"/>
        <v>0</v>
      </c>
    </row>
    <row r="133" spans="2:16">
      <c r="B133" s="195" t="str">
        <f t="shared" si="20"/>
        <v/>
      </c>
      <c r="C133" s="507">
        <f>IF(D93="","-",+C132+1)</f>
        <v>2052</v>
      </c>
      <c r="D133" s="374">
        <f>IF(F132+SUM(E$99:E132)=D$92,F132,D$92-SUM(E$99:E132))</f>
        <v>344084.25886610954</v>
      </c>
      <c r="E133" s="522">
        <f>IF(+J96&lt;F132,J96,D133)</f>
        <v>42510.341463414632</v>
      </c>
      <c r="F133" s="523">
        <f t="shared" si="25"/>
        <v>301573.91740269493</v>
      </c>
      <c r="G133" s="523">
        <f t="shared" si="26"/>
        <v>322829.08813440223</v>
      </c>
      <c r="H133" s="526">
        <f t="shared" si="27"/>
        <v>79156.035653304629</v>
      </c>
      <c r="I133" s="577">
        <f t="shared" si="28"/>
        <v>79156.035653304629</v>
      </c>
      <c r="J133" s="514">
        <f t="shared" si="29"/>
        <v>0</v>
      </c>
      <c r="K133" s="514"/>
      <c r="L133" s="525"/>
      <c r="M133" s="514">
        <f t="shared" si="30"/>
        <v>0</v>
      </c>
      <c r="N133" s="525"/>
      <c r="O133" s="514">
        <f t="shared" si="31"/>
        <v>0</v>
      </c>
      <c r="P133" s="514">
        <f t="shared" si="32"/>
        <v>0</v>
      </c>
    </row>
    <row r="134" spans="2:16">
      <c r="B134" s="195" t="str">
        <f t="shared" si="20"/>
        <v/>
      </c>
      <c r="C134" s="507">
        <f>IF(D93="","-",+C133+1)</f>
        <v>2053</v>
      </c>
      <c r="D134" s="374">
        <f>IF(F133+SUM(E$99:E133)=D$92,F133,D$92-SUM(E$99:E133))</f>
        <v>301573.91740269493</v>
      </c>
      <c r="E134" s="522">
        <f>IF(+J96&lt;F133,J96,D134)</f>
        <v>42510.341463414632</v>
      </c>
      <c r="F134" s="523">
        <f t="shared" si="25"/>
        <v>259063.5759392803</v>
      </c>
      <c r="G134" s="523">
        <f t="shared" si="26"/>
        <v>280318.74667098763</v>
      </c>
      <c r="H134" s="526">
        <f t="shared" si="27"/>
        <v>74330.507129284117</v>
      </c>
      <c r="I134" s="577">
        <f t="shared" si="28"/>
        <v>74330.507129284117</v>
      </c>
      <c r="J134" s="514">
        <f t="shared" si="29"/>
        <v>0</v>
      </c>
      <c r="K134" s="514"/>
      <c r="L134" s="525"/>
      <c r="M134" s="514">
        <f t="shared" si="30"/>
        <v>0</v>
      </c>
      <c r="N134" s="525"/>
      <c r="O134" s="514">
        <f t="shared" si="31"/>
        <v>0</v>
      </c>
      <c r="P134" s="514">
        <f t="shared" si="32"/>
        <v>0</v>
      </c>
    </row>
    <row r="135" spans="2:16">
      <c r="B135" s="195" t="str">
        <f t="shared" si="20"/>
        <v/>
      </c>
      <c r="C135" s="507">
        <f>IF(D93="","-",+C134+1)</f>
        <v>2054</v>
      </c>
      <c r="D135" s="374">
        <f>IF(F134+SUM(E$99:E134)=D$92,F134,D$92-SUM(E$99:E134))</f>
        <v>259063.5759392803</v>
      </c>
      <c r="E135" s="522">
        <f>IF(+J96&lt;F134,J96,D135)</f>
        <v>42510.341463414632</v>
      </c>
      <c r="F135" s="523">
        <f t="shared" si="25"/>
        <v>216553.23447586567</v>
      </c>
      <c r="G135" s="523">
        <f t="shared" si="26"/>
        <v>237808.40520757297</v>
      </c>
      <c r="H135" s="526">
        <f t="shared" si="27"/>
        <v>69504.97860526359</v>
      </c>
      <c r="I135" s="577">
        <f t="shared" si="28"/>
        <v>69504.97860526359</v>
      </c>
      <c r="J135" s="514">
        <f t="shared" si="29"/>
        <v>0</v>
      </c>
      <c r="K135" s="514"/>
      <c r="L135" s="525"/>
      <c r="M135" s="514">
        <f t="shared" si="30"/>
        <v>0</v>
      </c>
      <c r="N135" s="525"/>
      <c r="O135" s="514">
        <f t="shared" si="31"/>
        <v>0</v>
      </c>
      <c r="P135" s="514">
        <f t="shared" si="32"/>
        <v>0</v>
      </c>
    </row>
    <row r="136" spans="2:16">
      <c r="B136" s="195" t="str">
        <f t="shared" si="20"/>
        <v/>
      </c>
      <c r="C136" s="507">
        <f>IF(D93="","-",+C135+1)</f>
        <v>2055</v>
      </c>
      <c r="D136" s="374">
        <f>IF(F135+SUM(E$99:E135)=D$92,F135,D$92-SUM(E$99:E135))</f>
        <v>216553.23447586567</v>
      </c>
      <c r="E136" s="522">
        <f>IF(+J96&lt;F135,J96,D136)</f>
        <v>42510.341463414632</v>
      </c>
      <c r="F136" s="523">
        <f t="shared" si="25"/>
        <v>174042.89301245104</v>
      </c>
      <c r="G136" s="523">
        <f t="shared" si="26"/>
        <v>195298.06374415837</v>
      </c>
      <c r="H136" s="526">
        <f t="shared" si="27"/>
        <v>64679.450081243063</v>
      </c>
      <c r="I136" s="577">
        <f t="shared" si="28"/>
        <v>64679.450081243063</v>
      </c>
      <c r="J136" s="514">
        <f t="shared" si="29"/>
        <v>0</v>
      </c>
      <c r="K136" s="514"/>
      <c r="L136" s="525"/>
      <c r="M136" s="514">
        <f t="shared" si="30"/>
        <v>0</v>
      </c>
      <c r="N136" s="525"/>
      <c r="O136" s="514">
        <f t="shared" si="31"/>
        <v>0</v>
      </c>
      <c r="P136" s="514">
        <f t="shared" si="32"/>
        <v>0</v>
      </c>
    </row>
    <row r="137" spans="2:16">
      <c r="B137" s="195" t="str">
        <f t="shared" si="20"/>
        <v/>
      </c>
      <c r="C137" s="507">
        <f>IF(D93="","-",+C136+1)</f>
        <v>2056</v>
      </c>
      <c r="D137" s="374">
        <f>IF(F136+SUM(E$99:E136)=D$92,F136,D$92-SUM(E$99:E136))</f>
        <v>174042.89301245104</v>
      </c>
      <c r="E137" s="522">
        <f>IF(+J96&lt;F136,J96,D137)</f>
        <v>42510.341463414632</v>
      </c>
      <c r="F137" s="523">
        <f t="shared" si="25"/>
        <v>131532.55154903641</v>
      </c>
      <c r="G137" s="523">
        <f t="shared" si="26"/>
        <v>152787.72228074371</v>
      </c>
      <c r="H137" s="526">
        <f t="shared" si="27"/>
        <v>59853.921557222537</v>
      </c>
      <c r="I137" s="577">
        <f t="shared" si="28"/>
        <v>59853.921557222537</v>
      </c>
      <c r="J137" s="514">
        <f t="shared" si="29"/>
        <v>0</v>
      </c>
      <c r="K137" s="514"/>
      <c r="L137" s="525"/>
      <c r="M137" s="514">
        <f t="shared" si="30"/>
        <v>0</v>
      </c>
      <c r="N137" s="525"/>
      <c r="O137" s="514">
        <f t="shared" si="31"/>
        <v>0</v>
      </c>
      <c r="P137" s="514">
        <f t="shared" si="32"/>
        <v>0</v>
      </c>
    </row>
    <row r="138" spans="2:16">
      <c r="B138" s="195" t="str">
        <f t="shared" si="20"/>
        <v/>
      </c>
      <c r="C138" s="507">
        <f>IF(D93="","-",+C137+1)</f>
        <v>2057</v>
      </c>
      <c r="D138" s="374">
        <f>IF(F137+SUM(E$99:E137)=D$92,F137,D$92-SUM(E$99:E137))</f>
        <v>131532.55154903641</v>
      </c>
      <c r="E138" s="522">
        <f>IF(+J96&lt;F137,J96,D138)</f>
        <v>42510.341463414632</v>
      </c>
      <c r="F138" s="523">
        <f t="shared" si="25"/>
        <v>89022.210085621773</v>
      </c>
      <c r="G138" s="523">
        <f t="shared" si="26"/>
        <v>110277.38081732909</v>
      </c>
      <c r="H138" s="526">
        <f t="shared" si="27"/>
        <v>55028.393033202017</v>
      </c>
      <c r="I138" s="577">
        <f t="shared" si="28"/>
        <v>55028.393033202017</v>
      </c>
      <c r="J138" s="514">
        <f t="shared" si="29"/>
        <v>0</v>
      </c>
      <c r="K138" s="514"/>
      <c r="L138" s="525"/>
      <c r="M138" s="514">
        <f t="shared" si="30"/>
        <v>0</v>
      </c>
      <c r="N138" s="525"/>
      <c r="O138" s="514">
        <f t="shared" si="31"/>
        <v>0</v>
      </c>
      <c r="P138" s="514">
        <f t="shared" si="32"/>
        <v>0</v>
      </c>
    </row>
    <row r="139" spans="2:16">
      <c r="B139" s="195" t="str">
        <f t="shared" si="20"/>
        <v/>
      </c>
      <c r="C139" s="507">
        <f>IF(D93="","-",+C138+1)</f>
        <v>2058</v>
      </c>
      <c r="D139" s="374">
        <f>IF(F138+SUM(E$99:E138)=D$92,F138,D$92-SUM(E$99:E138))</f>
        <v>89022.210085621773</v>
      </c>
      <c r="E139" s="522">
        <f>IF(+J96&lt;F138,J96,D139)</f>
        <v>42510.341463414632</v>
      </c>
      <c r="F139" s="523">
        <f t="shared" si="25"/>
        <v>46511.868622207141</v>
      </c>
      <c r="G139" s="523">
        <f t="shared" si="26"/>
        <v>67767.039353914457</v>
      </c>
      <c r="H139" s="526">
        <f t="shared" si="27"/>
        <v>50202.864509181491</v>
      </c>
      <c r="I139" s="577">
        <f t="shared" si="28"/>
        <v>50202.864509181491</v>
      </c>
      <c r="J139" s="514">
        <f t="shared" si="29"/>
        <v>0</v>
      </c>
      <c r="K139" s="514"/>
      <c r="L139" s="525"/>
      <c r="M139" s="514">
        <f t="shared" si="30"/>
        <v>0</v>
      </c>
      <c r="N139" s="525"/>
      <c r="O139" s="514">
        <f t="shared" si="31"/>
        <v>0</v>
      </c>
      <c r="P139" s="514">
        <f t="shared" si="32"/>
        <v>0</v>
      </c>
    </row>
    <row r="140" spans="2:16">
      <c r="B140" s="195" t="str">
        <f t="shared" si="20"/>
        <v/>
      </c>
      <c r="C140" s="507">
        <f>IF(D93="","-",+C139+1)</f>
        <v>2059</v>
      </c>
      <c r="D140" s="374">
        <f>IF(F139+SUM(E$99:E139)=D$92,F139,D$92-SUM(E$99:E139))</f>
        <v>46511.868622207141</v>
      </c>
      <c r="E140" s="522">
        <f>IF(+J96&lt;F139,J96,D140)</f>
        <v>42510.341463414632</v>
      </c>
      <c r="F140" s="523">
        <f t="shared" si="25"/>
        <v>4001.527158792509</v>
      </c>
      <c r="G140" s="523">
        <f t="shared" si="26"/>
        <v>25256.697890499825</v>
      </c>
      <c r="H140" s="526">
        <f t="shared" si="27"/>
        <v>45377.335985160971</v>
      </c>
      <c r="I140" s="577">
        <f t="shared" si="28"/>
        <v>45377.335985160971</v>
      </c>
      <c r="J140" s="514">
        <f t="shared" si="29"/>
        <v>0</v>
      </c>
      <c r="K140" s="514"/>
      <c r="L140" s="525"/>
      <c r="M140" s="514">
        <f t="shared" si="30"/>
        <v>0</v>
      </c>
      <c r="N140" s="525"/>
      <c r="O140" s="514">
        <f t="shared" si="31"/>
        <v>0</v>
      </c>
      <c r="P140" s="514">
        <f t="shared" si="32"/>
        <v>0</v>
      </c>
    </row>
    <row r="141" spans="2:16">
      <c r="B141" s="195" t="str">
        <f t="shared" si="20"/>
        <v/>
      </c>
      <c r="C141" s="507">
        <f>IF(D93="","-",+C140+1)</f>
        <v>2060</v>
      </c>
      <c r="D141" s="374">
        <f>IF(F140+SUM(E$99:E140)=D$92,F140,D$92-SUM(E$99:E140))</f>
        <v>4001.527158792509</v>
      </c>
      <c r="E141" s="522">
        <f>IF(+J96&lt;F140,J96,D141)</f>
        <v>4001.527158792509</v>
      </c>
      <c r="F141" s="523">
        <f t="shared" si="25"/>
        <v>0</v>
      </c>
      <c r="G141" s="523">
        <f t="shared" si="26"/>
        <v>2000.7635793962545</v>
      </c>
      <c r="H141" s="526">
        <f t="shared" si="27"/>
        <v>4228.642288660546</v>
      </c>
      <c r="I141" s="577">
        <f t="shared" si="28"/>
        <v>4228.642288660546</v>
      </c>
      <c r="J141" s="514">
        <f t="shared" si="29"/>
        <v>0</v>
      </c>
      <c r="K141" s="514"/>
      <c r="L141" s="525"/>
      <c r="M141" s="514">
        <f t="shared" si="30"/>
        <v>0</v>
      </c>
      <c r="N141" s="525"/>
      <c r="O141" s="514">
        <f t="shared" si="31"/>
        <v>0</v>
      </c>
      <c r="P141" s="514">
        <f t="shared" si="32"/>
        <v>0</v>
      </c>
    </row>
    <row r="142" spans="2:16">
      <c r="B142" s="195" t="str">
        <f t="shared" si="20"/>
        <v/>
      </c>
      <c r="C142" s="507">
        <f>IF(D93="","-",+C141+1)</f>
        <v>2061</v>
      </c>
      <c r="D142" s="374">
        <f>IF(F141+SUM(E$99:E141)=D$92,F141,D$92-SUM(E$99:E141))</f>
        <v>0</v>
      </c>
      <c r="E142" s="522">
        <f>IF(+J96&lt;F141,J96,D142)</f>
        <v>0</v>
      </c>
      <c r="F142" s="523">
        <f t="shared" si="25"/>
        <v>0</v>
      </c>
      <c r="G142" s="523">
        <f t="shared" si="26"/>
        <v>0</v>
      </c>
      <c r="H142" s="526">
        <f t="shared" si="27"/>
        <v>0</v>
      </c>
      <c r="I142" s="577">
        <f t="shared" si="28"/>
        <v>0</v>
      </c>
      <c r="J142" s="514">
        <f t="shared" si="29"/>
        <v>0</v>
      </c>
      <c r="K142" s="514"/>
      <c r="L142" s="525"/>
      <c r="M142" s="514">
        <f t="shared" si="30"/>
        <v>0</v>
      </c>
      <c r="N142" s="525"/>
      <c r="O142" s="514">
        <f t="shared" si="31"/>
        <v>0</v>
      </c>
      <c r="P142" s="514">
        <f t="shared" si="32"/>
        <v>0</v>
      </c>
    </row>
    <row r="143" spans="2:16">
      <c r="B143" s="195" t="str">
        <f t="shared" si="20"/>
        <v/>
      </c>
      <c r="C143" s="507">
        <f>IF(D93="","-",+C142+1)</f>
        <v>2062</v>
      </c>
      <c r="D143" s="374">
        <f>IF(F142+SUM(E$99:E142)=D$92,F142,D$92-SUM(E$99:E142))</f>
        <v>0</v>
      </c>
      <c r="E143" s="522">
        <f>IF(+J96&lt;F142,J96,D143)</f>
        <v>0</v>
      </c>
      <c r="F143" s="523">
        <f t="shared" si="25"/>
        <v>0</v>
      </c>
      <c r="G143" s="523">
        <f t="shared" si="26"/>
        <v>0</v>
      </c>
      <c r="H143" s="526">
        <f t="shared" si="27"/>
        <v>0</v>
      </c>
      <c r="I143" s="577">
        <f t="shared" si="28"/>
        <v>0</v>
      </c>
      <c r="J143" s="514">
        <f t="shared" si="29"/>
        <v>0</v>
      </c>
      <c r="K143" s="514"/>
      <c r="L143" s="525"/>
      <c r="M143" s="514">
        <f t="shared" si="30"/>
        <v>0</v>
      </c>
      <c r="N143" s="525"/>
      <c r="O143" s="514">
        <f t="shared" si="31"/>
        <v>0</v>
      </c>
      <c r="P143" s="514">
        <f t="shared" si="32"/>
        <v>0</v>
      </c>
    </row>
    <row r="144" spans="2:16">
      <c r="B144" s="195" t="str">
        <f t="shared" si="20"/>
        <v/>
      </c>
      <c r="C144" s="507">
        <f>IF(D93="","-",+C143+1)</f>
        <v>2063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25"/>
        <v>0</v>
      </c>
      <c r="G144" s="523">
        <f t="shared" si="26"/>
        <v>0</v>
      </c>
      <c r="H144" s="526">
        <f t="shared" si="27"/>
        <v>0</v>
      </c>
      <c r="I144" s="577">
        <f t="shared" si="28"/>
        <v>0</v>
      </c>
      <c r="J144" s="514">
        <f t="shared" si="29"/>
        <v>0</v>
      </c>
      <c r="K144" s="514"/>
      <c r="L144" s="525"/>
      <c r="M144" s="514">
        <f t="shared" si="30"/>
        <v>0</v>
      </c>
      <c r="N144" s="525"/>
      <c r="O144" s="514">
        <f t="shared" si="31"/>
        <v>0</v>
      </c>
      <c r="P144" s="514">
        <f t="shared" si="32"/>
        <v>0</v>
      </c>
    </row>
    <row r="145" spans="2:16">
      <c r="B145" s="195" t="str">
        <f t="shared" si="20"/>
        <v/>
      </c>
      <c r="C145" s="507">
        <f>IF(D93="","-",+C144+1)</f>
        <v>2064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25"/>
        <v>0</v>
      </c>
      <c r="G145" s="523">
        <f t="shared" si="26"/>
        <v>0</v>
      </c>
      <c r="H145" s="526">
        <f t="shared" si="27"/>
        <v>0</v>
      </c>
      <c r="I145" s="577">
        <f t="shared" si="28"/>
        <v>0</v>
      </c>
      <c r="J145" s="514">
        <f t="shared" si="29"/>
        <v>0</v>
      </c>
      <c r="K145" s="514"/>
      <c r="L145" s="525"/>
      <c r="M145" s="514">
        <f t="shared" si="30"/>
        <v>0</v>
      </c>
      <c r="N145" s="525"/>
      <c r="O145" s="514">
        <f t="shared" si="31"/>
        <v>0</v>
      </c>
      <c r="P145" s="514">
        <f t="shared" si="32"/>
        <v>0</v>
      </c>
    </row>
    <row r="146" spans="2:16">
      <c r="B146" s="195" t="str">
        <f t="shared" si="20"/>
        <v/>
      </c>
      <c r="C146" s="507">
        <f>IF(D93="","-",+C145+1)</f>
        <v>2065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25"/>
        <v>0</v>
      </c>
      <c r="G146" s="523">
        <f t="shared" si="26"/>
        <v>0</v>
      </c>
      <c r="H146" s="526">
        <f t="shared" si="27"/>
        <v>0</v>
      </c>
      <c r="I146" s="577">
        <f t="shared" si="28"/>
        <v>0</v>
      </c>
      <c r="J146" s="514">
        <f t="shared" si="29"/>
        <v>0</v>
      </c>
      <c r="K146" s="514"/>
      <c r="L146" s="525"/>
      <c r="M146" s="514">
        <f t="shared" si="30"/>
        <v>0</v>
      </c>
      <c r="N146" s="525"/>
      <c r="O146" s="514">
        <f t="shared" si="31"/>
        <v>0</v>
      </c>
      <c r="P146" s="514">
        <f t="shared" si="32"/>
        <v>0</v>
      </c>
    </row>
    <row r="147" spans="2:16">
      <c r="B147" s="195" t="str">
        <f t="shared" si="20"/>
        <v/>
      </c>
      <c r="C147" s="507">
        <f>IF(D93="","-",+C146+1)</f>
        <v>2066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25"/>
        <v>0</v>
      </c>
      <c r="G147" s="523">
        <f t="shared" si="26"/>
        <v>0</v>
      </c>
      <c r="H147" s="526">
        <f t="shared" si="27"/>
        <v>0</v>
      </c>
      <c r="I147" s="577">
        <f t="shared" si="28"/>
        <v>0</v>
      </c>
      <c r="J147" s="514">
        <f t="shared" si="29"/>
        <v>0</v>
      </c>
      <c r="K147" s="514"/>
      <c r="L147" s="525"/>
      <c r="M147" s="514">
        <f t="shared" si="30"/>
        <v>0</v>
      </c>
      <c r="N147" s="525"/>
      <c r="O147" s="514">
        <f t="shared" si="31"/>
        <v>0</v>
      </c>
      <c r="P147" s="514">
        <f t="shared" si="32"/>
        <v>0</v>
      </c>
    </row>
    <row r="148" spans="2:16">
      <c r="B148" s="195" t="str">
        <f t="shared" si="20"/>
        <v/>
      </c>
      <c r="C148" s="507">
        <f>IF(D93="","-",+C147+1)</f>
        <v>2067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25"/>
        <v>0</v>
      </c>
      <c r="G148" s="523">
        <f t="shared" si="26"/>
        <v>0</v>
      </c>
      <c r="H148" s="526">
        <f t="shared" si="27"/>
        <v>0</v>
      </c>
      <c r="I148" s="577">
        <f t="shared" si="28"/>
        <v>0</v>
      </c>
      <c r="J148" s="514">
        <f t="shared" si="29"/>
        <v>0</v>
      </c>
      <c r="K148" s="514"/>
      <c r="L148" s="525"/>
      <c r="M148" s="514">
        <f t="shared" si="30"/>
        <v>0</v>
      </c>
      <c r="N148" s="525"/>
      <c r="O148" s="514">
        <f t="shared" si="31"/>
        <v>0</v>
      </c>
      <c r="P148" s="514">
        <f t="shared" si="32"/>
        <v>0</v>
      </c>
    </row>
    <row r="149" spans="2:16">
      <c r="B149" s="195" t="str">
        <f t="shared" si="20"/>
        <v/>
      </c>
      <c r="C149" s="507">
        <f>IF(D93="","-",+C148+1)</f>
        <v>2068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25"/>
        <v>0</v>
      </c>
      <c r="G149" s="523">
        <f t="shared" si="26"/>
        <v>0</v>
      </c>
      <c r="H149" s="526">
        <f t="shared" si="27"/>
        <v>0</v>
      </c>
      <c r="I149" s="577">
        <f t="shared" si="28"/>
        <v>0</v>
      </c>
      <c r="J149" s="514">
        <f t="shared" si="29"/>
        <v>0</v>
      </c>
      <c r="K149" s="514"/>
      <c r="L149" s="525"/>
      <c r="M149" s="514">
        <f t="shared" si="30"/>
        <v>0</v>
      </c>
      <c r="N149" s="525"/>
      <c r="O149" s="514">
        <f t="shared" si="31"/>
        <v>0</v>
      </c>
      <c r="P149" s="514">
        <f t="shared" si="32"/>
        <v>0</v>
      </c>
    </row>
    <row r="150" spans="2:16">
      <c r="B150" s="195" t="str">
        <f t="shared" si="20"/>
        <v/>
      </c>
      <c r="C150" s="507">
        <f>IF(D93="","-",+C149+1)</f>
        <v>2069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25"/>
        <v>0</v>
      </c>
      <c r="G150" s="523">
        <f t="shared" si="26"/>
        <v>0</v>
      </c>
      <c r="H150" s="526">
        <f t="shared" si="27"/>
        <v>0</v>
      </c>
      <c r="I150" s="577">
        <f t="shared" si="28"/>
        <v>0</v>
      </c>
      <c r="J150" s="514">
        <f t="shared" si="29"/>
        <v>0</v>
      </c>
      <c r="K150" s="514"/>
      <c r="L150" s="525"/>
      <c r="M150" s="514">
        <f t="shared" si="30"/>
        <v>0</v>
      </c>
      <c r="N150" s="525"/>
      <c r="O150" s="514">
        <f t="shared" si="31"/>
        <v>0</v>
      </c>
      <c r="P150" s="514">
        <f t="shared" si="32"/>
        <v>0</v>
      </c>
    </row>
    <row r="151" spans="2:16">
      <c r="B151" s="195" t="str">
        <f t="shared" si="20"/>
        <v/>
      </c>
      <c r="C151" s="507">
        <f>IF(D93="","-",+C150+1)</f>
        <v>2070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25"/>
        <v>0</v>
      </c>
      <c r="G151" s="523">
        <f t="shared" si="26"/>
        <v>0</v>
      </c>
      <c r="H151" s="526">
        <f t="shared" si="27"/>
        <v>0</v>
      </c>
      <c r="I151" s="577">
        <f t="shared" si="28"/>
        <v>0</v>
      </c>
      <c r="J151" s="514">
        <f t="shared" si="29"/>
        <v>0</v>
      </c>
      <c r="K151" s="514"/>
      <c r="L151" s="525"/>
      <c r="M151" s="514">
        <f t="shared" si="30"/>
        <v>0</v>
      </c>
      <c r="N151" s="525"/>
      <c r="O151" s="514">
        <f t="shared" si="31"/>
        <v>0</v>
      </c>
      <c r="P151" s="514">
        <f t="shared" si="32"/>
        <v>0</v>
      </c>
    </row>
    <row r="152" spans="2:16">
      <c r="B152" s="195" t="str">
        <f t="shared" si="20"/>
        <v/>
      </c>
      <c r="C152" s="507">
        <f>IF(D93="","-",+C151+1)</f>
        <v>2071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25"/>
        <v>0</v>
      </c>
      <c r="G152" s="523">
        <f t="shared" si="26"/>
        <v>0</v>
      </c>
      <c r="H152" s="526">
        <f t="shared" si="27"/>
        <v>0</v>
      </c>
      <c r="I152" s="577">
        <f t="shared" si="28"/>
        <v>0</v>
      </c>
      <c r="J152" s="514">
        <f t="shared" si="29"/>
        <v>0</v>
      </c>
      <c r="K152" s="514"/>
      <c r="L152" s="525"/>
      <c r="M152" s="514">
        <f t="shared" si="30"/>
        <v>0</v>
      </c>
      <c r="N152" s="525"/>
      <c r="O152" s="514">
        <f t="shared" si="31"/>
        <v>0</v>
      </c>
      <c r="P152" s="514">
        <f t="shared" si="32"/>
        <v>0</v>
      </c>
    </row>
    <row r="153" spans="2:16">
      <c r="B153" s="195" t="str">
        <f t="shared" si="20"/>
        <v/>
      </c>
      <c r="C153" s="507">
        <f>IF(D93="","-",+C152+1)</f>
        <v>2072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25"/>
        <v>0</v>
      </c>
      <c r="G153" s="523">
        <f t="shared" si="26"/>
        <v>0</v>
      </c>
      <c r="H153" s="526">
        <f t="shared" si="27"/>
        <v>0</v>
      </c>
      <c r="I153" s="577">
        <f t="shared" si="28"/>
        <v>0</v>
      </c>
      <c r="J153" s="514">
        <f t="shared" si="29"/>
        <v>0</v>
      </c>
      <c r="K153" s="514"/>
      <c r="L153" s="525"/>
      <c r="M153" s="514">
        <f t="shared" si="30"/>
        <v>0</v>
      </c>
      <c r="N153" s="525"/>
      <c r="O153" s="514">
        <f t="shared" si="31"/>
        <v>0</v>
      </c>
      <c r="P153" s="514">
        <f t="shared" si="32"/>
        <v>0</v>
      </c>
    </row>
    <row r="154" spans="2:16" ht="13.5" thickBot="1">
      <c r="B154" s="195" t="str">
        <f t="shared" si="20"/>
        <v/>
      </c>
      <c r="C154" s="527">
        <f>IF(D93="","-",+C153+1)</f>
        <v>2073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25"/>
        <v>0</v>
      </c>
      <c r="G154" s="528">
        <f t="shared" si="26"/>
        <v>0</v>
      </c>
      <c r="H154" s="530">
        <f t="shared" si="27"/>
        <v>0</v>
      </c>
      <c r="I154" s="579">
        <f t="shared" si="28"/>
        <v>0</v>
      </c>
      <c r="J154" s="533">
        <f t="shared" si="29"/>
        <v>0</v>
      </c>
      <c r="K154" s="514"/>
      <c r="L154" s="532"/>
      <c r="M154" s="533">
        <f t="shared" si="30"/>
        <v>0</v>
      </c>
      <c r="N154" s="532"/>
      <c r="O154" s="533">
        <f t="shared" si="31"/>
        <v>0</v>
      </c>
      <c r="P154" s="533">
        <f t="shared" si="32"/>
        <v>0</v>
      </c>
    </row>
    <row r="155" spans="2:16">
      <c r="C155" s="374" t="s">
        <v>78</v>
      </c>
      <c r="D155" s="375"/>
      <c r="E155" s="375">
        <f>SUM(E99:E154)</f>
        <v>1742924.0000000002</v>
      </c>
      <c r="F155" s="375"/>
      <c r="G155" s="375"/>
      <c r="H155" s="375">
        <f>SUM(H99:H154)</f>
        <v>5891320.6269825073</v>
      </c>
      <c r="I155" s="375">
        <f>SUM(I99:I154)</f>
        <v>5891320.6269825073</v>
      </c>
      <c r="J155" s="375">
        <f>SUM(J99:J154)</f>
        <v>0</v>
      </c>
      <c r="K155" s="375"/>
      <c r="L155" s="375"/>
      <c r="M155" s="375"/>
      <c r="N155" s="375"/>
      <c r="O155" s="375"/>
      <c r="P155" s="269"/>
    </row>
    <row r="156" spans="2:16">
      <c r="C156" s="183" t="s">
        <v>92</v>
      </c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</row>
    <row r="157" spans="2:16">
      <c r="C157" s="580"/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</row>
    <row r="158" spans="2:16">
      <c r="C158" s="614" t="s">
        <v>132</v>
      </c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</row>
    <row r="159" spans="2:16">
      <c r="C159" s="467" t="s">
        <v>79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</row>
    <row r="160" spans="2:16">
      <c r="C160" s="581" t="s">
        <v>80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</row>
    <row r="161" spans="3:16">
      <c r="C161" s="581"/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</row>
    <row r="162" spans="3:16" ht="18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635" t="s">
        <v>131</v>
      </c>
    </row>
  </sheetData>
  <conditionalFormatting sqref="C17:C72">
    <cfRule type="cellIs" dxfId="11" priority="1" stopIfTrue="1" operator="equal">
      <formula>$I$10</formula>
    </cfRule>
  </conditionalFormatting>
  <conditionalFormatting sqref="C99:C154">
    <cfRule type="cellIs" dxfId="10" priority="2" stopIfTrue="1" operator="equal">
      <formula>$J$92</formula>
    </cfRule>
  </conditionalFormatting>
  <pageMargins left="0.5" right="0.25" top="1" bottom="0.25" header="0.25" footer="0.5"/>
  <pageSetup scale="47" orientation="landscape" r:id="rId1"/>
  <headerFooter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0" max="16383" man="1"/>
  </rowBreaks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dimension ref="A1:P162"/>
  <sheetViews>
    <sheetView topLeftCell="A83" zoomScale="80" zoomScaleNormal="80" zoomScaleSheetLayoutView="80" workbookViewId="0">
      <selection activeCell="D99" sqref="D99:I102"/>
    </sheetView>
  </sheetViews>
  <sheetFormatPr defaultColWidth="8.7109375" defaultRowHeight="12.75" customHeight="1"/>
  <cols>
    <col min="1" max="1" width="4.7109375" style="183" customWidth="1"/>
    <col min="2" max="2" width="6.7109375" style="183" customWidth="1"/>
    <col min="3" max="3" width="23.28515625" style="183" customWidth="1"/>
    <col min="4" max="8" width="17.7109375" style="183" customWidth="1"/>
    <col min="9" max="9" width="20.42578125" style="183" customWidth="1"/>
    <col min="10" max="10" width="16.42578125" style="183" customWidth="1"/>
    <col min="11" max="11" width="17.7109375" style="183" customWidth="1"/>
    <col min="12" max="12" width="16.140625" style="183" customWidth="1"/>
    <col min="13" max="13" width="17.7109375" style="183" customWidth="1"/>
    <col min="14" max="14" width="16.7109375" style="183" customWidth="1"/>
    <col min="15" max="15" width="16.85546875" style="183" customWidth="1"/>
    <col min="16" max="16" width="24.42578125" style="183" customWidth="1"/>
    <col min="17" max="17" width="9.140625" style="183" customWidth="1"/>
    <col min="18" max="22" width="8.7109375" style="183"/>
    <col min="23" max="23" width="9.140625" style="183" customWidth="1"/>
    <col min="24" max="16384" width="8.7109375" style="183"/>
  </cols>
  <sheetData>
    <row r="1" spans="1:16" ht="20.25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72 of 75</v>
      </c>
    </row>
    <row r="2" spans="1:16" ht="18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538" t="s">
        <v>129</v>
      </c>
    </row>
    <row r="3" spans="1:16" ht="18.75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/>
      <c r="P3" s="623">
        <v>1</v>
      </c>
    </row>
    <row r="4" spans="1:16" ht="15.75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6" ht="1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1251175.7925511589</v>
      </c>
      <c r="P5" s="269"/>
    </row>
    <row r="6" spans="1:16" ht="15.7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1251175.7925511589</v>
      </c>
      <c r="O6" s="269"/>
      <c r="P6" s="269"/>
    </row>
    <row r="7" spans="1:16" ht="13.5" thickBot="1">
      <c r="C7" s="467" t="s">
        <v>48</v>
      </c>
      <c r="D7" s="624" t="s">
        <v>443</v>
      </c>
      <c r="E7" s="269"/>
      <c r="F7" s="269"/>
      <c r="G7" s="269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6" ht="13.5" thickBot="1">
      <c r="C8" s="472"/>
      <c r="D8" s="625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661"/>
      <c r="K8" s="474"/>
      <c r="L8" s="474"/>
      <c r="M8" s="474"/>
      <c r="N8" s="474"/>
      <c r="O8" s="661"/>
      <c r="P8" s="340"/>
    </row>
    <row r="9" spans="1:16" ht="13.5" thickBot="1">
      <c r="C9" s="476" t="s">
        <v>50</v>
      </c>
      <c r="D9" s="477" t="s">
        <v>460</v>
      </c>
      <c r="E9" s="637" t="s">
        <v>461</v>
      </c>
      <c r="F9" s="478"/>
      <c r="G9" s="478"/>
      <c r="H9" s="478"/>
      <c r="I9" s="479"/>
      <c r="J9" s="480"/>
      <c r="O9" s="481"/>
      <c r="P9" s="272"/>
    </row>
    <row r="10" spans="1:16">
      <c r="C10" s="482" t="s">
        <v>51</v>
      </c>
      <c r="D10" s="483">
        <v>9628189.9399999995</v>
      </c>
      <c r="E10" s="353" t="s">
        <v>52</v>
      </c>
      <c r="F10" s="481"/>
      <c r="G10" s="484"/>
      <c r="H10" s="484"/>
      <c r="I10" s="485">
        <f>+'SWE.WS.F.BPU.ATRR.Projected'!L19</f>
        <v>2024</v>
      </c>
      <c r="J10" s="480"/>
      <c r="K10" s="375" t="s">
        <v>53</v>
      </c>
      <c r="O10" s="272"/>
      <c r="P10" s="272"/>
    </row>
    <row r="11" spans="1:16">
      <c r="C11" s="486" t="s">
        <v>54</v>
      </c>
      <c r="D11" s="487">
        <v>2019</v>
      </c>
      <c r="E11" s="486" t="s">
        <v>55</v>
      </c>
      <c r="F11" s="484"/>
      <c r="G11" s="233"/>
      <c r="H11" s="233"/>
      <c r="I11" s="488">
        <f>IF(G5="",0,'SWE.WS.F.BPU.ATRR.Projected'!F$13)</f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6">
      <c r="C12" s="486" t="s">
        <v>56</v>
      </c>
      <c r="D12" s="483">
        <v>3</v>
      </c>
      <c r="E12" s="486" t="s">
        <v>57</v>
      </c>
      <c r="F12" s="484"/>
      <c r="G12" s="233"/>
      <c r="H12" s="233"/>
      <c r="I12" s="490">
        <f>'SWE.WS.F.BPU.ATRR.Projected'!$F$81</f>
        <v>0.11952713165403545</v>
      </c>
      <c r="J12" s="425"/>
      <c r="K12" s="183" t="s">
        <v>58</v>
      </c>
      <c r="O12" s="272"/>
      <c r="P12" s="272"/>
    </row>
    <row r="13" spans="1:16">
      <c r="C13" s="486" t="s">
        <v>59</v>
      </c>
      <c r="D13" s="488">
        <f>+'SWE.WS.F.BPU.ATRR.Projected'!F$93</f>
        <v>44</v>
      </c>
      <c r="E13" s="486" t="s">
        <v>60</v>
      </c>
      <c r="F13" s="484"/>
      <c r="G13" s="233"/>
      <c r="H13" s="233"/>
      <c r="I13" s="490">
        <f>IF(G5="",I12,'SWE.WS.F.BPU.ATRR.Projected'!$F$80)</f>
        <v>0.11952713165403545</v>
      </c>
      <c r="J13" s="425"/>
      <c r="K13" s="375" t="s">
        <v>61</v>
      </c>
      <c r="L13" s="324"/>
      <c r="M13" s="324"/>
      <c r="N13" s="324"/>
      <c r="O13" s="272"/>
      <c r="P13" s="272"/>
    </row>
    <row r="14" spans="1:16" ht="13.5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218822.49863636363</v>
      </c>
      <c r="J14" s="375"/>
      <c r="K14" s="375"/>
      <c r="L14" s="375"/>
      <c r="M14" s="375"/>
      <c r="N14" s="375"/>
      <c r="O14" s="272"/>
      <c r="P14" s="272"/>
    </row>
    <row r="15" spans="1:16" ht="38.25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388</v>
      </c>
      <c r="H15" s="495" t="s">
        <v>389</v>
      </c>
      <c r="I15" s="492" t="s">
        <v>68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6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600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>
      <c r="C17" s="507">
        <f>IF(D11= "","-",D11)</f>
        <v>2019</v>
      </c>
      <c r="D17" s="631">
        <v>0</v>
      </c>
      <c r="E17" s="630">
        <v>9.9555672459071778E-2</v>
      </c>
      <c r="F17" s="631">
        <v>7956999.9004443279</v>
      </c>
      <c r="G17" s="630">
        <v>396082.33747842355</v>
      </c>
      <c r="H17" s="639">
        <v>396082.33747842355</v>
      </c>
      <c r="I17" s="511">
        <f t="shared" ref="I17:I72" si="0">H17-G17</f>
        <v>0</v>
      </c>
      <c r="J17" s="511"/>
      <c r="K17" s="512">
        <f>+G17</f>
        <v>396082.33747842355</v>
      </c>
      <c r="L17" s="513">
        <f t="shared" ref="L17:L72" si="1">IF(K17&lt;&gt;0,+G17-K17,0)</f>
        <v>0</v>
      </c>
      <c r="M17" s="512">
        <f>+H17</f>
        <v>396082.33747842355</v>
      </c>
      <c r="N17" s="513">
        <f t="shared" ref="N17:N72" si="2">IF(M17&lt;&gt;0,+H17-M17,0)</f>
        <v>0</v>
      </c>
      <c r="O17" s="514">
        <f t="shared" ref="O17:O72" si="3">+N17-L17</f>
        <v>0</v>
      </c>
      <c r="P17" s="272"/>
    </row>
    <row r="18" spans="2:16">
      <c r="B18" s="195" t="str">
        <f>IF(D18=F17,"","IU")</f>
        <v/>
      </c>
      <c r="C18" s="507">
        <f>IF(D11="","-",+C17+1)</f>
        <v>2020</v>
      </c>
      <c r="D18" s="631">
        <v>7956999.9004443279</v>
      </c>
      <c r="E18" s="630">
        <v>194073.17073170733</v>
      </c>
      <c r="F18" s="631">
        <v>7762926.7297126204</v>
      </c>
      <c r="G18" s="630">
        <v>998426.09511782171</v>
      </c>
      <c r="H18" s="639">
        <v>998426.09511782171</v>
      </c>
      <c r="I18" s="511">
        <f t="shared" si="0"/>
        <v>0</v>
      </c>
      <c r="J18" s="511"/>
      <c r="K18" s="518">
        <f>+G18</f>
        <v>998426.09511782171</v>
      </c>
      <c r="L18" s="519">
        <f t="shared" si="1"/>
        <v>0</v>
      </c>
      <c r="M18" s="518">
        <f>+H18</f>
        <v>998426.09511782171</v>
      </c>
      <c r="N18" s="514">
        <f t="shared" si="2"/>
        <v>0</v>
      </c>
      <c r="O18" s="514">
        <f t="shared" si="3"/>
        <v>0</v>
      </c>
      <c r="P18" s="272"/>
    </row>
    <row r="19" spans="2:16">
      <c r="B19" s="195" t="str">
        <f>IF(D19=F18,"","IU")</f>
        <v>IU</v>
      </c>
      <c r="C19" s="507">
        <f>IF(D11="","-",+C18+1)</f>
        <v>2021</v>
      </c>
      <c r="D19" s="631">
        <v>9434067.7297126204</v>
      </c>
      <c r="E19" s="630">
        <v>229241.45238095237</v>
      </c>
      <c r="F19" s="631">
        <v>9204826.2773316689</v>
      </c>
      <c r="G19" s="630">
        <v>1217145.1920381451</v>
      </c>
      <c r="H19" s="639">
        <v>1217145.1920381451</v>
      </c>
      <c r="I19" s="511">
        <f t="shared" si="0"/>
        <v>0</v>
      </c>
      <c r="J19" s="511"/>
      <c r="K19" s="518">
        <f>+G19</f>
        <v>1217145.1920381451</v>
      </c>
      <c r="L19" s="519">
        <f t="shared" ref="L19" si="4">IF(K19&lt;&gt;0,+G19-K19,0)</f>
        <v>0</v>
      </c>
      <c r="M19" s="518">
        <f>+H19</f>
        <v>1217145.1920381451</v>
      </c>
      <c r="N19" s="514">
        <f t="shared" si="2"/>
        <v>0</v>
      </c>
      <c r="O19" s="514">
        <f t="shared" si="3"/>
        <v>0</v>
      </c>
      <c r="P19" s="272"/>
    </row>
    <row r="20" spans="2:16">
      <c r="B20" s="195" t="str">
        <f t="shared" ref="B20:B72" si="5">IF(D20=F19,"","IU")</f>
        <v>IU</v>
      </c>
      <c r="C20" s="507">
        <f>IF(D11="","-",+C19+1)</f>
        <v>2022</v>
      </c>
      <c r="D20" s="631">
        <v>9204875.277331667</v>
      </c>
      <c r="E20" s="630">
        <v>229242.61904761905</v>
      </c>
      <c r="F20" s="631">
        <v>8975632.6582840476</v>
      </c>
      <c r="G20" s="630">
        <v>1251388.016895521</v>
      </c>
      <c r="H20" s="639">
        <v>1251388.016895521</v>
      </c>
      <c r="I20" s="511">
        <f t="shared" si="0"/>
        <v>0</v>
      </c>
      <c r="J20" s="511"/>
      <c r="K20" s="518">
        <f>+G20</f>
        <v>1251388.016895521</v>
      </c>
      <c r="L20" s="519">
        <f t="shared" ref="L20" si="6">IF(K20&lt;&gt;0,+G20-K20,0)</f>
        <v>0</v>
      </c>
      <c r="M20" s="518">
        <f>+H20</f>
        <v>1251388.016895521</v>
      </c>
      <c r="N20" s="514">
        <f t="shared" si="2"/>
        <v>0</v>
      </c>
      <c r="O20" s="514">
        <f t="shared" si="3"/>
        <v>0</v>
      </c>
      <c r="P20" s="272"/>
    </row>
    <row r="21" spans="2:16">
      <c r="B21" s="195" t="str">
        <f t="shared" si="5"/>
        <v>IU</v>
      </c>
      <c r="C21" s="507">
        <f>IF(D11="","-",+C20+1)</f>
        <v>2023</v>
      </c>
      <c r="D21" s="631">
        <v>8975632.598284049</v>
      </c>
      <c r="E21" s="630">
        <v>229242.61761904761</v>
      </c>
      <c r="F21" s="631">
        <v>8746389.980665002</v>
      </c>
      <c r="G21" s="630">
        <v>1348625.7120695773</v>
      </c>
      <c r="H21" s="639">
        <v>1348625.7120695773</v>
      </c>
      <c r="I21" s="511">
        <f t="shared" si="0"/>
        <v>0</v>
      </c>
      <c r="J21" s="511"/>
      <c r="K21" s="518">
        <f>+G21</f>
        <v>1348625.7120695773</v>
      </c>
      <c r="L21" s="519">
        <f t="shared" ref="L21" si="7">IF(K21&lt;&gt;0,+G21-K21,0)</f>
        <v>0</v>
      </c>
      <c r="M21" s="518">
        <f>+H21</f>
        <v>1348625.7120695773</v>
      </c>
      <c r="N21" s="514">
        <f t="shared" ref="N21" si="8">IF(M21&lt;&gt;0,+H21-M21,0)</f>
        <v>0</v>
      </c>
      <c r="O21" s="514">
        <f t="shared" ref="O21" si="9">+N21-L21</f>
        <v>0</v>
      </c>
      <c r="P21" s="272"/>
    </row>
    <row r="22" spans="2:16">
      <c r="B22" s="195" t="str">
        <f t="shared" si="5"/>
        <v/>
      </c>
      <c r="C22" s="673">
        <f>IF(D11="","-",+C21+1)</f>
        <v>2024</v>
      </c>
      <c r="D22" s="523">
        <f>IF(F21+SUM(E$17:E21)=D$10,F21,D$10-SUM(E$17:E21))</f>
        <v>8746389.980665002</v>
      </c>
      <c r="E22" s="522">
        <f>IF(+I14&lt;F21,I14,D22)</f>
        <v>218822.49863636363</v>
      </c>
      <c r="F22" s="523">
        <f t="shared" ref="F22:F72" si="10">+D22-E22</f>
        <v>8527567.4820286389</v>
      </c>
      <c r="G22" s="524">
        <f t="shared" ref="G22:G72" si="11">+I$12*((D22+F22)/2)+E22</f>
        <v>1251175.7925511589</v>
      </c>
      <c r="H22" s="491">
        <f t="shared" ref="H22:H72" si="12">+I$13*((D22+F22)/2)+E22</f>
        <v>1251175.7925511589</v>
      </c>
      <c r="I22" s="511">
        <f t="shared" si="0"/>
        <v>0</v>
      </c>
      <c r="J22" s="511"/>
      <c r="K22" s="525"/>
      <c r="L22" s="514">
        <f t="shared" si="1"/>
        <v>0</v>
      </c>
      <c r="M22" s="525"/>
      <c r="N22" s="514">
        <f t="shared" si="2"/>
        <v>0</v>
      </c>
      <c r="O22" s="514">
        <f t="shared" si="3"/>
        <v>0</v>
      </c>
      <c r="P22" s="272"/>
    </row>
    <row r="23" spans="2:16">
      <c r="B23" s="195" t="str">
        <f t="shared" si="5"/>
        <v/>
      </c>
      <c r="C23" s="507">
        <f>IF(D11="","-",+C22+1)</f>
        <v>2025</v>
      </c>
      <c r="D23" s="523">
        <f>IF(F22+SUM(E$17:E22)=D$10,F22,D$10-SUM(E$17:E22))</f>
        <v>8527567.4820286389</v>
      </c>
      <c r="E23" s="522">
        <f>IF(+I14&lt;F22,I14,D23)</f>
        <v>218822.49863636363</v>
      </c>
      <c r="F23" s="523">
        <f t="shared" si="10"/>
        <v>8308744.9833922749</v>
      </c>
      <c r="G23" s="524">
        <f t="shared" si="11"/>
        <v>1225020.5669477854</v>
      </c>
      <c r="H23" s="491">
        <f t="shared" si="12"/>
        <v>1225020.5669477854</v>
      </c>
      <c r="I23" s="511">
        <f t="shared" si="0"/>
        <v>0</v>
      </c>
      <c r="J23" s="511"/>
      <c r="K23" s="525"/>
      <c r="L23" s="514">
        <f t="shared" si="1"/>
        <v>0</v>
      </c>
      <c r="M23" s="525"/>
      <c r="N23" s="514">
        <f t="shared" si="2"/>
        <v>0</v>
      </c>
      <c r="O23" s="514">
        <f t="shared" si="3"/>
        <v>0</v>
      </c>
      <c r="P23" s="272"/>
    </row>
    <row r="24" spans="2:16">
      <c r="B24" s="195" t="str">
        <f t="shared" si="5"/>
        <v/>
      </c>
      <c r="C24" s="507">
        <f>IF(D11="","-",+C23+1)</f>
        <v>2026</v>
      </c>
      <c r="D24" s="523">
        <f>IF(F23+SUM(E$17:E23)=D$10,F23,D$10-SUM(E$17:E23))</f>
        <v>8308744.9833922749</v>
      </c>
      <c r="E24" s="522">
        <f>IF(+I14&lt;F23,I14,D24)</f>
        <v>218822.49863636363</v>
      </c>
      <c r="F24" s="523">
        <f t="shared" si="10"/>
        <v>8089922.4847559109</v>
      </c>
      <c r="G24" s="524">
        <f t="shared" si="11"/>
        <v>1198865.3413444117</v>
      </c>
      <c r="H24" s="491">
        <f t="shared" si="12"/>
        <v>1198865.3413444117</v>
      </c>
      <c r="I24" s="511">
        <f t="shared" si="0"/>
        <v>0</v>
      </c>
      <c r="J24" s="511"/>
      <c r="K24" s="525"/>
      <c r="L24" s="514">
        <f t="shared" si="1"/>
        <v>0</v>
      </c>
      <c r="M24" s="525"/>
      <c r="N24" s="514">
        <f t="shared" si="2"/>
        <v>0</v>
      </c>
      <c r="O24" s="514">
        <f t="shared" si="3"/>
        <v>0</v>
      </c>
      <c r="P24" s="272"/>
    </row>
    <row r="25" spans="2:16">
      <c r="B25" s="195" t="str">
        <f t="shared" si="5"/>
        <v/>
      </c>
      <c r="C25" s="507">
        <f>IF(D11="","-",+C24+1)</f>
        <v>2027</v>
      </c>
      <c r="D25" s="523">
        <f>IF(F24+SUM(E$17:E24)=D$10,F24,D$10-SUM(E$17:E24))</f>
        <v>8089922.4847559109</v>
      </c>
      <c r="E25" s="522">
        <f>IF(+I14&lt;F24,I14,D25)</f>
        <v>218822.49863636363</v>
      </c>
      <c r="F25" s="523">
        <f t="shared" si="10"/>
        <v>7871099.9861195469</v>
      </c>
      <c r="G25" s="524">
        <f t="shared" si="11"/>
        <v>1172710.115741038</v>
      </c>
      <c r="H25" s="491">
        <f t="shared" si="12"/>
        <v>1172710.115741038</v>
      </c>
      <c r="I25" s="511">
        <f t="shared" si="0"/>
        <v>0</v>
      </c>
      <c r="J25" s="511"/>
      <c r="K25" s="525"/>
      <c r="L25" s="514">
        <f t="shared" si="1"/>
        <v>0</v>
      </c>
      <c r="M25" s="525"/>
      <c r="N25" s="514">
        <f t="shared" si="2"/>
        <v>0</v>
      </c>
      <c r="O25" s="514">
        <f t="shared" si="3"/>
        <v>0</v>
      </c>
      <c r="P25" s="272"/>
    </row>
    <row r="26" spans="2:16">
      <c r="B26" s="195" t="str">
        <f t="shared" si="5"/>
        <v/>
      </c>
      <c r="C26" s="507">
        <f>IF(D11="","-",+C25+1)</f>
        <v>2028</v>
      </c>
      <c r="D26" s="523">
        <f>IF(F25+SUM(E$17:E25)=D$10,F25,D$10-SUM(E$17:E25))</f>
        <v>7871099.9861195469</v>
      </c>
      <c r="E26" s="522">
        <f>IF(+I14&lt;F25,I14,D26)</f>
        <v>218822.49863636363</v>
      </c>
      <c r="F26" s="523">
        <f t="shared" si="10"/>
        <v>7652277.4874831829</v>
      </c>
      <c r="G26" s="524">
        <f t="shared" si="11"/>
        <v>1146554.8901376645</v>
      </c>
      <c r="H26" s="491">
        <f t="shared" si="12"/>
        <v>1146554.8901376645</v>
      </c>
      <c r="I26" s="511">
        <f t="shared" si="0"/>
        <v>0</v>
      </c>
      <c r="J26" s="511"/>
      <c r="K26" s="525"/>
      <c r="L26" s="514">
        <f t="shared" si="1"/>
        <v>0</v>
      </c>
      <c r="M26" s="525"/>
      <c r="N26" s="514">
        <f t="shared" si="2"/>
        <v>0</v>
      </c>
      <c r="O26" s="514">
        <f t="shared" si="3"/>
        <v>0</v>
      </c>
      <c r="P26" s="272"/>
    </row>
    <row r="27" spans="2:16">
      <c r="B27" s="195" t="str">
        <f t="shared" si="5"/>
        <v/>
      </c>
      <c r="C27" s="507">
        <f>IF(D11="","-",+C26+1)</f>
        <v>2029</v>
      </c>
      <c r="D27" s="523">
        <f>IF(F26+SUM(E$17:E26)=D$10,F26,D$10-SUM(E$17:E26))</f>
        <v>7652277.4874831829</v>
      </c>
      <c r="E27" s="522">
        <f>IF(+I14&lt;F26,I14,D27)</f>
        <v>218822.49863636363</v>
      </c>
      <c r="F27" s="523">
        <f t="shared" si="10"/>
        <v>7433454.9888468189</v>
      </c>
      <c r="G27" s="524">
        <f t="shared" si="11"/>
        <v>1120399.6645342908</v>
      </c>
      <c r="H27" s="491">
        <f t="shared" si="12"/>
        <v>1120399.6645342908</v>
      </c>
      <c r="I27" s="511">
        <f t="shared" si="0"/>
        <v>0</v>
      </c>
      <c r="J27" s="511"/>
      <c r="K27" s="525"/>
      <c r="L27" s="514">
        <f t="shared" si="1"/>
        <v>0</v>
      </c>
      <c r="M27" s="525"/>
      <c r="N27" s="514">
        <f t="shared" si="2"/>
        <v>0</v>
      </c>
      <c r="O27" s="514">
        <f t="shared" si="3"/>
        <v>0</v>
      </c>
      <c r="P27" s="272"/>
    </row>
    <row r="28" spans="2:16">
      <c r="B28" s="195" t="str">
        <f t="shared" si="5"/>
        <v/>
      </c>
      <c r="C28" s="507">
        <f>IF(D11="","-",+C27+1)</f>
        <v>2030</v>
      </c>
      <c r="D28" s="523">
        <f>IF(F27+SUM(E$17:E27)=D$10,F27,D$10-SUM(E$17:E27))</f>
        <v>7433454.9888468189</v>
      </c>
      <c r="E28" s="522">
        <f>IF(+I14&lt;F27,I14,D28)</f>
        <v>218822.49863636363</v>
      </c>
      <c r="F28" s="523">
        <f t="shared" si="10"/>
        <v>7214632.4902104549</v>
      </c>
      <c r="G28" s="524">
        <f t="shared" si="11"/>
        <v>1094244.4389309171</v>
      </c>
      <c r="H28" s="491">
        <f t="shared" si="12"/>
        <v>1094244.4389309171</v>
      </c>
      <c r="I28" s="511">
        <f t="shared" si="0"/>
        <v>0</v>
      </c>
      <c r="J28" s="511"/>
      <c r="K28" s="525"/>
      <c r="L28" s="514">
        <f t="shared" si="1"/>
        <v>0</v>
      </c>
      <c r="M28" s="525"/>
      <c r="N28" s="514">
        <f t="shared" si="2"/>
        <v>0</v>
      </c>
      <c r="O28" s="514">
        <f t="shared" si="3"/>
        <v>0</v>
      </c>
      <c r="P28" s="272"/>
    </row>
    <row r="29" spans="2:16">
      <c r="B29" s="195" t="str">
        <f t="shared" si="5"/>
        <v/>
      </c>
      <c r="C29" s="507">
        <f>IF(D11="","-",+C28+1)</f>
        <v>2031</v>
      </c>
      <c r="D29" s="523">
        <f>IF(F28+SUM(E$17:E28)=D$10,F28,D$10-SUM(E$17:E28))</f>
        <v>7214632.4902104549</v>
      </c>
      <c r="E29" s="522">
        <f>IF(+I14&lt;F28,I14,D29)</f>
        <v>218822.49863636363</v>
      </c>
      <c r="F29" s="523">
        <f t="shared" si="10"/>
        <v>6995809.9915740909</v>
      </c>
      <c r="G29" s="524">
        <f t="shared" si="11"/>
        <v>1068089.2133275433</v>
      </c>
      <c r="H29" s="491">
        <f t="shared" si="12"/>
        <v>1068089.2133275433</v>
      </c>
      <c r="I29" s="511">
        <f t="shared" si="0"/>
        <v>0</v>
      </c>
      <c r="J29" s="511"/>
      <c r="K29" s="525"/>
      <c r="L29" s="514">
        <f t="shared" si="1"/>
        <v>0</v>
      </c>
      <c r="M29" s="525"/>
      <c r="N29" s="514">
        <f t="shared" si="2"/>
        <v>0</v>
      </c>
      <c r="O29" s="514">
        <f t="shared" si="3"/>
        <v>0</v>
      </c>
      <c r="P29" s="272"/>
    </row>
    <row r="30" spans="2:16">
      <c r="B30" s="195" t="str">
        <f t="shared" si="5"/>
        <v/>
      </c>
      <c r="C30" s="507">
        <f>IF(D11="","-",+C29+1)</f>
        <v>2032</v>
      </c>
      <c r="D30" s="523">
        <f>IF(F29+SUM(E$17:E29)=D$10,F29,D$10-SUM(E$17:E29))</f>
        <v>6995809.9915740909</v>
      </c>
      <c r="E30" s="522">
        <f>IF(+I14&lt;F29,I14,D30)</f>
        <v>218822.49863636363</v>
      </c>
      <c r="F30" s="523">
        <f t="shared" si="10"/>
        <v>6776987.4929377269</v>
      </c>
      <c r="G30" s="524">
        <f t="shared" si="11"/>
        <v>1041933.9877241699</v>
      </c>
      <c r="H30" s="491">
        <f t="shared" si="12"/>
        <v>1041933.9877241699</v>
      </c>
      <c r="I30" s="511">
        <f t="shared" si="0"/>
        <v>0</v>
      </c>
      <c r="J30" s="511"/>
      <c r="K30" s="525"/>
      <c r="L30" s="514">
        <f t="shared" si="1"/>
        <v>0</v>
      </c>
      <c r="M30" s="525"/>
      <c r="N30" s="514">
        <f t="shared" si="2"/>
        <v>0</v>
      </c>
      <c r="O30" s="514">
        <f t="shared" si="3"/>
        <v>0</v>
      </c>
      <c r="P30" s="272"/>
    </row>
    <row r="31" spans="2:16">
      <c r="B31" s="195" t="str">
        <f t="shared" si="5"/>
        <v/>
      </c>
      <c r="C31" s="507">
        <f>IF(D11="","-",+C30+1)</f>
        <v>2033</v>
      </c>
      <c r="D31" s="523">
        <f>IF(F30+SUM(E$17:E30)=D$10,F30,D$10-SUM(E$17:E30))</f>
        <v>6776987.4929377269</v>
      </c>
      <c r="E31" s="522">
        <f>IF(+I14&lt;F30,I14,D31)</f>
        <v>218822.49863636363</v>
      </c>
      <c r="F31" s="523">
        <f t="shared" si="10"/>
        <v>6558164.9943013629</v>
      </c>
      <c r="G31" s="524">
        <f t="shared" si="11"/>
        <v>1015778.762120796</v>
      </c>
      <c r="H31" s="491">
        <f t="shared" si="12"/>
        <v>1015778.762120796</v>
      </c>
      <c r="I31" s="511">
        <f t="shared" si="0"/>
        <v>0</v>
      </c>
      <c r="J31" s="511"/>
      <c r="K31" s="525"/>
      <c r="L31" s="514">
        <f t="shared" si="1"/>
        <v>0</v>
      </c>
      <c r="M31" s="525"/>
      <c r="N31" s="514">
        <f t="shared" si="2"/>
        <v>0</v>
      </c>
      <c r="O31" s="514">
        <f t="shared" si="3"/>
        <v>0</v>
      </c>
      <c r="P31" s="272"/>
    </row>
    <row r="32" spans="2:16">
      <c r="B32" s="195" t="str">
        <f t="shared" si="5"/>
        <v/>
      </c>
      <c r="C32" s="507">
        <f>IF(D11="","-",+C31+1)</f>
        <v>2034</v>
      </c>
      <c r="D32" s="523">
        <f>IF(F31+SUM(E$17:E31)=D$10,F31,D$10-SUM(E$17:E31))</f>
        <v>6558164.9943013629</v>
      </c>
      <c r="E32" s="522">
        <f>IF(+I14&lt;F31,I14,D32)</f>
        <v>218822.49863636363</v>
      </c>
      <c r="F32" s="523">
        <f t="shared" si="10"/>
        <v>6339342.4956649989</v>
      </c>
      <c r="G32" s="524">
        <f t="shared" si="11"/>
        <v>989623.53651742253</v>
      </c>
      <c r="H32" s="491">
        <f t="shared" si="12"/>
        <v>989623.53651742253</v>
      </c>
      <c r="I32" s="511">
        <f t="shared" si="0"/>
        <v>0</v>
      </c>
      <c r="J32" s="511"/>
      <c r="K32" s="525"/>
      <c r="L32" s="514">
        <f t="shared" si="1"/>
        <v>0</v>
      </c>
      <c r="M32" s="525"/>
      <c r="N32" s="514">
        <f t="shared" si="2"/>
        <v>0</v>
      </c>
      <c r="O32" s="514">
        <f t="shared" si="3"/>
        <v>0</v>
      </c>
      <c r="P32" s="272"/>
    </row>
    <row r="33" spans="2:16">
      <c r="B33" s="195" t="str">
        <f t="shared" si="5"/>
        <v/>
      </c>
      <c r="C33" s="507">
        <f>IF(D11="","-",+C32+1)</f>
        <v>2035</v>
      </c>
      <c r="D33" s="523">
        <f>IF(F32+SUM(E$17:E32)=D$10,F32,D$10-SUM(E$17:E32))</f>
        <v>6339342.4956649989</v>
      </c>
      <c r="E33" s="522">
        <f>IF(+I14&lt;F32,I14,D33)</f>
        <v>218822.49863636363</v>
      </c>
      <c r="F33" s="523">
        <f t="shared" si="10"/>
        <v>6120519.9970286349</v>
      </c>
      <c r="G33" s="524">
        <f t="shared" si="11"/>
        <v>963468.31091404869</v>
      </c>
      <c r="H33" s="491">
        <f t="shared" si="12"/>
        <v>963468.31091404869</v>
      </c>
      <c r="I33" s="511">
        <f t="shared" si="0"/>
        <v>0</v>
      </c>
      <c r="J33" s="511"/>
      <c r="K33" s="525"/>
      <c r="L33" s="514">
        <f t="shared" si="1"/>
        <v>0</v>
      </c>
      <c r="M33" s="525"/>
      <c r="N33" s="514">
        <f t="shared" si="2"/>
        <v>0</v>
      </c>
      <c r="O33" s="514">
        <f t="shared" si="3"/>
        <v>0</v>
      </c>
      <c r="P33" s="272"/>
    </row>
    <row r="34" spans="2:16">
      <c r="B34" s="195" t="str">
        <f t="shared" si="5"/>
        <v/>
      </c>
      <c r="C34" s="507">
        <f>IF(D11="","-",+C33+1)</f>
        <v>2036</v>
      </c>
      <c r="D34" s="523">
        <f>IF(F33+SUM(E$17:E33)=D$10,F33,D$10-SUM(E$17:E33))</f>
        <v>6120519.9970286349</v>
      </c>
      <c r="E34" s="522">
        <f>IF(+I14&lt;F33,I14,D34)</f>
        <v>218822.49863636363</v>
      </c>
      <c r="F34" s="523">
        <f t="shared" si="10"/>
        <v>5901697.4983922709</v>
      </c>
      <c r="G34" s="524">
        <f t="shared" si="11"/>
        <v>937313.0853106752</v>
      </c>
      <c r="H34" s="491">
        <f t="shared" si="12"/>
        <v>937313.0853106752</v>
      </c>
      <c r="I34" s="511">
        <f t="shared" si="0"/>
        <v>0</v>
      </c>
      <c r="J34" s="511"/>
      <c r="K34" s="525"/>
      <c r="L34" s="514">
        <f t="shared" si="1"/>
        <v>0</v>
      </c>
      <c r="M34" s="525"/>
      <c r="N34" s="514">
        <f t="shared" si="2"/>
        <v>0</v>
      </c>
      <c r="O34" s="514">
        <f t="shared" si="3"/>
        <v>0</v>
      </c>
      <c r="P34" s="272"/>
    </row>
    <row r="35" spans="2:16">
      <c r="B35" s="195" t="str">
        <f t="shared" si="5"/>
        <v/>
      </c>
      <c r="C35" s="507">
        <f>IF(D11="","-",+C34+1)</f>
        <v>2037</v>
      </c>
      <c r="D35" s="523">
        <f>IF(F34+SUM(E$17:E34)=D$10,F34,D$10-SUM(E$17:E34))</f>
        <v>5901697.4983922709</v>
      </c>
      <c r="E35" s="522">
        <f>IF(+I14&lt;F34,I14,D35)</f>
        <v>218822.49863636363</v>
      </c>
      <c r="F35" s="523">
        <f t="shared" si="10"/>
        <v>5682874.9997559069</v>
      </c>
      <c r="G35" s="524">
        <f t="shared" si="11"/>
        <v>911157.85970730137</v>
      </c>
      <c r="H35" s="491">
        <f t="shared" si="12"/>
        <v>911157.85970730137</v>
      </c>
      <c r="I35" s="511">
        <f t="shared" si="0"/>
        <v>0</v>
      </c>
      <c r="J35" s="511"/>
      <c r="K35" s="525"/>
      <c r="L35" s="514">
        <f t="shared" si="1"/>
        <v>0</v>
      </c>
      <c r="M35" s="525"/>
      <c r="N35" s="514">
        <f t="shared" si="2"/>
        <v>0</v>
      </c>
      <c r="O35" s="514">
        <f t="shared" si="3"/>
        <v>0</v>
      </c>
      <c r="P35" s="272"/>
    </row>
    <row r="36" spans="2:16">
      <c r="B36" s="195" t="str">
        <f t="shared" si="5"/>
        <v/>
      </c>
      <c r="C36" s="507">
        <f>IF(D11="","-",+C35+1)</f>
        <v>2038</v>
      </c>
      <c r="D36" s="523">
        <f>IF(F35+SUM(E$17:E35)=D$10,F35,D$10-SUM(E$17:E35))</f>
        <v>5682874.9997559069</v>
      </c>
      <c r="E36" s="522">
        <f>IF(+I14&lt;F35,I14,D36)</f>
        <v>218822.49863636363</v>
      </c>
      <c r="F36" s="523">
        <f t="shared" si="10"/>
        <v>5464052.5011195429</v>
      </c>
      <c r="G36" s="524">
        <f t="shared" si="11"/>
        <v>885002.63410392776</v>
      </c>
      <c r="H36" s="491">
        <f t="shared" si="12"/>
        <v>885002.63410392776</v>
      </c>
      <c r="I36" s="511">
        <f t="shared" si="0"/>
        <v>0</v>
      </c>
      <c r="J36" s="511"/>
      <c r="K36" s="525"/>
      <c r="L36" s="514">
        <f t="shared" si="1"/>
        <v>0</v>
      </c>
      <c r="M36" s="525"/>
      <c r="N36" s="514">
        <f t="shared" si="2"/>
        <v>0</v>
      </c>
      <c r="O36" s="514">
        <f t="shared" si="3"/>
        <v>0</v>
      </c>
      <c r="P36" s="272"/>
    </row>
    <row r="37" spans="2:16">
      <c r="B37" s="195" t="str">
        <f t="shared" si="5"/>
        <v>IU</v>
      </c>
      <c r="C37" s="507">
        <f>IF(D11="","-",+C36+1)</f>
        <v>2039</v>
      </c>
      <c r="D37" s="523">
        <f>IF(F36+SUM(E$17:E36)=D$10,F36,D$10-SUM(E$17:E36))</f>
        <v>5464052.5011195475</v>
      </c>
      <c r="E37" s="522">
        <f>IF(+I14&lt;F36,I14,D37)</f>
        <v>218822.49863636363</v>
      </c>
      <c r="F37" s="523">
        <f t="shared" si="10"/>
        <v>5245230.0024831835</v>
      </c>
      <c r="G37" s="524">
        <f t="shared" si="11"/>
        <v>858847.40850055474</v>
      </c>
      <c r="H37" s="491">
        <f t="shared" si="12"/>
        <v>858847.40850055474</v>
      </c>
      <c r="I37" s="511">
        <f t="shared" si="0"/>
        <v>0</v>
      </c>
      <c r="J37" s="511"/>
      <c r="K37" s="525"/>
      <c r="L37" s="514">
        <f t="shared" si="1"/>
        <v>0</v>
      </c>
      <c r="M37" s="525"/>
      <c r="N37" s="514">
        <f t="shared" si="2"/>
        <v>0</v>
      </c>
      <c r="O37" s="514">
        <f t="shared" si="3"/>
        <v>0</v>
      </c>
      <c r="P37" s="272"/>
    </row>
    <row r="38" spans="2:16">
      <c r="B38" s="195" t="str">
        <f t="shared" si="5"/>
        <v/>
      </c>
      <c r="C38" s="507">
        <f>IF(D11="","-",+C37+1)</f>
        <v>2040</v>
      </c>
      <c r="D38" s="523">
        <f>IF(F37+SUM(E$17:E37)=D$10,F37,D$10-SUM(E$17:E37))</f>
        <v>5245230.0024831835</v>
      </c>
      <c r="E38" s="522">
        <f>IF(+I14&lt;F37,I14,D38)</f>
        <v>218822.49863636363</v>
      </c>
      <c r="F38" s="523">
        <f t="shared" si="10"/>
        <v>5026407.5038468195</v>
      </c>
      <c r="G38" s="524">
        <f t="shared" si="11"/>
        <v>832692.1828971809</v>
      </c>
      <c r="H38" s="491">
        <f t="shared" si="12"/>
        <v>832692.1828971809</v>
      </c>
      <c r="I38" s="511">
        <f t="shared" si="0"/>
        <v>0</v>
      </c>
      <c r="J38" s="511"/>
      <c r="K38" s="525"/>
      <c r="L38" s="514">
        <f t="shared" si="1"/>
        <v>0</v>
      </c>
      <c r="M38" s="525"/>
      <c r="N38" s="514">
        <f t="shared" si="2"/>
        <v>0</v>
      </c>
      <c r="O38" s="514">
        <f t="shared" si="3"/>
        <v>0</v>
      </c>
      <c r="P38" s="272"/>
    </row>
    <row r="39" spans="2:16">
      <c r="B39" s="195" t="str">
        <f t="shared" si="5"/>
        <v/>
      </c>
      <c r="C39" s="507">
        <f>IF(D11="","-",+C38+1)</f>
        <v>2041</v>
      </c>
      <c r="D39" s="523">
        <f>IF(F38+SUM(E$17:E38)=D$10,F38,D$10-SUM(E$17:E38))</f>
        <v>5026407.5038468195</v>
      </c>
      <c r="E39" s="522">
        <f>IF(+I14&lt;F38,I14,D39)</f>
        <v>218822.49863636363</v>
      </c>
      <c r="F39" s="523">
        <f t="shared" si="10"/>
        <v>4807585.0052104555</v>
      </c>
      <c r="G39" s="524">
        <f t="shared" si="11"/>
        <v>806536.9572938073</v>
      </c>
      <c r="H39" s="491">
        <f t="shared" si="12"/>
        <v>806536.9572938073</v>
      </c>
      <c r="I39" s="511">
        <f t="shared" si="0"/>
        <v>0</v>
      </c>
      <c r="J39" s="511"/>
      <c r="K39" s="525"/>
      <c r="L39" s="514">
        <f t="shared" si="1"/>
        <v>0</v>
      </c>
      <c r="M39" s="525"/>
      <c r="N39" s="514">
        <f t="shared" si="2"/>
        <v>0</v>
      </c>
      <c r="O39" s="514">
        <f t="shared" si="3"/>
        <v>0</v>
      </c>
      <c r="P39" s="272"/>
    </row>
    <row r="40" spans="2:16">
      <c r="B40" s="195" t="str">
        <f t="shared" si="5"/>
        <v/>
      </c>
      <c r="C40" s="507">
        <f>IF(D11="","-",+C39+1)</f>
        <v>2042</v>
      </c>
      <c r="D40" s="523">
        <f>IF(F39+SUM(E$17:E39)=D$10,F39,D$10-SUM(E$17:E39))</f>
        <v>4807585.0052104555</v>
      </c>
      <c r="E40" s="522">
        <f>IF(+I14&lt;F39,I14,D40)</f>
        <v>218822.49863636363</v>
      </c>
      <c r="F40" s="523">
        <f t="shared" si="10"/>
        <v>4588762.5065740915</v>
      </c>
      <c r="G40" s="524">
        <f t="shared" si="11"/>
        <v>780381.73169043357</v>
      </c>
      <c r="H40" s="491">
        <f t="shared" si="12"/>
        <v>780381.73169043357</v>
      </c>
      <c r="I40" s="511">
        <f t="shared" si="0"/>
        <v>0</v>
      </c>
      <c r="J40" s="511"/>
      <c r="K40" s="525"/>
      <c r="L40" s="514">
        <f t="shared" si="1"/>
        <v>0</v>
      </c>
      <c r="M40" s="525"/>
      <c r="N40" s="514">
        <f t="shared" si="2"/>
        <v>0</v>
      </c>
      <c r="O40" s="514">
        <f t="shared" si="3"/>
        <v>0</v>
      </c>
      <c r="P40" s="272"/>
    </row>
    <row r="41" spans="2:16">
      <c r="B41" s="195" t="str">
        <f t="shared" si="5"/>
        <v/>
      </c>
      <c r="C41" s="507">
        <f>IF(D11="","-",+C40+1)</f>
        <v>2043</v>
      </c>
      <c r="D41" s="523">
        <f>IF(F40+SUM(E$17:E40)=D$10,F40,D$10-SUM(E$17:E40))</f>
        <v>4588762.5065740915</v>
      </c>
      <c r="E41" s="522">
        <f>IF(+I14&lt;F40,I14,D41)</f>
        <v>218822.49863636363</v>
      </c>
      <c r="F41" s="523">
        <f t="shared" si="10"/>
        <v>4369940.0079377275</v>
      </c>
      <c r="G41" s="524">
        <f t="shared" si="11"/>
        <v>754226.50608705997</v>
      </c>
      <c r="H41" s="491">
        <f t="shared" si="12"/>
        <v>754226.50608705997</v>
      </c>
      <c r="I41" s="511">
        <f t="shared" si="0"/>
        <v>0</v>
      </c>
      <c r="J41" s="511"/>
      <c r="K41" s="525"/>
      <c r="L41" s="514">
        <f t="shared" si="1"/>
        <v>0</v>
      </c>
      <c r="M41" s="525"/>
      <c r="N41" s="514">
        <f t="shared" si="2"/>
        <v>0</v>
      </c>
      <c r="O41" s="514">
        <f t="shared" si="3"/>
        <v>0</v>
      </c>
      <c r="P41" s="272"/>
    </row>
    <row r="42" spans="2:16">
      <c r="B42" s="195" t="str">
        <f t="shared" si="5"/>
        <v/>
      </c>
      <c r="C42" s="507">
        <f>IF(D11="","-",+C41+1)</f>
        <v>2044</v>
      </c>
      <c r="D42" s="523">
        <f>IF(F41+SUM(E$17:E41)=D$10,F41,D$10-SUM(E$17:E41))</f>
        <v>4369940.0079377275</v>
      </c>
      <c r="E42" s="522">
        <f>IF(+I14&lt;F41,I14,D42)</f>
        <v>218822.49863636363</v>
      </c>
      <c r="F42" s="523">
        <f t="shared" si="10"/>
        <v>4151117.509301364</v>
      </c>
      <c r="G42" s="524">
        <f t="shared" si="11"/>
        <v>728071.28048368625</v>
      </c>
      <c r="H42" s="491">
        <f t="shared" si="12"/>
        <v>728071.28048368625</v>
      </c>
      <c r="I42" s="511">
        <f t="shared" si="0"/>
        <v>0</v>
      </c>
      <c r="J42" s="511"/>
      <c r="K42" s="525"/>
      <c r="L42" s="514">
        <f t="shared" si="1"/>
        <v>0</v>
      </c>
      <c r="M42" s="525"/>
      <c r="N42" s="514">
        <f t="shared" si="2"/>
        <v>0</v>
      </c>
      <c r="O42" s="514">
        <f t="shared" si="3"/>
        <v>0</v>
      </c>
      <c r="P42" s="272"/>
    </row>
    <row r="43" spans="2:16">
      <c r="B43" s="195" t="str">
        <f t="shared" si="5"/>
        <v/>
      </c>
      <c r="C43" s="507">
        <f>IF(D11="","-",+C42+1)</f>
        <v>2045</v>
      </c>
      <c r="D43" s="523">
        <f>IF(F42+SUM(E$17:E42)=D$10,F42,D$10-SUM(E$17:E42))</f>
        <v>4151117.509301364</v>
      </c>
      <c r="E43" s="522">
        <f>IF(+I14&lt;F42,I14,D43)</f>
        <v>218822.49863636363</v>
      </c>
      <c r="F43" s="523">
        <f t="shared" si="10"/>
        <v>3932295.0106650004</v>
      </c>
      <c r="G43" s="524">
        <f t="shared" si="11"/>
        <v>701916.05488031264</v>
      </c>
      <c r="H43" s="491">
        <f t="shared" si="12"/>
        <v>701916.05488031264</v>
      </c>
      <c r="I43" s="511">
        <f t="shared" si="0"/>
        <v>0</v>
      </c>
      <c r="J43" s="511"/>
      <c r="K43" s="525"/>
      <c r="L43" s="514">
        <f t="shared" si="1"/>
        <v>0</v>
      </c>
      <c r="M43" s="525"/>
      <c r="N43" s="514">
        <f t="shared" si="2"/>
        <v>0</v>
      </c>
      <c r="O43" s="514">
        <f t="shared" si="3"/>
        <v>0</v>
      </c>
      <c r="P43" s="272"/>
    </row>
    <row r="44" spans="2:16">
      <c r="B44" s="195" t="str">
        <f t="shared" si="5"/>
        <v/>
      </c>
      <c r="C44" s="507">
        <f>IF(D11="","-",+C43+1)</f>
        <v>2046</v>
      </c>
      <c r="D44" s="523">
        <f>IF(F43+SUM(E$17:E43)=D$10,F43,D$10-SUM(E$17:E43))</f>
        <v>3932295.0106650004</v>
      </c>
      <c r="E44" s="522">
        <f>IF(+I14&lt;F43,I14,D44)</f>
        <v>218822.49863636363</v>
      </c>
      <c r="F44" s="523">
        <f t="shared" si="10"/>
        <v>3713472.5120286369</v>
      </c>
      <c r="G44" s="524">
        <f t="shared" si="11"/>
        <v>675760.82927693904</v>
      </c>
      <c r="H44" s="491">
        <f t="shared" si="12"/>
        <v>675760.82927693904</v>
      </c>
      <c r="I44" s="511">
        <f t="shared" si="0"/>
        <v>0</v>
      </c>
      <c r="J44" s="511"/>
      <c r="K44" s="525"/>
      <c r="L44" s="514">
        <f t="shared" si="1"/>
        <v>0</v>
      </c>
      <c r="M44" s="525"/>
      <c r="N44" s="514">
        <f t="shared" si="2"/>
        <v>0</v>
      </c>
      <c r="O44" s="514">
        <f t="shared" si="3"/>
        <v>0</v>
      </c>
      <c r="P44" s="272"/>
    </row>
    <row r="45" spans="2:16">
      <c r="B45" s="195" t="str">
        <f t="shared" si="5"/>
        <v/>
      </c>
      <c r="C45" s="507">
        <f>IF(D11="","-",+C44+1)</f>
        <v>2047</v>
      </c>
      <c r="D45" s="523">
        <f>IF(F44+SUM(E$17:E44)=D$10,F44,D$10-SUM(E$17:E44))</f>
        <v>3713472.5120286369</v>
      </c>
      <c r="E45" s="522">
        <f>IF(+I14&lt;F44,I14,D45)</f>
        <v>218822.49863636363</v>
      </c>
      <c r="F45" s="523">
        <f t="shared" si="10"/>
        <v>3494650.0133922733</v>
      </c>
      <c r="G45" s="524">
        <f t="shared" si="11"/>
        <v>649605.60367356543</v>
      </c>
      <c r="H45" s="491">
        <f t="shared" si="12"/>
        <v>649605.60367356543</v>
      </c>
      <c r="I45" s="511">
        <f t="shared" si="0"/>
        <v>0</v>
      </c>
      <c r="J45" s="511"/>
      <c r="K45" s="525"/>
      <c r="L45" s="514">
        <f t="shared" si="1"/>
        <v>0</v>
      </c>
      <c r="M45" s="525"/>
      <c r="N45" s="514">
        <f t="shared" si="2"/>
        <v>0</v>
      </c>
      <c r="O45" s="514">
        <f t="shared" si="3"/>
        <v>0</v>
      </c>
      <c r="P45" s="272"/>
    </row>
    <row r="46" spans="2:16">
      <c r="B46" s="195" t="str">
        <f t="shared" si="5"/>
        <v/>
      </c>
      <c r="C46" s="507">
        <f>IF(D11="","-",+C45+1)</f>
        <v>2048</v>
      </c>
      <c r="D46" s="523">
        <f>IF(F45+SUM(E$17:E45)=D$10,F45,D$10-SUM(E$17:E45))</f>
        <v>3494650.0133922733</v>
      </c>
      <c r="E46" s="522">
        <f>IF(+I14&lt;F45,I14,D46)</f>
        <v>218822.49863636363</v>
      </c>
      <c r="F46" s="523">
        <f t="shared" si="10"/>
        <v>3275827.5147559098</v>
      </c>
      <c r="G46" s="524">
        <f t="shared" si="11"/>
        <v>623450.37807019183</v>
      </c>
      <c r="H46" s="491">
        <f t="shared" si="12"/>
        <v>623450.37807019183</v>
      </c>
      <c r="I46" s="511">
        <f t="shared" si="0"/>
        <v>0</v>
      </c>
      <c r="J46" s="511"/>
      <c r="K46" s="525"/>
      <c r="L46" s="514">
        <f t="shared" si="1"/>
        <v>0</v>
      </c>
      <c r="M46" s="525"/>
      <c r="N46" s="514">
        <f t="shared" si="2"/>
        <v>0</v>
      </c>
      <c r="O46" s="514">
        <f t="shared" si="3"/>
        <v>0</v>
      </c>
      <c r="P46" s="272"/>
    </row>
    <row r="47" spans="2:16">
      <c r="B47" s="195" t="str">
        <f t="shared" si="5"/>
        <v/>
      </c>
      <c r="C47" s="507">
        <f>IF(D11="","-",+C46+1)</f>
        <v>2049</v>
      </c>
      <c r="D47" s="523">
        <f>IF(F46+SUM(E$17:E46)=D$10,F46,D$10-SUM(E$17:E46))</f>
        <v>3275827.5147559098</v>
      </c>
      <c r="E47" s="522">
        <f>IF(+I14&lt;F46,I14,D47)</f>
        <v>218822.49863636363</v>
      </c>
      <c r="F47" s="523">
        <f t="shared" si="10"/>
        <v>3057005.0161195463</v>
      </c>
      <c r="G47" s="524">
        <f t="shared" si="11"/>
        <v>597295.15246681811</v>
      </c>
      <c r="H47" s="491">
        <f t="shared" si="12"/>
        <v>597295.15246681811</v>
      </c>
      <c r="I47" s="511">
        <f t="shared" si="0"/>
        <v>0</v>
      </c>
      <c r="J47" s="511"/>
      <c r="K47" s="525"/>
      <c r="L47" s="514">
        <f t="shared" si="1"/>
        <v>0</v>
      </c>
      <c r="M47" s="525"/>
      <c r="N47" s="514">
        <f t="shared" si="2"/>
        <v>0</v>
      </c>
      <c r="O47" s="514">
        <f t="shared" si="3"/>
        <v>0</v>
      </c>
      <c r="P47" s="272"/>
    </row>
    <row r="48" spans="2:16">
      <c r="B48" s="195" t="str">
        <f t="shared" si="5"/>
        <v/>
      </c>
      <c r="C48" s="507">
        <f>IF(D11="","-",+C47+1)</f>
        <v>2050</v>
      </c>
      <c r="D48" s="523">
        <f>IF(F47+SUM(E$17:E47)=D$10,F47,D$10-SUM(E$17:E47))</f>
        <v>3057005.0161195463</v>
      </c>
      <c r="E48" s="522">
        <f>IF(+I14&lt;F47,I14,D48)</f>
        <v>218822.49863636363</v>
      </c>
      <c r="F48" s="523">
        <f t="shared" si="10"/>
        <v>2838182.5174831827</v>
      </c>
      <c r="G48" s="524">
        <f t="shared" si="11"/>
        <v>571139.92686344462</v>
      </c>
      <c r="H48" s="491">
        <f t="shared" si="12"/>
        <v>571139.92686344462</v>
      </c>
      <c r="I48" s="511">
        <f t="shared" si="0"/>
        <v>0</v>
      </c>
      <c r="J48" s="511"/>
      <c r="K48" s="525"/>
      <c r="L48" s="514">
        <f t="shared" si="1"/>
        <v>0</v>
      </c>
      <c r="M48" s="525"/>
      <c r="N48" s="514">
        <f t="shared" si="2"/>
        <v>0</v>
      </c>
      <c r="O48" s="514">
        <f t="shared" si="3"/>
        <v>0</v>
      </c>
      <c r="P48" s="272"/>
    </row>
    <row r="49" spans="2:16">
      <c r="B49" s="195" t="str">
        <f t="shared" si="5"/>
        <v/>
      </c>
      <c r="C49" s="507">
        <f>IF(D11="","-",+C48+1)</f>
        <v>2051</v>
      </c>
      <c r="D49" s="523">
        <f>IF(F48+SUM(E$17:E48)=D$10,F48,D$10-SUM(E$17:E48))</f>
        <v>2838182.5174831827</v>
      </c>
      <c r="E49" s="522">
        <f>IF(+I14&lt;F48,I14,D49)</f>
        <v>218822.49863636363</v>
      </c>
      <c r="F49" s="523">
        <f t="shared" si="10"/>
        <v>2619360.0188468192</v>
      </c>
      <c r="G49" s="524">
        <f t="shared" si="11"/>
        <v>544984.7012600709</v>
      </c>
      <c r="H49" s="491">
        <f t="shared" si="12"/>
        <v>544984.7012600709</v>
      </c>
      <c r="I49" s="511">
        <f t="shared" si="0"/>
        <v>0</v>
      </c>
      <c r="J49" s="511"/>
      <c r="K49" s="525"/>
      <c r="L49" s="514">
        <f t="shared" si="1"/>
        <v>0</v>
      </c>
      <c r="M49" s="525"/>
      <c r="N49" s="514">
        <f t="shared" si="2"/>
        <v>0</v>
      </c>
      <c r="O49" s="514">
        <f t="shared" si="3"/>
        <v>0</v>
      </c>
      <c r="P49" s="272"/>
    </row>
    <row r="50" spans="2:16">
      <c r="B50" s="195" t="str">
        <f t="shared" si="5"/>
        <v/>
      </c>
      <c r="C50" s="507">
        <f>IF(D11="","-",+C49+1)</f>
        <v>2052</v>
      </c>
      <c r="D50" s="523">
        <f>IF(F49+SUM(E$17:E49)=D$10,F49,D$10-SUM(E$17:E49))</f>
        <v>2619360.0188468192</v>
      </c>
      <c r="E50" s="522">
        <f>IF(+I14&lt;F49,I14,D50)</f>
        <v>218822.49863636363</v>
      </c>
      <c r="F50" s="523">
        <f t="shared" si="10"/>
        <v>2400537.5202104556</v>
      </c>
      <c r="G50" s="524">
        <f t="shared" si="11"/>
        <v>518829.47565669741</v>
      </c>
      <c r="H50" s="491">
        <f t="shared" si="12"/>
        <v>518829.47565669741</v>
      </c>
      <c r="I50" s="511">
        <f t="shared" si="0"/>
        <v>0</v>
      </c>
      <c r="J50" s="511"/>
      <c r="K50" s="525"/>
      <c r="L50" s="514">
        <f t="shared" si="1"/>
        <v>0</v>
      </c>
      <c r="M50" s="525"/>
      <c r="N50" s="514">
        <f t="shared" si="2"/>
        <v>0</v>
      </c>
      <c r="O50" s="514">
        <f t="shared" si="3"/>
        <v>0</v>
      </c>
      <c r="P50" s="272"/>
    </row>
    <row r="51" spans="2:16">
      <c r="B51" s="195" t="str">
        <f t="shared" si="5"/>
        <v/>
      </c>
      <c r="C51" s="507">
        <f>IF(D11="","-",+C50+1)</f>
        <v>2053</v>
      </c>
      <c r="D51" s="523">
        <f>IF(F50+SUM(E$17:E50)=D$10,F50,D$10-SUM(E$17:E50))</f>
        <v>2400537.5202104556</v>
      </c>
      <c r="E51" s="522">
        <f>IF(+I14&lt;F50,I14,D51)</f>
        <v>218822.49863636363</v>
      </c>
      <c r="F51" s="523">
        <f t="shared" si="10"/>
        <v>2181715.0215740921</v>
      </c>
      <c r="G51" s="524">
        <f t="shared" si="11"/>
        <v>492674.25005332369</v>
      </c>
      <c r="H51" s="491">
        <f t="shared" si="12"/>
        <v>492674.25005332369</v>
      </c>
      <c r="I51" s="511">
        <f t="shared" si="0"/>
        <v>0</v>
      </c>
      <c r="J51" s="511"/>
      <c r="K51" s="525"/>
      <c r="L51" s="514">
        <f t="shared" si="1"/>
        <v>0</v>
      </c>
      <c r="M51" s="525"/>
      <c r="N51" s="514">
        <f t="shared" si="2"/>
        <v>0</v>
      </c>
      <c r="O51" s="514">
        <f t="shared" si="3"/>
        <v>0</v>
      </c>
      <c r="P51" s="272"/>
    </row>
    <row r="52" spans="2:16">
      <c r="B52" s="195" t="str">
        <f t="shared" si="5"/>
        <v/>
      </c>
      <c r="C52" s="507">
        <f>IF(D11="","-",+C51+1)</f>
        <v>2054</v>
      </c>
      <c r="D52" s="523">
        <f>IF(F51+SUM(E$17:E51)=D$10,F51,D$10-SUM(E$17:E51))</f>
        <v>2181715.0215740874</v>
      </c>
      <c r="E52" s="522">
        <f>IF(+I14&lt;F51,I14,D52)</f>
        <v>218822.49863636363</v>
      </c>
      <c r="F52" s="523">
        <f t="shared" si="10"/>
        <v>1962892.5229377239</v>
      </c>
      <c r="G52" s="524">
        <f t="shared" si="11"/>
        <v>466519.02444994956</v>
      </c>
      <c r="H52" s="491">
        <f t="shared" si="12"/>
        <v>466519.02444994956</v>
      </c>
      <c r="I52" s="511">
        <f t="shared" si="0"/>
        <v>0</v>
      </c>
      <c r="J52" s="511"/>
      <c r="K52" s="525"/>
      <c r="L52" s="514">
        <f t="shared" si="1"/>
        <v>0</v>
      </c>
      <c r="M52" s="525"/>
      <c r="N52" s="514">
        <f t="shared" si="2"/>
        <v>0</v>
      </c>
      <c r="O52" s="514">
        <f t="shared" si="3"/>
        <v>0</v>
      </c>
      <c r="P52" s="272"/>
    </row>
    <row r="53" spans="2:16">
      <c r="B53" s="195" t="str">
        <f t="shared" si="5"/>
        <v/>
      </c>
      <c r="C53" s="507">
        <f>IF(D11="","-",+C52+1)</f>
        <v>2055</v>
      </c>
      <c r="D53" s="523">
        <f>IF(F52+SUM(E$17:E52)=D$10,F52,D$10-SUM(E$17:E52))</f>
        <v>1962892.5229377239</v>
      </c>
      <c r="E53" s="522">
        <f>IF(+I14&lt;F52,I14,D53)</f>
        <v>218822.49863636363</v>
      </c>
      <c r="F53" s="523">
        <f t="shared" si="10"/>
        <v>1744070.0243013604</v>
      </c>
      <c r="G53" s="524">
        <f t="shared" si="11"/>
        <v>440363.7988465759</v>
      </c>
      <c r="H53" s="491">
        <f t="shared" si="12"/>
        <v>440363.7988465759</v>
      </c>
      <c r="I53" s="511">
        <f t="shared" si="0"/>
        <v>0</v>
      </c>
      <c r="J53" s="511"/>
      <c r="K53" s="525"/>
      <c r="L53" s="514">
        <f t="shared" si="1"/>
        <v>0</v>
      </c>
      <c r="M53" s="525"/>
      <c r="N53" s="514">
        <f t="shared" si="2"/>
        <v>0</v>
      </c>
      <c r="O53" s="514">
        <f t="shared" si="3"/>
        <v>0</v>
      </c>
      <c r="P53" s="272"/>
    </row>
    <row r="54" spans="2:16">
      <c r="B54" s="195" t="str">
        <f t="shared" si="5"/>
        <v/>
      </c>
      <c r="C54" s="507">
        <f>IF(D11="","-",+C53+1)</f>
        <v>2056</v>
      </c>
      <c r="D54" s="523">
        <f>IF(F53+SUM(E$17:E53)=D$10,F53,D$10-SUM(E$17:E53))</f>
        <v>1744070.0243013604</v>
      </c>
      <c r="E54" s="522">
        <f>IF(+I14&lt;F53,I14,D54)</f>
        <v>218822.49863636363</v>
      </c>
      <c r="F54" s="523">
        <f t="shared" si="10"/>
        <v>1525247.5256649968</v>
      </c>
      <c r="G54" s="524">
        <f t="shared" si="11"/>
        <v>414208.57324320229</v>
      </c>
      <c r="H54" s="491">
        <f t="shared" si="12"/>
        <v>414208.57324320229</v>
      </c>
      <c r="I54" s="511">
        <f t="shared" si="0"/>
        <v>0</v>
      </c>
      <c r="J54" s="511"/>
      <c r="K54" s="525"/>
      <c r="L54" s="514">
        <f t="shared" si="1"/>
        <v>0</v>
      </c>
      <c r="M54" s="525"/>
      <c r="N54" s="514">
        <f t="shared" si="2"/>
        <v>0</v>
      </c>
      <c r="O54" s="514">
        <f t="shared" si="3"/>
        <v>0</v>
      </c>
      <c r="P54" s="272"/>
    </row>
    <row r="55" spans="2:16">
      <c r="B55" s="195" t="str">
        <f t="shared" si="5"/>
        <v/>
      </c>
      <c r="C55" s="507">
        <f>IF(D11="","-",+C54+1)</f>
        <v>2057</v>
      </c>
      <c r="D55" s="523">
        <f>IF(F54+SUM(E$17:E54)=D$10,F54,D$10-SUM(E$17:E54))</f>
        <v>1525247.5256649968</v>
      </c>
      <c r="E55" s="522">
        <f>IF(+I14&lt;F54,I14,D55)</f>
        <v>218822.49863636363</v>
      </c>
      <c r="F55" s="523">
        <f t="shared" si="10"/>
        <v>1306425.0270286333</v>
      </c>
      <c r="G55" s="524">
        <f t="shared" si="11"/>
        <v>388053.34763982869</v>
      </c>
      <c r="H55" s="491">
        <f t="shared" si="12"/>
        <v>388053.34763982869</v>
      </c>
      <c r="I55" s="511">
        <f t="shared" si="0"/>
        <v>0</v>
      </c>
      <c r="J55" s="511"/>
      <c r="K55" s="525"/>
      <c r="L55" s="514">
        <f t="shared" si="1"/>
        <v>0</v>
      </c>
      <c r="M55" s="525"/>
      <c r="N55" s="514">
        <f t="shared" si="2"/>
        <v>0</v>
      </c>
      <c r="O55" s="514">
        <f t="shared" si="3"/>
        <v>0</v>
      </c>
      <c r="P55" s="272"/>
    </row>
    <row r="56" spans="2:16">
      <c r="B56" s="195" t="str">
        <f t="shared" si="5"/>
        <v/>
      </c>
      <c r="C56" s="507">
        <f>IF(D11="","-",+C55+1)</f>
        <v>2058</v>
      </c>
      <c r="D56" s="523">
        <f>IF(F55+SUM(E$17:E55)=D$10,F55,D$10-SUM(E$17:E55))</f>
        <v>1306425.0270286333</v>
      </c>
      <c r="E56" s="522">
        <f>IF(+I14&lt;F55,I14,D56)</f>
        <v>218822.49863636363</v>
      </c>
      <c r="F56" s="523">
        <f t="shared" si="10"/>
        <v>1087602.5283922697</v>
      </c>
      <c r="G56" s="524">
        <f t="shared" si="11"/>
        <v>361898.12203645508</v>
      </c>
      <c r="H56" s="491">
        <f t="shared" si="12"/>
        <v>361898.12203645508</v>
      </c>
      <c r="I56" s="511">
        <f t="shared" si="0"/>
        <v>0</v>
      </c>
      <c r="J56" s="511"/>
      <c r="K56" s="525"/>
      <c r="L56" s="514">
        <f t="shared" si="1"/>
        <v>0</v>
      </c>
      <c r="M56" s="525"/>
      <c r="N56" s="514">
        <f t="shared" si="2"/>
        <v>0</v>
      </c>
      <c r="O56" s="514">
        <f t="shared" si="3"/>
        <v>0</v>
      </c>
      <c r="P56" s="272"/>
    </row>
    <row r="57" spans="2:16">
      <c r="B57" s="195" t="str">
        <f t="shared" si="5"/>
        <v/>
      </c>
      <c r="C57" s="507">
        <f>IF(D11="","-",+C56+1)</f>
        <v>2059</v>
      </c>
      <c r="D57" s="523">
        <f>IF(F56+SUM(E$17:E56)=D$10,F56,D$10-SUM(E$17:E56))</f>
        <v>1087602.5283922697</v>
      </c>
      <c r="E57" s="522">
        <f>IF(+I14&lt;F56,I14,D57)</f>
        <v>218822.49863636363</v>
      </c>
      <c r="F57" s="523">
        <f t="shared" si="10"/>
        <v>868780.02975590609</v>
      </c>
      <c r="G57" s="524">
        <f t="shared" si="11"/>
        <v>335742.89643308148</v>
      </c>
      <c r="H57" s="491">
        <f t="shared" si="12"/>
        <v>335742.89643308148</v>
      </c>
      <c r="I57" s="511">
        <f t="shared" si="0"/>
        <v>0</v>
      </c>
      <c r="J57" s="511"/>
      <c r="K57" s="525"/>
      <c r="L57" s="514">
        <f t="shared" si="1"/>
        <v>0</v>
      </c>
      <c r="M57" s="525"/>
      <c r="N57" s="514">
        <f t="shared" si="2"/>
        <v>0</v>
      </c>
      <c r="O57" s="514">
        <f t="shared" si="3"/>
        <v>0</v>
      </c>
      <c r="P57" s="272"/>
    </row>
    <row r="58" spans="2:16">
      <c r="B58" s="195" t="str">
        <f t="shared" si="5"/>
        <v/>
      </c>
      <c r="C58" s="507">
        <f>IF(D11="","-",+C57+1)</f>
        <v>2060</v>
      </c>
      <c r="D58" s="523">
        <f>IF(F57+SUM(E$17:E57)=D$10,F57,D$10-SUM(E$17:E57))</f>
        <v>868780.02975590609</v>
      </c>
      <c r="E58" s="522">
        <f>IF(+I14&lt;F57,I14,D58)</f>
        <v>218822.49863636363</v>
      </c>
      <c r="F58" s="523">
        <f t="shared" si="10"/>
        <v>649957.53111954243</v>
      </c>
      <c r="G58" s="524">
        <f t="shared" si="11"/>
        <v>309587.67082970781</v>
      </c>
      <c r="H58" s="491">
        <f t="shared" si="12"/>
        <v>309587.67082970781</v>
      </c>
      <c r="I58" s="511">
        <f t="shared" si="0"/>
        <v>0</v>
      </c>
      <c r="J58" s="511"/>
      <c r="K58" s="525"/>
      <c r="L58" s="514">
        <f t="shared" si="1"/>
        <v>0</v>
      </c>
      <c r="M58" s="525"/>
      <c r="N58" s="514">
        <f t="shared" si="2"/>
        <v>0</v>
      </c>
      <c r="O58" s="514">
        <f t="shared" si="3"/>
        <v>0</v>
      </c>
      <c r="P58" s="272"/>
    </row>
    <row r="59" spans="2:16">
      <c r="B59" s="195" t="str">
        <f t="shared" si="5"/>
        <v/>
      </c>
      <c r="C59" s="507">
        <f>IF(D11="","-",+C58+1)</f>
        <v>2061</v>
      </c>
      <c r="D59" s="523">
        <f>IF(F58+SUM(E$17:E58)=D$10,F58,D$10-SUM(E$17:E58))</f>
        <v>649957.53111954243</v>
      </c>
      <c r="E59" s="522">
        <f>IF(+I14&lt;F58,I14,D59)</f>
        <v>218822.49863636363</v>
      </c>
      <c r="F59" s="523">
        <f t="shared" si="10"/>
        <v>431135.03248317877</v>
      </c>
      <c r="G59" s="524">
        <f t="shared" si="11"/>
        <v>283432.44522633421</v>
      </c>
      <c r="H59" s="491">
        <f t="shared" si="12"/>
        <v>283432.44522633421</v>
      </c>
      <c r="I59" s="511">
        <f t="shared" si="0"/>
        <v>0</v>
      </c>
      <c r="J59" s="511"/>
      <c r="K59" s="525"/>
      <c r="L59" s="514">
        <f t="shared" si="1"/>
        <v>0</v>
      </c>
      <c r="M59" s="525"/>
      <c r="N59" s="514">
        <f t="shared" si="2"/>
        <v>0</v>
      </c>
      <c r="O59" s="514">
        <f t="shared" si="3"/>
        <v>0</v>
      </c>
      <c r="P59" s="272"/>
    </row>
    <row r="60" spans="2:16">
      <c r="B60" s="195" t="str">
        <f t="shared" si="5"/>
        <v/>
      </c>
      <c r="C60" s="507">
        <f>IF(D11="","-",+C59+1)</f>
        <v>2062</v>
      </c>
      <c r="D60" s="523">
        <f>IF(F59+SUM(E$17:E59)=D$10,F59,D$10-SUM(E$17:E59))</f>
        <v>431135.03248317877</v>
      </c>
      <c r="E60" s="522">
        <f>IF(+I14&lt;F59,I14,D60)</f>
        <v>218822.49863636363</v>
      </c>
      <c r="F60" s="523">
        <f t="shared" si="10"/>
        <v>212312.53384681515</v>
      </c>
      <c r="G60" s="524">
        <f t="shared" si="11"/>
        <v>257277.21962296058</v>
      </c>
      <c r="H60" s="491">
        <f t="shared" si="12"/>
        <v>257277.21962296058</v>
      </c>
      <c r="I60" s="511">
        <f t="shared" si="0"/>
        <v>0</v>
      </c>
      <c r="J60" s="511"/>
      <c r="K60" s="525"/>
      <c r="L60" s="514">
        <f t="shared" si="1"/>
        <v>0</v>
      </c>
      <c r="M60" s="525"/>
      <c r="N60" s="514">
        <f t="shared" si="2"/>
        <v>0</v>
      </c>
      <c r="O60" s="514">
        <f t="shared" si="3"/>
        <v>0</v>
      </c>
      <c r="P60" s="272"/>
    </row>
    <row r="61" spans="2:16">
      <c r="B61" s="195" t="str">
        <f t="shared" si="5"/>
        <v/>
      </c>
      <c r="C61" s="507">
        <f>IF(D11="","-",+C60+1)</f>
        <v>2063</v>
      </c>
      <c r="D61" s="523">
        <f>IF(F60+SUM(E$17:E60)=D$10,F60,D$10-SUM(E$17:E60))</f>
        <v>212312.53384681515</v>
      </c>
      <c r="E61" s="522">
        <f>IF(+I14&lt;F60,I14,D61)</f>
        <v>212312.53384681515</v>
      </c>
      <c r="F61" s="523">
        <f t="shared" si="10"/>
        <v>0</v>
      </c>
      <c r="G61" s="526">
        <f t="shared" si="11"/>
        <v>225001.08793927022</v>
      </c>
      <c r="H61" s="491">
        <f t="shared" si="12"/>
        <v>225001.08793927022</v>
      </c>
      <c r="I61" s="511">
        <f t="shared" si="0"/>
        <v>0</v>
      </c>
      <c r="J61" s="511"/>
      <c r="K61" s="525"/>
      <c r="L61" s="514">
        <f t="shared" si="1"/>
        <v>0</v>
      </c>
      <c r="M61" s="525"/>
      <c r="N61" s="514">
        <f t="shared" si="2"/>
        <v>0</v>
      </c>
      <c r="O61" s="514">
        <f t="shared" si="3"/>
        <v>0</v>
      </c>
      <c r="P61" s="272"/>
    </row>
    <row r="62" spans="2:16">
      <c r="B62" s="195" t="str">
        <f t="shared" si="5"/>
        <v/>
      </c>
      <c r="C62" s="507">
        <f>IF(D11="","-",+C61+1)</f>
        <v>2064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10"/>
        <v>0</v>
      </c>
      <c r="G62" s="526">
        <f t="shared" si="11"/>
        <v>0</v>
      </c>
      <c r="H62" s="491">
        <f t="shared" si="12"/>
        <v>0</v>
      </c>
      <c r="I62" s="511">
        <f t="shared" si="0"/>
        <v>0</v>
      </c>
      <c r="J62" s="511"/>
      <c r="K62" s="525"/>
      <c r="L62" s="514">
        <f t="shared" si="1"/>
        <v>0</v>
      </c>
      <c r="M62" s="525"/>
      <c r="N62" s="514">
        <f t="shared" si="2"/>
        <v>0</v>
      </c>
      <c r="O62" s="514">
        <f t="shared" si="3"/>
        <v>0</v>
      </c>
      <c r="P62" s="272"/>
    </row>
    <row r="63" spans="2:16">
      <c r="B63" s="195" t="str">
        <f t="shared" si="5"/>
        <v/>
      </c>
      <c r="C63" s="507">
        <f>IF(D11="","-",+C62+1)</f>
        <v>2065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10"/>
        <v>0</v>
      </c>
      <c r="G63" s="526">
        <f t="shared" si="11"/>
        <v>0</v>
      </c>
      <c r="H63" s="491">
        <f t="shared" si="12"/>
        <v>0</v>
      </c>
      <c r="I63" s="511">
        <f t="shared" si="0"/>
        <v>0</v>
      </c>
      <c r="J63" s="511"/>
      <c r="K63" s="525"/>
      <c r="L63" s="514">
        <f t="shared" si="1"/>
        <v>0</v>
      </c>
      <c r="M63" s="525"/>
      <c r="N63" s="514">
        <f t="shared" si="2"/>
        <v>0</v>
      </c>
      <c r="O63" s="514">
        <f t="shared" si="3"/>
        <v>0</v>
      </c>
      <c r="P63" s="272"/>
    </row>
    <row r="64" spans="2:16">
      <c r="B64" s="195" t="str">
        <f t="shared" si="5"/>
        <v/>
      </c>
      <c r="C64" s="507">
        <f>IF(D11="","-",+C63+1)</f>
        <v>2066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10"/>
        <v>0</v>
      </c>
      <c r="G64" s="526">
        <f t="shared" si="11"/>
        <v>0</v>
      </c>
      <c r="H64" s="491">
        <f t="shared" si="12"/>
        <v>0</v>
      </c>
      <c r="I64" s="511">
        <f t="shared" si="0"/>
        <v>0</v>
      </c>
      <c r="J64" s="511"/>
      <c r="K64" s="525"/>
      <c r="L64" s="514">
        <f t="shared" si="1"/>
        <v>0</v>
      </c>
      <c r="M64" s="525"/>
      <c r="N64" s="514">
        <f t="shared" si="2"/>
        <v>0</v>
      </c>
      <c r="O64" s="514">
        <f t="shared" si="3"/>
        <v>0</v>
      </c>
      <c r="P64" s="272"/>
    </row>
    <row r="65" spans="2:16">
      <c r="B65" s="195" t="str">
        <f t="shared" si="5"/>
        <v/>
      </c>
      <c r="C65" s="507">
        <f>IF(D11="","-",+C64+1)</f>
        <v>2067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10"/>
        <v>0</v>
      </c>
      <c r="G65" s="526">
        <f t="shared" si="11"/>
        <v>0</v>
      </c>
      <c r="H65" s="491">
        <f t="shared" si="12"/>
        <v>0</v>
      </c>
      <c r="I65" s="511">
        <f t="shared" si="0"/>
        <v>0</v>
      </c>
      <c r="J65" s="511"/>
      <c r="K65" s="525"/>
      <c r="L65" s="514">
        <f t="shared" si="1"/>
        <v>0</v>
      </c>
      <c r="M65" s="525"/>
      <c r="N65" s="514">
        <f t="shared" si="2"/>
        <v>0</v>
      </c>
      <c r="O65" s="514">
        <f t="shared" si="3"/>
        <v>0</v>
      </c>
      <c r="P65" s="272"/>
    </row>
    <row r="66" spans="2:16">
      <c r="B66" s="195" t="str">
        <f t="shared" si="5"/>
        <v/>
      </c>
      <c r="C66" s="507">
        <f>IF(D11="","-",+C65+1)</f>
        <v>2068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10"/>
        <v>0</v>
      </c>
      <c r="G66" s="526">
        <f t="shared" si="11"/>
        <v>0</v>
      </c>
      <c r="H66" s="491">
        <f t="shared" si="12"/>
        <v>0</v>
      </c>
      <c r="I66" s="511">
        <f t="shared" si="0"/>
        <v>0</v>
      </c>
      <c r="J66" s="511"/>
      <c r="K66" s="525"/>
      <c r="L66" s="514">
        <f t="shared" si="1"/>
        <v>0</v>
      </c>
      <c r="M66" s="525"/>
      <c r="N66" s="514">
        <f t="shared" si="2"/>
        <v>0</v>
      </c>
      <c r="O66" s="514">
        <f t="shared" si="3"/>
        <v>0</v>
      </c>
      <c r="P66" s="272"/>
    </row>
    <row r="67" spans="2:16">
      <c r="B67" s="195" t="str">
        <f t="shared" si="5"/>
        <v/>
      </c>
      <c r="C67" s="507">
        <f>IF(D11="","-",+C66+1)</f>
        <v>2069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10"/>
        <v>0</v>
      </c>
      <c r="G67" s="526">
        <f t="shared" si="11"/>
        <v>0</v>
      </c>
      <c r="H67" s="491">
        <f t="shared" si="12"/>
        <v>0</v>
      </c>
      <c r="I67" s="511">
        <f t="shared" si="0"/>
        <v>0</v>
      </c>
      <c r="J67" s="511"/>
      <c r="K67" s="525"/>
      <c r="L67" s="514">
        <f t="shared" si="1"/>
        <v>0</v>
      </c>
      <c r="M67" s="525"/>
      <c r="N67" s="514">
        <f t="shared" si="2"/>
        <v>0</v>
      </c>
      <c r="O67" s="514">
        <f t="shared" si="3"/>
        <v>0</v>
      </c>
      <c r="P67" s="272"/>
    </row>
    <row r="68" spans="2:16">
      <c r="B68" s="195" t="str">
        <f t="shared" si="5"/>
        <v/>
      </c>
      <c r="C68" s="507">
        <f>IF(D11="","-",+C67+1)</f>
        <v>2070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10"/>
        <v>0</v>
      </c>
      <c r="G68" s="526">
        <f t="shared" si="11"/>
        <v>0</v>
      </c>
      <c r="H68" s="491">
        <f t="shared" si="12"/>
        <v>0</v>
      </c>
      <c r="I68" s="511">
        <f t="shared" si="0"/>
        <v>0</v>
      </c>
      <c r="J68" s="511"/>
      <c r="K68" s="525"/>
      <c r="L68" s="514">
        <f t="shared" si="1"/>
        <v>0</v>
      </c>
      <c r="M68" s="525"/>
      <c r="N68" s="514">
        <f t="shared" si="2"/>
        <v>0</v>
      </c>
      <c r="O68" s="514">
        <f t="shared" si="3"/>
        <v>0</v>
      </c>
      <c r="P68" s="272"/>
    </row>
    <row r="69" spans="2:16">
      <c r="B69" s="195" t="str">
        <f t="shared" si="5"/>
        <v/>
      </c>
      <c r="C69" s="507">
        <f>IF(D11="","-",+C68+1)</f>
        <v>2071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10"/>
        <v>0</v>
      </c>
      <c r="G69" s="526">
        <f t="shared" si="11"/>
        <v>0</v>
      </c>
      <c r="H69" s="491">
        <f t="shared" si="12"/>
        <v>0</v>
      </c>
      <c r="I69" s="511">
        <f t="shared" si="0"/>
        <v>0</v>
      </c>
      <c r="J69" s="511"/>
      <c r="K69" s="525"/>
      <c r="L69" s="514">
        <f t="shared" si="1"/>
        <v>0</v>
      </c>
      <c r="M69" s="525"/>
      <c r="N69" s="514">
        <f t="shared" si="2"/>
        <v>0</v>
      </c>
      <c r="O69" s="514">
        <f t="shared" si="3"/>
        <v>0</v>
      </c>
      <c r="P69" s="272"/>
    </row>
    <row r="70" spans="2:16">
      <c r="B70" s="195" t="str">
        <f t="shared" si="5"/>
        <v/>
      </c>
      <c r="C70" s="507">
        <f>IF(D11="","-",+C69+1)</f>
        <v>2072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10"/>
        <v>0</v>
      </c>
      <c r="G70" s="526">
        <f t="shared" si="11"/>
        <v>0</v>
      </c>
      <c r="H70" s="491">
        <f t="shared" si="12"/>
        <v>0</v>
      </c>
      <c r="I70" s="511">
        <f t="shared" si="0"/>
        <v>0</v>
      </c>
      <c r="J70" s="511"/>
      <c r="K70" s="525"/>
      <c r="L70" s="514">
        <f t="shared" si="1"/>
        <v>0</v>
      </c>
      <c r="M70" s="525"/>
      <c r="N70" s="514">
        <f t="shared" si="2"/>
        <v>0</v>
      </c>
      <c r="O70" s="514">
        <f t="shared" si="3"/>
        <v>0</v>
      </c>
      <c r="P70" s="272"/>
    </row>
    <row r="71" spans="2:16">
      <c r="B71" s="195" t="str">
        <f t="shared" si="5"/>
        <v/>
      </c>
      <c r="C71" s="507">
        <f>IF(D11="","-",+C70+1)</f>
        <v>2073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10"/>
        <v>0</v>
      </c>
      <c r="G71" s="526">
        <f t="shared" si="11"/>
        <v>0</v>
      </c>
      <c r="H71" s="491">
        <f t="shared" si="12"/>
        <v>0</v>
      </c>
      <c r="I71" s="511">
        <f t="shared" si="0"/>
        <v>0</v>
      </c>
      <c r="J71" s="511"/>
      <c r="K71" s="525"/>
      <c r="L71" s="514">
        <f t="shared" si="1"/>
        <v>0</v>
      </c>
      <c r="M71" s="525"/>
      <c r="N71" s="514">
        <f t="shared" si="2"/>
        <v>0</v>
      </c>
      <c r="O71" s="514">
        <f t="shared" si="3"/>
        <v>0</v>
      </c>
      <c r="P71" s="272"/>
    </row>
    <row r="72" spans="2:16" ht="13.5" thickBot="1">
      <c r="B72" s="195" t="str">
        <f t="shared" si="5"/>
        <v/>
      </c>
      <c r="C72" s="527">
        <f>IF(D11="","-",+C71+1)</f>
        <v>2074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10"/>
        <v>0</v>
      </c>
      <c r="G72" s="530">
        <f t="shared" si="11"/>
        <v>0</v>
      </c>
      <c r="H72" s="471">
        <f t="shared" si="12"/>
        <v>0</v>
      </c>
      <c r="I72" s="531">
        <f t="shared" si="0"/>
        <v>0</v>
      </c>
      <c r="J72" s="511"/>
      <c r="K72" s="532"/>
      <c r="L72" s="533">
        <f t="shared" si="1"/>
        <v>0</v>
      </c>
      <c r="M72" s="532"/>
      <c r="N72" s="533">
        <f t="shared" si="2"/>
        <v>0</v>
      </c>
      <c r="O72" s="533">
        <f t="shared" si="3"/>
        <v>0</v>
      </c>
      <c r="P72" s="272"/>
    </row>
    <row r="73" spans="2:16">
      <c r="C73" s="374" t="s">
        <v>78</v>
      </c>
      <c r="D73" s="375"/>
      <c r="E73" s="375">
        <f>SUM(E17:E72)</f>
        <v>9628189.9399999995</v>
      </c>
      <c r="F73" s="375"/>
      <c r="G73" s="375">
        <f>SUM(G17:G72)</f>
        <v>34851502.178934082</v>
      </c>
      <c r="H73" s="375">
        <f>SUM(H17:H72)</f>
        <v>34851502.178934082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2:16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2:16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2:16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2:16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272"/>
      <c r="P77" s="272"/>
    </row>
    <row r="78" spans="2:16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2:16"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  <c r="O79" s="269"/>
      <c r="P79" s="269"/>
    </row>
    <row r="80" spans="2:16" ht="18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6">
      <c r="B81" s="269"/>
      <c r="C81" s="340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6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</row>
    <row r="83" spans="1:16" ht="20.25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451" t="str">
        <f ca="1">P1</f>
        <v>SWEPCO Project 72 of 75</v>
      </c>
    </row>
    <row r="84" spans="1:16" ht="18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538" t="s">
        <v>128</v>
      </c>
    </row>
    <row r="85" spans="1:16" ht="18.7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</row>
    <row r="86" spans="1:16" ht="15.75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2022</v>
      </c>
      <c r="M86" s="541" t="s">
        <v>9</v>
      </c>
      <c r="N86" s="542" t="s">
        <v>159</v>
      </c>
      <c r="O86" s="543" t="s">
        <v>11</v>
      </c>
      <c r="P86" s="269"/>
    </row>
    <row r="87" spans="1:16" ht="1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391</v>
      </c>
      <c r="M87" s="546">
        <f>IF(J92&lt;D11,0,VLOOKUP(J92,C17:O72,9))</f>
        <v>1251388.016895521</v>
      </c>
      <c r="N87" s="546">
        <f>IF(J92&lt;D11,0,VLOOKUP(J92,C17:O72,11))</f>
        <v>1251388.016895521</v>
      </c>
      <c r="O87" s="547">
        <f>+N87-M87</f>
        <v>0</v>
      </c>
      <c r="P87" s="269"/>
    </row>
    <row r="88" spans="1:16" ht="15.7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392</v>
      </c>
      <c r="M88" s="550">
        <f>IF(J92&lt;D11,0,VLOOKUP(J92,C99:P154,6))</f>
        <v>1272455.3080468555</v>
      </c>
      <c r="N88" s="550">
        <f>IF(J92&lt;D11,0,VLOOKUP(J92,C99:P154,7))</f>
        <v>1272455.3080468555</v>
      </c>
      <c r="O88" s="551">
        <f>+N88-M88</f>
        <v>0</v>
      </c>
      <c r="P88" s="269"/>
    </row>
    <row r="89" spans="1:16" ht="13.5" thickBot="1">
      <c r="C89" s="467" t="s">
        <v>84</v>
      </c>
      <c r="D89" s="552" t="str">
        <f>+D7</f>
        <v>Ellerbe Road - Lucas 69 kV Rebuild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21067.291151334532</v>
      </c>
      <c r="N89" s="555">
        <f>+N88-N87</f>
        <v>21067.291151334532</v>
      </c>
      <c r="O89" s="556">
        <f>+O88-O87</f>
        <v>0</v>
      </c>
      <c r="P89" s="269"/>
    </row>
    <row r="90" spans="1:16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</row>
    <row r="91" spans="1:16" ht="13.5" thickBot="1">
      <c r="A91" s="191"/>
      <c r="C91" s="558" t="s">
        <v>85</v>
      </c>
      <c r="D91" s="559" t="str">
        <f>+D9</f>
        <v>TP2014154</v>
      </c>
      <c r="E91" s="560"/>
      <c r="F91" s="560"/>
      <c r="G91" s="560"/>
      <c r="H91" s="560"/>
      <c r="I91" s="560"/>
      <c r="J91" s="560"/>
      <c r="K91" s="562"/>
      <c r="P91" s="481"/>
    </row>
    <row r="92" spans="1:16">
      <c r="C92" s="486" t="s">
        <v>51</v>
      </c>
      <c r="D92" s="564">
        <v>9628190</v>
      </c>
      <c r="E92" s="340" t="s">
        <v>86</v>
      </c>
      <c r="H92" s="484"/>
      <c r="I92" s="484"/>
      <c r="J92" s="485">
        <f>+'SWE.WS.G.BPU.ATRR.True-up'!M16</f>
        <v>2022</v>
      </c>
      <c r="K92" s="480"/>
      <c r="L92" s="375" t="s">
        <v>87</v>
      </c>
      <c r="P92" s="272"/>
    </row>
    <row r="93" spans="1:16">
      <c r="C93" s="486" t="s">
        <v>54</v>
      </c>
      <c r="D93" s="563">
        <f>+D11</f>
        <v>2019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</row>
    <row r="94" spans="1:16">
      <c r="C94" s="486" t="s">
        <v>56</v>
      </c>
      <c r="D94" s="564">
        <f>+D12</f>
        <v>3</v>
      </c>
      <c r="E94" s="486" t="s">
        <v>57</v>
      </c>
      <c r="F94" s="484"/>
      <c r="G94" s="484"/>
      <c r="J94" s="490">
        <f>'SWE.WS.G.BPU.ATRR.True-up'!$F$81</f>
        <v>0.11351422637179906</v>
      </c>
      <c r="K94" s="425"/>
      <c r="L94" s="183" t="s">
        <v>88</v>
      </c>
      <c r="P94" s="272"/>
    </row>
    <row r="95" spans="1:16">
      <c r="C95" s="486" t="s">
        <v>59</v>
      </c>
      <c r="D95" s="488">
        <f>'SWE.WS.G.BPU.ATRR.True-up'!F$93</f>
        <v>41</v>
      </c>
      <c r="E95" s="486" t="s">
        <v>60</v>
      </c>
      <c r="F95" s="484"/>
      <c r="G95" s="484"/>
      <c r="J95" s="490">
        <f>IF(H87="",J94,'SWE.WS.G.BPU.ATRR.True-up'!$F$80)</f>
        <v>0.11351422637179906</v>
      </c>
      <c r="K95" s="324"/>
      <c r="L95" s="375" t="s">
        <v>61</v>
      </c>
      <c r="M95" s="324"/>
      <c r="N95" s="324"/>
      <c r="O95" s="324"/>
      <c r="P95" s="272"/>
    </row>
    <row r="96" spans="1:16" ht="13.5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234833.90243902439</v>
      </c>
      <c r="K96" s="375"/>
      <c r="L96" s="375"/>
      <c r="M96" s="375"/>
      <c r="N96" s="375"/>
      <c r="O96" s="375"/>
      <c r="P96" s="272"/>
    </row>
    <row r="97" spans="1:16" ht="38.25">
      <c r="A97" s="660"/>
      <c r="B97" s="660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388</v>
      </c>
      <c r="I97" s="495" t="s">
        <v>389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</row>
    <row r="98" spans="1:16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602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</row>
    <row r="99" spans="1:16">
      <c r="C99" s="507">
        <f>IF(D93= "","-",D93)</f>
        <v>2019</v>
      </c>
      <c r="D99" s="629">
        <v>0</v>
      </c>
      <c r="E99" s="630">
        <v>167899.74418604653</v>
      </c>
      <c r="F99" s="631">
        <v>9458352.2558139525</v>
      </c>
      <c r="G99" s="631">
        <v>4729176.1279069763</v>
      </c>
      <c r="H99" s="633">
        <v>674113.34161088022</v>
      </c>
      <c r="I99" s="634">
        <v>674113.34161088022</v>
      </c>
      <c r="J99" s="514">
        <f t="shared" ref="J99:J130" si="13">+I99-H99</f>
        <v>0</v>
      </c>
      <c r="K99" s="514"/>
      <c r="L99" s="512">
        <f>+H99</f>
        <v>674113.34161088022</v>
      </c>
      <c r="M99" s="513">
        <f t="shared" ref="M99:M100" si="14">IF(L99&lt;&gt;0,+H99-L99,0)</f>
        <v>0</v>
      </c>
      <c r="N99" s="512">
        <f>+I99</f>
        <v>674113.34161088022</v>
      </c>
      <c r="O99" s="513">
        <f t="shared" ref="O99:O130" si="15">IF(N99&lt;&gt;0,+I99-N99,0)</f>
        <v>0</v>
      </c>
      <c r="P99" s="513">
        <f t="shared" ref="P99:P130" si="16">+O99-M99</f>
        <v>0</v>
      </c>
    </row>
    <row r="100" spans="1:16">
      <c r="B100" s="195" t="str">
        <f>IF(D100=F99,"","IU")</f>
        <v>IU</v>
      </c>
      <c r="C100" s="507">
        <f>IF(D93="","-",+C99+1)</f>
        <v>2020</v>
      </c>
      <c r="D100" s="629">
        <v>9460290.2558139525</v>
      </c>
      <c r="E100" s="630">
        <v>229242.61904761905</v>
      </c>
      <c r="F100" s="631">
        <v>9231047.6367663331</v>
      </c>
      <c r="G100" s="631">
        <v>9345668.9462901428</v>
      </c>
      <c r="H100" s="633">
        <v>1234592.0448831792</v>
      </c>
      <c r="I100" s="634">
        <v>1234592.0448831792</v>
      </c>
      <c r="J100" s="514">
        <f t="shared" si="13"/>
        <v>0</v>
      </c>
      <c r="K100" s="514"/>
      <c r="L100" s="655">
        <f>+H100</f>
        <v>1234592.0448831792</v>
      </c>
      <c r="M100" s="514">
        <f t="shared" si="14"/>
        <v>0</v>
      </c>
      <c r="N100" s="655">
        <f>+I100</f>
        <v>1234592.0448831792</v>
      </c>
      <c r="O100" s="514">
        <f t="shared" si="15"/>
        <v>0</v>
      </c>
      <c r="P100" s="514">
        <f t="shared" si="16"/>
        <v>0</v>
      </c>
    </row>
    <row r="101" spans="1:16">
      <c r="B101" s="195" t="str">
        <f t="shared" ref="B101:B154" si="17">IF(D101=F100,"","IU")</f>
        <v/>
      </c>
      <c r="C101" s="507">
        <f>IF(D93="","-",+C100+1)</f>
        <v>2021</v>
      </c>
      <c r="D101" s="629">
        <v>9231047.6367663331</v>
      </c>
      <c r="E101" s="630">
        <v>234833.90243902439</v>
      </c>
      <c r="F101" s="631">
        <v>8996213.7343273088</v>
      </c>
      <c r="G101" s="631">
        <v>9113630.685546821</v>
      </c>
      <c r="H101" s="633">
        <v>1269360.6391471603</v>
      </c>
      <c r="I101" s="634">
        <v>1269360.6391471603</v>
      </c>
      <c r="J101" s="514">
        <f t="shared" si="13"/>
        <v>0</v>
      </c>
      <c r="K101" s="514"/>
      <c r="L101" s="655">
        <f>+H101</f>
        <v>1269360.6391471603</v>
      </c>
      <c r="M101" s="514">
        <f t="shared" ref="M101" si="18">IF(L101&lt;&gt;0,+H101-L101,0)</f>
        <v>0</v>
      </c>
      <c r="N101" s="655">
        <f>+I101</f>
        <v>1269360.6391471603</v>
      </c>
      <c r="O101" s="514">
        <f t="shared" ref="O101" si="19">IF(N101&lt;&gt;0,+I101-N101,0)</f>
        <v>0</v>
      </c>
      <c r="P101" s="514">
        <f t="shared" ref="P101" si="20">+O101-M101</f>
        <v>0</v>
      </c>
    </row>
    <row r="102" spans="1:16">
      <c r="B102" s="195" t="str">
        <f t="shared" si="17"/>
        <v/>
      </c>
      <c r="C102" s="673">
        <f>IF(D93="","-",+C101+1)</f>
        <v>2022</v>
      </c>
      <c r="D102" s="374">
        <v>8996213.7343273088</v>
      </c>
      <c r="E102" s="522">
        <v>229242.61904761905</v>
      </c>
      <c r="F102" s="523">
        <v>8766971.1152796894</v>
      </c>
      <c r="G102" s="523">
        <v>8881592.4248034991</v>
      </c>
      <c r="H102" s="526">
        <v>1272455.3080468555</v>
      </c>
      <c r="I102" s="577">
        <v>1272455.3080468555</v>
      </c>
      <c r="J102" s="514">
        <f t="shared" si="13"/>
        <v>0</v>
      </c>
      <c r="K102" s="514"/>
      <c r="L102" s="525"/>
      <c r="M102" s="514">
        <f t="shared" ref="M102:M130" si="21">IF(L102&lt;&gt;0,+H102-L102,0)</f>
        <v>0</v>
      </c>
      <c r="N102" s="525"/>
      <c r="O102" s="514">
        <f t="shared" si="15"/>
        <v>0</v>
      </c>
      <c r="P102" s="514">
        <f t="shared" si="16"/>
        <v>0</v>
      </c>
    </row>
    <row r="103" spans="1:16">
      <c r="B103" s="195" t="str">
        <f t="shared" si="17"/>
        <v/>
      </c>
      <c r="C103" s="507">
        <f>IF(D93="","-",+C102+1)</f>
        <v>2023</v>
      </c>
      <c r="D103" s="374">
        <f>IF(F102+SUM(E$99:E102)=D$92,F102,D$92-SUM(E$99:E102))</f>
        <v>8766971.1152796894</v>
      </c>
      <c r="E103" s="522">
        <f>IF(+J96&lt;F102,J96,D103)</f>
        <v>234833.90243902439</v>
      </c>
      <c r="F103" s="523">
        <f t="shared" ref="F103:F154" si="22">+D103-E103</f>
        <v>8532137.2128406651</v>
      </c>
      <c r="G103" s="523">
        <f t="shared" ref="G103:G154" si="23">+(F103+D103)/2</f>
        <v>8649554.1640601773</v>
      </c>
      <c r="H103" s="526">
        <f t="shared" ref="H103:H154" si="24">+J$94*G103+E103</f>
        <v>1216681.3518332886</v>
      </c>
      <c r="I103" s="577">
        <f t="shared" ref="I103:I154" si="25">+J$95*G103+E103</f>
        <v>1216681.3518332886</v>
      </c>
      <c r="J103" s="514">
        <f t="shared" si="13"/>
        <v>0</v>
      </c>
      <c r="K103" s="514"/>
      <c r="L103" s="525"/>
      <c r="M103" s="514">
        <f t="shared" si="21"/>
        <v>0</v>
      </c>
      <c r="N103" s="525"/>
      <c r="O103" s="514">
        <f t="shared" si="15"/>
        <v>0</v>
      </c>
      <c r="P103" s="514">
        <f t="shared" si="16"/>
        <v>0</v>
      </c>
    </row>
    <row r="104" spans="1:16">
      <c r="B104" s="195" t="str">
        <f t="shared" si="17"/>
        <v/>
      </c>
      <c r="C104" s="507">
        <f>IF(D93="","-",+C103+1)</f>
        <v>2024</v>
      </c>
      <c r="D104" s="374">
        <f>IF(F103+SUM(E$99:E103)=D$92,F103,D$92-SUM(E$99:E103))</f>
        <v>8532137.2128406651</v>
      </c>
      <c r="E104" s="522">
        <f>IF(+J96&lt;F103,J96,D104)</f>
        <v>234833.90243902439</v>
      </c>
      <c r="F104" s="523">
        <f t="shared" si="22"/>
        <v>8297303.3104016408</v>
      </c>
      <c r="G104" s="523">
        <f t="shared" si="23"/>
        <v>8414720.261621153</v>
      </c>
      <c r="H104" s="526">
        <f t="shared" si="24"/>
        <v>1190024.3630720521</v>
      </c>
      <c r="I104" s="577">
        <f t="shared" si="25"/>
        <v>1190024.3630720521</v>
      </c>
      <c r="J104" s="514">
        <f t="shared" si="13"/>
        <v>0</v>
      </c>
      <c r="K104" s="514"/>
      <c r="L104" s="525"/>
      <c r="M104" s="514">
        <f t="shared" si="21"/>
        <v>0</v>
      </c>
      <c r="N104" s="525"/>
      <c r="O104" s="514">
        <f t="shared" si="15"/>
        <v>0</v>
      </c>
      <c r="P104" s="514">
        <f t="shared" si="16"/>
        <v>0</v>
      </c>
    </row>
    <row r="105" spans="1:16">
      <c r="B105" s="195" t="str">
        <f t="shared" si="17"/>
        <v/>
      </c>
      <c r="C105" s="507">
        <f>IF(D93="","-",+C104+1)</f>
        <v>2025</v>
      </c>
      <c r="D105" s="374">
        <f>IF(F104+SUM(E$99:E104)=D$92,F104,D$92-SUM(E$99:E104))</f>
        <v>8297303.3104016408</v>
      </c>
      <c r="E105" s="522">
        <f>IF(+J96&lt;F104,J96,D105)</f>
        <v>234833.90243902439</v>
      </c>
      <c r="F105" s="523">
        <f t="shared" si="22"/>
        <v>8062469.4079626165</v>
      </c>
      <c r="G105" s="523">
        <f t="shared" si="23"/>
        <v>8179886.3591821287</v>
      </c>
      <c r="H105" s="526">
        <f t="shared" si="24"/>
        <v>1163367.3743108157</v>
      </c>
      <c r="I105" s="577">
        <f t="shared" si="25"/>
        <v>1163367.3743108157</v>
      </c>
      <c r="J105" s="514">
        <f t="shared" si="13"/>
        <v>0</v>
      </c>
      <c r="K105" s="514"/>
      <c r="L105" s="525"/>
      <c r="M105" s="514">
        <f t="shared" si="21"/>
        <v>0</v>
      </c>
      <c r="N105" s="525"/>
      <c r="O105" s="514">
        <f t="shared" si="15"/>
        <v>0</v>
      </c>
      <c r="P105" s="514">
        <f t="shared" si="16"/>
        <v>0</v>
      </c>
    </row>
    <row r="106" spans="1:16">
      <c r="B106" s="195" t="str">
        <f t="shared" si="17"/>
        <v/>
      </c>
      <c r="C106" s="507">
        <f>IF(D93="","-",+C105+1)</f>
        <v>2026</v>
      </c>
      <c r="D106" s="374">
        <f>IF(F105+SUM(E$99:E105)=D$92,F105,D$92-SUM(E$99:E105))</f>
        <v>8062469.4079626165</v>
      </c>
      <c r="E106" s="522">
        <f>IF(+J96&lt;F105,J96,D106)</f>
        <v>234833.90243902439</v>
      </c>
      <c r="F106" s="523">
        <f t="shared" si="22"/>
        <v>7827635.5055235922</v>
      </c>
      <c r="G106" s="523">
        <f t="shared" si="23"/>
        <v>7945052.4567431044</v>
      </c>
      <c r="H106" s="526">
        <f t="shared" si="24"/>
        <v>1136710.3855495793</v>
      </c>
      <c r="I106" s="577">
        <f t="shared" si="25"/>
        <v>1136710.3855495793</v>
      </c>
      <c r="J106" s="514">
        <f t="shared" si="13"/>
        <v>0</v>
      </c>
      <c r="K106" s="514"/>
      <c r="L106" s="525"/>
      <c r="M106" s="514">
        <f t="shared" si="21"/>
        <v>0</v>
      </c>
      <c r="N106" s="525"/>
      <c r="O106" s="514">
        <f t="shared" si="15"/>
        <v>0</v>
      </c>
      <c r="P106" s="514">
        <f t="shared" si="16"/>
        <v>0</v>
      </c>
    </row>
    <row r="107" spans="1:16">
      <c r="B107" s="195" t="str">
        <f t="shared" si="17"/>
        <v/>
      </c>
      <c r="C107" s="507">
        <f>IF(D93="","-",+C106+1)</f>
        <v>2027</v>
      </c>
      <c r="D107" s="374">
        <f>IF(F106+SUM(E$99:E106)=D$92,F106,D$92-SUM(E$99:E106))</f>
        <v>7827635.5055235922</v>
      </c>
      <c r="E107" s="522">
        <f>IF(+J96&lt;F106,J96,D107)</f>
        <v>234833.90243902439</v>
      </c>
      <c r="F107" s="523">
        <f t="shared" si="22"/>
        <v>7592801.6030845679</v>
      </c>
      <c r="G107" s="523">
        <f t="shared" si="23"/>
        <v>7710218.5543040801</v>
      </c>
      <c r="H107" s="526">
        <f t="shared" si="24"/>
        <v>1110053.3967883431</v>
      </c>
      <c r="I107" s="577">
        <f t="shared" si="25"/>
        <v>1110053.3967883431</v>
      </c>
      <c r="J107" s="514">
        <f t="shared" si="13"/>
        <v>0</v>
      </c>
      <c r="K107" s="514"/>
      <c r="L107" s="525"/>
      <c r="M107" s="514">
        <f t="shared" si="21"/>
        <v>0</v>
      </c>
      <c r="N107" s="525"/>
      <c r="O107" s="514">
        <f t="shared" si="15"/>
        <v>0</v>
      </c>
      <c r="P107" s="514">
        <f t="shared" si="16"/>
        <v>0</v>
      </c>
    </row>
    <row r="108" spans="1:16">
      <c r="B108" s="195" t="str">
        <f t="shared" si="17"/>
        <v/>
      </c>
      <c r="C108" s="507">
        <f>IF(D93="","-",+C107+1)</f>
        <v>2028</v>
      </c>
      <c r="D108" s="374">
        <f>IF(F107+SUM(E$99:E107)=D$92,F107,D$92-SUM(E$99:E107))</f>
        <v>7592801.6030845679</v>
      </c>
      <c r="E108" s="522">
        <f>IF(+J96&lt;F107,J96,D108)</f>
        <v>234833.90243902439</v>
      </c>
      <c r="F108" s="523">
        <f t="shared" si="22"/>
        <v>7357967.7006455436</v>
      </c>
      <c r="G108" s="523">
        <f t="shared" si="23"/>
        <v>7475384.6518650558</v>
      </c>
      <c r="H108" s="526">
        <f t="shared" si="24"/>
        <v>1083396.4080271067</v>
      </c>
      <c r="I108" s="577">
        <f t="shared" si="25"/>
        <v>1083396.4080271067</v>
      </c>
      <c r="J108" s="514">
        <f t="shared" si="13"/>
        <v>0</v>
      </c>
      <c r="K108" s="514"/>
      <c r="L108" s="525"/>
      <c r="M108" s="514">
        <f t="shared" si="21"/>
        <v>0</v>
      </c>
      <c r="N108" s="525"/>
      <c r="O108" s="514">
        <f t="shared" si="15"/>
        <v>0</v>
      </c>
      <c r="P108" s="514">
        <f t="shared" si="16"/>
        <v>0</v>
      </c>
    </row>
    <row r="109" spans="1:16">
      <c r="B109" s="195" t="str">
        <f t="shared" si="17"/>
        <v/>
      </c>
      <c r="C109" s="507">
        <f>IF(D93="","-",+C108+1)</f>
        <v>2029</v>
      </c>
      <c r="D109" s="374">
        <f>IF(F108+SUM(E$99:E108)=D$92,F108,D$92-SUM(E$99:E108))</f>
        <v>7357967.7006455436</v>
      </c>
      <c r="E109" s="522">
        <f>IF(+J96&lt;F108,J96,D109)</f>
        <v>234833.90243902439</v>
      </c>
      <c r="F109" s="523">
        <f t="shared" si="22"/>
        <v>7123133.7982065193</v>
      </c>
      <c r="G109" s="523">
        <f t="shared" si="23"/>
        <v>7240550.7494260315</v>
      </c>
      <c r="H109" s="526">
        <f t="shared" si="24"/>
        <v>1056739.4192658702</v>
      </c>
      <c r="I109" s="577">
        <f t="shared" si="25"/>
        <v>1056739.4192658702</v>
      </c>
      <c r="J109" s="514">
        <f t="shared" si="13"/>
        <v>0</v>
      </c>
      <c r="K109" s="514"/>
      <c r="L109" s="525"/>
      <c r="M109" s="514">
        <f t="shared" si="21"/>
        <v>0</v>
      </c>
      <c r="N109" s="525"/>
      <c r="O109" s="514">
        <f t="shared" si="15"/>
        <v>0</v>
      </c>
      <c r="P109" s="514">
        <f t="shared" si="16"/>
        <v>0</v>
      </c>
    </row>
    <row r="110" spans="1:16">
      <c r="B110" s="195" t="str">
        <f t="shared" si="17"/>
        <v/>
      </c>
      <c r="C110" s="507">
        <f>IF(D93="","-",+C109+1)</f>
        <v>2030</v>
      </c>
      <c r="D110" s="374">
        <f>IF(F109+SUM(E$99:E109)=D$92,F109,D$92-SUM(E$99:E109))</f>
        <v>7123133.7982065193</v>
      </c>
      <c r="E110" s="522">
        <f>IF(+J96&lt;F109,J96,D110)</f>
        <v>234833.90243902439</v>
      </c>
      <c r="F110" s="523">
        <f t="shared" si="22"/>
        <v>6888299.895767495</v>
      </c>
      <c r="G110" s="523">
        <f t="shared" si="23"/>
        <v>7005716.8469870072</v>
      </c>
      <c r="H110" s="526">
        <f t="shared" si="24"/>
        <v>1030082.4305046339</v>
      </c>
      <c r="I110" s="577">
        <f t="shared" si="25"/>
        <v>1030082.4305046339</v>
      </c>
      <c r="J110" s="514">
        <f t="shared" si="13"/>
        <v>0</v>
      </c>
      <c r="K110" s="514"/>
      <c r="L110" s="525"/>
      <c r="M110" s="514">
        <f t="shared" si="21"/>
        <v>0</v>
      </c>
      <c r="N110" s="525"/>
      <c r="O110" s="514">
        <f t="shared" si="15"/>
        <v>0</v>
      </c>
      <c r="P110" s="514">
        <f t="shared" si="16"/>
        <v>0</v>
      </c>
    </row>
    <row r="111" spans="1:16">
      <c r="B111" s="195" t="str">
        <f t="shared" si="17"/>
        <v/>
      </c>
      <c r="C111" s="507">
        <f>IF(D93="","-",+C110+1)</f>
        <v>2031</v>
      </c>
      <c r="D111" s="374">
        <f>IF(F110+SUM(E$99:E110)=D$92,F110,D$92-SUM(E$99:E110))</f>
        <v>6888299.895767495</v>
      </c>
      <c r="E111" s="522">
        <f>IF(+J96&lt;F110,J96,D111)</f>
        <v>234833.90243902439</v>
      </c>
      <c r="F111" s="523">
        <f t="shared" si="22"/>
        <v>6653465.9933284707</v>
      </c>
      <c r="G111" s="523">
        <f t="shared" si="23"/>
        <v>6770882.9445479829</v>
      </c>
      <c r="H111" s="526">
        <f t="shared" si="24"/>
        <v>1003425.4417433975</v>
      </c>
      <c r="I111" s="577">
        <f t="shared" si="25"/>
        <v>1003425.4417433975</v>
      </c>
      <c r="J111" s="514">
        <f t="shared" si="13"/>
        <v>0</v>
      </c>
      <c r="K111" s="514"/>
      <c r="L111" s="525"/>
      <c r="M111" s="514">
        <f t="shared" si="21"/>
        <v>0</v>
      </c>
      <c r="N111" s="525"/>
      <c r="O111" s="514">
        <f t="shared" si="15"/>
        <v>0</v>
      </c>
      <c r="P111" s="514">
        <f t="shared" si="16"/>
        <v>0</v>
      </c>
    </row>
    <row r="112" spans="1:16">
      <c r="B112" s="195" t="str">
        <f t="shared" si="17"/>
        <v/>
      </c>
      <c r="C112" s="507">
        <f>IF(D93="","-",+C111+1)</f>
        <v>2032</v>
      </c>
      <c r="D112" s="374">
        <f>IF(F111+SUM(E$99:E111)=D$92,F111,D$92-SUM(E$99:E111))</f>
        <v>6653465.9933284707</v>
      </c>
      <c r="E112" s="522">
        <f>IF(+J96&lt;F111,J96,D112)</f>
        <v>234833.90243902439</v>
      </c>
      <c r="F112" s="523">
        <f t="shared" si="22"/>
        <v>6418632.0908894464</v>
      </c>
      <c r="G112" s="523">
        <f t="shared" si="23"/>
        <v>6536049.0421089586</v>
      </c>
      <c r="H112" s="526">
        <f t="shared" si="24"/>
        <v>976768.45298216119</v>
      </c>
      <c r="I112" s="577">
        <f t="shared" si="25"/>
        <v>976768.45298216119</v>
      </c>
      <c r="J112" s="514">
        <f t="shared" si="13"/>
        <v>0</v>
      </c>
      <c r="K112" s="514"/>
      <c r="L112" s="525"/>
      <c r="M112" s="514">
        <f t="shared" si="21"/>
        <v>0</v>
      </c>
      <c r="N112" s="525"/>
      <c r="O112" s="514">
        <f t="shared" si="15"/>
        <v>0</v>
      </c>
      <c r="P112" s="514">
        <f t="shared" si="16"/>
        <v>0</v>
      </c>
    </row>
    <row r="113" spans="2:16">
      <c r="B113" s="195" t="str">
        <f t="shared" si="17"/>
        <v/>
      </c>
      <c r="C113" s="507">
        <f>IF(D93="","-",+C112+1)</f>
        <v>2033</v>
      </c>
      <c r="D113" s="374">
        <f>IF(F112+SUM(E$99:E112)=D$92,F112,D$92-SUM(E$99:E112))</f>
        <v>6418632.0908894464</v>
      </c>
      <c r="E113" s="522">
        <f>IF(+J96&lt;F112,J96,D113)</f>
        <v>234833.90243902439</v>
      </c>
      <c r="F113" s="523">
        <f t="shared" si="22"/>
        <v>6183798.1884504221</v>
      </c>
      <c r="G113" s="523">
        <f t="shared" si="23"/>
        <v>6301215.1396699343</v>
      </c>
      <c r="H113" s="526">
        <f t="shared" si="24"/>
        <v>950111.46422092477</v>
      </c>
      <c r="I113" s="577">
        <f t="shared" si="25"/>
        <v>950111.46422092477</v>
      </c>
      <c r="J113" s="514">
        <f t="shared" si="13"/>
        <v>0</v>
      </c>
      <c r="K113" s="514"/>
      <c r="L113" s="525"/>
      <c r="M113" s="514">
        <f t="shared" si="21"/>
        <v>0</v>
      </c>
      <c r="N113" s="525"/>
      <c r="O113" s="514">
        <f t="shared" si="15"/>
        <v>0</v>
      </c>
      <c r="P113" s="514">
        <f t="shared" si="16"/>
        <v>0</v>
      </c>
    </row>
    <row r="114" spans="2:16">
      <c r="B114" s="195" t="str">
        <f t="shared" si="17"/>
        <v/>
      </c>
      <c r="C114" s="507">
        <f>IF(D93="","-",+C113+1)</f>
        <v>2034</v>
      </c>
      <c r="D114" s="374">
        <f>IF(F113+SUM(E$99:E113)=D$92,F113,D$92-SUM(E$99:E113))</f>
        <v>6183798.1884504221</v>
      </c>
      <c r="E114" s="522">
        <f>IF(+J96&lt;F113,J96,D114)</f>
        <v>234833.90243902439</v>
      </c>
      <c r="F114" s="523">
        <f t="shared" si="22"/>
        <v>5948964.2860113978</v>
      </c>
      <c r="G114" s="523">
        <f t="shared" si="23"/>
        <v>6066381.23723091</v>
      </c>
      <c r="H114" s="526">
        <f t="shared" si="24"/>
        <v>923454.47545968834</v>
      </c>
      <c r="I114" s="577">
        <f t="shared" si="25"/>
        <v>923454.47545968834</v>
      </c>
      <c r="J114" s="514">
        <f t="shared" si="13"/>
        <v>0</v>
      </c>
      <c r="K114" s="514"/>
      <c r="L114" s="525"/>
      <c r="M114" s="514">
        <f t="shared" si="21"/>
        <v>0</v>
      </c>
      <c r="N114" s="525"/>
      <c r="O114" s="514">
        <f t="shared" si="15"/>
        <v>0</v>
      </c>
      <c r="P114" s="514">
        <f t="shared" si="16"/>
        <v>0</v>
      </c>
    </row>
    <row r="115" spans="2:16">
      <c r="B115" s="195" t="str">
        <f t="shared" si="17"/>
        <v/>
      </c>
      <c r="C115" s="507">
        <f>IF(D93="","-",+C114+1)</f>
        <v>2035</v>
      </c>
      <c r="D115" s="374">
        <f>IF(F114+SUM(E$99:E114)=D$92,F114,D$92-SUM(E$99:E114))</f>
        <v>5948964.2860113978</v>
      </c>
      <c r="E115" s="522">
        <f>IF(+J96&lt;F114,J96,D115)</f>
        <v>234833.90243902439</v>
      </c>
      <c r="F115" s="523">
        <f t="shared" si="22"/>
        <v>5714130.3835723735</v>
      </c>
      <c r="G115" s="523">
        <f t="shared" si="23"/>
        <v>5831547.3347918857</v>
      </c>
      <c r="H115" s="526">
        <f t="shared" si="24"/>
        <v>896797.48669845203</v>
      </c>
      <c r="I115" s="577">
        <f t="shared" si="25"/>
        <v>896797.48669845203</v>
      </c>
      <c r="J115" s="514">
        <f t="shared" si="13"/>
        <v>0</v>
      </c>
      <c r="K115" s="514"/>
      <c r="L115" s="525"/>
      <c r="M115" s="514">
        <f t="shared" si="21"/>
        <v>0</v>
      </c>
      <c r="N115" s="525"/>
      <c r="O115" s="514">
        <f t="shared" si="15"/>
        <v>0</v>
      </c>
      <c r="P115" s="514">
        <f t="shared" si="16"/>
        <v>0</v>
      </c>
    </row>
    <row r="116" spans="2:16">
      <c r="B116" s="195" t="str">
        <f t="shared" si="17"/>
        <v/>
      </c>
      <c r="C116" s="507">
        <f>IF(D93="","-",+C115+1)</f>
        <v>2036</v>
      </c>
      <c r="D116" s="374">
        <f>IF(F115+SUM(E$99:E115)=D$92,F115,D$92-SUM(E$99:E115))</f>
        <v>5714130.3835723735</v>
      </c>
      <c r="E116" s="522">
        <f>IF(+J96&lt;F115,J96,D116)</f>
        <v>234833.90243902439</v>
      </c>
      <c r="F116" s="523">
        <f t="shared" si="22"/>
        <v>5479296.4811333492</v>
      </c>
      <c r="G116" s="523">
        <f t="shared" si="23"/>
        <v>5596713.4323528614</v>
      </c>
      <c r="H116" s="526">
        <f t="shared" si="24"/>
        <v>870140.49793721561</v>
      </c>
      <c r="I116" s="577">
        <f t="shared" si="25"/>
        <v>870140.49793721561</v>
      </c>
      <c r="J116" s="514">
        <f t="shared" si="13"/>
        <v>0</v>
      </c>
      <c r="K116" s="514"/>
      <c r="L116" s="525"/>
      <c r="M116" s="514">
        <f t="shared" si="21"/>
        <v>0</v>
      </c>
      <c r="N116" s="525"/>
      <c r="O116" s="514">
        <f t="shared" si="15"/>
        <v>0</v>
      </c>
      <c r="P116" s="514">
        <f t="shared" si="16"/>
        <v>0</v>
      </c>
    </row>
    <row r="117" spans="2:16">
      <c r="B117" s="195" t="str">
        <f t="shared" si="17"/>
        <v/>
      </c>
      <c r="C117" s="507">
        <f>IF(D93="","-",+C116+1)</f>
        <v>2037</v>
      </c>
      <c r="D117" s="374">
        <f>IF(F116+SUM(E$99:E116)=D$92,F116,D$92-SUM(E$99:E116))</f>
        <v>5479296.4811333492</v>
      </c>
      <c r="E117" s="522">
        <f>IF(+J96&lt;F116,J96,D117)</f>
        <v>234833.90243902439</v>
      </c>
      <c r="F117" s="523">
        <f t="shared" si="22"/>
        <v>5244462.5786943249</v>
      </c>
      <c r="G117" s="523">
        <f t="shared" si="23"/>
        <v>5361879.5299138371</v>
      </c>
      <c r="H117" s="526">
        <f t="shared" si="24"/>
        <v>843483.5091759793</v>
      </c>
      <c r="I117" s="577">
        <f t="shared" si="25"/>
        <v>843483.5091759793</v>
      </c>
      <c r="J117" s="514">
        <f t="shared" si="13"/>
        <v>0</v>
      </c>
      <c r="K117" s="514"/>
      <c r="L117" s="525"/>
      <c r="M117" s="514">
        <f t="shared" si="21"/>
        <v>0</v>
      </c>
      <c r="N117" s="525"/>
      <c r="O117" s="514">
        <f t="shared" si="15"/>
        <v>0</v>
      </c>
      <c r="P117" s="514">
        <f t="shared" si="16"/>
        <v>0</v>
      </c>
    </row>
    <row r="118" spans="2:16">
      <c r="B118" s="195" t="str">
        <f t="shared" si="17"/>
        <v/>
      </c>
      <c r="C118" s="507">
        <f>IF(D93="","-",+C117+1)</f>
        <v>2038</v>
      </c>
      <c r="D118" s="374">
        <f>IF(F117+SUM(E$99:E117)=D$92,F117,D$92-SUM(E$99:E117))</f>
        <v>5244462.5786943249</v>
      </c>
      <c r="E118" s="522">
        <f>IF(+J96&lt;F117,J96,D118)</f>
        <v>234833.90243902439</v>
      </c>
      <c r="F118" s="523">
        <f t="shared" si="22"/>
        <v>5009628.6762553006</v>
      </c>
      <c r="G118" s="523">
        <f t="shared" si="23"/>
        <v>5127045.6274748128</v>
      </c>
      <c r="H118" s="526">
        <f t="shared" si="24"/>
        <v>816826.52041474287</v>
      </c>
      <c r="I118" s="577">
        <f t="shared" si="25"/>
        <v>816826.52041474287</v>
      </c>
      <c r="J118" s="514">
        <f t="shared" si="13"/>
        <v>0</v>
      </c>
      <c r="K118" s="514"/>
      <c r="L118" s="525"/>
      <c r="M118" s="514">
        <f t="shared" si="21"/>
        <v>0</v>
      </c>
      <c r="N118" s="525"/>
      <c r="O118" s="514">
        <f t="shared" si="15"/>
        <v>0</v>
      </c>
      <c r="P118" s="514">
        <f t="shared" si="16"/>
        <v>0</v>
      </c>
    </row>
    <row r="119" spans="2:16">
      <c r="B119" s="195" t="str">
        <f t="shared" si="17"/>
        <v/>
      </c>
      <c r="C119" s="507">
        <f>IF(D93="","-",+C118+1)</f>
        <v>2039</v>
      </c>
      <c r="D119" s="374">
        <f>IF(F118+SUM(E$99:E118)=D$92,F118,D$92-SUM(E$99:E118))</f>
        <v>5009628.6762553006</v>
      </c>
      <c r="E119" s="522">
        <f>IF(+J96&lt;F118,J96,D119)</f>
        <v>234833.90243902439</v>
      </c>
      <c r="F119" s="523">
        <f t="shared" si="22"/>
        <v>4774794.7738162763</v>
      </c>
      <c r="G119" s="523">
        <f t="shared" si="23"/>
        <v>4892211.7250357885</v>
      </c>
      <c r="H119" s="526">
        <f t="shared" si="24"/>
        <v>790169.53165350645</v>
      </c>
      <c r="I119" s="577">
        <f t="shared" si="25"/>
        <v>790169.53165350645</v>
      </c>
      <c r="J119" s="514">
        <f t="shared" si="13"/>
        <v>0</v>
      </c>
      <c r="K119" s="514"/>
      <c r="L119" s="525"/>
      <c r="M119" s="514">
        <f t="shared" si="21"/>
        <v>0</v>
      </c>
      <c r="N119" s="525"/>
      <c r="O119" s="514">
        <f t="shared" si="15"/>
        <v>0</v>
      </c>
      <c r="P119" s="514">
        <f t="shared" si="16"/>
        <v>0</v>
      </c>
    </row>
    <row r="120" spans="2:16">
      <c r="B120" s="195" t="str">
        <f t="shared" si="17"/>
        <v/>
      </c>
      <c r="C120" s="507">
        <f>IF(D93="","-",+C119+1)</f>
        <v>2040</v>
      </c>
      <c r="D120" s="374">
        <f>IF(F119+SUM(E$99:E119)=D$92,F119,D$92-SUM(E$99:E119))</f>
        <v>4774794.7738162763</v>
      </c>
      <c r="E120" s="522">
        <f>IF(+J96&lt;F119,J96,D120)</f>
        <v>234833.90243902439</v>
      </c>
      <c r="F120" s="523">
        <f t="shared" si="22"/>
        <v>4539960.871377252</v>
      </c>
      <c r="G120" s="523">
        <f t="shared" si="23"/>
        <v>4657377.8225967642</v>
      </c>
      <c r="H120" s="526">
        <f t="shared" si="24"/>
        <v>763512.54289227014</v>
      </c>
      <c r="I120" s="577">
        <f t="shared" si="25"/>
        <v>763512.54289227014</v>
      </c>
      <c r="J120" s="514">
        <f t="shared" si="13"/>
        <v>0</v>
      </c>
      <c r="K120" s="514"/>
      <c r="L120" s="525"/>
      <c r="M120" s="514">
        <f t="shared" si="21"/>
        <v>0</v>
      </c>
      <c r="N120" s="525"/>
      <c r="O120" s="514">
        <f t="shared" si="15"/>
        <v>0</v>
      </c>
      <c r="P120" s="514">
        <f t="shared" si="16"/>
        <v>0</v>
      </c>
    </row>
    <row r="121" spans="2:16">
      <c r="B121" s="195" t="str">
        <f t="shared" si="17"/>
        <v/>
      </c>
      <c r="C121" s="507">
        <f>IF(D93="","-",+C120+1)</f>
        <v>2041</v>
      </c>
      <c r="D121" s="374">
        <f>IF(F120+SUM(E$99:E120)=D$92,F120,D$92-SUM(E$99:E120))</f>
        <v>4539960.871377252</v>
      </c>
      <c r="E121" s="522">
        <f>IF(+J96&lt;F120,J96,D121)</f>
        <v>234833.90243902439</v>
      </c>
      <c r="F121" s="523">
        <f t="shared" si="22"/>
        <v>4305126.9689382277</v>
      </c>
      <c r="G121" s="523">
        <f t="shared" si="23"/>
        <v>4422543.9201577399</v>
      </c>
      <c r="H121" s="526">
        <f t="shared" si="24"/>
        <v>736855.55413103371</v>
      </c>
      <c r="I121" s="577">
        <f t="shared" si="25"/>
        <v>736855.55413103371</v>
      </c>
      <c r="J121" s="514">
        <f t="shared" si="13"/>
        <v>0</v>
      </c>
      <c r="K121" s="514"/>
      <c r="L121" s="525"/>
      <c r="M121" s="514">
        <f t="shared" si="21"/>
        <v>0</v>
      </c>
      <c r="N121" s="525"/>
      <c r="O121" s="514">
        <f t="shared" si="15"/>
        <v>0</v>
      </c>
      <c r="P121" s="514">
        <f t="shared" si="16"/>
        <v>0</v>
      </c>
    </row>
    <row r="122" spans="2:16">
      <c r="B122" s="195" t="str">
        <f t="shared" si="17"/>
        <v/>
      </c>
      <c r="C122" s="507">
        <f>IF(D93="","-",+C121+1)</f>
        <v>2042</v>
      </c>
      <c r="D122" s="374">
        <f>IF(F121+SUM(E$99:E121)=D$92,F121,D$92-SUM(E$99:E121))</f>
        <v>4305126.9689382277</v>
      </c>
      <c r="E122" s="522">
        <f>IF(+J96&lt;F121,J96,D122)</f>
        <v>234833.90243902439</v>
      </c>
      <c r="F122" s="523">
        <f t="shared" si="22"/>
        <v>4070293.0664992034</v>
      </c>
      <c r="G122" s="523">
        <f t="shared" si="23"/>
        <v>4187710.0177187156</v>
      </c>
      <c r="H122" s="526">
        <f t="shared" si="24"/>
        <v>710198.56536979729</v>
      </c>
      <c r="I122" s="577">
        <f t="shared" si="25"/>
        <v>710198.56536979729</v>
      </c>
      <c r="J122" s="514">
        <f t="shared" si="13"/>
        <v>0</v>
      </c>
      <c r="K122" s="514"/>
      <c r="L122" s="525"/>
      <c r="M122" s="514">
        <f t="shared" si="21"/>
        <v>0</v>
      </c>
      <c r="N122" s="525"/>
      <c r="O122" s="514">
        <f t="shared" si="15"/>
        <v>0</v>
      </c>
      <c r="P122" s="514">
        <f t="shared" si="16"/>
        <v>0</v>
      </c>
    </row>
    <row r="123" spans="2:16">
      <c r="B123" s="195" t="str">
        <f t="shared" si="17"/>
        <v/>
      </c>
      <c r="C123" s="507">
        <f>IF(D93="","-",+C122+1)</f>
        <v>2043</v>
      </c>
      <c r="D123" s="374">
        <f>IF(F122+SUM(E$99:E122)=D$92,F122,D$92-SUM(E$99:E122))</f>
        <v>4070293.0664992034</v>
      </c>
      <c r="E123" s="522">
        <f>IF(+J96&lt;F122,J96,D123)</f>
        <v>234833.90243902439</v>
      </c>
      <c r="F123" s="523">
        <f t="shared" si="22"/>
        <v>3835459.1640601791</v>
      </c>
      <c r="G123" s="523">
        <f t="shared" si="23"/>
        <v>3952876.1152796913</v>
      </c>
      <c r="H123" s="526">
        <f t="shared" si="24"/>
        <v>683541.57660856098</v>
      </c>
      <c r="I123" s="577">
        <f t="shared" si="25"/>
        <v>683541.57660856098</v>
      </c>
      <c r="J123" s="514">
        <f t="shared" si="13"/>
        <v>0</v>
      </c>
      <c r="K123" s="514"/>
      <c r="L123" s="525"/>
      <c r="M123" s="514">
        <f t="shared" si="21"/>
        <v>0</v>
      </c>
      <c r="N123" s="525"/>
      <c r="O123" s="514">
        <f t="shared" si="15"/>
        <v>0</v>
      </c>
      <c r="P123" s="514">
        <f t="shared" si="16"/>
        <v>0</v>
      </c>
    </row>
    <row r="124" spans="2:16">
      <c r="B124" s="195" t="str">
        <f t="shared" si="17"/>
        <v/>
      </c>
      <c r="C124" s="507">
        <f>IF(D93="","-",+C123+1)</f>
        <v>2044</v>
      </c>
      <c r="D124" s="374">
        <f>IF(F123+SUM(E$99:E123)=D$92,F123,D$92-SUM(E$99:E123))</f>
        <v>3835459.1640601791</v>
      </c>
      <c r="E124" s="522">
        <f>IF(+J96&lt;F123,J96,D124)</f>
        <v>234833.90243902439</v>
      </c>
      <c r="F124" s="523">
        <f t="shared" si="22"/>
        <v>3600625.2616211548</v>
      </c>
      <c r="G124" s="523">
        <f t="shared" si="23"/>
        <v>3718042.212840667</v>
      </c>
      <c r="H124" s="526">
        <f t="shared" si="24"/>
        <v>656884.58784732455</v>
      </c>
      <c r="I124" s="577">
        <f t="shared" si="25"/>
        <v>656884.58784732455</v>
      </c>
      <c r="J124" s="514">
        <f t="shared" si="13"/>
        <v>0</v>
      </c>
      <c r="K124" s="514"/>
      <c r="L124" s="525"/>
      <c r="M124" s="514">
        <f t="shared" si="21"/>
        <v>0</v>
      </c>
      <c r="N124" s="525"/>
      <c r="O124" s="514">
        <f t="shared" si="15"/>
        <v>0</v>
      </c>
      <c r="P124" s="514">
        <f t="shared" si="16"/>
        <v>0</v>
      </c>
    </row>
    <row r="125" spans="2:16">
      <c r="B125" s="195" t="str">
        <f t="shared" si="17"/>
        <v/>
      </c>
      <c r="C125" s="507">
        <f>IF(D93="","-",+C124+1)</f>
        <v>2045</v>
      </c>
      <c r="D125" s="374">
        <f>IF(F124+SUM(E$99:E124)=D$92,F124,D$92-SUM(E$99:E124))</f>
        <v>3600625.2616211548</v>
      </c>
      <c r="E125" s="522">
        <f>IF(+J96&lt;F124,J96,D125)</f>
        <v>234833.90243902439</v>
      </c>
      <c r="F125" s="523">
        <f t="shared" si="22"/>
        <v>3365791.3591821305</v>
      </c>
      <c r="G125" s="523">
        <f t="shared" si="23"/>
        <v>3483208.3104016427</v>
      </c>
      <c r="H125" s="526">
        <f t="shared" si="24"/>
        <v>630227.59908608813</v>
      </c>
      <c r="I125" s="577">
        <f t="shared" si="25"/>
        <v>630227.59908608813</v>
      </c>
      <c r="J125" s="514">
        <f t="shared" si="13"/>
        <v>0</v>
      </c>
      <c r="K125" s="514"/>
      <c r="L125" s="525"/>
      <c r="M125" s="514">
        <f t="shared" si="21"/>
        <v>0</v>
      </c>
      <c r="N125" s="525"/>
      <c r="O125" s="514">
        <f t="shared" si="15"/>
        <v>0</v>
      </c>
      <c r="P125" s="514">
        <f t="shared" si="16"/>
        <v>0</v>
      </c>
    </row>
    <row r="126" spans="2:16">
      <c r="B126" s="195" t="str">
        <f t="shared" si="17"/>
        <v/>
      </c>
      <c r="C126" s="507">
        <f>IF(D93="","-",+C125+1)</f>
        <v>2046</v>
      </c>
      <c r="D126" s="374">
        <f>IF(F125+SUM(E$99:E125)=D$92,F125,D$92-SUM(E$99:E125))</f>
        <v>3365791.3591821305</v>
      </c>
      <c r="E126" s="522">
        <f>IF(+J96&lt;F125,J96,D126)</f>
        <v>234833.90243902439</v>
      </c>
      <c r="F126" s="523">
        <f t="shared" si="22"/>
        <v>3130957.4567431062</v>
      </c>
      <c r="G126" s="523">
        <f t="shared" si="23"/>
        <v>3248374.4079626184</v>
      </c>
      <c r="H126" s="526">
        <f t="shared" si="24"/>
        <v>603570.61032485182</v>
      </c>
      <c r="I126" s="577">
        <f t="shared" si="25"/>
        <v>603570.61032485182</v>
      </c>
      <c r="J126" s="514">
        <f t="shared" si="13"/>
        <v>0</v>
      </c>
      <c r="K126" s="514"/>
      <c r="L126" s="525"/>
      <c r="M126" s="514">
        <f t="shared" si="21"/>
        <v>0</v>
      </c>
      <c r="N126" s="525"/>
      <c r="O126" s="514">
        <f t="shared" si="15"/>
        <v>0</v>
      </c>
      <c r="P126" s="514">
        <f t="shared" si="16"/>
        <v>0</v>
      </c>
    </row>
    <row r="127" spans="2:16">
      <c r="B127" s="195" t="str">
        <f t="shared" si="17"/>
        <v/>
      </c>
      <c r="C127" s="507">
        <f>IF(D93="","-",+C126+1)</f>
        <v>2047</v>
      </c>
      <c r="D127" s="374">
        <f>IF(F126+SUM(E$99:E126)=D$92,F126,D$92-SUM(E$99:E126))</f>
        <v>3130957.4567431062</v>
      </c>
      <c r="E127" s="522">
        <f>IF(+J96&lt;F126,J96,D127)</f>
        <v>234833.90243902439</v>
      </c>
      <c r="F127" s="523">
        <f t="shared" si="22"/>
        <v>2896123.5543040819</v>
      </c>
      <c r="G127" s="523">
        <f t="shared" si="23"/>
        <v>3013540.5055235941</v>
      </c>
      <c r="H127" s="526">
        <f t="shared" si="24"/>
        <v>576913.62156361539</v>
      </c>
      <c r="I127" s="577">
        <f t="shared" si="25"/>
        <v>576913.62156361539</v>
      </c>
      <c r="J127" s="514">
        <f t="shared" si="13"/>
        <v>0</v>
      </c>
      <c r="K127" s="514"/>
      <c r="L127" s="525"/>
      <c r="M127" s="514">
        <f t="shared" si="21"/>
        <v>0</v>
      </c>
      <c r="N127" s="525"/>
      <c r="O127" s="514">
        <f t="shared" si="15"/>
        <v>0</v>
      </c>
      <c r="P127" s="514">
        <f t="shared" si="16"/>
        <v>0</v>
      </c>
    </row>
    <row r="128" spans="2:16">
      <c r="B128" s="195" t="str">
        <f t="shared" si="17"/>
        <v/>
      </c>
      <c r="C128" s="507">
        <f>IF(D93="","-",+C127+1)</f>
        <v>2048</v>
      </c>
      <c r="D128" s="374">
        <f>IF(F127+SUM(E$99:E127)=D$92,F127,D$92-SUM(E$99:E127))</f>
        <v>2896123.5543040819</v>
      </c>
      <c r="E128" s="522">
        <f>IF(+J96&lt;F127,J96,D128)</f>
        <v>234833.90243902439</v>
      </c>
      <c r="F128" s="523">
        <f t="shared" si="22"/>
        <v>2661289.6518650576</v>
      </c>
      <c r="G128" s="523">
        <f t="shared" si="23"/>
        <v>2778706.6030845698</v>
      </c>
      <c r="H128" s="526">
        <f t="shared" si="24"/>
        <v>550256.63280237908</v>
      </c>
      <c r="I128" s="577">
        <f t="shared" si="25"/>
        <v>550256.63280237908</v>
      </c>
      <c r="J128" s="514">
        <f t="shared" si="13"/>
        <v>0</v>
      </c>
      <c r="K128" s="514"/>
      <c r="L128" s="525"/>
      <c r="M128" s="514">
        <f t="shared" si="21"/>
        <v>0</v>
      </c>
      <c r="N128" s="525"/>
      <c r="O128" s="514">
        <f t="shared" si="15"/>
        <v>0</v>
      </c>
      <c r="P128" s="514">
        <f t="shared" si="16"/>
        <v>0</v>
      </c>
    </row>
    <row r="129" spans="2:16">
      <c r="B129" s="195" t="str">
        <f t="shared" si="17"/>
        <v/>
      </c>
      <c r="C129" s="507">
        <f>IF(D93="","-",+C128+1)</f>
        <v>2049</v>
      </c>
      <c r="D129" s="374">
        <f>IF(F128+SUM(E$99:E128)=D$92,F128,D$92-SUM(E$99:E128))</f>
        <v>2661289.6518650576</v>
      </c>
      <c r="E129" s="522">
        <f>IF(+J96&lt;F128,J96,D129)</f>
        <v>234833.90243902439</v>
      </c>
      <c r="F129" s="523">
        <f t="shared" si="22"/>
        <v>2426455.7494260333</v>
      </c>
      <c r="G129" s="523">
        <f t="shared" si="23"/>
        <v>2543872.7006455455</v>
      </c>
      <c r="H129" s="526">
        <f t="shared" si="24"/>
        <v>523599.64404114266</v>
      </c>
      <c r="I129" s="577">
        <f t="shared" si="25"/>
        <v>523599.64404114266</v>
      </c>
      <c r="J129" s="514">
        <f t="shared" si="13"/>
        <v>0</v>
      </c>
      <c r="K129" s="514"/>
      <c r="L129" s="525"/>
      <c r="M129" s="514">
        <f t="shared" si="21"/>
        <v>0</v>
      </c>
      <c r="N129" s="525"/>
      <c r="O129" s="514">
        <f t="shared" si="15"/>
        <v>0</v>
      </c>
      <c r="P129" s="514">
        <f t="shared" si="16"/>
        <v>0</v>
      </c>
    </row>
    <row r="130" spans="2:16">
      <c r="B130" s="195" t="str">
        <f t="shared" si="17"/>
        <v/>
      </c>
      <c r="C130" s="507">
        <f>IF(D93="","-",+C129+1)</f>
        <v>2050</v>
      </c>
      <c r="D130" s="374">
        <f>IF(F129+SUM(E$99:E129)=D$92,F129,D$92-SUM(E$99:E129))</f>
        <v>2426455.7494260333</v>
      </c>
      <c r="E130" s="522">
        <f>IF(+J96&lt;F129,J96,D130)</f>
        <v>234833.90243902439</v>
      </c>
      <c r="F130" s="523">
        <f t="shared" si="22"/>
        <v>2191621.846987009</v>
      </c>
      <c r="G130" s="523">
        <f t="shared" si="23"/>
        <v>2309038.7982065212</v>
      </c>
      <c r="H130" s="526">
        <f t="shared" si="24"/>
        <v>496942.65527990629</v>
      </c>
      <c r="I130" s="577">
        <f t="shared" si="25"/>
        <v>496942.65527990629</v>
      </c>
      <c r="J130" s="514">
        <f t="shared" si="13"/>
        <v>0</v>
      </c>
      <c r="K130" s="514"/>
      <c r="L130" s="525"/>
      <c r="M130" s="514">
        <f t="shared" si="21"/>
        <v>0</v>
      </c>
      <c r="N130" s="525"/>
      <c r="O130" s="514">
        <f t="shared" si="15"/>
        <v>0</v>
      </c>
      <c r="P130" s="514">
        <f t="shared" si="16"/>
        <v>0</v>
      </c>
    </row>
    <row r="131" spans="2:16">
      <c r="B131" s="195" t="str">
        <f t="shared" si="17"/>
        <v/>
      </c>
      <c r="C131" s="507">
        <f>IF(D93="","-",+C130+1)</f>
        <v>2051</v>
      </c>
      <c r="D131" s="374">
        <f>IF(F130+SUM(E$99:E130)=D$92,F130,D$92-SUM(E$99:E130))</f>
        <v>2191621.846987009</v>
      </c>
      <c r="E131" s="522">
        <f>IF(+J96&lt;F130,J96,D131)</f>
        <v>234833.90243902439</v>
      </c>
      <c r="F131" s="523">
        <f t="shared" si="22"/>
        <v>1956787.9445479847</v>
      </c>
      <c r="G131" s="523">
        <f t="shared" si="23"/>
        <v>2074204.8957674969</v>
      </c>
      <c r="H131" s="526">
        <f t="shared" si="24"/>
        <v>470285.66651866992</v>
      </c>
      <c r="I131" s="577">
        <f t="shared" si="25"/>
        <v>470285.66651866992</v>
      </c>
      <c r="J131" s="514">
        <f t="shared" ref="J131:J154" si="26">+I541-H541</f>
        <v>0</v>
      </c>
      <c r="K131" s="514"/>
      <c r="L131" s="525"/>
      <c r="M131" s="514">
        <f t="shared" ref="M131:M154" si="27">IF(L541&lt;&gt;0,+H541-L541,0)</f>
        <v>0</v>
      </c>
      <c r="N131" s="525"/>
      <c r="O131" s="514">
        <f t="shared" ref="O131:O154" si="28">IF(N541&lt;&gt;0,+I541-N541,0)</f>
        <v>0</v>
      </c>
      <c r="P131" s="514">
        <f t="shared" ref="P131:P154" si="29">+O541-M541</f>
        <v>0</v>
      </c>
    </row>
    <row r="132" spans="2:16">
      <c r="B132" s="195" t="str">
        <f t="shared" si="17"/>
        <v/>
      </c>
      <c r="C132" s="507">
        <f>IF(D93="","-",+C131+1)</f>
        <v>2052</v>
      </c>
      <c r="D132" s="374">
        <f>IF(F131+SUM(E$99:E131)=D$92,F131,D$92-SUM(E$99:E131))</f>
        <v>1956787.9445479847</v>
      </c>
      <c r="E132" s="522">
        <f>IF(+J96&lt;F131,J96,D132)</f>
        <v>234833.90243902439</v>
      </c>
      <c r="F132" s="523">
        <f t="shared" si="22"/>
        <v>1721954.0421089604</v>
      </c>
      <c r="G132" s="523">
        <f t="shared" si="23"/>
        <v>1839370.9933284726</v>
      </c>
      <c r="H132" s="526">
        <f t="shared" si="24"/>
        <v>443628.6777574335</v>
      </c>
      <c r="I132" s="577">
        <f t="shared" si="25"/>
        <v>443628.6777574335</v>
      </c>
      <c r="J132" s="514">
        <f t="shared" si="26"/>
        <v>0</v>
      </c>
      <c r="K132" s="514"/>
      <c r="L132" s="525"/>
      <c r="M132" s="514">
        <f t="shared" si="27"/>
        <v>0</v>
      </c>
      <c r="N132" s="525"/>
      <c r="O132" s="514">
        <f t="shared" si="28"/>
        <v>0</v>
      </c>
      <c r="P132" s="514">
        <f t="shared" si="29"/>
        <v>0</v>
      </c>
    </row>
    <row r="133" spans="2:16">
      <c r="B133" s="195" t="str">
        <f t="shared" si="17"/>
        <v/>
      </c>
      <c r="C133" s="507">
        <f>IF(D93="","-",+C132+1)</f>
        <v>2053</v>
      </c>
      <c r="D133" s="374">
        <f>IF(F132+SUM(E$99:E132)=D$92,F132,D$92-SUM(E$99:E132))</f>
        <v>1721954.0421089604</v>
      </c>
      <c r="E133" s="522">
        <f>IF(+J96&lt;F132,J96,D133)</f>
        <v>234833.90243902439</v>
      </c>
      <c r="F133" s="523">
        <f t="shared" si="22"/>
        <v>1487120.1396699362</v>
      </c>
      <c r="G133" s="523">
        <f t="shared" si="23"/>
        <v>1604537.0908894483</v>
      </c>
      <c r="H133" s="526">
        <f t="shared" si="24"/>
        <v>416971.68899619713</v>
      </c>
      <c r="I133" s="577">
        <f t="shared" si="25"/>
        <v>416971.68899619713</v>
      </c>
      <c r="J133" s="514">
        <f t="shared" si="26"/>
        <v>0</v>
      </c>
      <c r="K133" s="514"/>
      <c r="L133" s="525"/>
      <c r="M133" s="514">
        <f t="shared" si="27"/>
        <v>0</v>
      </c>
      <c r="N133" s="525"/>
      <c r="O133" s="514">
        <f t="shared" si="28"/>
        <v>0</v>
      </c>
      <c r="P133" s="514">
        <f t="shared" si="29"/>
        <v>0</v>
      </c>
    </row>
    <row r="134" spans="2:16">
      <c r="B134" s="195" t="str">
        <f t="shared" si="17"/>
        <v/>
      </c>
      <c r="C134" s="507">
        <f>IF(D93="","-",+C133+1)</f>
        <v>2054</v>
      </c>
      <c r="D134" s="374">
        <f>IF(F133+SUM(E$99:E133)=D$92,F133,D$92-SUM(E$99:E133))</f>
        <v>1487120.1396699362</v>
      </c>
      <c r="E134" s="522">
        <f>IF(+J96&lt;F133,J96,D134)</f>
        <v>234833.90243902439</v>
      </c>
      <c r="F134" s="523">
        <f t="shared" si="22"/>
        <v>1252286.2372309119</v>
      </c>
      <c r="G134" s="523">
        <f t="shared" si="23"/>
        <v>1369703.188450424</v>
      </c>
      <c r="H134" s="526">
        <f t="shared" si="24"/>
        <v>390314.70023496076</v>
      </c>
      <c r="I134" s="577">
        <f t="shared" si="25"/>
        <v>390314.70023496076</v>
      </c>
      <c r="J134" s="514">
        <f t="shared" si="26"/>
        <v>0</v>
      </c>
      <c r="K134" s="514"/>
      <c r="L134" s="525"/>
      <c r="M134" s="514">
        <f t="shared" si="27"/>
        <v>0</v>
      </c>
      <c r="N134" s="525"/>
      <c r="O134" s="514">
        <f t="shared" si="28"/>
        <v>0</v>
      </c>
      <c r="P134" s="514">
        <f t="shared" si="29"/>
        <v>0</v>
      </c>
    </row>
    <row r="135" spans="2:16">
      <c r="B135" s="195" t="str">
        <f t="shared" si="17"/>
        <v/>
      </c>
      <c r="C135" s="507">
        <f>IF(D93="","-",+C134+1)</f>
        <v>2055</v>
      </c>
      <c r="D135" s="374">
        <f>IF(F134+SUM(E$99:E134)=D$92,F134,D$92-SUM(E$99:E134))</f>
        <v>1252286.2372309119</v>
      </c>
      <c r="E135" s="522">
        <f>IF(+J96&lt;F134,J96,D135)</f>
        <v>234833.90243902439</v>
      </c>
      <c r="F135" s="523">
        <f t="shared" si="22"/>
        <v>1017452.3347918874</v>
      </c>
      <c r="G135" s="523">
        <f t="shared" si="23"/>
        <v>1134869.2860113997</v>
      </c>
      <c r="H135" s="526">
        <f t="shared" si="24"/>
        <v>363657.7114737244</v>
      </c>
      <c r="I135" s="577">
        <f t="shared" si="25"/>
        <v>363657.7114737244</v>
      </c>
      <c r="J135" s="514">
        <f t="shared" si="26"/>
        <v>0</v>
      </c>
      <c r="K135" s="514"/>
      <c r="L135" s="525"/>
      <c r="M135" s="514">
        <f t="shared" si="27"/>
        <v>0</v>
      </c>
      <c r="N135" s="525"/>
      <c r="O135" s="514">
        <f t="shared" si="28"/>
        <v>0</v>
      </c>
      <c r="P135" s="514">
        <f t="shared" si="29"/>
        <v>0</v>
      </c>
    </row>
    <row r="136" spans="2:16">
      <c r="B136" s="195" t="str">
        <f t="shared" si="17"/>
        <v/>
      </c>
      <c r="C136" s="507">
        <f>IF(D93="","-",+C135+1)</f>
        <v>2056</v>
      </c>
      <c r="D136" s="374">
        <f>IF(F135+SUM(E$99:E135)=D$92,F135,D$92-SUM(E$99:E135))</f>
        <v>1017452.3347918874</v>
      </c>
      <c r="E136" s="522">
        <f>IF(+J96&lt;F135,J96,D136)</f>
        <v>234833.90243902439</v>
      </c>
      <c r="F136" s="523">
        <f t="shared" si="22"/>
        <v>782618.43235286302</v>
      </c>
      <c r="G136" s="523">
        <f t="shared" si="23"/>
        <v>900035.38357237517</v>
      </c>
      <c r="H136" s="526">
        <f t="shared" si="24"/>
        <v>337000.72271248797</v>
      </c>
      <c r="I136" s="577">
        <f t="shared" si="25"/>
        <v>337000.72271248797</v>
      </c>
      <c r="J136" s="514">
        <f t="shared" si="26"/>
        <v>0</v>
      </c>
      <c r="K136" s="514"/>
      <c r="L136" s="525"/>
      <c r="M136" s="514">
        <f t="shared" si="27"/>
        <v>0</v>
      </c>
      <c r="N136" s="525"/>
      <c r="O136" s="514">
        <f t="shared" si="28"/>
        <v>0</v>
      </c>
      <c r="P136" s="514">
        <f t="shared" si="29"/>
        <v>0</v>
      </c>
    </row>
    <row r="137" spans="2:16">
      <c r="B137" s="195" t="str">
        <f t="shared" si="17"/>
        <v/>
      </c>
      <c r="C137" s="507">
        <f>IF(D93="","-",+C136+1)</f>
        <v>2057</v>
      </c>
      <c r="D137" s="374">
        <f>IF(F136+SUM(E$99:E136)=D$92,F136,D$92-SUM(E$99:E136))</f>
        <v>782618.43235286302</v>
      </c>
      <c r="E137" s="522">
        <f>IF(+J96&lt;F136,J96,D137)</f>
        <v>234833.90243902439</v>
      </c>
      <c r="F137" s="523">
        <f t="shared" si="22"/>
        <v>547784.5299138386</v>
      </c>
      <c r="G137" s="523">
        <f t="shared" si="23"/>
        <v>665201.48113335087</v>
      </c>
      <c r="H137" s="526">
        <f t="shared" si="24"/>
        <v>310343.7339512516</v>
      </c>
      <c r="I137" s="577">
        <f t="shared" si="25"/>
        <v>310343.7339512516</v>
      </c>
      <c r="J137" s="514">
        <f t="shared" si="26"/>
        <v>0</v>
      </c>
      <c r="K137" s="514"/>
      <c r="L137" s="525"/>
      <c r="M137" s="514">
        <f t="shared" si="27"/>
        <v>0</v>
      </c>
      <c r="N137" s="525"/>
      <c r="O137" s="514">
        <f t="shared" si="28"/>
        <v>0</v>
      </c>
      <c r="P137" s="514">
        <f t="shared" si="29"/>
        <v>0</v>
      </c>
    </row>
    <row r="138" spans="2:16">
      <c r="B138" s="195" t="str">
        <f t="shared" si="17"/>
        <v/>
      </c>
      <c r="C138" s="507">
        <f>IF(D93="","-",+C137+1)</f>
        <v>2058</v>
      </c>
      <c r="D138" s="374">
        <f>IF(F137+SUM(E$99:E137)=D$92,F137,D$92-SUM(E$99:E137))</f>
        <v>547784.5299138386</v>
      </c>
      <c r="E138" s="522">
        <f>IF(+J96&lt;F137,J96,D138)</f>
        <v>234833.90243902439</v>
      </c>
      <c r="F138" s="523">
        <f t="shared" si="22"/>
        <v>312950.62747481419</v>
      </c>
      <c r="G138" s="523">
        <f t="shared" si="23"/>
        <v>430367.5786943264</v>
      </c>
      <c r="H138" s="526">
        <f t="shared" si="24"/>
        <v>283686.74519001518</v>
      </c>
      <c r="I138" s="577">
        <f t="shared" si="25"/>
        <v>283686.74519001518</v>
      </c>
      <c r="J138" s="514">
        <f t="shared" si="26"/>
        <v>0</v>
      </c>
      <c r="K138" s="514"/>
      <c r="L138" s="525"/>
      <c r="M138" s="514">
        <f t="shared" si="27"/>
        <v>0</v>
      </c>
      <c r="N138" s="525"/>
      <c r="O138" s="514">
        <f t="shared" si="28"/>
        <v>0</v>
      </c>
      <c r="P138" s="514">
        <f t="shared" si="29"/>
        <v>0</v>
      </c>
    </row>
    <row r="139" spans="2:16">
      <c r="B139" s="195" t="str">
        <f t="shared" si="17"/>
        <v/>
      </c>
      <c r="C139" s="507">
        <f>IF(D93="","-",+C138+1)</f>
        <v>2059</v>
      </c>
      <c r="D139" s="374">
        <f>IF(F138+SUM(E$99:E138)=D$92,F138,D$92-SUM(E$99:E138))</f>
        <v>312950.62747481419</v>
      </c>
      <c r="E139" s="522">
        <f>IF(+J96&lt;F138,J96,D139)</f>
        <v>234833.90243902439</v>
      </c>
      <c r="F139" s="523">
        <f t="shared" si="22"/>
        <v>78116.725035789801</v>
      </c>
      <c r="G139" s="523">
        <f t="shared" si="23"/>
        <v>195533.67625530198</v>
      </c>
      <c r="H139" s="526">
        <f t="shared" si="24"/>
        <v>257029.75642877881</v>
      </c>
      <c r="I139" s="577">
        <f t="shared" si="25"/>
        <v>257029.75642877881</v>
      </c>
      <c r="J139" s="514">
        <f t="shared" si="26"/>
        <v>0</v>
      </c>
      <c r="K139" s="514"/>
      <c r="L139" s="525"/>
      <c r="M139" s="514">
        <f t="shared" si="27"/>
        <v>0</v>
      </c>
      <c r="N139" s="525"/>
      <c r="O139" s="514">
        <f t="shared" si="28"/>
        <v>0</v>
      </c>
      <c r="P139" s="514">
        <f t="shared" si="29"/>
        <v>0</v>
      </c>
    </row>
    <row r="140" spans="2:16">
      <c r="B140" s="195" t="str">
        <f t="shared" si="17"/>
        <v/>
      </c>
      <c r="C140" s="507">
        <f>IF(D93="","-",+C139+1)</f>
        <v>2060</v>
      </c>
      <c r="D140" s="374">
        <f>IF(F139+SUM(E$99:E139)=D$92,F139,D$92-SUM(E$99:E139))</f>
        <v>78116.725035789801</v>
      </c>
      <c r="E140" s="522">
        <f>IF(+J96&lt;F139,J96,D140)</f>
        <v>78116.725035789801</v>
      </c>
      <c r="F140" s="523">
        <f t="shared" si="22"/>
        <v>0</v>
      </c>
      <c r="G140" s="523">
        <f t="shared" si="23"/>
        <v>39058.362517894901</v>
      </c>
      <c r="H140" s="526">
        <f t="shared" si="24"/>
        <v>82550.404840357922</v>
      </c>
      <c r="I140" s="577">
        <f t="shared" si="25"/>
        <v>82550.404840357922</v>
      </c>
      <c r="J140" s="514">
        <f t="shared" si="26"/>
        <v>0</v>
      </c>
      <c r="K140" s="514"/>
      <c r="L140" s="525"/>
      <c r="M140" s="514">
        <f t="shared" si="27"/>
        <v>0</v>
      </c>
      <c r="N140" s="525"/>
      <c r="O140" s="514">
        <f t="shared" si="28"/>
        <v>0</v>
      </c>
      <c r="P140" s="514">
        <f t="shared" si="29"/>
        <v>0</v>
      </c>
    </row>
    <row r="141" spans="2:16">
      <c r="B141" s="195" t="str">
        <f t="shared" si="17"/>
        <v/>
      </c>
      <c r="C141" s="507">
        <f>IF(D93="","-",+C140+1)</f>
        <v>2061</v>
      </c>
      <c r="D141" s="374">
        <f>IF(F140+SUM(E$99:E140)=D$92,F140,D$92-SUM(E$99:E140))</f>
        <v>0</v>
      </c>
      <c r="E141" s="522">
        <f>IF(+J96&lt;F140,J96,D141)</f>
        <v>0</v>
      </c>
      <c r="F141" s="523">
        <f t="shared" si="22"/>
        <v>0</v>
      </c>
      <c r="G141" s="523">
        <f t="shared" si="23"/>
        <v>0</v>
      </c>
      <c r="H141" s="526">
        <f t="shared" si="24"/>
        <v>0</v>
      </c>
      <c r="I141" s="577">
        <f t="shared" si="25"/>
        <v>0</v>
      </c>
      <c r="J141" s="514">
        <f t="shared" si="26"/>
        <v>0</v>
      </c>
      <c r="K141" s="514"/>
      <c r="L141" s="525"/>
      <c r="M141" s="514">
        <f t="shared" si="27"/>
        <v>0</v>
      </c>
      <c r="N141" s="525"/>
      <c r="O141" s="514">
        <f t="shared" si="28"/>
        <v>0</v>
      </c>
      <c r="P141" s="514">
        <f t="shared" si="29"/>
        <v>0</v>
      </c>
    </row>
    <row r="142" spans="2:16">
      <c r="B142" s="195" t="str">
        <f t="shared" si="17"/>
        <v/>
      </c>
      <c r="C142" s="507">
        <f>IF(D93="","-",+C141+1)</f>
        <v>2062</v>
      </c>
      <c r="D142" s="374">
        <f>IF(F141+SUM(E$99:E141)=D$92,F141,D$92-SUM(E$99:E141))</f>
        <v>0</v>
      </c>
      <c r="E142" s="522">
        <f>IF(+J96&lt;F141,J96,D142)</f>
        <v>0</v>
      </c>
      <c r="F142" s="523">
        <f t="shared" si="22"/>
        <v>0</v>
      </c>
      <c r="G142" s="523">
        <f t="shared" si="23"/>
        <v>0</v>
      </c>
      <c r="H142" s="526">
        <f t="shared" si="24"/>
        <v>0</v>
      </c>
      <c r="I142" s="577">
        <f t="shared" si="25"/>
        <v>0</v>
      </c>
      <c r="J142" s="514">
        <f t="shared" si="26"/>
        <v>0</v>
      </c>
      <c r="K142" s="514"/>
      <c r="L142" s="525"/>
      <c r="M142" s="514">
        <f t="shared" si="27"/>
        <v>0</v>
      </c>
      <c r="N142" s="525"/>
      <c r="O142" s="514">
        <f t="shared" si="28"/>
        <v>0</v>
      </c>
      <c r="P142" s="514">
        <f t="shared" si="29"/>
        <v>0</v>
      </c>
    </row>
    <row r="143" spans="2:16">
      <c r="B143" s="195" t="str">
        <f t="shared" si="17"/>
        <v/>
      </c>
      <c r="C143" s="507">
        <f>IF(D93="","-",+C142+1)</f>
        <v>2063</v>
      </c>
      <c r="D143" s="374">
        <f>IF(F142+SUM(E$99:E142)=D$92,F142,D$92-SUM(E$99:E142))</f>
        <v>0</v>
      </c>
      <c r="E143" s="522">
        <f>IF(+J96&lt;F142,J96,D143)</f>
        <v>0</v>
      </c>
      <c r="F143" s="523">
        <f t="shared" si="22"/>
        <v>0</v>
      </c>
      <c r="G143" s="523">
        <f t="shared" si="23"/>
        <v>0</v>
      </c>
      <c r="H143" s="526">
        <f t="shared" si="24"/>
        <v>0</v>
      </c>
      <c r="I143" s="577">
        <f t="shared" si="25"/>
        <v>0</v>
      </c>
      <c r="J143" s="514">
        <f t="shared" si="26"/>
        <v>0</v>
      </c>
      <c r="K143" s="514"/>
      <c r="L143" s="525"/>
      <c r="M143" s="514">
        <f t="shared" si="27"/>
        <v>0</v>
      </c>
      <c r="N143" s="525"/>
      <c r="O143" s="514">
        <f t="shared" si="28"/>
        <v>0</v>
      </c>
      <c r="P143" s="514">
        <f t="shared" si="29"/>
        <v>0</v>
      </c>
    </row>
    <row r="144" spans="2:16">
      <c r="B144" s="195" t="str">
        <f t="shared" si="17"/>
        <v/>
      </c>
      <c r="C144" s="507">
        <f>IF(D93="","-",+C143+1)</f>
        <v>2064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22"/>
        <v>0</v>
      </c>
      <c r="G144" s="523">
        <f t="shared" si="23"/>
        <v>0</v>
      </c>
      <c r="H144" s="526">
        <f t="shared" si="24"/>
        <v>0</v>
      </c>
      <c r="I144" s="577">
        <f t="shared" si="25"/>
        <v>0</v>
      </c>
      <c r="J144" s="514">
        <f t="shared" si="26"/>
        <v>0</v>
      </c>
      <c r="K144" s="514"/>
      <c r="L144" s="525"/>
      <c r="M144" s="514">
        <f t="shared" si="27"/>
        <v>0</v>
      </c>
      <c r="N144" s="525"/>
      <c r="O144" s="514">
        <f t="shared" si="28"/>
        <v>0</v>
      </c>
      <c r="P144" s="514">
        <f t="shared" si="29"/>
        <v>0</v>
      </c>
    </row>
    <row r="145" spans="2:16">
      <c r="B145" s="195" t="str">
        <f t="shared" si="17"/>
        <v/>
      </c>
      <c r="C145" s="507">
        <f>IF(D93="","-",+C144+1)</f>
        <v>2065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22"/>
        <v>0</v>
      </c>
      <c r="G145" s="523">
        <f t="shared" si="23"/>
        <v>0</v>
      </c>
      <c r="H145" s="526">
        <f t="shared" si="24"/>
        <v>0</v>
      </c>
      <c r="I145" s="577">
        <f t="shared" si="25"/>
        <v>0</v>
      </c>
      <c r="J145" s="514">
        <f t="shared" si="26"/>
        <v>0</v>
      </c>
      <c r="K145" s="514"/>
      <c r="L145" s="525"/>
      <c r="M145" s="514">
        <f t="shared" si="27"/>
        <v>0</v>
      </c>
      <c r="N145" s="525"/>
      <c r="O145" s="514">
        <f t="shared" si="28"/>
        <v>0</v>
      </c>
      <c r="P145" s="514">
        <f t="shared" si="29"/>
        <v>0</v>
      </c>
    </row>
    <row r="146" spans="2:16">
      <c r="B146" s="195" t="str">
        <f t="shared" si="17"/>
        <v/>
      </c>
      <c r="C146" s="507">
        <f>IF(D93="","-",+C145+1)</f>
        <v>2066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22"/>
        <v>0</v>
      </c>
      <c r="G146" s="523">
        <f t="shared" si="23"/>
        <v>0</v>
      </c>
      <c r="H146" s="526">
        <f t="shared" si="24"/>
        <v>0</v>
      </c>
      <c r="I146" s="577">
        <f t="shared" si="25"/>
        <v>0</v>
      </c>
      <c r="J146" s="514">
        <f t="shared" si="26"/>
        <v>0</v>
      </c>
      <c r="K146" s="514"/>
      <c r="L146" s="525"/>
      <c r="M146" s="514">
        <f t="shared" si="27"/>
        <v>0</v>
      </c>
      <c r="N146" s="525"/>
      <c r="O146" s="514">
        <f t="shared" si="28"/>
        <v>0</v>
      </c>
      <c r="P146" s="514">
        <f t="shared" si="29"/>
        <v>0</v>
      </c>
    </row>
    <row r="147" spans="2:16">
      <c r="B147" s="195" t="str">
        <f t="shared" si="17"/>
        <v/>
      </c>
      <c r="C147" s="507">
        <f>IF(D93="","-",+C146+1)</f>
        <v>2067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22"/>
        <v>0</v>
      </c>
      <c r="G147" s="523">
        <f t="shared" si="23"/>
        <v>0</v>
      </c>
      <c r="H147" s="526">
        <f t="shared" si="24"/>
        <v>0</v>
      </c>
      <c r="I147" s="577">
        <f t="shared" si="25"/>
        <v>0</v>
      </c>
      <c r="J147" s="514">
        <f t="shared" si="26"/>
        <v>0</v>
      </c>
      <c r="K147" s="514"/>
      <c r="L147" s="525"/>
      <c r="M147" s="514">
        <f t="shared" si="27"/>
        <v>0</v>
      </c>
      <c r="N147" s="525"/>
      <c r="O147" s="514">
        <f t="shared" si="28"/>
        <v>0</v>
      </c>
      <c r="P147" s="514">
        <f t="shared" si="29"/>
        <v>0</v>
      </c>
    </row>
    <row r="148" spans="2:16">
      <c r="B148" s="195" t="str">
        <f t="shared" si="17"/>
        <v/>
      </c>
      <c r="C148" s="507">
        <f>IF(D93="","-",+C147+1)</f>
        <v>2068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22"/>
        <v>0</v>
      </c>
      <c r="G148" s="523">
        <f t="shared" si="23"/>
        <v>0</v>
      </c>
      <c r="H148" s="526">
        <f t="shared" si="24"/>
        <v>0</v>
      </c>
      <c r="I148" s="577">
        <f t="shared" si="25"/>
        <v>0</v>
      </c>
      <c r="J148" s="514">
        <f t="shared" si="26"/>
        <v>0</v>
      </c>
      <c r="K148" s="514"/>
      <c r="L148" s="525"/>
      <c r="M148" s="514">
        <f t="shared" si="27"/>
        <v>0</v>
      </c>
      <c r="N148" s="525"/>
      <c r="O148" s="514">
        <f t="shared" si="28"/>
        <v>0</v>
      </c>
      <c r="P148" s="514">
        <f t="shared" si="29"/>
        <v>0</v>
      </c>
    </row>
    <row r="149" spans="2:16">
      <c r="B149" s="195" t="str">
        <f t="shared" si="17"/>
        <v/>
      </c>
      <c r="C149" s="507">
        <f>IF(D93="","-",+C148+1)</f>
        <v>2069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22"/>
        <v>0</v>
      </c>
      <c r="G149" s="523">
        <f t="shared" si="23"/>
        <v>0</v>
      </c>
      <c r="H149" s="526">
        <f t="shared" si="24"/>
        <v>0</v>
      </c>
      <c r="I149" s="577">
        <f t="shared" si="25"/>
        <v>0</v>
      </c>
      <c r="J149" s="514">
        <f t="shared" si="26"/>
        <v>0</v>
      </c>
      <c r="K149" s="514"/>
      <c r="L149" s="525"/>
      <c r="M149" s="514">
        <f t="shared" si="27"/>
        <v>0</v>
      </c>
      <c r="N149" s="525"/>
      <c r="O149" s="514">
        <f t="shared" si="28"/>
        <v>0</v>
      </c>
      <c r="P149" s="514">
        <f t="shared" si="29"/>
        <v>0</v>
      </c>
    </row>
    <row r="150" spans="2:16">
      <c r="B150" s="195" t="str">
        <f t="shared" si="17"/>
        <v/>
      </c>
      <c r="C150" s="507">
        <f>IF(D93="","-",+C149+1)</f>
        <v>2070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22"/>
        <v>0</v>
      </c>
      <c r="G150" s="523">
        <f t="shared" si="23"/>
        <v>0</v>
      </c>
      <c r="H150" s="526">
        <f t="shared" si="24"/>
        <v>0</v>
      </c>
      <c r="I150" s="577">
        <f t="shared" si="25"/>
        <v>0</v>
      </c>
      <c r="J150" s="514">
        <f t="shared" si="26"/>
        <v>0</v>
      </c>
      <c r="K150" s="514"/>
      <c r="L150" s="525"/>
      <c r="M150" s="514">
        <f t="shared" si="27"/>
        <v>0</v>
      </c>
      <c r="N150" s="525"/>
      <c r="O150" s="514">
        <f t="shared" si="28"/>
        <v>0</v>
      </c>
      <c r="P150" s="514">
        <f t="shared" si="29"/>
        <v>0</v>
      </c>
    </row>
    <row r="151" spans="2:16">
      <c r="B151" s="195" t="str">
        <f t="shared" si="17"/>
        <v/>
      </c>
      <c r="C151" s="507">
        <f>IF(D93="","-",+C150+1)</f>
        <v>2071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22"/>
        <v>0</v>
      </c>
      <c r="G151" s="523">
        <f t="shared" si="23"/>
        <v>0</v>
      </c>
      <c r="H151" s="526">
        <f t="shared" si="24"/>
        <v>0</v>
      </c>
      <c r="I151" s="577">
        <f t="shared" si="25"/>
        <v>0</v>
      </c>
      <c r="J151" s="514">
        <f t="shared" si="26"/>
        <v>0</v>
      </c>
      <c r="K151" s="514"/>
      <c r="L151" s="525"/>
      <c r="M151" s="514">
        <f t="shared" si="27"/>
        <v>0</v>
      </c>
      <c r="N151" s="525"/>
      <c r="O151" s="514">
        <f t="shared" si="28"/>
        <v>0</v>
      </c>
      <c r="P151" s="514">
        <f t="shared" si="29"/>
        <v>0</v>
      </c>
    </row>
    <row r="152" spans="2:16">
      <c r="B152" s="195" t="str">
        <f t="shared" si="17"/>
        <v/>
      </c>
      <c r="C152" s="507">
        <f>IF(D93="","-",+C151+1)</f>
        <v>2072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22"/>
        <v>0</v>
      </c>
      <c r="G152" s="523">
        <f t="shared" si="23"/>
        <v>0</v>
      </c>
      <c r="H152" s="526">
        <f t="shared" si="24"/>
        <v>0</v>
      </c>
      <c r="I152" s="577">
        <f t="shared" si="25"/>
        <v>0</v>
      </c>
      <c r="J152" s="514">
        <f t="shared" si="26"/>
        <v>0</v>
      </c>
      <c r="K152" s="514"/>
      <c r="L152" s="525"/>
      <c r="M152" s="514">
        <f t="shared" si="27"/>
        <v>0</v>
      </c>
      <c r="N152" s="525"/>
      <c r="O152" s="514">
        <f t="shared" si="28"/>
        <v>0</v>
      </c>
      <c r="P152" s="514">
        <f t="shared" si="29"/>
        <v>0</v>
      </c>
    </row>
    <row r="153" spans="2:16">
      <c r="B153" s="195" t="str">
        <f t="shared" si="17"/>
        <v/>
      </c>
      <c r="C153" s="507">
        <f>IF(D93="","-",+C152+1)</f>
        <v>2073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22"/>
        <v>0</v>
      </c>
      <c r="G153" s="523">
        <f t="shared" si="23"/>
        <v>0</v>
      </c>
      <c r="H153" s="526">
        <f t="shared" si="24"/>
        <v>0</v>
      </c>
      <c r="I153" s="577">
        <f t="shared" si="25"/>
        <v>0</v>
      </c>
      <c r="J153" s="514">
        <f t="shared" si="26"/>
        <v>0</v>
      </c>
      <c r="K153" s="514"/>
      <c r="L153" s="525"/>
      <c r="M153" s="514">
        <f t="shared" si="27"/>
        <v>0</v>
      </c>
      <c r="N153" s="525"/>
      <c r="O153" s="514">
        <f t="shared" si="28"/>
        <v>0</v>
      </c>
      <c r="P153" s="514">
        <f t="shared" si="29"/>
        <v>0</v>
      </c>
    </row>
    <row r="154" spans="2:16" ht="13.5" thickBot="1">
      <c r="B154" s="195" t="str">
        <f t="shared" si="17"/>
        <v/>
      </c>
      <c r="C154" s="527">
        <f>IF(D93="","-",+C153+1)</f>
        <v>2074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22"/>
        <v>0</v>
      </c>
      <c r="G154" s="528">
        <f t="shared" si="23"/>
        <v>0</v>
      </c>
      <c r="H154" s="530">
        <f t="shared" si="24"/>
        <v>0</v>
      </c>
      <c r="I154" s="579">
        <f t="shared" si="25"/>
        <v>0</v>
      </c>
      <c r="J154" s="533">
        <f t="shared" si="26"/>
        <v>0</v>
      </c>
      <c r="K154" s="514"/>
      <c r="L154" s="532"/>
      <c r="M154" s="533">
        <f t="shared" si="27"/>
        <v>0</v>
      </c>
      <c r="N154" s="532"/>
      <c r="O154" s="533">
        <f t="shared" si="28"/>
        <v>0</v>
      </c>
      <c r="P154" s="533">
        <f t="shared" si="29"/>
        <v>0</v>
      </c>
    </row>
    <row r="155" spans="2:16">
      <c r="C155" s="374" t="s">
        <v>78</v>
      </c>
      <c r="D155" s="375"/>
      <c r="E155" s="375">
        <f>SUM(E99:E154)</f>
        <v>9628190</v>
      </c>
      <c r="F155" s="375"/>
      <c r="G155" s="375"/>
      <c r="H155" s="375">
        <f>SUM(H99:H154)</f>
        <v>31796727.241376679</v>
      </c>
      <c r="I155" s="375">
        <f>SUM(I99:I154)</f>
        <v>31796727.241376679</v>
      </c>
      <c r="J155" s="375">
        <f>SUM(J99:J154)</f>
        <v>0</v>
      </c>
      <c r="K155" s="375"/>
      <c r="L155" s="375"/>
      <c r="M155" s="375"/>
      <c r="N155" s="375"/>
      <c r="O155" s="375"/>
      <c r="P155" s="269"/>
    </row>
    <row r="156" spans="2:16">
      <c r="C156" s="183" t="s">
        <v>92</v>
      </c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</row>
    <row r="157" spans="2:16">
      <c r="C157" s="580"/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</row>
    <row r="158" spans="2:16">
      <c r="C158" s="614" t="s">
        <v>132</v>
      </c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</row>
    <row r="159" spans="2:16">
      <c r="C159" s="467" t="s">
        <v>79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</row>
    <row r="160" spans="2:16">
      <c r="C160" s="581" t="s">
        <v>80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</row>
    <row r="161" spans="3:16">
      <c r="C161" s="581"/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</row>
    <row r="162" spans="3:16" ht="18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635" t="s">
        <v>131</v>
      </c>
    </row>
  </sheetData>
  <conditionalFormatting sqref="C17:C72">
    <cfRule type="cellIs" dxfId="9" priority="1" stopIfTrue="1" operator="equal">
      <formula>$I$10</formula>
    </cfRule>
  </conditionalFormatting>
  <conditionalFormatting sqref="C99:C154">
    <cfRule type="cellIs" dxfId="8" priority="2" stopIfTrue="1" operator="equal">
      <formula>$J$92</formula>
    </cfRule>
  </conditionalFormatting>
  <pageMargins left="0.5" right="0.25" top="1" bottom="0.25" header="0.25" footer="0.5"/>
  <pageSetup scale="47" orientation="landscape" r:id="rId1"/>
  <headerFooter>
    <oddHeader xml:space="preserve">&amp;R&amp;16AEP - SPP Formula Rate
SWEPCO TCOS - Worksheets F and G
Section IV -- (BPU Project Tables)
Page: &amp;P of &amp;N
</oddHeader>
  </headerFooter>
  <rowBreaks count="1" manualBreakCount="1">
    <brk id="81" max="16383" man="1"/>
  </rowBreaks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>
    <tabColor rgb="FFFFC000"/>
  </sheetPr>
  <dimension ref="A1:P162"/>
  <sheetViews>
    <sheetView topLeftCell="A74" zoomScale="70" zoomScaleNormal="70" zoomScaleSheetLayoutView="80" workbookViewId="0">
      <selection activeCell="D99" sqref="D99:I102"/>
    </sheetView>
  </sheetViews>
  <sheetFormatPr defaultColWidth="8.7109375" defaultRowHeight="12.75" customHeight="1"/>
  <cols>
    <col min="1" max="1" width="4.7109375" style="183" customWidth="1"/>
    <col min="2" max="2" width="6.7109375" style="183" customWidth="1"/>
    <col min="3" max="3" width="23.28515625" style="183" customWidth="1"/>
    <col min="4" max="8" width="17.7109375" style="183" customWidth="1"/>
    <col min="9" max="9" width="20.42578125" style="183" customWidth="1"/>
    <col min="10" max="10" width="16.42578125" style="183" customWidth="1"/>
    <col min="11" max="11" width="17.7109375" style="183" customWidth="1"/>
    <col min="12" max="12" width="16.140625" style="183" customWidth="1"/>
    <col min="13" max="13" width="17.7109375" style="183" customWidth="1"/>
    <col min="14" max="14" width="16.7109375" style="183" customWidth="1"/>
    <col min="15" max="15" width="16.85546875" style="183" customWidth="1"/>
    <col min="16" max="16" width="24.42578125" style="183" customWidth="1"/>
    <col min="17" max="17" width="9.140625" style="183" customWidth="1"/>
    <col min="18" max="22" width="8.7109375" style="183"/>
    <col min="23" max="23" width="9.140625" style="183" customWidth="1"/>
    <col min="24" max="16384" width="8.7109375" style="183"/>
  </cols>
  <sheetData>
    <row r="1" spans="1:16" ht="20.25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73 of 75</v>
      </c>
    </row>
    <row r="2" spans="1:16" ht="18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538" t="s">
        <v>129</v>
      </c>
    </row>
    <row r="3" spans="1:16" ht="18.75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/>
      <c r="P3" s="623">
        <v>1</v>
      </c>
    </row>
    <row r="4" spans="1:16" ht="15.75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6" ht="1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494465.64890946052</v>
      </c>
      <c r="P5" s="269"/>
    </row>
    <row r="6" spans="1:16" ht="15.7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494465.64890946052</v>
      </c>
      <c r="O6" s="269"/>
      <c r="P6" s="269"/>
    </row>
    <row r="7" spans="1:16" ht="13.5" thickBot="1">
      <c r="C7" s="467" t="s">
        <v>48</v>
      </c>
      <c r="D7" s="624" t="s">
        <v>442</v>
      </c>
      <c r="E7" s="269"/>
      <c r="F7" s="269"/>
      <c r="G7" s="269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6" ht="13.5" thickBot="1">
      <c r="C8" s="472"/>
      <c r="D8" s="625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661"/>
      <c r="K8" s="474"/>
      <c r="L8" s="474"/>
      <c r="M8" s="474"/>
      <c r="N8" s="474"/>
      <c r="O8" s="661"/>
      <c r="P8" s="340"/>
    </row>
    <row r="9" spans="1:16" ht="13.5" thickBot="1">
      <c r="C9" s="476" t="s">
        <v>50</v>
      </c>
      <c r="D9" s="477" t="s">
        <v>458</v>
      </c>
      <c r="E9" s="637" t="s">
        <v>457</v>
      </c>
      <c r="F9" s="478"/>
      <c r="G9" s="478"/>
      <c r="H9" s="478"/>
      <c r="I9" s="479"/>
      <c r="J9" s="480"/>
      <c r="O9" s="481"/>
      <c r="P9" s="272"/>
    </row>
    <row r="10" spans="1:16">
      <c r="C10" s="482" t="s">
        <v>51</v>
      </c>
      <c r="D10" s="483">
        <v>3820524</v>
      </c>
      <c r="E10" s="353" t="s">
        <v>52</v>
      </c>
      <c r="F10" s="481"/>
      <c r="G10" s="484"/>
      <c r="H10" s="484"/>
      <c r="I10" s="485">
        <f>+'SWE.WS.F.BPU.ATRR.Projected'!L19</f>
        <v>2024</v>
      </c>
      <c r="J10" s="480"/>
      <c r="K10" s="375" t="s">
        <v>53</v>
      </c>
      <c r="O10" s="272"/>
      <c r="P10" s="272"/>
    </row>
    <row r="11" spans="1:16">
      <c r="C11" s="486" t="s">
        <v>54</v>
      </c>
      <c r="D11" s="487">
        <v>2019</v>
      </c>
      <c r="E11" s="486" t="s">
        <v>55</v>
      </c>
      <c r="F11" s="484"/>
      <c r="G11" s="233"/>
      <c r="H11" s="233"/>
      <c r="I11" s="488">
        <f>IF(G5="",0,'SWE.WS.F.BPU.ATRR.Projected'!F$13)</f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6">
      <c r="C12" s="486" t="s">
        <v>56</v>
      </c>
      <c r="D12" s="483">
        <v>6</v>
      </c>
      <c r="E12" s="486" t="s">
        <v>57</v>
      </c>
      <c r="F12" s="484"/>
      <c r="G12" s="233"/>
      <c r="H12" s="233"/>
      <c r="I12" s="490">
        <f>'SWE.WS.F.BPU.ATRR.Projected'!$F$81</f>
        <v>0.11952713165403545</v>
      </c>
      <c r="J12" s="425"/>
      <c r="K12" s="183" t="s">
        <v>58</v>
      </c>
      <c r="O12" s="272"/>
      <c r="P12" s="272"/>
    </row>
    <row r="13" spans="1:16">
      <c r="C13" s="486" t="s">
        <v>59</v>
      </c>
      <c r="D13" s="488">
        <f>+'SWE.WS.F.BPU.ATRR.Projected'!F$93</f>
        <v>44</v>
      </c>
      <c r="E13" s="486" t="s">
        <v>60</v>
      </c>
      <c r="F13" s="484"/>
      <c r="G13" s="233"/>
      <c r="H13" s="233"/>
      <c r="I13" s="490">
        <f>IF(G5="",I12,'SWE.WS.F.BPU.ATRR.Projected'!$F$80)</f>
        <v>0.11952713165403545</v>
      </c>
      <c r="J13" s="425"/>
      <c r="K13" s="375" t="s">
        <v>61</v>
      </c>
      <c r="L13" s="324"/>
      <c r="M13" s="324"/>
      <c r="N13" s="324"/>
      <c r="O13" s="272"/>
      <c r="P13" s="272"/>
    </row>
    <row r="14" spans="1:16" ht="13.5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86830.090909090912</v>
      </c>
      <c r="J14" s="375"/>
      <c r="K14" s="375"/>
      <c r="L14" s="375"/>
      <c r="M14" s="375"/>
      <c r="N14" s="375"/>
      <c r="O14" s="272"/>
      <c r="P14" s="272"/>
    </row>
    <row r="15" spans="1:16" ht="38.25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388</v>
      </c>
      <c r="H15" s="495" t="s">
        <v>389</v>
      </c>
      <c r="I15" s="492" t="s">
        <v>68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6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600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>
      <c r="C17" s="507">
        <f>IF(D11= "","-",D11)</f>
        <v>2019</v>
      </c>
      <c r="D17" s="631">
        <v>0</v>
      </c>
      <c r="E17" s="630">
        <v>9.9555672459071778E-2</v>
      </c>
      <c r="F17" s="631">
        <v>3857999.9004443274</v>
      </c>
      <c r="G17" s="630">
        <v>192042.98677355595</v>
      </c>
      <c r="H17" s="639">
        <v>192042.98677355595</v>
      </c>
      <c r="I17" s="511">
        <f t="shared" ref="I17:I72" si="0">H17-G17</f>
        <v>0</v>
      </c>
      <c r="J17" s="511"/>
      <c r="K17" s="512">
        <f>+G17</f>
        <v>192042.98677355595</v>
      </c>
      <c r="L17" s="513">
        <f t="shared" ref="L17:L72" si="1">IF(K17&lt;&gt;0,+G17-K17,0)</f>
        <v>0</v>
      </c>
      <c r="M17" s="512">
        <f>+H17</f>
        <v>192042.98677355595</v>
      </c>
      <c r="N17" s="513">
        <f t="shared" ref="N17:N72" si="2">IF(M17&lt;&gt;0,+H17-M17,0)</f>
        <v>0</v>
      </c>
      <c r="O17" s="514">
        <f t="shared" ref="O17:O72" si="3">+N17-L17</f>
        <v>0</v>
      </c>
      <c r="P17" s="272"/>
    </row>
    <row r="18" spans="2:16">
      <c r="B18" s="195" t="str">
        <f>IF(D18=F17,"","IU")</f>
        <v/>
      </c>
      <c r="C18" s="507">
        <f>IF(D11="","-",+C17+1)</f>
        <v>2020</v>
      </c>
      <c r="D18" s="631">
        <v>3857999.9004443274</v>
      </c>
      <c r="E18" s="630">
        <v>94097.560975609755</v>
      </c>
      <c r="F18" s="631">
        <v>3763902.3394687176</v>
      </c>
      <c r="G18" s="630">
        <v>484092.97891210701</v>
      </c>
      <c r="H18" s="639">
        <v>484092.97891210701</v>
      </c>
      <c r="I18" s="511">
        <f t="shared" si="0"/>
        <v>0</v>
      </c>
      <c r="J18" s="511"/>
      <c r="K18" s="518">
        <f>+G18</f>
        <v>484092.97891210701</v>
      </c>
      <c r="L18" s="519">
        <f t="shared" si="1"/>
        <v>0</v>
      </c>
      <c r="M18" s="518">
        <f>+H18</f>
        <v>484092.97891210701</v>
      </c>
      <c r="N18" s="514">
        <f t="shared" si="2"/>
        <v>0</v>
      </c>
      <c r="O18" s="514">
        <f t="shared" si="3"/>
        <v>0</v>
      </c>
      <c r="P18" s="272"/>
    </row>
    <row r="19" spans="2:16">
      <c r="B19" s="195" t="str">
        <f>IF(D19=F18,"","IU")</f>
        <v>IU</v>
      </c>
      <c r="C19" s="507">
        <f>IF(D11="","-",+C18+1)</f>
        <v>2021</v>
      </c>
      <c r="D19" s="631">
        <v>3727564.3394687176</v>
      </c>
      <c r="E19" s="630">
        <v>90991.952380952382</v>
      </c>
      <c r="F19" s="631">
        <v>3636572.3870877651</v>
      </c>
      <c r="G19" s="630">
        <v>481307.93404609448</v>
      </c>
      <c r="H19" s="639">
        <v>481307.93404609448</v>
      </c>
      <c r="I19" s="511">
        <f t="shared" si="0"/>
        <v>0</v>
      </c>
      <c r="J19" s="511"/>
      <c r="K19" s="518">
        <f>+G19</f>
        <v>481307.93404609448</v>
      </c>
      <c r="L19" s="519">
        <f t="shared" ref="L19" si="4">IF(K19&lt;&gt;0,+G19-K19,0)</f>
        <v>0</v>
      </c>
      <c r="M19" s="518">
        <f>+H19</f>
        <v>481307.93404609448</v>
      </c>
      <c r="N19" s="514">
        <f t="shared" si="2"/>
        <v>0</v>
      </c>
      <c r="O19" s="514">
        <f t="shared" si="3"/>
        <v>0</v>
      </c>
      <c r="P19" s="272"/>
    </row>
    <row r="20" spans="2:16">
      <c r="B20" s="195" t="str">
        <f t="shared" ref="B20:B72" si="5">IF(D20=F19,"","IU")</f>
        <v>IU</v>
      </c>
      <c r="C20" s="507">
        <f>IF(D11="","-",+C19+1)</f>
        <v>2022</v>
      </c>
      <c r="D20" s="631">
        <v>3628876.3870877656</v>
      </c>
      <c r="E20" s="630">
        <v>90808.71428571429</v>
      </c>
      <c r="F20" s="631">
        <v>3538067.6728020515</v>
      </c>
      <c r="G20" s="630">
        <v>493748.99039861257</v>
      </c>
      <c r="H20" s="639">
        <v>493748.99039861257</v>
      </c>
      <c r="I20" s="511">
        <f t="shared" si="0"/>
        <v>0</v>
      </c>
      <c r="J20" s="511"/>
      <c r="K20" s="518">
        <f>+G20</f>
        <v>493748.99039861257</v>
      </c>
      <c r="L20" s="519">
        <f t="shared" ref="L20" si="6">IF(K20&lt;&gt;0,+G20-K20,0)</f>
        <v>0</v>
      </c>
      <c r="M20" s="518">
        <f>+H20</f>
        <v>493748.99039861257</v>
      </c>
      <c r="N20" s="514">
        <f t="shared" si="2"/>
        <v>0</v>
      </c>
      <c r="O20" s="514">
        <f t="shared" si="3"/>
        <v>0</v>
      </c>
      <c r="P20" s="272"/>
    </row>
    <row r="21" spans="2:16">
      <c r="B21" s="195" t="str">
        <f t="shared" si="5"/>
        <v>IU</v>
      </c>
      <c r="C21" s="507">
        <f>IF(D11="","-",+C20+1)</f>
        <v>2023</v>
      </c>
      <c r="D21" s="631">
        <v>3538067.8328020507</v>
      </c>
      <c r="E21" s="630">
        <v>90808.718095238088</v>
      </c>
      <c r="F21" s="631">
        <v>3447259.1147068124</v>
      </c>
      <c r="G21" s="630">
        <v>532025.67622840172</v>
      </c>
      <c r="H21" s="639">
        <v>532025.67622840172</v>
      </c>
      <c r="I21" s="511">
        <f t="shared" si="0"/>
        <v>0</v>
      </c>
      <c r="J21" s="511"/>
      <c r="K21" s="518">
        <f>+G21</f>
        <v>532025.67622840172</v>
      </c>
      <c r="L21" s="519">
        <f t="shared" ref="L21" si="7">IF(K21&lt;&gt;0,+G21-K21,0)</f>
        <v>0</v>
      </c>
      <c r="M21" s="518">
        <f>+H21</f>
        <v>532025.67622840172</v>
      </c>
      <c r="N21" s="514">
        <f t="shared" ref="N21" si="8">IF(M21&lt;&gt;0,+H21-M21,0)</f>
        <v>0</v>
      </c>
      <c r="O21" s="514">
        <f t="shared" ref="O21" si="9">+N21-L21</f>
        <v>0</v>
      </c>
      <c r="P21" s="272"/>
    </row>
    <row r="22" spans="2:16">
      <c r="B22" s="195" t="str">
        <f t="shared" si="5"/>
        <v>IU</v>
      </c>
      <c r="C22" s="673">
        <f>IF(D11="","-",+C21+1)</f>
        <v>2024</v>
      </c>
      <c r="D22" s="523">
        <f>IF(F21+SUM(E$17:E21)=D$10,F21,D$10-SUM(E$17:E21))</f>
        <v>3453816.9547068132</v>
      </c>
      <c r="E22" s="522">
        <f>IF(+I14&lt;F21,I14,D22)</f>
        <v>86830.090909090912</v>
      </c>
      <c r="F22" s="523">
        <f t="shared" ref="F22:F72" si="10">+D22-E22</f>
        <v>3366986.8637977224</v>
      </c>
      <c r="G22" s="524">
        <f t="shared" ref="G22:G72" si="11">+I$12*((D22+F22)/2)+E22</f>
        <v>494465.64890946052</v>
      </c>
      <c r="H22" s="491">
        <f t="shared" ref="H22:H72" si="12">+I$13*((D22+F22)/2)+E22</f>
        <v>494465.64890946052</v>
      </c>
      <c r="I22" s="511">
        <f t="shared" si="0"/>
        <v>0</v>
      </c>
      <c r="J22" s="511"/>
      <c r="K22" s="525"/>
      <c r="L22" s="514">
        <f t="shared" si="1"/>
        <v>0</v>
      </c>
      <c r="M22" s="525"/>
      <c r="N22" s="514">
        <f t="shared" si="2"/>
        <v>0</v>
      </c>
      <c r="O22" s="514">
        <f t="shared" si="3"/>
        <v>0</v>
      </c>
      <c r="P22" s="272"/>
    </row>
    <row r="23" spans="2:16">
      <c r="B23" s="195" t="str">
        <f t="shared" si="5"/>
        <v/>
      </c>
      <c r="C23" s="507">
        <f>IF(D11="","-",+C22+1)</f>
        <v>2025</v>
      </c>
      <c r="D23" s="523">
        <f>IF(F22+SUM(E$17:E22)=D$10,F22,D$10-SUM(E$17:E22))</f>
        <v>3366986.8637977224</v>
      </c>
      <c r="E23" s="522">
        <f>IF(+I14&lt;F22,I14,D23)</f>
        <v>86830.090909090912</v>
      </c>
      <c r="F23" s="523">
        <f t="shared" si="10"/>
        <v>3280156.7728886316</v>
      </c>
      <c r="G23" s="524">
        <f t="shared" si="11"/>
        <v>484087.09720183781</v>
      </c>
      <c r="H23" s="491">
        <f t="shared" si="12"/>
        <v>484087.09720183781</v>
      </c>
      <c r="I23" s="511">
        <f t="shared" si="0"/>
        <v>0</v>
      </c>
      <c r="J23" s="511"/>
      <c r="K23" s="525"/>
      <c r="L23" s="514">
        <f t="shared" si="1"/>
        <v>0</v>
      </c>
      <c r="M23" s="525"/>
      <c r="N23" s="514">
        <f t="shared" si="2"/>
        <v>0</v>
      </c>
      <c r="O23" s="514">
        <f t="shared" si="3"/>
        <v>0</v>
      </c>
      <c r="P23" s="272"/>
    </row>
    <row r="24" spans="2:16">
      <c r="B24" s="195" t="str">
        <f t="shared" si="5"/>
        <v/>
      </c>
      <c r="C24" s="507">
        <f>IF(D11="","-",+C23+1)</f>
        <v>2026</v>
      </c>
      <c r="D24" s="523">
        <f>IF(F23+SUM(E$17:E23)=D$10,F23,D$10-SUM(E$17:E23))</f>
        <v>3280156.7728886316</v>
      </c>
      <c r="E24" s="522">
        <f>IF(+I14&lt;F23,I14,D24)</f>
        <v>86830.090909090912</v>
      </c>
      <c r="F24" s="523">
        <f t="shared" si="10"/>
        <v>3193326.6819795407</v>
      </c>
      <c r="G24" s="524">
        <f t="shared" si="11"/>
        <v>473708.54549421498</v>
      </c>
      <c r="H24" s="491">
        <f t="shared" si="12"/>
        <v>473708.54549421498</v>
      </c>
      <c r="I24" s="511">
        <f t="shared" si="0"/>
        <v>0</v>
      </c>
      <c r="J24" s="511"/>
      <c r="K24" s="525"/>
      <c r="L24" s="514">
        <f t="shared" si="1"/>
        <v>0</v>
      </c>
      <c r="M24" s="525"/>
      <c r="N24" s="514">
        <f t="shared" si="2"/>
        <v>0</v>
      </c>
      <c r="O24" s="514">
        <f t="shared" si="3"/>
        <v>0</v>
      </c>
      <c r="P24" s="272"/>
    </row>
    <row r="25" spans="2:16">
      <c r="B25" s="195" t="str">
        <f t="shared" si="5"/>
        <v/>
      </c>
      <c r="C25" s="507">
        <f>IF(D11="","-",+C24+1)</f>
        <v>2027</v>
      </c>
      <c r="D25" s="523">
        <f>IF(F24+SUM(E$17:E24)=D$10,F24,D$10-SUM(E$17:E24))</f>
        <v>3193326.6819795407</v>
      </c>
      <c r="E25" s="522">
        <f>IF(+I14&lt;F24,I14,D25)</f>
        <v>86830.090909090912</v>
      </c>
      <c r="F25" s="523">
        <f t="shared" si="10"/>
        <v>3106496.5910704499</v>
      </c>
      <c r="G25" s="524">
        <f t="shared" si="11"/>
        <v>463329.99378659227</v>
      </c>
      <c r="H25" s="491">
        <f t="shared" si="12"/>
        <v>463329.99378659227</v>
      </c>
      <c r="I25" s="511">
        <f t="shared" si="0"/>
        <v>0</v>
      </c>
      <c r="J25" s="511"/>
      <c r="K25" s="525"/>
      <c r="L25" s="514">
        <f t="shared" si="1"/>
        <v>0</v>
      </c>
      <c r="M25" s="525"/>
      <c r="N25" s="514">
        <f t="shared" si="2"/>
        <v>0</v>
      </c>
      <c r="O25" s="514">
        <f t="shared" si="3"/>
        <v>0</v>
      </c>
      <c r="P25" s="272"/>
    </row>
    <row r="26" spans="2:16">
      <c r="B26" s="195" t="str">
        <f t="shared" si="5"/>
        <v/>
      </c>
      <c r="C26" s="507">
        <f>IF(D11="","-",+C25+1)</f>
        <v>2028</v>
      </c>
      <c r="D26" s="523">
        <f>IF(F25+SUM(E$17:E25)=D$10,F25,D$10-SUM(E$17:E25))</f>
        <v>3106496.5910704499</v>
      </c>
      <c r="E26" s="522">
        <f>IF(+I14&lt;F25,I14,D26)</f>
        <v>86830.090909090912</v>
      </c>
      <c r="F26" s="523">
        <f t="shared" si="10"/>
        <v>3019666.5001613591</v>
      </c>
      <c r="G26" s="524">
        <f t="shared" si="11"/>
        <v>452951.44207896956</v>
      </c>
      <c r="H26" s="491">
        <f t="shared" si="12"/>
        <v>452951.44207896956</v>
      </c>
      <c r="I26" s="511">
        <f t="shared" si="0"/>
        <v>0</v>
      </c>
      <c r="J26" s="511"/>
      <c r="K26" s="525"/>
      <c r="L26" s="514">
        <f t="shared" si="1"/>
        <v>0</v>
      </c>
      <c r="M26" s="525"/>
      <c r="N26" s="514">
        <f t="shared" si="2"/>
        <v>0</v>
      </c>
      <c r="O26" s="514">
        <f t="shared" si="3"/>
        <v>0</v>
      </c>
      <c r="P26" s="272"/>
    </row>
    <row r="27" spans="2:16">
      <c r="B27" s="195" t="str">
        <f t="shared" si="5"/>
        <v/>
      </c>
      <c r="C27" s="507">
        <f>IF(D11="","-",+C26+1)</f>
        <v>2029</v>
      </c>
      <c r="D27" s="523">
        <f>IF(F26+SUM(E$17:E26)=D$10,F26,D$10-SUM(E$17:E26))</f>
        <v>3019666.5001613591</v>
      </c>
      <c r="E27" s="522">
        <f>IF(+I14&lt;F26,I14,D27)</f>
        <v>86830.090909090912</v>
      </c>
      <c r="F27" s="523">
        <f t="shared" si="10"/>
        <v>2932836.4092522683</v>
      </c>
      <c r="G27" s="524">
        <f t="shared" si="11"/>
        <v>442572.89037134673</v>
      </c>
      <c r="H27" s="491">
        <f t="shared" si="12"/>
        <v>442572.89037134673</v>
      </c>
      <c r="I27" s="511">
        <f t="shared" si="0"/>
        <v>0</v>
      </c>
      <c r="J27" s="511"/>
      <c r="K27" s="525"/>
      <c r="L27" s="514">
        <f t="shared" si="1"/>
        <v>0</v>
      </c>
      <c r="M27" s="525"/>
      <c r="N27" s="514">
        <f t="shared" si="2"/>
        <v>0</v>
      </c>
      <c r="O27" s="514">
        <f t="shared" si="3"/>
        <v>0</v>
      </c>
      <c r="P27" s="272"/>
    </row>
    <row r="28" spans="2:16">
      <c r="B28" s="195" t="str">
        <f t="shared" si="5"/>
        <v/>
      </c>
      <c r="C28" s="507">
        <f>IF(D11="","-",+C27+1)</f>
        <v>2030</v>
      </c>
      <c r="D28" s="523">
        <f>IF(F27+SUM(E$17:E27)=D$10,F27,D$10-SUM(E$17:E27))</f>
        <v>2932836.4092522683</v>
      </c>
      <c r="E28" s="522">
        <f>IF(+I14&lt;F27,I14,D28)</f>
        <v>86830.090909090912</v>
      </c>
      <c r="F28" s="523">
        <f t="shared" si="10"/>
        <v>2846006.3183431774</v>
      </c>
      <c r="G28" s="524">
        <f t="shared" si="11"/>
        <v>432194.33866372402</v>
      </c>
      <c r="H28" s="491">
        <f t="shared" si="12"/>
        <v>432194.33866372402</v>
      </c>
      <c r="I28" s="511">
        <f t="shared" si="0"/>
        <v>0</v>
      </c>
      <c r="J28" s="511"/>
      <c r="K28" s="525"/>
      <c r="L28" s="514">
        <f t="shared" si="1"/>
        <v>0</v>
      </c>
      <c r="M28" s="525"/>
      <c r="N28" s="514">
        <f t="shared" si="2"/>
        <v>0</v>
      </c>
      <c r="O28" s="514">
        <f t="shared" si="3"/>
        <v>0</v>
      </c>
      <c r="P28" s="272"/>
    </row>
    <row r="29" spans="2:16">
      <c r="B29" s="195" t="str">
        <f t="shared" si="5"/>
        <v/>
      </c>
      <c r="C29" s="507">
        <f>IF(D11="","-",+C28+1)</f>
        <v>2031</v>
      </c>
      <c r="D29" s="523">
        <f>IF(F28+SUM(E$17:E28)=D$10,F28,D$10-SUM(E$17:E28))</f>
        <v>2846006.3183431774</v>
      </c>
      <c r="E29" s="522">
        <f>IF(+I14&lt;F28,I14,D29)</f>
        <v>86830.090909090912</v>
      </c>
      <c r="F29" s="523">
        <f t="shared" si="10"/>
        <v>2759176.2274340866</v>
      </c>
      <c r="G29" s="524">
        <f t="shared" si="11"/>
        <v>421815.78695610119</v>
      </c>
      <c r="H29" s="491">
        <f t="shared" si="12"/>
        <v>421815.78695610119</v>
      </c>
      <c r="I29" s="511">
        <f t="shared" si="0"/>
        <v>0</v>
      </c>
      <c r="J29" s="511"/>
      <c r="K29" s="525"/>
      <c r="L29" s="514">
        <f t="shared" si="1"/>
        <v>0</v>
      </c>
      <c r="M29" s="525"/>
      <c r="N29" s="514">
        <f t="shared" si="2"/>
        <v>0</v>
      </c>
      <c r="O29" s="514">
        <f t="shared" si="3"/>
        <v>0</v>
      </c>
      <c r="P29" s="272"/>
    </row>
    <row r="30" spans="2:16">
      <c r="B30" s="195" t="str">
        <f t="shared" si="5"/>
        <v/>
      </c>
      <c r="C30" s="507">
        <f>IF(D11="","-",+C29+1)</f>
        <v>2032</v>
      </c>
      <c r="D30" s="523">
        <f>IF(F29+SUM(E$17:E29)=D$10,F29,D$10-SUM(E$17:E29))</f>
        <v>2759176.2274340866</v>
      </c>
      <c r="E30" s="522">
        <f>IF(+I14&lt;F29,I14,D30)</f>
        <v>86830.090909090912</v>
      </c>
      <c r="F30" s="523">
        <f t="shared" si="10"/>
        <v>2672346.1365249958</v>
      </c>
      <c r="G30" s="524">
        <f t="shared" si="11"/>
        <v>411437.23524847848</v>
      </c>
      <c r="H30" s="491">
        <f t="shared" si="12"/>
        <v>411437.23524847848</v>
      </c>
      <c r="I30" s="511">
        <f t="shared" si="0"/>
        <v>0</v>
      </c>
      <c r="J30" s="511"/>
      <c r="K30" s="525"/>
      <c r="L30" s="514">
        <f t="shared" si="1"/>
        <v>0</v>
      </c>
      <c r="M30" s="525"/>
      <c r="N30" s="514">
        <f t="shared" si="2"/>
        <v>0</v>
      </c>
      <c r="O30" s="514">
        <f t="shared" si="3"/>
        <v>0</v>
      </c>
      <c r="P30" s="272"/>
    </row>
    <row r="31" spans="2:16">
      <c r="B31" s="195" t="str">
        <f t="shared" si="5"/>
        <v/>
      </c>
      <c r="C31" s="507">
        <f>IF(D11="","-",+C30+1)</f>
        <v>2033</v>
      </c>
      <c r="D31" s="523">
        <f>IF(F30+SUM(E$17:E30)=D$10,F30,D$10-SUM(E$17:E30))</f>
        <v>2672346.1365249958</v>
      </c>
      <c r="E31" s="522">
        <f>IF(+I14&lt;F30,I14,D31)</f>
        <v>86830.090909090912</v>
      </c>
      <c r="F31" s="523">
        <f t="shared" si="10"/>
        <v>2585516.045615905</v>
      </c>
      <c r="G31" s="524">
        <f t="shared" si="11"/>
        <v>401058.68354085565</v>
      </c>
      <c r="H31" s="491">
        <f t="shared" si="12"/>
        <v>401058.68354085565</v>
      </c>
      <c r="I31" s="511">
        <f t="shared" si="0"/>
        <v>0</v>
      </c>
      <c r="J31" s="511"/>
      <c r="K31" s="525"/>
      <c r="L31" s="514">
        <f t="shared" si="1"/>
        <v>0</v>
      </c>
      <c r="M31" s="525"/>
      <c r="N31" s="514">
        <f t="shared" si="2"/>
        <v>0</v>
      </c>
      <c r="O31" s="514">
        <f t="shared" si="3"/>
        <v>0</v>
      </c>
      <c r="P31" s="272"/>
    </row>
    <row r="32" spans="2:16">
      <c r="B32" s="195" t="str">
        <f t="shared" si="5"/>
        <v/>
      </c>
      <c r="C32" s="507">
        <f>IF(D11="","-",+C31+1)</f>
        <v>2034</v>
      </c>
      <c r="D32" s="523">
        <f>IF(F31+SUM(E$17:E31)=D$10,F31,D$10-SUM(E$17:E31))</f>
        <v>2585516.045615905</v>
      </c>
      <c r="E32" s="522">
        <f>IF(+I14&lt;F31,I14,D32)</f>
        <v>86830.090909090912</v>
      </c>
      <c r="F32" s="523">
        <f t="shared" si="10"/>
        <v>2498685.9547068141</v>
      </c>
      <c r="G32" s="524">
        <f t="shared" si="11"/>
        <v>390680.13183323294</v>
      </c>
      <c r="H32" s="491">
        <f t="shared" si="12"/>
        <v>390680.13183323294</v>
      </c>
      <c r="I32" s="511">
        <f t="shared" si="0"/>
        <v>0</v>
      </c>
      <c r="J32" s="511"/>
      <c r="K32" s="525"/>
      <c r="L32" s="514">
        <f t="shared" si="1"/>
        <v>0</v>
      </c>
      <c r="M32" s="525"/>
      <c r="N32" s="514">
        <f t="shared" si="2"/>
        <v>0</v>
      </c>
      <c r="O32" s="514">
        <f t="shared" si="3"/>
        <v>0</v>
      </c>
      <c r="P32" s="272"/>
    </row>
    <row r="33" spans="2:16">
      <c r="B33" s="195" t="str">
        <f t="shared" si="5"/>
        <v/>
      </c>
      <c r="C33" s="507">
        <f>IF(D11="","-",+C32+1)</f>
        <v>2035</v>
      </c>
      <c r="D33" s="523">
        <f>IF(F32+SUM(E$17:E32)=D$10,F32,D$10-SUM(E$17:E32))</f>
        <v>2498685.9547068141</v>
      </c>
      <c r="E33" s="522">
        <f>IF(+I14&lt;F32,I14,D33)</f>
        <v>86830.090909090912</v>
      </c>
      <c r="F33" s="523">
        <f t="shared" si="10"/>
        <v>2411855.8637977233</v>
      </c>
      <c r="G33" s="524">
        <f t="shared" si="11"/>
        <v>380301.58012561011</v>
      </c>
      <c r="H33" s="491">
        <f t="shared" si="12"/>
        <v>380301.58012561011</v>
      </c>
      <c r="I33" s="511">
        <f t="shared" si="0"/>
        <v>0</v>
      </c>
      <c r="J33" s="511"/>
      <c r="K33" s="525"/>
      <c r="L33" s="514">
        <f t="shared" si="1"/>
        <v>0</v>
      </c>
      <c r="M33" s="525"/>
      <c r="N33" s="514">
        <f t="shared" si="2"/>
        <v>0</v>
      </c>
      <c r="O33" s="514">
        <f t="shared" si="3"/>
        <v>0</v>
      </c>
      <c r="P33" s="272"/>
    </row>
    <row r="34" spans="2:16">
      <c r="B34" s="195" t="str">
        <f t="shared" si="5"/>
        <v/>
      </c>
      <c r="C34" s="507">
        <f>IF(D11="","-",+C33+1)</f>
        <v>2036</v>
      </c>
      <c r="D34" s="523">
        <f>IF(F33+SUM(E$17:E33)=D$10,F33,D$10-SUM(E$17:E33))</f>
        <v>2411855.8637977233</v>
      </c>
      <c r="E34" s="522">
        <f>IF(+I14&lt;F33,I14,D34)</f>
        <v>86830.090909090912</v>
      </c>
      <c r="F34" s="523">
        <f t="shared" si="10"/>
        <v>2325025.7728886325</v>
      </c>
      <c r="G34" s="524">
        <f t="shared" si="11"/>
        <v>369923.0284179874</v>
      </c>
      <c r="H34" s="491">
        <f t="shared" si="12"/>
        <v>369923.0284179874</v>
      </c>
      <c r="I34" s="511">
        <f t="shared" si="0"/>
        <v>0</v>
      </c>
      <c r="J34" s="511"/>
      <c r="K34" s="525"/>
      <c r="L34" s="514">
        <f t="shared" si="1"/>
        <v>0</v>
      </c>
      <c r="M34" s="525"/>
      <c r="N34" s="514">
        <f t="shared" si="2"/>
        <v>0</v>
      </c>
      <c r="O34" s="514">
        <f t="shared" si="3"/>
        <v>0</v>
      </c>
      <c r="P34" s="272"/>
    </row>
    <row r="35" spans="2:16">
      <c r="B35" s="195" t="str">
        <f t="shared" si="5"/>
        <v/>
      </c>
      <c r="C35" s="507">
        <f>IF(D11="","-",+C34+1)</f>
        <v>2037</v>
      </c>
      <c r="D35" s="523">
        <f>IF(F34+SUM(E$17:E34)=D$10,F34,D$10-SUM(E$17:E34))</f>
        <v>2325025.7728886325</v>
      </c>
      <c r="E35" s="522">
        <f>IF(+I14&lt;F34,I14,D35)</f>
        <v>86830.090909090912</v>
      </c>
      <c r="F35" s="523">
        <f t="shared" si="10"/>
        <v>2238195.6819795417</v>
      </c>
      <c r="G35" s="524">
        <f t="shared" si="11"/>
        <v>359544.47671036457</v>
      </c>
      <c r="H35" s="491">
        <f t="shared" si="12"/>
        <v>359544.47671036457</v>
      </c>
      <c r="I35" s="511">
        <f t="shared" si="0"/>
        <v>0</v>
      </c>
      <c r="J35" s="511"/>
      <c r="K35" s="525"/>
      <c r="L35" s="514">
        <f t="shared" si="1"/>
        <v>0</v>
      </c>
      <c r="M35" s="525"/>
      <c r="N35" s="514">
        <f t="shared" si="2"/>
        <v>0</v>
      </c>
      <c r="O35" s="514">
        <f t="shared" si="3"/>
        <v>0</v>
      </c>
      <c r="P35" s="272"/>
    </row>
    <row r="36" spans="2:16">
      <c r="B36" s="195" t="str">
        <f t="shared" si="5"/>
        <v/>
      </c>
      <c r="C36" s="507">
        <f>IF(D11="","-",+C35+1)</f>
        <v>2038</v>
      </c>
      <c r="D36" s="523">
        <f>IF(F35+SUM(E$17:E35)=D$10,F35,D$10-SUM(E$17:E35))</f>
        <v>2238195.6819795417</v>
      </c>
      <c r="E36" s="522">
        <f>IF(+I14&lt;F35,I14,D36)</f>
        <v>86830.090909090912</v>
      </c>
      <c r="F36" s="523">
        <f t="shared" si="10"/>
        <v>2151365.5910704508</v>
      </c>
      <c r="G36" s="524">
        <f t="shared" si="11"/>
        <v>349165.92500274186</v>
      </c>
      <c r="H36" s="491">
        <f t="shared" si="12"/>
        <v>349165.92500274186</v>
      </c>
      <c r="I36" s="511">
        <f t="shared" si="0"/>
        <v>0</v>
      </c>
      <c r="J36" s="511"/>
      <c r="K36" s="525"/>
      <c r="L36" s="514">
        <f t="shared" si="1"/>
        <v>0</v>
      </c>
      <c r="M36" s="525"/>
      <c r="N36" s="514">
        <f t="shared" si="2"/>
        <v>0</v>
      </c>
      <c r="O36" s="514">
        <f t="shared" si="3"/>
        <v>0</v>
      </c>
      <c r="P36" s="272"/>
    </row>
    <row r="37" spans="2:16">
      <c r="B37" s="195" t="str">
        <f t="shared" si="5"/>
        <v/>
      </c>
      <c r="C37" s="507">
        <f>IF(D11="","-",+C36+1)</f>
        <v>2039</v>
      </c>
      <c r="D37" s="523">
        <f>IF(F36+SUM(E$17:E36)=D$10,F36,D$10-SUM(E$17:E36))</f>
        <v>2151365.5910704508</v>
      </c>
      <c r="E37" s="522">
        <f>IF(+I14&lt;F36,I14,D37)</f>
        <v>86830.090909090912</v>
      </c>
      <c r="F37" s="523">
        <f t="shared" si="10"/>
        <v>2064535.50016136</v>
      </c>
      <c r="G37" s="524">
        <f t="shared" si="11"/>
        <v>338787.37329511909</v>
      </c>
      <c r="H37" s="491">
        <f t="shared" si="12"/>
        <v>338787.37329511909</v>
      </c>
      <c r="I37" s="511">
        <f t="shared" si="0"/>
        <v>0</v>
      </c>
      <c r="J37" s="511"/>
      <c r="K37" s="525"/>
      <c r="L37" s="514">
        <f t="shared" si="1"/>
        <v>0</v>
      </c>
      <c r="M37" s="525"/>
      <c r="N37" s="514">
        <f t="shared" si="2"/>
        <v>0</v>
      </c>
      <c r="O37" s="514">
        <f t="shared" si="3"/>
        <v>0</v>
      </c>
      <c r="P37" s="272"/>
    </row>
    <row r="38" spans="2:16">
      <c r="B38" s="195" t="str">
        <f t="shared" si="5"/>
        <v/>
      </c>
      <c r="C38" s="507">
        <f>IF(D11="","-",+C37+1)</f>
        <v>2040</v>
      </c>
      <c r="D38" s="523">
        <f>IF(F37+SUM(E$17:E37)=D$10,F37,D$10-SUM(E$17:E37))</f>
        <v>2064535.50016136</v>
      </c>
      <c r="E38" s="522">
        <f>IF(+I14&lt;F37,I14,D38)</f>
        <v>86830.090909090912</v>
      </c>
      <c r="F38" s="523">
        <f t="shared" si="10"/>
        <v>1977705.4092522692</v>
      </c>
      <c r="G38" s="524">
        <f t="shared" si="11"/>
        <v>328408.82158749632</v>
      </c>
      <c r="H38" s="491">
        <f t="shared" si="12"/>
        <v>328408.82158749632</v>
      </c>
      <c r="I38" s="511">
        <f t="shared" si="0"/>
        <v>0</v>
      </c>
      <c r="J38" s="511"/>
      <c r="K38" s="525"/>
      <c r="L38" s="514">
        <f t="shared" si="1"/>
        <v>0</v>
      </c>
      <c r="M38" s="525"/>
      <c r="N38" s="514">
        <f t="shared" si="2"/>
        <v>0</v>
      </c>
      <c r="O38" s="514">
        <f t="shared" si="3"/>
        <v>0</v>
      </c>
      <c r="P38" s="272"/>
    </row>
    <row r="39" spans="2:16">
      <c r="B39" s="195" t="str">
        <f t="shared" si="5"/>
        <v/>
      </c>
      <c r="C39" s="507">
        <f>IF(D11="","-",+C38+1)</f>
        <v>2041</v>
      </c>
      <c r="D39" s="523">
        <f>IF(F38+SUM(E$17:E38)=D$10,F38,D$10-SUM(E$17:E38))</f>
        <v>1977705.4092522692</v>
      </c>
      <c r="E39" s="522">
        <f>IF(+I14&lt;F38,I14,D39)</f>
        <v>86830.090909090912</v>
      </c>
      <c r="F39" s="523">
        <f t="shared" si="10"/>
        <v>1890875.3183431784</v>
      </c>
      <c r="G39" s="524">
        <f t="shared" si="11"/>
        <v>318030.26987987355</v>
      </c>
      <c r="H39" s="491">
        <f t="shared" si="12"/>
        <v>318030.26987987355</v>
      </c>
      <c r="I39" s="511">
        <f t="shared" si="0"/>
        <v>0</v>
      </c>
      <c r="J39" s="511"/>
      <c r="K39" s="525"/>
      <c r="L39" s="514">
        <f t="shared" si="1"/>
        <v>0</v>
      </c>
      <c r="M39" s="525"/>
      <c r="N39" s="514">
        <f t="shared" si="2"/>
        <v>0</v>
      </c>
      <c r="O39" s="514">
        <f t="shared" si="3"/>
        <v>0</v>
      </c>
      <c r="P39" s="272"/>
    </row>
    <row r="40" spans="2:16">
      <c r="B40" s="195" t="str">
        <f t="shared" si="5"/>
        <v/>
      </c>
      <c r="C40" s="507">
        <f>IF(D11="","-",+C39+1)</f>
        <v>2042</v>
      </c>
      <c r="D40" s="523">
        <f>IF(F39+SUM(E$17:E39)=D$10,F39,D$10-SUM(E$17:E39))</f>
        <v>1890875.3183431784</v>
      </c>
      <c r="E40" s="522">
        <f>IF(+I14&lt;F39,I14,D40)</f>
        <v>86830.090909090912</v>
      </c>
      <c r="F40" s="523">
        <f t="shared" si="10"/>
        <v>1804045.2274340875</v>
      </c>
      <c r="G40" s="524">
        <f t="shared" si="11"/>
        <v>307651.71817225078</v>
      </c>
      <c r="H40" s="491">
        <f t="shared" si="12"/>
        <v>307651.71817225078</v>
      </c>
      <c r="I40" s="511">
        <f t="shared" si="0"/>
        <v>0</v>
      </c>
      <c r="J40" s="511"/>
      <c r="K40" s="525"/>
      <c r="L40" s="514">
        <f t="shared" si="1"/>
        <v>0</v>
      </c>
      <c r="M40" s="525"/>
      <c r="N40" s="514">
        <f t="shared" si="2"/>
        <v>0</v>
      </c>
      <c r="O40" s="514">
        <f t="shared" si="3"/>
        <v>0</v>
      </c>
      <c r="P40" s="272"/>
    </row>
    <row r="41" spans="2:16">
      <c r="B41" s="195" t="str">
        <f t="shared" si="5"/>
        <v/>
      </c>
      <c r="C41" s="507">
        <f>IF(D11="","-",+C40+1)</f>
        <v>2043</v>
      </c>
      <c r="D41" s="523">
        <f>IF(F40+SUM(E$17:E40)=D$10,F40,D$10-SUM(E$17:E40))</f>
        <v>1804045.2274340875</v>
      </c>
      <c r="E41" s="522">
        <f>IF(+I14&lt;F40,I14,D41)</f>
        <v>86830.090909090912</v>
      </c>
      <c r="F41" s="523">
        <f t="shared" si="10"/>
        <v>1717215.1365249967</v>
      </c>
      <c r="G41" s="524">
        <f t="shared" si="11"/>
        <v>297273.16646462807</v>
      </c>
      <c r="H41" s="491">
        <f t="shared" si="12"/>
        <v>297273.16646462807</v>
      </c>
      <c r="I41" s="511">
        <f t="shared" si="0"/>
        <v>0</v>
      </c>
      <c r="J41" s="511"/>
      <c r="K41" s="525"/>
      <c r="L41" s="514">
        <f t="shared" si="1"/>
        <v>0</v>
      </c>
      <c r="M41" s="525"/>
      <c r="N41" s="514">
        <f t="shared" si="2"/>
        <v>0</v>
      </c>
      <c r="O41" s="514">
        <f t="shared" si="3"/>
        <v>0</v>
      </c>
      <c r="P41" s="272"/>
    </row>
    <row r="42" spans="2:16">
      <c r="B42" s="195" t="str">
        <f t="shared" si="5"/>
        <v/>
      </c>
      <c r="C42" s="507">
        <f>IF(D11="","-",+C41+1)</f>
        <v>2044</v>
      </c>
      <c r="D42" s="523">
        <f>IF(F41+SUM(E$17:E41)=D$10,F41,D$10-SUM(E$17:E41))</f>
        <v>1717215.1365249967</v>
      </c>
      <c r="E42" s="522">
        <f>IF(+I14&lt;F41,I14,D42)</f>
        <v>86830.090909090912</v>
      </c>
      <c r="F42" s="523">
        <f t="shared" si="10"/>
        <v>1630385.0456159059</v>
      </c>
      <c r="G42" s="524">
        <f t="shared" si="11"/>
        <v>286894.61475700524</v>
      </c>
      <c r="H42" s="491">
        <f t="shared" si="12"/>
        <v>286894.61475700524</v>
      </c>
      <c r="I42" s="511">
        <f t="shared" si="0"/>
        <v>0</v>
      </c>
      <c r="J42" s="511"/>
      <c r="K42" s="525"/>
      <c r="L42" s="514">
        <f t="shared" si="1"/>
        <v>0</v>
      </c>
      <c r="M42" s="525"/>
      <c r="N42" s="514">
        <f t="shared" si="2"/>
        <v>0</v>
      </c>
      <c r="O42" s="514">
        <f t="shared" si="3"/>
        <v>0</v>
      </c>
      <c r="P42" s="272"/>
    </row>
    <row r="43" spans="2:16">
      <c r="B43" s="195" t="str">
        <f t="shared" si="5"/>
        <v/>
      </c>
      <c r="C43" s="507">
        <f>IF(D11="","-",+C42+1)</f>
        <v>2045</v>
      </c>
      <c r="D43" s="523">
        <f>IF(F42+SUM(E$17:E42)=D$10,F42,D$10-SUM(E$17:E42))</f>
        <v>1630385.0456159059</v>
      </c>
      <c r="E43" s="522">
        <f>IF(+I14&lt;F42,I14,D43)</f>
        <v>86830.090909090912</v>
      </c>
      <c r="F43" s="523">
        <f t="shared" si="10"/>
        <v>1543554.9547068151</v>
      </c>
      <c r="G43" s="524">
        <f t="shared" si="11"/>
        <v>276516.06304938253</v>
      </c>
      <c r="H43" s="491">
        <f t="shared" si="12"/>
        <v>276516.06304938253</v>
      </c>
      <c r="I43" s="511">
        <f t="shared" si="0"/>
        <v>0</v>
      </c>
      <c r="J43" s="511"/>
      <c r="K43" s="525"/>
      <c r="L43" s="514">
        <f t="shared" si="1"/>
        <v>0</v>
      </c>
      <c r="M43" s="525"/>
      <c r="N43" s="514">
        <f t="shared" si="2"/>
        <v>0</v>
      </c>
      <c r="O43" s="514">
        <f t="shared" si="3"/>
        <v>0</v>
      </c>
      <c r="P43" s="272"/>
    </row>
    <row r="44" spans="2:16">
      <c r="B44" s="195" t="str">
        <f t="shared" si="5"/>
        <v/>
      </c>
      <c r="C44" s="507">
        <f>IF(D11="","-",+C43+1)</f>
        <v>2046</v>
      </c>
      <c r="D44" s="523">
        <f>IF(F43+SUM(E$17:E43)=D$10,F43,D$10-SUM(E$17:E43))</f>
        <v>1543554.9547068151</v>
      </c>
      <c r="E44" s="522">
        <f>IF(+I14&lt;F43,I14,D44)</f>
        <v>86830.090909090912</v>
      </c>
      <c r="F44" s="523">
        <f t="shared" si="10"/>
        <v>1456724.8637977242</v>
      </c>
      <c r="G44" s="524">
        <f t="shared" si="11"/>
        <v>266137.5113417597</v>
      </c>
      <c r="H44" s="491">
        <f t="shared" si="12"/>
        <v>266137.5113417597</v>
      </c>
      <c r="I44" s="511">
        <f t="shared" si="0"/>
        <v>0</v>
      </c>
      <c r="J44" s="511"/>
      <c r="K44" s="525"/>
      <c r="L44" s="514">
        <f t="shared" si="1"/>
        <v>0</v>
      </c>
      <c r="M44" s="525"/>
      <c r="N44" s="514">
        <f t="shared" si="2"/>
        <v>0</v>
      </c>
      <c r="O44" s="514">
        <f t="shared" si="3"/>
        <v>0</v>
      </c>
      <c r="P44" s="272"/>
    </row>
    <row r="45" spans="2:16">
      <c r="B45" s="195" t="str">
        <f t="shared" si="5"/>
        <v/>
      </c>
      <c r="C45" s="507">
        <f>IF(D11="","-",+C44+1)</f>
        <v>2047</v>
      </c>
      <c r="D45" s="523">
        <f>IF(F44+SUM(E$17:E44)=D$10,F44,D$10-SUM(E$17:E44))</f>
        <v>1456724.8637977242</v>
      </c>
      <c r="E45" s="522">
        <f>IF(+I14&lt;F44,I14,D45)</f>
        <v>86830.090909090912</v>
      </c>
      <c r="F45" s="523">
        <f t="shared" si="10"/>
        <v>1369894.7728886334</v>
      </c>
      <c r="G45" s="524">
        <f t="shared" si="11"/>
        <v>255758.95963413696</v>
      </c>
      <c r="H45" s="491">
        <f t="shared" si="12"/>
        <v>255758.95963413696</v>
      </c>
      <c r="I45" s="511">
        <f t="shared" si="0"/>
        <v>0</v>
      </c>
      <c r="J45" s="511"/>
      <c r="K45" s="525"/>
      <c r="L45" s="514">
        <f t="shared" si="1"/>
        <v>0</v>
      </c>
      <c r="M45" s="525"/>
      <c r="N45" s="514">
        <f t="shared" si="2"/>
        <v>0</v>
      </c>
      <c r="O45" s="514">
        <f t="shared" si="3"/>
        <v>0</v>
      </c>
      <c r="P45" s="272"/>
    </row>
    <row r="46" spans="2:16">
      <c r="B46" s="195" t="str">
        <f t="shared" si="5"/>
        <v/>
      </c>
      <c r="C46" s="507">
        <f>IF(D11="","-",+C45+1)</f>
        <v>2048</v>
      </c>
      <c r="D46" s="523">
        <f>IF(F45+SUM(E$17:E45)=D$10,F45,D$10-SUM(E$17:E45))</f>
        <v>1369894.7728886334</v>
      </c>
      <c r="E46" s="522">
        <f>IF(+I14&lt;F45,I14,D46)</f>
        <v>86830.090909090912</v>
      </c>
      <c r="F46" s="523">
        <f t="shared" si="10"/>
        <v>1283064.6819795426</v>
      </c>
      <c r="G46" s="524">
        <f t="shared" si="11"/>
        <v>245380.40792651419</v>
      </c>
      <c r="H46" s="491">
        <f t="shared" si="12"/>
        <v>245380.40792651419</v>
      </c>
      <c r="I46" s="511">
        <f t="shared" si="0"/>
        <v>0</v>
      </c>
      <c r="J46" s="511"/>
      <c r="K46" s="525"/>
      <c r="L46" s="514">
        <f t="shared" si="1"/>
        <v>0</v>
      </c>
      <c r="M46" s="525"/>
      <c r="N46" s="514">
        <f t="shared" si="2"/>
        <v>0</v>
      </c>
      <c r="O46" s="514">
        <f t="shared" si="3"/>
        <v>0</v>
      </c>
      <c r="P46" s="272"/>
    </row>
    <row r="47" spans="2:16">
      <c r="B47" s="195" t="str">
        <f t="shared" si="5"/>
        <v/>
      </c>
      <c r="C47" s="507">
        <f>IF(D11="","-",+C46+1)</f>
        <v>2049</v>
      </c>
      <c r="D47" s="523">
        <f>IF(F46+SUM(E$17:E46)=D$10,F46,D$10-SUM(E$17:E46))</f>
        <v>1283064.6819795426</v>
      </c>
      <c r="E47" s="522">
        <f>IF(+I14&lt;F46,I14,D47)</f>
        <v>86830.090909090912</v>
      </c>
      <c r="F47" s="523">
        <f t="shared" si="10"/>
        <v>1196234.5910704518</v>
      </c>
      <c r="G47" s="524">
        <f t="shared" si="11"/>
        <v>235001.85621889145</v>
      </c>
      <c r="H47" s="491">
        <f t="shared" si="12"/>
        <v>235001.85621889145</v>
      </c>
      <c r="I47" s="511">
        <f t="shared" si="0"/>
        <v>0</v>
      </c>
      <c r="J47" s="511"/>
      <c r="K47" s="525"/>
      <c r="L47" s="514">
        <f t="shared" si="1"/>
        <v>0</v>
      </c>
      <c r="M47" s="525"/>
      <c r="N47" s="514">
        <f t="shared" si="2"/>
        <v>0</v>
      </c>
      <c r="O47" s="514">
        <f t="shared" si="3"/>
        <v>0</v>
      </c>
      <c r="P47" s="272"/>
    </row>
    <row r="48" spans="2:16">
      <c r="B48" s="195" t="str">
        <f t="shared" si="5"/>
        <v/>
      </c>
      <c r="C48" s="507">
        <f>IF(D11="","-",+C47+1)</f>
        <v>2050</v>
      </c>
      <c r="D48" s="523">
        <f>IF(F47+SUM(E$17:E47)=D$10,F47,D$10-SUM(E$17:E47))</f>
        <v>1196234.5910704518</v>
      </c>
      <c r="E48" s="522">
        <f>IF(+I14&lt;F47,I14,D48)</f>
        <v>86830.090909090912</v>
      </c>
      <c r="F48" s="523">
        <f t="shared" si="10"/>
        <v>1109404.5001613609</v>
      </c>
      <c r="G48" s="524">
        <f t="shared" si="11"/>
        <v>224623.30451126868</v>
      </c>
      <c r="H48" s="491">
        <f t="shared" si="12"/>
        <v>224623.30451126868</v>
      </c>
      <c r="I48" s="511">
        <f t="shared" si="0"/>
        <v>0</v>
      </c>
      <c r="J48" s="511"/>
      <c r="K48" s="525"/>
      <c r="L48" s="514">
        <f t="shared" si="1"/>
        <v>0</v>
      </c>
      <c r="M48" s="525"/>
      <c r="N48" s="514">
        <f t="shared" si="2"/>
        <v>0</v>
      </c>
      <c r="O48" s="514">
        <f t="shared" si="3"/>
        <v>0</v>
      </c>
      <c r="P48" s="272"/>
    </row>
    <row r="49" spans="2:16">
      <c r="B49" s="195" t="str">
        <f t="shared" si="5"/>
        <v/>
      </c>
      <c r="C49" s="507">
        <f>IF(D11="","-",+C48+1)</f>
        <v>2051</v>
      </c>
      <c r="D49" s="523">
        <f>IF(F48+SUM(E$17:E48)=D$10,F48,D$10-SUM(E$17:E48))</f>
        <v>1109404.5001613609</v>
      </c>
      <c r="E49" s="522">
        <f>IF(+I14&lt;F48,I14,D49)</f>
        <v>86830.090909090912</v>
      </c>
      <c r="F49" s="523">
        <f t="shared" si="10"/>
        <v>1022574.40925227</v>
      </c>
      <c r="G49" s="524">
        <f t="shared" si="11"/>
        <v>214244.75280364591</v>
      </c>
      <c r="H49" s="491">
        <f t="shared" si="12"/>
        <v>214244.75280364591</v>
      </c>
      <c r="I49" s="511">
        <f t="shared" si="0"/>
        <v>0</v>
      </c>
      <c r="J49" s="511"/>
      <c r="K49" s="525"/>
      <c r="L49" s="514">
        <f t="shared" si="1"/>
        <v>0</v>
      </c>
      <c r="M49" s="525"/>
      <c r="N49" s="514">
        <f t="shared" si="2"/>
        <v>0</v>
      </c>
      <c r="O49" s="514">
        <f t="shared" si="3"/>
        <v>0</v>
      </c>
      <c r="P49" s="272"/>
    </row>
    <row r="50" spans="2:16">
      <c r="B50" s="195" t="str">
        <f t="shared" si="5"/>
        <v/>
      </c>
      <c r="C50" s="507">
        <f>IF(D11="","-",+C49+1)</f>
        <v>2052</v>
      </c>
      <c r="D50" s="523">
        <f>IF(F49+SUM(E$17:E49)=D$10,F49,D$10-SUM(E$17:E49))</f>
        <v>1022574.40925227</v>
      </c>
      <c r="E50" s="522">
        <f>IF(+I14&lt;F49,I14,D50)</f>
        <v>86830.090909090912</v>
      </c>
      <c r="F50" s="523">
        <f t="shared" si="10"/>
        <v>935744.31834317907</v>
      </c>
      <c r="G50" s="524">
        <f t="shared" si="11"/>
        <v>203866.20109602311</v>
      </c>
      <c r="H50" s="491">
        <f t="shared" si="12"/>
        <v>203866.20109602311</v>
      </c>
      <c r="I50" s="511">
        <f t="shared" si="0"/>
        <v>0</v>
      </c>
      <c r="J50" s="511"/>
      <c r="K50" s="525"/>
      <c r="L50" s="514">
        <f t="shared" si="1"/>
        <v>0</v>
      </c>
      <c r="M50" s="525"/>
      <c r="N50" s="514">
        <f t="shared" si="2"/>
        <v>0</v>
      </c>
      <c r="O50" s="514">
        <f t="shared" si="3"/>
        <v>0</v>
      </c>
      <c r="P50" s="272"/>
    </row>
    <row r="51" spans="2:16">
      <c r="B51" s="195" t="str">
        <f t="shared" si="5"/>
        <v/>
      </c>
      <c r="C51" s="507">
        <f>IF(D11="","-",+C50+1)</f>
        <v>2053</v>
      </c>
      <c r="D51" s="523">
        <f>IF(F50+SUM(E$17:E50)=D$10,F50,D$10-SUM(E$17:E50))</f>
        <v>935744.31834317907</v>
      </c>
      <c r="E51" s="522">
        <f>IF(+I14&lt;F50,I14,D51)</f>
        <v>86830.090909090912</v>
      </c>
      <c r="F51" s="523">
        <f t="shared" si="10"/>
        <v>848914.22743408813</v>
      </c>
      <c r="G51" s="524">
        <f t="shared" si="11"/>
        <v>193487.64938840034</v>
      </c>
      <c r="H51" s="491">
        <f t="shared" si="12"/>
        <v>193487.64938840034</v>
      </c>
      <c r="I51" s="511">
        <f t="shared" si="0"/>
        <v>0</v>
      </c>
      <c r="J51" s="511"/>
      <c r="K51" s="525"/>
      <c r="L51" s="514">
        <f t="shared" si="1"/>
        <v>0</v>
      </c>
      <c r="M51" s="525"/>
      <c r="N51" s="514">
        <f t="shared" si="2"/>
        <v>0</v>
      </c>
      <c r="O51" s="514">
        <f t="shared" si="3"/>
        <v>0</v>
      </c>
      <c r="P51" s="272"/>
    </row>
    <row r="52" spans="2:16">
      <c r="B52" s="195" t="str">
        <f t="shared" si="5"/>
        <v/>
      </c>
      <c r="C52" s="507">
        <f>IF(D11="","-",+C51+1)</f>
        <v>2054</v>
      </c>
      <c r="D52" s="523">
        <f>IF(F51+SUM(E$17:E51)=D$10,F51,D$10-SUM(E$17:E51))</f>
        <v>848914.22743408813</v>
      </c>
      <c r="E52" s="522">
        <f>IF(+I14&lt;F51,I14,D52)</f>
        <v>86830.090909090912</v>
      </c>
      <c r="F52" s="523">
        <f t="shared" si="10"/>
        <v>762084.13652499719</v>
      </c>
      <c r="G52" s="524">
        <f t="shared" si="11"/>
        <v>183109.09768077754</v>
      </c>
      <c r="H52" s="491">
        <f t="shared" si="12"/>
        <v>183109.09768077754</v>
      </c>
      <c r="I52" s="511">
        <f t="shared" si="0"/>
        <v>0</v>
      </c>
      <c r="J52" s="511"/>
      <c r="K52" s="525"/>
      <c r="L52" s="514">
        <f t="shared" si="1"/>
        <v>0</v>
      </c>
      <c r="M52" s="525"/>
      <c r="N52" s="514">
        <f t="shared" si="2"/>
        <v>0</v>
      </c>
      <c r="O52" s="514">
        <f t="shared" si="3"/>
        <v>0</v>
      </c>
      <c r="P52" s="272"/>
    </row>
    <row r="53" spans="2:16">
      <c r="B53" s="195" t="str">
        <f t="shared" si="5"/>
        <v/>
      </c>
      <c r="C53" s="507">
        <f>IF(D11="","-",+C52+1)</f>
        <v>2055</v>
      </c>
      <c r="D53" s="523">
        <f>IF(F52+SUM(E$17:E52)=D$10,F52,D$10-SUM(E$17:E52))</f>
        <v>762084.13652499719</v>
      </c>
      <c r="E53" s="522">
        <f>IF(+I14&lt;F52,I14,D53)</f>
        <v>86830.090909090912</v>
      </c>
      <c r="F53" s="523">
        <f t="shared" si="10"/>
        <v>675254.04561590625</v>
      </c>
      <c r="G53" s="524">
        <f t="shared" si="11"/>
        <v>172730.54597315477</v>
      </c>
      <c r="H53" s="491">
        <f t="shared" si="12"/>
        <v>172730.54597315477</v>
      </c>
      <c r="I53" s="511">
        <f t="shared" si="0"/>
        <v>0</v>
      </c>
      <c r="J53" s="511"/>
      <c r="K53" s="525"/>
      <c r="L53" s="514">
        <f t="shared" si="1"/>
        <v>0</v>
      </c>
      <c r="M53" s="525"/>
      <c r="N53" s="514">
        <f t="shared" si="2"/>
        <v>0</v>
      </c>
      <c r="O53" s="514">
        <f t="shared" si="3"/>
        <v>0</v>
      </c>
      <c r="P53" s="272"/>
    </row>
    <row r="54" spans="2:16">
      <c r="B54" s="195" t="str">
        <f t="shared" si="5"/>
        <v/>
      </c>
      <c r="C54" s="507">
        <f>IF(D11="","-",+C53+1)</f>
        <v>2056</v>
      </c>
      <c r="D54" s="523">
        <f>IF(F53+SUM(E$17:E53)=D$10,F53,D$10-SUM(E$17:E53))</f>
        <v>675254.04561590625</v>
      </c>
      <c r="E54" s="522">
        <f>IF(+I14&lt;F53,I14,D54)</f>
        <v>86830.090909090912</v>
      </c>
      <c r="F54" s="523">
        <f t="shared" si="10"/>
        <v>588423.9547068153</v>
      </c>
      <c r="G54" s="524">
        <f t="shared" si="11"/>
        <v>162351.994265532</v>
      </c>
      <c r="H54" s="491">
        <f t="shared" si="12"/>
        <v>162351.994265532</v>
      </c>
      <c r="I54" s="511">
        <f t="shared" si="0"/>
        <v>0</v>
      </c>
      <c r="J54" s="511"/>
      <c r="K54" s="525"/>
      <c r="L54" s="514">
        <f t="shared" si="1"/>
        <v>0</v>
      </c>
      <c r="M54" s="525"/>
      <c r="N54" s="514">
        <f t="shared" si="2"/>
        <v>0</v>
      </c>
      <c r="O54" s="514">
        <f t="shared" si="3"/>
        <v>0</v>
      </c>
      <c r="P54" s="272"/>
    </row>
    <row r="55" spans="2:16">
      <c r="B55" s="195" t="str">
        <f t="shared" si="5"/>
        <v/>
      </c>
      <c r="C55" s="507">
        <f>IF(D11="","-",+C54+1)</f>
        <v>2057</v>
      </c>
      <c r="D55" s="523">
        <f>IF(F54+SUM(E$17:E54)=D$10,F54,D$10-SUM(E$17:E54))</f>
        <v>588423.9547068153</v>
      </c>
      <c r="E55" s="522">
        <f>IF(+I14&lt;F54,I14,D55)</f>
        <v>86830.090909090912</v>
      </c>
      <c r="F55" s="523">
        <f t="shared" si="10"/>
        <v>501593.86379772436</v>
      </c>
      <c r="G55" s="524">
        <f t="shared" si="11"/>
        <v>151973.44255790923</v>
      </c>
      <c r="H55" s="491">
        <f t="shared" si="12"/>
        <v>151973.44255790923</v>
      </c>
      <c r="I55" s="511">
        <f t="shared" si="0"/>
        <v>0</v>
      </c>
      <c r="J55" s="511"/>
      <c r="K55" s="525"/>
      <c r="L55" s="514">
        <f t="shared" si="1"/>
        <v>0</v>
      </c>
      <c r="M55" s="525"/>
      <c r="N55" s="514">
        <f t="shared" si="2"/>
        <v>0</v>
      </c>
      <c r="O55" s="514">
        <f t="shared" si="3"/>
        <v>0</v>
      </c>
      <c r="P55" s="272"/>
    </row>
    <row r="56" spans="2:16">
      <c r="B56" s="195" t="str">
        <f t="shared" si="5"/>
        <v/>
      </c>
      <c r="C56" s="507">
        <f>IF(D11="","-",+C55+1)</f>
        <v>2058</v>
      </c>
      <c r="D56" s="523">
        <f>IF(F55+SUM(E$17:E55)=D$10,F55,D$10-SUM(E$17:E55))</f>
        <v>501593.86379772436</v>
      </c>
      <c r="E56" s="522">
        <f>IF(+I14&lt;F55,I14,D56)</f>
        <v>86830.090909090912</v>
      </c>
      <c r="F56" s="523">
        <f t="shared" si="10"/>
        <v>414763.77288863342</v>
      </c>
      <c r="G56" s="524">
        <f t="shared" si="11"/>
        <v>141594.89085028644</v>
      </c>
      <c r="H56" s="491">
        <f t="shared" si="12"/>
        <v>141594.89085028644</v>
      </c>
      <c r="I56" s="511">
        <f t="shared" si="0"/>
        <v>0</v>
      </c>
      <c r="J56" s="511"/>
      <c r="K56" s="525"/>
      <c r="L56" s="514">
        <f t="shared" si="1"/>
        <v>0</v>
      </c>
      <c r="M56" s="525"/>
      <c r="N56" s="514">
        <f t="shared" si="2"/>
        <v>0</v>
      </c>
      <c r="O56" s="514">
        <f t="shared" si="3"/>
        <v>0</v>
      </c>
      <c r="P56" s="272"/>
    </row>
    <row r="57" spans="2:16">
      <c r="B57" s="195" t="str">
        <f t="shared" si="5"/>
        <v/>
      </c>
      <c r="C57" s="507">
        <f>IF(D11="","-",+C56+1)</f>
        <v>2059</v>
      </c>
      <c r="D57" s="523">
        <f>IF(F56+SUM(E$17:E56)=D$10,F56,D$10-SUM(E$17:E56))</f>
        <v>414763.77288863342</v>
      </c>
      <c r="E57" s="522">
        <f>IF(+I14&lt;F56,I14,D57)</f>
        <v>86830.090909090912</v>
      </c>
      <c r="F57" s="523">
        <f t="shared" si="10"/>
        <v>327933.68197954248</v>
      </c>
      <c r="G57" s="524">
        <f t="shared" si="11"/>
        <v>131216.33914266367</v>
      </c>
      <c r="H57" s="491">
        <f t="shared" si="12"/>
        <v>131216.33914266367</v>
      </c>
      <c r="I57" s="511">
        <f t="shared" si="0"/>
        <v>0</v>
      </c>
      <c r="J57" s="511"/>
      <c r="K57" s="525"/>
      <c r="L57" s="514">
        <f t="shared" si="1"/>
        <v>0</v>
      </c>
      <c r="M57" s="525"/>
      <c r="N57" s="514">
        <f t="shared" si="2"/>
        <v>0</v>
      </c>
      <c r="O57" s="514">
        <f t="shared" si="3"/>
        <v>0</v>
      </c>
      <c r="P57" s="272"/>
    </row>
    <row r="58" spans="2:16">
      <c r="B58" s="195" t="str">
        <f t="shared" si="5"/>
        <v/>
      </c>
      <c r="C58" s="507">
        <f>IF(D11="","-",+C57+1)</f>
        <v>2060</v>
      </c>
      <c r="D58" s="523">
        <f>IF(F57+SUM(E$17:E57)=D$10,F57,D$10-SUM(E$17:E57))</f>
        <v>327933.68197954248</v>
      </c>
      <c r="E58" s="522">
        <f>IF(+I14&lt;F57,I14,D58)</f>
        <v>86830.090909090912</v>
      </c>
      <c r="F58" s="523">
        <f t="shared" si="10"/>
        <v>241103.59107045157</v>
      </c>
      <c r="G58" s="524">
        <f t="shared" si="11"/>
        <v>120837.7874350409</v>
      </c>
      <c r="H58" s="491">
        <f t="shared" si="12"/>
        <v>120837.7874350409</v>
      </c>
      <c r="I58" s="511">
        <f t="shared" si="0"/>
        <v>0</v>
      </c>
      <c r="J58" s="511"/>
      <c r="K58" s="525"/>
      <c r="L58" s="514">
        <f t="shared" si="1"/>
        <v>0</v>
      </c>
      <c r="M58" s="525"/>
      <c r="N58" s="514">
        <f t="shared" si="2"/>
        <v>0</v>
      </c>
      <c r="O58" s="514">
        <f t="shared" si="3"/>
        <v>0</v>
      </c>
      <c r="P58" s="272"/>
    </row>
    <row r="59" spans="2:16">
      <c r="B59" s="195" t="str">
        <f t="shared" si="5"/>
        <v/>
      </c>
      <c r="C59" s="507">
        <f>IF(D11="","-",+C58+1)</f>
        <v>2061</v>
      </c>
      <c r="D59" s="523">
        <f>IF(F58+SUM(E$17:E58)=D$10,F58,D$10-SUM(E$17:E58))</f>
        <v>241103.59107045157</v>
      </c>
      <c r="E59" s="522">
        <f>IF(+I14&lt;F58,I14,D59)</f>
        <v>86830.090909090912</v>
      </c>
      <c r="F59" s="523">
        <f t="shared" si="10"/>
        <v>154273.50016136066</v>
      </c>
      <c r="G59" s="524">
        <f t="shared" si="11"/>
        <v>110459.23572741811</v>
      </c>
      <c r="H59" s="491">
        <f t="shared" si="12"/>
        <v>110459.23572741811</v>
      </c>
      <c r="I59" s="511">
        <f t="shared" si="0"/>
        <v>0</v>
      </c>
      <c r="J59" s="511"/>
      <c r="K59" s="525"/>
      <c r="L59" s="514">
        <f t="shared" si="1"/>
        <v>0</v>
      </c>
      <c r="M59" s="525"/>
      <c r="N59" s="514">
        <f t="shared" si="2"/>
        <v>0</v>
      </c>
      <c r="O59" s="514">
        <f t="shared" si="3"/>
        <v>0</v>
      </c>
      <c r="P59" s="272"/>
    </row>
    <row r="60" spans="2:16">
      <c r="B60" s="195" t="str">
        <f t="shared" si="5"/>
        <v/>
      </c>
      <c r="C60" s="507">
        <f>IF(D11="","-",+C59+1)</f>
        <v>2062</v>
      </c>
      <c r="D60" s="523">
        <f>IF(F59+SUM(E$17:E59)=D$10,F59,D$10-SUM(E$17:E59))</f>
        <v>154273.50016136066</v>
      </c>
      <c r="E60" s="522">
        <f>IF(+I14&lt;F59,I14,D60)</f>
        <v>86830.090909090912</v>
      </c>
      <c r="F60" s="523">
        <f t="shared" si="10"/>
        <v>67443.409252269747</v>
      </c>
      <c r="G60" s="524">
        <f t="shared" si="11"/>
        <v>100080.68401979534</v>
      </c>
      <c r="H60" s="491">
        <f t="shared" si="12"/>
        <v>100080.68401979534</v>
      </c>
      <c r="I60" s="511">
        <f t="shared" si="0"/>
        <v>0</v>
      </c>
      <c r="J60" s="511"/>
      <c r="K60" s="525"/>
      <c r="L60" s="514">
        <f t="shared" si="1"/>
        <v>0</v>
      </c>
      <c r="M60" s="525"/>
      <c r="N60" s="514">
        <f t="shared" si="2"/>
        <v>0</v>
      </c>
      <c r="O60" s="514">
        <f t="shared" si="3"/>
        <v>0</v>
      </c>
      <c r="P60" s="272"/>
    </row>
    <row r="61" spans="2:16">
      <c r="B61" s="195" t="str">
        <f t="shared" si="5"/>
        <v/>
      </c>
      <c r="C61" s="507">
        <f>IF(D11="","-",+C60+1)</f>
        <v>2063</v>
      </c>
      <c r="D61" s="523">
        <f>IF(F60+SUM(E$17:E60)=D$10,F60,D$10-SUM(E$17:E60))</f>
        <v>67443.409252269747</v>
      </c>
      <c r="E61" s="522">
        <f>IF(+I14&lt;F60,I14,D61)</f>
        <v>67443.409252269747</v>
      </c>
      <c r="F61" s="523">
        <f t="shared" si="10"/>
        <v>0</v>
      </c>
      <c r="G61" s="526">
        <f t="shared" si="11"/>
        <v>71474.067880716262</v>
      </c>
      <c r="H61" s="491">
        <f t="shared" si="12"/>
        <v>71474.067880716262</v>
      </c>
      <c r="I61" s="511">
        <f t="shared" si="0"/>
        <v>0</v>
      </c>
      <c r="J61" s="511"/>
      <c r="K61" s="525"/>
      <c r="L61" s="514">
        <f t="shared" si="1"/>
        <v>0</v>
      </c>
      <c r="M61" s="525"/>
      <c r="N61" s="514">
        <f t="shared" si="2"/>
        <v>0</v>
      </c>
      <c r="O61" s="514">
        <f t="shared" si="3"/>
        <v>0</v>
      </c>
      <c r="P61" s="272"/>
    </row>
    <row r="62" spans="2:16">
      <c r="B62" s="195" t="str">
        <f t="shared" si="5"/>
        <v/>
      </c>
      <c r="C62" s="507">
        <f>IF(D11="","-",+C61+1)</f>
        <v>2064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10"/>
        <v>0</v>
      </c>
      <c r="G62" s="526">
        <f t="shared" si="11"/>
        <v>0</v>
      </c>
      <c r="H62" s="491">
        <f t="shared" si="12"/>
        <v>0</v>
      </c>
      <c r="I62" s="511">
        <f t="shared" si="0"/>
        <v>0</v>
      </c>
      <c r="J62" s="511"/>
      <c r="K62" s="525"/>
      <c r="L62" s="514">
        <f t="shared" si="1"/>
        <v>0</v>
      </c>
      <c r="M62" s="525"/>
      <c r="N62" s="514">
        <f t="shared" si="2"/>
        <v>0</v>
      </c>
      <c r="O62" s="514">
        <f t="shared" si="3"/>
        <v>0</v>
      </c>
      <c r="P62" s="272"/>
    </row>
    <row r="63" spans="2:16">
      <c r="B63" s="195" t="str">
        <f t="shared" si="5"/>
        <v/>
      </c>
      <c r="C63" s="507">
        <f>IF(D11="","-",+C62+1)</f>
        <v>2065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10"/>
        <v>0</v>
      </c>
      <c r="G63" s="526">
        <f t="shared" si="11"/>
        <v>0</v>
      </c>
      <c r="H63" s="491">
        <f t="shared" si="12"/>
        <v>0</v>
      </c>
      <c r="I63" s="511">
        <f t="shared" si="0"/>
        <v>0</v>
      </c>
      <c r="J63" s="511"/>
      <c r="K63" s="525"/>
      <c r="L63" s="514">
        <f t="shared" si="1"/>
        <v>0</v>
      </c>
      <c r="M63" s="525"/>
      <c r="N63" s="514">
        <f t="shared" si="2"/>
        <v>0</v>
      </c>
      <c r="O63" s="514">
        <f t="shared" si="3"/>
        <v>0</v>
      </c>
      <c r="P63" s="272"/>
    </row>
    <row r="64" spans="2:16">
      <c r="B64" s="195" t="str">
        <f t="shared" si="5"/>
        <v/>
      </c>
      <c r="C64" s="507">
        <f>IF(D11="","-",+C63+1)</f>
        <v>2066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10"/>
        <v>0</v>
      </c>
      <c r="G64" s="526">
        <f t="shared" si="11"/>
        <v>0</v>
      </c>
      <c r="H64" s="491">
        <f t="shared" si="12"/>
        <v>0</v>
      </c>
      <c r="I64" s="511">
        <f t="shared" si="0"/>
        <v>0</v>
      </c>
      <c r="J64" s="511"/>
      <c r="K64" s="525"/>
      <c r="L64" s="514">
        <f t="shared" si="1"/>
        <v>0</v>
      </c>
      <c r="M64" s="525"/>
      <c r="N64" s="514">
        <f t="shared" si="2"/>
        <v>0</v>
      </c>
      <c r="O64" s="514">
        <f t="shared" si="3"/>
        <v>0</v>
      </c>
      <c r="P64" s="272"/>
    </row>
    <row r="65" spans="2:16">
      <c r="B65" s="195" t="str">
        <f t="shared" si="5"/>
        <v/>
      </c>
      <c r="C65" s="507">
        <f>IF(D11="","-",+C64+1)</f>
        <v>2067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10"/>
        <v>0</v>
      </c>
      <c r="G65" s="526">
        <f t="shared" si="11"/>
        <v>0</v>
      </c>
      <c r="H65" s="491">
        <f t="shared" si="12"/>
        <v>0</v>
      </c>
      <c r="I65" s="511">
        <f t="shared" si="0"/>
        <v>0</v>
      </c>
      <c r="J65" s="511"/>
      <c r="K65" s="525"/>
      <c r="L65" s="514">
        <f t="shared" si="1"/>
        <v>0</v>
      </c>
      <c r="M65" s="525"/>
      <c r="N65" s="514">
        <f t="shared" si="2"/>
        <v>0</v>
      </c>
      <c r="O65" s="514">
        <f t="shared" si="3"/>
        <v>0</v>
      </c>
      <c r="P65" s="272"/>
    </row>
    <row r="66" spans="2:16">
      <c r="B66" s="195" t="str">
        <f t="shared" si="5"/>
        <v/>
      </c>
      <c r="C66" s="507">
        <f>IF(D11="","-",+C65+1)</f>
        <v>2068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10"/>
        <v>0</v>
      </c>
      <c r="G66" s="526">
        <f t="shared" si="11"/>
        <v>0</v>
      </c>
      <c r="H66" s="491">
        <f t="shared" si="12"/>
        <v>0</v>
      </c>
      <c r="I66" s="511">
        <f t="shared" si="0"/>
        <v>0</v>
      </c>
      <c r="J66" s="511"/>
      <c r="K66" s="525"/>
      <c r="L66" s="514">
        <f t="shared" si="1"/>
        <v>0</v>
      </c>
      <c r="M66" s="525"/>
      <c r="N66" s="514">
        <f t="shared" si="2"/>
        <v>0</v>
      </c>
      <c r="O66" s="514">
        <f t="shared" si="3"/>
        <v>0</v>
      </c>
      <c r="P66" s="272"/>
    </row>
    <row r="67" spans="2:16">
      <c r="B67" s="195" t="str">
        <f t="shared" si="5"/>
        <v/>
      </c>
      <c r="C67" s="507">
        <f>IF(D11="","-",+C66+1)</f>
        <v>2069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10"/>
        <v>0</v>
      </c>
      <c r="G67" s="526">
        <f t="shared" si="11"/>
        <v>0</v>
      </c>
      <c r="H67" s="491">
        <f t="shared" si="12"/>
        <v>0</v>
      </c>
      <c r="I67" s="511">
        <f t="shared" si="0"/>
        <v>0</v>
      </c>
      <c r="J67" s="511"/>
      <c r="K67" s="525"/>
      <c r="L67" s="514">
        <f t="shared" si="1"/>
        <v>0</v>
      </c>
      <c r="M67" s="525"/>
      <c r="N67" s="514">
        <f t="shared" si="2"/>
        <v>0</v>
      </c>
      <c r="O67" s="514">
        <f t="shared" si="3"/>
        <v>0</v>
      </c>
      <c r="P67" s="272"/>
    </row>
    <row r="68" spans="2:16">
      <c r="B68" s="195" t="str">
        <f t="shared" si="5"/>
        <v/>
      </c>
      <c r="C68" s="507">
        <f>IF(D11="","-",+C67+1)</f>
        <v>2070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10"/>
        <v>0</v>
      </c>
      <c r="G68" s="526">
        <f t="shared" si="11"/>
        <v>0</v>
      </c>
      <c r="H68" s="491">
        <f t="shared" si="12"/>
        <v>0</v>
      </c>
      <c r="I68" s="511">
        <f t="shared" si="0"/>
        <v>0</v>
      </c>
      <c r="J68" s="511"/>
      <c r="K68" s="525"/>
      <c r="L68" s="514">
        <f t="shared" si="1"/>
        <v>0</v>
      </c>
      <c r="M68" s="525"/>
      <c r="N68" s="514">
        <f t="shared" si="2"/>
        <v>0</v>
      </c>
      <c r="O68" s="514">
        <f t="shared" si="3"/>
        <v>0</v>
      </c>
      <c r="P68" s="272"/>
    </row>
    <row r="69" spans="2:16">
      <c r="B69" s="195" t="str">
        <f t="shared" si="5"/>
        <v/>
      </c>
      <c r="C69" s="507">
        <f>IF(D11="","-",+C68+1)</f>
        <v>2071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10"/>
        <v>0</v>
      </c>
      <c r="G69" s="526">
        <f t="shared" si="11"/>
        <v>0</v>
      </c>
      <c r="H69" s="491">
        <f t="shared" si="12"/>
        <v>0</v>
      </c>
      <c r="I69" s="511">
        <f t="shared" si="0"/>
        <v>0</v>
      </c>
      <c r="J69" s="511"/>
      <c r="K69" s="525"/>
      <c r="L69" s="514">
        <f t="shared" si="1"/>
        <v>0</v>
      </c>
      <c r="M69" s="525"/>
      <c r="N69" s="514">
        <f t="shared" si="2"/>
        <v>0</v>
      </c>
      <c r="O69" s="514">
        <f t="shared" si="3"/>
        <v>0</v>
      </c>
      <c r="P69" s="272"/>
    </row>
    <row r="70" spans="2:16">
      <c r="B70" s="195" t="str">
        <f t="shared" si="5"/>
        <v/>
      </c>
      <c r="C70" s="507">
        <f>IF(D11="","-",+C69+1)</f>
        <v>2072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10"/>
        <v>0</v>
      </c>
      <c r="G70" s="526">
        <f t="shared" si="11"/>
        <v>0</v>
      </c>
      <c r="H70" s="491">
        <f t="shared" si="12"/>
        <v>0</v>
      </c>
      <c r="I70" s="511">
        <f t="shared" si="0"/>
        <v>0</v>
      </c>
      <c r="J70" s="511"/>
      <c r="K70" s="525"/>
      <c r="L70" s="514">
        <f t="shared" si="1"/>
        <v>0</v>
      </c>
      <c r="M70" s="525"/>
      <c r="N70" s="514">
        <f t="shared" si="2"/>
        <v>0</v>
      </c>
      <c r="O70" s="514">
        <f t="shared" si="3"/>
        <v>0</v>
      </c>
      <c r="P70" s="272"/>
    </row>
    <row r="71" spans="2:16">
      <c r="B71" s="195" t="str">
        <f t="shared" si="5"/>
        <v/>
      </c>
      <c r="C71" s="507">
        <f>IF(D11="","-",+C70+1)</f>
        <v>2073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10"/>
        <v>0</v>
      </c>
      <c r="G71" s="526">
        <f t="shared" si="11"/>
        <v>0</v>
      </c>
      <c r="H71" s="491">
        <f t="shared" si="12"/>
        <v>0</v>
      </c>
      <c r="I71" s="511">
        <f t="shared" si="0"/>
        <v>0</v>
      </c>
      <c r="J71" s="511"/>
      <c r="K71" s="525"/>
      <c r="L71" s="514">
        <f t="shared" si="1"/>
        <v>0</v>
      </c>
      <c r="M71" s="525"/>
      <c r="N71" s="514">
        <f t="shared" si="2"/>
        <v>0</v>
      </c>
      <c r="O71" s="514">
        <f t="shared" si="3"/>
        <v>0</v>
      </c>
      <c r="P71" s="272"/>
    </row>
    <row r="72" spans="2:16" ht="13.5" thickBot="1">
      <c r="B72" s="195" t="str">
        <f t="shared" si="5"/>
        <v/>
      </c>
      <c r="C72" s="527">
        <f>IF(D11="","-",+C71+1)</f>
        <v>2074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10"/>
        <v>0</v>
      </c>
      <c r="G72" s="530">
        <f t="shared" si="11"/>
        <v>0</v>
      </c>
      <c r="H72" s="471">
        <f t="shared" si="12"/>
        <v>0</v>
      </c>
      <c r="I72" s="531">
        <f t="shared" si="0"/>
        <v>0</v>
      </c>
      <c r="J72" s="511"/>
      <c r="K72" s="532"/>
      <c r="L72" s="533">
        <f t="shared" si="1"/>
        <v>0</v>
      </c>
      <c r="M72" s="532"/>
      <c r="N72" s="533">
        <f t="shared" si="2"/>
        <v>0</v>
      </c>
      <c r="O72" s="533">
        <f t="shared" si="3"/>
        <v>0</v>
      </c>
      <c r="P72" s="272"/>
    </row>
    <row r="73" spans="2:16">
      <c r="C73" s="374" t="s">
        <v>78</v>
      </c>
      <c r="D73" s="375"/>
      <c r="E73" s="375">
        <f>SUM(E17:E72)</f>
        <v>3820523.9999999995</v>
      </c>
      <c r="F73" s="375"/>
      <c r="G73" s="375">
        <f>SUM(G17:G72)</f>
        <v>13848346.126359982</v>
      </c>
      <c r="H73" s="375">
        <f>SUM(H17:H72)</f>
        <v>13848346.126359982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2:16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2:16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2:16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2:16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272"/>
      <c r="P77" s="272"/>
    </row>
    <row r="78" spans="2:16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2:16"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  <c r="O79" s="269"/>
      <c r="P79" s="269"/>
    </row>
    <row r="80" spans="2:16" ht="18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6">
      <c r="B81" s="269"/>
      <c r="C81" s="340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6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</row>
    <row r="83" spans="1:16" ht="20.25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451" t="str">
        <f ca="1">P1</f>
        <v>SWEPCO Project 73 of 75</v>
      </c>
    </row>
    <row r="84" spans="1:16" ht="18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538" t="s">
        <v>128</v>
      </c>
    </row>
    <row r="85" spans="1:16" ht="18.7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</row>
    <row r="86" spans="1:16" ht="15.75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2022</v>
      </c>
      <c r="M86" s="541" t="s">
        <v>9</v>
      </c>
      <c r="N86" s="542" t="s">
        <v>159</v>
      </c>
      <c r="O86" s="543" t="s">
        <v>11</v>
      </c>
      <c r="P86" s="269"/>
    </row>
    <row r="87" spans="1:16" ht="1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391</v>
      </c>
      <c r="M87" s="546">
        <f>IF(J92&lt;D11,0,VLOOKUP(J92,C17:O72,9))</f>
        <v>493748.99039861257</v>
      </c>
      <c r="N87" s="546">
        <f>IF(J92&lt;D11,0,VLOOKUP(J92,C17:O72,11))</f>
        <v>493748.99039861257</v>
      </c>
      <c r="O87" s="547">
        <f>+N87-M87</f>
        <v>0</v>
      </c>
      <c r="P87" s="269"/>
    </row>
    <row r="88" spans="1:16" ht="15.7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392</v>
      </c>
      <c r="M88" s="550">
        <f>IF(J92&lt;D11,0,VLOOKUP(J92,C99:P154,6))</f>
        <v>511863.29369430547</v>
      </c>
      <c r="N88" s="550">
        <f>IF(J92&lt;D11,0,VLOOKUP(J92,C99:P154,7))</f>
        <v>511863.29369430547</v>
      </c>
      <c r="O88" s="551">
        <f>+N88-M88</f>
        <v>0</v>
      </c>
      <c r="P88" s="269"/>
    </row>
    <row r="89" spans="1:16" ht="13.5" thickBot="1">
      <c r="C89" s="467" t="s">
        <v>84</v>
      </c>
      <c r="D89" s="552" t="str">
        <f>+D7</f>
        <v>Siloam Springs - Siloam Springs City 161 kV Rebuild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18114.303295692895</v>
      </c>
      <c r="N89" s="555">
        <f>+N88-N87</f>
        <v>18114.303295692895</v>
      </c>
      <c r="O89" s="556">
        <f>+O88-O87</f>
        <v>0</v>
      </c>
      <c r="P89" s="269"/>
    </row>
    <row r="90" spans="1:16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</row>
    <row r="91" spans="1:16" ht="13.5" thickBot="1">
      <c r="A91" s="191"/>
      <c r="C91" s="558" t="s">
        <v>85</v>
      </c>
      <c r="D91" s="559" t="str">
        <f>+D9</f>
        <v>TP2017010</v>
      </c>
      <c r="E91" s="560"/>
      <c r="F91" s="560"/>
      <c r="G91" s="560"/>
      <c r="H91" s="560"/>
      <c r="I91" s="560"/>
      <c r="J91" s="560"/>
      <c r="K91" s="562"/>
      <c r="P91" s="481"/>
    </row>
    <row r="92" spans="1:16">
      <c r="C92" s="486" t="s">
        <v>51</v>
      </c>
      <c r="D92" s="564">
        <v>3813966</v>
      </c>
      <c r="E92" s="340" t="s">
        <v>86</v>
      </c>
      <c r="H92" s="484"/>
      <c r="I92" s="484"/>
      <c r="J92" s="485">
        <f>+'SWE.WS.G.BPU.ATRR.True-up'!M16</f>
        <v>2022</v>
      </c>
      <c r="K92" s="480"/>
      <c r="L92" s="375" t="s">
        <v>87</v>
      </c>
      <c r="P92" s="272"/>
    </row>
    <row r="93" spans="1:16">
      <c r="C93" s="486" t="s">
        <v>54</v>
      </c>
      <c r="D93" s="563">
        <f>+D11</f>
        <v>2019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</row>
    <row r="94" spans="1:16">
      <c r="C94" s="486" t="s">
        <v>56</v>
      </c>
      <c r="D94" s="564">
        <v>12</v>
      </c>
      <c r="E94" s="486" t="s">
        <v>57</v>
      </c>
      <c r="F94" s="484"/>
      <c r="G94" s="484"/>
      <c r="J94" s="490">
        <f>'SWE.WS.G.BPU.ATRR.True-up'!$F$81</f>
        <v>0.11351422637179906</v>
      </c>
      <c r="K94" s="425"/>
      <c r="L94" s="183" t="s">
        <v>88</v>
      </c>
      <c r="P94" s="272"/>
    </row>
    <row r="95" spans="1:16">
      <c r="C95" s="486" t="s">
        <v>59</v>
      </c>
      <c r="D95" s="488">
        <f>'SWE.WS.G.BPU.ATRR.True-up'!F$93</f>
        <v>41</v>
      </c>
      <c r="E95" s="486" t="s">
        <v>60</v>
      </c>
      <c r="F95" s="484"/>
      <c r="G95" s="484"/>
      <c r="J95" s="490">
        <f>IF(H87="",J94,'SWE.WS.G.BPU.ATRR.True-up'!$F$80)</f>
        <v>0.11351422637179906</v>
      </c>
      <c r="K95" s="324"/>
      <c r="L95" s="375" t="s">
        <v>61</v>
      </c>
      <c r="M95" s="324"/>
      <c r="N95" s="324"/>
      <c r="O95" s="324"/>
      <c r="P95" s="272"/>
    </row>
    <row r="96" spans="1:16" ht="13.5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93023.560975609755</v>
      </c>
      <c r="K96" s="375"/>
      <c r="L96" s="375"/>
      <c r="M96" s="375"/>
      <c r="N96" s="375"/>
      <c r="O96" s="375"/>
      <c r="P96" s="272"/>
    </row>
    <row r="97" spans="1:16" ht="51">
      <c r="A97" s="660"/>
      <c r="B97" s="660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388</v>
      </c>
      <c r="I97" s="495" t="s">
        <v>389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</row>
    <row r="98" spans="1:16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602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</row>
    <row r="99" spans="1:16">
      <c r="C99" s="507">
        <f>IF(D93= "","-",D93)</f>
        <v>2019</v>
      </c>
      <c r="D99" s="629">
        <v>0</v>
      </c>
      <c r="E99" s="630">
        <v>0</v>
      </c>
      <c r="F99" s="631">
        <v>3813966</v>
      </c>
      <c r="G99" s="631">
        <v>1906983</v>
      </c>
      <c r="H99" s="633">
        <v>204124.50256642039</v>
      </c>
      <c r="I99" s="634">
        <v>204124.50256642039</v>
      </c>
      <c r="J99" s="514">
        <f t="shared" ref="J99:J130" si="13">+I99-H99</f>
        <v>0</v>
      </c>
      <c r="K99" s="514"/>
      <c r="L99" s="512">
        <f>+H99</f>
        <v>204124.50256642039</v>
      </c>
      <c r="M99" s="513">
        <f t="shared" ref="M99:M100" si="14">IF(L99&lt;&gt;0,+H99-L99,0)</f>
        <v>0</v>
      </c>
      <c r="N99" s="512">
        <f>+I99</f>
        <v>204124.50256642039</v>
      </c>
      <c r="O99" s="513">
        <f t="shared" ref="O99:O130" si="15">IF(N99&lt;&gt;0,+I99-N99,0)</f>
        <v>0</v>
      </c>
      <c r="P99" s="513">
        <f t="shared" ref="P99:P130" si="16">+O99-M99</f>
        <v>0</v>
      </c>
    </row>
    <row r="100" spans="1:16">
      <c r="B100" s="195" t="str">
        <f>IF(D100=F99,"","IU")</f>
        <v/>
      </c>
      <c r="C100" s="507">
        <f>IF(D93="","-",+C99+1)</f>
        <v>2020</v>
      </c>
      <c r="D100" s="629">
        <v>3813966</v>
      </c>
      <c r="E100" s="630">
        <v>90808.71428571429</v>
      </c>
      <c r="F100" s="631">
        <v>3723157.2857142859</v>
      </c>
      <c r="G100" s="631">
        <v>3768561.6428571427</v>
      </c>
      <c r="H100" s="633">
        <v>496207.33322313288</v>
      </c>
      <c r="I100" s="634">
        <v>496207.33322313288</v>
      </c>
      <c r="J100" s="514">
        <f t="shared" si="13"/>
        <v>0</v>
      </c>
      <c r="K100" s="514"/>
      <c r="L100" s="655">
        <f>+H100</f>
        <v>496207.33322313288</v>
      </c>
      <c r="M100" s="514">
        <f t="shared" si="14"/>
        <v>0</v>
      </c>
      <c r="N100" s="655">
        <f>+I100</f>
        <v>496207.33322313288</v>
      </c>
      <c r="O100" s="514">
        <f t="shared" si="15"/>
        <v>0</v>
      </c>
      <c r="P100" s="514">
        <f t="shared" si="16"/>
        <v>0</v>
      </c>
    </row>
    <row r="101" spans="1:16">
      <c r="B101" s="195" t="str">
        <f t="shared" ref="B101:B154" si="17">IF(D101=F100,"","IU")</f>
        <v/>
      </c>
      <c r="C101" s="507">
        <f>IF(D93="","-",+C100+1)</f>
        <v>2021</v>
      </c>
      <c r="D101" s="629">
        <v>3723157.2857142859</v>
      </c>
      <c r="E101" s="630">
        <v>93023.560975609755</v>
      </c>
      <c r="F101" s="631">
        <v>3630133.7247386761</v>
      </c>
      <c r="G101" s="631">
        <v>3676645.5052264808</v>
      </c>
      <c r="H101" s="633">
        <v>510375.13114474603</v>
      </c>
      <c r="I101" s="634">
        <v>510375.13114474603</v>
      </c>
      <c r="J101" s="514">
        <f t="shared" si="13"/>
        <v>0</v>
      </c>
      <c r="K101" s="514"/>
      <c r="L101" s="655">
        <f>+H101</f>
        <v>510375.13114474603</v>
      </c>
      <c r="M101" s="514">
        <f t="shared" ref="M101" si="18">IF(L101&lt;&gt;0,+H101-L101,0)</f>
        <v>0</v>
      </c>
      <c r="N101" s="655">
        <f>+I101</f>
        <v>510375.13114474603</v>
      </c>
      <c r="O101" s="514">
        <f t="shared" ref="O101" si="19">IF(N101&lt;&gt;0,+I101-N101,0)</f>
        <v>0</v>
      </c>
      <c r="P101" s="514">
        <f t="shared" ref="P101" si="20">+O101-M101</f>
        <v>0</v>
      </c>
    </row>
    <row r="102" spans="1:16">
      <c r="B102" s="195" t="str">
        <f t="shared" si="17"/>
        <v/>
      </c>
      <c r="C102" s="673">
        <f>IF(D93="","-",+C101+1)</f>
        <v>2022</v>
      </c>
      <c r="D102" s="374">
        <v>3630133.7247386761</v>
      </c>
      <c r="E102" s="522">
        <v>90808.71428571429</v>
      </c>
      <c r="F102" s="523">
        <v>3539325.010452962</v>
      </c>
      <c r="G102" s="523">
        <v>3584729.3675958188</v>
      </c>
      <c r="H102" s="526">
        <v>511863.29369430547</v>
      </c>
      <c r="I102" s="577">
        <v>511863.29369430547</v>
      </c>
      <c r="J102" s="514">
        <f t="shared" si="13"/>
        <v>0</v>
      </c>
      <c r="K102" s="514"/>
      <c r="L102" s="525"/>
      <c r="M102" s="514">
        <f t="shared" ref="M102:M130" si="21">IF(L102&lt;&gt;0,+H102-L102,0)</f>
        <v>0</v>
      </c>
      <c r="N102" s="525"/>
      <c r="O102" s="514">
        <f t="shared" si="15"/>
        <v>0</v>
      </c>
      <c r="P102" s="514">
        <f t="shared" si="16"/>
        <v>0</v>
      </c>
    </row>
    <row r="103" spans="1:16">
      <c r="B103" s="195" t="str">
        <f t="shared" si="17"/>
        <v/>
      </c>
      <c r="C103" s="507">
        <f>IF(D93="","-",+C102+1)</f>
        <v>2023</v>
      </c>
      <c r="D103" s="374">
        <f>IF(F102+SUM(E$99:E102)=D$92,F102,D$92-SUM(E$99:E102))</f>
        <v>3539325.010452962</v>
      </c>
      <c r="E103" s="522">
        <f>IF(+J96&lt;F102,J96,D103)</f>
        <v>93023.560975609755</v>
      </c>
      <c r="F103" s="523">
        <f t="shared" ref="F103:F154" si="22">+D103-E103</f>
        <v>3446301.4494773522</v>
      </c>
      <c r="G103" s="523">
        <f t="shared" ref="G103:G154" si="23">+(F103+D103)/2</f>
        <v>3492813.2299651569</v>
      </c>
      <c r="H103" s="526">
        <f t="shared" ref="H103:H154" si="24">+J$94*G103+E103</f>
        <v>489507.55263628921</v>
      </c>
      <c r="I103" s="577">
        <f t="shared" ref="I103:I154" si="25">+J$95*G103+E103</f>
        <v>489507.55263628921</v>
      </c>
      <c r="J103" s="514">
        <f t="shared" si="13"/>
        <v>0</v>
      </c>
      <c r="K103" s="514"/>
      <c r="L103" s="525"/>
      <c r="M103" s="514">
        <f t="shared" si="21"/>
        <v>0</v>
      </c>
      <c r="N103" s="525"/>
      <c r="O103" s="514">
        <f t="shared" si="15"/>
        <v>0</v>
      </c>
      <c r="P103" s="514">
        <f t="shared" si="16"/>
        <v>0</v>
      </c>
    </row>
    <row r="104" spans="1:16">
      <c r="B104" s="195" t="str">
        <f t="shared" si="17"/>
        <v/>
      </c>
      <c r="C104" s="507">
        <f>IF(D93="","-",+C103+1)</f>
        <v>2024</v>
      </c>
      <c r="D104" s="374">
        <f>IF(F103+SUM(E$99:E103)=D$92,F103,D$92-SUM(E$99:E103))</f>
        <v>3446301.4494773522</v>
      </c>
      <c r="E104" s="522">
        <f>IF(+J96&lt;F103,J96,D104)</f>
        <v>93023.560975609755</v>
      </c>
      <c r="F104" s="523">
        <f t="shared" si="22"/>
        <v>3353277.8885017424</v>
      </c>
      <c r="G104" s="523">
        <f t="shared" si="23"/>
        <v>3399789.6689895475</v>
      </c>
      <c r="H104" s="526">
        <f t="shared" si="24"/>
        <v>478948.05507779302</v>
      </c>
      <c r="I104" s="577">
        <f t="shared" si="25"/>
        <v>478948.05507779302</v>
      </c>
      <c r="J104" s="514">
        <f t="shared" si="13"/>
        <v>0</v>
      </c>
      <c r="K104" s="514"/>
      <c r="L104" s="525"/>
      <c r="M104" s="514">
        <f t="shared" si="21"/>
        <v>0</v>
      </c>
      <c r="N104" s="525"/>
      <c r="O104" s="514">
        <f t="shared" si="15"/>
        <v>0</v>
      </c>
      <c r="P104" s="514">
        <f t="shared" si="16"/>
        <v>0</v>
      </c>
    </row>
    <row r="105" spans="1:16">
      <c r="B105" s="195" t="str">
        <f t="shared" si="17"/>
        <v/>
      </c>
      <c r="C105" s="507">
        <f>IF(D93="","-",+C104+1)</f>
        <v>2025</v>
      </c>
      <c r="D105" s="374">
        <f>IF(F104+SUM(E$99:E104)=D$92,F104,D$92-SUM(E$99:E104))</f>
        <v>3353277.8885017424</v>
      </c>
      <c r="E105" s="522">
        <f>IF(+J96&lt;F104,J96,D105)</f>
        <v>93023.560975609755</v>
      </c>
      <c r="F105" s="523">
        <f t="shared" si="22"/>
        <v>3260254.3275261326</v>
      </c>
      <c r="G105" s="523">
        <f t="shared" si="23"/>
        <v>3306766.1080139372</v>
      </c>
      <c r="H105" s="526">
        <f t="shared" si="24"/>
        <v>468388.55751929677</v>
      </c>
      <c r="I105" s="577">
        <f t="shared" si="25"/>
        <v>468388.55751929677</v>
      </c>
      <c r="J105" s="514">
        <f t="shared" si="13"/>
        <v>0</v>
      </c>
      <c r="K105" s="514"/>
      <c r="L105" s="525"/>
      <c r="M105" s="514">
        <f t="shared" si="21"/>
        <v>0</v>
      </c>
      <c r="N105" s="525"/>
      <c r="O105" s="514">
        <f t="shared" si="15"/>
        <v>0</v>
      </c>
      <c r="P105" s="514">
        <f t="shared" si="16"/>
        <v>0</v>
      </c>
    </row>
    <row r="106" spans="1:16">
      <c r="B106" s="195" t="str">
        <f t="shared" si="17"/>
        <v/>
      </c>
      <c r="C106" s="507">
        <f>IF(D93="","-",+C105+1)</f>
        <v>2026</v>
      </c>
      <c r="D106" s="374">
        <f>IF(F105+SUM(E$99:E105)=D$92,F105,D$92-SUM(E$99:E105))</f>
        <v>3260254.3275261326</v>
      </c>
      <c r="E106" s="522">
        <f>IF(+J96&lt;F105,J96,D106)</f>
        <v>93023.560975609755</v>
      </c>
      <c r="F106" s="523">
        <f t="shared" si="22"/>
        <v>3167230.7665505228</v>
      </c>
      <c r="G106" s="523">
        <f t="shared" si="23"/>
        <v>3213742.5470383279</v>
      </c>
      <c r="H106" s="526">
        <f t="shared" si="24"/>
        <v>457829.05996080057</v>
      </c>
      <c r="I106" s="577">
        <f t="shared" si="25"/>
        <v>457829.05996080057</v>
      </c>
      <c r="J106" s="514">
        <f t="shared" si="13"/>
        <v>0</v>
      </c>
      <c r="K106" s="514"/>
      <c r="L106" s="525"/>
      <c r="M106" s="514">
        <f t="shared" si="21"/>
        <v>0</v>
      </c>
      <c r="N106" s="525"/>
      <c r="O106" s="514">
        <f t="shared" si="15"/>
        <v>0</v>
      </c>
      <c r="P106" s="514">
        <f t="shared" si="16"/>
        <v>0</v>
      </c>
    </row>
    <row r="107" spans="1:16">
      <c r="B107" s="195" t="str">
        <f t="shared" si="17"/>
        <v/>
      </c>
      <c r="C107" s="507">
        <f>IF(D93="","-",+C106+1)</f>
        <v>2027</v>
      </c>
      <c r="D107" s="374">
        <f>IF(F106+SUM(E$99:E106)=D$92,F106,D$92-SUM(E$99:E106))</f>
        <v>3167230.7665505228</v>
      </c>
      <c r="E107" s="522">
        <f>IF(+J96&lt;F106,J96,D107)</f>
        <v>93023.560975609755</v>
      </c>
      <c r="F107" s="523">
        <f t="shared" si="22"/>
        <v>3074207.205574913</v>
      </c>
      <c r="G107" s="523">
        <f t="shared" si="23"/>
        <v>3120718.9860627176</v>
      </c>
      <c r="H107" s="526">
        <f t="shared" si="24"/>
        <v>447269.56240230432</v>
      </c>
      <c r="I107" s="577">
        <f t="shared" si="25"/>
        <v>447269.56240230432</v>
      </c>
      <c r="J107" s="514">
        <f t="shared" si="13"/>
        <v>0</v>
      </c>
      <c r="K107" s="514"/>
      <c r="L107" s="525"/>
      <c r="M107" s="514">
        <f t="shared" si="21"/>
        <v>0</v>
      </c>
      <c r="N107" s="525"/>
      <c r="O107" s="514">
        <f t="shared" si="15"/>
        <v>0</v>
      </c>
      <c r="P107" s="514">
        <f t="shared" si="16"/>
        <v>0</v>
      </c>
    </row>
    <row r="108" spans="1:16">
      <c r="B108" s="195" t="str">
        <f t="shared" si="17"/>
        <v/>
      </c>
      <c r="C108" s="507">
        <f>IF(D93="","-",+C107+1)</f>
        <v>2028</v>
      </c>
      <c r="D108" s="374">
        <f>IF(F107+SUM(E$99:E107)=D$92,F107,D$92-SUM(E$99:E107))</f>
        <v>3074207.205574913</v>
      </c>
      <c r="E108" s="522">
        <f>IF(+J96&lt;F107,J96,D108)</f>
        <v>93023.560975609755</v>
      </c>
      <c r="F108" s="523">
        <f t="shared" si="22"/>
        <v>2981183.6445993031</v>
      </c>
      <c r="G108" s="523">
        <f t="shared" si="23"/>
        <v>3027695.4250871083</v>
      </c>
      <c r="H108" s="526">
        <f t="shared" si="24"/>
        <v>436710.06484380813</v>
      </c>
      <c r="I108" s="577">
        <f t="shared" si="25"/>
        <v>436710.06484380813</v>
      </c>
      <c r="J108" s="514">
        <f t="shared" si="13"/>
        <v>0</v>
      </c>
      <c r="K108" s="514"/>
      <c r="L108" s="525"/>
      <c r="M108" s="514">
        <f t="shared" si="21"/>
        <v>0</v>
      </c>
      <c r="N108" s="525"/>
      <c r="O108" s="514">
        <f t="shared" si="15"/>
        <v>0</v>
      </c>
      <c r="P108" s="514">
        <f t="shared" si="16"/>
        <v>0</v>
      </c>
    </row>
    <row r="109" spans="1:16">
      <c r="B109" s="195" t="str">
        <f t="shared" si="17"/>
        <v/>
      </c>
      <c r="C109" s="507">
        <f>IF(D93="","-",+C108+1)</f>
        <v>2029</v>
      </c>
      <c r="D109" s="374">
        <f>IF(F108+SUM(E$99:E108)=D$92,F108,D$92-SUM(E$99:E108))</f>
        <v>2981183.6445993031</v>
      </c>
      <c r="E109" s="522">
        <f>IF(+J96&lt;F108,J96,D109)</f>
        <v>93023.560975609755</v>
      </c>
      <c r="F109" s="523">
        <f t="shared" si="22"/>
        <v>2888160.0836236933</v>
      </c>
      <c r="G109" s="523">
        <f t="shared" si="23"/>
        <v>2934671.864111498</v>
      </c>
      <c r="H109" s="526">
        <f t="shared" si="24"/>
        <v>426150.56728531187</v>
      </c>
      <c r="I109" s="577">
        <f t="shared" si="25"/>
        <v>426150.56728531187</v>
      </c>
      <c r="J109" s="514">
        <f t="shared" si="13"/>
        <v>0</v>
      </c>
      <c r="K109" s="514"/>
      <c r="L109" s="525"/>
      <c r="M109" s="514">
        <f t="shared" si="21"/>
        <v>0</v>
      </c>
      <c r="N109" s="525"/>
      <c r="O109" s="514">
        <f t="shared" si="15"/>
        <v>0</v>
      </c>
      <c r="P109" s="514">
        <f t="shared" si="16"/>
        <v>0</v>
      </c>
    </row>
    <row r="110" spans="1:16">
      <c r="B110" s="195" t="str">
        <f t="shared" si="17"/>
        <v/>
      </c>
      <c r="C110" s="507">
        <f>IF(D93="","-",+C109+1)</f>
        <v>2030</v>
      </c>
      <c r="D110" s="374">
        <f>IF(F109+SUM(E$99:E109)=D$92,F109,D$92-SUM(E$99:E109))</f>
        <v>2888160.0836236933</v>
      </c>
      <c r="E110" s="522">
        <f>IF(+J96&lt;F109,J96,D110)</f>
        <v>93023.560975609755</v>
      </c>
      <c r="F110" s="523">
        <f t="shared" si="22"/>
        <v>2795136.5226480835</v>
      </c>
      <c r="G110" s="523">
        <f t="shared" si="23"/>
        <v>2841648.3031358887</v>
      </c>
      <c r="H110" s="526">
        <f t="shared" si="24"/>
        <v>415591.06972681568</v>
      </c>
      <c r="I110" s="577">
        <f t="shared" si="25"/>
        <v>415591.06972681568</v>
      </c>
      <c r="J110" s="514">
        <f t="shared" si="13"/>
        <v>0</v>
      </c>
      <c r="K110" s="514"/>
      <c r="L110" s="525"/>
      <c r="M110" s="514">
        <f t="shared" si="21"/>
        <v>0</v>
      </c>
      <c r="N110" s="525"/>
      <c r="O110" s="514">
        <f t="shared" si="15"/>
        <v>0</v>
      </c>
      <c r="P110" s="514">
        <f t="shared" si="16"/>
        <v>0</v>
      </c>
    </row>
    <row r="111" spans="1:16">
      <c r="B111" s="195" t="str">
        <f t="shared" si="17"/>
        <v/>
      </c>
      <c r="C111" s="507">
        <f>IF(D93="","-",+C110+1)</f>
        <v>2031</v>
      </c>
      <c r="D111" s="374">
        <f>IF(F110+SUM(E$99:E110)=D$92,F110,D$92-SUM(E$99:E110))</f>
        <v>2795136.5226480835</v>
      </c>
      <c r="E111" s="522">
        <f>IF(+J96&lt;F110,J96,D111)</f>
        <v>93023.560975609755</v>
      </c>
      <c r="F111" s="523">
        <f t="shared" si="22"/>
        <v>2702112.9616724737</v>
      </c>
      <c r="G111" s="523">
        <f t="shared" si="23"/>
        <v>2748624.7421602784</v>
      </c>
      <c r="H111" s="526">
        <f t="shared" si="24"/>
        <v>405031.57216831943</v>
      </c>
      <c r="I111" s="577">
        <f t="shared" si="25"/>
        <v>405031.57216831943</v>
      </c>
      <c r="J111" s="514">
        <f t="shared" si="13"/>
        <v>0</v>
      </c>
      <c r="K111" s="514"/>
      <c r="L111" s="525"/>
      <c r="M111" s="514">
        <f t="shared" si="21"/>
        <v>0</v>
      </c>
      <c r="N111" s="525"/>
      <c r="O111" s="514">
        <f t="shared" si="15"/>
        <v>0</v>
      </c>
      <c r="P111" s="514">
        <f t="shared" si="16"/>
        <v>0</v>
      </c>
    </row>
    <row r="112" spans="1:16">
      <c r="B112" s="195" t="str">
        <f t="shared" si="17"/>
        <v/>
      </c>
      <c r="C112" s="507">
        <f>IF(D93="","-",+C111+1)</f>
        <v>2032</v>
      </c>
      <c r="D112" s="374">
        <f>IF(F111+SUM(E$99:E111)=D$92,F111,D$92-SUM(E$99:E111))</f>
        <v>2702112.9616724737</v>
      </c>
      <c r="E112" s="522">
        <f>IF(+J96&lt;F111,J96,D112)</f>
        <v>93023.560975609755</v>
      </c>
      <c r="F112" s="523">
        <f t="shared" si="22"/>
        <v>2609089.4006968639</v>
      </c>
      <c r="G112" s="523">
        <f t="shared" si="23"/>
        <v>2655601.181184669</v>
      </c>
      <c r="H112" s="526">
        <f t="shared" si="24"/>
        <v>394472.07460982323</v>
      </c>
      <c r="I112" s="577">
        <f t="shared" si="25"/>
        <v>394472.07460982323</v>
      </c>
      <c r="J112" s="514">
        <f t="shared" si="13"/>
        <v>0</v>
      </c>
      <c r="K112" s="514"/>
      <c r="L112" s="525"/>
      <c r="M112" s="514">
        <f t="shared" si="21"/>
        <v>0</v>
      </c>
      <c r="N112" s="525"/>
      <c r="O112" s="514">
        <f t="shared" si="15"/>
        <v>0</v>
      </c>
      <c r="P112" s="514">
        <f t="shared" si="16"/>
        <v>0</v>
      </c>
    </row>
    <row r="113" spans="2:16">
      <c r="B113" s="195" t="str">
        <f t="shared" si="17"/>
        <v/>
      </c>
      <c r="C113" s="507">
        <f>IF(D93="","-",+C112+1)</f>
        <v>2033</v>
      </c>
      <c r="D113" s="374">
        <f>IF(F112+SUM(E$99:E112)=D$92,F112,D$92-SUM(E$99:E112))</f>
        <v>2609089.4006968639</v>
      </c>
      <c r="E113" s="522">
        <f>IF(+J96&lt;F112,J96,D113)</f>
        <v>93023.560975609755</v>
      </c>
      <c r="F113" s="523">
        <f t="shared" si="22"/>
        <v>2516065.8397212541</v>
      </c>
      <c r="G113" s="523">
        <f t="shared" si="23"/>
        <v>2562577.6202090587</v>
      </c>
      <c r="H113" s="526">
        <f t="shared" si="24"/>
        <v>383912.57705132698</v>
      </c>
      <c r="I113" s="577">
        <f t="shared" si="25"/>
        <v>383912.57705132698</v>
      </c>
      <c r="J113" s="514">
        <f t="shared" si="13"/>
        <v>0</v>
      </c>
      <c r="K113" s="514"/>
      <c r="L113" s="525"/>
      <c r="M113" s="514">
        <f t="shared" si="21"/>
        <v>0</v>
      </c>
      <c r="N113" s="525"/>
      <c r="O113" s="514">
        <f t="shared" si="15"/>
        <v>0</v>
      </c>
      <c r="P113" s="514">
        <f t="shared" si="16"/>
        <v>0</v>
      </c>
    </row>
    <row r="114" spans="2:16">
      <c r="B114" s="195" t="str">
        <f t="shared" si="17"/>
        <v/>
      </c>
      <c r="C114" s="507">
        <f>IF(D93="","-",+C113+1)</f>
        <v>2034</v>
      </c>
      <c r="D114" s="374">
        <f>IF(F113+SUM(E$99:E113)=D$92,F113,D$92-SUM(E$99:E113))</f>
        <v>2516065.8397212541</v>
      </c>
      <c r="E114" s="522">
        <f>IF(+J96&lt;F113,J96,D114)</f>
        <v>93023.560975609755</v>
      </c>
      <c r="F114" s="523">
        <f t="shared" si="22"/>
        <v>2423042.2787456443</v>
      </c>
      <c r="G114" s="523">
        <f t="shared" si="23"/>
        <v>2469554.0592334494</v>
      </c>
      <c r="H114" s="526">
        <f t="shared" si="24"/>
        <v>373353.07949283079</v>
      </c>
      <c r="I114" s="577">
        <f t="shared" si="25"/>
        <v>373353.07949283079</v>
      </c>
      <c r="J114" s="514">
        <f t="shared" si="13"/>
        <v>0</v>
      </c>
      <c r="K114" s="514"/>
      <c r="L114" s="525"/>
      <c r="M114" s="514">
        <f t="shared" si="21"/>
        <v>0</v>
      </c>
      <c r="N114" s="525"/>
      <c r="O114" s="514">
        <f t="shared" si="15"/>
        <v>0</v>
      </c>
      <c r="P114" s="514">
        <f t="shared" si="16"/>
        <v>0</v>
      </c>
    </row>
    <row r="115" spans="2:16">
      <c r="B115" s="195" t="str">
        <f t="shared" si="17"/>
        <v/>
      </c>
      <c r="C115" s="507">
        <f>IF(D93="","-",+C114+1)</f>
        <v>2035</v>
      </c>
      <c r="D115" s="374">
        <f>IF(F114+SUM(E$99:E114)=D$92,F114,D$92-SUM(E$99:E114))</f>
        <v>2423042.2787456443</v>
      </c>
      <c r="E115" s="522">
        <f>IF(+J96&lt;F114,J96,D115)</f>
        <v>93023.560975609755</v>
      </c>
      <c r="F115" s="523">
        <f t="shared" si="22"/>
        <v>2330018.7177700344</v>
      </c>
      <c r="G115" s="523">
        <f t="shared" si="23"/>
        <v>2376530.4982578391</v>
      </c>
      <c r="H115" s="526">
        <f t="shared" si="24"/>
        <v>362793.58193433454</v>
      </c>
      <c r="I115" s="577">
        <f t="shared" si="25"/>
        <v>362793.58193433454</v>
      </c>
      <c r="J115" s="514">
        <f t="shared" si="13"/>
        <v>0</v>
      </c>
      <c r="K115" s="514"/>
      <c r="L115" s="525"/>
      <c r="M115" s="514">
        <f t="shared" si="21"/>
        <v>0</v>
      </c>
      <c r="N115" s="525"/>
      <c r="O115" s="514">
        <f t="shared" si="15"/>
        <v>0</v>
      </c>
      <c r="P115" s="514">
        <f t="shared" si="16"/>
        <v>0</v>
      </c>
    </row>
    <row r="116" spans="2:16">
      <c r="B116" s="195" t="str">
        <f t="shared" si="17"/>
        <v/>
      </c>
      <c r="C116" s="507">
        <f>IF(D93="","-",+C115+1)</f>
        <v>2036</v>
      </c>
      <c r="D116" s="374">
        <f>IF(F115+SUM(E$99:E115)=D$92,F115,D$92-SUM(E$99:E115))</f>
        <v>2330018.7177700344</v>
      </c>
      <c r="E116" s="522">
        <f>IF(+J96&lt;F115,J96,D116)</f>
        <v>93023.560975609755</v>
      </c>
      <c r="F116" s="523">
        <f t="shared" si="22"/>
        <v>2236995.1567944246</v>
      </c>
      <c r="G116" s="523">
        <f t="shared" si="23"/>
        <v>2283506.9372822298</v>
      </c>
      <c r="H116" s="526">
        <f t="shared" si="24"/>
        <v>352234.08437583834</v>
      </c>
      <c r="I116" s="577">
        <f t="shared" si="25"/>
        <v>352234.08437583834</v>
      </c>
      <c r="J116" s="514">
        <f t="shared" si="13"/>
        <v>0</v>
      </c>
      <c r="K116" s="514"/>
      <c r="L116" s="525"/>
      <c r="M116" s="514">
        <f t="shared" si="21"/>
        <v>0</v>
      </c>
      <c r="N116" s="525"/>
      <c r="O116" s="514">
        <f t="shared" si="15"/>
        <v>0</v>
      </c>
      <c r="P116" s="514">
        <f t="shared" si="16"/>
        <v>0</v>
      </c>
    </row>
    <row r="117" spans="2:16">
      <c r="B117" s="195" t="str">
        <f t="shared" si="17"/>
        <v/>
      </c>
      <c r="C117" s="507">
        <f>IF(D93="","-",+C116+1)</f>
        <v>2037</v>
      </c>
      <c r="D117" s="374">
        <f>IF(F116+SUM(E$99:E116)=D$92,F116,D$92-SUM(E$99:E116))</f>
        <v>2236995.1567944246</v>
      </c>
      <c r="E117" s="522">
        <f>IF(+J96&lt;F116,J96,D117)</f>
        <v>93023.560975609755</v>
      </c>
      <c r="F117" s="523">
        <f t="shared" si="22"/>
        <v>2143971.5958188148</v>
      </c>
      <c r="G117" s="523">
        <f t="shared" si="23"/>
        <v>2190483.3763066195</v>
      </c>
      <c r="H117" s="526">
        <f t="shared" si="24"/>
        <v>341674.58681734209</v>
      </c>
      <c r="I117" s="577">
        <f t="shared" si="25"/>
        <v>341674.58681734209</v>
      </c>
      <c r="J117" s="514">
        <f t="shared" si="13"/>
        <v>0</v>
      </c>
      <c r="K117" s="514"/>
      <c r="L117" s="525"/>
      <c r="M117" s="514">
        <f t="shared" si="21"/>
        <v>0</v>
      </c>
      <c r="N117" s="525"/>
      <c r="O117" s="514">
        <f t="shared" si="15"/>
        <v>0</v>
      </c>
      <c r="P117" s="514">
        <f t="shared" si="16"/>
        <v>0</v>
      </c>
    </row>
    <row r="118" spans="2:16">
      <c r="B118" s="195" t="str">
        <f t="shared" si="17"/>
        <v/>
      </c>
      <c r="C118" s="507">
        <f>IF(D93="","-",+C117+1)</f>
        <v>2038</v>
      </c>
      <c r="D118" s="374">
        <f>IF(F117+SUM(E$99:E117)=D$92,F117,D$92-SUM(E$99:E117))</f>
        <v>2143971.5958188148</v>
      </c>
      <c r="E118" s="522">
        <f>IF(+J96&lt;F117,J96,D118)</f>
        <v>93023.560975609755</v>
      </c>
      <c r="F118" s="523">
        <f t="shared" si="22"/>
        <v>2050948.034843205</v>
      </c>
      <c r="G118" s="523">
        <f t="shared" si="23"/>
        <v>2097459.8153310101</v>
      </c>
      <c r="H118" s="526">
        <f t="shared" si="24"/>
        <v>331115.0892588459</v>
      </c>
      <c r="I118" s="577">
        <f t="shared" si="25"/>
        <v>331115.0892588459</v>
      </c>
      <c r="J118" s="514">
        <f t="shared" si="13"/>
        <v>0</v>
      </c>
      <c r="K118" s="514"/>
      <c r="L118" s="525"/>
      <c r="M118" s="514">
        <f t="shared" si="21"/>
        <v>0</v>
      </c>
      <c r="N118" s="525"/>
      <c r="O118" s="514">
        <f t="shared" si="15"/>
        <v>0</v>
      </c>
      <c r="P118" s="514">
        <f t="shared" si="16"/>
        <v>0</v>
      </c>
    </row>
    <row r="119" spans="2:16">
      <c r="B119" s="195" t="str">
        <f t="shared" si="17"/>
        <v/>
      </c>
      <c r="C119" s="507">
        <f>IF(D93="","-",+C118+1)</f>
        <v>2039</v>
      </c>
      <c r="D119" s="374">
        <f>IF(F118+SUM(E$99:E118)=D$92,F118,D$92-SUM(E$99:E118))</f>
        <v>2050948.034843205</v>
      </c>
      <c r="E119" s="522">
        <f>IF(+J96&lt;F118,J96,D119)</f>
        <v>93023.560975609755</v>
      </c>
      <c r="F119" s="523">
        <f t="shared" si="22"/>
        <v>1957924.4738675952</v>
      </c>
      <c r="G119" s="523">
        <f t="shared" si="23"/>
        <v>2004436.2543554001</v>
      </c>
      <c r="H119" s="526">
        <f t="shared" si="24"/>
        <v>320555.59170034964</v>
      </c>
      <c r="I119" s="577">
        <f t="shared" si="25"/>
        <v>320555.59170034964</v>
      </c>
      <c r="J119" s="514">
        <f t="shared" si="13"/>
        <v>0</v>
      </c>
      <c r="K119" s="514"/>
      <c r="L119" s="525"/>
      <c r="M119" s="514">
        <f t="shared" si="21"/>
        <v>0</v>
      </c>
      <c r="N119" s="525"/>
      <c r="O119" s="514">
        <f t="shared" si="15"/>
        <v>0</v>
      </c>
      <c r="P119" s="514">
        <f t="shared" si="16"/>
        <v>0</v>
      </c>
    </row>
    <row r="120" spans="2:16">
      <c r="B120" s="195" t="str">
        <f t="shared" si="17"/>
        <v/>
      </c>
      <c r="C120" s="507">
        <f>IF(D93="","-",+C119+1)</f>
        <v>2040</v>
      </c>
      <c r="D120" s="374">
        <f>IF(F119+SUM(E$99:E119)=D$92,F119,D$92-SUM(E$99:E119))</f>
        <v>1957924.4738675952</v>
      </c>
      <c r="E120" s="522">
        <f>IF(+J96&lt;F119,J96,D120)</f>
        <v>93023.560975609755</v>
      </c>
      <c r="F120" s="523">
        <f t="shared" si="22"/>
        <v>1864900.9128919854</v>
      </c>
      <c r="G120" s="523">
        <f t="shared" si="23"/>
        <v>1911412.6933797903</v>
      </c>
      <c r="H120" s="526">
        <f t="shared" si="24"/>
        <v>309996.09414185339</v>
      </c>
      <c r="I120" s="577">
        <f t="shared" si="25"/>
        <v>309996.09414185339</v>
      </c>
      <c r="J120" s="514">
        <f t="shared" si="13"/>
        <v>0</v>
      </c>
      <c r="K120" s="514"/>
      <c r="L120" s="525"/>
      <c r="M120" s="514">
        <f t="shared" si="21"/>
        <v>0</v>
      </c>
      <c r="N120" s="525"/>
      <c r="O120" s="514">
        <f t="shared" si="15"/>
        <v>0</v>
      </c>
      <c r="P120" s="514">
        <f t="shared" si="16"/>
        <v>0</v>
      </c>
    </row>
    <row r="121" spans="2:16">
      <c r="B121" s="195" t="str">
        <f t="shared" si="17"/>
        <v/>
      </c>
      <c r="C121" s="507">
        <f>IF(D93="","-",+C120+1)</f>
        <v>2041</v>
      </c>
      <c r="D121" s="374">
        <f>IF(F120+SUM(E$99:E120)=D$92,F120,D$92-SUM(E$99:E120))</f>
        <v>1864900.9128919854</v>
      </c>
      <c r="E121" s="522">
        <f>IF(+J96&lt;F120,J96,D121)</f>
        <v>93023.560975609755</v>
      </c>
      <c r="F121" s="523">
        <f t="shared" si="22"/>
        <v>1771877.3519163756</v>
      </c>
      <c r="G121" s="523">
        <f t="shared" si="23"/>
        <v>1818389.1324041805</v>
      </c>
      <c r="H121" s="526">
        <f t="shared" si="24"/>
        <v>299436.5965833572</v>
      </c>
      <c r="I121" s="577">
        <f t="shared" si="25"/>
        <v>299436.5965833572</v>
      </c>
      <c r="J121" s="514">
        <f t="shared" si="13"/>
        <v>0</v>
      </c>
      <c r="K121" s="514"/>
      <c r="L121" s="525"/>
      <c r="M121" s="514">
        <f t="shared" si="21"/>
        <v>0</v>
      </c>
      <c r="N121" s="525"/>
      <c r="O121" s="514">
        <f t="shared" si="15"/>
        <v>0</v>
      </c>
      <c r="P121" s="514">
        <f t="shared" si="16"/>
        <v>0</v>
      </c>
    </row>
    <row r="122" spans="2:16">
      <c r="B122" s="195" t="str">
        <f t="shared" si="17"/>
        <v/>
      </c>
      <c r="C122" s="507">
        <f>IF(D93="","-",+C121+1)</f>
        <v>2042</v>
      </c>
      <c r="D122" s="374">
        <f>IF(F121+SUM(E$99:E121)=D$92,F121,D$92-SUM(E$99:E121))</f>
        <v>1771877.3519163756</v>
      </c>
      <c r="E122" s="522">
        <f>IF(+J96&lt;F121,J96,D122)</f>
        <v>93023.560975609755</v>
      </c>
      <c r="F122" s="523">
        <f t="shared" si="22"/>
        <v>1678853.7909407658</v>
      </c>
      <c r="G122" s="523">
        <f t="shared" si="23"/>
        <v>1725365.5714285707</v>
      </c>
      <c r="H122" s="526">
        <f t="shared" si="24"/>
        <v>288877.099024861</v>
      </c>
      <c r="I122" s="577">
        <f t="shared" si="25"/>
        <v>288877.099024861</v>
      </c>
      <c r="J122" s="514">
        <f t="shared" si="13"/>
        <v>0</v>
      </c>
      <c r="K122" s="514"/>
      <c r="L122" s="525"/>
      <c r="M122" s="514">
        <f t="shared" si="21"/>
        <v>0</v>
      </c>
      <c r="N122" s="525"/>
      <c r="O122" s="514">
        <f t="shared" si="15"/>
        <v>0</v>
      </c>
      <c r="P122" s="514">
        <f t="shared" si="16"/>
        <v>0</v>
      </c>
    </row>
    <row r="123" spans="2:16">
      <c r="B123" s="195" t="str">
        <f t="shared" si="17"/>
        <v/>
      </c>
      <c r="C123" s="507">
        <f>IF(D93="","-",+C122+1)</f>
        <v>2043</v>
      </c>
      <c r="D123" s="374">
        <f>IF(F122+SUM(E$99:E122)=D$92,F122,D$92-SUM(E$99:E122))</f>
        <v>1678853.7909407658</v>
      </c>
      <c r="E123" s="522">
        <f>IF(+J96&lt;F122,J96,D123)</f>
        <v>93023.560975609755</v>
      </c>
      <c r="F123" s="523">
        <f t="shared" si="22"/>
        <v>1585830.2299651559</v>
      </c>
      <c r="G123" s="523">
        <f t="shared" si="23"/>
        <v>1632342.0104529609</v>
      </c>
      <c r="H123" s="526">
        <f t="shared" si="24"/>
        <v>278317.60146636475</v>
      </c>
      <c r="I123" s="577">
        <f t="shared" si="25"/>
        <v>278317.60146636475</v>
      </c>
      <c r="J123" s="514">
        <f t="shared" si="13"/>
        <v>0</v>
      </c>
      <c r="K123" s="514"/>
      <c r="L123" s="525"/>
      <c r="M123" s="514">
        <f t="shared" si="21"/>
        <v>0</v>
      </c>
      <c r="N123" s="525"/>
      <c r="O123" s="514">
        <f t="shared" si="15"/>
        <v>0</v>
      </c>
      <c r="P123" s="514">
        <f t="shared" si="16"/>
        <v>0</v>
      </c>
    </row>
    <row r="124" spans="2:16">
      <c r="B124" s="195" t="str">
        <f t="shared" si="17"/>
        <v/>
      </c>
      <c r="C124" s="507">
        <f>IF(D93="","-",+C123+1)</f>
        <v>2044</v>
      </c>
      <c r="D124" s="374">
        <f>IF(F123+SUM(E$99:E123)=D$92,F123,D$92-SUM(E$99:E123))</f>
        <v>1585830.2299651559</v>
      </c>
      <c r="E124" s="522">
        <f>IF(+J96&lt;F123,J96,D124)</f>
        <v>93023.560975609755</v>
      </c>
      <c r="F124" s="523">
        <f t="shared" si="22"/>
        <v>1492806.6689895461</v>
      </c>
      <c r="G124" s="523">
        <f t="shared" si="23"/>
        <v>1539318.449477351</v>
      </c>
      <c r="H124" s="526">
        <f t="shared" si="24"/>
        <v>267758.1039078685</v>
      </c>
      <c r="I124" s="577">
        <f t="shared" si="25"/>
        <v>267758.1039078685</v>
      </c>
      <c r="J124" s="514">
        <f t="shared" si="13"/>
        <v>0</v>
      </c>
      <c r="K124" s="514"/>
      <c r="L124" s="525"/>
      <c r="M124" s="514">
        <f t="shared" si="21"/>
        <v>0</v>
      </c>
      <c r="N124" s="525"/>
      <c r="O124" s="514">
        <f t="shared" si="15"/>
        <v>0</v>
      </c>
      <c r="P124" s="514">
        <f t="shared" si="16"/>
        <v>0</v>
      </c>
    </row>
    <row r="125" spans="2:16">
      <c r="B125" s="195" t="str">
        <f t="shared" si="17"/>
        <v/>
      </c>
      <c r="C125" s="507">
        <f>IF(D93="","-",+C124+1)</f>
        <v>2045</v>
      </c>
      <c r="D125" s="374">
        <f>IF(F124+SUM(E$99:E124)=D$92,F124,D$92-SUM(E$99:E124))</f>
        <v>1492806.6689895461</v>
      </c>
      <c r="E125" s="522">
        <f>IF(+J96&lt;F124,J96,D125)</f>
        <v>93023.560975609755</v>
      </c>
      <c r="F125" s="523">
        <f t="shared" si="22"/>
        <v>1399783.1080139363</v>
      </c>
      <c r="G125" s="523">
        <f t="shared" si="23"/>
        <v>1446294.8885017412</v>
      </c>
      <c r="H125" s="526">
        <f t="shared" si="24"/>
        <v>257198.60634937228</v>
      </c>
      <c r="I125" s="577">
        <f t="shared" si="25"/>
        <v>257198.60634937228</v>
      </c>
      <c r="J125" s="514">
        <f t="shared" si="13"/>
        <v>0</v>
      </c>
      <c r="K125" s="514"/>
      <c r="L125" s="525"/>
      <c r="M125" s="514">
        <f t="shared" si="21"/>
        <v>0</v>
      </c>
      <c r="N125" s="525"/>
      <c r="O125" s="514">
        <f t="shared" si="15"/>
        <v>0</v>
      </c>
      <c r="P125" s="514">
        <f t="shared" si="16"/>
        <v>0</v>
      </c>
    </row>
    <row r="126" spans="2:16">
      <c r="B126" s="195" t="str">
        <f t="shared" si="17"/>
        <v/>
      </c>
      <c r="C126" s="507">
        <f>IF(D93="","-",+C125+1)</f>
        <v>2046</v>
      </c>
      <c r="D126" s="374">
        <f>IF(F125+SUM(E$99:E125)=D$92,F125,D$92-SUM(E$99:E125))</f>
        <v>1399783.1080139363</v>
      </c>
      <c r="E126" s="522">
        <f>IF(+J96&lt;F125,J96,D126)</f>
        <v>93023.560975609755</v>
      </c>
      <c r="F126" s="523">
        <f t="shared" si="22"/>
        <v>1306759.5470383265</v>
      </c>
      <c r="G126" s="523">
        <f t="shared" si="23"/>
        <v>1353271.3275261314</v>
      </c>
      <c r="H126" s="526">
        <f t="shared" si="24"/>
        <v>246639.10879087605</v>
      </c>
      <c r="I126" s="577">
        <f t="shared" si="25"/>
        <v>246639.10879087605</v>
      </c>
      <c r="J126" s="514">
        <f t="shared" si="13"/>
        <v>0</v>
      </c>
      <c r="K126" s="514"/>
      <c r="L126" s="525"/>
      <c r="M126" s="514">
        <f t="shared" si="21"/>
        <v>0</v>
      </c>
      <c r="N126" s="525"/>
      <c r="O126" s="514">
        <f t="shared" si="15"/>
        <v>0</v>
      </c>
      <c r="P126" s="514">
        <f t="shared" si="16"/>
        <v>0</v>
      </c>
    </row>
    <row r="127" spans="2:16">
      <c r="B127" s="195" t="str">
        <f t="shared" si="17"/>
        <v/>
      </c>
      <c r="C127" s="507">
        <f>IF(D93="","-",+C126+1)</f>
        <v>2047</v>
      </c>
      <c r="D127" s="374">
        <f>IF(F126+SUM(E$99:E126)=D$92,F126,D$92-SUM(E$99:E126))</f>
        <v>1306759.5470383265</v>
      </c>
      <c r="E127" s="522">
        <f>IF(+J96&lt;F126,J96,D127)</f>
        <v>93023.560975609755</v>
      </c>
      <c r="F127" s="523">
        <f t="shared" si="22"/>
        <v>1213735.9860627167</v>
      </c>
      <c r="G127" s="523">
        <f t="shared" si="23"/>
        <v>1260247.7665505216</v>
      </c>
      <c r="H127" s="526">
        <f t="shared" si="24"/>
        <v>236079.61123237983</v>
      </c>
      <c r="I127" s="577">
        <f t="shared" si="25"/>
        <v>236079.61123237983</v>
      </c>
      <c r="J127" s="514">
        <f t="shared" si="13"/>
        <v>0</v>
      </c>
      <c r="K127" s="514"/>
      <c r="L127" s="525"/>
      <c r="M127" s="514">
        <f t="shared" si="21"/>
        <v>0</v>
      </c>
      <c r="N127" s="525"/>
      <c r="O127" s="514">
        <f t="shared" si="15"/>
        <v>0</v>
      </c>
      <c r="P127" s="514">
        <f t="shared" si="16"/>
        <v>0</v>
      </c>
    </row>
    <row r="128" spans="2:16">
      <c r="B128" s="195" t="str">
        <f t="shared" si="17"/>
        <v/>
      </c>
      <c r="C128" s="507">
        <f>IF(D93="","-",+C127+1)</f>
        <v>2048</v>
      </c>
      <c r="D128" s="374">
        <f>IF(F127+SUM(E$99:E127)=D$92,F127,D$92-SUM(E$99:E127))</f>
        <v>1213735.9860627167</v>
      </c>
      <c r="E128" s="522">
        <f>IF(+J96&lt;F127,J96,D128)</f>
        <v>93023.560975609755</v>
      </c>
      <c r="F128" s="523">
        <f t="shared" si="22"/>
        <v>1120712.4250871069</v>
      </c>
      <c r="G128" s="523">
        <f t="shared" si="23"/>
        <v>1167224.2055749118</v>
      </c>
      <c r="H128" s="526">
        <f t="shared" si="24"/>
        <v>225520.11367388361</v>
      </c>
      <c r="I128" s="577">
        <f t="shared" si="25"/>
        <v>225520.11367388361</v>
      </c>
      <c r="J128" s="514">
        <f t="shared" si="13"/>
        <v>0</v>
      </c>
      <c r="K128" s="514"/>
      <c r="L128" s="525"/>
      <c r="M128" s="514">
        <f t="shared" si="21"/>
        <v>0</v>
      </c>
      <c r="N128" s="525"/>
      <c r="O128" s="514">
        <f t="shared" si="15"/>
        <v>0</v>
      </c>
      <c r="P128" s="514">
        <f t="shared" si="16"/>
        <v>0</v>
      </c>
    </row>
    <row r="129" spans="2:16">
      <c r="B129" s="195" t="str">
        <f t="shared" si="17"/>
        <v/>
      </c>
      <c r="C129" s="507">
        <f>IF(D93="","-",+C128+1)</f>
        <v>2049</v>
      </c>
      <c r="D129" s="374">
        <f>IF(F128+SUM(E$99:E128)=D$92,F128,D$92-SUM(E$99:E128))</f>
        <v>1120712.4250871069</v>
      </c>
      <c r="E129" s="522">
        <f>IF(+J96&lt;F128,J96,D129)</f>
        <v>93023.560975609755</v>
      </c>
      <c r="F129" s="523">
        <f t="shared" si="22"/>
        <v>1027688.8641114971</v>
      </c>
      <c r="G129" s="523">
        <f t="shared" si="23"/>
        <v>1074200.644599302</v>
      </c>
      <c r="H129" s="526">
        <f t="shared" si="24"/>
        <v>214960.61611538738</v>
      </c>
      <c r="I129" s="577">
        <f t="shared" si="25"/>
        <v>214960.61611538738</v>
      </c>
      <c r="J129" s="514">
        <f t="shared" si="13"/>
        <v>0</v>
      </c>
      <c r="K129" s="514"/>
      <c r="L129" s="525"/>
      <c r="M129" s="514">
        <f t="shared" si="21"/>
        <v>0</v>
      </c>
      <c r="N129" s="525"/>
      <c r="O129" s="514">
        <f t="shared" si="15"/>
        <v>0</v>
      </c>
      <c r="P129" s="514">
        <f t="shared" si="16"/>
        <v>0</v>
      </c>
    </row>
    <row r="130" spans="2:16">
      <c r="B130" s="195" t="str">
        <f t="shared" si="17"/>
        <v/>
      </c>
      <c r="C130" s="507">
        <f>IF(D93="","-",+C129+1)</f>
        <v>2050</v>
      </c>
      <c r="D130" s="374">
        <f>IF(F129+SUM(E$99:E129)=D$92,F129,D$92-SUM(E$99:E129))</f>
        <v>1027688.8641114971</v>
      </c>
      <c r="E130" s="522">
        <f>IF(+J96&lt;F129,J96,D130)</f>
        <v>93023.560975609755</v>
      </c>
      <c r="F130" s="523">
        <f t="shared" si="22"/>
        <v>934665.30313588725</v>
      </c>
      <c r="G130" s="523">
        <f t="shared" si="23"/>
        <v>981177.08362369216</v>
      </c>
      <c r="H130" s="526">
        <f t="shared" si="24"/>
        <v>204401.11855689116</v>
      </c>
      <c r="I130" s="577">
        <f t="shared" si="25"/>
        <v>204401.11855689116</v>
      </c>
      <c r="J130" s="514">
        <f t="shared" si="13"/>
        <v>0</v>
      </c>
      <c r="K130" s="514"/>
      <c r="L130" s="525"/>
      <c r="M130" s="514">
        <f t="shared" si="21"/>
        <v>0</v>
      </c>
      <c r="N130" s="525"/>
      <c r="O130" s="514">
        <f t="shared" si="15"/>
        <v>0</v>
      </c>
      <c r="P130" s="514">
        <f t="shared" si="16"/>
        <v>0</v>
      </c>
    </row>
    <row r="131" spans="2:16">
      <c r="B131" s="195" t="str">
        <f t="shared" si="17"/>
        <v/>
      </c>
      <c r="C131" s="507">
        <f>IF(D93="","-",+C130+1)</f>
        <v>2051</v>
      </c>
      <c r="D131" s="374">
        <f>IF(F130+SUM(E$99:E130)=D$92,F130,D$92-SUM(E$99:E130))</f>
        <v>934665.30313588725</v>
      </c>
      <c r="E131" s="522">
        <f>IF(+J96&lt;F130,J96,D131)</f>
        <v>93023.560975609755</v>
      </c>
      <c r="F131" s="523">
        <f t="shared" si="22"/>
        <v>841641.74216027744</v>
      </c>
      <c r="G131" s="523">
        <f t="shared" si="23"/>
        <v>888153.52264808235</v>
      </c>
      <c r="H131" s="526">
        <f t="shared" si="24"/>
        <v>193841.62099839494</v>
      </c>
      <c r="I131" s="577">
        <f t="shared" si="25"/>
        <v>193841.62099839494</v>
      </c>
      <c r="J131" s="514">
        <f t="shared" ref="J131:J154" si="26">+I541-H541</f>
        <v>0</v>
      </c>
      <c r="K131" s="514"/>
      <c r="L131" s="525"/>
      <c r="M131" s="514">
        <f t="shared" ref="M131:M154" si="27">IF(L541&lt;&gt;0,+H541-L541,0)</f>
        <v>0</v>
      </c>
      <c r="N131" s="525"/>
      <c r="O131" s="514">
        <f t="shared" ref="O131:O154" si="28">IF(N541&lt;&gt;0,+I541-N541,0)</f>
        <v>0</v>
      </c>
      <c r="P131" s="514">
        <f t="shared" ref="P131:P154" si="29">+O541-M541</f>
        <v>0</v>
      </c>
    </row>
    <row r="132" spans="2:16">
      <c r="B132" s="195" t="str">
        <f t="shared" si="17"/>
        <v/>
      </c>
      <c r="C132" s="507">
        <f>IF(D93="","-",+C131+1)</f>
        <v>2052</v>
      </c>
      <c r="D132" s="374">
        <f>IF(F131+SUM(E$99:E131)=D$92,F131,D$92-SUM(E$99:E131))</f>
        <v>841641.74216027744</v>
      </c>
      <c r="E132" s="522">
        <f>IF(+J96&lt;F131,J96,D132)</f>
        <v>93023.560975609755</v>
      </c>
      <c r="F132" s="523">
        <f t="shared" si="22"/>
        <v>748618.18118466763</v>
      </c>
      <c r="G132" s="523">
        <f t="shared" si="23"/>
        <v>795129.96167247253</v>
      </c>
      <c r="H132" s="526">
        <f t="shared" si="24"/>
        <v>183282.12343989871</v>
      </c>
      <c r="I132" s="577">
        <f t="shared" si="25"/>
        <v>183282.12343989871</v>
      </c>
      <c r="J132" s="514">
        <f t="shared" si="26"/>
        <v>0</v>
      </c>
      <c r="K132" s="514"/>
      <c r="L132" s="525"/>
      <c r="M132" s="514">
        <f t="shared" si="27"/>
        <v>0</v>
      </c>
      <c r="N132" s="525"/>
      <c r="O132" s="514">
        <f t="shared" si="28"/>
        <v>0</v>
      </c>
      <c r="P132" s="514">
        <f t="shared" si="29"/>
        <v>0</v>
      </c>
    </row>
    <row r="133" spans="2:16">
      <c r="B133" s="195" t="str">
        <f t="shared" si="17"/>
        <v/>
      </c>
      <c r="C133" s="507">
        <f>IF(D93="","-",+C132+1)</f>
        <v>2053</v>
      </c>
      <c r="D133" s="374">
        <f>IF(F132+SUM(E$99:E132)=D$92,F132,D$92-SUM(E$99:E132))</f>
        <v>748618.18118466763</v>
      </c>
      <c r="E133" s="522">
        <f>IF(+J96&lt;F132,J96,D133)</f>
        <v>93023.560975609755</v>
      </c>
      <c r="F133" s="523">
        <f t="shared" si="22"/>
        <v>655594.62020905782</v>
      </c>
      <c r="G133" s="523">
        <f t="shared" si="23"/>
        <v>702106.40069686272</v>
      </c>
      <c r="H133" s="526">
        <f t="shared" si="24"/>
        <v>172722.62588140249</v>
      </c>
      <c r="I133" s="577">
        <f t="shared" si="25"/>
        <v>172722.62588140249</v>
      </c>
      <c r="J133" s="514">
        <f t="shared" si="26"/>
        <v>0</v>
      </c>
      <c r="K133" s="514"/>
      <c r="L133" s="525"/>
      <c r="M133" s="514">
        <f t="shared" si="27"/>
        <v>0</v>
      </c>
      <c r="N133" s="525"/>
      <c r="O133" s="514">
        <f t="shared" si="28"/>
        <v>0</v>
      </c>
      <c r="P133" s="514">
        <f t="shared" si="29"/>
        <v>0</v>
      </c>
    </row>
    <row r="134" spans="2:16">
      <c r="B134" s="195" t="str">
        <f t="shared" si="17"/>
        <v/>
      </c>
      <c r="C134" s="507">
        <f>IF(D93="","-",+C133+1)</f>
        <v>2054</v>
      </c>
      <c r="D134" s="374">
        <f>IF(F133+SUM(E$99:E133)=D$92,F133,D$92-SUM(E$99:E133))</f>
        <v>655594.62020905782</v>
      </c>
      <c r="E134" s="522">
        <f>IF(+J96&lt;F133,J96,D134)</f>
        <v>93023.560975609755</v>
      </c>
      <c r="F134" s="523">
        <f t="shared" si="22"/>
        <v>562571.059233448</v>
      </c>
      <c r="G134" s="523">
        <f t="shared" si="23"/>
        <v>609082.83972125291</v>
      </c>
      <c r="H134" s="526">
        <f t="shared" si="24"/>
        <v>162163.12832290627</v>
      </c>
      <c r="I134" s="577">
        <f t="shared" si="25"/>
        <v>162163.12832290627</v>
      </c>
      <c r="J134" s="514">
        <f t="shared" si="26"/>
        <v>0</v>
      </c>
      <c r="K134" s="514"/>
      <c r="L134" s="525"/>
      <c r="M134" s="514">
        <f t="shared" si="27"/>
        <v>0</v>
      </c>
      <c r="N134" s="525"/>
      <c r="O134" s="514">
        <f t="shared" si="28"/>
        <v>0</v>
      </c>
      <c r="P134" s="514">
        <f t="shared" si="29"/>
        <v>0</v>
      </c>
    </row>
    <row r="135" spans="2:16">
      <c r="B135" s="195" t="str">
        <f t="shared" si="17"/>
        <v/>
      </c>
      <c r="C135" s="507">
        <f>IF(D93="","-",+C134+1)</f>
        <v>2055</v>
      </c>
      <c r="D135" s="374">
        <f>IF(F134+SUM(E$99:E134)=D$92,F134,D$92-SUM(E$99:E134))</f>
        <v>562571.059233448</v>
      </c>
      <c r="E135" s="522">
        <f>IF(+J96&lt;F134,J96,D135)</f>
        <v>93023.560975609755</v>
      </c>
      <c r="F135" s="523">
        <f t="shared" si="22"/>
        <v>469547.49825783825</v>
      </c>
      <c r="G135" s="523">
        <f t="shared" si="23"/>
        <v>516059.2787456431</v>
      </c>
      <c r="H135" s="526">
        <f t="shared" si="24"/>
        <v>151603.63076441005</v>
      </c>
      <c r="I135" s="577">
        <f t="shared" si="25"/>
        <v>151603.63076441005</v>
      </c>
      <c r="J135" s="514">
        <f t="shared" si="26"/>
        <v>0</v>
      </c>
      <c r="K135" s="514"/>
      <c r="L135" s="525"/>
      <c r="M135" s="514">
        <f t="shared" si="27"/>
        <v>0</v>
      </c>
      <c r="N135" s="525"/>
      <c r="O135" s="514">
        <f t="shared" si="28"/>
        <v>0</v>
      </c>
      <c r="P135" s="514">
        <f t="shared" si="29"/>
        <v>0</v>
      </c>
    </row>
    <row r="136" spans="2:16">
      <c r="B136" s="195" t="str">
        <f t="shared" si="17"/>
        <v/>
      </c>
      <c r="C136" s="507">
        <f>IF(D93="","-",+C135+1)</f>
        <v>2056</v>
      </c>
      <c r="D136" s="374">
        <f>IF(F135+SUM(E$99:E135)=D$92,F135,D$92-SUM(E$99:E135))</f>
        <v>469547.49825783825</v>
      </c>
      <c r="E136" s="522">
        <f>IF(+J96&lt;F135,J96,D136)</f>
        <v>93023.560975609755</v>
      </c>
      <c r="F136" s="523">
        <f t="shared" si="22"/>
        <v>376523.93728222849</v>
      </c>
      <c r="G136" s="523">
        <f t="shared" si="23"/>
        <v>423035.7177700334</v>
      </c>
      <c r="H136" s="526">
        <f t="shared" si="24"/>
        <v>141044.13320591382</v>
      </c>
      <c r="I136" s="577">
        <f t="shared" si="25"/>
        <v>141044.13320591382</v>
      </c>
      <c r="J136" s="514">
        <f t="shared" si="26"/>
        <v>0</v>
      </c>
      <c r="K136" s="514"/>
      <c r="L136" s="525"/>
      <c r="M136" s="514">
        <f t="shared" si="27"/>
        <v>0</v>
      </c>
      <c r="N136" s="525"/>
      <c r="O136" s="514">
        <f t="shared" si="28"/>
        <v>0</v>
      </c>
      <c r="P136" s="514">
        <f t="shared" si="29"/>
        <v>0</v>
      </c>
    </row>
    <row r="137" spans="2:16">
      <c r="B137" s="195" t="str">
        <f t="shared" si="17"/>
        <v/>
      </c>
      <c r="C137" s="507">
        <f>IF(D93="","-",+C136+1)</f>
        <v>2057</v>
      </c>
      <c r="D137" s="374">
        <f>IF(F136+SUM(E$99:E136)=D$92,F136,D$92-SUM(E$99:E136))</f>
        <v>376523.93728222849</v>
      </c>
      <c r="E137" s="522">
        <f>IF(+J96&lt;F136,J96,D137)</f>
        <v>93023.560975609755</v>
      </c>
      <c r="F137" s="523">
        <f t="shared" si="22"/>
        <v>283500.37630661874</v>
      </c>
      <c r="G137" s="523">
        <f t="shared" si="23"/>
        <v>330012.15679442359</v>
      </c>
      <c r="H137" s="526">
        <f t="shared" si="24"/>
        <v>130484.6356474176</v>
      </c>
      <c r="I137" s="577">
        <f t="shared" si="25"/>
        <v>130484.6356474176</v>
      </c>
      <c r="J137" s="514">
        <f t="shared" si="26"/>
        <v>0</v>
      </c>
      <c r="K137" s="514"/>
      <c r="L137" s="525"/>
      <c r="M137" s="514">
        <f t="shared" si="27"/>
        <v>0</v>
      </c>
      <c r="N137" s="525"/>
      <c r="O137" s="514">
        <f t="shared" si="28"/>
        <v>0</v>
      </c>
      <c r="P137" s="514">
        <f t="shared" si="29"/>
        <v>0</v>
      </c>
    </row>
    <row r="138" spans="2:16">
      <c r="B138" s="195" t="str">
        <f t="shared" si="17"/>
        <v/>
      </c>
      <c r="C138" s="507">
        <f>IF(D93="","-",+C137+1)</f>
        <v>2058</v>
      </c>
      <c r="D138" s="374">
        <f>IF(F137+SUM(E$99:E137)=D$92,F137,D$92-SUM(E$99:E137))</f>
        <v>283500.37630661874</v>
      </c>
      <c r="E138" s="522">
        <f>IF(+J96&lt;F137,J96,D138)</f>
        <v>93023.560975609755</v>
      </c>
      <c r="F138" s="523">
        <f t="shared" si="22"/>
        <v>190476.81533100898</v>
      </c>
      <c r="G138" s="523">
        <f t="shared" si="23"/>
        <v>236988.59581881386</v>
      </c>
      <c r="H138" s="526">
        <f t="shared" si="24"/>
        <v>119925.13808892138</v>
      </c>
      <c r="I138" s="577">
        <f t="shared" si="25"/>
        <v>119925.13808892138</v>
      </c>
      <c r="J138" s="514">
        <f t="shared" si="26"/>
        <v>0</v>
      </c>
      <c r="K138" s="514"/>
      <c r="L138" s="525"/>
      <c r="M138" s="514">
        <f t="shared" si="27"/>
        <v>0</v>
      </c>
      <c r="N138" s="525"/>
      <c r="O138" s="514">
        <f t="shared" si="28"/>
        <v>0</v>
      </c>
      <c r="P138" s="514">
        <f t="shared" si="29"/>
        <v>0</v>
      </c>
    </row>
    <row r="139" spans="2:16">
      <c r="B139" s="195" t="str">
        <f t="shared" si="17"/>
        <v/>
      </c>
      <c r="C139" s="507">
        <f>IF(D93="","-",+C138+1)</f>
        <v>2059</v>
      </c>
      <c r="D139" s="374">
        <f>IF(F138+SUM(E$99:E138)=D$92,F138,D$92-SUM(E$99:E138))</f>
        <v>190476.81533100898</v>
      </c>
      <c r="E139" s="522">
        <f>IF(+J96&lt;F138,J96,D139)</f>
        <v>93023.560975609755</v>
      </c>
      <c r="F139" s="523">
        <f t="shared" si="22"/>
        <v>97453.254355399229</v>
      </c>
      <c r="G139" s="523">
        <f t="shared" si="23"/>
        <v>143965.03484320411</v>
      </c>
      <c r="H139" s="526">
        <f t="shared" si="24"/>
        <v>109365.64053042517</v>
      </c>
      <c r="I139" s="577">
        <f t="shared" si="25"/>
        <v>109365.64053042517</v>
      </c>
      <c r="J139" s="514">
        <f t="shared" si="26"/>
        <v>0</v>
      </c>
      <c r="K139" s="514"/>
      <c r="L139" s="525"/>
      <c r="M139" s="514">
        <f t="shared" si="27"/>
        <v>0</v>
      </c>
      <c r="N139" s="525"/>
      <c r="O139" s="514">
        <f t="shared" si="28"/>
        <v>0</v>
      </c>
      <c r="P139" s="514">
        <f t="shared" si="29"/>
        <v>0</v>
      </c>
    </row>
    <row r="140" spans="2:16">
      <c r="B140" s="195" t="str">
        <f t="shared" si="17"/>
        <v/>
      </c>
      <c r="C140" s="507">
        <f>IF(D93="","-",+C139+1)</f>
        <v>2060</v>
      </c>
      <c r="D140" s="374">
        <f>IF(F139+SUM(E$99:E139)=D$92,F139,D$92-SUM(E$99:E139))</f>
        <v>97453.254355399229</v>
      </c>
      <c r="E140" s="522">
        <f>IF(+J96&lt;F139,J96,D140)</f>
        <v>93023.560975609755</v>
      </c>
      <c r="F140" s="523">
        <f t="shared" si="22"/>
        <v>4429.6933797894744</v>
      </c>
      <c r="G140" s="523">
        <f t="shared" si="23"/>
        <v>50941.473867594352</v>
      </c>
      <c r="H140" s="526">
        <f t="shared" si="24"/>
        <v>98806.142971928944</v>
      </c>
      <c r="I140" s="577">
        <f t="shared" si="25"/>
        <v>98806.142971928944</v>
      </c>
      <c r="J140" s="514">
        <f t="shared" si="26"/>
        <v>0</v>
      </c>
      <c r="K140" s="514"/>
      <c r="L140" s="525"/>
      <c r="M140" s="514">
        <f t="shared" si="27"/>
        <v>0</v>
      </c>
      <c r="N140" s="525"/>
      <c r="O140" s="514">
        <f t="shared" si="28"/>
        <v>0</v>
      </c>
      <c r="P140" s="514">
        <f t="shared" si="29"/>
        <v>0</v>
      </c>
    </row>
    <row r="141" spans="2:16">
      <c r="B141" s="195" t="str">
        <f t="shared" si="17"/>
        <v/>
      </c>
      <c r="C141" s="507">
        <f>IF(D93="","-",+C140+1)</f>
        <v>2061</v>
      </c>
      <c r="D141" s="374">
        <f>IF(F140+SUM(E$99:E140)=D$92,F140,D$92-SUM(E$99:E140))</f>
        <v>4429.6933797894744</v>
      </c>
      <c r="E141" s="522">
        <f>IF(+J96&lt;F140,J96,D141)</f>
        <v>4429.6933797894744</v>
      </c>
      <c r="F141" s="523">
        <f t="shared" si="22"/>
        <v>0</v>
      </c>
      <c r="G141" s="523">
        <f t="shared" si="23"/>
        <v>2214.8466898947372</v>
      </c>
      <c r="H141" s="526">
        <f t="shared" si="24"/>
        <v>4681.1099883250154</v>
      </c>
      <c r="I141" s="577">
        <f t="shared" si="25"/>
        <v>4681.1099883250154</v>
      </c>
      <c r="J141" s="514">
        <f t="shared" si="26"/>
        <v>0</v>
      </c>
      <c r="K141" s="514"/>
      <c r="L141" s="525"/>
      <c r="M141" s="514">
        <f t="shared" si="27"/>
        <v>0</v>
      </c>
      <c r="N141" s="525"/>
      <c r="O141" s="514">
        <f t="shared" si="28"/>
        <v>0</v>
      </c>
      <c r="P141" s="514">
        <f t="shared" si="29"/>
        <v>0</v>
      </c>
    </row>
    <row r="142" spans="2:16">
      <c r="B142" s="195" t="str">
        <f t="shared" si="17"/>
        <v/>
      </c>
      <c r="C142" s="507">
        <f>IF(D93="","-",+C141+1)</f>
        <v>2062</v>
      </c>
      <c r="D142" s="374">
        <f>IF(F141+SUM(E$99:E141)=D$92,F141,D$92-SUM(E$99:E141))</f>
        <v>0</v>
      </c>
      <c r="E142" s="522">
        <f>IF(+J96&lt;F141,J96,D142)</f>
        <v>0</v>
      </c>
      <c r="F142" s="523">
        <f t="shared" si="22"/>
        <v>0</v>
      </c>
      <c r="G142" s="523">
        <f t="shared" si="23"/>
        <v>0</v>
      </c>
      <c r="H142" s="526">
        <f t="shared" si="24"/>
        <v>0</v>
      </c>
      <c r="I142" s="577">
        <f t="shared" si="25"/>
        <v>0</v>
      </c>
      <c r="J142" s="514">
        <f t="shared" si="26"/>
        <v>0</v>
      </c>
      <c r="K142" s="514"/>
      <c r="L142" s="525"/>
      <c r="M142" s="514">
        <f t="shared" si="27"/>
        <v>0</v>
      </c>
      <c r="N142" s="525"/>
      <c r="O142" s="514">
        <f t="shared" si="28"/>
        <v>0</v>
      </c>
      <c r="P142" s="514">
        <f t="shared" si="29"/>
        <v>0</v>
      </c>
    </row>
    <row r="143" spans="2:16">
      <c r="B143" s="195" t="str">
        <f t="shared" si="17"/>
        <v/>
      </c>
      <c r="C143" s="507">
        <f>IF(D93="","-",+C142+1)</f>
        <v>2063</v>
      </c>
      <c r="D143" s="374">
        <f>IF(F142+SUM(E$99:E142)=D$92,F142,D$92-SUM(E$99:E142))</f>
        <v>0</v>
      </c>
      <c r="E143" s="522">
        <f>IF(+J96&lt;F142,J96,D143)</f>
        <v>0</v>
      </c>
      <c r="F143" s="523">
        <f t="shared" si="22"/>
        <v>0</v>
      </c>
      <c r="G143" s="523">
        <f t="shared" si="23"/>
        <v>0</v>
      </c>
      <c r="H143" s="526">
        <f t="shared" si="24"/>
        <v>0</v>
      </c>
      <c r="I143" s="577">
        <f t="shared" si="25"/>
        <v>0</v>
      </c>
      <c r="J143" s="514">
        <f t="shared" si="26"/>
        <v>0</v>
      </c>
      <c r="K143" s="514"/>
      <c r="L143" s="525"/>
      <c r="M143" s="514">
        <f t="shared" si="27"/>
        <v>0</v>
      </c>
      <c r="N143" s="525"/>
      <c r="O143" s="514">
        <f t="shared" si="28"/>
        <v>0</v>
      </c>
      <c r="P143" s="514">
        <f t="shared" si="29"/>
        <v>0</v>
      </c>
    </row>
    <row r="144" spans="2:16">
      <c r="B144" s="195" t="str">
        <f t="shared" si="17"/>
        <v/>
      </c>
      <c r="C144" s="507">
        <f>IF(D93="","-",+C143+1)</f>
        <v>2064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22"/>
        <v>0</v>
      </c>
      <c r="G144" s="523">
        <f t="shared" si="23"/>
        <v>0</v>
      </c>
      <c r="H144" s="526">
        <f t="shared" si="24"/>
        <v>0</v>
      </c>
      <c r="I144" s="577">
        <f t="shared" si="25"/>
        <v>0</v>
      </c>
      <c r="J144" s="514">
        <f t="shared" si="26"/>
        <v>0</v>
      </c>
      <c r="K144" s="514"/>
      <c r="L144" s="525"/>
      <c r="M144" s="514">
        <f t="shared" si="27"/>
        <v>0</v>
      </c>
      <c r="N144" s="525"/>
      <c r="O144" s="514">
        <f t="shared" si="28"/>
        <v>0</v>
      </c>
      <c r="P144" s="514">
        <f t="shared" si="29"/>
        <v>0</v>
      </c>
    </row>
    <row r="145" spans="2:16">
      <c r="B145" s="195" t="str">
        <f t="shared" si="17"/>
        <v/>
      </c>
      <c r="C145" s="507">
        <f>IF(D93="","-",+C144+1)</f>
        <v>2065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22"/>
        <v>0</v>
      </c>
      <c r="G145" s="523">
        <f t="shared" si="23"/>
        <v>0</v>
      </c>
      <c r="H145" s="526">
        <f t="shared" si="24"/>
        <v>0</v>
      </c>
      <c r="I145" s="577">
        <f t="shared" si="25"/>
        <v>0</v>
      </c>
      <c r="J145" s="514">
        <f t="shared" si="26"/>
        <v>0</v>
      </c>
      <c r="K145" s="514"/>
      <c r="L145" s="525"/>
      <c r="M145" s="514">
        <f t="shared" si="27"/>
        <v>0</v>
      </c>
      <c r="N145" s="525"/>
      <c r="O145" s="514">
        <f t="shared" si="28"/>
        <v>0</v>
      </c>
      <c r="P145" s="514">
        <f t="shared" si="29"/>
        <v>0</v>
      </c>
    </row>
    <row r="146" spans="2:16">
      <c r="B146" s="195" t="str">
        <f t="shared" si="17"/>
        <v/>
      </c>
      <c r="C146" s="507">
        <f>IF(D93="","-",+C145+1)</f>
        <v>2066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22"/>
        <v>0</v>
      </c>
      <c r="G146" s="523">
        <f t="shared" si="23"/>
        <v>0</v>
      </c>
      <c r="H146" s="526">
        <f t="shared" si="24"/>
        <v>0</v>
      </c>
      <c r="I146" s="577">
        <f t="shared" si="25"/>
        <v>0</v>
      </c>
      <c r="J146" s="514">
        <f t="shared" si="26"/>
        <v>0</v>
      </c>
      <c r="K146" s="514"/>
      <c r="L146" s="525"/>
      <c r="M146" s="514">
        <f t="shared" si="27"/>
        <v>0</v>
      </c>
      <c r="N146" s="525"/>
      <c r="O146" s="514">
        <f t="shared" si="28"/>
        <v>0</v>
      </c>
      <c r="P146" s="514">
        <f t="shared" si="29"/>
        <v>0</v>
      </c>
    </row>
    <row r="147" spans="2:16">
      <c r="B147" s="195" t="str">
        <f t="shared" si="17"/>
        <v/>
      </c>
      <c r="C147" s="507">
        <f>IF(D93="","-",+C146+1)</f>
        <v>2067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22"/>
        <v>0</v>
      </c>
      <c r="G147" s="523">
        <f t="shared" si="23"/>
        <v>0</v>
      </c>
      <c r="H147" s="526">
        <f t="shared" si="24"/>
        <v>0</v>
      </c>
      <c r="I147" s="577">
        <f t="shared" si="25"/>
        <v>0</v>
      </c>
      <c r="J147" s="514">
        <f t="shared" si="26"/>
        <v>0</v>
      </c>
      <c r="K147" s="514"/>
      <c r="L147" s="525"/>
      <c r="M147" s="514">
        <f t="shared" si="27"/>
        <v>0</v>
      </c>
      <c r="N147" s="525"/>
      <c r="O147" s="514">
        <f t="shared" si="28"/>
        <v>0</v>
      </c>
      <c r="P147" s="514">
        <f t="shared" si="29"/>
        <v>0</v>
      </c>
    </row>
    <row r="148" spans="2:16">
      <c r="B148" s="195" t="str">
        <f t="shared" si="17"/>
        <v/>
      </c>
      <c r="C148" s="507">
        <f>IF(D93="","-",+C147+1)</f>
        <v>2068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22"/>
        <v>0</v>
      </c>
      <c r="G148" s="523">
        <f t="shared" si="23"/>
        <v>0</v>
      </c>
      <c r="H148" s="526">
        <f t="shared" si="24"/>
        <v>0</v>
      </c>
      <c r="I148" s="577">
        <f t="shared" si="25"/>
        <v>0</v>
      </c>
      <c r="J148" s="514">
        <f t="shared" si="26"/>
        <v>0</v>
      </c>
      <c r="K148" s="514"/>
      <c r="L148" s="525"/>
      <c r="M148" s="514">
        <f t="shared" si="27"/>
        <v>0</v>
      </c>
      <c r="N148" s="525"/>
      <c r="O148" s="514">
        <f t="shared" si="28"/>
        <v>0</v>
      </c>
      <c r="P148" s="514">
        <f t="shared" si="29"/>
        <v>0</v>
      </c>
    </row>
    <row r="149" spans="2:16">
      <c r="B149" s="195" t="str">
        <f t="shared" si="17"/>
        <v/>
      </c>
      <c r="C149" s="507">
        <f>IF(D93="","-",+C148+1)</f>
        <v>2069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22"/>
        <v>0</v>
      </c>
      <c r="G149" s="523">
        <f t="shared" si="23"/>
        <v>0</v>
      </c>
      <c r="H149" s="526">
        <f t="shared" si="24"/>
        <v>0</v>
      </c>
      <c r="I149" s="577">
        <f t="shared" si="25"/>
        <v>0</v>
      </c>
      <c r="J149" s="514">
        <f t="shared" si="26"/>
        <v>0</v>
      </c>
      <c r="K149" s="514"/>
      <c r="L149" s="525"/>
      <c r="M149" s="514">
        <f t="shared" si="27"/>
        <v>0</v>
      </c>
      <c r="N149" s="525"/>
      <c r="O149" s="514">
        <f t="shared" si="28"/>
        <v>0</v>
      </c>
      <c r="P149" s="514">
        <f t="shared" si="29"/>
        <v>0</v>
      </c>
    </row>
    <row r="150" spans="2:16">
      <c r="B150" s="195" t="str">
        <f t="shared" si="17"/>
        <v/>
      </c>
      <c r="C150" s="507">
        <f>IF(D93="","-",+C149+1)</f>
        <v>2070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22"/>
        <v>0</v>
      </c>
      <c r="G150" s="523">
        <f t="shared" si="23"/>
        <v>0</v>
      </c>
      <c r="H150" s="526">
        <f t="shared" si="24"/>
        <v>0</v>
      </c>
      <c r="I150" s="577">
        <f t="shared" si="25"/>
        <v>0</v>
      </c>
      <c r="J150" s="514">
        <f t="shared" si="26"/>
        <v>0</v>
      </c>
      <c r="K150" s="514"/>
      <c r="L150" s="525"/>
      <c r="M150" s="514">
        <f t="shared" si="27"/>
        <v>0</v>
      </c>
      <c r="N150" s="525"/>
      <c r="O150" s="514">
        <f t="shared" si="28"/>
        <v>0</v>
      </c>
      <c r="P150" s="514">
        <f t="shared" si="29"/>
        <v>0</v>
      </c>
    </row>
    <row r="151" spans="2:16">
      <c r="B151" s="195" t="str">
        <f t="shared" si="17"/>
        <v/>
      </c>
      <c r="C151" s="507">
        <f>IF(D93="","-",+C150+1)</f>
        <v>2071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22"/>
        <v>0</v>
      </c>
      <c r="G151" s="523">
        <f t="shared" si="23"/>
        <v>0</v>
      </c>
      <c r="H151" s="526">
        <f t="shared" si="24"/>
        <v>0</v>
      </c>
      <c r="I151" s="577">
        <f t="shared" si="25"/>
        <v>0</v>
      </c>
      <c r="J151" s="514">
        <f t="shared" si="26"/>
        <v>0</v>
      </c>
      <c r="K151" s="514"/>
      <c r="L151" s="525"/>
      <c r="M151" s="514">
        <f t="shared" si="27"/>
        <v>0</v>
      </c>
      <c r="N151" s="525"/>
      <c r="O151" s="514">
        <f t="shared" si="28"/>
        <v>0</v>
      </c>
      <c r="P151" s="514">
        <f t="shared" si="29"/>
        <v>0</v>
      </c>
    </row>
    <row r="152" spans="2:16">
      <c r="B152" s="195" t="str">
        <f t="shared" si="17"/>
        <v/>
      </c>
      <c r="C152" s="507">
        <f>IF(D93="","-",+C151+1)</f>
        <v>2072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22"/>
        <v>0</v>
      </c>
      <c r="G152" s="523">
        <f t="shared" si="23"/>
        <v>0</v>
      </c>
      <c r="H152" s="526">
        <f t="shared" si="24"/>
        <v>0</v>
      </c>
      <c r="I152" s="577">
        <f t="shared" si="25"/>
        <v>0</v>
      </c>
      <c r="J152" s="514">
        <f t="shared" si="26"/>
        <v>0</v>
      </c>
      <c r="K152" s="514"/>
      <c r="L152" s="525"/>
      <c r="M152" s="514">
        <f t="shared" si="27"/>
        <v>0</v>
      </c>
      <c r="N152" s="525"/>
      <c r="O152" s="514">
        <f t="shared" si="28"/>
        <v>0</v>
      </c>
      <c r="P152" s="514">
        <f t="shared" si="29"/>
        <v>0</v>
      </c>
    </row>
    <row r="153" spans="2:16">
      <c r="B153" s="195" t="str">
        <f t="shared" si="17"/>
        <v/>
      </c>
      <c r="C153" s="507">
        <f>IF(D93="","-",+C152+1)</f>
        <v>2073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22"/>
        <v>0</v>
      </c>
      <c r="G153" s="523">
        <f t="shared" si="23"/>
        <v>0</v>
      </c>
      <c r="H153" s="526">
        <f t="shared" si="24"/>
        <v>0</v>
      </c>
      <c r="I153" s="577">
        <f t="shared" si="25"/>
        <v>0</v>
      </c>
      <c r="J153" s="514">
        <f t="shared" si="26"/>
        <v>0</v>
      </c>
      <c r="K153" s="514"/>
      <c r="L153" s="525"/>
      <c r="M153" s="514">
        <f t="shared" si="27"/>
        <v>0</v>
      </c>
      <c r="N153" s="525"/>
      <c r="O153" s="514">
        <f t="shared" si="28"/>
        <v>0</v>
      </c>
      <c r="P153" s="514">
        <f t="shared" si="29"/>
        <v>0</v>
      </c>
    </row>
    <row r="154" spans="2:16" ht="13.5" thickBot="1">
      <c r="B154" s="195" t="str">
        <f t="shared" si="17"/>
        <v/>
      </c>
      <c r="C154" s="527">
        <f>IF(D93="","-",+C153+1)</f>
        <v>2074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22"/>
        <v>0</v>
      </c>
      <c r="G154" s="528">
        <f t="shared" si="23"/>
        <v>0</v>
      </c>
      <c r="H154" s="530">
        <f t="shared" si="24"/>
        <v>0</v>
      </c>
      <c r="I154" s="579">
        <f t="shared" si="25"/>
        <v>0</v>
      </c>
      <c r="J154" s="533">
        <f t="shared" si="26"/>
        <v>0</v>
      </c>
      <c r="K154" s="514"/>
      <c r="L154" s="532"/>
      <c r="M154" s="533">
        <f t="shared" si="27"/>
        <v>0</v>
      </c>
      <c r="N154" s="532"/>
      <c r="O154" s="533">
        <f t="shared" si="28"/>
        <v>0</v>
      </c>
      <c r="P154" s="533">
        <f t="shared" si="29"/>
        <v>0</v>
      </c>
    </row>
    <row r="155" spans="2:16">
      <c r="C155" s="374" t="s">
        <v>78</v>
      </c>
      <c r="D155" s="375"/>
      <c r="E155" s="375">
        <f>SUM(E99:E154)</f>
        <v>3813966.0000000005</v>
      </c>
      <c r="F155" s="375"/>
      <c r="G155" s="375"/>
      <c r="H155" s="375">
        <f>SUM(H99:H154)</f>
        <v>12905211.587173073</v>
      </c>
      <c r="I155" s="375">
        <f>SUM(I99:I154)</f>
        <v>12905211.587173073</v>
      </c>
      <c r="J155" s="375">
        <f>SUM(J99:J154)</f>
        <v>0</v>
      </c>
      <c r="K155" s="375"/>
      <c r="L155" s="375"/>
      <c r="M155" s="375"/>
      <c r="N155" s="375"/>
      <c r="O155" s="375"/>
      <c r="P155" s="269"/>
    </row>
    <row r="156" spans="2:16">
      <c r="C156" s="183" t="s">
        <v>92</v>
      </c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</row>
    <row r="157" spans="2:16">
      <c r="C157" s="580"/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</row>
    <row r="158" spans="2:16">
      <c r="C158" s="614" t="s">
        <v>132</v>
      </c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</row>
    <row r="159" spans="2:16">
      <c r="C159" s="467" t="s">
        <v>79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</row>
    <row r="160" spans="2:16">
      <c r="C160" s="581" t="s">
        <v>80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</row>
    <row r="161" spans="3:16">
      <c r="C161" s="581"/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</row>
    <row r="162" spans="3:16" ht="18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635" t="s">
        <v>131</v>
      </c>
    </row>
  </sheetData>
  <conditionalFormatting sqref="C17:C72">
    <cfRule type="cellIs" dxfId="7" priority="1" stopIfTrue="1" operator="equal">
      <formula>$I$10</formula>
    </cfRule>
  </conditionalFormatting>
  <conditionalFormatting sqref="C99:C154">
    <cfRule type="cellIs" dxfId="6" priority="2" stopIfTrue="1" operator="equal">
      <formula>$J$92</formula>
    </cfRule>
  </conditionalFormatting>
  <pageMargins left="0.5" right="0.25" top="1" bottom="0.25" header="0.25" footer="0.5"/>
  <pageSetup scale="47" orientation="landscape" r:id="rId1"/>
  <headerFooter>
    <oddHeader xml:space="preserve">&amp;R&amp;16AEP - SPP Formula Rate
SWEPCO TCOS - Worksheets F and G
Section IV -- (BPU Project Tables)
Page: &amp;P of &amp;N
</oddHeader>
  </headerFooter>
  <rowBreaks count="1" manualBreakCount="1">
    <brk id="81" max="16383" man="1"/>
  </rowBreaks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>
    <tabColor rgb="FFFFC000"/>
  </sheetPr>
  <dimension ref="A1:P162"/>
  <sheetViews>
    <sheetView topLeftCell="A80" zoomScale="80" zoomScaleNormal="80" workbookViewId="0">
      <selection activeCell="D99" sqref="D99:I102"/>
    </sheetView>
  </sheetViews>
  <sheetFormatPr defaultColWidth="8.7109375" defaultRowHeight="12.75" customHeight="1"/>
  <cols>
    <col min="1" max="1" width="4.7109375" style="183" customWidth="1"/>
    <col min="2" max="2" width="6.7109375" style="183" customWidth="1"/>
    <col min="3" max="3" width="23.28515625" style="183" customWidth="1"/>
    <col min="4" max="8" width="17.7109375" style="183" customWidth="1"/>
    <col min="9" max="9" width="20.42578125" style="183" customWidth="1"/>
    <col min="10" max="10" width="16.42578125" style="183" customWidth="1"/>
    <col min="11" max="11" width="17.7109375" style="183" customWidth="1"/>
    <col min="12" max="12" width="16.140625" style="183" customWidth="1"/>
    <col min="13" max="13" width="17.7109375" style="183" customWidth="1"/>
    <col min="14" max="14" width="16.7109375" style="183" customWidth="1"/>
    <col min="15" max="15" width="16.85546875" style="183" customWidth="1"/>
    <col min="16" max="16" width="24.42578125" style="183" customWidth="1"/>
    <col min="17" max="17" width="9.140625" style="183" customWidth="1"/>
    <col min="18" max="22" width="8.7109375" style="183"/>
    <col min="23" max="23" width="9.140625" style="183" customWidth="1"/>
    <col min="24" max="16384" width="8.7109375" style="183"/>
  </cols>
  <sheetData>
    <row r="1" spans="1:16" ht="20.25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74 of 75</v>
      </c>
    </row>
    <row r="2" spans="1:16" ht="18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538" t="s">
        <v>129</v>
      </c>
    </row>
    <row r="3" spans="1:16" ht="18.75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/>
      <c r="P3" s="623">
        <v>1</v>
      </c>
    </row>
    <row r="4" spans="1:16" ht="15.75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6" ht="1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388601.82821898186</v>
      </c>
      <c r="P5" s="269"/>
    </row>
    <row r="6" spans="1:16" ht="15.7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388601.82821898186</v>
      </c>
      <c r="O6" s="269"/>
      <c r="P6" s="269"/>
    </row>
    <row r="7" spans="1:16" ht="13.5" thickBot="1">
      <c r="C7" s="467" t="s">
        <v>48</v>
      </c>
      <c r="D7" s="624" t="s">
        <v>444</v>
      </c>
      <c r="E7" s="269"/>
      <c r="F7" s="269"/>
      <c r="G7" s="269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6" ht="13.5" thickBot="1">
      <c r="C8" s="472"/>
      <c r="D8" s="625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663"/>
      <c r="K8" s="474"/>
      <c r="L8" s="474"/>
      <c r="M8" s="474"/>
      <c r="N8" s="474"/>
      <c r="O8" s="663"/>
      <c r="P8" s="340"/>
    </row>
    <row r="9" spans="1:16" ht="13.5" thickBot="1">
      <c r="C9" s="476" t="s">
        <v>50</v>
      </c>
      <c r="D9" s="477" t="s">
        <v>445</v>
      </c>
      <c r="E9" s="637" t="s">
        <v>459</v>
      </c>
      <c r="F9" s="478"/>
      <c r="G9" s="478"/>
      <c r="H9" s="478"/>
      <c r="I9" s="479"/>
      <c r="J9" s="480"/>
      <c r="O9" s="481"/>
      <c r="P9" s="272"/>
    </row>
    <row r="10" spans="1:16">
      <c r="C10" s="482" t="s">
        <v>51</v>
      </c>
      <c r="D10" s="483">
        <v>3013320</v>
      </c>
      <c r="E10" s="353" t="s">
        <v>52</v>
      </c>
      <c r="F10" s="481"/>
      <c r="G10" s="484"/>
      <c r="H10" s="484"/>
      <c r="I10" s="485">
        <f>+'SWE.WS.F.BPU.ATRR.Projected'!L19</f>
        <v>2024</v>
      </c>
      <c r="J10" s="480"/>
      <c r="K10" s="375" t="s">
        <v>53</v>
      </c>
      <c r="O10" s="272"/>
      <c r="P10" s="272"/>
    </row>
    <row r="11" spans="1:16">
      <c r="C11" s="486" t="s">
        <v>54</v>
      </c>
      <c r="D11" s="487">
        <v>2019</v>
      </c>
      <c r="E11" s="486" t="s">
        <v>55</v>
      </c>
      <c r="F11" s="484"/>
      <c r="G11" s="233"/>
      <c r="H11" s="233"/>
      <c r="I11" s="488">
        <f>IF(G5="",0,'SWE.WS.F.BPU.ATRR.Projected'!F$13)</f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6">
      <c r="C12" s="486" t="s">
        <v>56</v>
      </c>
      <c r="D12" s="483">
        <v>4</v>
      </c>
      <c r="E12" s="486" t="s">
        <v>57</v>
      </c>
      <c r="F12" s="484"/>
      <c r="G12" s="233"/>
      <c r="H12" s="233"/>
      <c r="I12" s="490">
        <f>'SWE.WS.F.BPU.ATRR.Projected'!$F$81</f>
        <v>0.11952713165403545</v>
      </c>
      <c r="J12" s="425"/>
      <c r="K12" s="183" t="s">
        <v>58</v>
      </c>
      <c r="O12" s="272"/>
      <c r="P12" s="272"/>
    </row>
    <row r="13" spans="1:16">
      <c r="C13" s="486" t="s">
        <v>59</v>
      </c>
      <c r="D13" s="488">
        <f>+'SWE.WS.F.BPU.ATRR.Projected'!F$93</f>
        <v>44</v>
      </c>
      <c r="E13" s="486" t="s">
        <v>60</v>
      </c>
      <c r="F13" s="484"/>
      <c r="G13" s="233"/>
      <c r="H13" s="233"/>
      <c r="I13" s="490">
        <f>IF(G5="",I12,'SWE.WS.F.BPU.ATRR.Projected'!$F$80)</f>
        <v>0.11952713165403545</v>
      </c>
      <c r="J13" s="425"/>
      <c r="K13" s="375" t="s">
        <v>61</v>
      </c>
      <c r="L13" s="324"/>
      <c r="M13" s="324"/>
      <c r="N13" s="324"/>
      <c r="O13" s="272"/>
      <c r="P13" s="272"/>
    </row>
    <row r="14" spans="1:16" ht="13.5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68484.545454545456</v>
      </c>
      <c r="J14" s="375"/>
      <c r="K14" s="375"/>
      <c r="L14" s="375"/>
      <c r="M14" s="375"/>
      <c r="N14" s="375"/>
      <c r="O14" s="272"/>
      <c r="P14" s="272"/>
    </row>
    <row r="15" spans="1:16" ht="38.25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388</v>
      </c>
      <c r="H15" s="495" t="s">
        <v>389</v>
      </c>
      <c r="I15" s="492" t="s">
        <v>68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6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600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>
      <c r="C17" s="507">
        <f>IF(D11= "","-",D11)</f>
        <v>2019</v>
      </c>
      <c r="D17" s="631">
        <v>0</v>
      </c>
      <c r="E17" s="630">
        <v>45372</v>
      </c>
      <c r="F17" s="631">
        <v>1905628</v>
      </c>
      <c r="G17" s="630">
        <v>140230</v>
      </c>
      <c r="H17" s="639">
        <v>140230</v>
      </c>
      <c r="I17" s="511">
        <f t="shared" ref="I17:I72" si="0">H17-G17</f>
        <v>0</v>
      </c>
      <c r="J17" s="511"/>
      <c r="K17" s="512">
        <f>+G17</f>
        <v>140230</v>
      </c>
      <c r="L17" s="513">
        <f t="shared" ref="L17:L18" si="1">IF(K17&lt;&gt;0,+G17-K17,0)</f>
        <v>0</v>
      </c>
      <c r="M17" s="512">
        <f>+H17</f>
        <v>140230</v>
      </c>
      <c r="N17" s="513">
        <f t="shared" ref="N17:N72" si="2">IF(M17&lt;&gt;0,+H17-M17,0)</f>
        <v>0</v>
      </c>
      <c r="O17" s="514">
        <f t="shared" ref="O17:O72" si="3">+N17-L17</f>
        <v>0</v>
      </c>
      <c r="P17" s="272"/>
    </row>
    <row r="18" spans="2:16">
      <c r="B18" s="195" t="str">
        <f>IF(D18=F17,"","IU")</f>
        <v/>
      </c>
      <c r="C18" s="507">
        <f>IF(D11="","-",+C17+1)</f>
        <v>2020</v>
      </c>
      <c r="D18" s="631">
        <v>1905628</v>
      </c>
      <c r="E18" s="630">
        <v>47585.365853658535</v>
      </c>
      <c r="F18" s="631">
        <v>1858042.6341463414</v>
      </c>
      <c r="G18" s="630">
        <v>240163.83980112415</v>
      </c>
      <c r="H18" s="639">
        <v>240163.83980112415</v>
      </c>
      <c r="I18" s="511">
        <f t="shared" si="0"/>
        <v>0</v>
      </c>
      <c r="J18" s="511"/>
      <c r="K18" s="518">
        <f>+G18</f>
        <v>240163.83980112415</v>
      </c>
      <c r="L18" s="519">
        <f t="shared" si="1"/>
        <v>0</v>
      </c>
      <c r="M18" s="518">
        <f>+H18</f>
        <v>240163.83980112415</v>
      </c>
      <c r="N18" s="514">
        <f t="shared" si="2"/>
        <v>0</v>
      </c>
      <c r="O18" s="514">
        <f t="shared" si="3"/>
        <v>0</v>
      </c>
      <c r="P18" s="272"/>
    </row>
    <row r="19" spans="2:16">
      <c r="B19" s="195" t="str">
        <f>IF(D19=F18,"","IU")</f>
        <v>IU</v>
      </c>
      <c r="C19" s="507">
        <f>IF(D11="","-",+C18+1)</f>
        <v>2021</v>
      </c>
      <c r="D19" s="631">
        <v>2863332.534590669</v>
      </c>
      <c r="E19" s="630">
        <v>69307.571428571435</v>
      </c>
      <c r="F19" s="631">
        <v>2794024.9631620976</v>
      </c>
      <c r="G19" s="630">
        <v>369160.37527494592</v>
      </c>
      <c r="H19" s="639">
        <v>369160.37527494592</v>
      </c>
      <c r="I19" s="511">
        <f t="shared" si="0"/>
        <v>0</v>
      </c>
      <c r="J19" s="511"/>
      <c r="K19" s="518">
        <f>+G19</f>
        <v>369160.37527494592</v>
      </c>
      <c r="L19" s="519">
        <f t="shared" ref="L19" si="4">IF(K19&lt;&gt;0,+G19-K19,0)</f>
        <v>0</v>
      </c>
      <c r="M19" s="518">
        <f>+H19</f>
        <v>369160.37527494592</v>
      </c>
      <c r="N19" s="514">
        <f t="shared" si="2"/>
        <v>0</v>
      </c>
      <c r="O19" s="514">
        <f t="shared" si="3"/>
        <v>0</v>
      </c>
      <c r="P19" s="272"/>
    </row>
    <row r="20" spans="2:16">
      <c r="B20" s="195" t="str">
        <f t="shared" ref="B20:B72" si="5">IF(D20=F19,"","IU")</f>
        <v>IU</v>
      </c>
      <c r="C20" s="507">
        <f>IF(D11="","-",+C19+1)</f>
        <v>2022</v>
      </c>
      <c r="D20" s="631">
        <v>2748653.0627177702</v>
      </c>
      <c r="E20" s="630">
        <v>69307.571428571435</v>
      </c>
      <c r="F20" s="631">
        <v>2679345.4912891989</v>
      </c>
      <c r="G20" s="630">
        <v>374480.76907253434</v>
      </c>
      <c r="H20" s="639">
        <v>374480.76907253434</v>
      </c>
      <c r="I20" s="511">
        <f t="shared" si="0"/>
        <v>0</v>
      </c>
      <c r="J20" s="511"/>
      <c r="K20" s="518">
        <f>+G20</f>
        <v>374480.76907253434</v>
      </c>
      <c r="L20" s="519">
        <f t="shared" ref="L20" si="6">IF(K20&lt;&gt;0,+G20-K20,0)</f>
        <v>0</v>
      </c>
      <c r="M20" s="518">
        <f>+H20</f>
        <v>374480.76907253434</v>
      </c>
      <c r="N20" s="514">
        <f t="shared" si="2"/>
        <v>0</v>
      </c>
      <c r="O20" s="514">
        <f t="shared" si="3"/>
        <v>0</v>
      </c>
      <c r="P20" s="272"/>
    </row>
    <row r="21" spans="2:16">
      <c r="B21" s="195" t="str">
        <f t="shared" si="5"/>
        <v/>
      </c>
      <c r="C21" s="507">
        <f>IF(D11="","-",+C20+1)</f>
        <v>2023</v>
      </c>
      <c r="D21" s="631">
        <v>2679345.4912891989</v>
      </c>
      <c r="E21" s="630">
        <v>69307.571428571435</v>
      </c>
      <c r="F21" s="631">
        <v>2610037.9198606275</v>
      </c>
      <c r="G21" s="630">
        <v>403402.9797902116</v>
      </c>
      <c r="H21" s="639">
        <v>403402.9797902116</v>
      </c>
      <c r="I21" s="511">
        <f t="shared" si="0"/>
        <v>0</v>
      </c>
      <c r="J21" s="511"/>
      <c r="K21" s="518">
        <f>+G21</f>
        <v>403402.9797902116</v>
      </c>
      <c r="L21" s="519">
        <f t="shared" ref="L21" si="7">IF(K21&lt;&gt;0,+G21-K21,0)</f>
        <v>0</v>
      </c>
      <c r="M21" s="518">
        <f>+H21</f>
        <v>403402.9797902116</v>
      </c>
      <c r="N21" s="514">
        <f t="shared" ref="N21" si="8">IF(M21&lt;&gt;0,+H21-M21,0)</f>
        <v>0</v>
      </c>
      <c r="O21" s="514">
        <f t="shared" ref="O21" si="9">+N21-L21</f>
        <v>0</v>
      </c>
      <c r="P21" s="272"/>
    </row>
    <row r="22" spans="2:16">
      <c r="B22" s="195" t="str">
        <f t="shared" si="5"/>
        <v>IU</v>
      </c>
      <c r="C22" s="673">
        <f>IF(D11="","-",+C21+1)</f>
        <v>2024</v>
      </c>
      <c r="D22" s="523">
        <f>IF(F21+SUM(E$17:E21)=D$10,F21,D$10-SUM(E$17:E21))</f>
        <v>2712439.919860627</v>
      </c>
      <c r="E22" s="522">
        <f>IF(+I14&lt;F21,I14,D22)</f>
        <v>68484.545454545456</v>
      </c>
      <c r="F22" s="523">
        <f t="shared" ref="F22:F72" si="10">+D22-E22</f>
        <v>2643955.3744060816</v>
      </c>
      <c r="G22" s="524">
        <f t="shared" ref="G22:G72" si="11">+I$12*((D22+F22)/2)+E22</f>
        <v>388601.82821898186</v>
      </c>
      <c r="H22" s="491">
        <f t="shared" ref="H22:H72" si="12">+I$13*((D22+F22)/2)+E22</f>
        <v>388601.82821898186</v>
      </c>
      <c r="I22" s="511">
        <f t="shared" si="0"/>
        <v>0</v>
      </c>
      <c r="J22" s="511"/>
      <c r="K22" s="525"/>
      <c r="L22" s="514">
        <f t="shared" ref="L22:L72" si="13">IF(K22&lt;&gt;0,+G22-K22,0)</f>
        <v>0</v>
      </c>
      <c r="M22" s="525"/>
      <c r="N22" s="514">
        <f t="shared" si="2"/>
        <v>0</v>
      </c>
      <c r="O22" s="514">
        <f t="shared" si="3"/>
        <v>0</v>
      </c>
      <c r="P22" s="272"/>
    </row>
    <row r="23" spans="2:16">
      <c r="B23" s="195" t="str">
        <f t="shared" si="5"/>
        <v/>
      </c>
      <c r="C23" s="507">
        <f>IF(D11="","-",+C22+1)</f>
        <v>2025</v>
      </c>
      <c r="D23" s="523">
        <f>IF(F22+SUM(E$17:E22)=D$10,F22,D$10-SUM(E$17:E22))</f>
        <v>2643955.3744060816</v>
      </c>
      <c r="E23" s="522">
        <f>IF(+I14&lt;F22,I14,D23)</f>
        <v>68484.545454545456</v>
      </c>
      <c r="F23" s="523">
        <f t="shared" si="10"/>
        <v>2575470.8289515362</v>
      </c>
      <c r="G23" s="524">
        <f t="shared" si="11"/>
        <v>380416.06693816971</v>
      </c>
      <c r="H23" s="491">
        <f t="shared" si="12"/>
        <v>380416.06693816971</v>
      </c>
      <c r="I23" s="511">
        <f t="shared" si="0"/>
        <v>0</v>
      </c>
      <c r="J23" s="511"/>
      <c r="K23" s="525"/>
      <c r="L23" s="514">
        <f t="shared" si="13"/>
        <v>0</v>
      </c>
      <c r="M23" s="525"/>
      <c r="N23" s="514">
        <f t="shared" si="2"/>
        <v>0</v>
      </c>
      <c r="O23" s="514">
        <f t="shared" si="3"/>
        <v>0</v>
      </c>
      <c r="P23" s="272"/>
    </row>
    <row r="24" spans="2:16">
      <c r="B24" s="195" t="str">
        <f t="shared" si="5"/>
        <v/>
      </c>
      <c r="C24" s="507">
        <f>IF(D11="","-",+C23+1)</f>
        <v>2026</v>
      </c>
      <c r="D24" s="523">
        <f>IF(F23+SUM(E$17:E23)=D$10,F23,D$10-SUM(E$17:E23))</f>
        <v>2575470.8289515362</v>
      </c>
      <c r="E24" s="522">
        <f>IF(+I14&lt;F23,I14,D24)</f>
        <v>68484.545454545456</v>
      </c>
      <c r="F24" s="523">
        <f t="shared" si="10"/>
        <v>2506986.2834969908</v>
      </c>
      <c r="G24" s="524">
        <f t="shared" si="11"/>
        <v>372230.30565735738</v>
      </c>
      <c r="H24" s="491">
        <f t="shared" si="12"/>
        <v>372230.30565735738</v>
      </c>
      <c r="I24" s="511">
        <f t="shared" si="0"/>
        <v>0</v>
      </c>
      <c r="J24" s="511"/>
      <c r="K24" s="525"/>
      <c r="L24" s="514">
        <f t="shared" si="13"/>
        <v>0</v>
      </c>
      <c r="M24" s="525"/>
      <c r="N24" s="514">
        <f t="shared" si="2"/>
        <v>0</v>
      </c>
      <c r="O24" s="514">
        <f t="shared" si="3"/>
        <v>0</v>
      </c>
      <c r="P24" s="272"/>
    </row>
    <row r="25" spans="2:16">
      <c r="B25" s="195" t="str">
        <f t="shared" si="5"/>
        <v/>
      </c>
      <c r="C25" s="507">
        <f>IF(D11="","-",+C24+1)</f>
        <v>2027</v>
      </c>
      <c r="D25" s="523">
        <f>IF(F24+SUM(E$17:E24)=D$10,F24,D$10-SUM(E$17:E24))</f>
        <v>2506986.2834969908</v>
      </c>
      <c r="E25" s="522">
        <f>IF(+I14&lt;F24,I14,D25)</f>
        <v>68484.545454545456</v>
      </c>
      <c r="F25" s="523">
        <f t="shared" si="10"/>
        <v>2438501.7380424454</v>
      </c>
      <c r="G25" s="524">
        <f t="shared" si="11"/>
        <v>364044.54437654524</v>
      </c>
      <c r="H25" s="491">
        <f t="shared" si="12"/>
        <v>364044.54437654524</v>
      </c>
      <c r="I25" s="511">
        <f t="shared" si="0"/>
        <v>0</v>
      </c>
      <c r="J25" s="511"/>
      <c r="K25" s="525"/>
      <c r="L25" s="514">
        <f t="shared" si="13"/>
        <v>0</v>
      </c>
      <c r="M25" s="525"/>
      <c r="N25" s="514">
        <f t="shared" si="2"/>
        <v>0</v>
      </c>
      <c r="O25" s="514">
        <f t="shared" si="3"/>
        <v>0</v>
      </c>
      <c r="P25" s="272"/>
    </row>
    <row r="26" spans="2:16">
      <c r="B26" s="195" t="str">
        <f t="shared" si="5"/>
        <v/>
      </c>
      <c r="C26" s="507">
        <f>IF(D11="","-",+C25+1)</f>
        <v>2028</v>
      </c>
      <c r="D26" s="523">
        <f>IF(F25+SUM(E$17:E25)=D$10,F25,D$10-SUM(E$17:E25))</f>
        <v>2438501.7380424454</v>
      </c>
      <c r="E26" s="522">
        <f>IF(+I14&lt;F25,I14,D26)</f>
        <v>68484.545454545456</v>
      </c>
      <c r="F26" s="523">
        <f t="shared" si="10"/>
        <v>2370017.1925879</v>
      </c>
      <c r="G26" s="524">
        <f t="shared" si="11"/>
        <v>355858.78309573297</v>
      </c>
      <c r="H26" s="491">
        <f t="shared" si="12"/>
        <v>355858.78309573297</v>
      </c>
      <c r="I26" s="511">
        <f t="shared" si="0"/>
        <v>0</v>
      </c>
      <c r="J26" s="511"/>
      <c r="K26" s="525"/>
      <c r="L26" s="514">
        <f t="shared" si="13"/>
        <v>0</v>
      </c>
      <c r="M26" s="525"/>
      <c r="N26" s="514">
        <f t="shared" si="2"/>
        <v>0</v>
      </c>
      <c r="O26" s="514">
        <f t="shared" si="3"/>
        <v>0</v>
      </c>
      <c r="P26" s="272"/>
    </row>
    <row r="27" spans="2:16">
      <c r="B27" s="195" t="str">
        <f t="shared" si="5"/>
        <v/>
      </c>
      <c r="C27" s="507">
        <f>IF(D11="","-",+C26+1)</f>
        <v>2029</v>
      </c>
      <c r="D27" s="523">
        <f>IF(F26+SUM(E$17:E26)=D$10,F26,D$10-SUM(E$17:E26))</f>
        <v>2370017.1925879</v>
      </c>
      <c r="E27" s="522">
        <f>IF(+I14&lt;F26,I14,D27)</f>
        <v>68484.545454545456</v>
      </c>
      <c r="F27" s="523">
        <f t="shared" si="10"/>
        <v>2301532.6471333546</v>
      </c>
      <c r="G27" s="524">
        <f t="shared" si="11"/>
        <v>347673.02181492076</v>
      </c>
      <c r="H27" s="491">
        <f t="shared" si="12"/>
        <v>347673.02181492076</v>
      </c>
      <c r="I27" s="511">
        <f t="shared" si="0"/>
        <v>0</v>
      </c>
      <c r="J27" s="511"/>
      <c r="K27" s="525"/>
      <c r="L27" s="514">
        <f t="shared" si="13"/>
        <v>0</v>
      </c>
      <c r="M27" s="525"/>
      <c r="N27" s="514">
        <f t="shared" si="2"/>
        <v>0</v>
      </c>
      <c r="O27" s="514">
        <f t="shared" si="3"/>
        <v>0</v>
      </c>
      <c r="P27" s="272"/>
    </row>
    <row r="28" spans="2:16">
      <c r="B28" s="195" t="str">
        <f t="shared" si="5"/>
        <v/>
      </c>
      <c r="C28" s="507">
        <f>IF(D11="","-",+C27+1)</f>
        <v>2030</v>
      </c>
      <c r="D28" s="523">
        <f>IF(F27+SUM(E$17:E27)=D$10,F27,D$10-SUM(E$17:E27))</f>
        <v>2301532.6471333546</v>
      </c>
      <c r="E28" s="522">
        <f>IF(+I14&lt;F27,I14,D28)</f>
        <v>68484.545454545456</v>
      </c>
      <c r="F28" s="523">
        <f t="shared" si="10"/>
        <v>2233048.1016788092</v>
      </c>
      <c r="G28" s="524">
        <f t="shared" si="11"/>
        <v>339487.2605341085</v>
      </c>
      <c r="H28" s="491">
        <f t="shared" si="12"/>
        <v>339487.2605341085</v>
      </c>
      <c r="I28" s="511">
        <f t="shared" si="0"/>
        <v>0</v>
      </c>
      <c r="J28" s="511"/>
      <c r="K28" s="525"/>
      <c r="L28" s="514">
        <f t="shared" si="13"/>
        <v>0</v>
      </c>
      <c r="M28" s="525"/>
      <c r="N28" s="514">
        <f t="shared" si="2"/>
        <v>0</v>
      </c>
      <c r="O28" s="514">
        <f t="shared" si="3"/>
        <v>0</v>
      </c>
      <c r="P28" s="272"/>
    </row>
    <row r="29" spans="2:16">
      <c r="B29" s="195" t="str">
        <f t="shared" si="5"/>
        <v/>
      </c>
      <c r="C29" s="507">
        <f>IF(D11="","-",+C28+1)</f>
        <v>2031</v>
      </c>
      <c r="D29" s="523">
        <f>IF(F28+SUM(E$17:E28)=D$10,F28,D$10-SUM(E$17:E28))</f>
        <v>2233048.1016788092</v>
      </c>
      <c r="E29" s="522">
        <f>IF(+I14&lt;F28,I14,D29)</f>
        <v>68484.545454545456</v>
      </c>
      <c r="F29" s="523">
        <f t="shared" si="10"/>
        <v>2164563.5562242637</v>
      </c>
      <c r="G29" s="524">
        <f t="shared" si="11"/>
        <v>331301.49925329635</v>
      </c>
      <c r="H29" s="491">
        <f t="shared" si="12"/>
        <v>331301.49925329635</v>
      </c>
      <c r="I29" s="511">
        <f t="shared" si="0"/>
        <v>0</v>
      </c>
      <c r="J29" s="511"/>
      <c r="K29" s="525"/>
      <c r="L29" s="514">
        <f t="shared" si="13"/>
        <v>0</v>
      </c>
      <c r="M29" s="525"/>
      <c r="N29" s="514">
        <f t="shared" si="2"/>
        <v>0</v>
      </c>
      <c r="O29" s="514">
        <f t="shared" si="3"/>
        <v>0</v>
      </c>
      <c r="P29" s="272"/>
    </row>
    <row r="30" spans="2:16">
      <c r="B30" s="195" t="str">
        <f t="shared" si="5"/>
        <v/>
      </c>
      <c r="C30" s="507">
        <f>IF(D11="","-",+C29+1)</f>
        <v>2032</v>
      </c>
      <c r="D30" s="523">
        <f>IF(F29+SUM(E$17:E29)=D$10,F29,D$10-SUM(E$17:E29))</f>
        <v>2164563.5562242637</v>
      </c>
      <c r="E30" s="522">
        <f>IF(+I14&lt;F29,I14,D30)</f>
        <v>68484.545454545456</v>
      </c>
      <c r="F30" s="523">
        <f t="shared" si="10"/>
        <v>2096079.0107697183</v>
      </c>
      <c r="G30" s="524">
        <f t="shared" si="11"/>
        <v>323115.73797248403</v>
      </c>
      <c r="H30" s="491">
        <f t="shared" si="12"/>
        <v>323115.73797248403</v>
      </c>
      <c r="I30" s="511">
        <f t="shared" si="0"/>
        <v>0</v>
      </c>
      <c r="J30" s="511"/>
      <c r="K30" s="525"/>
      <c r="L30" s="514">
        <f t="shared" si="13"/>
        <v>0</v>
      </c>
      <c r="M30" s="525"/>
      <c r="N30" s="514">
        <f t="shared" si="2"/>
        <v>0</v>
      </c>
      <c r="O30" s="514">
        <f t="shared" si="3"/>
        <v>0</v>
      </c>
      <c r="P30" s="272"/>
    </row>
    <row r="31" spans="2:16">
      <c r="B31" s="195" t="str">
        <f t="shared" si="5"/>
        <v/>
      </c>
      <c r="C31" s="507">
        <f>IF(D11="","-",+C30+1)</f>
        <v>2033</v>
      </c>
      <c r="D31" s="523">
        <f>IF(F30+SUM(E$17:E30)=D$10,F30,D$10-SUM(E$17:E30))</f>
        <v>2096079.0107697183</v>
      </c>
      <c r="E31" s="522">
        <f>IF(+I14&lt;F30,I14,D31)</f>
        <v>68484.545454545456</v>
      </c>
      <c r="F31" s="523">
        <f t="shared" si="10"/>
        <v>2027594.4653151729</v>
      </c>
      <c r="G31" s="524">
        <f t="shared" si="11"/>
        <v>314929.97669167182</v>
      </c>
      <c r="H31" s="491">
        <f t="shared" si="12"/>
        <v>314929.97669167182</v>
      </c>
      <c r="I31" s="511">
        <f t="shared" si="0"/>
        <v>0</v>
      </c>
      <c r="J31" s="511"/>
      <c r="K31" s="525"/>
      <c r="L31" s="514">
        <f t="shared" si="13"/>
        <v>0</v>
      </c>
      <c r="M31" s="525"/>
      <c r="N31" s="514">
        <f t="shared" si="2"/>
        <v>0</v>
      </c>
      <c r="O31" s="514">
        <f t="shared" si="3"/>
        <v>0</v>
      </c>
      <c r="P31" s="272"/>
    </row>
    <row r="32" spans="2:16">
      <c r="B32" s="195" t="str">
        <f t="shared" si="5"/>
        <v/>
      </c>
      <c r="C32" s="507">
        <f>IF(D11="","-",+C31+1)</f>
        <v>2034</v>
      </c>
      <c r="D32" s="523">
        <f>IF(F31+SUM(E$17:E31)=D$10,F31,D$10-SUM(E$17:E31))</f>
        <v>2027594.4653151729</v>
      </c>
      <c r="E32" s="522">
        <f>IF(+I14&lt;F31,I14,D32)</f>
        <v>68484.545454545456</v>
      </c>
      <c r="F32" s="523">
        <f t="shared" si="10"/>
        <v>1959109.9198606275</v>
      </c>
      <c r="G32" s="524">
        <f t="shared" si="11"/>
        <v>306744.21541085962</v>
      </c>
      <c r="H32" s="491">
        <f t="shared" si="12"/>
        <v>306744.21541085962</v>
      </c>
      <c r="I32" s="511">
        <f t="shared" si="0"/>
        <v>0</v>
      </c>
      <c r="J32" s="511"/>
      <c r="K32" s="525"/>
      <c r="L32" s="514">
        <f t="shared" si="13"/>
        <v>0</v>
      </c>
      <c r="M32" s="525"/>
      <c r="N32" s="514">
        <f t="shared" si="2"/>
        <v>0</v>
      </c>
      <c r="O32" s="514">
        <f t="shared" si="3"/>
        <v>0</v>
      </c>
      <c r="P32" s="272"/>
    </row>
    <row r="33" spans="2:16">
      <c r="B33" s="195" t="str">
        <f t="shared" si="5"/>
        <v/>
      </c>
      <c r="C33" s="507">
        <f>IF(D11="","-",+C32+1)</f>
        <v>2035</v>
      </c>
      <c r="D33" s="523">
        <f>IF(F32+SUM(E$17:E32)=D$10,F32,D$10-SUM(E$17:E32))</f>
        <v>1959109.9198606275</v>
      </c>
      <c r="E33" s="522">
        <f>IF(+I14&lt;F32,I14,D33)</f>
        <v>68484.545454545456</v>
      </c>
      <c r="F33" s="523">
        <f t="shared" si="10"/>
        <v>1890625.3744060821</v>
      </c>
      <c r="G33" s="524">
        <f t="shared" si="11"/>
        <v>298558.45413004741</v>
      </c>
      <c r="H33" s="491">
        <f t="shared" si="12"/>
        <v>298558.45413004741</v>
      </c>
      <c r="I33" s="511">
        <f t="shared" si="0"/>
        <v>0</v>
      </c>
      <c r="J33" s="511"/>
      <c r="K33" s="525"/>
      <c r="L33" s="514">
        <f t="shared" si="13"/>
        <v>0</v>
      </c>
      <c r="M33" s="525"/>
      <c r="N33" s="514">
        <f t="shared" si="2"/>
        <v>0</v>
      </c>
      <c r="O33" s="514">
        <f t="shared" si="3"/>
        <v>0</v>
      </c>
      <c r="P33" s="272"/>
    </row>
    <row r="34" spans="2:16">
      <c r="B34" s="195" t="str">
        <f t="shared" si="5"/>
        <v/>
      </c>
      <c r="C34" s="507">
        <f>IF(D11="","-",+C33+1)</f>
        <v>2036</v>
      </c>
      <c r="D34" s="523">
        <f>IF(F33+SUM(E$17:E33)=D$10,F33,D$10-SUM(E$17:E33))</f>
        <v>1890625.3744060821</v>
      </c>
      <c r="E34" s="522">
        <f>IF(+I14&lt;F33,I14,D34)</f>
        <v>68484.545454545456</v>
      </c>
      <c r="F34" s="523">
        <f t="shared" si="10"/>
        <v>1822140.8289515367</v>
      </c>
      <c r="G34" s="524">
        <f t="shared" si="11"/>
        <v>290372.6928492352</v>
      </c>
      <c r="H34" s="491">
        <f t="shared" si="12"/>
        <v>290372.6928492352</v>
      </c>
      <c r="I34" s="511">
        <f t="shared" si="0"/>
        <v>0</v>
      </c>
      <c r="J34" s="511"/>
      <c r="K34" s="525"/>
      <c r="L34" s="514">
        <f t="shared" si="13"/>
        <v>0</v>
      </c>
      <c r="M34" s="525"/>
      <c r="N34" s="514">
        <f t="shared" si="2"/>
        <v>0</v>
      </c>
      <c r="O34" s="514">
        <f t="shared" si="3"/>
        <v>0</v>
      </c>
      <c r="P34" s="272"/>
    </row>
    <row r="35" spans="2:16">
      <c r="B35" s="195" t="str">
        <f t="shared" si="5"/>
        <v/>
      </c>
      <c r="C35" s="507">
        <f>IF(D11="","-",+C34+1)</f>
        <v>2037</v>
      </c>
      <c r="D35" s="523">
        <f>IF(F34+SUM(E$17:E34)=D$10,F34,D$10-SUM(E$17:E34))</f>
        <v>1822140.8289515367</v>
      </c>
      <c r="E35" s="522">
        <f>IF(+I14&lt;F34,I14,D35)</f>
        <v>68484.545454545456</v>
      </c>
      <c r="F35" s="523">
        <f t="shared" si="10"/>
        <v>1753656.2834969913</v>
      </c>
      <c r="G35" s="524">
        <f t="shared" si="11"/>
        <v>282186.93156842294</v>
      </c>
      <c r="H35" s="491">
        <f t="shared" si="12"/>
        <v>282186.93156842294</v>
      </c>
      <c r="I35" s="511">
        <f t="shared" si="0"/>
        <v>0</v>
      </c>
      <c r="J35" s="511"/>
      <c r="K35" s="525"/>
      <c r="L35" s="514">
        <f t="shared" si="13"/>
        <v>0</v>
      </c>
      <c r="M35" s="525"/>
      <c r="N35" s="514">
        <f t="shared" si="2"/>
        <v>0</v>
      </c>
      <c r="O35" s="514">
        <f t="shared" si="3"/>
        <v>0</v>
      </c>
      <c r="P35" s="272"/>
    </row>
    <row r="36" spans="2:16">
      <c r="B36" s="195" t="str">
        <f t="shared" si="5"/>
        <v/>
      </c>
      <c r="C36" s="507">
        <f>IF(D11="","-",+C35+1)</f>
        <v>2038</v>
      </c>
      <c r="D36" s="523">
        <f>IF(F35+SUM(E$17:E35)=D$10,F35,D$10-SUM(E$17:E35))</f>
        <v>1753656.2834969913</v>
      </c>
      <c r="E36" s="522">
        <f>IF(+I14&lt;F35,I14,D36)</f>
        <v>68484.545454545456</v>
      </c>
      <c r="F36" s="523">
        <f t="shared" si="10"/>
        <v>1685171.7380424459</v>
      </c>
      <c r="G36" s="524">
        <f t="shared" si="11"/>
        <v>274001.17028761073</v>
      </c>
      <c r="H36" s="491">
        <f t="shared" si="12"/>
        <v>274001.17028761073</v>
      </c>
      <c r="I36" s="511">
        <f t="shared" si="0"/>
        <v>0</v>
      </c>
      <c r="J36" s="511"/>
      <c r="K36" s="525"/>
      <c r="L36" s="514">
        <f t="shared" si="13"/>
        <v>0</v>
      </c>
      <c r="M36" s="525"/>
      <c r="N36" s="514">
        <f t="shared" si="2"/>
        <v>0</v>
      </c>
      <c r="O36" s="514">
        <f t="shared" si="3"/>
        <v>0</v>
      </c>
      <c r="P36" s="272"/>
    </row>
    <row r="37" spans="2:16">
      <c r="B37" s="195" t="str">
        <f t="shared" si="5"/>
        <v/>
      </c>
      <c r="C37" s="507">
        <f>IF(D11="","-",+C36+1)</f>
        <v>2039</v>
      </c>
      <c r="D37" s="523">
        <f>IF(F36+SUM(E$17:E36)=D$10,F36,D$10-SUM(E$17:E36))</f>
        <v>1685171.7380424459</v>
      </c>
      <c r="E37" s="522">
        <f>IF(+I14&lt;F36,I14,D37)</f>
        <v>68484.545454545456</v>
      </c>
      <c r="F37" s="523">
        <f t="shared" si="10"/>
        <v>1616687.1925879004</v>
      </c>
      <c r="G37" s="524">
        <f t="shared" si="11"/>
        <v>265815.40900679852</v>
      </c>
      <c r="H37" s="491">
        <f t="shared" si="12"/>
        <v>265815.40900679852</v>
      </c>
      <c r="I37" s="511">
        <f t="shared" si="0"/>
        <v>0</v>
      </c>
      <c r="J37" s="511"/>
      <c r="K37" s="525"/>
      <c r="L37" s="514">
        <f t="shared" si="13"/>
        <v>0</v>
      </c>
      <c r="M37" s="525"/>
      <c r="N37" s="514">
        <f t="shared" si="2"/>
        <v>0</v>
      </c>
      <c r="O37" s="514">
        <f t="shared" si="3"/>
        <v>0</v>
      </c>
      <c r="P37" s="272"/>
    </row>
    <row r="38" spans="2:16">
      <c r="B38" s="195" t="str">
        <f t="shared" si="5"/>
        <v/>
      </c>
      <c r="C38" s="507">
        <f>IF(D11="","-",+C37+1)</f>
        <v>2040</v>
      </c>
      <c r="D38" s="523">
        <f>IF(F37+SUM(E$17:E37)=D$10,F37,D$10-SUM(E$17:E37))</f>
        <v>1616687.1925879004</v>
      </c>
      <c r="E38" s="522">
        <f>IF(+I14&lt;F37,I14,D38)</f>
        <v>68484.545454545456</v>
      </c>
      <c r="F38" s="523">
        <f t="shared" si="10"/>
        <v>1548202.647133355</v>
      </c>
      <c r="G38" s="524">
        <f t="shared" si="11"/>
        <v>257629.64772598626</v>
      </c>
      <c r="H38" s="491">
        <f t="shared" si="12"/>
        <v>257629.64772598626</v>
      </c>
      <c r="I38" s="511">
        <f t="shared" si="0"/>
        <v>0</v>
      </c>
      <c r="J38" s="511"/>
      <c r="K38" s="525"/>
      <c r="L38" s="514">
        <f t="shared" si="13"/>
        <v>0</v>
      </c>
      <c r="M38" s="525"/>
      <c r="N38" s="514">
        <f t="shared" si="2"/>
        <v>0</v>
      </c>
      <c r="O38" s="514">
        <f t="shared" si="3"/>
        <v>0</v>
      </c>
      <c r="P38" s="272"/>
    </row>
    <row r="39" spans="2:16">
      <c r="B39" s="195" t="str">
        <f t="shared" si="5"/>
        <v/>
      </c>
      <c r="C39" s="507">
        <f>IF(D11="","-",+C38+1)</f>
        <v>2041</v>
      </c>
      <c r="D39" s="523">
        <f>IF(F38+SUM(E$17:E38)=D$10,F38,D$10-SUM(E$17:E38))</f>
        <v>1548202.647133355</v>
      </c>
      <c r="E39" s="522">
        <f>IF(+I14&lt;F38,I14,D39)</f>
        <v>68484.545454545456</v>
      </c>
      <c r="F39" s="523">
        <f t="shared" si="10"/>
        <v>1479718.1016788096</v>
      </c>
      <c r="G39" s="524">
        <f t="shared" si="11"/>
        <v>249443.88644517405</v>
      </c>
      <c r="H39" s="491">
        <f t="shared" si="12"/>
        <v>249443.88644517405</v>
      </c>
      <c r="I39" s="511">
        <f t="shared" si="0"/>
        <v>0</v>
      </c>
      <c r="J39" s="511"/>
      <c r="K39" s="525"/>
      <c r="L39" s="514">
        <f t="shared" si="13"/>
        <v>0</v>
      </c>
      <c r="M39" s="525"/>
      <c r="N39" s="514">
        <f t="shared" si="2"/>
        <v>0</v>
      </c>
      <c r="O39" s="514">
        <f t="shared" si="3"/>
        <v>0</v>
      </c>
      <c r="P39" s="272"/>
    </row>
    <row r="40" spans="2:16">
      <c r="B40" s="195" t="str">
        <f t="shared" si="5"/>
        <v/>
      </c>
      <c r="C40" s="507">
        <f>IF(D11="","-",+C39+1)</f>
        <v>2042</v>
      </c>
      <c r="D40" s="523">
        <f>IF(F39+SUM(E$17:E39)=D$10,F39,D$10-SUM(E$17:E39))</f>
        <v>1479718.1016788096</v>
      </c>
      <c r="E40" s="522">
        <f>IF(+I14&lt;F39,I14,D40)</f>
        <v>68484.545454545456</v>
      </c>
      <c r="F40" s="523">
        <f t="shared" si="10"/>
        <v>1411233.5562242642</v>
      </c>
      <c r="G40" s="524">
        <f t="shared" si="11"/>
        <v>241258.12516436185</v>
      </c>
      <c r="H40" s="491">
        <f t="shared" si="12"/>
        <v>241258.12516436185</v>
      </c>
      <c r="I40" s="511">
        <f t="shared" si="0"/>
        <v>0</v>
      </c>
      <c r="J40" s="511"/>
      <c r="K40" s="525"/>
      <c r="L40" s="514">
        <f t="shared" si="13"/>
        <v>0</v>
      </c>
      <c r="M40" s="525"/>
      <c r="N40" s="514">
        <f t="shared" si="2"/>
        <v>0</v>
      </c>
      <c r="O40" s="514">
        <f t="shared" si="3"/>
        <v>0</v>
      </c>
      <c r="P40" s="272"/>
    </row>
    <row r="41" spans="2:16">
      <c r="B41" s="195" t="str">
        <f t="shared" si="5"/>
        <v/>
      </c>
      <c r="C41" s="507">
        <f>IF(D11="","-",+C40+1)</f>
        <v>2043</v>
      </c>
      <c r="D41" s="523">
        <f>IF(F40+SUM(E$17:E40)=D$10,F40,D$10-SUM(E$17:E40))</f>
        <v>1411233.5562242642</v>
      </c>
      <c r="E41" s="522">
        <f>IF(+I14&lt;F40,I14,D41)</f>
        <v>68484.545454545456</v>
      </c>
      <c r="F41" s="523">
        <f t="shared" si="10"/>
        <v>1342749.0107697188</v>
      </c>
      <c r="G41" s="524">
        <f t="shared" si="11"/>
        <v>233072.36388354958</v>
      </c>
      <c r="H41" s="491">
        <f t="shared" si="12"/>
        <v>233072.36388354958</v>
      </c>
      <c r="I41" s="511">
        <f t="shared" si="0"/>
        <v>0</v>
      </c>
      <c r="J41" s="511"/>
      <c r="K41" s="525"/>
      <c r="L41" s="514">
        <f t="shared" si="13"/>
        <v>0</v>
      </c>
      <c r="M41" s="525"/>
      <c r="N41" s="514">
        <f t="shared" si="2"/>
        <v>0</v>
      </c>
      <c r="O41" s="514">
        <f t="shared" si="3"/>
        <v>0</v>
      </c>
      <c r="P41" s="272"/>
    </row>
    <row r="42" spans="2:16">
      <c r="B42" s="195" t="str">
        <f t="shared" si="5"/>
        <v/>
      </c>
      <c r="C42" s="507">
        <f>IF(D11="","-",+C41+1)</f>
        <v>2044</v>
      </c>
      <c r="D42" s="523">
        <f>IF(F41+SUM(E$17:E41)=D$10,F41,D$10-SUM(E$17:E41))</f>
        <v>1342749.0107697188</v>
      </c>
      <c r="E42" s="522">
        <f>IF(+I14&lt;F41,I14,D42)</f>
        <v>68484.545454545456</v>
      </c>
      <c r="F42" s="523">
        <f t="shared" si="10"/>
        <v>1274264.4653151734</v>
      </c>
      <c r="G42" s="524">
        <f t="shared" si="11"/>
        <v>224886.60260273737</v>
      </c>
      <c r="H42" s="491">
        <f t="shared" si="12"/>
        <v>224886.60260273737</v>
      </c>
      <c r="I42" s="511">
        <f t="shared" si="0"/>
        <v>0</v>
      </c>
      <c r="J42" s="511"/>
      <c r="K42" s="525"/>
      <c r="L42" s="514">
        <f t="shared" si="13"/>
        <v>0</v>
      </c>
      <c r="M42" s="525"/>
      <c r="N42" s="514">
        <f t="shared" si="2"/>
        <v>0</v>
      </c>
      <c r="O42" s="514">
        <f t="shared" si="3"/>
        <v>0</v>
      </c>
      <c r="P42" s="272"/>
    </row>
    <row r="43" spans="2:16">
      <c r="B43" s="195" t="str">
        <f t="shared" si="5"/>
        <v/>
      </c>
      <c r="C43" s="507">
        <f>IF(D11="","-",+C42+1)</f>
        <v>2045</v>
      </c>
      <c r="D43" s="523">
        <f>IF(F42+SUM(E$17:E42)=D$10,F42,D$10-SUM(E$17:E42))</f>
        <v>1274264.4653151734</v>
      </c>
      <c r="E43" s="522">
        <f>IF(+I14&lt;F42,I14,D43)</f>
        <v>68484.545454545456</v>
      </c>
      <c r="F43" s="523">
        <f t="shared" si="10"/>
        <v>1205779.919860628</v>
      </c>
      <c r="G43" s="524">
        <f t="shared" si="11"/>
        <v>216700.84132192517</v>
      </c>
      <c r="H43" s="491">
        <f t="shared" si="12"/>
        <v>216700.84132192517</v>
      </c>
      <c r="I43" s="511">
        <f t="shared" si="0"/>
        <v>0</v>
      </c>
      <c r="J43" s="511"/>
      <c r="K43" s="525"/>
      <c r="L43" s="514">
        <f t="shared" si="13"/>
        <v>0</v>
      </c>
      <c r="M43" s="525"/>
      <c r="N43" s="514">
        <f t="shared" si="2"/>
        <v>0</v>
      </c>
      <c r="O43" s="514">
        <f t="shared" si="3"/>
        <v>0</v>
      </c>
      <c r="P43" s="272"/>
    </row>
    <row r="44" spans="2:16">
      <c r="B44" s="195" t="str">
        <f t="shared" si="5"/>
        <v/>
      </c>
      <c r="C44" s="507">
        <f>IF(D11="","-",+C43+1)</f>
        <v>2046</v>
      </c>
      <c r="D44" s="523">
        <f>IF(F43+SUM(E$17:E43)=D$10,F43,D$10-SUM(E$17:E43))</f>
        <v>1205779.919860628</v>
      </c>
      <c r="E44" s="522">
        <f>IF(+I14&lt;F43,I14,D44)</f>
        <v>68484.545454545456</v>
      </c>
      <c r="F44" s="523">
        <f t="shared" si="10"/>
        <v>1137295.3744060826</v>
      </c>
      <c r="G44" s="524">
        <f t="shared" si="11"/>
        <v>208515.08004111296</v>
      </c>
      <c r="H44" s="491">
        <f t="shared" si="12"/>
        <v>208515.08004111296</v>
      </c>
      <c r="I44" s="511">
        <f t="shared" si="0"/>
        <v>0</v>
      </c>
      <c r="J44" s="511"/>
      <c r="K44" s="525"/>
      <c r="L44" s="514">
        <f t="shared" si="13"/>
        <v>0</v>
      </c>
      <c r="M44" s="525"/>
      <c r="N44" s="514">
        <f t="shared" si="2"/>
        <v>0</v>
      </c>
      <c r="O44" s="514">
        <f t="shared" si="3"/>
        <v>0</v>
      </c>
      <c r="P44" s="272"/>
    </row>
    <row r="45" spans="2:16">
      <c r="B45" s="195" t="str">
        <f t="shared" si="5"/>
        <v/>
      </c>
      <c r="C45" s="507">
        <f>IF(D11="","-",+C44+1)</f>
        <v>2047</v>
      </c>
      <c r="D45" s="523">
        <f>IF(F44+SUM(E$17:E44)=D$10,F44,D$10-SUM(E$17:E44))</f>
        <v>1137295.3744060826</v>
      </c>
      <c r="E45" s="522">
        <f>IF(+I14&lt;F44,I14,D45)</f>
        <v>68484.545454545456</v>
      </c>
      <c r="F45" s="523">
        <f t="shared" si="10"/>
        <v>1068810.8289515371</v>
      </c>
      <c r="G45" s="524">
        <f t="shared" si="11"/>
        <v>200329.3187603007</v>
      </c>
      <c r="H45" s="491">
        <f t="shared" si="12"/>
        <v>200329.3187603007</v>
      </c>
      <c r="I45" s="511">
        <f t="shared" si="0"/>
        <v>0</v>
      </c>
      <c r="J45" s="511"/>
      <c r="K45" s="525"/>
      <c r="L45" s="514">
        <f t="shared" si="13"/>
        <v>0</v>
      </c>
      <c r="M45" s="525"/>
      <c r="N45" s="514">
        <f t="shared" si="2"/>
        <v>0</v>
      </c>
      <c r="O45" s="514">
        <f t="shared" si="3"/>
        <v>0</v>
      </c>
      <c r="P45" s="272"/>
    </row>
    <row r="46" spans="2:16">
      <c r="B46" s="195" t="str">
        <f t="shared" si="5"/>
        <v/>
      </c>
      <c r="C46" s="507">
        <f>IF(D11="","-",+C45+1)</f>
        <v>2048</v>
      </c>
      <c r="D46" s="523">
        <f>IF(F45+SUM(E$17:E45)=D$10,F45,D$10-SUM(E$17:E45))</f>
        <v>1068810.8289515371</v>
      </c>
      <c r="E46" s="522">
        <f>IF(+I14&lt;F45,I14,D46)</f>
        <v>68484.545454545456</v>
      </c>
      <c r="F46" s="523">
        <f t="shared" si="10"/>
        <v>1000326.2834969917</v>
      </c>
      <c r="G46" s="524">
        <f t="shared" si="11"/>
        <v>192143.55747948849</v>
      </c>
      <c r="H46" s="491">
        <f t="shared" si="12"/>
        <v>192143.55747948849</v>
      </c>
      <c r="I46" s="511">
        <f t="shared" si="0"/>
        <v>0</v>
      </c>
      <c r="J46" s="511"/>
      <c r="K46" s="525"/>
      <c r="L46" s="514">
        <f t="shared" si="13"/>
        <v>0</v>
      </c>
      <c r="M46" s="525"/>
      <c r="N46" s="514">
        <f t="shared" si="2"/>
        <v>0</v>
      </c>
      <c r="O46" s="514">
        <f t="shared" si="3"/>
        <v>0</v>
      </c>
      <c r="P46" s="272"/>
    </row>
    <row r="47" spans="2:16">
      <c r="B47" s="195" t="str">
        <f t="shared" si="5"/>
        <v/>
      </c>
      <c r="C47" s="507">
        <f>IF(D11="","-",+C46+1)</f>
        <v>2049</v>
      </c>
      <c r="D47" s="523">
        <f>IF(F46+SUM(E$17:E46)=D$10,F46,D$10-SUM(E$17:E46))</f>
        <v>1000326.2834969917</v>
      </c>
      <c r="E47" s="522">
        <f>IF(+I14&lt;F46,I14,D47)</f>
        <v>68484.545454545456</v>
      </c>
      <c r="F47" s="523">
        <f t="shared" si="10"/>
        <v>931841.73804244632</v>
      </c>
      <c r="G47" s="524">
        <f t="shared" si="11"/>
        <v>183957.79619867625</v>
      </c>
      <c r="H47" s="491">
        <f t="shared" si="12"/>
        <v>183957.79619867625</v>
      </c>
      <c r="I47" s="511">
        <f t="shared" si="0"/>
        <v>0</v>
      </c>
      <c r="J47" s="511"/>
      <c r="K47" s="525"/>
      <c r="L47" s="514">
        <f t="shared" si="13"/>
        <v>0</v>
      </c>
      <c r="M47" s="525"/>
      <c r="N47" s="514">
        <f t="shared" si="2"/>
        <v>0</v>
      </c>
      <c r="O47" s="514">
        <f t="shared" si="3"/>
        <v>0</v>
      </c>
      <c r="P47" s="272"/>
    </row>
    <row r="48" spans="2:16">
      <c r="B48" s="195" t="str">
        <f t="shared" si="5"/>
        <v/>
      </c>
      <c r="C48" s="507">
        <f>IF(D11="","-",+C47+1)</f>
        <v>2050</v>
      </c>
      <c r="D48" s="523">
        <f>IF(F47+SUM(E$17:E47)=D$10,F47,D$10-SUM(E$17:E47))</f>
        <v>931841.73804244632</v>
      </c>
      <c r="E48" s="522">
        <f>IF(+I14&lt;F47,I14,D48)</f>
        <v>68484.545454545456</v>
      </c>
      <c r="F48" s="523">
        <f t="shared" si="10"/>
        <v>863357.19258790091</v>
      </c>
      <c r="G48" s="524">
        <f t="shared" si="11"/>
        <v>175772.03491786402</v>
      </c>
      <c r="H48" s="491">
        <f t="shared" si="12"/>
        <v>175772.03491786402</v>
      </c>
      <c r="I48" s="511">
        <f t="shared" si="0"/>
        <v>0</v>
      </c>
      <c r="J48" s="511"/>
      <c r="K48" s="525"/>
      <c r="L48" s="514">
        <f t="shared" si="13"/>
        <v>0</v>
      </c>
      <c r="M48" s="525"/>
      <c r="N48" s="514">
        <f t="shared" si="2"/>
        <v>0</v>
      </c>
      <c r="O48" s="514">
        <f t="shared" si="3"/>
        <v>0</v>
      </c>
      <c r="P48" s="272"/>
    </row>
    <row r="49" spans="2:16">
      <c r="B49" s="195" t="str">
        <f t="shared" si="5"/>
        <v/>
      </c>
      <c r="C49" s="507">
        <f>IF(D11="","-",+C48+1)</f>
        <v>2051</v>
      </c>
      <c r="D49" s="523">
        <f>IF(F48+SUM(E$17:E48)=D$10,F48,D$10-SUM(E$17:E48))</f>
        <v>863357.19258790091</v>
      </c>
      <c r="E49" s="522">
        <f>IF(+I14&lt;F48,I14,D49)</f>
        <v>68484.545454545456</v>
      </c>
      <c r="F49" s="523">
        <f t="shared" si="10"/>
        <v>794872.64713335549</v>
      </c>
      <c r="G49" s="524">
        <f t="shared" si="11"/>
        <v>167586.27363705181</v>
      </c>
      <c r="H49" s="491">
        <f t="shared" si="12"/>
        <v>167586.27363705181</v>
      </c>
      <c r="I49" s="511">
        <f t="shared" si="0"/>
        <v>0</v>
      </c>
      <c r="J49" s="511"/>
      <c r="K49" s="525"/>
      <c r="L49" s="514">
        <f t="shared" si="13"/>
        <v>0</v>
      </c>
      <c r="M49" s="525"/>
      <c r="N49" s="514">
        <f t="shared" si="2"/>
        <v>0</v>
      </c>
      <c r="O49" s="514">
        <f t="shared" si="3"/>
        <v>0</v>
      </c>
      <c r="P49" s="272"/>
    </row>
    <row r="50" spans="2:16">
      <c r="B50" s="195" t="str">
        <f t="shared" si="5"/>
        <v/>
      </c>
      <c r="C50" s="507">
        <f>IF(D11="","-",+C49+1)</f>
        <v>2052</v>
      </c>
      <c r="D50" s="523">
        <f>IF(F49+SUM(E$17:E49)=D$10,F49,D$10-SUM(E$17:E49))</f>
        <v>794872.64713335549</v>
      </c>
      <c r="E50" s="522">
        <f>IF(+I14&lt;F49,I14,D50)</f>
        <v>68484.545454545456</v>
      </c>
      <c r="F50" s="523">
        <f t="shared" si="10"/>
        <v>726388.10167881008</v>
      </c>
      <c r="G50" s="524">
        <f t="shared" si="11"/>
        <v>159400.5123562396</v>
      </c>
      <c r="H50" s="491">
        <f t="shared" si="12"/>
        <v>159400.5123562396</v>
      </c>
      <c r="I50" s="511">
        <f t="shared" si="0"/>
        <v>0</v>
      </c>
      <c r="J50" s="511"/>
      <c r="K50" s="525"/>
      <c r="L50" s="514">
        <f t="shared" si="13"/>
        <v>0</v>
      </c>
      <c r="M50" s="525"/>
      <c r="N50" s="514">
        <f t="shared" si="2"/>
        <v>0</v>
      </c>
      <c r="O50" s="514">
        <f t="shared" si="3"/>
        <v>0</v>
      </c>
      <c r="P50" s="272"/>
    </row>
    <row r="51" spans="2:16">
      <c r="B51" s="195" t="str">
        <f t="shared" si="5"/>
        <v/>
      </c>
      <c r="C51" s="507">
        <f>IF(D11="","-",+C50+1)</f>
        <v>2053</v>
      </c>
      <c r="D51" s="523">
        <f>IF(F50+SUM(E$17:E50)=D$10,F50,D$10-SUM(E$17:E50))</f>
        <v>726388.10167881008</v>
      </c>
      <c r="E51" s="522">
        <f>IF(+I14&lt;F50,I14,D51)</f>
        <v>68484.545454545456</v>
      </c>
      <c r="F51" s="523">
        <f t="shared" si="10"/>
        <v>657903.55622426467</v>
      </c>
      <c r="G51" s="524">
        <f t="shared" si="11"/>
        <v>151214.75107542737</v>
      </c>
      <c r="H51" s="491">
        <f t="shared" si="12"/>
        <v>151214.75107542737</v>
      </c>
      <c r="I51" s="511">
        <f t="shared" si="0"/>
        <v>0</v>
      </c>
      <c r="J51" s="511"/>
      <c r="K51" s="525"/>
      <c r="L51" s="514">
        <f t="shared" si="13"/>
        <v>0</v>
      </c>
      <c r="M51" s="525"/>
      <c r="N51" s="514">
        <f t="shared" si="2"/>
        <v>0</v>
      </c>
      <c r="O51" s="514">
        <f t="shared" si="3"/>
        <v>0</v>
      </c>
      <c r="P51" s="272"/>
    </row>
    <row r="52" spans="2:16">
      <c r="B52" s="195" t="str">
        <f t="shared" si="5"/>
        <v/>
      </c>
      <c r="C52" s="507">
        <f>IF(D11="","-",+C51+1)</f>
        <v>2054</v>
      </c>
      <c r="D52" s="523">
        <f>IF(F51+SUM(E$17:E51)=D$10,F51,D$10-SUM(E$17:E51))</f>
        <v>657903.55622426467</v>
      </c>
      <c r="E52" s="522">
        <f>IF(+I14&lt;F51,I14,D52)</f>
        <v>68484.545454545456</v>
      </c>
      <c r="F52" s="523">
        <f t="shared" si="10"/>
        <v>589419.01076971926</v>
      </c>
      <c r="G52" s="524">
        <f t="shared" si="11"/>
        <v>143028.98979461513</v>
      </c>
      <c r="H52" s="491">
        <f t="shared" si="12"/>
        <v>143028.98979461513</v>
      </c>
      <c r="I52" s="511">
        <f t="shared" si="0"/>
        <v>0</v>
      </c>
      <c r="J52" s="511"/>
      <c r="K52" s="525"/>
      <c r="L52" s="514">
        <f t="shared" si="13"/>
        <v>0</v>
      </c>
      <c r="M52" s="525"/>
      <c r="N52" s="514">
        <f t="shared" si="2"/>
        <v>0</v>
      </c>
      <c r="O52" s="514">
        <f t="shared" si="3"/>
        <v>0</v>
      </c>
      <c r="P52" s="272"/>
    </row>
    <row r="53" spans="2:16">
      <c r="B53" s="195" t="str">
        <f t="shared" si="5"/>
        <v/>
      </c>
      <c r="C53" s="507">
        <f>IF(D11="","-",+C52+1)</f>
        <v>2055</v>
      </c>
      <c r="D53" s="523">
        <f>IF(F52+SUM(E$17:E52)=D$10,F52,D$10-SUM(E$17:E52))</f>
        <v>589419.01076971926</v>
      </c>
      <c r="E53" s="522">
        <f>IF(+I14&lt;F52,I14,D53)</f>
        <v>68484.545454545456</v>
      </c>
      <c r="F53" s="523">
        <f t="shared" si="10"/>
        <v>520934.46531517379</v>
      </c>
      <c r="G53" s="524">
        <f t="shared" si="11"/>
        <v>134843.22851380293</v>
      </c>
      <c r="H53" s="491">
        <f t="shared" si="12"/>
        <v>134843.22851380293</v>
      </c>
      <c r="I53" s="511">
        <f t="shared" si="0"/>
        <v>0</v>
      </c>
      <c r="J53" s="511"/>
      <c r="K53" s="525"/>
      <c r="L53" s="514">
        <f t="shared" si="13"/>
        <v>0</v>
      </c>
      <c r="M53" s="525"/>
      <c r="N53" s="514">
        <f t="shared" si="2"/>
        <v>0</v>
      </c>
      <c r="O53" s="514">
        <f t="shared" si="3"/>
        <v>0</v>
      </c>
      <c r="P53" s="272"/>
    </row>
    <row r="54" spans="2:16">
      <c r="B54" s="195" t="str">
        <f t="shared" si="5"/>
        <v/>
      </c>
      <c r="C54" s="507">
        <f>IF(D11="","-",+C53+1)</f>
        <v>2056</v>
      </c>
      <c r="D54" s="523">
        <f>IF(F53+SUM(E$17:E53)=D$10,F53,D$10-SUM(E$17:E53))</f>
        <v>520934.46531517379</v>
      </c>
      <c r="E54" s="522">
        <f>IF(+I14&lt;F53,I14,D54)</f>
        <v>68484.545454545456</v>
      </c>
      <c r="F54" s="523">
        <f t="shared" si="10"/>
        <v>452449.91986062832</v>
      </c>
      <c r="G54" s="524">
        <f t="shared" si="11"/>
        <v>126657.46723299068</v>
      </c>
      <c r="H54" s="491">
        <f t="shared" si="12"/>
        <v>126657.46723299068</v>
      </c>
      <c r="I54" s="511">
        <f t="shared" si="0"/>
        <v>0</v>
      </c>
      <c r="J54" s="511"/>
      <c r="K54" s="525"/>
      <c r="L54" s="514">
        <f t="shared" si="13"/>
        <v>0</v>
      </c>
      <c r="M54" s="525"/>
      <c r="N54" s="514">
        <f t="shared" si="2"/>
        <v>0</v>
      </c>
      <c r="O54" s="514">
        <f t="shared" si="3"/>
        <v>0</v>
      </c>
      <c r="P54" s="272"/>
    </row>
    <row r="55" spans="2:16">
      <c r="B55" s="195" t="str">
        <f t="shared" si="5"/>
        <v/>
      </c>
      <c r="C55" s="507">
        <f>IF(D11="","-",+C54+1)</f>
        <v>2057</v>
      </c>
      <c r="D55" s="523">
        <f>IF(F54+SUM(E$17:E54)=D$10,F54,D$10-SUM(E$17:E54))</f>
        <v>452449.91986062832</v>
      </c>
      <c r="E55" s="522">
        <f>IF(+I14&lt;F54,I14,D55)</f>
        <v>68484.545454545456</v>
      </c>
      <c r="F55" s="523">
        <f t="shared" si="10"/>
        <v>383965.37440608285</v>
      </c>
      <c r="G55" s="524">
        <f t="shared" si="11"/>
        <v>118471.70595217845</v>
      </c>
      <c r="H55" s="491">
        <f t="shared" si="12"/>
        <v>118471.70595217845</v>
      </c>
      <c r="I55" s="511">
        <f t="shared" si="0"/>
        <v>0</v>
      </c>
      <c r="J55" s="511"/>
      <c r="K55" s="525"/>
      <c r="L55" s="514">
        <f t="shared" si="13"/>
        <v>0</v>
      </c>
      <c r="M55" s="525"/>
      <c r="N55" s="514">
        <f t="shared" si="2"/>
        <v>0</v>
      </c>
      <c r="O55" s="514">
        <f t="shared" si="3"/>
        <v>0</v>
      </c>
      <c r="P55" s="272"/>
    </row>
    <row r="56" spans="2:16">
      <c r="B56" s="195" t="str">
        <f t="shared" si="5"/>
        <v/>
      </c>
      <c r="C56" s="507">
        <f>IF(D11="","-",+C55+1)</f>
        <v>2058</v>
      </c>
      <c r="D56" s="523">
        <f>IF(F55+SUM(E$17:E55)=D$10,F55,D$10-SUM(E$17:E55))</f>
        <v>383965.37440608285</v>
      </c>
      <c r="E56" s="522">
        <f>IF(+I14&lt;F55,I14,D56)</f>
        <v>68484.545454545456</v>
      </c>
      <c r="F56" s="523">
        <f t="shared" si="10"/>
        <v>315480.82895153738</v>
      </c>
      <c r="G56" s="524">
        <f t="shared" si="11"/>
        <v>110285.94467136622</v>
      </c>
      <c r="H56" s="491">
        <f t="shared" si="12"/>
        <v>110285.94467136622</v>
      </c>
      <c r="I56" s="511">
        <f t="shared" si="0"/>
        <v>0</v>
      </c>
      <c r="J56" s="511"/>
      <c r="K56" s="525"/>
      <c r="L56" s="514">
        <f t="shared" si="13"/>
        <v>0</v>
      </c>
      <c r="M56" s="525"/>
      <c r="N56" s="514">
        <f t="shared" si="2"/>
        <v>0</v>
      </c>
      <c r="O56" s="514">
        <f t="shared" si="3"/>
        <v>0</v>
      </c>
      <c r="P56" s="272"/>
    </row>
    <row r="57" spans="2:16">
      <c r="B57" s="195" t="str">
        <f t="shared" si="5"/>
        <v/>
      </c>
      <c r="C57" s="507">
        <f>IF(D11="","-",+C56+1)</f>
        <v>2059</v>
      </c>
      <c r="D57" s="523">
        <f>IF(F56+SUM(E$17:E56)=D$10,F56,D$10-SUM(E$17:E56))</f>
        <v>315480.82895153738</v>
      </c>
      <c r="E57" s="522">
        <f>IF(+I14&lt;F56,I14,D57)</f>
        <v>68484.545454545456</v>
      </c>
      <c r="F57" s="523">
        <f t="shared" si="10"/>
        <v>246996.28349699191</v>
      </c>
      <c r="G57" s="524">
        <f t="shared" si="11"/>
        <v>102100.18339055398</v>
      </c>
      <c r="H57" s="491">
        <f t="shared" si="12"/>
        <v>102100.18339055398</v>
      </c>
      <c r="I57" s="511">
        <f t="shared" si="0"/>
        <v>0</v>
      </c>
      <c r="J57" s="511"/>
      <c r="K57" s="525"/>
      <c r="L57" s="514">
        <f t="shared" si="13"/>
        <v>0</v>
      </c>
      <c r="M57" s="525"/>
      <c r="N57" s="514">
        <f t="shared" si="2"/>
        <v>0</v>
      </c>
      <c r="O57" s="514">
        <f t="shared" si="3"/>
        <v>0</v>
      </c>
      <c r="P57" s="272"/>
    </row>
    <row r="58" spans="2:16">
      <c r="B58" s="195" t="str">
        <f t="shared" si="5"/>
        <v/>
      </c>
      <c r="C58" s="507">
        <f>IF(D11="","-",+C57+1)</f>
        <v>2060</v>
      </c>
      <c r="D58" s="523">
        <f>IF(F57+SUM(E$17:E57)=D$10,F57,D$10-SUM(E$17:E57))</f>
        <v>246996.28349699191</v>
      </c>
      <c r="E58" s="522">
        <f>IF(+I14&lt;F57,I14,D58)</f>
        <v>68484.545454545456</v>
      </c>
      <c r="F58" s="523">
        <f t="shared" si="10"/>
        <v>178511.73804244644</v>
      </c>
      <c r="G58" s="524">
        <f t="shared" si="11"/>
        <v>93914.422109741747</v>
      </c>
      <c r="H58" s="491">
        <f t="shared" si="12"/>
        <v>93914.422109741747</v>
      </c>
      <c r="I58" s="511">
        <f t="shared" si="0"/>
        <v>0</v>
      </c>
      <c r="J58" s="511"/>
      <c r="K58" s="525"/>
      <c r="L58" s="514">
        <f t="shared" si="13"/>
        <v>0</v>
      </c>
      <c r="M58" s="525"/>
      <c r="N58" s="514">
        <f t="shared" si="2"/>
        <v>0</v>
      </c>
      <c r="O58" s="514">
        <f t="shared" si="3"/>
        <v>0</v>
      </c>
      <c r="P58" s="272"/>
    </row>
    <row r="59" spans="2:16">
      <c r="B59" s="195" t="str">
        <f t="shared" si="5"/>
        <v/>
      </c>
      <c r="C59" s="507">
        <f>IF(D11="","-",+C58+1)</f>
        <v>2061</v>
      </c>
      <c r="D59" s="523">
        <f>IF(F58+SUM(E$17:E58)=D$10,F58,D$10-SUM(E$17:E58))</f>
        <v>178511.73804244644</v>
      </c>
      <c r="E59" s="522">
        <f>IF(+I14&lt;F58,I14,D59)</f>
        <v>68484.545454545456</v>
      </c>
      <c r="F59" s="523">
        <f t="shared" si="10"/>
        <v>110027.19258790098</v>
      </c>
      <c r="G59" s="524">
        <f t="shared" si="11"/>
        <v>85728.660828929525</v>
      </c>
      <c r="H59" s="491">
        <f t="shared" si="12"/>
        <v>85728.660828929525</v>
      </c>
      <c r="I59" s="511">
        <f t="shared" si="0"/>
        <v>0</v>
      </c>
      <c r="J59" s="511"/>
      <c r="K59" s="525"/>
      <c r="L59" s="514">
        <f t="shared" si="13"/>
        <v>0</v>
      </c>
      <c r="M59" s="525"/>
      <c r="N59" s="514">
        <f t="shared" si="2"/>
        <v>0</v>
      </c>
      <c r="O59" s="514">
        <f t="shared" si="3"/>
        <v>0</v>
      </c>
      <c r="P59" s="272"/>
    </row>
    <row r="60" spans="2:16">
      <c r="B60" s="195" t="str">
        <f t="shared" si="5"/>
        <v/>
      </c>
      <c r="C60" s="507">
        <f>IF(D11="","-",+C59+1)</f>
        <v>2062</v>
      </c>
      <c r="D60" s="523">
        <f>IF(F59+SUM(E$17:E59)=D$10,F59,D$10-SUM(E$17:E59))</f>
        <v>110027.19258790098</v>
      </c>
      <c r="E60" s="522">
        <f>IF(+I14&lt;F59,I14,D60)</f>
        <v>68484.545454545456</v>
      </c>
      <c r="F60" s="523">
        <f t="shared" si="10"/>
        <v>41542.647133355524</v>
      </c>
      <c r="G60" s="524">
        <f t="shared" si="11"/>
        <v>77542.89954811729</v>
      </c>
      <c r="H60" s="491">
        <f t="shared" si="12"/>
        <v>77542.89954811729</v>
      </c>
      <c r="I60" s="511">
        <f t="shared" si="0"/>
        <v>0</v>
      </c>
      <c r="J60" s="511"/>
      <c r="K60" s="525"/>
      <c r="L60" s="514">
        <f t="shared" si="13"/>
        <v>0</v>
      </c>
      <c r="M60" s="525"/>
      <c r="N60" s="514">
        <f t="shared" si="2"/>
        <v>0</v>
      </c>
      <c r="O60" s="514">
        <f t="shared" si="3"/>
        <v>0</v>
      </c>
      <c r="P60" s="272"/>
    </row>
    <row r="61" spans="2:16">
      <c r="B61" s="195" t="str">
        <f t="shared" si="5"/>
        <v/>
      </c>
      <c r="C61" s="507">
        <f>IF(D11="","-",+C60+1)</f>
        <v>2063</v>
      </c>
      <c r="D61" s="523">
        <f>IF(F60+SUM(E$17:E60)=D$10,F60,D$10-SUM(E$17:E60))</f>
        <v>41542.647133355524</v>
      </c>
      <c r="E61" s="522">
        <f>IF(+I14&lt;F60,I14,D61)</f>
        <v>41542.647133355524</v>
      </c>
      <c r="F61" s="523">
        <f t="shared" si="10"/>
        <v>0</v>
      </c>
      <c r="G61" s="526">
        <f t="shared" si="11"/>
        <v>44025.383859938389</v>
      </c>
      <c r="H61" s="491">
        <f t="shared" si="12"/>
        <v>44025.383859938389</v>
      </c>
      <c r="I61" s="511">
        <f t="shared" si="0"/>
        <v>0</v>
      </c>
      <c r="J61" s="511"/>
      <c r="K61" s="525"/>
      <c r="L61" s="514">
        <f t="shared" si="13"/>
        <v>0</v>
      </c>
      <c r="M61" s="525"/>
      <c r="N61" s="514">
        <f t="shared" si="2"/>
        <v>0</v>
      </c>
      <c r="O61" s="514">
        <f t="shared" si="3"/>
        <v>0</v>
      </c>
      <c r="P61" s="272"/>
    </row>
    <row r="62" spans="2:16">
      <c r="B62" s="195" t="str">
        <f t="shared" si="5"/>
        <v/>
      </c>
      <c r="C62" s="507">
        <f>IF(D11="","-",+C61+1)</f>
        <v>2064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10"/>
        <v>0</v>
      </c>
      <c r="G62" s="526">
        <f t="shared" si="11"/>
        <v>0</v>
      </c>
      <c r="H62" s="491">
        <f t="shared" si="12"/>
        <v>0</v>
      </c>
      <c r="I62" s="511">
        <f t="shared" si="0"/>
        <v>0</v>
      </c>
      <c r="J62" s="511"/>
      <c r="K62" s="525"/>
      <c r="L62" s="514">
        <f t="shared" si="13"/>
        <v>0</v>
      </c>
      <c r="M62" s="525"/>
      <c r="N62" s="514">
        <f t="shared" si="2"/>
        <v>0</v>
      </c>
      <c r="O62" s="514">
        <f t="shared" si="3"/>
        <v>0</v>
      </c>
      <c r="P62" s="272"/>
    </row>
    <row r="63" spans="2:16">
      <c r="B63" s="195" t="str">
        <f t="shared" si="5"/>
        <v/>
      </c>
      <c r="C63" s="507">
        <f>IF(D11="","-",+C62+1)</f>
        <v>2065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10"/>
        <v>0</v>
      </c>
      <c r="G63" s="526">
        <f t="shared" si="11"/>
        <v>0</v>
      </c>
      <c r="H63" s="491">
        <f t="shared" si="12"/>
        <v>0</v>
      </c>
      <c r="I63" s="511">
        <f t="shared" si="0"/>
        <v>0</v>
      </c>
      <c r="J63" s="511"/>
      <c r="K63" s="525"/>
      <c r="L63" s="514">
        <f t="shared" si="13"/>
        <v>0</v>
      </c>
      <c r="M63" s="525"/>
      <c r="N63" s="514">
        <f t="shared" si="2"/>
        <v>0</v>
      </c>
      <c r="O63" s="514">
        <f t="shared" si="3"/>
        <v>0</v>
      </c>
      <c r="P63" s="272"/>
    </row>
    <row r="64" spans="2:16">
      <c r="B64" s="195" t="str">
        <f t="shared" si="5"/>
        <v/>
      </c>
      <c r="C64" s="507">
        <f>IF(D11="","-",+C63+1)</f>
        <v>2066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10"/>
        <v>0</v>
      </c>
      <c r="G64" s="526">
        <f t="shared" si="11"/>
        <v>0</v>
      </c>
      <c r="H64" s="491">
        <f t="shared" si="12"/>
        <v>0</v>
      </c>
      <c r="I64" s="511">
        <f t="shared" si="0"/>
        <v>0</v>
      </c>
      <c r="J64" s="511"/>
      <c r="K64" s="525"/>
      <c r="L64" s="514">
        <f t="shared" si="13"/>
        <v>0</v>
      </c>
      <c r="M64" s="525"/>
      <c r="N64" s="514">
        <f t="shared" si="2"/>
        <v>0</v>
      </c>
      <c r="O64" s="514">
        <f t="shared" si="3"/>
        <v>0</v>
      </c>
      <c r="P64" s="272"/>
    </row>
    <row r="65" spans="2:16">
      <c r="B65" s="195" t="str">
        <f t="shared" si="5"/>
        <v/>
      </c>
      <c r="C65" s="507">
        <f>IF(D11="","-",+C64+1)</f>
        <v>2067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10"/>
        <v>0</v>
      </c>
      <c r="G65" s="526">
        <f t="shared" si="11"/>
        <v>0</v>
      </c>
      <c r="H65" s="491">
        <f t="shared" si="12"/>
        <v>0</v>
      </c>
      <c r="I65" s="511">
        <f t="shared" si="0"/>
        <v>0</v>
      </c>
      <c r="J65" s="511"/>
      <c r="K65" s="525"/>
      <c r="L65" s="514">
        <f t="shared" si="13"/>
        <v>0</v>
      </c>
      <c r="M65" s="525"/>
      <c r="N65" s="514">
        <f t="shared" si="2"/>
        <v>0</v>
      </c>
      <c r="O65" s="514">
        <f t="shared" si="3"/>
        <v>0</v>
      </c>
      <c r="P65" s="272"/>
    </row>
    <row r="66" spans="2:16">
      <c r="B66" s="195" t="str">
        <f t="shared" si="5"/>
        <v/>
      </c>
      <c r="C66" s="507">
        <f>IF(D11="","-",+C65+1)</f>
        <v>2068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10"/>
        <v>0</v>
      </c>
      <c r="G66" s="526">
        <f t="shared" si="11"/>
        <v>0</v>
      </c>
      <c r="H66" s="491">
        <f t="shared" si="12"/>
        <v>0</v>
      </c>
      <c r="I66" s="511">
        <f t="shared" si="0"/>
        <v>0</v>
      </c>
      <c r="J66" s="511"/>
      <c r="K66" s="525"/>
      <c r="L66" s="514">
        <f t="shared" si="13"/>
        <v>0</v>
      </c>
      <c r="M66" s="525"/>
      <c r="N66" s="514">
        <f t="shared" si="2"/>
        <v>0</v>
      </c>
      <c r="O66" s="514">
        <f t="shared" si="3"/>
        <v>0</v>
      </c>
      <c r="P66" s="272"/>
    </row>
    <row r="67" spans="2:16">
      <c r="B67" s="195" t="str">
        <f t="shared" si="5"/>
        <v/>
      </c>
      <c r="C67" s="507">
        <f>IF(D11="","-",+C66+1)</f>
        <v>2069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10"/>
        <v>0</v>
      </c>
      <c r="G67" s="526">
        <f t="shared" si="11"/>
        <v>0</v>
      </c>
      <c r="H67" s="491">
        <f t="shared" si="12"/>
        <v>0</v>
      </c>
      <c r="I67" s="511">
        <f t="shared" si="0"/>
        <v>0</v>
      </c>
      <c r="J67" s="511"/>
      <c r="K67" s="525"/>
      <c r="L67" s="514">
        <f t="shared" si="13"/>
        <v>0</v>
      </c>
      <c r="M67" s="525"/>
      <c r="N67" s="514">
        <f t="shared" si="2"/>
        <v>0</v>
      </c>
      <c r="O67" s="514">
        <f t="shared" si="3"/>
        <v>0</v>
      </c>
      <c r="P67" s="272"/>
    </row>
    <row r="68" spans="2:16">
      <c r="B68" s="195" t="str">
        <f t="shared" si="5"/>
        <v/>
      </c>
      <c r="C68" s="507">
        <f>IF(D11="","-",+C67+1)</f>
        <v>2070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10"/>
        <v>0</v>
      </c>
      <c r="G68" s="526">
        <f t="shared" si="11"/>
        <v>0</v>
      </c>
      <c r="H68" s="491">
        <f t="shared" si="12"/>
        <v>0</v>
      </c>
      <c r="I68" s="511">
        <f t="shared" si="0"/>
        <v>0</v>
      </c>
      <c r="J68" s="511"/>
      <c r="K68" s="525"/>
      <c r="L68" s="514">
        <f t="shared" si="13"/>
        <v>0</v>
      </c>
      <c r="M68" s="525"/>
      <c r="N68" s="514">
        <f t="shared" si="2"/>
        <v>0</v>
      </c>
      <c r="O68" s="514">
        <f t="shared" si="3"/>
        <v>0</v>
      </c>
      <c r="P68" s="272"/>
    </row>
    <row r="69" spans="2:16">
      <c r="B69" s="195" t="str">
        <f t="shared" si="5"/>
        <v/>
      </c>
      <c r="C69" s="507">
        <f>IF(D11="","-",+C68+1)</f>
        <v>2071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10"/>
        <v>0</v>
      </c>
      <c r="G69" s="526">
        <f t="shared" si="11"/>
        <v>0</v>
      </c>
      <c r="H69" s="491">
        <f t="shared" si="12"/>
        <v>0</v>
      </c>
      <c r="I69" s="511">
        <f t="shared" si="0"/>
        <v>0</v>
      </c>
      <c r="J69" s="511"/>
      <c r="K69" s="525"/>
      <c r="L69" s="514">
        <f t="shared" si="13"/>
        <v>0</v>
      </c>
      <c r="M69" s="525"/>
      <c r="N69" s="514">
        <f t="shared" si="2"/>
        <v>0</v>
      </c>
      <c r="O69" s="514">
        <f t="shared" si="3"/>
        <v>0</v>
      </c>
      <c r="P69" s="272"/>
    </row>
    <row r="70" spans="2:16">
      <c r="B70" s="195" t="str">
        <f t="shared" si="5"/>
        <v/>
      </c>
      <c r="C70" s="507">
        <f>IF(D11="","-",+C69+1)</f>
        <v>2072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10"/>
        <v>0</v>
      </c>
      <c r="G70" s="526">
        <f t="shared" si="11"/>
        <v>0</v>
      </c>
      <c r="H70" s="491">
        <f t="shared" si="12"/>
        <v>0</v>
      </c>
      <c r="I70" s="511">
        <f t="shared" si="0"/>
        <v>0</v>
      </c>
      <c r="J70" s="511"/>
      <c r="K70" s="525"/>
      <c r="L70" s="514">
        <f t="shared" si="13"/>
        <v>0</v>
      </c>
      <c r="M70" s="525"/>
      <c r="N70" s="514">
        <f t="shared" si="2"/>
        <v>0</v>
      </c>
      <c r="O70" s="514">
        <f t="shared" si="3"/>
        <v>0</v>
      </c>
      <c r="P70" s="272"/>
    </row>
    <row r="71" spans="2:16">
      <c r="B71" s="195" t="str">
        <f t="shared" si="5"/>
        <v/>
      </c>
      <c r="C71" s="507">
        <f>IF(D11="","-",+C70+1)</f>
        <v>2073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10"/>
        <v>0</v>
      </c>
      <c r="G71" s="526">
        <f t="shared" si="11"/>
        <v>0</v>
      </c>
      <c r="H71" s="491">
        <f t="shared" si="12"/>
        <v>0</v>
      </c>
      <c r="I71" s="511">
        <f t="shared" si="0"/>
        <v>0</v>
      </c>
      <c r="J71" s="511"/>
      <c r="K71" s="525"/>
      <c r="L71" s="514">
        <f t="shared" si="13"/>
        <v>0</v>
      </c>
      <c r="M71" s="525"/>
      <c r="N71" s="514">
        <f t="shared" si="2"/>
        <v>0</v>
      </c>
      <c r="O71" s="514">
        <f t="shared" si="3"/>
        <v>0</v>
      </c>
      <c r="P71" s="272"/>
    </row>
    <row r="72" spans="2:16" ht="13.5" thickBot="1">
      <c r="B72" s="195" t="str">
        <f t="shared" si="5"/>
        <v/>
      </c>
      <c r="C72" s="527">
        <f>IF(D11="","-",+C71+1)</f>
        <v>2074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10"/>
        <v>0</v>
      </c>
      <c r="G72" s="530">
        <f t="shared" si="11"/>
        <v>0</v>
      </c>
      <c r="H72" s="471">
        <f t="shared" si="12"/>
        <v>0</v>
      </c>
      <c r="I72" s="531">
        <f t="shared" si="0"/>
        <v>0</v>
      </c>
      <c r="J72" s="511"/>
      <c r="K72" s="532"/>
      <c r="L72" s="533">
        <f t="shared" si="13"/>
        <v>0</v>
      </c>
      <c r="M72" s="532"/>
      <c r="N72" s="533">
        <f t="shared" si="2"/>
        <v>0</v>
      </c>
      <c r="O72" s="533">
        <f t="shared" si="3"/>
        <v>0</v>
      </c>
      <c r="P72" s="272"/>
    </row>
    <row r="73" spans="2:16">
      <c r="C73" s="374" t="s">
        <v>78</v>
      </c>
      <c r="D73" s="375"/>
      <c r="E73" s="375">
        <f>SUM(E17:E72)</f>
        <v>3013319.9999999995</v>
      </c>
      <c r="F73" s="375"/>
      <c r="G73" s="375">
        <f>SUM(G17:G72)</f>
        <v>10661285.539257189</v>
      </c>
      <c r="H73" s="375">
        <f>SUM(H17:H72)</f>
        <v>10661285.539257189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2:16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2:16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2:16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2:16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272"/>
      <c r="P77" s="272"/>
    </row>
    <row r="78" spans="2:16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2:16"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  <c r="O79" s="269"/>
      <c r="P79" s="269"/>
    </row>
    <row r="80" spans="2:16" ht="18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6">
      <c r="B81" s="269"/>
      <c r="C81" s="340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6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</row>
    <row r="83" spans="1:16" ht="20.25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451" t="str">
        <f ca="1">P1</f>
        <v>SWEPCO Project 74 of 75</v>
      </c>
    </row>
    <row r="84" spans="1:16" ht="18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538" t="s">
        <v>128</v>
      </c>
    </row>
    <row r="85" spans="1:16" ht="18.7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</row>
    <row r="86" spans="1:16" ht="15.75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2022</v>
      </c>
      <c r="M86" s="541" t="s">
        <v>9</v>
      </c>
      <c r="N86" s="542" t="s">
        <v>159</v>
      </c>
      <c r="O86" s="543" t="s">
        <v>11</v>
      </c>
      <c r="P86" s="269"/>
    </row>
    <row r="87" spans="1:16" ht="1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391</v>
      </c>
      <c r="M87" s="546">
        <f>IF(J92&lt;D11,0,VLOOKUP(J92,C17:O72,9))</f>
        <v>374480.76907253434</v>
      </c>
      <c r="N87" s="546">
        <f>IF(J92&lt;D11,0,VLOOKUP(J92,C17:O72,11))</f>
        <v>374480.76907253434</v>
      </c>
      <c r="O87" s="547">
        <f>+N87-M87</f>
        <v>0</v>
      </c>
      <c r="P87" s="269"/>
    </row>
    <row r="88" spans="1:16" ht="15.7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392</v>
      </c>
      <c r="M88" s="550">
        <f>IF(J92&lt;D11,0,VLOOKUP(J92,C99:P154,6))</f>
        <v>385366.43972059927</v>
      </c>
      <c r="N88" s="550">
        <f>IF(J92&lt;D11,0,VLOOKUP(J92,C99:P154,7))</f>
        <v>385366.43972059927</v>
      </c>
      <c r="O88" s="551">
        <f>+N88-M88</f>
        <v>0</v>
      </c>
      <c r="P88" s="269"/>
    </row>
    <row r="89" spans="1:16" ht="13.5" thickBot="1">
      <c r="C89" s="467" t="s">
        <v>84</v>
      </c>
      <c r="D89" s="552" t="str">
        <f>+D7</f>
        <v>Figure Five - VBI North 69 kV Rebuild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10885.67064806493</v>
      </c>
      <c r="N89" s="555">
        <f>+N88-N87</f>
        <v>10885.67064806493</v>
      </c>
      <c r="O89" s="556">
        <f>+O88-O87</f>
        <v>0</v>
      </c>
      <c r="P89" s="269"/>
    </row>
    <row r="90" spans="1:16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</row>
    <row r="91" spans="1:16" ht="13.5" thickBot="1">
      <c r="A91" s="191"/>
      <c r="C91" s="558" t="s">
        <v>85</v>
      </c>
      <c r="D91" s="559" t="str">
        <f>+D9</f>
        <v>TA2016806</v>
      </c>
      <c r="E91" s="560"/>
      <c r="F91" s="560"/>
      <c r="G91" s="560"/>
      <c r="H91" s="560"/>
      <c r="I91" s="560"/>
      <c r="J91" s="560"/>
      <c r="K91" s="562"/>
      <c r="P91" s="481"/>
    </row>
    <row r="92" spans="1:16">
      <c r="C92" s="486" t="s">
        <v>51</v>
      </c>
      <c r="D92" s="564">
        <v>2910918</v>
      </c>
      <c r="E92" s="340" t="s">
        <v>86</v>
      </c>
      <c r="H92" s="484"/>
      <c r="I92" s="484"/>
      <c r="J92" s="485">
        <f>+'SWE.WS.G.BPU.ATRR.True-up'!M16</f>
        <v>2022</v>
      </c>
      <c r="K92" s="480"/>
      <c r="L92" s="375" t="s">
        <v>87</v>
      </c>
      <c r="P92" s="272"/>
    </row>
    <row r="93" spans="1:16">
      <c r="C93" s="486" t="s">
        <v>54</v>
      </c>
      <c r="D93" s="563">
        <f>+D11</f>
        <v>2019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</row>
    <row r="94" spans="1:16">
      <c r="C94" s="486" t="s">
        <v>56</v>
      </c>
      <c r="D94" s="564">
        <v>4</v>
      </c>
      <c r="E94" s="486" t="s">
        <v>57</v>
      </c>
      <c r="F94" s="484"/>
      <c r="G94" s="484"/>
      <c r="J94" s="490">
        <f>'SWE.WS.G.BPU.ATRR.True-up'!$F$81</f>
        <v>0.11351422637179906</v>
      </c>
      <c r="K94" s="425"/>
      <c r="L94" s="183" t="s">
        <v>88</v>
      </c>
      <c r="P94" s="272"/>
    </row>
    <row r="95" spans="1:16">
      <c r="C95" s="486" t="s">
        <v>59</v>
      </c>
      <c r="D95" s="488">
        <f>'SWE.WS.G.BPU.ATRR.True-up'!F$93</f>
        <v>41</v>
      </c>
      <c r="E95" s="486" t="s">
        <v>60</v>
      </c>
      <c r="F95" s="484"/>
      <c r="G95" s="484"/>
      <c r="J95" s="490">
        <f>IF(H87="",J94,'SWE.WS.G.BPU.ATRR.True-up'!$F$80)</f>
        <v>0.11351422637179906</v>
      </c>
      <c r="K95" s="324"/>
      <c r="L95" s="375" t="s">
        <v>61</v>
      </c>
      <c r="M95" s="324"/>
      <c r="N95" s="324"/>
      <c r="O95" s="324"/>
      <c r="P95" s="272"/>
    </row>
    <row r="96" spans="1:16" ht="13.5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70998</v>
      </c>
      <c r="K96" s="375"/>
      <c r="L96" s="375"/>
      <c r="M96" s="375"/>
      <c r="N96" s="375"/>
      <c r="O96" s="375"/>
      <c r="P96" s="272"/>
    </row>
    <row r="97" spans="1:16" ht="38.25">
      <c r="A97" s="662"/>
      <c r="B97" s="66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388</v>
      </c>
      <c r="I97" s="495" t="s">
        <v>389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</row>
    <row r="98" spans="1:16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602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</row>
    <row r="99" spans="1:16">
      <c r="C99" s="507">
        <f>IF(D93= "","-",D93)</f>
        <v>2019</v>
      </c>
      <c r="D99" s="629">
        <v>0</v>
      </c>
      <c r="E99" s="630">
        <v>45130.51162790697</v>
      </c>
      <c r="F99" s="631">
        <v>2865787.4883720931</v>
      </c>
      <c r="G99" s="631">
        <v>1432893.7441860465</v>
      </c>
      <c r="H99" s="633">
        <v>198508.2411422825</v>
      </c>
      <c r="I99" s="634">
        <v>198508.2411422825</v>
      </c>
      <c r="J99" s="514">
        <f t="shared" ref="J99:J130" si="14">+I99-H99</f>
        <v>0</v>
      </c>
      <c r="K99" s="514"/>
      <c r="L99" s="512">
        <f>+H99</f>
        <v>198508.2411422825</v>
      </c>
      <c r="M99" s="513">
        <f t="shared" ref="M99:M100" si="15">IF(L99&lt;&gt;0,+H99-L99,0)</f>
        <v>0</v>
      </c>
      <c r="N99" s="512">
        <f>+I99</f>
        <v>198508.2411422825</v>
      </c>
      <c r="O99" s="513">
        <f t="shared" ref="O99:O130" si="16">IF(N99&lt;&gt;0,+I99-N99,0)</f>
        <v>0</v>
      </c>
      <c r="P99" s="513">
        <f t="shared" ref="P99:P130" si="17">+O99-M99</f>
        <v>0</v>
      </c>
    </row>
    <row r="100" spans="1:16">
      <c r="B100" s="195" t="str">
        <f>IF(D100=F99,"","IU")</f>
        <v/>
      </c>
      <c r="C100" s="507">
        <f>IF(D93="","-",+C99+1)</f>
        <v>2020</v>
      </c>
      <c r="D100" s="629">
        <v>2865787.4883720931</v>
      </c>
      <c r="E100" s="630">
        <v>69307.571428571435</v>
      </c>
      <c r="F100" s="631">
        <v>2796479.9169435217</v>
      </c>
      <c r="G100" s="631">
        <v>2831133.7026578076</v>
      </c>
      <c r="H100" s="633">
        <v>373863.47414547531</v>
      </c>
      <c r="I100" s="634">
        <v>373863.47414547531</v>
      </c>
      <c r="J100" s="514">
        <f t="shared" si="14"/>
        <v>0</v>
      </c>
      <c r="K100" s="514"/>
      <c r="L100" s="655">
        <f>+H100</f>
        <v>373863.47414547531</v>
      </c>
      <c r="M100" s="514">
        <f t="shared" si="15"/>
        <v>0</v>
      </c>
      <c r="N100" s="655">
        <f>+I100</f>
        <v>373863.47414547531</v>
      </c>
      <c r="O100" s="514">
        <f t="shared" si="16"/>
        <v>0</v>
      </c>
      <c r="P100" s="514">
        <f t="shared" si="17"/>
        <v>0</v>
      </c>
    </row>
    <row r="101" spans="1:16">
      <c r="B101" s="195" t="str">
        <f t="shared" ref="B101:B154" si="18">IF(D101=F100,"","IU")</f>
        <v/>
      </c>
      <c r="C101" s="507">
        <f>IF(D93="","-",+C100+1)</f>
        <v>2021</v>
      </c>
      <c r="D101" s="629">
        <v>2796479.9169435217</v>
      </c>
      <c r="E101" s="630">
        <v>70998</v>
      </c>
      <c r="F101" s="631">
        <v>2725481.9169435217</v>
      </c>
      <c r="G101" s="631">
        <v>2760980.9169435217</v>
      </c>
      <c r="H101" s="633">
        <v>384408.61281414429</v>
      </c>
      <c r="I101" s="634">
        <v>384408.61281414429</v>
      </c>
      <c r="J101" s="514">
        <f t="shared" si="14"/>
        <v>0</v>
      </c>
      <c r="K101" s="514"/>
      <c r="L101" s="655">
        <f>+H101</f>
        <v>384408.61281414429</v>
      </c>
      <c r="M101" s="514">
        <f t="shared" ref="M101" si="19">IF(L101&lt;&gt;0,+H101-L101,0)</f>
        <v>0</v>
      </c>
      <c r="N101" s="655">
        <f>+I101</f>
        <v>384408.61281414429</v>
      </c>
      <c r="O101" s="514">
        <f t="shared" ref="O101" si="20">IF(N101&lt;&gt;0,+I101-N101,0)</f>
        <v>0</v>
      </c>
      <c r="P101" s="514">
        <f t="shared" ref="P101" si="21">+O101-M101</f>
        <v>0</v>
      </c>
    </row>
    <row r="102" spans="1:16">
      <c r="B102" s="195" t="str">
        <f t="shared" si="18"/>
        <v/>
      </c>
      <c r="C102" s="673">
        <f>IF(D93="","-",+C101+1)</f>
        <v>2022</v>
      </c>
      <c r="D102" s="374">
        <v>2725481.9169435217</v>
      </c>
      <c r="E102" s="522">
        <v>69307.571428571435</v>
      </c>
      <c r="F102" s="523">
        <v>2656174.3455149503</v>
      </c>
      <c r="G102" s="523">
        <v>2690828.1312292358</v>
      </c>
      <c r="H102" s="526">
        <v>385366.43972059927</v>
      </c>
      <c r="I102" s="577">
        <v>385366.43972059927</v>
      </c>
      <c r="J102" s="514">
        <f t="shared" si="14"/>
        <v>0</v>
      </c>
      <c r="K102" s="514"/>
      <c r="L102" s="525"/>
      <c r="M102" s="514">
        <f t="shared" ref="M102:M130" si="22">IF(L102&lt;&gt;0,+H102-L102,0)</f>
        <v>0</v>
      </c>
      <c r="N102" s="525"/>
      <c r="O102" s="514">
        <f t="shared" si="16"/>
        <v>0</v>
      </c>
      <c r="P102" s="514">
        <f t="shared" si="17"/>
        <v>0</v>
      </c>
    </row>
    <row r="103" spans="1:16">
      <c r="B103" s="195" t="str">
        <f t="shared" si="18"/>
        <v/>
      </c>
      <c r="C103" s="507">
        <f>IF(D93="","-",+C102+1)</f>
        <v>2023</v>
      </c>
      <c r="D103" s="374">
        <f>IF(F102+SUM(E$99:E102)=D$92,F102,D$92-SUM(E$99:E102))</f>
        <v>2656174.3455149503</v>
      </c>
      <c r="E103" s="522">
        <f>IF(+J96&lt;F102,J96,D103)</f>
        <v>70998</v>
      </c>
      <c r="F103" s="523">
        <f t="shared" ref="F103:F154" si="23">+D103-E103</f>
        <v>2585176.3455149503</v>
      </c>
      <c r="G103" s="523">
        <f t="shared" ref="G103:G154" si="24">+(F103+D103)/2</f>
        <v>2620675.3455149503</v>
      </c>
      <c r="H103" s="526">
        <f t="shared" ref="H103:H154" si="25">+J$94*G103+E103</f>
        <v>368481.93441777676</v>
      </c>
      <c r="I103" s="577">
        <f t="shared" ref="I103:I154" si="26">+J$95*G103+E103</f>
        <v>368481.93441777676</v>
      </c>
      <c r="J103" s="514">
        <f t="shared" si="14"/>
        <v>0</v>
      </c>
      <c r="K103" s="514"/>
      <c r="L103" s="525"/>
      <c r="M103" s="514">
        <f t="shared" si="22"/>
        <v>0</v>
      </c>
      <c r="N103" s="525"/>
      <c r="O103" s="514">
        <f t="shared" si="16"/>
        <v>0</v>
      </c>
      <c r="P103" s="514">
        <f t="shared" si="17"/>
        <v>0</v>
      </c>
    </row>
    <row r="104" spans="1:16">
      <c r="B104" s="195" t="str">
        <f t="shared" si="18"/>
        <v/>
      </c>
      <c r="C104" s="507">
        <f>IF(D93="","-",+C103+1)</f>
        <v>2024</v>
      </c>
      <c r="D104" s="374">
        <f>IF(F103+SUM(E$99:E103)=D$92,F103,D$92-SUM(E$99:E103))</f>
        <v>2585176.3455149503</v>
      </c>
      <c r="E104" s="522">
        <f>IF(+J96&lt;F103,J96,D104)</f>
        <v>70998</v>
      </c>
      <c r="F104" s="523">
        <f t="shared" si="23"/>
        <v>2514178.3455149503</v>
      </c>
      <c r="G104" s="523">
        <f t="shared" si="24"/>
        <v>2549677.3455149503</v>
      </c>
      <c r="H104" s="526">
        <f t="shared" si="25"/>
        <v>360422.65137383179</v>
      </c>
      <c r="I104" s="577">
        <f t="shared" si="26"/>
        <v>360422.65137383179</v>
      </c>
      <c r="J104" s="514">
        <f t="shared" si="14"/>
        <v>0</v>
      </c>
      <c r="K104" s="514"/>
      <c r="L104" s="525"/>
      <c r="M104" s="514">
        <f t="shared" si="22"/>
        <v>0</v>
      </c>
      <c r="N104" s="525"/>
      <c r="O104" s="514">
        <f t="shared" si="16"/>
        <v>0</v>
      </c>
      <c r="P104" s="514">
        <f t="shared" si="17"/>
        <v>0</v>
      </c>
    </row>
    <row r="105" spans="1:16">
      <c r="B105" s="195" t="str">
        <f t="shared" si="18"/>
        <v/>
      </c>
      <c r="C105" s="507">
        <f>IF(D93="","-",+C104+1)</f>
        <v>2025</v>
      </c>
      <c r="D105" s="374">
        <f>IF(F104+SUM(E$99:E104)=D$92,F104,D$92-SUM(E$99:E104))</f>
        <v>2514178.3455149503</v>
      </c>
      <c r="E105" s="522">
        <f>IF(+J96&lt;F104,J96,D105)</f>
        <v>70998</v>
      </c>
      <c r="F105" s="523">
        <f t="shared" si="23"/>
        <v>2443180.3455149503</v>
      </c>
      <c r="G105" s="523">
        <f t="shared" si="24"/>
        <v>2478679.3455149503</v>
      </c>
      <c r="H105" s="526">
        <f t="shared" si="25"/>
        <v>352363.36832988681</v>
      </c>
      <c r="I105" s="577">
        <f t="shared" si="26"/>
        <v>352363.36832988681</v>
      </c>
      <c r="J105" s="514">
        <f t="shared" si="14"/>
        <v>0</v>
      </c>
      <c r="K105" s="514"/>
      <c r="L105" s="525"/>
      <c r="M105" s="514">
        <f t="shared" si="22"/>
        <v>0</v>
      </c>
      <c r="N105" s="525"/>
      <c r="O105" s="514">
        <f t="shared" si="16"/>
        <v>0</v>
      </c>
      <c r="P105" s="514">
        <f t="shared" si="17"/>
        <v>0</v>
      </c>
    </row>
    <row r="106" spans="1:16">
      <c r="B106" s="195" t="str">
        <f t="shared" si="18"/>
        <v/>
      </c>
      <c r="C106" s="507">
        <f>IF(D93="","-",+C105+1)</f>
        <v>2026</v>
      </c>
      <c r="D106" s="374">
        <f>IF(F105+SUM(E$99:E105)=D$92,F105,D$92-SUM(E$99:E105))</f>
        <v>2443180.3455149503</v>
      </c>
      <c r="E106" s="522">
        <f>IF(+J96&lt;F105,J96,D106)</f>
        <v>70998</v>
      </c>
      <c r="F106" s="523">
        <f t="shared" si="23"/>
        <v>2372182.3455149503</v>
      </c>
      <c r="G106" s="523">
        <f t="shared" si="24"/>
        <v>2407681.3455149503</v>
      </c>
      <c r="H106" s="526">
        <f t="shared" si="25"/>
        <v>344304.08528594184</v>
      </c>
      <c r="I106" s="577">
        <f t="shared" si="26"/>
        <v>344304.08528594184</v>
      </c>
      <c r="J106" s="514">
        <f t="shared" si="14"/>
        <v>0</v>
      </c>
      <c r="K106" s="514"/>
      <c r="L106" s="525"/>
      <c r="M106" s="514">
        <f t="shared" si="22"/>
        <v>0</v>
      </c>
      <c r="N106" s="525"/>
      <c r="O106" s="514">
        <f t="shared" si="16"/>
        <v>0</v>
      </c>
      <c r="P106" s="514">
        <f t="shared" si="17"/>
        <v>0</v>
      </c>
    </row>
    <row r="107" spans="1:16">
      <c r="B107" s="195" t="str">
        <f t="shared" si="18"/>
        <v/>
      </c>
      <c r="C107" s="507">
        <f>IF(D93="","-",+C106+1)</f>
        <v>2027</v>
      </c>
      <c r="D107" s="374">
        <f>IF(F106+SUM(E$99:E106)=D$92,F106,D$92-SUM(E$99:E106))</f>
        <v>2372182.3455149503</v>
      </c>
      <c r="E107" s="522">
        <f>IF(+J96&lt;F106,J96,D107)</f>
        <v>70998</v>
      </c>
      <c r="F107" s="523">
        <f t="shared" si="23"/>
        <v>2301184.3455149503</v>
      </c>
      <c r="G107" s="523">
        <f t="shared" si="24"/>
        <v>2336683.3455149503</v>
      </c>
      <c r="H107" s="526">
        <f t="shared" si="25"/>
        <v>336244.8022419968</v>
      </c>
      <c r="I107" s="577">
        <f t="shared" si="26"/>
        <v>336244.8022419968</v>
      </c>
      <c r="J107" s="514">
        <f t="shared" si="14"/>
        <v>0</v>
      </c>
      <c r="K107" s="514"/>
      <c r="L107" s="525"/>
      <c r="M107" s="514">
        <f t="shared" si="22"/>
        <v>0</v>
      </c>
      <c r="N107" s="525"/>
      <c r="O107" s="514">
        <f t="shared" si="16"/>
        <v>0</v>
      </c>
      <c r="P107" s="514">
        <f t="shared" si="17"/>
        <v>0</v>
      </c>
    </row>
    <row r="108" spans="1:16">
      <c r="B108" s="195" t="str">
        <f t="shared" si="18"/>
        <v/>
      </c>
      <c r="C108" s="507">
        <f>IF(D93="","-",+C107+1)</f>
        <v>2028</v>
      </c>
      <c r="D108" s="374">
        <f>IF(F107+SUM(E$99:E107)=D$92,F107,D$92-SUM(E$99:E107))</f>
        <v>2301184.3455149503</v>
      </c>
      <c r="E108" s="522">
        <f>IF(+J96&lt;F107,J96,D108)</f>
        <v>70998</v>
      </c>
      <c r="F108" s="523">
        <f t="shared" si="23"/>
        <v>2230186.3455149503</v>
      </c>
      <c r="G108" s="523">
        <f t="shared" si="24"/>
        <v>2265685.3455149503</v>
      </c>
      <c r="H108" s="526">
        <f t="shared" si="25"/>
        <v>328185.51919805183</v>
      </c>
      <c r="I108" s="577">
        <f t="shared" si="26"/>
        <v>328185.51919805183</v>
      </c>
      <c r="J108" s="514">
        <f t="shared" si="14"/>
        <v>0</v>
      </c>
      <c r="K108" s="514"/>
      <c r="L108" s="525"/>
      <c r="M108" s="514">
        <f t="shared" si="22"/>
        <v>0</v>
      </c>
      <c r="N108" s="525"/>
      <c r="O108" s="514">
        <f t="shared" si="16"/>
        <v>0</v>
      </c>
      <c r="P108" s="514">
        <f t="shared" si="17"/>
        <v>0</v>
      </c>
    </row>
    <row r="109" spans="1:16">
      <c r="B109" s="195" t="str">
        <f t="shared" si="18"/>
        <v/>
      </c>
      <c r="C109" s="507">
        <f>IF(D93="","-",+C108+1)</f>
        <v>2029</v>
      </c>
      <c r="D109" s="374">
        <f>IF(F108+SUM(E$99:E108)=D$92,F108,D$92-SUM(E$99:E108))</f>
        <v>2230186.3455149503</v>
      </c>
      <c r="E109" s="522">
        <f>IF(+J96&lt;F108,J96,D109)</f>
        <v>70998</v>
      </c>
      <c r="F109" s="523">
        <f t="shared" si="23"/>
        <v>2159188.3455149503</v>
      </c>
      <c r="G109" s="523">
        <f t="shared" si="24"/>
        <v>2194687.3455149503</v>
      </c>
      <c r="H109" s="526">
        <f t="shared" si="25"/>
        <v>320126.23615410685</v>
      </c>
      <c r="I109" s="577">
        <f t="shared" si="26"/>
        <v>320126.23615410685</v>
      </c>
      <c r="J109" s="514">
        <f t="shared" si="14"/>
        <v>0</v>
      </c>
      <c r="K109" s="514"/>
      <c r="L109" s="525"/>
      <c r="M109" s="514">
        <f t="shared" si="22"/>
        <v>0</v>
      </c>
      <c r="N109" s="525"/>
      <c r="O109" s="514">
        <f t="shared" si="16"/>
        <v>0</v>
      </c>
      <c r="P109" s="514">
        <f t="shared" si="17"/>
        <v>0</v>
      </c>
    </row>
    <row r="110" spans="1:16">
      <c r="B110" s="195" t="str">
        <f t="shared" si="18"/>
        <v/>
      </c>
      <c r="C110" s="507">
        <f>IF(D93="","-",+C109+1)</f>
        <v>2030</v>
      </c>
      <c r="D110" s="374">
        <f>IF(F109+SUM(E$99:E109)=D$92,F109,D$92-SUM(E$99:E109))</f>
        <v>2159188.3455149503</v>
      </c>
      <c r="E110" s="522">
        <f>IF(+J96&lt;F109,J96,D110)</f>
        <v>70998</v>
      </c>
      <c r="F110" s="523">
        <f t="shared" si="23"/>
        <v>2088190.3455149503</v>
      </c>
      <c r="G110" s="523">
        <f t="shared" si="24"/>
        <v>2123689.3455149503</v>
      </c>
      <c r="H110" s="526">
        <f t="shared" si="25"/>
        <v>312066.95311016182</v>
      </c>
      <c r="I110" s="577">
        <f t="shared" si="26"/>
        <v>312066.95311016182</v>
      </c>
      <c r="J110" s="514">
        <f t="shared" si="14"/>
        <v>0</v>
      </c>
      <c r="K110" s="514"/>
      <c r="L110" s="525"/>
      <c r="M110" s="514">
        <f t="shared" si="22"/>
        <v>0</v>
      </c>
      <c r="N110" s="525"/>
      <c r="O110" s="514">
        <f t="shared" si="16"/>
        <v>0</v>
      </c>
      <c r="P110" s="514">
        <f t="shared" si="17"/>
        <v>0</v>
      </c>
    </row>
    <row r="111" spans="1:16">
      <c r="B111" s="195" t="str">
        <f t="shared" si="18"/>
        <v/>
      </c>
      <c r="C111" s="507">
        <f>IF(D93="","-",+C110+1)</f>
        <v>2031</v>
      </c>
      <c r="D111" s="374">
        <f>IF(F110+SUM(E$99:E110)=D$92,F110,D$92-SUM(E$99:E110))</f>
        <v>2088190.3455149503</v>
      </c>
      <c r="E111" s="522">
        <f>IF(+J96&lt;F110,J96,D111)</f>
        <v>70998</v>
      </c>
      <c r="F111" s="523">
        <f t="shared" si="23"/>
        <v>2017192.3455149503</v>
      </c>
      <c r="G111" s="523">
        <f t="shared" si="24"/>
        <v>2052691.3455149503</v>
      </c>
      <c r="H111" s="526">
        <f t="shared" si="25"/>
        <v>304007.67006621684</v>
      </c>
      <c r="I111" s="577">
        <f t="shared" si="26"/>
        <v>304007.67006621684</v>
      </c>
      <c r="J111" s="514">
        <f t="shared" si="14"/>
        <v>0</v>
      </c>
      <c r="K111" s="514"/>
      <c r="L111" s="525"/>
      <c r="M111" s="514">
        <f t="shared" si="22"/>
        <v>0</v>
      </c>
      <c r="N111" s="525"/>
      <c r="O111" s="514">
        <f t="shared" si="16"/>
        <v>0</v>
      </c>
      <c r="P111" s="514">
        <f t="shared" si="17"/>
        <v>0</v>
      </c>
    </row>
    <row r="112" spans="1:16">
      <c r="B112" s="195" t="str">
        <f t="shared" si="18"/>
        <v/>
      </c>
      <c r="C112" s="507">
        <f>IF(D93="","-",+C111+1)</f>
        <v>2032</v>
      </c>
      <c r="D112" s="374">
        <f>IF(F111+SUM(E$99:E111)=D$92,F111,D$92-SUM(E$99:E111))</f>
        <v>2017192.3455149503</v>
      </c>
      <c r="E112" s="522">
        <f>IF(+J96&lt;F111,J96,D112)</f>
        <v>70998</v>
      </c>
      <c r="F112" s="523">
        <f t="shared" si="23"/>
        <v>1946194.3455149503</v>
      </c>
      <c r="G112" s="523">
        <f t="shared" si="24"/>
        <v>1981693.3455149503</v>
      </c>
      <c r="H112" s="526">
        <f t="shared" si="25"/>
        <v>295948.38702227187</v>
      </c>
      <c r="I112" s="577">
        <f t="shared" si="26"/>
        <v>295948.38702227187</v>
      </c>
      <c r="J112" s="514">
        <f t="shared" si="14"/>
        <v>0</v>
      </c>
      <c r="K112" s="514"/>
      <c r="L112" s="525"/>
      <c r="M112" s="514">
        <f t="shared" si="22"/>
        <v>0</v>
      </c>
      <c r="N112" s="525"/>
      <c r="O112" s="514">
        <f t="shared" si="16"/>
        <v>0</v>
      </c>
      <c r="P112" s="514">
        <f t="shared" si="17"/>
        <v>0</v>
      </c>
    </row>
    <row r="113" spans="2:16">
      <c r="B113" s="195" t="str">
        <f t="shared" si="18"/>
        <v/>
      </c>
      <c r="C113" s="507">
        <f>IF(D93="","-",+C112+1)</f>
        <v>2033</v>
      </c>
      <c r="D113" s="374">
        <f>IF(F112+SUM(E$99:E112)=D$92,F112,D$92-SUM(E$99:E112))</f>
        <v>1946194.3455149503</v>
      </c>
      <c r="E113" s="522">
        <f>IF(+J96&lt;F112,J96,D113)</f>
        <v>70998</v>
      </c>
      <c r="F113" s="523">
        <f t="shared" si="23"/>
        <v>1875196.3455149503</v>
      </c>
      <c r="G113" s="523">
        <f t="shared" si="24"/>
        <v>1910695.3455149503</v>
      </c>
      <c r="H113" s="526">
        <f t="shared" si="25"/>
        <v>287889.10397832689</v>
      </c>
      <c r="I113" s="577">
        <f t="shared" si="26"/>
        <v>287889.10397832689</v>
      </c>
      <c r="J113" s="514">
        <f t="shared" si="14"/>
        <v>0</v>
      </c>
      <c r="K113" s="514"/>
      <c r="L113" s="525"/>
      <c r="M113" s="514">
        <f t="shared" si="22"/>
        <v>0</v>
      </c>
      <c r="N113" s="525"/>
      <c r="O113" s="514">
        <f t="shared" si="16"/>
        <v>0</v>
      </c>
      <c r="P113" s="514">
        <f t="shared" si="17"/>
        <v>0</v>
      </c>
    </row>
    <row r="114" spans="2:16">
      <c r="B114" s="195" t="str">
        <f t="shared" si="18"/>
        <v/>
      </c>
      <c r="C114" s="507">
        <f>IF(D93="","-",+C113+1)</f>
        <v>2034</v>
      </c>
      <c r="D114" s="374">
        <f>IF(F113+SUM(E$99:E113)=D$92,F113,D$92-SUM(E$99:E113))</f>
        <v>1875196.3455149503</v>
      </c>
      <c r="E114" s="522">
        <f>IF(+J96&lt;F113,J96,D114)</f>
        <v>70998</v>
      </c>
      <c r="F114" s="523">
        <f t="shared" si="23"/>
        <v>1804198.3455149503</v>
      </c>
      <c r="G114" s="523">
        <f t="shared" si="24"/>
        <v>1839697.3455149503</v>
      </c>
      <c r="H114" s="526">
        <f t="shared" si="25"/>
        <v>279829.82093438192</v>
      </c>
      <c r="I114" s="577">
        <f t="shared" si="26"/>
        <v>279829.82093438192</v>
      </c>
      <c r="J114" s="514">
        <f t="shared" si="14"/>
        <v>0</v>
      </c>
      <c r="K114" s="514"/>
      <c r="L114" s="525"/>
      <c r="M114" s="514">
        <f t="shared" si="22"/>
        <v>0</v>
      </c>
      <c r="N114" s="525"/>
      <c r="O114" s="514">
        <f t="shared" si="16"/>
        <v>0</v>
      </c>
      <c r="P114" s="514">
        <f t="shared" si="17"/>
        <v>0</v>
      </c>
    </row>
    <row r="115" spans="2:16">
      <c r="B115" s="195" t="str">
        <f t="shared" si="18"/>
        <v/>
      </c>
      <c r="C115" s="507">
        <f>IF(D93="","-",+C114+1)</f>
        <v>2035</v>
      </c>
      <c r="D115" s="374">
        <f>IF(F114+SUM(E$99:E114)=D$92,F114,D$92-SUM(E$99:E114))</f>
        <v>1804198.3455149503</v>
      </c>
      <c r="E115" s="522">
        <f>IF(+J96&lt;F114,J96,D115)</f>
        <v>70998</v>
      </c>
      <c r="F115" s="523">
        <f t="shared" si="23"/>
        <v>1733200.3455149503</v>
      </c>
      <c r="G115" s="523">
        <f t="shared" si="24"/>
        <v>1768699.3455149503</v>
      </c>
      <c r="H115" s="526">
        <f t="shared" si="25"/>
        <v>271770.53789043694</v>
      </c>
      <c r="I115" s="577">
        <f t="shared" si="26"/>
        <v>271770.53789043694</v>
      </c>
      <c r="J115" s="514">
        <f t="shared" si="14"/>
        <v>0</v>
      </c>
      <c r="K115" s="514"/>
      <c r="L115" s="525"/>
      <c r="M115" s="514">
        <f t="shared" si="22"/>
        <v>0</v>
      </c>
      <c r="N115" s="525"/>
      <c r="O115" s="514">
        <f t="shared" si="16"/>
        <v>0</v>
      </c>
      <c r="P115" s="514">
        <f t="shared" si="17"/>
        <v>0</v>
      </c>
    </row>
    <row r="116" spans="2:16">
      <c r="B116" s="195" t="str">
        <f t="shared" si="18"/>
        <v/>
      </c>
      <c r="C116" s="507">
        <f>IF(D93="","-",+C115+1)</f>
        <v>2036</v>
      </c>
      <c r="D116" s="374">
        <f>IF(F115+SUM(E$99:E115)=D$92,F115,D$92-SUM(E$99:E115))</f>
        <v>1733200.3455149503</v>
      </c>
      <c r="E116" s="522">
        <f>IF(+J96&lt;F115,J96,D116)</f>
        <v>70998</v>
      </c>
      <c r="F116" s="523">
        <f t="shared" si="23"/>
        <v>1662202.3455149503</v>
      </c>
      <c r="G116" s="523">
        <f t="shared" si="24"/>
        <v>1697701.3455149503</v>
      </c>
      <c r="H116" s="526">
        <f t="shared" si="25"/>
        <v>263711.25484649191</v>
      </c>
      <c r="I116" s="577">
        <f t="shared" si="26"/>
        <v>263711.25484649191</v>
      </c>
      <c r="J116" s="514">
        <f t="shared" si="14"/>
        <v>0</v>
      </c>
      <c r="K116" s="514"/>
      <c r="L116" s="525"/>
      <c r="M116" s="514">
        <f t="shared" si="22"/>
        <v>0</v>
      </c>
      <c r="N116" s="525"/>
      <c r="O116" s="514">
        <f t="shared" si="16"/>
        <v>0</v>
      </c>
      <c r="P116" s="514">
        <f t="shared" si="17"/>
        <v>0</v>
      </c>
    </row>
    <row r="117" spans="2:16">
      <c r="B117" s="195" t="str">
        <f t="shared" si="18"/>
        <v/>
      </c>
      <c r="C117" s="507">
        <f>IF(D93="","-",+C116+1)</f>
        <v>2037</v>
      </c>
      <c r="D117" s="374">
        <f>IF(F116+SUM(E$99:E116)=D$92,F116,D$92-SUM(E$99:E116))</f>
        <v>1662202.3455149503</v>
      </c>
      <c r="E117" s="522">
        <f>IF(+J96&lt;F116,J96,D117)</f>
        <v>70998</v>
      </c>
      <c r="F117" s="523">
        <f t="shared" si="23"/>
        <v>1591204.3455149503</v>
      </c>
      <c r="G117" s="523">
        <f t="shared" si="24"/>
        <v>1626703.3455149503</v>
      </c>
      <c r="H117" s="526">
        <f t="shared" si="25"/>
        <v>255651.97180254693</v>
      </c>
      <c r="I117" s="577">
        <f t="shared" si="26"/>
        <v>255651.97180254693</v>
      </c>
      <c r="J117" s="514">
        <f t="shared" si="14"/>
        <v>0</v>
      </c>
      <c r="K117" s="514"/>
      <c r="L117" s="525"/>
      <c r="M117" s="514">
        <f t="shared" si="22"/>
        <v>0</v>
      </c>
      <c r="N117" s="525"/>
      <c r="O117" s="514">
        <f t="shared" si="16"/>
        <v>0</v>
      </c>
      <c r="P117" s="514">
        <f t="shared" si="17"/>
        <v>0</v>
      </c>
    </row>
    <row r="118" spans="2:16">
      <c r="B118" s="195" t="str">
        <f t="shared" si="18"/>
        <v/>
      </c>
      <c r="C118" s="507">
        <f>IF(D93="","-",+C117+1)</f>
        <v>2038</v>
      </c>
      <c r="D118" s="374">
        <f>IF(F117+SUM(E$99:E117)=D$92,F117,D$92-SUM(E$99:E117))</f>
        <v>1591204.3455149503</v>
      </c>
      <c r="E118" s="522">
        <f>IF(+J96&lt;F117,J96,D118)</f>
        <v>70998</v>
      </c>
      <c r="F118" s="523">
        <f t="shared" si="23"/>
        <v>1520206.3455149503</v>
      </c>
      <c r="G118" s="523">
        <f t="shared" si="24"/>
        <v>1555705.3455149503</v>
      </c>
      <c r="H118" s="526">
        <f t="shared" si="25"/>
        <v>247592.68875860196</v>
      </c>
      <c r="I118" s="577">
        <f t="shared" si="26"/>
        <v>247592.68875860196</v>
      </c>
      <c r="J118" s="514">
        <f t="shared" si="14"/>
        <v>0</v>
      </c>
      <c r="K118" s="514"/>
      <c r="L118" s="525"/>
      <c r="M118" s="514">
        <f t="shared" si="22"/>
        <v>0</v>
      </c>
      <c r="N118" s="525"/>
      <c r="O118" s="514">
        <f t="shared" si="16"/>
        <v>0</v>
      </c>
      <c r="P118" s="514">
        <f t="shared" si="17"/>
        <v>0</v>
      </c>
    </row>
    <row r="119" spans="2:16">
      <c r="B119" s="195" t="str">
        <f t="shared" si="18"/>
        <v/>
      </c>
      <c r="C119" s="507">
        <f>IF(D93="","-",+C118+1)</f>
        <v>2039</v>
      </c>
      <c r="D119" s="374">
        <f>IF(F118+SUM(E$99:E118)=D$92,F118,D$92-SUM(E$99:E118))</f>
        <v>1520206.3455149503</v>
      </c>
      <c r="E119" s="522">
        <f>IF(+J96&lt;F118,J96,D119)</f>
        <v>70998</v>
      </c>
      <c r="F119" s="523">
        <f t="shared" si="23"/>
        <v>1449208.3455149503</v>
      </c>
      <c r="G119" s="523">
        <f t="shared" si="24"/>
        <v>1484707.3455149503</v>
      </c>
      <c r="H119" s="526">
        <f t="shared" si="25"/>
        <v>239533.40571465695</v>
      </c>
      <c r="I119" s="577">
        <f t="shared" si="26"/>
        <v>239533.40571465695</v>
      </c>
      <c r="J119" s="514">
        <f t="shared" si="14"/>
        <v>0</v>
      </c>
      <c r="K119" s="514"/>
      <c r="L119" s="525"/>
      <c r="M119" s="514">
        <f t="shared" si="22"/>
        <v>0</v>
      </c>
      <c r="N119" s="525"/>
      <c r="O119" s="514">
        <f t="shared" si="16"/>
        <v>0</v>
      </c>
      <c r="P119" s="514">
        <f t="shared" si="17"/>
        <v>0</v>
      </c>
    </row>
    <row r="120" spans="2:16">
      <c r="B120" s="195" t="str">
        <f t="shared" si="18"/>
        <v/>
      </c>
      <c r="C120" s="507">
        <f>IF(D93="","-",+C119+1)</f>
        <v>2040</v>
      </c>
      <c r="D120" s="374">
        <f>IF(F119+SUM(E$99:E119)=D$92,F119,D$92-SUM(E$99:E119))</f>
        <v>1449208.3455149503</v>
      </c>
      <c r="E120" s="522">
        <f>IF(+J96&lt;F119,J96,D120)</f>
        <v>70998</v>
      </c>
      <c r="F120" s="523">
        <f t="shared" si="23"/>
        <v>1378210.3455149503</v>
      </c>
      <c r="G120" s="523">
        <f t="shared" si="24"/>
        <v>1413709.3455149503</v>
      </c>
      <c r="H120" s="526">
        <f t="shared" si="25"/>
        <v>231474.12267071198</v>
      </c>
      <c r="I120" s="577">
        <f t="shared" si="26"/>
        <v>231474.12267071198</v>
      </c>
      <c r="J120" s="514">
        <f t="shared" si="14"/>
        <v>0</v>
      </c>
      <c r="K120" s="514"/>
      <c r="L120" s="525"/>
      <c r="M120" s="514">
        <f t="shared" si="22"/>
        <v>0</v>
      </c>
      <c r="N120" s="525"/>
      <c r="O120" s="514">
        <f t="shared" si="16"/>
        <v>0</v>
      </c>
      <c r="P120" s="514">
        <f t="shared" si="17"/>
        <v>0</v>
      </c>
    </row>
    <row r="121" spans="2:16">
      <c r="B121" s="195" t="str">
        <f t="shared" si="18"/>
        <v/>
      </c>
      <c r="C121" s="507">
        <f>IF(D93="","-",+C120+1)</f>
        <v>2041</v>
      </c>
      <c r="D121" s="374">
        <f>IF(F120+SUM(E$99:E120)=D$92,F120,D$92-SUM(E$99:E120))</f>
        <v>1378210.3455149503</v>
      </c>
      <c r="E121" s="522">
        <f>IF(+J96&lt;F120,J96,D121)</f>
        <v>70998</v>
      </c>
      <c r="F121" s="523">
        <f t="shared" si="23"/>
        <v>1307212.3455149503</v>
      </c>
      <c r="G121" s="523">
        <f t="shared" si="24"/>
        <v>1342711.3455149503</v>
      </c>
      <c r="H121" s="526">
        <f t="shared" si="25"/>
        <v>223414.83962676697</v>
      </c>
      <c r="I121" s="577">
        <f t="shared" si="26"/>
        <v>223414.83962676697</v>
      </c>
      <c r="J121" s="514">
        <f t="shared" si="14"/>
        <v>0</v>
      </c>
      <c r="K121" s="514"/>
      <c r="L121" s="525"/>
      <c r="M121" s="514">
        <f t="shared" si="22"/>
        <v>0</v>
      </c>
      <c r="N121" s="525"/>
      <c r="O121" s="514">
        <f t="shared" si="16"/>
        <v>0</v>
      </c>
      <c r="P121" s="514">
        <f t="shared" si="17"/>
        <v>0</v>
      </c>
    </row>
    <row r="122" spans="2:16">
      <c r="B122" s="195" t="str">
        <f t="shared" si="18"/>
        <v/>
      </c>
      <c r="C122" s="507">
        <f>IF(D93="","-",+C121+1)</f>
        <v>2042</v>
      </c>
      <c r="D122" s="374">
        <f>IF(F121+SUM(E$99:E121)=D$92,F121,D$92-SUM(E$99:E121))</f>
        <v>1307212.3455149503</v>
      </c>
      <c r="E122" s="522">
        <f>IF(+J96&lt;F121,J96,D122)</f>
        <v>70998</v>
      </c>
      <c r="F122" s="523">
        <f t="shared" si="23"/>
        <v>1236214.3455149503</v>
      </c>
      <c r="G122" s="523">
        <f t="shared" si="24"/>
        <v>1271713.3455149503</v>
      </c>
      <c r="H122" s="526">
        <f t="shared" si="25"/>
        <v>215355.556582822</v>
      </c>
      <c r="I122" s="577">
        <f t="shared" si="26"/>
        <v>215355.556582822</v>
      </c>
      <c r="J122" s="514">
        <f t="shared" si="14"/>
        <v>0</v>
      </c>
      <c r="K122" s="514"/>
      <c r="L122" s="525"/>
      <c r="M122" s="514">
        <f t="shared" si="22"/>
        <v>0</v>
      </c>
      <c r="N122" s="525"/>
      <c r="O122" s="514">
        <f t="shared" si="16"/>
        <v>0</v>
      </c>
      <c r="P122" s="514">
        <f t="shared" si="17"/>
        <v>0</v>
      </c>
    </row>
    <row r="123" spans="2:16">
      <c r="B123" s="195" t="str">
        <f t="shared" si="18"/>
        <v/>
      </c>
      <c r="C123" s="507">
        <f>IF(D93="","-",+C122+1)</f>
        <v>2043</v>
      </c>
      <c r="D123" s="374">
        <f>IF(F122+SUM(E$99:E122)=D$92,F122,D$92-SUM(E$99:E122))</f>
        <v>1236214.3455149503</v>
      </c>
      <c r="E123" s="522">
        <f>IF(+J96&lt;F122,J96,D123)</f>
        <v>70998</v>
      </c>
      <c r="F123" s="523">
        <f t="shared" si="23"/>
        <v>1165216.3455149503</v>
      </c>
      <c r="G123" s="523">
        <f t="shared" si="24"/>
        <v>1200715.3455149503</v>
      </c>
      <c r="H123" s="526">
        <f t="shared" si="25"/>
        <v>207296.27353887699</v>
      </c>
      <c r="I123" s="577">
        <f t="shared" si="26"/>
        <v>207296.27353887699</v>
      </c>
      <c r="J123" s="514">
        <f t="shared" si="14"/>
        <v>0</v>
      </c>
      <c r="K123" s="514"/>
      <c r="L123" s="525"/>
      <c r="M123" s="514">
        <f t="shared" si="22"/>
        <v>0</v>
      </c>
      <c r="N123" s="525"/>
      <c r="O123" s="514">
        <f t="shared" si="16"/>
        <v>0</v>
      </c>
      <c r="P123" s="514">
        <f t="shared" si="17"/>
        <v>0</v>
      </c>
    </row>
    <row r="124" spans="2:16">
      <c r="B124" s="195" t="str">
        <f t="shared" si="18"/>
        <v/>
      </c>
      <c r="C124" s="507">
        <f>IF(D93="","-",+C123+1)</f>
        <v>2044</v>
      </c>
      <c r="D124" s="374">
        <f>IF(F123+SUM(E$99:E123)=D$92,F123,D$92-SUM(E$99:E123))</f>
        <v>1165216.3455149503</v>
      </c>
      <c r="E124" s="522">
        <f>IF(+J96&lt;F123,J96,D124)</f>
        <v>70998</v>
      </c>
      <c r="F124" s="523">
        <f t="shared" si="23"/>
        <v>1094218.3455149503</v>
      </c>
      <c r="G124" s="523">
        <f t="shared" si="24"/>
        <v>1129717.3455149503</v>
      </c>
      <c r="H124" s="526">
        <f t="shared" si="25"/>
        <v>199236.99049493199</v>
      </c>
      <c r="I124" s="577">
        <f t="shared" si="26"/>
        <v>199236.99049493199</v>
      </c>
      <c r="J124" s="514">
        <f t="shared" si="14"/>
        <v>0</v>
      </c>
      <c r="K124" s="514"/>
      <c r="L124" s="525"/>
      <c r="M124" s="514">
        <f t="shared" si="22"/>
        <v>0</v>
      </c>
      <c r="N124" s="525"/>
      <c r="O124" s="514">
        <f t="shared" si="16"/>
        <v>0</v>
      </c>
      <c r="P124" s="514">
        <f t="shared" si="17"/>
        <v>0</v>
      </c>
    </row>
    <row r="125" spans="2:16">
      <c r="B125" s="195" t="str">
        <f t="shared" si="18"/>
        <v/>
      </c>
      <c r="C125" s="507">
        <f>IF(D93="","-",+C124+1)</f>
        <v>2045</v>
      </c>
      <c r="D125" s="374">
        <f>IF(F124+SUM(E$99:E124)=D$92,F124,D$92-SUM(E$99:E124))</f>
        <v>1094218.3455149503</v>
      </c>
      <c r="E125" s="522">
        <f>IF(+J96&lt;F124,J96,D125)</f>
        <v>70998</v>
      </c>
      <c r="F125" s="523">
        <f t="shared" si="23"/>
        <v>1023220.3455149503</v>
      </c>
      <c r="G125" s="523">
        <f t="shared" si="24"/>
        <v>1058719.3455149503</v>
      </c>
      <c r="H125" s="526">
        <f t="shared" si="25"/>
        <v>191177.70745098701</v>
      </c>
      <c r="I125" s="577">
        <f t="shared" si="26"/>
        <v>191177.70745098701</v>
      </c>
      <c r="J125" s="514">
        <f t="shared" si="14"/>
        <v>0</v>
      </c>
      <c r="K125" s="514"/>
      <c r="L125" s="525"/>
      <c r="M125" s="514">
        <f t="shared" si="22"/>
        <v>0</v>
      </c>
      <c r="N125" s="525"/>
      <c r="O125" s="514">
        <f t="shared" si="16"/>
        <v>0</v>
      </c>
      <c r="P125" s="514">
        <f t="shared" si="17"/>
        <v>0</v>
      </c>
    </row>
    <row r="126" spans="2:16">
      <c r="B126" s="195" t="str">
        <f t="shared" si="18"/>
        <v/>
      </c>
      <c r="C126" s="507">
        <f>IF(D93="","-",+C125+1)</f>
        <v>2046</v>
      </c>
      <c r="D126" s="374">
        <f>IF(F125+SUM(E$99:E125)=D$92,F125,D$92-SUM(E$99:E125))</f>
        <v>1023220.3455149503</v>
      </c>
      <c r="E126" s="522">
        <f>IF(+J96&lt;F125,J96,D126)</f>
        <v>70998</v>
      </c>
      <c r="F126" s="523">
        <f t="shared" si="23"/>
        <v>952222.34551495034</v>
      </c>
      <c r="G126" s="523">
        <f t="shared" si="24"/>
        <v>987721.34551495034</v>
      </c>
      <c r="H126" s="526">
        <f t="shared" si="25"/>
        <v>183118.42440704204</v>
      </c>
      <c r="I126" s="577">
        <f t="shared" si="26"/>
        <v>183118.42440704204</v>
      </c>
      <c r="J126" s="514">
        <f t="shared" si="14"/>
        <v>0</v>
      </c>
      <c r="K126" s="514"/>
      <c r="L126" s="525"/>
      <c r="M126" s="514">
        <f t="shared" si="22"/>
        <v>0</v>
      </c>
      <c r="N126" s="525"/>
      <c r="O126" s="514">
        <f t="shared" si="16"/>
        <v>0</v>
      </c>
      <c r="P126" s="514">
        <f t="shared" si="17"/>
        <v>0</v>
      </c>
    </row>
    <row r="127" spans="2:16">
      <c r="B127" s="195" t="str">
        <f t="shared" si="18"/>
        <v/>
      </c>
      <c r="C127" s="507">
        <f>IF(D93="","-",+C126+1)</f>
        <v>2047</v>
      </c>
      <c r="D127" s="374">
        <f>IF(F126+SUM(E$99:E126)=D$92,F126,D$92-SUM(E$99:E126))</f>
        <v>952222.34551495034</v>
      </c>
      <c r="E127" s="522">
        <f>IF(+J96&lt;F126,J96,D127)</f>
        <v>70998</v>
      </c>
      <c r="F127" s="523">
        <f t="shared" si="23"/>
        <v>881224.34551495034</v>
      </c>
      <c r="G127" s="523">
        <f t="shared" si="24"/>
        <v>916723.34551495034</v>
      </c>
      <c r="H127" s="526">
        <f t="shared" si="25"/>
        <v>175059.14136309703</v>
      </c>
      <c r="I127" s="577">
        <f t="shared" si="26"/>
        <v>175059.14136309703</v>
      </c>
      <c r="J127" s="514">
        <f t="shared" si="14"/>
        <v>0</v>
      </c>
      <c r="K127" s="514"/>
      <c r="L127" s="525"/>
      <c r="M127" s="514">
        <f t="shared" si="22"/>
        <v>0</v>
      </c>
      <c r="N127" s="525"/>
      <c r="O127" s="514">
        <f t="shared" si="16"/>
        <v>0</v>
      </c>
      <c r="P127" s="514">
        <f t="shared" si="17"/>
        <v>0</v>
      </c>
    </row>
    <row r="128" spans="2:16">
      <c r="B128" s="195" t="str">
        <f t="shared" si="18"/>
        <v/>
      </c>
      <c r="C128" s="507">
        <f>IF(D93="","-",+C127+1)</f>
        <v>2048</v>
      </c>
      <c r="D128" s="374">
        <f>IF(F127+SUM(E$99:E127)=D$92,F127,D$92-SUM(E$99:E127))</f>
        <v>881224.34551495034</v>
      </c>
      <c r="E128" s="522">
        <f>IF(+J96&lt;F127,J96,D128)</f>
        <v>70998</v>
      </c>
      <c r="F128" s="523">
        <f t="shared" si="23"/>
        <v>810226.34551495034</v>
      </c>
      <c r="G128" s="523">
        <f t="shared" si="24"/>
        <v>845725.34551495034</v>
      </c>
      <c r="H128" s="526">
        <f t="shared" si="25"/>
        <v>166999.85831915203</v>
      </c>
      <c r="I128" s="577">
        <f t="shared" si="26"/>
        <v>166999.85831915203</v>
      </c>
      <c r="J128" s="514">
        <f t="shared" si="14"/>
        <v>0</v>
      </c>
      <c r="K128" s="514"/>
      <c r="L128" s="525"/>
      <c r="M128" s="514">
        <f t="shared" si="22"/>
        <v>0</v>
      </c>
      <c r="N128" s="525"/>
      <c r="O128" s="514">
        <f t="shared" si="16"/>
        <v>0</v>
      </c>
      <c r="P128" s="514">
        <f t="shared" si="17"/>
        <v>0</v>
      </c>
    </row>
    <row r="129" spans="2:16">
      <c r="B129" s="195" t="str">
        <f t="shared" si="18"/>
        <v/>
      </c>
      <c r="C129" s="507">
        <f>IF(D93="","-",+C128+1)</f>
        <v>2049</v>
      </c>
      <c r="D129" s="374">
        <f>IF(F128+SUM(E$99:E128)=D$92,F128,D$92-SUM(E$99:E128))</f>
        <v>810226.34551495034</v>
      </c>
      <c r="E129" s="522">
        <f>IF(+J96&lt;F128,J96,D129)</f>
        <v>70998</v>
      </c>
      <c r="F129" s="523">
        <f t="shared" si="23"/>
        <v>739228.34551495034</v>
      </c>
      <c r="G129" s="523">
        <f t="shared" si="24"/>
        <v>774727.34551495034</v>
      </c>
      <c r="H129" s="526">
        <f t="shared" si="25"/>
        <v>158940.57527520705</v>
      </c>
      <c r="I129" s="577">
        <f t="shared" si="26"/>
        <v>158940.57527520705</v>
      </c>
      <c r="J129" s="514">
        <f t="shared" si="14"/>
        <v>0</v>
      </c>
      <c r="K129" s="514"/>
      <c r="L129" s="525"/>
      <c r="M129" s="514">
        <f t="shared" si="22"/>
        <v>0</v>
      </c>
      <c r="N129" s="525"/>
      <c r="O129" s="514">
        <f t="shared" si="16"/>
        <v>0</v>
      </c>
      <c r="P129" s="514">
        <f t="shared" si="17"/>
        <v>0</v>
      </c>
    </row>
    <row r="130" spans="2:16">
      <c r="B130" s="195" t="str">
        <f t="shared" si="18"/>
        <v/>
      </c>
      <c r="C130" s="507">
        <f>IF(D93="","-",+C129+1)</f>
        <v>2050</v>
      </c>
      <c r="D130" s="374">
        <f>IF(F129+SUM(E$99:E129)=D$92,F129,D$92-SUM(E$99:E129))</f>
        <v>739228.34551495034</v>
      </c>
      <c r="E130" s="522">
        <f>IF(+J96&lt;F129,J96,D130)</f>
        <v>70998</v>
      </c>
      <c r="F130" s="523">
        <f t="shared" si="23"/>
        <v>668230.34551495034</v>
      </c>
      <c r="G130" s="523">
        <f t="shared" si="24"/>
        <v>703729.34551495034</v>
      </c>
      <c r="H130" s="526">
        <f t="shared" si="25"/>
        <v>150881.29223126208</v>
      </c>
      <c r="I130" s="577">
        <f t="shared" si="26"/>
        <v>150881.29223126208</v>
      </c>
      <c r="J130" s="514">
        <f t="shared" si="14"/>
        <v>0</v>
      </c>
      <c r="K130" s="514"/>
      <c r="L130" s="525"/>
      <c r="M130" s="514">
        <f t="shared" si="22"/>
        <v>0</v>
      </c>
      <c r="N130" s="525"/>
      <c r="O130" s="514">
        <f t="shared" si="16"/>
        <v>0</v>
      </c>
      <c r="P130" s="514">
        <f t="shared" si="17"/>
        <v>0</v>
      </c>
    </row>
    <row r="131" spans="2:16">
      <c r="B131" s="195" t="str">
        <f t="shared" si="18"/>
        <v/>
      </c>
      <c r="C131" s="507">
        <f>IF(D93="","-",+C130+1)</f>
        <v>2051</v>
      </c>
      <c r="D131" s="374">
        <f>IF(F130+SUM(E$99:E130)=D$92,F130,D$92-SUM(E$99:E130))</f>
        <v>668230.34551495034</v>
      </c>
      <c r="E131" s="522">
        <f>IF(+J96&lt;F130,J96,D131)</f>
        <v>70998</v>
      </c>
      <c r="F131" s="523">
        <f t="shared" si="23"/>
        <v>597232.34551495034</v>
      </c>
      <c r="G131" s="523">
        <f t="shared" si="24"/>
        <v>632731.34551495034</v>
      </c>
      <c r="H131" s="526">
        <f t="shared" si="25"/>
        <v>142822.00918731707</v>
      </c>
      <c r="I131" s="577">
        <f t="shared" si="26"/>
        <v>142822.00918731707</v>
      </c>
      <c r="J131" s="514">
        <f t="shared" ref="J131:J154" si="27">+I541-H541</f>
        <v>0</v>
      </c>
      <c r="K131" s="514"/>
      <c r="L131" s="525"/>
      <c r="M131" s="514">
        <f t="shared" ref="M131:M154" si="28">IF(L541&lt;&gt;0,+H541-L541,0)</f>
        <v>0</v>
      </c>
      <c r="N131" s="525"/>
      <c r="O131" s="514">
        <f t="shared" ref="O131:O154" si="29">IF(N541&lt;&gt;0,+I541-N541,0)</f>
        <v>0</v>
      </c>
      <c r="P131" s="514">
        <f t="shared" ref="P131:P154" si="30">+O541-M541</f>
        <v>0</v>
      </c>
    </row>
    <row r="132" spans="2:16">
      <c r="B132" s="195" t="str">
        <f t="shared" si="18"/>
        <v/>
      </c>
      <c r="C132" s="507">
        <f>IF(D93="","-",+C131+1)</f>
        <v>2052</v>
      </c>
      <c r="D132" s="374">
        <f>IF(F131+SUM(E$99:E131)=D$92,F131,D$92-SUM(E$99:E131))</f>
        <v>597232.34551495034</v>
      </c>
      <c r="E132" s="522">
        <f>IF(+J96&lt;F131,J96,D132)</f>
        <v>70998</v>
      </c>
      <c r="F132" s="523">
        <f t="shared" si="23"/>
        <v>526234.34551495034</v>
      </c>
      <c r="G132" s="523">
        <f t="shared" si="24"/>
        <v>561733.34551495034</v>
      </c>
      <c r="H132" s="526">
        <f t="shared" si="25"/>
        <v>134762.7261433721</v>
      </c>
      <c r="I132" s="577">
        <f t="shared" si="26"/>
        <v>134762.7261433721</v>
      </c>
      <c r="J132" s="514">
        <f t="shared" si="27"/>
        <v>0</v>
      </c>
      <c r="K132" s="514"/>
      <c r="L132" s="525"/>
      <c r="M132" s="514">
        <f t="shared" si="28"/>
        <v>0</v>
      </c>
      <c r="N132" s="525"/>
      <c r="O132" s="514">
        <f t="shared" si="29"/>
        <v>0</v>
      </c>
      <c r="P132" s="514">
        <f t="shared" si="30"/>
        <v>0</v>
      </c>
    </row>
    <row r="133" spans="2:16">
      <c r="B133" s="195" t="str">
        <f t="shared" si="18"/>
        <v/>
      </c>
      <c r="C133" s="507">
        <f>IF(D93="","-",+C132+1)</f>
        <v>2053</v>
      </c>
      <c r="D133" s="374">
        <f>IF(F132+SUM(E$99:E132)=D$92,F132,D$92-SUM(E$99:E132))</f>
        <v>526234.34551495034</v>
      </c>
      <c r="E133" s="522">
        <f>IF(+J96&lt;F132,J96,D133)</f>
        <v>70998</v>
      </c>
      <c r="F133" s="523">
        <f t="shared" si="23"/>
        <v>455236.34551495034</v>
      </c>
      <c r="G133" s="523">
        <f t="shared" si="24"/>
        <v>490735.34551495034</v>
      </c>
      <c r="H133" s="526">
        <f t="shared" si="25"/>
        <v>126703.4430994271</v>
      </c>
      <c r="I133" s="577">
        <f t="shared" si="26"/>
        <v>126703.4430994271</v>
      </c>
      <c r="J133" s="514">
        <f t="shared" si="27"/>
        <v>0</v>
      </c>
      <c r="K133" s="514"/>
      <c r="L133" s="525"/>
      <c r="M133" s="514">
        <f t="shared" si="28"/>
        <v>0</v>
      </c>
      <c r="N133" s="525"/>
      <c r="O133" s="514">
        <f t="shared" si="29"/>
        <v>0</v>
      </c>
      <c r="P133" s="514">
        <f t="shared" si="30"/>
        <v>0</v>
      </c>
    </row>
    <row r="134" spans="2:16">
      <c r="B134" s="195" t="str">
        <f t="shared" si="18"/>
        <v/>
      </c>
      <c r="C134" s="507">
        <f>IF(D93="","-",+C133+1)</f>
        <v>2054</v>
      </c>
      <c r="D134" s="374">
        <f>IF(F133+SUM(E$99:E133)=D$92,F133,D$92-SUM(E$99:E133))</f>
        <v>455236.34551495034</v>
      </c>
      <c r="E134" s="522">
        <f>IF(+J96&lt;F133,J96,D134)</f>
        <v>70998</v>
      </c>
      <c r="F134" s="523">
        <f t="shared" si="23"/>
        <v>384238.34551495034</v>
      </c>
      <c r="G134" s="523">
        <f t="shared" si="24"/>
        <v>419737.34551495034</v>
      </c>
      <c r="H134" s="526">
        <f t="shared" si="25"/>
        <v>118644.16005548212</v>
      </c>
      <c r="I134" s="577">
        <f t="shared" si="26"/>
        <v>118644.16005548212</v>
      </c>
      <c r="J134" s="514">
        <f t="shared" si="27"/>
        <v>0</v>
      </c>
      <c r="K134" s="514"/>
      <c r="L134" s="525"/>
      <c r="M134" s="514">
        <f t="shared" si="28"/>
        <v>0</v>
      </c>
      <c r="N134" s="525"/>
      <c r="O134" s="514">
        <f t="shared" si="29"/>
        <v>0</v>
      </c>
      <c r="P134" s="514">
        <f t="shared" si="30"/>
        <v>0</v>
      </c>
    </row>
    <row r="135" spans="2:16">
      <c r="B135" s="195" t="str">
        <f t="shared" si="18"/>
        <v/>
      </c>
      <c r="C135" s="507">
        <f>IF(D93="","-",+C134+1)</f>
        <v>2055</v>
      </c>
      <c r="D135" s="374">
        <f>IF(F134+SUM(E$99:E134)=D$92,F134,D$92-SUM(E$99:E134))</f>
        <v>384238.34551495034</v>
      </c>
      <c r="E135" s="522">
        <f>IF(+J96&lt;F134,J96,D135)</f>
        <v>70998</v>
      </c>
      <c r="F135" s="523">
        <f t="shared" si="23"/>
        <v>313240.34551495034</v>
      </c>
      <c r="G135" s="523">
        <f t="shared" si="24"/>
        <v>348739.34551495034</v>
      </c>
      <c r="H135" s="526">
        <f t="shared" si="25"/>
        <v>110584.87701153712</v>
      </c>
      <c r="I135" s="577">
        <f t="shared" si="26"/>
        <v>110584.87701153712</v>
      </c>
      <c r="J135" s="514">
        <f t="shared" si="27"/>
        <v>0</v>
      </c>
      <c r="K135" s="514"/>
      <c r="L135" s="525"/>
      <c r="M135" s="514">
        <f t="shared" si="28"/>
        <v>0</v>
      </c>
      <c r="N135" s="525"/>
      <c r="O135" s="514">
        <f t="shared" si="29"/>
        <v>0</v>
      </c>
      <c r="P135" s="514">
        <f t="shared" si="30"/>
        <v>0</v>
      </c>
    </row>
    <row r="136" spans="2:16">
      <c r="B136" s="195" t="str">
        <f t="shared" si="18"/>
        <v/>
      </c>
      <c r="C136" s="507">
        <f>IF(D93="","-",+C135+1)</f>
        <v>2056</v>
      </c>
      <c r="D136" s="374">
        <f>IF(F135+SUM(E$99:E135)=D$92,F135,D$92-SUM(E$99:E135))</f>
        <v>313240.34551495034</v>
      </c>
      <c r="E136" s="522">
        <f>IF(+J96&lt;F135,J96,D136)</f>
        <v>70998</v>
      </c>
      <c r="F136" s="523">
        <f t="shared" si="23"/>
        <v>242242.34551495034</v>
      </c>
      <c r="G136" s="523">
        <f t="shared" si="24"/>
        <v>277741.34551495034</v>
      </c>
      <c r="H136" s="526">
        <f t="shared" si="25"/>
        <v>102525.59396759213</v>
      </c>
      <c r="I136" s="577">
        <f t="shared" si="26"/>
        <v>102525.59396759213</v>
      </c>
      <c r="J136" s="514">
        <f t="shared" si="27"/>
        <v>0</v>
      </c>
      <c r="K136" s="514"/>
      <c r="L136" s="525"/>
      <c r="M136" s="514">
        <f t="shared" si="28"/>
        <v>0</v>
      </c>
      <c r="N136" s="525"/>
      <c r="O136" s="514">
        <f t="shared" si="29"/>
        <v>0</v>
      </c>
      <c r="P136" s="514">
        <f t="shared" si="30"/>
        <v>0</v>
      </c>
    </row>
    <row r="137" spans="2:16">
      <c r="B137" s="195" t="str">
        <f t="shared" si="18"/>
        <v/>
      </c>
      <c r="C137" s="507">
        <f>IF(D93="","-",+C136+1)</f>
        <v>2057</v>
      </c>
      <c r="D137" s="374">
        <f>IF(F136+SUM(E$99:E136)=D$92,F136,D$92-SUM(E$99:E136))</f>
        <v>242242.34551495034</v>
      </c>
      <c r="E137" s="522">
        <f>IF(+J96&lt;F136,J96,D137)</f>
        <v>70998</v>
      </c>
      <c r="F137" s="523">
        <f t="shared" si="23"/>
        <v>171244.34551495034</v>
      </c>
      <c r="G137" s="523">
        <f t="shared" si="24"/>
        <v>206743.34551495034</v>
      </c>
      <c r="H137" s="526">
        <f t="shared" si="25"/>
        <v>94466.310923647135</v>
      </c>
      <c r="I137" s="577">
        <f t="shared" si="26"/>
        <v>94466.310923647135</v>
      </c>
      <c r="J137" s="514">
        <f t="shared" si="27"/>
        <v>0</v>
      </c>
      <c r="K137" s="514"/>
      <c r="L137" s="525"/>
      <c r="M137" s="514">
        <f t="shared" si="28"/>
        <v>0</v>
      </c>
      <c r="N137" s="525"/>
      <c r="O137" s="514">
        <f t="shared" si="29"/>
        <v>0</v>
      </c>
      <c r="P137" s="514">
        <f t="shared" si="30"/>
        <v>0</v>
      </c>
    </row>
    <row r="138" spans="2:16">
      <c r="B138" s="195" t="str">
        <f t="shared" si="18"/>
        <v/>
      </c>
      <c r="C138" s="507">
        <f>IF(D93="","-",+C137+1)</f>
        <v>2058</v>
      </c>
      <c r="D138" s="374">
        <f>IF(F137+SUM(E$99:E137)=D$92,F137,D$92-SUM(E$99:E137))</f>
        <v>171244.34551495034</v>
      </c>
      <c r="E138" s="522">
        <f>IF(+J96&lt;F137,J96,D138)</f>
        <v>70998</v>
      </c>
      <c r="F138" s="523">
        <f t="shared" si="23"/>
        <v>100246.34551495034</v>
      </c>
      <c r="G138" s="523">
        <f t="shared" si="24"/>
        <v>135745.34551495034</v>
      </c>
      <c r="H138" s="526">
        <f t="shared" si="25"/>
        <v>86407.027879702146</v>
      </c>
      <c r="I138" s="577">
        <f t="shared" si="26"/>
        <v>86407.027879702146</v>
      </c>
      <c r="J138" s="514">
        <f t="shared" si="27"/>
        <v>0</v>
      </c>
      <c r="K138" s="514"/>
      <c r="L138" s="525"/>
      <c r="M138" s="514">
        <f t="shared" si="28"/>
        <v>0</v>
      </c>
      <c r="N138" s="525"/>
      <c r="O138" s="514">
        <f t="shared" si="29"/>
        <v>0</v>
      </c>
      <c r="P138" s="514">
        <f t="shared" si="30"/>
        <v>0</v>
      </c>
    </row>
    <row r="139" spans="2:16">
      <c r="B139" s="195" t="str">
        <f t="shared" si="18"/>
        <v/>
      </c>
      <c r="C139" s="507">
        <f>IF(D93="","-",+C138+1)</f>
        <v>2059</v>
      </c>
      <c r="D139" s="374">
        <f>IF(F138+SUM(E$99:E138)=D$92,F138,D$92-SUM(E$99:E138))</f>
        <v>100246.34551495034</v>
      </c>
      <c r="E139" s="522">
        <f>IF(+J96&lt;F138,J96,D139)</f>
        <v>70998</v>
      </c>
      <c r="F139" s="523">
        <f t="shared" si="23"/>
        <v>29248.345514950342</v>
      </c>
      <c r="G139" s="523">
        <f t="shared" si="24"/>
        <v>64747.345514950342</v>
      </c>
      <c r="H139" s="526">
        <f t="shared" si="25"/>
        <v>78347.744835757156</v>
      </c>
      <c r="I139" s="577">
        <f t="shared" si="26"/>
        <v>78347.744835757156</v>
      </c>
      <c r="J139" s="514">
        <f t="shared" si="27"/>
        <v>0</v>
      </c>
      <c r="K139" s="514"/>
      <c r="L139" s="525"/>
      <c r="M139" s="514">
        <f t="shared" si="28"/>
        <v>0</v>
      </c>
      <c r="N139" s="525"/>
      <c r="O139" s="514">
        <f t="shared" si="29"/>
        <v>0</v>
      </c>
      <c r="P139" s="514">
        <f t="shared" si="30"/>
        <v>0</v>
      </c>
    </row>
    <row r="140" spans="2:16">
      <c r="B140" s="195" t="str">
        <f t="shared" si="18"/>
        <v/>
      </c>
      <c r="C140" s="507">
        <f>IF(D93="","-",+C139+1)</f>
        <v>2060</v>
      </c>
      <c r="D140" s="374">
        <f>IF(F139+SUM(E$99:E139)=D$92,F139,D$92-SUM(E$99:E139))</f>
        <v>29248.345514950342</v>
      </c>
      <c r="E140" s="522">
        <f>IF(+J96&lt;F139,J96,D140)</f>
        <v>29248.345514950342</v>
      </c>
      <c r="F140" s="523">
        <f t="shared" si="23"/>
        <v>0</v>
      </c>
      <c r="G140" s="523">
        <f t="shared" si="24"/>
        <v>14624.172757475171</v>
      </c>
      <c r="H140" s="526">
        <f t="shared" si="25"/>
        <v>30908.397171842676</v>
      </c>
      <c r="I140" s="577">
        <f t="shared" si="26"/>
        <v>30908.397171842676</v>
      </c>
      <c r="J140" s="514">
        <f t="shared" si="27"/>
        <v>0</v>
      </c>
      <c r="K140" s="514"/>
      <c r="L140" s="525"/>
      <c r="M140" s="514">
        <f t="shared" si="28"/>
        <v>0</v>
      </c>
      <c r="N140" s="525"/>
      <c r="O140" s="514">
        <f t="shared" si="29"/>
        <v>0</v>
      </c>
      <c r="P140" s="514">
        <f t="shared" si="30"/>
        <v>0</v>
      </c>
    </row>
    <row r="141" spans="2:16">
      <c r="B141" s="195" t="str">
        <f t="shared" si="18"/>
        <v/>
      </c>
      <c r="C141" s="507">
        <f>IF(D93="","-",+C140+1)</f>
        <v>2061</v>
      </c>
      <c r="D141" s="374">
        <f>IF(F140+SUM(E$99:E140)=D$92,F140,D$92-SUM(E$99:E140))</f>
        <v>0</v>
      </c>
      <c r="E141" s="522">
        <f>IF(+J96&lt;F140,J96,D141)</f>
        <v>0</v>
      </c>
      <c r="F141" s="523">
        <f t="shared" si="23"/>
        <v>0</v>
      </c>
      <c r="G141" s="523">
        <f t="shared" si="24"/>
        <v>0</v>
      </c>
      <c r="H141" s="526">
        <f t="shared" si="25"/>
        <v>0</v>
      </c>
      <c r="I141" s="577">
        <f t="shared" si="26"/>
        <v>0</v>
      </c>
      <c r="J141" s="514">
        <f t="shared" si="27"/>
        <v>0</v>
      </c>
      <c r="K141" s="514"/>
      <c r="L141" s="525"/>
      <c r="M141" s="514">
        <f t="shared" si="28"/>
        <v>0</v>
      </c>
      <c r="N141" s="525"/>
      <c r="O141" s="514">
        <f t="shared" si="29"/>
        <v>0</v>
      </c>
      <c r="P141" s="514">
        <f t="shared" si="30"/>
        <v>0</v>
      </c>
    </row>
    <row r="142" spans="2:16">
      <c r="B142" s="195" t="str">
        <f t="shared" si="18"/>
        <v/>
      </c>
      <c r="C142" s="507">
        <f>IF(D93="","-",+C141+1)</f>
        <v>2062</v>
      </c>
      <c r="D142" s="374">
        <f>IF(F141+SUM(E$99:E141)=D$92,F141,D$92-SUM(E$99:E141))</f>
        <v>0</v>
      </c>
      <c r="E142" s="522">
        <f>IF(+J96&lt;F141,J96,D142)</f>
        <v>0</v>
      </c>
      <c r="F142" s="523">
        <f t="shared" si="23"/>
        <v>0</v>
      </c>
      <c r="G142" s="523">
        <f t="shared" si="24"/>
        <v>0</v>
      </c>
      <c r="H142" s="526">
        <f t="shared" si="25"/>
        <v>0</v>
      </c>
      <c r="I142" s="577">
        <f t="shared" si="26"/>
        <v>0</v>
      </c>
      <c r="J142" s="514">
        <f t="shared" si="27"/>
        <v>0</v>
      </c>
      <c r="K142" s="514"/>
      <c r="L142" s="525"/>
      <c r="M142" s="514">
        <f t="shared" si="28"/>
        <v>0</v>
      </c>
      <c r="N142" s="525"/>
      <c r="O142" s="514">
        <f t="shared" si="29"/>
        <v>0</v>
      </c>
      <c r="P142" s="514">
        <f t="shared" si="30"/>
        <v>0</v>
      </c>
    </row>
    <row r="143" spans="2:16">
      <c r="B143" s="195" t="str">
        <f t="shared" si="18"/>
        <v/>
      </c>
      <c r="C143" s="507">
        <f>IF(D93="","-",+C142+1)</f>
        <v>2063</v>
      </c>
      <c r="D143" s="374">
        <f>IF(F142+SUM(E$99:E142)=D$92,F142,D$92-SUM(E$99:E142))</f>
        <v>0</v>
      </c>
      <c r="E143" s="522">
        <f>IF(+J96&lt;F142,J96,D143)</f>
        <v>0</v>
      </c>
      <c r="F143" s="523">
        <f t="shared" si="23"/>
        <v>0</v>
      </c>
      <c r="G143" s="523">
        <f t="shared" si="24"/>
        <v>0</v>
      </c>
      <c r="H143" s="526">
        <f t="shared" si="25"/>
        <v>0</v>
      </c>
      <c r="I143" s="577">
        <f t="shared" si="26"/>
        <v>0</v>
      </c>
      <c r="J143" s="514">
        <f t="shared" si="27"/>
        <v>0</v>
      </c>
      <c r="K143" s="514"/>
      <c r="L143" s="525"/>
      <c r="M143" s="514">
        <f t="shared" si="28"/>
        <v>0</v>
      </c>
      <c r="N143" s="525"/>
      <c r="O143" s="514">
        <f t="shared" si="29"/>
        <v>0</v>
      </c>
      <c r="P143" s="514">
        <f t="shared" si="30"/>
        <v>0</v>
      </c>
    </row>
    <row r="144" spans="2:16">
      <c r="B144" s="195" t="str">
        <f t="shared" si="18"/>
        <v/>
      </c>
      <c r="C144" s="507">
        <f>IF(D93="","-",+C143+1)</f>
        <v>2064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23"/>
        <v>0</v>
      </c>
      <c r="G144" s="523">
        <f t="shared" si="24"/>
        <v>0</v>
      </c>
      <c r="H144" s="526">
        <f t="shared" si="25"/>
        <v>0</v>
      </c>
      <c r="I144" s="577">
        <f t="shared" si="26"/>
        <v>0</v>
      </c>
      <c r="J144" s="514">
        <f t="shared" si="27"/>
        <v>0</v>
      </c>
      <c r="K144" s="514"/>
      <c r="L144" s="525"/>
      <c r="M144" s="514">
        <f t="shared" si="28"/>
        <v>0</v>
      </c>
      <c r="N144" s="525"/>
      <c r="O144" s="514">
        <f t="shared" si="29"/>
        <v>0</v>
      </c>
      <c r="P144" s="514">
        <f t="shared" si="30"/>
        <v>0</v>
      </c>
    </row>
    <row r="145" spans="2:16">
      <c r="B145" s="195" t="str">
        <f t="shared" si="18"/>
        <v/>
      </c>
      <c r="C145" s="507">
        <f>IF(D93="","-",+C144+1)</f>
        <v>2065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23"/>
        <v>0</v>
      </c>
      <c r="G145" s="523">
        <f t="shared" si="24"/>
        <v>0</v>
      </c>
      <c r="H145" s="526">
        <f t="shared" si="25"/>
        <v>0</v>
      </c>
      <c r="I145" s="577">
        <f t="shared" si="26"/>
        <v>0</v>
      </c>
      <c r="J145" s="514">
        <f t="shared" si="27"/>
        <v>0</v>
      </c>
      <c r="K145" s="514"/>
      <c r="L145" s="525"/>
      <c r="M145" s="514">
        <f t="shared" si="28"/>
        <v>0</v>
      </c>
      <c r="N145" s="525"/>
      <c r="O145" s="514">
        <f t="shared" si="29"/>
        <v>0</v>
      </c>
      <c r="P145" s="514">
        <f t="shared" si="30"/>
        <v>0</v>
      </c>
    </row>
    <row r="146" spans="2:16">
      <c r="B146" s="195" t="str">
        <f t="shared" si="18"/>
        <v/>
      </c>
      <c r="C146" s="507">
        <f>IF(D93="","-",+C145+1)</f>
        <v>2066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23"/>
        <v>0</v>
      </c>
      <c r="G146" s="523">
        <f t="shared" si="24"/>
        <v>0</v>
      </c>
      <c r="H146" s="526">
        <f t="shared" si="25"/>
        <v>0</v>
      </c>
      <c r="I146" s="577">
        <f t="shared" si="26"/>
        <v>0</v>
      </c>
      <c r="J146" s="514">
        <f t="shared" si="27"/>
        <v>0</v>
      </c>
      <c r="K146" s="514"/>
      <c r="L146" s="525"/>
      <c r="M146" s="514">
        <f t="shared" si="28"/>
        <v>0</v>
      </c>
      <c r="N146" s="525"/>
      <c r="O146" s="514">
        <f t="shared" si="29"/>
        <v>0</v>
      </c>
      <c r="P146" s="514">
        <f t="shared" si="30"/>
        <v>0</v>
      </c>
    </row>
    <row r="147" spans="2:16">
      <c r="B147" s="195" t="str">
        <f t="shared" si="18"/>
        <v/>
      </c>
      <c r="C147" s="507">
        <f>IF(D93="","-",+C146+1)</f>
        <v>2067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23"/>
        <v>0</v>
      </c>
      <c r="G147" s="523">
        <f t="shared" si="24"/>
        <v>0</v>
      </c>
      <c r="H147" s="526">
        <f t="shared" si="25"/>
        <v>0</v>
      </c>
      <c r="I147" s="577">
        <f t="shared" si="26"/>
        <v>0</v>
      </c>
      <c r="J147" s="514">
        <f t="shared" si="27"/>
        <v>0</v>
      </c>
      <c r="K147" s="514"/>
      <c r="L147" s="525"/>
      <c r="M147" s="514">
        <f t="shared" si="28"/>
        <v>0</v>
      </c>
      <c r="N147" s="525"/>
      <c r="O147" s="514">
        <f t="shared" si="29"/>
        <v>0</v>
      </c>
      <c r="P147" s="514">
        <f t="shared" si="30"/>
        <v>0</v>
      </c>
    </row>
    <row r="148" spans="2:16">
      <c r="B148" s="195" t="str">
        <f t="shared" si="18"/>
        <v/>
      </c>
      <c r="C148" s="507">
        <f>IF(D93="","-",+C147+1)</f>
        <v>2068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23"/>
        <v>0</v>
      </c>
      <c r="G148" s="523">
        <f t="shared" si="24"/>
        <v>0</v>
      </c>
      <c r="H148" s="526">
        <f t="shared" si="25"/>
        <v>0</v>
      </c>
      <c r="I148" s="577">
        <f t="shared" si="26"/>
        <v>0</v>
      </c>
      <c r="J148" s="514">
        <f t="shared" si="27"/>
        <v>0</v>
      </c>
      <c r="K148" s="514"/>
      <c r="L148" s="525"/>
      <c r="M148" s="514">
        <f t="shared" si="28"/>
        <v>0</v>
      </c>
      <c r="N148" s="525"/>
      <c r="O148" s="514">
        <f t="shared" si="29"/>
        <v>0</v>
      </c>
      <c r="P148" s="514">
        <f t="shared" si="30"/>
        <v>0</v>
      </c>
    </row>
    <row r="149" spans="2:16">
      <c r="B149" s="195" t="str">
        <f t="shared" si="18"/>
        <v/>
      </c>
      <c r="C149" s="507">
        <f>IF(D93="","-",+C148+1)</f>
        <v>2069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23"/>
        <v>0</v>
      </c>
      <c r="G149" s="523">
        <f t="shared" si="24"/>
        <v>0</v>
      </c>
      <c r="H149" s="526">
        <f t="shared" si="25"/>
        <v>0</v>
      </c>
      <c r="I149" s="577">
        <f t="shared" si="26"/>
        <v>0</v>
      </c>
      <c r="J149" s="514">
        <f t="shared" si="27"/>
        <v>0</v>
      </c>
      <c r="K149" s="514"/>
      <c r="L149" s="525"/>
      <c r="M149" s="514">
        <f t="shared" si="28"/>
        <v>0</v>
      </c>
      <c r="N149" s="525"/>
      <c r="O149" s="514">
        <f t="shared" si="29"/>
        <v>0</v>
      </c>
      <c r="P149" s="514">
        <f t="shared" si="30"/>
        <v>0</v>
      </c>
    </row>
    <row r="150" spans="2:16">
      <c r="B150" s="195" t="str">
        <f t="shared" si="18"/>
        <v/>
      </c>
      <c r="C150" s="507">
        <f>IF(D93="","-",+C149+1)</f>
        <v>2070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23"/>
        <v>0</v>
      </c>
      <c r="G150" s="523">
        <f t="shared" si="24"/>
        <v>0</v>
      </c>
      <c r="H150" s="526">
        <f t="shared" si="25"/>
        <v>0</v>
      </c>
      <c r="I150" s="577">
        <f t="shared" si="26"/>
        <v>0</v>
      </c>
      <c r="J150" s="514">
        <f t="shared" si="27"/>
        <v>0</v>
      </c>
      <c r="K150" s="514"/>
      <c r="L150" s="525"/>
      <c r="M150" s="514">
        <f t="shared" si="28"/>
        <v>0</v>
      </c>
      <c r="N150" s="525"/>
      <c r="O150" s="514">
        <f t="shared" si="29"/>
        <v>0</v>
      </c>
      <c r="P150" s="514">
        <f t="shared" si="30"/>
        <v>0</v>
      </c>
    </row>
    <row r="151" spans="2:16">
      <c r="B151" s="195" t="str">
        <f t="shared" si="18"/>
        <v/>
      </c>
      <c r="C151" s="507">
        <f>IF(D93="","-",+C150+1)</f>
        <v>2071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23"/>
        <v>0</v>
      </c>
      <c r="G151" s="523">
        <f t="shared" si="24"/>
        <v>0</v>
      </c>
      <c r="H151" s="526">
        <f t="shared" si="25"/>
        <v>0</v>
      </c>
      <c r="I151" s="577">
        <f t="shared" si="26"/>
        <v>0</v>
      </c>
      <c r="J151" s="514">
        <f t="shared" si="27"/>
        <v>0</v>
      </c>
      <c r="K151" s="514"/>
      <c r="L151" s="525"/>
      <c r="M151" s="514">
        <f t="shared" si="28"/>
        <v>0</v>
      </c>
      <c r="N151" s="525"/>
      <c r="O151" s="514">
        <f t="shared" si="29"/>
        <v>0</v>
      </c>
      <c r="P151" s="514">
        <f t="shared" si="30"/>
        <v>0</v>
      </c>
    </row>
    <row r="152" spans="2:16">
      <c r="B152" s="195" t="str">
        <f t="shared" si="18"/>
        <v/>
      </c>
      <c r="C152" s="507">
        <f>IF(D93="","-",+C151+1)</f>
        <v>2072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23"/>
        <v>0</v>
      </c>
      <c r="G152" s="523">
        <f t="shared" si="24"/>
        <v>0</v>
      </c>
      <c r="H152" s="526">
        <f t="shared" si="25"/>
        <v>0</v>
      </c>
      <c r="I152" s="577">
        <f t="shared" si="26"/>
        <v>0</v>
      </c>
      <c r="J152" s="514">
        <f t="shared" si="27"/>
        <v>0</v>
      </c>
      <c r="K152" s="514"/>
      <c r="L152" s="525"/>
      <c r="M152" s="514">
        <f t="shared" si="28"/>
        <v>0</v>
      </c>
      <c r="N152" s="525"/>
      <c r="O152" s="514">
        <f t="shared" si="29"/>
        <v>0</v>
      </c>
      <c r="P152" s="514">
        <f t="shared" si="30"/>
        <v>0</v>
      </c>
    </row>
    <row r="153" spans="2:16">
      <c r="B153" s="195" t="str">
        <f t="shared" si="18"/>
        <v/>
      </c>
      <c r="C153" s="507">
        <f>IF(D93="","-",+C152+1)</f>
        <v>2073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23"/>
        <v>0</v>
      </c>
      <c r="G153" s="523">
        <f t="shared" si="24"/>
        <v>0</v>
      </c>
      <c r="H153" s="526">
        <f t="shared" si="25"/>
        <v>0</v>
      </c>
      <c r="I153" s="577">
        <f t="shared" si="26"/>
        <v>0</v>
      </c>
      <c r="J153" s="514">
        <f t="shared" si="27"/>
        <v>0</v>
      </c>
      <c r="K153" s="514"/>
      <c r="L153" s="525"/>
      <c r="M153" s="514">
        <f t="shared" si="28"/>
        <v>0</v>
      </c>
      <c r="N153" s="525"/>
      <c r="O153" s="514">
        <f t="shared" si="29"/>
        <v>0</v>
      </c>
      <c r="P153" s="514">
        <f t="shared" si="30"/>
        <v>0</v>
      </c>
    </row>
    <row r="154" spans="2:16" ht="13.5" thickBot="1">
      <c r="B154" s="195" t="str">
        <f t="shared" si="18"/>
        <v/>
      </c>
      <c r="C154" s="527">
        <f>IF(D93="","-",+C153+1)</f>
        <v>2074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23"/>
        <v>0</v>
      </c>
      <c r="G154" s="528">
        <f t="shared" si="24"/>
        <v>0</v>
      </c>
      <c r="H154" s="530">
        <f t="shared" si="25"/>
        <v>0</v>
      </c>
      <c r="I154" s="579">
        <f t="shared" si="26"/>
        <v>0</v>
      </c>
      <c r="J154" s="533">
        <f t="shared" si="27"/>
        <v>0</v>
      </c>
      <c r="K154" s="514"/>
      <c r="L154" s="532"/>
      <c r="M154" s="533">
        <f t="shared" si="28"/>
        <v>0</v>
      </c>
      <c r="N154" s="532"/>
      <c r="O154" s="533">
        <f t="shared" si="29"/>
        <v>0</v>
      </c>
      <c r="P154" s="533">
        <f t="shared" si="30"/>
        <v>0</v>
      </c>
    </row>
    <row r="155" spans="2:16">
      <c r="C155" s="374" t="s">
        <v>78</v>
      </c>
      <c r="D155" s="375"/>
      <c r="E155" s="375">
        <f>SUM(E99:E154)</f>
        <v>2910918</v>
      </c>
      <c r="F155" s="375"/>
      <c r="G155" s="375"/>
      <c r="H155" s="375">
        <f>SUM(H99:H154)</f>
        <v>9639404.231184721</v>
      </c>
      <c r="I155" s="375">
        <f>SUM(I99:I154)</f>
        <v>9639404.231184721</v>
      </c>
      <c r="J155" s="375">
        <f>SUM(J99:J154)</f>
        <v>0</v>
      </c>
      <c r="K155" s="375"/>
      <c r="L155" s="375"/>
      <c r="M155" s="375"/>
      <c r="N155" s="375"/>
      <c r="O155" s="375"/>
      <c r="P155" s="269"/>
    </row>
    <row r="156" spans="2:16">
      <c r="C156" s="183" t="s">
        <v>92</v>
      </c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</row>
    <row r="157" spans="2:16">
      <c r="C157" s="580"/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</row>
    <row r="158" spans="2:16">
      <c r="C158" s="614" t="s">
        <v>132</v>
      </c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</row>
    <row r="159" spans="2:16">
      <c r="C159" s="467" t="s">
        <v>79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</row>
    <row r="160" spans="2:16">
      <c r="C160" s="581" t="s">
        <v>80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</row>
    <row r="161" spans="3:16">
      <c r="C161" s="581"/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</row>
    <row r="162" spans="3:16" ht="18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635" t="s">
        <v>131</v>
      </c>
    </row>
  </sheetData>
  <conditionalFormatting sqref="C17:C72">
    <cfRule type="cellIs" dxfId="5" priority="1" stopIfTrue="1" operator="equal">
      <formula>$I$10</formula>
    </cfRule>
  </conditionalFormatting>
  <conditionalFormatting sqref="C99:C154">
    <cfRule type="cellIs" dxfId="4" priority="2" stopIfTrue="1" operator="equal">
      <formula>$J$92</formula>
    </cfRule>
  </conditionalFormatting>
  <pageMargins left="0.5" right="0.25" top="1" bottom="0.25" header="0.25" footer="0.5"/>
  <pageSetup scale="47" orientation="landscape" r:id="rId1"/>
  <headerFooter>
    <oddHeader xml:space="preserve">&amp;R&amp;16AEP - SPP Formula Rate
SWEPCO TCOS - Worksheets F and G
Section IV -- (BPU Project Tables)
Page: &amp;P of &amp;N
</oddHeader>
  </headerFooter>
  <rowBreaks count="1" manualBreakCount="1">
    <brk id="80" max="16383" man="1"/>
  </rowBreaks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99FB68-1520-4259-B708-3B730C86FB6F}">
  <sheetPr>
    <tabColor rgb="FFFFFF00"/>
  </sheetPr>
  <dimension ref="A1:P162"/>
  <sheetViews>
    <sheetView topLeftCell="A3" zoomScaleNormal="100" zoomScaleSheetLayoutView="80" workbookViewId="0">
      <selection activeCell="E108" sqref="E108"/>
    </sheetView>
  </sheetViews>
  <sheetFormatPr defaultRowHeight="12.75" customHeight="1"/>
  <cols>
    <col min="1" max="1" width="4.7109375" customWidth="1"/>
    <col min="2" max="2" width="6.7109375" customWidth="1"/>
    <col min="3" max="3" width="23.28515625" customWidth="1"/>
    <col min="4" max="8" width="17.7109375" customWidth="1"/>
    <col min="9" max="9" width="20.42578125" customWidth="1"/>
    <col min="10" max="10" width="16.42578125" customWidth="1"/>
    <col min="11" max="11" width="17.7109375" customWidth="1"/>
    <col min="12" max="12" width="16.140625" customWidth="1"/>
    <col min="13" max="13" width="17.7109375" customWidth="1"/>
    <col min="14" max="14" width="16.7109375" customWidth="1"/>
    <col min="15" max="15" width="16.85546875" customWidth="1"/>
    <col min="16" max="16" width="24.42578125" customWidth="1"/>
    <col min="17" max="17" width="9.140625" customWidth="1"/>
    <col min="23" max="23" width="9.140625" customWidth="1"/>
  </cols>
  <sheetData>
    <row r="1" spans="1:16" ht="20.25">
      <c r="A1" s="118" t="s">
        <v>133</v>
      </c>
      <c r="B1" s="1"/>
      <c r="C1" s="10"/>
      <c r="D1" s="2"/>
      <c r="E1" s="1"/>
      <c r="F1" s="15"/>
      <c r="G1" s="1"/>
      <c r="H1" s="3"/>
      <c r="J1" s="7"/>
      <c r="K1" s="20"/>
      <c r="L1" s="20"/>
      <c r="M1" s="20"/>
      <c r="P1" s="452" t="str">
        <f ca="1">"SWEPCO Project "&amp;RIGHT(MID(CELL("filename",$A$1),FIND("]",CELL("filename",$A$1))+1,256),2)&amp;" of "&amp;COUNT('S.001:S.xyz - blank'!$P$3)-1</f>
        <v>SWEPCO Project 75 of 75</v>
      </c>
    </row>
    <row r="2" spans="1:16" ht="18">
      <c r="B2" s="1"/>
      <c r="C2" s="1"/>
      <c r="D2" s="2"/>
      <c r="E2" s="1"/>
      <c r="F2" s="1"/>
      <c r="G2" s="1"/>
      <c r="H2" s="3"/>
      <c r="I2" s="1"/>
      <c r="J2" s="4"/>
      <c r="K2" s="1"/>
      <c r="L2" s="1"/>
      <c r="M2" s="1"/>
      <c r="N2" s="1"/>
      <c r="P2" s="119" t="s">
        <v>129</v>
      </c>
    </row>
    <row r="3" spans="1:16" ht="18.75">
      <c r="B3" s="5" t="s">
        <v>44</v>
      </c>
      <c r="C3" s="14" t="s">
        <v>45</v>
      </c>
      <c r="D3" s="2"/>
      <c r="E3" s="1"/>
      <c r="F3" s="1"/>
      <c r="G3" s="1"/>
      <c r="H3" s="3"/>
      <c r="I3" s="3"/>
      <c r="J3" s="22"/>
      <c r="K3" s="3"/>
      <c r="L3" s="3"/>
      <c r="M3" s="3"/>
      <c r="N3" s="3"/>
      <c r="O3" s="1"/>
      <c r="P3" s="115">
        <v>1</v>
      </c>
    </row>
    <row r="4" spans="1:16" ht="15.75" thickBot="1">
      <c r="C4" s="13"/>
      <c r="D4" s="2"/>
      <c r="E4" s="1"/>
      <c r="F4" s="1"/>
      <c r="G4" s="1"/>
      <c r="H4" s="3"/>
      <c r="I4" s="3"/>
      <c r="J4" s="22"/>
      <c r="K4" s="3"/>
      <c r="L4" s="3"/>
      <c r="M4" s="3"/>
      <c r="N4" s="3"/>
      <c r="O4" s="1"/>
      <c r="P4" s="1"/>
    </row>
    <row r="5" spans="1:16" ht="15">
      <c r="C5" s="23" t="s">
        <v>46</v>
      </c>
      <c r="D5" s="2"/>
      <c r="E5" s="1"/>
      <c r="F5" s="1"/>
      <c r="G5" s="24"/>
      <c r="H5" s="1" t="s">
        <v>47</v>
      </c>
      <c r="I5" s="1"/>
      <c r="J5" s="4"/>
      <c r="K5" s="143" t="s">
        <v>157</v>
      </c>
      <c r="L5" s="25"/>
      <c r="M5" s="26"/>
      <c r="N5" s="27">
        <f>VLOOKUP(I10,C17:I72,5)</f>
        <v>219.09323232184698</v>
      </c>
      <c r="P5" s="1"/>
    </row>
    <row r="6" spans="1:16" ht="15.75">
      <c r="C6" s="8"/>
      <c r="D6" s="2"/>
      <c r="E6" s="1"/>
      <c r="F6" s="1"/>
      <c r="G6" s="1"/>
      <c r="H6" s="28"/>
      <c r="I6" s="28"/>
      <c r="J6" s="29"/>
      <c r="K6" s="144" t="s">
        <v>158</v>
      </c>
      <c r="L6" s="30"/>
      <c r="M6" s="4"/>
      <c r="N6" s="31">
        <f>VLOOKUP(I10,C17:I72,6)</f>
        <v>219.09323232184698</v>
      </c>
      <c r="O6" s="1"/>
      <c r="P6" s="1"/>
    </row>
    <row r="7" spans="1:16" ht="13.5" thickBot="1">
      <c r="C7" s="32" t="s">
        <v>48</v>
      </c>
      <c r="D7" s="108" t="s">
        <v>515</v>
      </c>
      <c r="E7" s="1"/>
      <c r="F7" s="1"/>
      <c r="G7" s="1"/>
      <c r="H7" s="3"/>
      <c r="I7" s="3"/>
      <c r="J7" s="22"/>
      <c r="K7" s="33" t="s">
        <v>49</v>
      </c>
      <c r="L7" s="34"/>
      <c r="M7" s="34"/>
      <c r="N7" s="35">
        <f>+N6-N5</f>
        <v>0</v>
      </c>
      <c r="O7" s="1"/>
      <c r="P7" s="1"/>
    </row>
    <row r="8" spans="1:16" ht="13.5" thickBot="1">
      <c r="C8" s="36"/>
      <c r="D8" s="153" t="str">
        <f>IF(D10&lt;100000,"DOES NOT MEET SPP $100,000 MINIMUM INVESTMENT FOR REGIONAL BPU SHARING.","")</f>
        <v>DOES NOT MEET SPP $100,000 MINIMUM INVESTMENT FOR REGIONAL BPU SHARING.</v>
      </c>
      <c r="E8" s="37"/>
      <c r="F8" s="37"/>
      <c r="G8" s="37"/>
      <c r="H8" s="37"/>
      <c r="I8" s="37"/>
      <c r="J8" s="16"/>
      <c r="K8" s="37"/>
      <c r="L8" s="37"/>
      <c r="M8" s="37"/>
      <c r="N8" s="37"/>
      <c r="O8" s="16"/>
      <c r="P8" s="10"/>
    </row>
    <row r="9" spans="1:16" ht="13.5" thickBot="1">
      <c r="C9" s="38" t="s">
        <v>50</v>
      </c>
      <c r="D9" s="110" t="s">
        <v>516</v>
      </c>
      <c r="E9" s="39" t="s">
        <v>517</v>
      </c>
      <c r="F9" s="39"/>
      <c r="G9" s="39"/>
      <c r="H9" s="39"/>
      <c r="I9" s="40"/>
      <c r="J9" s="41"/>
      <c r="O9" s="42"/>
      <c r="P9" s="4"/>
    </row>
    <row r="10" spans="1:16">
      <c r="C10" s="43" t="s">
        <v>51</v>
      </c>
      <c r="D10" s="44">
        <v>3666</v>
      </c>
      <c r="E10" s="12" t="s">
        <v>52</v>
      </c>
      <c r="F10" s="42"/>
      <c r="G10" s="45"/>
      <c r="H10" s="45"/>
      <c r="I10" s="46">
        <f>+'SWE.WS.F.BPU.ATRR.Projected'!L19</f>
        <v>2024</v>
      </c>
      <c r="J10" s="41"/>
      <c r="K10" s="22" t="s">
        <v>53</v>
      </c>
      <c r="O10" s="4"/>
      <c r="P10" s="4"/>
    </row>
    <row r="11" spans="1:16">
      <c r="C11" s="47" t="s">
        <v>54</v>
      </c>
      <c r="D11" s="48">
        <v>2024</v>
      </c>
      <c r="E11" s="47" t="s">
        <v>55</v>
      </c>
      <c r="F11" s="45"/>
      <c r="G11" s="7"/>
      <c r="H11" s="7"/>
      <c r="I11" s="49">
        <f>IF(G5="",0,'SWE.WS.F.BPU.ATRR.Projected'!F$13)</f>
        <v>0</v>
      </c>
      <c r="J11" s="50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4"/>
      <c r="P11" s="4"/>
    </row>
    <row r="12" spans="1:16">
      <c r="C12" s="47" t="s">
        <v>56</v>
      </c>
      <c r="D12" s="44">
        <v>10</v>
      </c>
      <c r="E12" s="47" t="s">
        <v>57</v>
      </c>
      <c r="F12" s="45"/>
      <c r="G12" s="7"/>
      <c r="H12" s="7"/>
      <c r="I12" s="51">
        <f>'SWE.WS.F.BPU.ATRR.Projected'!$F$81</f>
        <v>0.11952713165403545</v>
      </c>
      <c r="J12" s="52"/>
      <c r="K12" t="s">
        <v>58</v>
      </c>
      <c r="O12" s="4"/>
      <c r="P12" s="4"/>
    </row>
    <row r="13" spans="1:16">
      <c r="C13" s="47" t="s">
        <v>59</v>
      </c>
      <c r="D13" s="49">
        <f>+'SWE.WS.F.BPU.ATRR.Projected'!F$93</f>
        <v>44</v>
      </c>
      <c r="E13" s="47" t="s">
        <v>60</v>
      </c>
      <c r="F13" s="45"/>
      <c r="G13" s="7"/>
      <c r="H13" s="7"/>
      <c r="I13" s="51">
        <f>IF(G5="",I12,'SWE.WS.F.BPU.ATRR.Projected'!$F$80)</f>
        <v>0.11952713165403545</v>
      </c>
      <c r="J13" s="52"/>
      <c r="K13" s="22" t="s">
        <v>61</v>
      </c>
      <c r="L13" s="11"/>
      <c r="M13" s="11"/>
      <c r="N13" s="11"/>
      <c r="O13" s="4"/>
      <c r="P13" s="4"/>
    </row>
    <row r="14" spans="1:16" ht="13.5" thickBot="1">
      <c r="C14" s="47" t="s">
        <v>62</v>
      </c>
      <c r="D14" s="48" t="s">
        <v>63</v>
      </c>
      <c r="E14" s="4" t="s">
        <v>64</v>
      </c>
      <c r="F14" s="45"/>
      <c r="G14" s="7"/>
      <c r="H14" s="7"/>
      <c r="I14" s="53">
        <f>IF(D10=0,0,D10/D13)</f>
        <v>83.318181818181813</v>
      </c>
      <c r="J14" s="22"/>
      <c r="K14" s="22"/>
      <c r="L14" s="22"/>
      <c r="M14" s="22"/>
      <c r="N14" s="22"/>
      <c r="O14" s="4"/>
      <c r="P14" s="4"/>
    </row>
    <row r="15" spans="1:16" ht="38.25">
      <c r="C15" s="54" t="s">
        <v>51</v>
      </c>
      <c r="D15" s="55" t="s">
        <v>65</v>
      </c>
      <c r="E15" s="55" t="s">
        <v>66</v>
      </c>
      <c r="F15" s="55" t="s">
        <v>67</v>
      </c>
      <c r="G15" s="180" t="s">
        <v>388</v>
      </c>
      <c r="H15" s="181" t="s">
        <v>389</v>
      </c>
      <c r="I15" s="54" t="s">
        <v>68</v>
      </c>
      <c r="J15" s="56"/>
      <c r="K15" s="146" t="s">
        <v>227</v>
      </c>
      <c r="L15" s="57" t="s">
        <v>69</v>
      </c>
      <c r="M15" s="146" t="s">
        <v>227</v>
      </c>
      <c r="N15" s="57" t="s">
        <v>69</v>
      </c>
      <c r="O15" s="57" t="s">
        <v>70</v>
      </c>
      <c r="P15" s="4"/>
    </row>
    <row r="16" spans="1:16" ht="13.5" thickBot="1">
      <c r="C16" s="58" t="s">
        <v>71</v>
      </c>
      <c r="D16" s="58" t="s">
        <v>72</v>
      </c>
      <c r="E16" s="58" t="s">
        <v>73</v>
      </c>
      <c r="F16" s="58" t="s">
        <v>72</v>
      </c>
      <c r="G16" s="130" t="s">
        <v>74</v>
      </c>
      <c r="H16" s="59" t="s">
        <v>75</v>
      </c>
      <c r="I16" s="60" t="s">
        <v>94</v>
      </c>
      <c r="J16" s="61" t="s">
        <v>76</v>
      </c>
      <c r="K16" s="62" t="s">
        <v>77</v>
      </c>
      <c r="L16" s="62" t="s">
        <v>77</v>
      </c>
      <c r="M16" s="62" t="s">
        <v>95</v>
      </c>
      <c r="N16" s="63" t="s">
        <v>95</v>
      </c>
      <c r="O16" s="62" t="s">
        <v>95</v>
      </c>
      <c r="P16" s="4"/>
    </row>
    <row r="17" spans="2:16">
      <c r="C17" s="674">
        <f>IF(D11= "","-",D11)</f>
        <v>2024</v>
      </c>
      <c r="D17" s="65">
        <v>0</v>
      </c>
      <c r="E17" s="182">
        <f>IF(D10&gt;=100000,I$14/12*(12-D12),0)</f>
        <v>0</v>
      </c>
      <c r="F17" s="70">
        <f>IF(D11=C17,+D10-E17,+D17-E17)</f>
        <v>3666</v>
      </c>
      <c r="G17" s="66">
        <f t="shared" ref="G17:G72" si="0">+I$12*((D17+F17)/2)+E17</f>
        <v>219.09323232184698</v>
      </c>
      <c r="H17" s="53">
        <f t="shared" ref="H17:H72" si="1">+I$13*((D17+F17)/2)+E17</f>
        <v>219.09323232184698</v>
      </c>
      <c r="I17" s="67">
        <f t="shared" ref="I17:I72" si="2">H17-G17</f>
        <v>0</v>
      </c>
      <c r="J17" s="67"/>
      <c r="K17" s="131"/>
      <c r="L17" s="68">
        <f t="shared" ref="L17:L72" si="3">IF(K17&lt;&gt;0,+G17-K17,0)</f>
        <v>0</v>
      </c>
      <c r="M17" s="131"/>
      <c r="N17" s="68">
        <f t="shared" ref="N17:N72" si="4">IF(M17&lt;&gt;0,+H17-M17,0)</f>
        <v>0</v>
      </c>
      <c r="O17" s="69">
        <f t="shared" ref="O17:O72" si="5">+N17-L17</f>
        <v>0</v>
      </c>
      <c r="P17" s="4"/>
    </row>
    <row r="18" spans="2:16">
      <c r="B18" s="9" t="str">
        <f>IF(D18=F17,"","IU")</f>
        <v/>
      </c>
      <c r="C18" s="64">
        <f>IF(D11="","-",+C17+1)</f>
        <v>2025</v>
      </c>
      <c r="D18" s="70">
        <f>IF(F17+SUM(E$17:E17)=D$10,F17,D$10-SUM(E$17:E17))</f>
        <v>3666</v>
      </c>
      <c r="E18" s="71">
        <f>IF(+I14&lt;F17,I14,D18)</f>
        <v>83.318181818181813</v>
      </c>
      <c r="F18" s="70">
        <f t="shared" ref="F18:F72" si="6">+D18-E18</f>
        <v>3582.681818181818</v>
      </c>
      <c r="G18" s="72">
        <f t="shared" si="0"/>
        <v>516.52525481819748</v>
      </c>
      <c r="H18" s="53">
        <f t="shared" si="1"/>
        <v>516.52525481819748</v>
      </c>
      <c r="I18" s="67">
        <f t="shared" si="2"/>
        <v>0</v>
      </c>
      <c r="J18" s="67"/>
      <c r="K18" s="150"/>
      <c r="L18" s="69">
        <f t="shared" si="3"/>
        <v>0</v>
      </c>
      <c r="M18" s="150"/>
      <c r="N18" s="69">
        <f t="shared" si="4"/>
        <v>0</v>
      </c>
      <c r="O18" s="69">
        <f t="shared" si="5"/>
        <v>0</v>
      </c>
      <c r="P18" s="4"/>
    </row>
    <row r="19" spans="2:16">
      <c r="B19" s="9" t="str">
        <f>IF(D19=F18,"","IU")</f>
        <v/>
      </c>
      <c r="C19" s="64">
        <f>IF(D11="","-",+C18+1)</f>
        <v>2026</v>
      </c>
      <c r="D19" s="70">
        <f>IF(F18+SUM(E$17:E18)=D$10,F18,D$10-SUM(E$17:E18))</f>
        <v>3582.681818181818</v>
      </c>
      <c r="E19" s="71">
        <f>IF(+I14&lt;F18,I14,D19)</f>
        <v>83.318181818181813</v>
      </c>
      <c r="F19" s="70">
        <f t="shared" si="6"/>
        <v>3499.363636363636</v>
      </c>
      <c r="G19" s="72">
        <f t="shared" si="0"/>
        <v>506.56647153084072</v>
      </c>
      <c r="H19" s="53">
        <f t="shared" si="1"/>
        <v>506.56647153084072</v>
      </c>
      <c r="I19" s="67">
        <f t="shared" si="2"/>
        <v>0</v>
      </c>
      <c r="J19" s="67"/>
      <c r="K19" s="150"/>
      <c r="L19" s="69">
        <f t="shared" si="3"/>
        <v>0</v>
      </c>
      <c r="M19" s="150"/>
      <c r="N19" s="69">
        <f t="shared" si="4"/>
        <v>0</v>
      </c>
      <c r="O19" s="69">
        <f t="shared" si="5"/>
        <v>0</v>
      </c>
      <c r="P19" s="4"/>
    </row>
    <row r="20" spans="2:16">
      <c r="B20" s="9" t="str">
        <f t="shared" ref="B20:B72" si="7">IF(D20=F19,"","IU")</f>
        <v/>
      </c>
      <c r="C20" s="64">
        <f>IF(D11="","-",+C19+1)</f>
        <v>2027</v>
      </c>
      <c r="D20" s="70">
        <f>IF(F19+SUM(E$17:E19)=D$10,F19,D$10-SUM(E$17:E19))</f>
        <v>3499.363636363636</v>
      </c>
      <c r="E20" s="71">
        <f>IF(+I14&lt;F19,I14,D20)</f>
        <v>83.318181818181813</v>
      </c>
      <c r="F20" s="70">
        <f t="shared" si="6"/>
        <v>3416.045454545454</v>
      </c>
      <c r="G20" s="72">
        <f t="shared" si="0"/>
        <v>496.60768824348401</v>
      </c>
      <c r="H20" s="53">
        <f t="shared" si="1"/>
        <v>496.60768824348401</v>
      </c>
      <c r="I20" s="67">
        <f t="shared" si="2"/>
        <v>0</v>
      </c>
      <c r="J20" s="67"/>
      <c r="K20" s="150"/>
      <c r="L20" s="69">
        <f t="shared" si="3"/>
        <v>0</v>
      </c>
      <c r="M20" s="150"/>
      <c r="N20" s="69">
        <f t="shared" si="4"/>
        <v>0</v>
      </c>
      <c r="O20" s="69">
        <f t="shared" si="5"/>
        <v>0</v>
      </c>
      <c r="P20" s="4"/>
    </row>
    <row r="21" spans="2:16">
      <c r="B21" s="9" t="str">
        <f t="shared" si="7"/>
        <v/>
      </c>
      <c r="C21" s="64">
        <f>IF(D11="","-",+C20+1)</f>
        <v>2028</v>
      </c>
      <c r="D21" s="70">
        <f>IF(F20+SUM(E$17:E20)=D$10,F20,D$10-SUM(E$17:E20))</f>
        <v>3416.045454545454</v>
      </c>
      <c r="E21" s="71">
        <f>IF(+I14&lt;F20,I14,D21)</f>
        <v>83.318181818181813</v>
      </c>
      <c r="F21" s="70">
        <f t="shared" si="6"/>
        <v>3332.7272727272721</v>
      </c>
      <c r="G21" s="72">
        <f t="shared" si="0"/>
        <v>486.6489049561273</v>
      </c>
      <c r="H21" s="53">
        <f t="shared" si="1"/>
        <v>486.6489049561273</v>
      </c>
      <c r="I21" s="67">
        <f t="shared" si="2"/>
        <v>0</v>
      </c>
      <c r="J21" s="67"/>
      <c r="K21" s="150"/>
      <c r="L21" s="69">
        <f t="shared" si="3"/>
        <v>0</v>
      </c>
      <c r="M21" s="150"/>
      <c r="N21" s="69">
        <f t="shared" si="4"/>
        <v>0</v>
      </c>
      <c r="O21" s="69">
        <f t="shared" si="5"/>
        <v>0</v>
      </c>
      <c r="P21" s="4"/>
    </row>
    <row r="22" spans="2:16">
      <c r="B22" s="9" t="str">
        <f t="shared" si="7"/>
        <v/>
      </c>
      <c r="C22" s="64">
        <f>IF(D11="","-",+C21+1)</f>
        <v>2029</v>
      </c>
      <c r="D22" s="70">
        <f>IF(F21+SUM(E$17:E21)=D$10,F21,D$10-SUM(E$17:E21))</f>
        <v>3332.7272727272721</v>
      </c>
      <c r="E22" s="71">
        <f>IF(+I14&lt;F21,I14,D22)</f>
        <v>83.318181818181813</v>
      </c>
      <c r="F22" s="70">
        <f t="shared" si="6"/>
        <v>3249.4090909090901</v>
      </c>
      <c r="G22" s="72">
        <f t="shared" si="0"/>
        <v>476.69012166877059</v>
      </c>
      <c r="H22" s="53">
        <f t="shared" si="1"/>
        <v>476.69012166877059</v>
      </c>
      <c r="I22" s="67">
        <f t="shared" si="2"/>
        <v>0</v>
      </c>
      <c r="J22" s="67"/>
      <c r="K22" s="150"/>
      <c r="L22" s="69">
        <f t="shared" si="3"/>
        <v>0</v>
      </c>
      <c r="M22" s="150"/>
      <c r="N22" s="69">
        <f t="shared" si="4"/>
        <v>0</v>
      </c>
      <c r="O22" s="69">
        <f t="shared" si="5"/>
        <v>0</v>
      </c>
      <c r="P22" s="4"/>
    </row>
    <row r="23" spans="2:16">
      <c r="B23" s="9" t="str">
        <f t="shared" si="7"/>
        <v/>
      </c>
      <c r="C23" s="64">
        <f>IF(D11="","-",+C22+1)</f>
        <v>2030</v>
      </c>
      <c r="D23" s="70">
        <f>IF(F22+SUM(E$17:E22)=D$10,F22,D$10-SUM(E$17:E22))</f>
        <v>3249.4090909090901</v>
      </c>
      <c r="E23" s="71">
        <f>IF(+I14&lt;F22,I14,D23)</f>
        <v>83.318181818181813</v>
      </c>
      <c r="F23" s="70">
        <f t="shared" si="6"/>
        <v>3166.0909090909081</v>
      </c>
      <c r="G23" s="72">
        <f t="shared" si="0"/>
        <v>466.73133838141388</v>
      </c>
      <c r="H23" s="53">
        <f t="shared" si="1"/>
        <v>466.73133838141388</v>
      </c>
      <c r="I23" s="67">
        <f t="shared" si="2"/>
        <v>0</v>
      </c>
      <c r="J23" s="67"/>
      <c r="K23" s="150"/>
      <c r="L23" s="69">
        <f t="shared" si="3"/>
        <v>0</v>
      </c>
      <c r="M23" s="150"/>
      <c r="N23" s="69">
        <f t="shared" si="4"/>
        <v>0</v>
      </c>
      <c r="O23" s="69">
        <f t="shared" si="5"/>
        <v>0</v>
      </c>
      <c r="P23" s="4"/>
    </row>
    <row r="24" spans="2:16">
      <c r="B24" s="9" t="str">
        <f t="shared" si="7"/>
        <v/>
      </c>
      <c r="C24" s="64">
        <f>IF(D11="","-",+C23+1)</f>
        <v>2031</v>
      </c>
      <c r="D24" s="70">
        <f>IF(F23+SUM(E$17:E23)=D$10,F23,D$10-SUM(E$17:E23))</f>
        <v>3166.0909090909081</v>
      </c>
      <c r="E24" s="71">
        <f>IF(+I14&lt;F23,I14,D24)</f>
        <v>83.318181818181813</v>
      </c>
      <c r="F24" s="70">
        <f t="shared" si="6"/>
        <v>3082.7727272727261</v>
      </c>
      <c r="G24" s="72">
        <f t="shared" si="0"/>
        <v>456.77255509405722</v>
      </c>
      <c r="H24" s="53">
        <f t="shared" si="1"/>
        <v>456.77255509405722</v>
      </c>
      <c r="I24" s="67">
        <f t="shared" si="2"/>
        <v>0</v>
      </c>
      <c r="J24" s="67"/>
      <c r="K24" s="150"/>
      <c r="L24" s="69">
        <f t="shared" si="3"/>
        <v>0</v>
      </c>
      <c r="M24" s="150"/>
      <c r="N24" s="69">
        <f t="shared" si="4"/>
        <v>0</v>
      </c>
      <c r="O24" s="69">
        <f t="shared" si="5"/>
        <v>0</v>
      </c>
      <c r="P24" s="4"/>
    </row>
    <row r="25" spans="2:16">
      <c r="B25" s="9" t="str">
        <f t="shared" si="7"/>
        <v/>
      </c>
      <c r="C25" s="64">
        <f>IF(D11="","-",+C24+1)</f>
        <v>2032</v>
      </c>
      <c r="D25" s="70">
        <f>IF(F24+SUM(E$17:E24)=D$10,F24,D$10-SUM(E$17:E24))</f>
        <v>3082.7727272727261</v>
      </c>
      <c r="E25" s="71">
        <f>IF(+I14&lt;F24,I14,D25)</f>
        <v>83.318181818181813</v>
      </c>
      <c r="F25" s="70">
        <f t="shared" si="6"/>
        <v>2999.4545454545441</v>
      </c>
      <c r="G25" s="72">
        <f t="shared" si="0"/>
        <v>446.81377180670052</v>
      </c>
      <c r="H25" s="53">
        <f t="shared" si="1"/>
        <v>446.81377180670052</v>
      </c>
      <c r="I25" s="67">
        <f t="shared" si="2"/>
        <v>0</v>
      </c>
      <c r="J25" s="67"/>
      <c r="K25" s="150"/>
      <c r="L25" s="69">
        <f t="shared" si="3"/>
        <v>0</v>
      </c>
      <c r="M25" s="150"/>
      <c r="N25" s="69">
        <f t="shared" si="4"/>
        <v>0</v>
      </c>
      <c r="O25" s="69">
        <f t="shared" si="5"/>
        <v>0</v>
      </c>
      <c r="P25" s="4"/>
    </row>
    <row r="26" spans="2:16">
      <c r="B26" s="9" t="str">
        <f t="shared" si="7"/>
        <v/>
      </c>
      <c r="C26" s="64">
        <f>IF(D11="","-",+C25+1)</f>
        <v>2033</v>
      </c>
      <c r="D26" s="70">
        <f>IF(F25+SUM(E$17:E25)=D$10,F25,D$10-SUM(E$17:E25))</f>
        <v>2999.4545454545441</v>
      </c>
      <c r="E26" s="71">
        <f>IF(+I14&lt;F25,I14,D26)</f>
        <v>83.318181818181813</v>
      </c>
      <c r="F26" s="70">
        <f t="shared" si="6"/>
        <v>2916.1363636363621</v>
      </c>
      <c r="G26" s="72">
        <f t="shared" si="0"/>
        <v>436.85498851934381</v>
      </c>
      <c r="H26" s="53">
        <f t="shared" si="1"/>
        <v>436.85498851934381</v>
      </c>
      <c r="I26" s="67">
        <f t="shared" si="2"/>
        <v>0</v>
      </c>
      <c r="J26" s="67"/>
      <c r="K26" s="150"/>
      <c r="L26" s="69">
        <f t="shared" si="3"/>
        <v>0</v>
      </c>
      <c r="M26" s="150"/>
      <c r="N26" s="69">
        <f t="shared" si="4"/>
        <v>0</v>
      </c>
      <c r="O26" s="69">
        <f t="shared" si="5"/>
        <v>0</v>
      </c>
      <c r="P26" s="4"/>
    </row>
    <row r="27" spans="2:16">
      <c r="B27" s="9" t="str">
        <f t="shared" si="7"/>
        <v/>
      </c>
      <c r="C27" s="64">
        <f>IF(D11="","-",+C26+1)</f>
        <v>2034</v>
      </c>
      <c r="D27" s="70">
        <f>IF(F26+SUM(E$17:E26)=D$10,F26,D$10-SUM(E$17:E26))</f>
        <v>2916.1363636363621</v>
      </c>
      <c r="E27" s="71">
        <f>IF(+I14&lt;F26,I14,D27)</f>
        <v>83.318181818181813</v>
      </c>
      <c r="F27" s="70">
        <f t="shared" si="6"/>
        <v>2832.8181818181802</v>
      </c>
      <c r="G27" s="72">
        <f t="shared" si="0"/>
        <v>426.8962052319871</v>
      </c>
      <c r="H27" s="53">
        <f t="shared" si="1"/>
        <v>426.8962052319871</v>
      </c>
      <c r="I27" s="67">
        <f t="shared" si="2"/>
        <v>0</v>
      </c>
      <c r="J27" s="67"/>
      <c r="K27" s="150"/>
      <c r="L27" s="69">
        <f t="shared" si="3"/>
        <v>0</v>
      </c>
      <c r="M27" s="150"/>
      <c r="N27" s="69">
        <f t="shared" si="4"/>
        <v>0</v>
      </c>
      <c r="O27" s="69">
        <f t="shared" si="5"/>
        <v>0</v>
      </c>
      <c r="P27" s="4"/>
    </row>
    <row r="28" spans="2:16">
      <c r="B28" s="9" t="str">
        <f t="shared" si="7"/>
        <v/>
      </c>
      <c r="C28" s="64">
        <f>IF(D11="","-",+C27+1)</f>
        <v>2035</v>
      </c>
      <c r="D28" s="70">
        <f>IF(F27+SUM(E$17:E27)=D$10,F27,D$10-SUM(E$17:E27))</f>
        <v>2832.8181818181802</v>
      </c>
      <c r="E28" s="71">
        <f>IF(+I14&lt;F27,I14,D28)</f>
        <v>83.318181818181813</v>
      </c>
      <c r="F28" s="70">
        <f t="shared" si="6"/>
        <v>2749.4999999999982</v>
      </c>
      <c r="G28" s="72">
        <f t="shared" si="0"/>
        <v>416.93742194463039</v>
      </c>
      <c r="H28" s="53">
        <f t="shared" si="1"/>
        <v>416.93742194463039</v>
      </c>
      <c r="I28" s="67">
        <f t="shared" si="2"/>
        <v>0</v>
      </c>
      <c r="J28" s="67"/>
      <c r="K28" s="150"/>
      <c r="L28" s="69">
        <f t="shared" si="3"/>
        <v>0</v>
      </c>
      <c r="M28" s="150"/>
      <c r="N28" s="69">
        <f t="shared" si="4"/>
        <v>0</v>
      </c>
      <c r="O28" s="69">
        <f t="shared" si="5"/>
        <v>0</v>
      </c>
      <c r="P28" s="4"/>
    </row>
    <row r="29" spans="2:16">
      <c r="B29" s="9" t="str">
        <f t="shared" si="7"/>
        <v/>
      </c>
      <c r="C29" s="64">
        <f>IF(D11="","-",+C28+1)</f>
        <v>2036</v>
      </c>
      <c r="D29" s="70">
        <f>IF(F28+SUM(E$17:E28)=D$10,F28,D$10-SUM(E$17:E28))</f>
        <v>2749.4999999999982</v>
      </c>
      <c r="E29" s="71">
        <f>IF(+I14&lt;F28,I14,D29)</f>
        <v>83.318181818181813</v>
      </c>
      <c r="F29" s="70">
        <f t="shared" si="6"/>
        <v>2666.1818181818162</v>
      </c>
      <c r="G29" s="72">
        <f t="shared" si="0"/>
        <v>406.97863865727368</v>
      </c>
      <c r="H29" s="53">
        <f t="shared" si="1"/>
        <v>406.97863865727368</v>
      </c>
      <c r="I29" s="67">
        <f t="shared" si="2"/>
        <v>0</v>
      </c>
      <c r="J29" s="67"/>
      <c r="K29" s="150"/>
      <c r="L29" s="69">
        <f t="shared" si="3"/>
        <v>0</v>
      </c>
      <c r="M29" s="150"/>
      <c r="N29" s="69">
        <f t="shared" si="4"/>
        <v>0</v>
      </c>
      <c r="O29" s="69">
        <f t="shared" si="5"/>
        <v>0</v>
      </c>
      <c r="P29" s="4"/>
    </row>
    <row r="30" spans="2:16">
      <c r="B30" s="9" t="str">
        <f t="shared" si="7"/>
        <v/>
      </c>
      <c r="C30" s="64">
        <f>IF(D11="","-",+C29+1)</f>
        <v>2037</v>
      </c>
      <c r="D30" s="70">
        <f>IF(F29+SUM(E$17:E29)=D$10,F29,D$10-SUM(E$17:E29))</f>
        <v>2666.1818181818162</v>
      </c>
      <c r="E30" s="71">
        <f>IF(+I14&lt;F29,I14,D30)</f>
        <v>83.318181818181813</v>
      </c>
      <c r="F30" s="70">
        <f t="shared" si="6"/>
        <v>2582.8636363636342</v>
      </c>
      <c r="G30" s="72">
        <f t="shared" si="0"/>
        <v>397.01985536991702</v>
      </c>
      <c r="H30" s="53">
        <f t="shared" si="1"/>
        <v>397.01985536991702</v>
      </c>
      <c r="I30" s="67">
        <f t="shared" si="2"/>
        <v>0</v>
      </c>
      <c r="J30" s="67"/>
      <c r="K30" s="150"/>
      <c r="L30" s="69">
        <f t="shared" si="3"/>
        <v>0</v>
      </c>
      <c r="M30" s="150"/>
      <c r="N30" s="69">
        <f t="shared" si="4"/>
        <v>0</v>
      </c>
      <c r="O30" s="69">
        <f t="shared" si="5"/>
        <v>0</v>
      </c>
      <c r="P30" s="4"/>
    </row>
    <row r="31" spans="2:16">
      <c r="B31" s="9" t="str">
        <f t="shared" si="7"/>
        <v/>
      </c>
      <c r="C31" s="64">
        <f>IF(D11="","-",+C30+1)</f>
        <v>2038</v>
      </c>
      <c r="D31" s="70">
        <f>IF(F30+SUM(E$17:E30)=D$10,F30,D$10-SUM(E$17:E30))</f>
        <v>2582.8636363636342</v>
      </c>
      <c r="E31" s="71">
        <f>IF(+I14&lt;F30,I14,D31)</f>
        <v>83.318181818181813</v>
      </c>
      <c r="F31" s="70">
        <f t="shared" si="6"/>
        <v>2499.5454545454522</v>
      </c>
      <c r="G31" s="72">
        <f t="shared" si="0"/>
        <v>387.06107208256032</v>
      </c>
      <c r="H31" s="53">
        <f t="shared" si="1"/>
        <v>387.06107208256032</v>
      </c>
      <c r="I31" s="67">
        <f t="shared" si="2"/>
        <v>0</v>
      </c>
      <c r="J31" s="67"/>
      <c r="K31" s="150"/>
      <c r="L31" s="69">
        <f t="shared" si="3"/>
        <v>0</v>
      </c>
      <c r="M31" s="150"/>
      <c r="N31" s="69">
        <f t="shared" si="4"/>
        <v>0</v>
      </c>
      <c r="O31" s="69">
        <f t="shared" si="5"/>
        <v>0</v>
      </c>
      <c r="P31" s="4"/>
    </row>
    <row r="32" spans="2:16">
      <c r="B32" s="9" t="str">
        <f t="shared" si="7"/>
        <v/>
      </c>
      <c r="C32" s="64">
        <f>IF(D11="","-",+C31+1)</f>
        <v>2039</v>
      </c>
      <c r="D32" s="70">
        <f>IF(F31+SUM(E$17:E31)=D$10,F31,D$10-SUM(E$17:E31))</f>
        <v>2499.5454545454522</v>
      </c>
      <c r="E32" s="71">
        <f>IF(+I14&lt;F31,I14,D32)</f>
        <v>83.318181818181813</v>
      </c>
      <c r="F32" s="70">
        <f t="shared" si="6"/>
        <v>2416.2272727272702</v>
      </c>
      <c r="G32" s="72">
        <f t="shared" si="0"/>
        <v>377.10228879520361</v>
      </c>
      <c r="H32" s="53">
        <f t="shared" si="1"/>
        <v>377.10228879520361</v>
      </c>
      <c r="I32" s="67">
        <f t="shared" si="2"/>
        <v>0</v>
      </c>
      <c r="J32" s="67"/>
      <c r="K32" s="150"/>
      <c r="L32" s="69">
        <f t="shared" si="3"/>
        <v>0</v>
      </c>
      <c r="M32" s="150"/>
      <c r="N32" s="69">
        <f t="shared" si="4"/>
        <v>0</v>
      </c>
      <c r="O32" s="69">
        <f t="shared" si="5"/>
        <v>0</v>
      </c>
      <c r="P32" s="4"/>
    </row>
    <row r="33" spans="2:16">
      <c r="B33" s="9" t="str">
        <f t="shared" si="7"/>
        <v/>
      </c>
      <c r="C33" s="64">
        <f>IF(D11="","-",+C32+1)</f>
        <v>2040</v>
      </c>
      <c r="D33" s="70">
        <f>IF(F32+SUM(E$17:E32)=D$10,F32,D$10-SUM(E$17:E32))</f>
        <v>2416.2272727272702</v>
      </c>
      <c r="E33" s="71">
        <f>IF(+I14&lt;F32,I14,D33)</f>
        <v>83.318181818181813</v>
      </c>
      <c r="F33" s="70">
        <f t="shared" si="6"/>
        <v>2332.9090909090883</v>
      </c>
      <c r="G33" s="72">
        <f t="shared" si="0"/>
        <v>367.1435055078469</v>
      </c>
      <c r="H33" s="53">
        <f t="shared" si="1"/>
        <v>367.1435055078469</v>
      </c>
      <c r="I33" s="67">
        <f t="shared" si="2"/>
        <v>0</v>
      </c>
      <c r="J33" s="67"/>
      <c r="K33" s="150"/>
      <c r="L33" s="69">
        <f t="shared" si="3"/>
        <v>0</v>
      </c>
      <c r="M33" s="150"/>
      <c r="N33" s="69">
        <f t="shared" si="4"/>
        <v>0</v>
      </c>
      <c r="O33" s="69">
        <f t="shared" si="5"/>
        <v>0</v>
      </c>
      <c r="P33" s="4"/>
    </row>
    <row r="34" spans="2:16">
      <c r="B34" s="9" t="str">
        <f t="shared" si="7"/>
        <v/>
      </c>
      <c r="C34" s="64">
        <f>IF(D11="","-",+C33+1)</f>
        <v>2041</v>
      </c>
      <c r="D34" s="70">
        <f>IF(F33+SUM(E$17:E33)=D$10,F33,D$10-SUM(E$17:E33))</f>
        <v>2332.9090909090883</v>
      </c>
      <c r="E34" s="71">
        <f>IF(+I14&lt;F33,I14,D34)</f>
        <v>83.318181818181813</v>
      </c>
      <c r="F34" s="70">
        <f t="shared" si="6"/>
        <v>2249.5909090909063</v>
      </c>
      <c r="G34" s="72">
        <f t="shared" si="0"/>
        <v>357.18472222049019</v>
      </c>
      <c r="H34" s="53">
        <f t="shared" si="1"/>
        <v>357.18472222049019</v>
      </c>
      <c r="I34" s="67">
        <f t="shared" si="2"/>
        <v>0</v>
      </c>
      <c r="J34" s="67"/>
      <c r="K34" s="150"/>
      <c r="L34" s="69">
        <f t="shared" si="3"/>
        <v>0</v>
      </c>
      <c r="M34" s="150"/>
      <c r="N34" s="69">
        <f t="shared" si="4"/>
        <v>0</v>
      </c>
      <c r="O34" s="69">
        <f t="shared" si="5"/>
        <v>0</v>
      </c>
      <c r="P34" s="4"/>
    </row>
    <row r="35" spans="2:16">
      <c r="B35" s="9" t="str">
        <f t="shared" si="7"/>
        <v/>
      </c>
      <c r="C35" s="64">
        <f>IF(D11="","-",+C34+1)</f>
        <v>2042</v>
      </c>
      <c r="D35" s="70">
        <f>IF(F34+SUM(E$17:E34)=D$10,F34,D$10-SUM(E$17:E34))</f>
        <v>2249.5909090909063</v>
      </c>
      <c r="E35" s="71">
        <f>IF(+I14&lt;F34,I14,D35)</f>
        <v>83.318181818181813</v>
      </c>
      <c r="F35" s="70">
        <f t="shared" si="6"/>
        <v>2166.2727272727243</v>
      </c>
      <c r="G35" s="72">
        <f t="shared" si="0"/>
        <v>347.22593893313348</v>
      </c>
      <c r="H35" s="53">
        <f t="shared" si="1"/>
        <v>347.22593893313348</v>
      </c>
      <c r="I35" s="67">
        <f t="shared" si="2"/>
        <v>0</v>
      </c>
      <c r="J35" s="67"/>
      <c r="K35" s="150"/>
      <c r="L35" s="69">
        <f t="shared" si="3"/>
        <v>0</v>
      </c>
      <c r="M35" s="150"/>
      <c r="N35" s="69">
        <f t="shared" si="4"/>
        <v>0</v>
      </c>
      <c r="O35" s="69">
        <f t="shared" si="5"/>
        <v>0</v>
      </c>
      <c r="P35" s="4"/>
    </row>
    <row r="36" spans="2:16">
      <c r="B36" s="9" t="str">
        <f t="shared" si="7"/>
        <v/>
      </c>
      <c r="C36" s="64">
        <f>IF(D11="","-",+C35+1)</f>
        <v>2043</v>
      </c>
      <c r="D36" s="70">
        <f>IF(F35+SUM(E$17:E35)=D$10,F35,D$10-SUM(E$17:E35))</f>
        <v>2166.2727272727243</v>
      </c>
      <c r="E36" s="71">
        <f>IF(+I14&lt;F35,I14,D36)</f>
        <v>83.318181818181813</v>
      </c>
      <c r="F36" s="70">
        <f t="shared" si="6"/>
        <v>2082.9545454545423</v>
      </c>
      <c r="G36" s="72">
        <f t="shared" si="0"/>
        <v>337.26715564577682</v>
      </c>
      <c r="H36" s="53">
        <f t="shared" si="1"/>
        <v>337.26715564577682</v>
      </c>
      <c r="I36" s="67">
        <f t="shared" si="2"/>
        <v>0</v>
      </c>
      <c r="J36" s="67"/>
      <c r="K36" s="150"/>
      <c r="L36" s="69">
        <f t="shared" si="3"/>
        <v>0</v>
      </c>
      <c r="M36" s="150"/>
      <c r="N36" s="69">
        <f t="shared" si="4"/>
        <v>0</v>
      </c>
      <c r="O36" s="69">
        <f t="shared" si="5"/>
        <v>0</v>
      </c>
      <c r="P36" s="4"/>
    </row>
    <row r="37" spans="2:16">
      <c r="B37" s="9" t="str">
        <f t="shared" si="7"/>
        <v/>
      </c>
      <c r="C37" s="64">
        <f>IF(D11="","-",+C36+1)</f>
        <v>2044</v>
      </c>
      <c r="D37" s="70">
        <f>IF(F36+SUM(E$17:E36)=D$10,F36,D$10-SUM(E$17:E36))</f>
        <v>2082.9545454545423</v>
      </c>
      <c r="E37" s="71">
        <f>IF(+I14&lt;F36,I14,D37)</f>
        <v>83.318181818181813</v>
      </c>
      <c r="F37" s="70">
        <f t="shared" si="6"/>
        <v>1999.6363636363606</v>
      </c>
      <c r="G37" s="72">
        <f t="shared" si="0"/>
        <v>327.30837235842012</v>
      </c>
      <c r="H37" s="53">
        <f t="shared" si="1"/>
        <v>327.30837235842012</v>
      </c>
      <c r="I37" s="67">
        <f t="shared" si="2"/>
        <v>0</v>
      </c>
      <c r="J37" s="67"/>
      <c r="K37" s="150"/>
      <c r="L37" s="69">
        <f t="shared" si="3"/>
        <v>0</v>
      </c>
      <c r="M37" s="150"/>
      <c r="N37" s="69">
        <f t="shared" si="4"/>
        <v>0</v>
      </c>
      <c r="O37" s="69">
        <f t="shared" si="5"/>
        <v>0</v>
      </c>
      <c r="P37" s="4"/>
    </row>
    <row r="38" spans="2:16">
      <c r="B38" s="9" t="str">
        <f t="shared" si="7"/>
        <v/>
      </c>
      <c r="C38" s="64">
        <f>IF(D11="","-",+C37+1)</f>
        <v>2045</v>
      </c>
      <c r="D38" s="70">
        <f>IF(F37+SUM(E$17:E37)=D$10,F37,D$10-SUM(E$17:E37))</f>
        <v>1999.6363636363606</v>
      </c>
      <c r="E38" s="71">
        <f>IF(+I14&lt;F37,I14,D38)</f>
        <v>83.318181818181813</v>
      </c>
      <c r="F38" s="70">
        <f t="shared" si="6"/>
        <v>1916.3181818181788</v>
      </c>
      <c r="G38" s="72">
        <f t="shared" si="0"/>
        <v>317.34958907106346</v>
      </c>
      <c r="H38" s="53">
        <f t="shared" si="1"/>
        <v>317.34958907106346</v>
      </c>
      <c r="I38" s="67">
        <f t="shared" si="2"/>
        <v>0</v>
      </c>
      <c r="J38" s="67"/>
      <c r="K38" s="150"/>
      <c r="L38" s="69">
        <f t="shared" si="3"/>
        <v>0</v>
      </c>
      <c r="M38" s="150"/>
      <c r="N38" s="69">
        <f t="shared" si="4"/>
        <v>0</v>
      </c>
      <c r="O38" s="69">
        <f t="shared" si="5"/>
        <v>0</v>
      </c>
      <c r="P38" s="4"/>
    </row>
    <row r="39" spans="2:16">
      <c r="B39" s="9" t="str">
        <f t="shared" si="7"/>
        <v/>
      </c>
      <c r="C39" s="64">
        <f>IF(D11="","-",+C38+1)</f>
        <v>2046</v>
      </c>
      <c r="D39" s="70">
        <f>IF(F38+SUM(E$17:E38)=D$10,F38,D$10-SUM(E$17:E38))</f>
        <v>1916.3181818181788</v>
      </c>
      <c r="E39" s="71">
        <f>IF(+I14&lt;F38,I14,D39)</f>
        <v>83.318181818181813</v>
      </c>
      <c r="F39" s="70">
        <f t="shared" si="6"/>
        <v>1832.999999999997</v>
      </c>
      <c r="G39" s="72">
        <f t="shared" si="0"/>
        <v>307.39080578370675</v>
      </c>
      <c r="H39" s="53">
        <f t="shared" si="1"/>
        <v>307.39080578370675</v>
      </c>
      <c r="I39" s="67">
        <f t="shared" si="2"/>
        <v>0</v>
      </c>
      <c r="J39" s="67"/>
      <c r="K39" s="150"/>
      <c r="L39" s="69">
        <f t="shared" si="3"/>
        <v>0</v>
      </c>
      <c r="M39" s="150"/>
      <c r="N39" s="69">
        <f t="shared" si="4"/>
        <v>0</v>
      </c>
      <c r="O39" s="69">
        <f t="shared" si="5"/>
        <v>0</v>
      </c>
      <c r="P39" s="4"/>
    </row>
    <row r="40" spans="2:16">
      <c r="B40" s="9" t="str">
        <f t="shared" si="7"/>
        <v/>
      </c>
      <c r="C40" s="64">
        <f>IF(D11="","-",+C39+1)</f>
        <v>2047</v>
      </c>
      <c r="D40" s="70">
        <f>IF(F39+SUM(E$17:E39)=D$10,F39,D$10-SUM(E$17:E39))</f>
        <v>1832.999999999997</v>
      </c>
      <c r="E40" s="71">
        <f>IF(+I14&lt;F39,I14,D40)</f>
        <v>83.318181818181813</v>
      </c>
      <c r="F40" s="70">
        <f t="shared" si="6"/>
        <v>1749.6818181818153</v>
      </c>
      <c r="G40" s="72">
        <f t="shared" si="0"/>
        <v>297.4320224963501</v>
      </c>
      <c r="H40" s="53">
        <f t="shared" si="1"/>
        <v>297.4320224963501</v>
      </c>
      <c r="I40" s="67">
        <f t="shared" si="2"/>
        <v>0</v>
      </c>
      <c r="J40" s="67"/>
      <c r="K40" s="150"/>
      <c r="L40" s="69">
        <f t="shared" si="3"/>
        <v>0</v>
      </c>
      <c r="M40" s="150"/>
      <c r="N40" s="69">
        <f t="shared" si="4"/>
        <v>0</v>
      </c>
      <c r="O40" s="69">
        <f t="shared" si="5"/>
        <v>0</v>
      </c>
      <c r="P40" s="4"/>
    </row>
    <row r="41" spans="2:16">
      <c r="B41" s="9" t="str">
        <f t="shared" si="7"/>
        <v/>
      </c>
      <c r="C41" s="64">
        <f>IF(D11="","-",+C40+1)</f>
        <v>2048</v>
      </c>
      <c r="D41" s="70">
        <f>IF(F40+SUM(E$17:E40)=D$10,F40,D$10-SUM(E$17:E40))</f>
        <v>1749.6818181818153</v>
      </c>
      <c r="E41" s="71">
        <f>IF(+I14&lt;F40,I14,D41)</f>
        <v>83.318181818181813</v>
      </c>
      <c r="F41" s="70">
        <f t="shared" si="6"/>
        <v>1666.3636363636335</v>
      </c>
      <c r="G41" s="72">
        <f t="shared" si="0"/>
        <v>287.47323920899339</v>
      </c>
      <c r="H41" s="53">
        <f t="shared" si="1"/>
        <v>287.47323920899339</v>
      </c>
      <c r="I41" s="67">
        <f t="shared" si="2"/>
        <v>0</v>
      </c>
      <c r="J41" s="67"/>
      <c r="K41" s="150"/>
      <c r="L41" s="69">
        <f t="shared" si="3"/>
        <v>0</v>
      </c>
      <c r="M41" s="150"/>
      <c r="N41" s="69">
        <f t="shared" si="4"/>
        <v>0</v>
      </c>
      <c r="O41" s="69">
        <f t="shared" si="5"/>
        <v>0</v>
      </c>
      <c r="P41" s="4"/>
    </row>
    <row r="42" spans="2:16">
      <c r="B42" s="9" t="str">
        <f t="shared" si="7"/>
        <v/>
      </c>
      <c r="C42" s="64">
        <f>IF(D11="","-",+C41+1)</f>
        <v>2049</v>
      </c>
      <c r="D42" s="70">
        <f>IF(F41+SUM(E$17:E41)=D$10,F41,D$10-SUM(E$17:E41))</f>
        <v>1666.3636363636335</v>
      </c>
      <c r="E42" s="71">
        <f>IF(+I14&lt;F41,I14,D42)</f>
        <v>83.318181818181813</v>
      </c>
      <c r="F42" s="70">
        <f t="shared" si="6"/>
        <v>1583.0454545454518</v>
      </c>
      <c r="G42" s="72">
        <f t="shared" si="0"/>
        <v>277.5144559216368</v>
      </c>
      <c r="H42" s="53">
        <f t="shared" si="1"/>
        <v>277.5144559216368</v>
      </c>
      <c r="I42" s="67">
        <f t="shared" si="2"/>
        <v>0</v>
      </c>
      <c r="J42" s="67"/>
      <c r="K42" s="150"/>
      <c r="L42" s="69">
        <f t="shared" si="3"/>
        <v>0</v>
      </c>
      <c r="M42" s="150"/>
      <c r="N42" s="69">
        <f t="shared" si="4"/>
        <v>0</v>
      </c>
      <c r="O42" s="69">
        <f t="shared" si="5"/>
        <v>0</v>
      </c>
      <c r="P42" s="4"/>
    </row>
    <row r="43" spans="2:16">
      <c r="B43" s="9" t="str">
        <f t="shared" si="7"/>
        <v/>
      </c>
      <c r="C43" s="64">
        <f>IF(D11="","-",+C42+1)</f>
        <v>2050</v>
      </c>
      <c r="D43" s="70">
        <f>IF(F42+SUM(E$17:E42)=D$10,F42,D$10-SUM(E$17:E42))</f>
        <v>1583.0454545454518</v>
      </c>
      <c r="E43" s="71">
        <f>IF(+I14&lt;F42,I14,D43)</f>
        <v>83.318181818181813</v>
      </c>
      <c r="F43" s="70">
        <f t="shared" si="6"/>
        <v>1499.72727272727</v>
      </c>
      <c r="G43" s="72">
        <f t="shared" si="0"/>
        <v>267.55567263428009</v>
      </c>
      <c r="H43" s="53">
        <f t="shared" si="1"/>
        <v>267.55567263428009</v>
      </c>
      <c r="I43" s="67">
        <f t="shared" si="2"/>
        <v>0</v>
      </c>
      <c r="J43" s="67"/>
      <c r="K43" s="150"/>
      <c r="L43" s="69">
        <f t="shared" si="3"/>
        <v>0</v>
      </c>
      <c r="M43" s="150"/>
      <c r="N43" s="69">
        <f t="shared" si="4"/>
        <v>0</v>
      </c>
      <c r="O43" s="69">
        <f t="shared" si="5"/>
        <v>0</v>
      </c>
      <c r="P43" s="4"/>
    </row>
    <row r="44" spans="2:16">
      <c r="B44" s="9" t="str">
        <f t="shared" si="7"/>
        <v/>
      </c>
      <c r="C44" s="64">
        <f>IF(D11="","-",+C43+1)</f>
        <v>2051</v>
      </c>
      <c r="D44" s="70">
        <f>IF(F43+SUM(E$17:E43)=D$10,F43,D$10-SUM(E$17:E43))</f>
        <v>1499.72727272727</v>
      </c>
      <c r="E44" s="71">
        <f>IF(+I14&lt;F43,I14,D44)</f>
        <v>83.318181818181813</v>
      </c>
      <c r="F44" s="70">
        <f t="shared" si="6"/>
        <v>1416.4090909090883</v>
      </c>
      <c r="G44" s="72">
        <f t="shared" si="0"/>
        <v>257.59688934692338</v>
      </c>
      <c r="H44" s="53">
        <f t="shared" si="1"/>
        <v>257.59688934692338</v>
      </c>
      <c r="I44" s="67">
        <f t="shared" si="2"/>
        <v>0</v>
      </c>
      <c r="J44" s="67"/>
      <c r="K44" s="150"/>
      <c r="L44" s="69">
        <f t="shared" si="3"/>
        <v>0</v>
      </c>
      <c r="M44" s="150"/>
      <c r="N44" s="69">
        <f t="shared" si="4"/>
        <v>0</v>
      </c>
      <c r="O44" s="69">
        <f t="shared" si="5"/>
        <v>0</v>
      </c>
      <c r="P44" s="4"/>
    </row>
    <row r="45" spans="2:16">
      <c r="B45" s="9" t="str">
        <f t="shared" si="7"/>
        <v/>
      </c>
      <c r="C45" s="64">
        <f>IF(D11="","-",+C44+1)</f>
        <v>2052</v>
      </c>
      <c r="D45" s="70">
        <f>IF(F44+SUM(E$17:E44)=D$10,F44,D$10-SUM(E$17:E44))</f>
        <v>1416.4090909090883</v>
      </c>
      <c r="E45" s="71">
        <f>IF(+I14&lt;F44,I14,D45)</f>
        <v>83.318181818181813</v>
      </c>
      <c r="F45" s="70">
        <f t="shared" si="6"/>
        <v>1333.0909090909065</v>
      </c>
      <c r="G45" s="72">
        <f t="shared" si="0"/>
        <v>247.63810605956672</v>
      </c>
      <c r="H45" s="53">
        <f t="shared" si="1"/>
        <v>247.63810605956672</v>
      </c>
      <c r="I45" s="67">
        <f t="shared" si="2"/>
        <v>0</v>
      </c>
      <c r="J45" s="67"/>
      <c r="K45" s="150"/>
      <c r="L45" s="69">
        <f t="shared" si="3"/>
        <v>0</v>
      </c>
      <c r="M45" s="150"/>
      <c r="N45" s="69">
        <f t="shared" si="4"/>
        <v>0</v>
      </c>
      <c r="O45" s="69">
        <f t="shared" si="5"/>
        <v>0</v>
      </c>
      <c r="P45" s="4"/>
    </row>
    <row r="46" spans="2:16">
      <c r="B46" s="9" t="str">
        <f t="shared" si="7"/>
        <v/>
      </c>
      <c r="C46" s="64">
        <f>IF(D11="","-",+C45+1)</f>
        <v>2053</v>
      </c>
      <c r="D46" s="70">
        <f>IF(F45+SUM(E$17:E45)=D$10,F45,D$10-SUM(E$17:E45))</f>
        <v>1333.0909090909065</v>
      </c>
      <c r="E46" s="71">
        <f>IF(+I14&lt;F45,I14,D46)</f>
        <v>83.318181818181813</v>
      </c>
      <c r="F46" s="70">
        <f t="shared" si="6"/>
        <v>1249.7727272727248</v>
      </c>
      <c r="G46" s="72">
        <f t="shared" si="0"/>
        <v>237.67932277221007</v>
      </c>
      <c r="H46" s="53">
        <f t="shared" si="1"/>
        <v>237.67932277221007</v>
      </c>
      <c r="I46" s="67">
        <f t="shared" si="2"/>
        <v>0</v>
      </c>
      <c r="J46" s="67"/>
      <c r="K46" s="150"/>
      <c r="L46" s="69">
        <f t="shared" si="3"/>
        <v>0</v>
      </c>
      <c r="M46" s="150"/>
      <c r="N46" s="69">
        <f t="shared" si="4"/>
        <v>0</v>
      </c>
      <c r="O46" s="69">
        <f t="shared" si="5"/>
        <v>0</v>
      </c>
      <c r="P46" s="4"/>
    </row>
    <row r="47" spans="2:16">
      <c r="B47" s="9" t="str">
        <f t="shared" si="7"/>
        <v/>
      </c>
      <c r="C47" s="64">
        <f>IF(D11="","-",+C46+1)</f>
        <v>2054</v>
      </c>
      <c r="D47" s="70">
        <f>IF(F46+SUM(E$17:E46)=D$10,F46,D$10-SUM(E$17:E46))</f>
        <v>1249.7727272727248</v>
      </c>
      <c r="E47" s="71">
        <f>IF(+I14&lt;F46,I14,D47)</f>
        <v>83.318181818181813</v>
      </c>
      <c r="F47" s="70">
        <f t="shared" si="6"/>
        <v>1166.454545454543</v>
      </c>
      <c r="G47" s="72">
        <f t="shared" si="0"/>
        <v>227.72053948485336</v>
      </c>
      <c r="H47" s="53">
        <f t="shared" si="1"/>
        <v>227.72053948485336</v>
      </c>
      <c r="I47" s="67">
        <f t="shared" si="2"/>
        <v>0</v>
      </c>
      <c r="J47" s="67"/>
      <c r="K47" s="150"/>
      <c r="L47" s="69">
        <f t="shared" si="3"/>
        <v>0</v>
      </c>
      <c r="M47" s="150"/>
      <c r="N47" s="69">
        <f t="shared" si="4"/>
        <v>0</v>
      </c>
      <c r="O47" s="69">
        <f t="shared" si="5"/>
        <v>0</v>
      </c>
      <c r="P47" s="4"/>
    </row>
    <row r="48" spans="2:16">
      <c r="B48" s="9" t="str">
        <f t="shared" si="7"/>
        <v/>
      </c>
      <c r="C48" s="64">
        <f>IF(D11="","-",+C47+1)</f>
        <v>2055</v>
      </c>
      <c r="D48" s="70">
        <f>IF(F47+SUM(E$17:E47)=D$10,F47,D$10-SUM(E$17:E47))</f>
        <v>1166.454545454543</v>
      </c>
      <c r="E48" s="71">
        <f>IF(+I14&lt;F47,I14,D48)</f>
        <v>83.318181818181813</v>
      </c>
      <c r="F48" s="70">
        <f t="shared" si="6"/>
        <v>1083.1363636363612</v>
      </c>
      <c r="G48" s="72">
        <f t="shared" si="0"/>
        <v>217.76175619749674</v>
      </c>
      <c r="H48" s="53">
        <f t="shared" si="1"/>
        <v>217.76175619749674</v>
      </c>
      <c r="I48" s="67">
        <f t="shared" si="2"/>
        <v>0</v>
      </c>
      <c r="J48" s="67"/>
      <c r="K48" s="150"/>
      <c r="L48" s="69">
        <f t="shared" si="3"/>
        <v>0</v>
      </c>
      <c r="M48" s="150"/>
      <c r="N48" s="69">
        <f t="shared" si="4"/>
        <v>0</v>
      </c>
      <c r="O48" s="69">
        <f t="shared" si="5"/>
        <v>0</v>
      </c>
      <c r="P48" s="4"/>
    </row>
    <row r="49" spans="2:16">
      <c r="B49" s="9" t="str">
        <f t="shared" si="7"/>
        <v/>
      </c>
      <c r="C49" s="64">
        <f>IF(D11="","-",+C48+1)</f>
        <v>2056</v>
      </c>
      <c r="D49" s="70">
        <f>IF(F48+SUM(E$17:E48)=D$10,F48,D$10-SUM(E$17:E48))</f>
        <v>1083.1363636363612</v>
      </c>
      <c r="E49" s="71">
        <f>IF(+I14&lt;F48,I14,D49)</f>
        <v>83.318181818181813</v>
      </c>
      <c r="F49" s="70">
        <f t="shared" si="6"/>
        <v>999.81818181817948</v>
      </c>
      <c r="G49" s="72">
        <f t="shared" si="0"/>
        <v>207.80297291014003</v>
      </c>
      <c r="H49" s="53">
        <f t="shared" si="1"/>
        <v>207.80297291014003</v>
      </c>
      <c r="I49" s="67">
        <f t="shared" si="2"/>
        <v>0</v>
      </c>
      <c r="J49" s="67"/>
      <c r="K49" s="150"/>
      <c r="L49" s="69">
        <f t="shared" si="3"/>
        <v>0</v>
      </c>
      <c r="M49" s="150"/>
      <c r="N49" s="69">
        <f t="shared" si="4"/>
        <v>0</v>
      </c>
      <c r="O49" s="69">
        <f t="shared" si="5"/>
        <v>0</v>
      </c>
      <c r="P49" s="4"/>
    </row>
    <row r="50" spans="2:16">
      <c r="B50" s="9" t="str">
        <f t="shared" si="7"/>
        <v/>
      </c>
      <c r="C50" s="64">
        <f>IF(D11="","-",+C49+1)</f>
        <v>2057</v>
      </c>
      <c r="D50" s="70">
        <f>IF(F49+SUM(E$17:E49)=D$10,F49,D$10-SUM(E$17:E49))</f>
        <v>999.81818181817948</v>
      </c>
      <c r="E50" s="71">
        <f>IF(+I14&lt;F49,I14,D50)</f>
        <v>83.318181818181813</v>
      </c>
      <c r="F50" s="70">
        <f t="shared" si="6"/>
        <v>916.49999999999773</v>
      </c>
      <c r="G50" s="72">
        <f t="shared" si="0"/>
        <v>197.84418962278335</v>
      </c>
      <c r="H50" s="53">
        <f t="shared" si="1"/>
        <v>197.84418962278335</v>
      </c>
      <c r="I50" s="67">
        <f t="shared" si="2"/>
        <v>0</v>
      </c>
      <c r="J50" s="67"/>
      <c r="K50" s="150"/>
      <c r="L50" s="69">
        <f t="shared" si="3"/>
        <v>0</v>
      </c>
      <c r="M50" s="150"/>
      <c r="N50" s="69">
        <f t="shared" si="4"/>
        <v>0</v>
      </c>
      <c r="O50" s="69">
        <f t="shared" si="5"/>
        <v>0</v>
      </c>
      <c r="P50" s="4"/>
    </row>
    <row r="51" spans="2:16">
      <c r="B51" s="9" t="str">
        <f t="shared" si="7"/>
        <v/>
      </c>
      <c r="C51" s="64">
        <f>IF(D11="","-",+C50+1)</f>
        <v>2058</v>
      </c>
      <c r="D51" s="70">
        <f>IF(F50+SUM(E$17:E50)=D$10,F50,D$10-SUM(E$17:E50))</f>
        <v>916.49999999999773</v>
      </c>
      <c r="E51" s="71">
        <f>IF(+I14&lt;F50,I14,D51)</f>
        <v>83.318181818181813</v>
      </c>
      <c r="F51" s="70">
        <f t="shared" si="6"/>
        <v>833.18181818181597</v>
      </c>
      <c r="G51" s="72">
        <f t="shared" si="0"/>
        <v>187.88540633542669</v>
      </c>
      <c r="H51" s="53">
        <f t="shared" si="1"/>
        <v>187.88540633542669</v>
      </c>
      <c r="I51" s="67">
        <f t="shared" si="2"/>
        <v>0</v>
      </c>
      <c r="J51" s="67"/>
      <c r="K51" s="150"/>
      <c r="L51" s="69">
        <f t="shared" si="3"/>
        <v>0</v>
      </c>
      <c r="M51" s="150"/>
      <c r="N51" s="69">
        <f t="shared" si="4"/>
        <v>0</v>
      </c>
      <c r="O51" s="69">
        <f t="shared" si="5"/>
        <v>0</v>
      </c>
      <c r="P51" s="4"/>
    </row>
    <row r="52" spans="2:16">
      <c r="B52" s="9" t="str">
        <f t="shared" si="7"/>
        <v/>
      </c>
      <c r="C52" s="64">
        <f>IF(D11="","-",+C51+1)</f>
        <v>2059</v>
      </c>
      <c r="D52" s="70">
        <f>IF(F51+SUM(E$17:E51)=D$10,F51,D$10-SUM(E$17:E51))</f>
        <v>833.18181818181597</v>
      </c>
      <c r="E52" s="71">
        <f>IF(+I14&lt;F51,I14,D52)</f>
        <v>83.318181818181813</v>
      </c>
      <c r="F52" s="70">
        <f t="shared" si="6"/>
        <v>749.86363636363421</v>
      </c>
      <c r="G52" s="72">
        <f t="shared" si="0"/>
        <v>177.92662304807001</v>
      </c>
      <c r="H52" s="53">
        <f t="shared" si="1"/>
        <v>177.92662304807001</v>
      </c>
      <c r="I52" s="67">
        <f t="shared" si="2"/>
        <v>0</v>
      </c>
      <c r="J52" s="67"/>
      <c r="K52" s="150"/>
      <c r="L52" s="69">
        <f t="shared" si="3"/>
        <v>0</v>
      </c>
      <c r="M52" s="150"/>
      <c r="N52" s="69">
        <f t="shared" si="4"/>
        <v>0</v>
      </c>
      <c r="O52" s="69">
        <f t="shared" si="5"/>
        <v>0</v>
      </c>
      <c r="P52" s="4"/>
    </row>
    <row r="53" spans="2:16">
      <c r="B53" s="9" t="str">
        <f t="shared" si="7"/>
        <v/>
      </c>
      <c r="C53" s="64">
        <f>IF(D11="","-",+C52+1)</f>
        <v>2060</v>
      </c>
      <c r="D53" s="70">
        <f>IF(F52+SUM(E$17:E52)=D$10,F52,D$10-SUM(E$17:E52))</f>
        <v>749.86363636363421</v>
      </c>
      <c r="E53" s="71">
        <f>IF(+I14&lt;F52,I14,D53)</f>
        <v>83.318181818181813</v>
      </c>
      <c r="F53" s="70">
        <f t="shared" si="6"/>
        <v>666.54545454545246</v>
      </c>
      <c r="G53" s="72">
        <f t="shared" si="0"/>
        <v>167.96783976071333</v>
      </c>
      <c r="H53" s="53">
        <f t="shared" si="1"/>
        <v>167.96783976071333</v>
      </c>
      <c r="I53" s="67">
        <f t="shared" si="2"/>
        <v>0</v>
      </c>
      <c r="J53" s="67"/>
      <c r="K53" s="150"/>
      <c r="L53" s="69">
        <f t="shared" si="3"/>
        <v>0</v>
      </c>
      <c r="M53" s="150"/>
      <c r="N53" s="69">
        <f t="shared" si="4"/>
        <v>0</v>
      </c>
      <c r="O53" s="69">
        <f t="shared" si="5"/>
        <v>0</v>
      </c>
      <c r="P53" s="4"/>
    </row>
    <row r="54" spans="2:16">
      <c r="B54" s="9" t="str">
        <f t="shared" si="7"/>
        <v/>
      </c>
      <c r="C54" s="64">
        <f>IF(D11="","-",+C53+1)</f>
        <v>2061</v>
      </c>
      <c r="D54" s="70">
        <f>IF(F53+SUM(E$17:E53)=D$10,F53,D$10-SUM(E$17:E53))</f>
        <v>666.54545454545246</v>
      </c>
      <c r="E54" s="71">
        <f>IF(+I14&lt;F53,I14,D54)</f>
        <v>83.318181818181813</v>
      </c>
      <c r="F54" s="70">
        <f t="shared" si="6"/>
        <v>583.2272727272707</v>
      </c>
      <c r="G54" s="72">
        <f t="shared" si="0"/>
        <v>158.00905647335668</v>
      </c>
      <c r="H54" s="53">
        <f t="shared" si="1"/>
        <v>158.00905647335668</v>
      </c>
      <c r="I54" s="67">
        <f t="shared" si="2"/>
        <v>0</v>
      </c>
      <c r="J54" s="67"/>
      <c r="K54" s="150"/>
      <c r="L54" s="69">
        <f t="shared" si="3"/>
        <v>0</v>
      </c>
      <c r="M54" s="150"/>
      <c r="N54" s="69">
        <f t="shared" si="4"/>
        <v>0</v>
      </c>
      <c r="O54" s="69">
        <f t="shared" si="5"/>
        <v>0</v>
      </c>
      <c r="P54" s="4"/>
    </row>
    <row r="55" spans="2:16">
      <c r="B55" s="9" t="str">
        <f t="shared" si="7"/>
        <v/>
      </c>
      <c r="C55" s="64">
        <f>IF(D11="","-",+C54+1)</f>
        <v>2062</v>
      </c>
      <c r="D55" s="70">
        <f>IF(F54+SUM(E$17:E54)=D$10,F54,D$10-SUM(E$17:E54))</f>
        <v>583.2272727272707</v>
      </c>
      <c r="E55" s="71">
        <f>IF(+I14&lt;F54,I14,D55)</f>
        <v>83.318181818181813</v>
      </c>
      <c r="F55" s="70">
        <f t="shared" si="6"/>
        <v>499.90909090908889</v>
      </c>
      <c r="G55" s="72">
        <f t="shared" si="0"/>
        <v>148.050273186</v>
      </c>
      <c r="H55" s="53">
        <f t="shared" si="1"/>
        <v>148.050273186</v>
      </c>
      <c r="I55" s="67">
        <f t="shared" si="2"/>
        <v>0</v>
      </c>
      <c r="J55" s="67"/>
      <c r="K55" s="150"/>
      <c r="L55" s="69">
        <f t="shared" si="3"/>
        <v>0</v>
      </c>
      <c r="M55" s="150"/>
      <c r="N55" s="69">
        <f t="shared" si="4"/>
        <v>0</v>
      </c>
      <c r="O55" s="69">
        <f t="shared" si="5"/>
        <v>0</v>
      </c>
      <c r="P55" s="4"/>
    </row>
    <row r="56" spans="2:16">
      <c r="B56" s="9" t="str">
        <f t="shared" si="7"/>
        <v/>
      </c>
      <c r="C56" s="64">
        <f>IF(D11="","-",+C55+1)</f>
        <v>2063</v>
      </c>
      <c r="D56" s="70">
        <f>IF(F55+SUM(E$17:E55)=D$10,F55,D$10-SUM(E$17:E55))</f>
        <v>499.90909090908889</v>
      </c>
      <c r="E56" s="71">
        <f>IF(+I14&lt;F55,I14,D56)</f>
        <v>83.318181818181813</v>
      </c>
      <c r="F56" s="70">
        <f t="shared" si="6"/>
        <v>416.59090909090708</v>
      </c>
      <c r="G56" s="72">
        <f t="shared" si="0"/>
        <v>138.09148989864332</v>
      </c>
      <c r="H56" s="53">
        <f t="shared" si="1"/>
        <v>138.09148989864332</v>
      </c>
      <c r="I56" s="67">
        <f t="shared" si="2"/>
        <v>0</v>
      </c>
      <c r="J56" s="67"/>
      <c r="K56" s="150"/>
      <c r="L56" s="69">
        <f t="shared" si="3"/>
        <v>0</v>
      </c>
      <c r="M56" s="150"/>
      <c r="N56" s="69">
        <f t="shared" si="4"/>
        <v>0</v>
      </c>
      <c r="O56" s="69">
        <f t="shared" si="5"/>
        <v>0</v>
      </c>
      <c r="P56" s="4"/>
    </row>
    <row r="57" spans="2:16">
      <c r="B57" s="9" t="str">
        <f t="shared" si="7"/>
        <v/>
      </c>
      <c r="C57" s="64">
        <f>IF(D11="","-",+C56+1)</f>
        <v>2064</v>
      </c>
      <c r="D57" s="70">
        <f>IF(F56+SUM(E$17:E56)=D$10,F56,D$10-SUM(E$17:E56))</f>
        <v>416.59090909090708</v>
      </c>
      <c r="E57" s="71">
        <f>IF(+I14&lt;F56,I14,D57)</f>
        <v>83.318181818181813</v>
      </c>
      <c r="F57" s="70">
        <f t="shared" si="6"/>
        <v>333.27272727272526</v>
      </c>
      <c r="G57" s="72">
        <f t="shared" si="0"/>
        <v>128.13270661128664</v>
      </c>
      <c r="H57" s="53">
        <f t="shared" si="1"/>
        <v>128.13270661128664</v>
      </c>
      <c r="I57" s="67">
        <f t="shared" si="2"/>
        <v>0</v>
      </c>
      <c r="J57" s="67"/>
      <c r="K57" s="150"/>
      <c r="L57" s="69">
        <f t="shared" si="3"/>
        <v>0</v>
      </c>
      <c r="M57" s="150"/>
      <c r="N57" s="69">
        <f t="shared" si="4"/>
        <v>0</v>
      </c>
      <c r="O57" s="69">
        <f t="shared" si="5"/>
        <v>0</v>
      </c>
      <c r="P57" s="4"/>
    </row>
    <row r="58" spans="2:16">
      <c r="B58" s="9" t="str">
        <f t="shared" si="7"/>
        <v/>
      </c>
      <c r="C58" s="64">
        <f>IF(D11="","-",+C57+1)</f>
        <v>2065</v>
      </c>
      <c r="D58" s="70">
        <f>IF(F57+SUM(E$17:E57)=D$10,F57,D$10-SUM(E$17:E57))</f>
        <v>333.27272727272526</v>
      </c>
      <c r="E58" s="71">
        <f>IF(+I14&lt;F57,I14,D58)</f>
        <v>83.318181818181813</v>
      </c>
      <c r="F58" s="70">
        <f t="shared" si="6"/>
        <v>249.95454545454345</v>
      </c>
      <c r="G58" s="72">
        <f t="shared" si="0"/>
        <v>118.17392332392996</v>
      </c>
      <c r="H58" s="53">
        <f t="shared" si="1"/>
        <v>118.17392332392996</v>
      </c>
      <c r="I58" s="67">
        <f t="shared" si="2"/>
        <v>0</v>
      </c>
      <c r="J58" s="67"/>
      <c r="K58" s="150"/>
      <c r="L58" s="69">
        <f t="shared" si="3"/>
        <v>0</v>
      </c>
      <c r="M58" s="150"/>
      <c r="N58" s="69">
        <f t="shared" si="4"/>
        <v>0</v>
      </c>
      <c r="O58" s="69">
        <f t="shared" si="5"/>
        <v>0</v>
      </c>
      <c r="P58" s="4"/>
    </row>
    <row r="59" spans="2:16">
      <c r="B59" s="9" t="str">
        <f t="shared" si="7"/>
        <v/>
      </c>
      <c r="C59" s="64">
        <f>IF(D11="","-",+C58+1)</f>
        <v>2066</v>
      </c>
      <c r="D59" s="70">
        <f>IF(F58+SUM(E$17:E58)=D$10,F58,D$10-SUM(E$17:E58))</f>
        <v>249.95454545454345</v>
      </c>
      <c r="E59" s="71">
        <f>IF(+I14&lt;F58,I14,D59)</f>
        <v>83.318181818181813</v>
      </c>
      <c r="F59" s="70">
        <f t="shared" si="6"/>
        <v>166.63636363636164</v>
      </c>
      <c r="G59" s="72">
        <f t="shared" si="0"/>
        <v>108.21514003657327</v>
      </c>
      <c r="H59" s="53">
        <f t="shared" si="1"/>
        <v>108.21514003657327</v>
      </c>
      <c r="I59" s="67">
        <f t="shared" si="2"/>
        <v>0</v>
      </c>
      <c r="J59" s="67"/>
      <c r="K59" s="150"/>
      <c r="L59" s="69">
        <f t="shared" si="3"/>
        <v>0</v>
      </c>
      <c r="M59" s="150"/>
      <c r="N59" s="69">
        <f t="shared" si="4"/>
        <v>0</v>
      </c>
      <c r="O59" s="69">
        <f t="shared" si="5"/>
        <v>0</v>
      </c>
      <c r="P59" s="4"/>
    </row>
    <row r="60" spans="2:16">
      <c r="B60" s="9" t="str">
        <f t="shared" si="7"/>
        <v/>
      </c>
      <c r="C60" s="64">
        <f>IF(D11="","-",+C59+1)</f>
        <v>2067</v>
      </c>
      <c r="D60" s="70">
        <f>IF(F59+SUM(E$17:E59)=D$10,F59,D$10-SUM(E$17:E59))</f>
        <v>166.63636363636164</v>
      </c>
      <c r="E60" s="71">
        <f>IF(+I14&lt;F59,I14,D60)</f>
        <v>83.318181818181813</v>
      </c>
      <c r="F60" s="70">
        <f t="shared" si="6"/>
        <v>83.318181818179823</v>
      </c>
      <c r="G60" s="72">
        <f t="shared" si="0"/>
        <v>98.256356749216593</v>
      </c>
      <c r="H60" s="53">
        <f t="shared" si="1"/>
        <v>98.256356749216593</v>
      </c>
      <c r="I60" s="67">
        <f t="shared" si="2"/>
        <v>0</v>
      </c>
      <c r="J60" s="67"/>
      <c r="K60" s="150"/>
      <c r="L60" s="69">
        <f t="shared" si="3"/>
        <v>0</v>
      </c>
      <c r="M60" s="150"/>
      <c r="N60" s="69">
        <f t="shared" si="4"/>
        <v>0</v>
      </c>
      <c r="O60" s="69">
        <f t="shared" si="5"/>
        <v>0</v>
      </c>
      <c r="P60" s="4"/>
    </row>
    <row r="61" spans="2:16">
      <c r="B61" s="9" t="str">
        <f t="shared" si="7"/>
        <v/>
      </c>
      <c r="C61" s="64">
        <f>IF(D11="","-",+C60+1)</f>
        <v>2068</v>
      </c>
      <c r="D61" s="70">
        <f>IF(F60+SUM(E$17:E60)=D$10,F60,D$10-SUM(E$17:E60))</f>
        <v>83.318181818179823</v>
      </c>
      <c r="E61" s="71">
        <f>IF(+I14&lt;F60,I14,D61)</f>
        <v>83.318181818179823</v>
      </c>
      <c r="F61" s="70">
        <f t="shared" si="6"/>
        <v>0</v>
      </c>
      <c r="G61" s="73">
        <f t="shared" si="0"/>
        <v>88.29757346185805</v>
      </c>
      <c r="H61" s="53">
        <f t="shared" si="1"/>
        <v>88.29757346185805</v>
      </c>
      <c r="I61" s="67">
        <f t="shared" si="2"/>
        <v>0</v>
      </c>
      <c r="J61" s="67"/>
      <c r="K61" s="150"/>
      <c r="L61" s="69">
        <f t="shared" si="3"/>
        <v>0</v>
      </c>
      <c r="M61" s="150"/>
      <c r="N61" s="69">
        <f t="shared" si="4"/>
        <v>0</v>
      </c>
      <c r="O61" s="69">
        <f t="shared" si="5"/>
        <v>0</v>
      </c>
      <c r="P61" s="4"/>
    </row>
    <row r="62" spans="2:16">
      <c r="B62" s="9" t="str">
        <f t="shared" si="7"/>
        <v/>
      </c>
      <c r="C62" s="64">
        <f>IF(D11="","-",+C61+1)</f>
        <v>2069</v>
      </c>
      <c r="D62" s="70">
        <f>IF(F61+SUM(E$17:E61)=D$10,F61,D$10-SUM(E$17:E61))</f>
        <v>0</v>
      </c>
      <c r="E62" s="71">
        <f>IF(+I14&lt;F61,I14,D62)</f>
        <v>0</v>
      </c>
      <c r="F62" s="70">
        <f t="shared" si="6"/>
        <v>0</v>
      </c>
      <c r="G62" s="73">
        <f t="shared" si="0"/>
        <v>0</v>
      </c>
      <c r="H62" s="53">
        <f t="shared" si="1"/>
        <v>0</v>
      </c>
      <c r="I62" s="67">
        <f t="shared" si="2"/>
        <v>0</v>
      </c>
      <c r="J62" s="67"/>
      <c r="K62" s="150"/>
      <c r="L62" s="69">
        <f t="shared" si="3"/>
        <v>0</v>
      </c>
      <c r="M62" s="150"/>
      <c r="N62" s="69">
        <f t="shared" si="4"/>
        <v>0</v>
      </c>
      <c r="O62" s="69">
        <f t="shared" si="5"/>
        <v>0</v>
      </c>
      <c r="P62" s="4"/>
    </row>
    <row r="63" spans="2:16">
      <c r="B63" s="9" t="str">
        <f t="shared" si="7"/>
        <v/>
      </c>
      <c r="C63" s="64">
        <f>IF(D11="","-",+C62+1)</f>
        <v>2070</v>
      </c>
      <c r="D63" s="70">
        <f>IF(F62+SUM(E$17:E62)=D$10,F62,D$10-SUM(E$17:E62))</f>
        <v>0</v>
      </c>
      <c r="E63" s="71">
        <f>IF(+I14&lt;F62,I14,D63)</f>
        <v>0</v>
      </c>
      <c r="F63" s="70">
        <f t="shared" si="6"/>
        <v>0</v>
      </c>
      <c r="G63" s="73">
        <f t="shared" si="0"/>
        <v>0</v>
      </c>
      <c r="H63" s="53">
        <f t="shared" si="1"/>
        <v>0</v>
      </c>
      <c r="I63" s="67">
        <f t="shared" si="2"/>
        <v>0</v>
      </c>
      <c r="J63" s="67"/>
      <c r="K63" s="150"/>
      <c r="L63" s="69">
        <f t="shared" si="3"/>
        <v>0</v>
      </c>
      <c r="M63" s="150"/>
      <c r="N63" s="69">
        <f t="shared" si="4"/>
        <v>0</v>
      </c>
      <c r="O63" s="69">
        <f t="shared" si="5"/>
        <v>0</v>
      </c>
      <c r="P63" s="4"/>
    </row>
    <row r="64" spans="2:16">
      <c r="B64" s="9" t="str">
        <f t="shared" si="7"/>
        <v/>
      </c>
      <c r="C64" s="64">
        <f>IF(D11="","-",+C63+1)</f>
        <v>2071</v>
      </c>
      <c r="D64" s="70">
        <f>IF(F63+SUM(E$17:E63)=D$10,F63,D$10-SUM(E$17:E63))</f>
        <v>0</v>
      </c>
      <c r="E64" s="71">
        <f>IF(+I14&lt;F63,I14,D64)</f>
        <v>0</v>
      </c>
      <c r="F64" s="70">
        <f t="shared" si="6"/>
        <v>0</v>
      </c>
      <c r="G64" s="73">
        <f t="shared" si="0"/>
        <v>0</v>
      </c>
      <c r="H64" s="53">
        <f t="shared" si="1"/>
        <v>0</v>
      </c>
      <c r="I64" s="67">
        <f t="shared" si="2"/>
        <v>0</v>
      </c>
      <c r="J64" s="67"/>
      <c r="K64" s="150"/>
      <c r="L64" s="69">
        <f t="shared" si="3"/>
        <v>0</v>
      </c>
      <c r="M64" s="150"/>
      <c r="N64" s="69">
        <f t="shared" si="4"/>
        <v>0</v>
      </c>
      <c r="O64" s="69">
        <f t="shared" si="5"/>
        <v>0</v>
      </c>
      <c r="P64" s="4"/>
    </row>
    <row r="65" spans="2:16">
      <c r="B65" s="9" t="str">
        <f t="shared" si="7"/>
        <v/>
      </c>
      <c r="C65" s="64">
        <f>IF(D11="","-",+C64+1)</f>
        <v>2072</v>
      </c>
      <c r="D65" s="70">
        <f>IF(F64+SUM(E$17:E64)=D$10,F64,D$10-SUM(E$17:E64))</f>
        <v>0</v>
      </c>
      <c r="E65" s="71">
        <f>IF(+I14&lt;F64,I14,D65)</f>
        <v>0</v>
      </c>
      <c r="F65" s="70">
        <f t="shared" si="6"/>
        <v>0</v>
      </c>
      <c r="G65" s="73">
        <f t="shared" si="0"/>
        <v>0</v>
      </c>
      <c r="H65" s="53">
        <f t="shared" si="1"/>
        <v>0</v>
      </c>
      <c r="I65" s="67">
        <f t="shared" si="2"/>
        <v>0</v>
      </c>
      <c r="J65" s="67"/>
      <c r="K65" s="150"/>
      <c r="L65" s="69">
        <f t="shared" si="3"/>
        <v>0</v>
      </c>
      <c r="M65" s="150"/>
      <c r="N65" s="69">
        <f t="shared" si="4"/>
        <v>0</v>
      </c>
      <c r="O65" s="69">
        <f t="shared" si="5"/>
        <v>0</v>
      </c>
      <c r="P65" s="4"/>
    </row>
    <row r="66" spans="2:16">
      <c r="B66" s="9" t="str">
        <f t="shared" si="7"/>
        <v/>
      </c>
      <c r="C66" s="64">
        <f>IF(D11="","-",+C65+1)</f>
        <v>2073</v>
      </c>
      <c r="D66" s="70">
        <f>IF(F65+SUM(E$17:E65)=D$10,F65,D$10-SUM(E$17:E65))</f>
        <v>0</v>
      </c>
      <c r="E66" s="71">
        <f>IF(+I14&lt;F65,I14,D66)</f>
        <v>0</v>
      </c>
      <c r="F66" s="70">
        <f t="shared" si="6"/>
        <v>0</v>
      </c>
      <c r="G66" s="73">
        <f t="shared" si="0"/>
        <v>0</v>
      </c>
      <c r="H66" s="53">
        <f t="shared" si="1"/>
        <v>0</v>
      </c>
      <c r="I66" s="67">
        <f t="shared" si="2"/>
        <v>0</v>
      </c>
      <c r="J66" s="67"/>
      <c r="K66" s="150"/>
      <c r="L66" s="69">
        <f t="shared" si="3"/>
        <v>0</v>
      </c>
      <c r="M66" s="150"/>
      <c r="N66" s="69">
        <f t="shared" si="4"/>
        <v>0</v>
      </c>
      <c r="O66" s="69">
        <f t="shared" si="5"/>
        <v>0</v>
      </c>
      <c r="P66" s="4"/>
    </row>
    <row r="67" spans="2:16">
      <c r="B67" s="9" t="str">
        <f t="shared" si="7"/>
        <v/>
      </c>
      <c r="C67" s="64">
        <f>IF(D11="","-",+C66+1)</f>
        <v>2074</v>
      </c>
      <c r="D67" s="70">
        <f>IF(F66+SUM(E$17:E66)=D$10,F66,D$10-SUM(E$17:E66))</f>
        <v>0</v>
      </c>
      <c r="E67" s="71">
        <f>IF(+I14&lt;F66,I14,D67)</f>
        <v>0</v>
      </c>
      <c r="F67" s="70">
        <f t="shared" si="6"/>
        <v>0</v>
      </c>
      <c r="G67" s="73">
        <f t="shared" si="0"/>
        <v>0</v>
      </c>
      <c r="H67" s="53">
        <f t="shared" si="1"/>
        <v>0</v>
      </c>
      <c r="I67" s="67">
        <f t="shared" si="2"/>
        <v>0</v>
      </c>
      <c r="J67" s="67"/>
      <c r="K67" s="150"/>
      <c r="L67" s="69">
        <f t="shared" si="3"/>
        <v>0</v>
      </c>
      <c r="M67" s="150"/>
      <c r="N67" s="69">
        <f t="shared" si="4"/>
        <v>0</v>
      </c>
      <c r="O67" s="69">
        <f t="shared" si="5"/>
        <v>0</v>
      </c>
      <c r="P67" s="4"/>
    </row>
    <row r="68" spans="2:16">
      <c r="B68" s="9" t="str">
        <f t="shared" si="7"/>
        <v/>
      </c>
      <c r="C68" s="64">
        <f>IF(D11="","-",+C67+1)</f>
        <v>2075</v>
      </c>
      <c r="D68" s="70">
        <f>IF(F67+SUM(E$17:E67)=D$10,F67,D$10-SUM(E$17:E67))</f>
        <v>0</v>
      </c>
      <c r="E68" s="71">
        <f>IF(+I14&lt;F67,I14,D68)</f>
        <v>0</v>
      </c>
      <c r="F68" s="70">
        <f t="shared" si="6"/>
        <v>0</v>
      </c>
      <c r="G68" s="73">
        <f t="shared" si="0"/>
        <v>0</v>
      </c>
      <c r="H68" s="53">
        <f t="shared" si="1"/>
        <v>0</v>
      </c>
      <c r="I68" s="67">
        <f t="shared" si="2"/>
        <v>0</v>
      </c>
      <c r="J68" s="67"/>
      <c r="K68" s="150"/>
      <c r="L68" s="69">
        <f t="shared" si="3"/>
        <v>0</v>
      </c>
      <c r="M68" s="150"/>
      <c r="N68" s="69">
        <f t="shared" si="4"/>
        <v>0</v>
      </c>
      <c r="O68" s="69">
        <f t="shared" si="5"/>
        <v>0</v>
      </c>
      <c r="P68" s="4"/>
    </row>
    <row r="69" spans="2:16">
      <c r="B69" s="9" t="str">
        <f t="shared" si="7"/>
        <v/>
      </c>
      <c r="C69" s="64">
        <f>IF(D11="","-",+C68+1)</f>
        <v>2076</v>
      </c>
      <c r="D69" s="70">
        <f>IF(F68+SUM(E$17:E68)=D$10,F68,D$10-SUM(E$17:E68))</f>
        <v>0</v>
      </c>
      <c r="E69" s="71">
        <f>IF(+I14&lt;F68,I14,D69)</f>
        <v>0</v>
      </c>
      <c r="F69" s="70">
        <f t="shared" si="6"/>
        <v>0</v>
      </c>
      <c r="G69" s="73">
        <f t="shared" si="0"/>
        <v>0</v>
      </c>
      <c r="H69" s="53">
        <f t="shared" si="1"/>
        <v>0</v>
      </c>
      <c r="I69" s="67">
        <f t="shared" si="2"/>
        <v>0</v>
      </c>
      <c r="J69" s="67"/>
      <c r="K69" s="150"/>
      <c r="L69" s="69">
        <f t="shared" si="3"/>
        <v>0</v>
      </c>
      <c r="M69" s="150"/>
      <c r="N69" s="69">
        <f t="shared" si="4"/>
        <v>0</v>
      </c>
      <c r="O69" s="69">
        <f t="shared" si="5"/>
        <v>0</v>
      </c>
      <c r="P69" s="4"/>
    </row>
    <row r="70" spans="2:16">
      <c r="B70" s="9" t="str">
        <f t="shared" si="7"/>
        <v/>
      </c>
      <c r="C70" s="64">
        <f>IF(D11="","-",+C69+1)</f>
        <v>2077</v>
      </c>
      <c r="D70" s="70">
        <f>IF(F69+SUM(E$17:E69)=D$10,F69,D$10-SUM(E$17:E69))</f>
        <v>0</v>
      </c>
      <c r="E70" s="71">
        <f>IF(+I14&lt;F69,I14,D70)</f>
        <v>0</v>
      </c>
      <c r="F70" s="70">
        <f t="shared" si="6"/>
        <v>0</v>
      </c>
      <c r="G70" s="73">
        <f t="shared" si="0"/>
        <v>0</v>
      </c>
      <c r="H70" s="53">
        <f t="shared" si="1"/>
        <v>0</v>
      </c>
      <c r="I70" s="67">
        <f t="shared" si="2"/>
        <v>0</v>
      </c>
      <c r="J70" s="67"/>
      <c r="K70" s="150"/>
      <c r="L70" s="69">
        <f t="shared" si="3"/>
        <v>0</v>
      </c>
      <c r="M70" s="150"/>
      <c r="N70" s="69">
        <f t="shared" si="4"/>
        <v>0</v>
      </c>
      <c r="O70" s="69">
        <f t="shared" si="5"/>
        <v>0</v>
      </c>
      <c r="P70" s="4"/>
    </row>
    <row r="71" spans="2:16">
      <c r="B71" s="9" t="str">
        <f t="shared" si="7"/>
        <v/>
      </c>
      <c r="C71" s="64">
        <f>IF(D11="","-",+C70+1)</f>
        <v>2078</v>
      </c>
      <c r="D71" s="70">
        <f>IF(F70+SUM(E$17:E70)=D$10,F70,D$10-SUM(E$17:E70))</f>
        <v>0</v>
      </c>
      <c r="E71" s="71">
        <f>IF(+I14&lt;F70,I14,D71)</f>
        <v>0</v>
      </c>
      <c r="F71" s="70">
        <f t="shared" si="6"/>
        <v>0</v>
      </c>
      <c r="G71" s="73">
        <f t="shared" si="0"/>
        <v>0</v>
      </c>
      <c r="H71" s="53">
        <f t="shared" si="1"/>
        <v>0</v>
      </c>
      <c r="I71" s="67">
        <f t="shared" si="2"/>
        <v>0</v>
      </c>
      <c r="J71" s="67"/>
      <c r="K71" s="150"/>
      <c r="L71" s="69">
        <f t="shared" si="3"/>
        <v>0</v>
      </c>
      <c r="M71" s="150"/>
      <c r="N71" s="69">
        <f t="shared" si="4"/>
        <v>0</v>
      </c>
      <c r="O71" s="69">
        <f t="shared" si="5"/>
        <v>0</v>
      </c>
      <c r="P71" s="4"/>
    </row>
    <row r="72" spans="2:16" ht="13.5" thickBot="1">
      <c r="B72" s="9" t="str">
        <f t="shared" si="7"/>
        <v/>
      </c>
      <c r="C72" s="74">
        <f>IF(D11="","-",+C71+1)</f>
        <v>2079</v>
      </c>
      <c r="D72" s="75">
        <f>IF(F71+SUM(E$17:E71)=D$10,F71,D$10-SUM(E$17:E71))</f>
        <v>0</v>
      </c>
      <c r="E72" s="76">
        <f>IF(+I14&lt;F71,I14,D72)</f>
        <v>0</v>
      </c>
      <c r="F72" s="75">
        <f t="shared" si="6"/>
        <v>0</v>
      </c>
      <c r="G72" s="77">
        <f t="shared" si="0"/>
        <v>0</v>
      </c>
      <c r="H72" s="35">
        <f t="shared" si="1"/>
        <v>0</v>
      </c>
      <c r="I72" s="78">
        <f t="shared" si="2"/>
        <v>0</v>
      </c>
      <c r="J72" s="67"/>
      <c r="K72" s="151"/>
      <c r="L72" s="79">
        <f t="shared" si="3"/>
        <v>0</v>
      </c>
      <c r="M72" s="151"/>
      <c r="N72" s="79">
        <f t="shared" si="4"/>
        <v>0</v>
      </c>
      <c r="O72" s="79">
        <f t="shared" si="5"/>
        <v>0</v>
      </c>
      <c r="P72" s="4"/>
    </row>
    <row r="73" spans="2:16">
      <c r="C73" s="65" t="s">
        <v>78</v>
      </c>
      <c r="D73" s="22"/>
      <c r="E73" s="22">
        <f>SUM(E17:E72)</f>
        <v>3666</v>
      </c>
      <c r="F73" s="22"/>
      <c r="G73" s="22">
        <f>SUM(G17:G72)</f>
        <v>13525.195454483102</v>
      </c>
      <c r="H73" s="22">
        <f>SUM(H17:H72)</f>
        <v>13525.195454483102</v>
      </c>
      <c r="I73" s="22">
        <f>SUM(I17:I72)</f>
        <v>0</v>
      </c>
      <c r="J73" s="22"/>
      <c r="K73" s="22"/>
      <c r="L73" s="22"/>
      <c r="M73" s="22"/>
      <c r="N73" s="22"/>
      <c r="O73" s="4"/>
      <c r="P73" s="4"/>
    </row>
    <row r="74" spans="2:16">
      <c r="D74" s="2"/>
      <c r="E74" s="1"/>
      <c r="F74" s="1"/>
      <c r="G74" s="1"/>
      <c r="H74" s="3"/>
      <c r="I74" s="3"/>
      <c r="J74" s="22"/>
      <c r="K74" s="3"/>
      <c r="L74" s="3"/>
      <c r="M74" s="3"/>
      <c r="N74" s="3"/>
      <c r="O74" s="1"/>
      <c r="P74" s="1"/>
    </row>
    <row r="75" spans="2:16">
      <c r="C75" s="80" t="s">
        <v>96</v>
      </c>
      <c r="D75" s="2"/>
      <c r="E75" s="1"/>
      <c r="F75" s="1"/>
      <c r="G75" s="1"/>
      <c r="H75" s="3"/>
      <c r="I75" s="3"/>
      <c r="J75" s="22"/>
      <c r="K75" s="3"/>
      <c r="L75" s="3"/>
      <c r="M75" s="3"/>
      <c r="N75" s="3"/>
      <c r="O75" s="1"/>
      <c r="P75" s="1"/>
    </row>
    <row r="76" spans="2:16">
      <c r="C76" s="32" t="s">
        <v>79</v>
      </c>
      <c r="D76" s="2"/>
      <c r="E76" s="1"/>
      <c r="F76" s="1"/>
      <c r="G76" s="1"/>
      <c r="H76" s="3"/>
      <c r="I76" s="3"/>
      <c r="J76" s="22"/>
      <c r="K76" s="3"/>
      <c r="L76" s="3"/>
      <c r="M76" s="3"/>
      <c r="N76" s="3"/>
      <c r="O76" s="4"/>
      <c r="P76" s="4"/>
    </row>
    <row r="77" spans="2:16">
      <c r="C77" s="32" t="s">
        <v>80</v>
      </c>
      <c r="D77" s="65"/>
      <c r="E77" s="65"/>
      <c r="F77" s="65"/>
      <c r="G77" s="22"/>
      <c r="H77" s="22"/>
      <c r="I77" s="81"/>
      <c r="J77" s="81"/>
      <c r="K77" s="81"/>
      <c r="L77" s="81"/>
      <c r="M77" s="81"/>
      <c r="N77" s="81"/>
      <c r="O77" s="4"/>
      <c r="P77" s="4"/>
    </row>
    <row r="78" spans="2:16">
      <c r="C78" s="32"/>
      <c r="D78" s="65"/>
      <c r="E78" s="65"/>
      <c r="F78" s="65"/>
      <c r="G78" s="22"/>
      <c r="H78" s="22"/>
      <c r="I78" s="81"/>
      <c r="J78" s="81"/>
      <c r="K78" s="81"/>
      <c r="L78" s="81"/>
      <c r="M78" s="81"/>
      <c r="N78" s="81"/>
      <c r="O78" s="4"/>
      <c r="P78" s="1"/>
    </row>
    <row r="79" spans="2:16">
      <c r="B79" s="1"/>
      <c r="C79" s="10"/>
      <c r="D79" s="2"/>
      <c r="E79" s="1"/>
      <c r="F79" s="18"/>
      <c r="G79" s="1"/>
      <c r="H79" s="3"/>
      <c r="I79" s="1"/>
      <c r="J79" s="4"/>
      <c r="K79" s="1"/>
      <c r="L79" s="1"/>
      <c r="M79" s="1"/>
      <c r="N79" s="1"/>
      <c r="O79" s="1"/>
      <c r="P79" s="1"/>
    </row>
    <row r="80" spans="2:16" ht="18">
      <c r="B80" s="1"/>
      <c r="C80" s="117"/>
      <c r="D80" s="2"/>
      <c r="E80" s="1"/>
      <c r="F80" s="18"/>
      <c r="G80" s="1"/>
      <c r="H80" s="3"/>
      <c r="I80" s="1"/>
      <c r="J80" s="4"/>
      <c r="K80" s="1"/>
      <c r="L80" s="1"/>
      <c r="M80" s="1"/>
      <c r="N80" s="1"/>
      <c r="P80" s="119" t="s">
        <v>130</v>
      </c>
    </row>
    <row r="81" spans="1:16">
      <c r="B81" s="1"/>
      <c r="C81" s="10"/>
      <c r="D81" s="2"/>
      <c r="E81" s="1"/>
      <c r="F81" s="18"/>
      <c r="G81" s="1"/>
      <c r="H81" s="3"/>
      <c r="I81" s="1"/>
      <c r="J81" s="4"/>
      <c r="K81" s="1"/>
      <c r="L81" s="1"/>
      <c r="M81" s="1"/>
      <c r="N81" s="1"/>
      <c r="O81" s="1"/>
      <c r="P81" s="1"/>
    </row>
    <row r="82" spans="1:16">
      <c r="B82" s="1"/>
      <c r="C82" s="10"/>
      <c r="D82" s="2"/>
      <c r="E82" s="1"/>
      <c r="F82" s="18"/>
      <c r="G82" s="1"/>
      <c r="H82" s="3"/>
      <c r="I82" s="1"/>
      <c r="J82" s="4"/>
      <c r="K82" s="1"/>
      <c r="L82" s="1"/>
      <c r="M82" s="1"/>
      <c r="N82" s="1"/>
      <c r="O82" s="1"/>
      <c r="P82" s="1"/>
    </row>
    <row r="83" spans="1:16" ht="20.25">
      <c r="A83" s="118" t="s">
        <v>134</v>
      </c>
      <c r="B83" s="1"/>
      <c r="C83" s="10"/>
      <c r="D83" s="2"/>
      <c r="E83" s="1"/>
      <c r="F83" s="15"/>
      <c r="G83" s="15"/>
      <c r="H83" s="1"/>
      <c r="I83" s="3"/>
      <c r="K83" s="7"/>
      <c r="L83" s="20"/>
      <c r="M83" s="20"/>
      <c r="P83" s="20" t="str">
        <f ca="1">P1</f>
        <v>SWEPCO Project 75 of 75</v>
      </c>
    </row>
    <row r="84" spans="1:16" ht="18">
      <c r="B84" s="1"/>
      <c r="C84" s="1"/>
      <c r="D84" s="2"/>
      <c r="E84" s="1"/>
      <c r="F84" s="1"/>
      <c r="G84" s="1"/>
      <c r="H84" s="1"/>
      <c r="I84" s="3"/>
      <c r="J84" s="1"/>
      <c r="K84" s="4"/>
      <c r="L84" s="1"/>
      <c r="M84" s="1"/>
      <c r="P84" s="119" t="s">
        <v>128</v>
      </c>
    </row>
    <row r="85" spans="1:16" ht="18.75" thickBot="1">
      <c r="B85" s="5" t="s">
        <v>44</v>
      </c>
      <c r="C85" s="84" t="s">
        <v>83</v>
      </c>
      <c r="D85" s="2"/>
      <c r="E85" s="1"/>
      <c r="F85" s="1"/>
      <c r="G85" s="1"/>
      <c r="H85" s="1"/>
      <c r="I85" s="3"/>
      <c r="J85" s="3"/>
      <c r="K85" s="22"/>
      <c r="L85" s="3"/>
      <c r="M85" s="3"/>
      <c r="N85" s="3"/>
      <c r="O85" s="22"/>
      <c r="P85" s="1"/>
    </row>
    <row r="86" spans="1:16" ht="15.75" thickBot="1">
      <c r="C86" s="13"/>
      <c r="D86" s="2"/>
      <c r="E86" s="1"/>
      <c r="F86" s="1"/>
      <c r="G86" s="1"/>
      <c r="H86" s="1"/>
      <c r="I86" s="3"/>
      <c r="J86" s="3"/>
      <c r="K86" s="22"/>
      <c r="L86" s="140">
        <f>+J92</f>
        <v>2022</v>
      </c>
      <c r="M86" s="141" t="s">
        <v>9</v>
      </c>
      <c r="N86" s="145" t="s">
        <v>159</v>
      </c>
      <c r="O86" s="142" t="s">
        <v>11</v>
      </c>
      <c r="P86" s="1"/>
    </row>
    <row r="87" spans="1:16" ht="15">
      <c r="C87" s="111" t="s">
        <v>46</v>
      </c>
      <c r="D87" s="2"/>
      <c r="E87" s="1"/>
      <c r="F87" s="1"/>
      <c r="G87" s="1"/>
      <c r="H87" s="24"/>
      <c r="I87" s="1" t="s">
        <v>47</v>
      </c>
      <c r="J87" s="1"/>
      <c r="K87" s="136"/>
      <c r="L87" s="134" t="s">
        <v>391</v>
      </c>
      <c r="M87" s="85">
        <f>IF(J92&lt;D11,0,VLOOKUP(J92,C17:O72,9))</f>
        <v>0</v>
      </c>
      <c r="N87" s="85">
        <f>IF(J92&lt;D11,0,VLOOKUP(J92,C17:O72,11))</f>
        <v>0</v>
      </c>
      <c r="O87" s="86">
        <f>+N87-M87</f>
        <v>0</v>
      </c>
      <c r="P87" s="1"/>
    </row>
    <row r="88" spans="1:16" ht="15.75">
      <c r="C88" s="8"/>
      <c r="D88" s="2"/>
      <c r="E88" s="1"/>
      <c r="F88" s="1"/>
      <c r="G88" s="1"/>
      <c r="H88" s="1"/>
      <c r="I88" s="28"/>
      <c r="J88" s="28"/>
      <c r="K88" s="138"/>
      <c r="L88" s="139" t="s">
        <v>392</v>
      </c>
      <c r="M88" s="87">
        <f>IF(J92&lt;D11,0,VLOOKUP(J92,C99:P154,6))</f>
        <v>0</v>
      </c>
      <c r="N88" s="87">
        <f>IF(J92&lt;D11,0,VLOOKUP(J92,C99:P154,7))</f>
        <v>0</v>
      </c>
      <c r="O88" s="88">
        <f>+N88-M88</f>
        <v>0</v>
      </c>
      <c r="P88" s="1"/>
    </row>
    <row r="89" spans="1:16" ht="13.5" thickBot="1">
      <c r="C89" s="32" t="s">
        <v>84</v>
      </c>
      <c r="D89" s="121" t="str">
        <f>+D7</f>
        <v>Siloam Springs 161 kV Rebuild</v>
      </c>
      <c r="E89" s="1"/>
      <c r="F89" s="1"/>
      <c r="G89" s="1"/>
      <c r="H89" s="1"/>
      <c r="I89" s="3"/>
      <c r="J89" s="3"/>
      <c r="K89" s="137"/>
      <c r="L89" s="135" t="s">
        <v>156</v>
      </c>
      <c r="M89" s="90">
        <f>+M88-M87</f>
        <v>0</v>
      </c>
      <c r="N89" s="90">
        <f>+N88-N87</f>
        <v>0</v>
      </c>
      <c r="O89" s="91">
        <f>+O88-O87</f>
        <v>0</v>
      </c>
      <c r="P89" s="1"/>
    </row>
    <row r="90" spans="1:16" ht="13.5" thickBot="1">
      <c r="C90" s="80"/>
      <c r="D90" s="83" t="str">
        <f>D8</f>
        <v>DOES NOT MEET SPP $100,000 MINIMUM INVESTMENT FOR REGIONAL BPU SHARING.</v>
      </c>
      <c r="E90" s="18"/>
      <c r="F90" s="18"/>
      <c r="G90" s="18"/>
      <c r="H90" s="37"/>
      <c r="I90" s="3"/>
      <c r="J90" s="3"/>
      <c r="K90" s="22"/>
      <c r="L90" s="3"/>
      <c r="M90" s="3"/>
      <c r="N90" s="3"/>
      <c r="O90" s="22"/>
      <c r="P90" s="1"/>
    </row>
    <row r="91" spans="1:16" ht="13.5" thickBot="1">
      <c r="A91" s="17"/>
      <c r="C91" s="92" t="s">
        <v>85</v>
      </c>
      <c r="D91" s="109" t="str">
        <f>+D9</f>
        <v>TP2022737</v>
      </c>
      <c r="E91" s="93"/>
      <c r="F91" s="93"/>
      <c r="G91" s="93"/>
      <c r="H91" s="93"/>
      <c r="I91" s="93"/>
      <c r="J91" s="93"/>
      <c r="K91" s="94"/>
      <c r="P91" s="42"/>
    </row>
    <row r="92" spans="1:16">
      <c r="C92" s="47" t="s">
        <v>51</v>
      </c>
      <c r="D92" s="105">
        <f>IF(D11=I10,0,D10)</f>
        <v>0</v>
      </c>
      <c r="E92" s="10" t="s">
        <v>86</v>
      </c>
      <c r="H92" s="45"/>
      <c r="I92" s="45"/>
      <c r="J92" s="46">
        <f>+'SWE.WS.G.BPU.ATRR.True-up'!M16</f>
        <v>2022</v>
      </c>
      <c r="K92" s="41"/>
      <c r="L92" s="22" t="s">
        <v>87</v>
      </c>
      <c r="P92" s="4"/>
    </row>
    <row r="93" spans="1:16">
      <c r="C93" s="47" t="s">
        <v>54</v>
      </c>
      <c r="D93" s="106" t="str">
        <f>IF(D11=I10,"",D11)</f>
        <v/>
      </c>
      <c r="E93" s="47" t="s">
        <v>55</v>
      </c>
      <c r="F93" s="45"/>
      <c r="G93" s="45"/>
      <c r="J93" s="49">
        <f>IF(H87="",0,'SWE.WS.G.BPU.ATRR.True-up'!$F$13)</f>
        <v>0</v>
      </c>
      <c r="K93" s="50"/>
      <c r="L93" t="str">
        <f>"          INPUT TRUE-UP ARR (WITH &amp; WITHOUT INCENTIVES) FROM EACH PRIOR YEAR"</f>
        <v xml:space="preserve">          INPUT TRUE-UP ARR (WITH &amp; WITHOUT INCENTIVES) FROM EACH PRIOR YEAR</v>
      </c>
      <c r="P93" s="4"/>
    </row>
    <row r="94" spans="1:16">
      <c r="C94" s="47" t="s">
        <v>56</v>
      </c>
      <c r="D94" s="105" t="str">
        <f>IF(D11=I10,"",D12)</f>
        <v/>
      </c>
      <c r="E94" s="47" t="s">
        <v>57</v>
      </c>
      <c r="F94" s="45"/>
      <c r="G94" s="45"/>
      <c r="J94" s="51">
        <f>'SWE.WS.G.BPU.ATRR.True-up'!$F$81</f>
        <v>0.11351422637179906</v>
      </c>
      <c r="K94" s="52"/>
      <c r="L94" t="s">
        <v>88</v>
      </c>
      <c r="P94" s="4"/>
    </row>
    <row r="95" spans="1:16">
      <c r="C95" s="47" t="s">
        <v>59</v>
      </c>
      <c r="D95" s="49">
        <f>'SWE.WS.G.BPU.ATRR.True-up'!F$93</f>
        <v>41</v>
      </c>
      <c r="E95" s="47" t="s">
        <v>60</v>
      </c>
      <c r="F95" s="45"/>
      <c r="G95" s="45"/>
      <c r="J95" s="51">
        <f>IF(H87="",J94,'SWE.WS.G.BPU.ATRR.True-up'!$F$80)</f>
        <v>0.11351422637179906</v>
      </c>
      <c r="K95" s="11"/>
      <c r="L95" s="22" t="s">
        <v>61</v>
      </c>
      <c r="M95" s="11"/>
      <c r="N95" s="11"/>
      <c r="O95" s="11"/>
      <c r="P95" s="4"/>
    </row>
    <row r="96" spans="1:16" ht="13.5" thickBot="1">
      <c r="C96" s="47" t="s">
        <v>62</v>
      </c>
      <c r="D96" s="107" t="str">
        <f>+D14</f>
        <v>No</v>
      </c>
      <c r="E96" s="89" t="s">
        <v>64</v>
      </c>
      <c r="F96" s="95"/>
      <c r="G96" s="95"/>
      <c r="H96" s="96"/>
      <c r="I96" s="96"/>
      <c r="J96" s="35">
        <f>IF(D92=0,0,D92/D95)</f>
        <v>0</v>
      </c>
      <c r="K96" s="22"/>
      <c r="L96" s="22"/>
      <c r="M96" s="22"/>
      <c r="N96" s="22"/>
      <c r="O96" s="22"/>
      <c r="P96" s="4"/>
    </row>
    <row r="97" spans="1:16" ht="38.25">
      <c r="A97" s="6"/>
      <c r="B97" s="6"/>
      <c r="C97" s="97" t="s">
        <v>51</v>
      </c>
      <c r="D97" s="98" t="s">
        <v>65</v>
      </c>
      <c r="E97" s="57" t="s">
        <v>66</v>
      </c>
      <c r="F97" s="57" t="s">
        <v>67</v>
      </c>
      <c r="G97" s="55" t="s">
        <v>89</v>
      </c>
      <c r="H97" s="180" t="s">
        <v>388</v>
      </c>
      <c r="I97" s="181" t="s">
        <v>389</v>
      </c>
      <c r="J97" s="97" t="s">
        <v>90</v>
      </c>
      <c r="K97" s="99"/>
      <c r="L97" s="146" t="s">
        <v>228</v>
      </c>
      <c r="M97" s="57" t="s">
        <v>91</v>
      </c>
      <c r="N97" s="146" t="s">
        <v>228</v>
      </c>
      <c r="O97" s="57" t="s">
        <v>91</v>
      </c>
      <c r="P97" s="57" t="s">
        <v>70</v>
      </c>
    </row>
    <row r="98" spans="1:16" ht="13.5" thickBot="1">
      <c r="C98" s="58" t="s">
        <v>71</v>
      </c>
      <c r="D98" s="100" t="s">
        <v>72</v>
      </c>
      <c r="E98" s="58" t="s">
        <v>73</v>
      </c>
      <c r="F98" s="58" t="s">
        <v>72</v>
      </c>
      <c r="G98" s="58" t="s">
        <v>72</v>
      </c>
      <c r="H98" s="129" t="s">
        <v>74</v>
      </c>
      <c r="I98" s="59" t="s">
        <v>75</v>
      </c>
      <c r="J98" s="60" t="s">
        <v>94</v>
      </c>
      <c r="K98" s="61"/>
      <c r="L98" s="62" t="s">
        <v>77</v>
      </c>
      <c r="M98" s="62" t="s">
        <v>77</v>
      </c>
      <c r="N98" s="62" t="s">
        <v>95</v>
      </c>
      <c r="O98" s="62" t="s">
        <v>95</v>
      </c>
      <c r="P98" s="62" t="s">
        <v>95</v>
      </c>
    </row>
    <row r="99" spans="1:16">
      <c r="C99" s="64" t="str">
        <f>IF(D93= "","-",D93)</f>
        <v>-</v>
      </c>
      <c r="D99" s="65">
        <f>IF(D93=C99,0,D92)</f>
        <v>0</v>
      </c>
      <c r="E99" s="72">
        <f>IF(D11=I10,0,J96/12*(12-D94))</f>
        <v>0</v>
      </c>
      <c r="F99" s="70">
        <f>IF(D93=C99,+D92-E99,+D99-E99)</f>
        <v>0</v>
      </c>
      <c r="G99" s="101">
        <f t="shared" ref="G99:G154" si="8">+(F99+D99)/2</f>
        <v>0</v>
      </c>
      <c r="H99" s="125">
        <f>+J94*G99+E99</f>
        <v>0</v>
      </c>
      <c r="I99" s="126">
        <f>+J95*G99+E99</f>
        <v>0</v>
      </c>
      <c r="J99" s="69">
        <f t="shared" ref="J99:J130" si="9">+I99-H99</f>
        <v>0</v>
      </c>
      <c r="K99" s="69"/>
      <c r="L99" s="149"/>
      <c r="M99" s="68">
        <f t="shared" ref="M99:M130" si="10">IF(L99&lt;&gt;0,+H99-L99,0)</f>
        <v>0</v>
      </c>
      <c r="N99" s="149"/>
      <c r="O99" s="68">
        <f t="shared" ref="O99:O130" si="11">IF(N99&lt;&gt;0,+I99-N99,0)</f>
        <v>0</v>
      </c>
      <c r="P99" s="68">
        <f t="shared" ref="P99:P130" si="12">+O99-M99</f>
        <v>0</v>
      </c>
    </row>
    <row r="100" spans="1:16">
      <c r="B100" s="9" t="str">
        <f>IF(D100=F99,"","IU")</f>
        <v/>
      </c>
      <c r="C100" s="64" t="str">
        <f>IF(D93="","-",+C99+1)</f>
        <v>-</v>
      </c>
      <c r="D100" s="65">
        <f>IF(F99+SUM(E$99:E99)=D$92,F99,D$92-SUM(E$99:E99))</f>
        <v>0</v>
      </c>
      <c r="E100" s="71">
        <f>IF(+J96&lt;F99,J96,D100)</f>
        <v>0</v>
      </c>
      <c r="F100" s="70">
        <f t="shared" ref="F100:F154" si="13">+D100-E100</f>
        <v>0</v>
      </c>
      <c r="G100" s="70">
        <f t="shared" si="8"/>
        <v>0</v>
      </c>
      <c r="H100" s="73">
        <f t="shared" ref="H100:H154" si="14">+J$94*G100+E100</f>
        <v>0</v>
      </c>
      <c r="I100" s="127">
        <f t="shared" ref="I100:I154" si="15">+J$95*G100+E100</f>
        <v>0</v>
      </c>
      <c r="J100" s="69">
        <f t="shared" si="9"/>
        <v>0</v>
      </c>
      <c r="K100" s="69"/>
      <c r="L100" s="150"/>
      <c r="M100" s="69">
        <f t="shared" si="10"/>
        <v>0</v>
      </c>
      <c r="N100" s="150"/>
      <c r="O100" s="69">
        <f t="shared" si="11"/>
        <v>0</v>
      </c>
      <c r="P100" s="69">
        <f t="shared" si="12"/>
        <v>0</v>
      </c>
    </row>
    <row r="101" spans="1:16">
      <c r="B101" s="9" t="str">
        <f t="shared" ref="B101:B154" si="16">IF(D101=F100,"","IU")</f>
        <v/>
      </c>
      <c r="C101" s="64" t="str">
        <f>IF(D93="","-",+C100+1)</f>
        <v>-</v>
      </c>
      <c r="D101" s="65">
        <f>IF(F100+SUM(E$99:E100)=D$92,F100,D$92-SUM(E$99:E100))</f>
        <v>0</v>
      </c>
      <c r="E101" s="71">
        <f>IF(+J96&lt;F100,J96,D101)</f>
        <v>0</v>
      </c>
      <c r="F101" s="70">
        <f t="shared" si="13"/>
        <v>0</v>
      </c>
      <c r="G101" s="70">
        <f t="shared" si="8"/>
        <v>0</v>
      </c>
      <c r="H101" s="73">
        <f t="shared" si="14"/>
        <v>0</v>
      </c>
      <c r="I101" s="127">
        <f t="shared" si="15"/>
        <v>0</v>
      </c>
      <c r="J101" s="69">
        <f t="shared" si="9"/>
        <v>0</v>
      </c>
      <c r="K101" s="69"/>
      <c r="L101" s="150"/>
      <c r="M101" s="69">
        <f t="shared" si="10"/>
        <v>0</v>
      </c>
      <c r="N101" s="150"/>
      <c r="O101" s="69">
        <f t="shared" si="11"/>
        <v>0</v>
      </c>
      <c r="P101" s="69">
        <f t="shared" si="12"/>
        <v>0</v>
      </c>
    </row>
    <row r="102" spans="1:16">
      <c r="B102" s="9" t="str">
        <f t="shared" si="16"/>
        <v/>
      </c>
      <c r="C102" s="64" t="str">
        <f>IF(D93="","-",+C101+1)</f>
        <v>-</v>
      </c>
      <c r="D102" s="65">
        <f>IF(F101+SUM(E$99:E101)=D$92,F101,D$92-SUM(E$99:E101))</f>
        <v>0</v>
      </c>
      <c r="E102" s="71">
        <f>IF(+J96&lt;F101,J96,D102)</f>
        <v>0</v>
      </c>
      <c r="F102" s="70">
        <f t="shared" si="13"/>
        <v>0</v>
      </c>
      <c r="G102" s="70">
        <f t="shared" si="8"/>
        <v>0</v>
      </c>
      <c r="H102" s="73">
        <f t="shared" si="14"/>
        <v>0</v>
      </c>
      <c r="I102" s="127">
        <f t="shared" si="15"/>
        <v>0</v>
      </c>
      <c r="J102" s="69">
        <f t="shared" si="9"/>
        <v>0</v>
      </c>
      <c r="K102" s="69"/>
      <c r="L102" s="150"/>
      <c r="M102" s="69">
        <f t="shared" si="10"/>
        <v>0</v>
      </c>
      <c r="N102" s="150"/>
      <c r="O102" s="69">
        <f t="shared" si="11"/>
        <v>0</v>
      </c>
      <c r="P102" s="69">
        <f t="shared" si="12"/>
        <v>0</v>
      </c>
    </row>
    <row r="103" spans="1:16">
      <c r="B103" s="9" t="str">
        <f t="shared" si="16"/>
        <v/>
      </c>
      <c r="C103" s="64" t="str">
        <f>IF(D93="","-",+C102+1)</f>
        <v>-</v>
      </c>
      <c r="D103" s="65">
        <f>IF(F102+SUM(E$99:E102)=D$92,F102,D$92-SUM(E$99:E102))</f>
        <v>0</v>
      </c>
      <c r="E103" s="71">
        <f>IF(+J96&lt;F102,J96,D103)</f>
        <v>0</v>
      </c>
      <c r="F103" s="70">
        <f t="shared" si="13"/>
        <v>0</v>
      </c>
      <c r="G103" s="70">
        <f t="shared" si="8"/>
        <v>0</v>
      </c>
      <c r="H103" s="73">
        <f t="shared" si="14"/>
        <v>0</v>
      </c>
      <c r="I103" s="127">
        <f t="shared" si="15"/>
        <v>0</v>
      </c>
      <c r="J103" s="69">
        <f t="shared" si="9"/>
        <v>0</v>
      </c>
      <c r="K103" s="69"/>
      <c r="L103" s="150"/>
      <c r="M103" s="69">
        <f t="shared" si="10"/>
        <v>0</v>
      </c>
      <c r="N103" s="150"/>
      <c r="O103" s="69">
        <f t="shared" si="11"/>
        <v>0</v>
      </c>
      <c r="P103" s="69">
        <f t="shared" si="12"/>
        <v>0</v>
      </c>
    </row>
    <row r="104" spans="1:16">
      <c r="B104" s="9" t="str">
        <f t="shared" si="16"/>
        <v/>
      </c>
      <c r="C104" s="64" t="str">
        <f>IF(D93="","-",+C103+1)</f>
        <v>-</v>
      </c>
      <c r="D104" s="65">
        <f>IF(F103+SUM(E$99:E103)=D$92,F103,D$92-SUM(E$99:E103))</f>
        <v>0</v>
      </c>
      <c r="E104" s="71">
        <f>IF(+J96&lt;F103,J96,D104)</f>
        <v>0</v>
      </c>
      <c r="F104" s="70">
        <f t="shared" si="13"/>
        <v>0</v>
      </c>
      <c r="G104" s="70">
        <f t="shared" si="8"/>
        <v>0</v>
      </c>
      <c r="H104" s="73">
        <f t="shared" si="14"/>
        <v>0</v>
      </c>
      <c r="I104" s="127">
        <f t="shared" si="15"/>
        <v>0</v>
      </c>
      <c r="J104" s="69">
        <f t="shared" si="9"/>
        <v>0</v>
      </c>
      <c r="K104" s="69"/>
      <c r="L104" s="150"/>
      <c r="M104" s="69">
        <f t="shared" si="10"/>
        <v>0</v>
      </c>
      <c r="N104" s="150"/>
      <c r="O104" s="69">
        <f t="shared" si="11"/>
        <v>0</v>
      </c>
      <c r="P104" s="69">
        <f t="shared" si="12"/>
        <v>0</v>
      </c>
    </row>
    <row r="105" spans="1:16">
      <c r="B105" s="9" t="str">
        <f t="shared" si="16"/>
        <v/>
      </c>
      <c r="C105" s="64" t="str">
        <f>IF(D93="","-",+C104+1)</f>
        <v>-</v>
      </c>
      <c r="D105" s="65">
        <f>IF(F104+SUM(E$99:E104)=D$92,F104,D$92-SUM(E$99:E104))</f>
        <v>0</v>
      </c>
      <c r="E105" s="71">
        <f>IF(+J96&lt;F104,J96,D105)</f>
        <v>0</v>
      </c>
      <c r="F105" s="70">
        <f t="shared" si="13"/>
        <v>0</v>
      </c>
      <c r="G105" s="70">
        <f t="shared" si="8"/>
        <v>0</v>
      </c>
      <c r="H105" s="73">
        <f t="shared" si="14"/>
        <v>0</v>
      </c>
      <c r="I105" s="127">
        <f t="shared" si="15"/>
        <v>0</v>
      </c>
      <c r="J105" s="69">
        <f t="shared" si="9"/>
        <v>0</v>
      </c>
      <c r="K105" s="69"/>
      <c r="L105" s="150"/>
      <c r="M105" s="69">
        <f t="shared" si="10"/>
        <v>0</v>
      </c>
      <c r="N105" s="150"/>
      <c r="O105" s="69">
        <f t="shared" si="11"/>
        <v>0</v>
      </c>
      <c r="P105" s="69">
        <f t="shared" si="12"/>
        <v>0</v>
      </c>
    </row>
    <row r="106" spans="1:16">
      <c r="B106" s="9" t="str">
        <f t="shared" si="16"/>
        <v/>
      </c>
      <c r="C106" s="64" t="str">
        <f>IF(D93="","-",+C105+1)</f>
        <v>-</v>
      </c>
      <c r="D106" s="65">
        <f>IF(F105+SUM(E$99:E105)=D$92,F105,D$92-SUM(E$99:E105))</f>
        <v>0</v>
      </c>
      <c r="E106" s="71">
        <f>IF(+J96&lt;F105,J96,D106)</f>
        <v>0</v>
      </c>
      <c r="F106" s="70">
        <f t="shared" si="13"/>
        <v>0</v>
      </c>
      <c r="G106" s="70">
        <f t="shared" si="8"/>
        <v>0</v>
      </c>
      <c r="H106" s="73">
        <f t="shared" si="14"/>
        <v>0</v>
      </c>
      <c r="I106" s="127">
        <f t="shared" si="15"/>
        <v>0</v>
      </c>
      <c r="J106" s="69">
        <f t="shared" si="9"/>
        <v>0</v>
      </c>
      <c r="K106" s="69"/>
      <c r="L106" s="150"/>
      <c r="M106" s="69">
        <f t="shared" si="10"/>
        <v>0</v>
      </c>
      <c r="N106" s="150"/>
      <c r="O106" s="69">
        <f t="shared" si="11"/>
        <v>0</v>
      </c>
      <c r="P106" s="69">
        <f t="shared" si="12"/>
        <v>0</v>
      </c>
    </row>
    <row r="107" spans="1:16">
      <c r="B107" s="9" t="str">
        <f t="shared" si="16"/>
        <v/>
      </c>
      <c r="C107" s="64" t="str">
        <f>IF(D93="","-",+C106+1)</f>
        <v>-</v>
      </c>
      <c r="D107" s="65">
        <f>IF(F106+SUM(E$99:E106)=D$92,F106,D$92-SUM(E$99:E106))</f>
        <v>0</v>
      </c>
      <c r="E107" s="71">
        <f>IF(+J96&lt;F106,J96,D107)</f>
        <v>0</v>
      </c>
      <c r="F107" s="70">
        <f t="shared" si="13"/>
        <v>0</v>
      </c>
      <c r="G107" s="70">
        <f t="shared" si="8"/>
        <v>0</v>
      </c>
      <c r="H107" s="73">
        <f t="shared" si="14"/>
        <v>0</v>
      </c>
      <c r="I107" s="127">
        <f t="shared" si="15"/>
        <v>0</v>
      </c>
      <c r="J107" s="69">
        <f t="shared" si="9"/>
        <v>0</v>
      </c>
      <c r="K107" s="69"/>
      <c r="L107" s="150"/>
      <c r="M107" s="69">
        <f t="shared" si="10"/>
        <v>0</v>
      </c>
      <c r="N107" s="150"/>
      <c r="O107" s="69">
        <f t="shared" si="11"/>
        <v>0</v>
      </c>
      <c r="P107" s="69">
        <f t="shared" si="12"/>
        <v>0</v>
      </c>
    </row>
    <row r="108" spans="1:16">
      <c r="B108" s="9" t="str">
        <f t="shared" si="16"/>
        <v/>
      </c>
      <c r="C108" s="64" t="str">
        <f>IF(D93="","-",+C107+1)</f>
        <v>-</v>
      </c>
      <c r="D108" s="65">
        <f>IF(F107+SUM(E$99:E107)=D$92,F107,D$92-SUM(E$99:E107))</f>
        <v>0</v>
      </c>
      <c r="E108" s="71">
        <f>IF(+J96&lt;F107,J96,D108)</f>
        <v>0</v>
      </c>
      <c r="F108" s="70">
        <f t="shared" si="13"/>
        <v>0</v>
      </c>
      <c r="G108" s="70">
        <f t="shared" si="8"/>
        <v>0</v>
      </c>
      <c r="H108" s="73">
        <f t="shared" si="14"/>
        <v>0</v>
      </c>
      <c r="I108" s="127">
        <f t="shared" si="15"/>
        <v>0</v>
      </c>
      <c r="J108" s="69">
        <f t="shared" si="9"/>
        <v>0</v>
      </c>
      <c r="K108" s="69"/>
      <c r="L108" s="150"/>
      <c r="M108" s="69">
        <f t="shared" si="10"/>
        <v>0</v>
      </c>
      <c r="N108" s="150"/>
      <c r="O108" s="69">
        <f t="shared" si="11"/>
        <v>0</v>
      </c>
      <c r="P108" s="69">
        <f t="shared" si="12"/>
        <v>0</v>
      </c>
    </row>
    <row r="109" spans="1:16">
      <c r="B109" s="9" t="str">
        <f t="shared" si="16"/>
        <v/>
      </c>
      <c r="C109" s="64" t="str">
        <f>IF(D93="","-",+C108+1)</f>
        <v>-</v>
      </c>
      <c r="D109" s="65">
        <f>IF(F108+SUM(E$99:E108)=D$92,F108,D$92-SUM(E$99:E108))</f>
        <v>0</v>
      </c>
      <c r="E109" s="71">
        <f>IF(+J96&lt;F108,J96,D109)</f>
        <v>0</v>
      </c>
      <c r="F109" s="70">
        <f t="shared" si="13"/>
        <v>0</v>
      </c>
      <c r="G109" s="70">
        <f t="shared" si="8"/>
        <v>0</v>
      </c>
      <c r="H109" s="73">
        <f t="shared" si="14"/>
        <v>0</v>
      </c>
      <c r="I109" s="127">
        <f t="shared" si="15"/>
        <v>0</v>
      </c>
      <c r="J109" s="69">
        <f t="shared" si="9"/>
        <v>0</v>
      </c>
      <c r="K109" s="69"/>
      <c r="L109" s="150"/>
      <c r="M109" s="69">
        <f t="shared" si="10"/>
        <v>0</v>
      </c>
      <c r="N109" s="150"/>
      <c r="O109" s="69">
        <f t="shared" si="11"/>
        <v>0</v>
      </c>
      <c r="P109" s="69">
        <f t="shared" si="12"/>
        <v>0</v>
      </c>
    </row>
    <row r="110" spans="1:16">
      <c r="B110" s="9" t="str">
        <f t="shared" si="16"/>
        <v/>
      </c>
      <c r="C110" s="64" t="str">
        <f>IF(D93="","-",+C109+1)</f>
        <v>-</v>
      </c>
      <c r="D110" s="65">
        <f>IF(F109+SUM(E$99:E109)=D$92,F109,D$92-SUM(E$99:E109))</f>
        <v>0</v>
      </c>
      <c r="E110" s="71">
        <f>IF(+J96&lt;F109,J96,D110)</f>
        <v>0</v>
      </c>
      <c r="F110" s="70">
        <f t="shared" si="13"/>
        <v>0</v>
      </c>
      <c r="G110" s="70">
        <f t="shared" si="8"/>
        <v>0</v>
      </c>
      <c r="H110" s="73">
        <f t="shared" si="14"/>
        <v>0</v>
      </c>
      <c r="I110" s="127">
        <f t="shared" si="15"/>
        <v>0</v>
      </c>
      <c r="J110" s="69">
        <f t="shared" si="9"/>
        <v>0</v>
      </c>
      <c r="K110" s="69"/>
      <c r="L110" s="150"/>
      <c r="M110" s="69">
        <f t="shared" si="10"/>
        <v>0</v>
      </c>
      <c r="N110" s="150"/>
      <c r="O110" s="69">
        <f t="shared" si="11"/>
        <v>0</v>
      </c>
      <c r="P110" s="69">
        <f t="shared" si="12"/>
        <v>0</v>
      </c>
    </row>
    <row r="111" spans="1:16">
      <c r="B111" s="9" t="str">
        <f t="shared" si="16"/>
        <v/>
      </c>
      <c r="C111" s="64" t="str">
        <f>IF(D93="","-",+C110+1)</f>
        <v>-</v>
      </c>
      <c r="D111" s="65">
        <f>IF(F110+SUM(E$99:E110)=D$92,F110,D$92-SUM(E$99:E110))</f>
        <v>0</v>
      </c>
      <c r="E111" s="71">
        <f>IF(+J96&lt;F110,J96,D111)</f>
        <v>0</v>
      </c>
      <c r="F111" s="70">
        <f t="shared" si="13"/>
        <v>0</v>
      </c>
      <c r="G111" s="70">
        <f t="shared" si="8"/>
        <v>0</v>
      </c>
      <c r="H111" s="73">
        <f t="shared" si="14"/>
        <v>0</v>
      </c>
      <c r="I111" s="127">
        <f t="shared" si="15"/>
        <v>0</v>
      </c>
      <c r="J111" s="69">
        <f t="shared" si="9"/>
        <v>0</v>
      </c>
      <c r="K111" s="69"/>
      <c r="L111" s="150"/>
      <c r="M111" s="69">
        <f t="shared" si="10"/>
        <v>0</v>
      </c>
      <c r="N111" s="150"/>
      <c r="O111" s="69">
        <f t="shared" si="11"/>
        <v>0</v>
      </c>
      <c r="P111" s="69">
        <f t="shared" si="12"/>
        <v>0</v>
      </c>
    </row>
    <row r="112" spans="1:16">
      <c r="B112" s="9" t="str">
        <f t="shared" si="16"/>
        <v/>
      </c>
      <c r="C112" s="64" t="str">
        <f>IF(D93="","-",+C111+1)</f>
        <v>-</v>
      </c>
      <c r="D112" s="65">
        <f>IF(F111+SUM(E$99:E111)=D$92,F111,D$92-SUM(E$99:E111))</f>
        <v>0</v>
      </c>
      <c r="E112" s="71">
        <f>IF(+J96&lt;F111,J96,D112)</f>
        <v>0</v>
      </c>
      <c r="F112" s="70">
        <f t="shared" si="13"/>
        <v>0</v>
      </c>
      <c r="G112" s="70">
        <f t="shared" si="8"/>
        <v>0</v>
      </c>
      <c r="H112" s="73">
        <f t="shared" si="14"/>
        <v>0</v>
      </c>
      <c r="I112" s="127">
        <f t="shared" si="15"/>
        <v>0</v>
      </c>
      <c r="J112" s="69">
        <f t="shared" si="9"/>
        <v>0</v>
      </c>
      <c r="K112" s="69"/>
      <c r="L112" s="150"/>
      <c r="M112" s="69">
        <f t="shared" si="10"/>
        <v>0</v>
      </c>
      <c r="N112" s="150"/>
      <c r="O112" s="69">
        <f t="shared" si="11"/>
        <v>0</v>
      </c>
      <c r="P112" s="69">
        <f t="shared" si="12"/>
        <v>0</v>
      </c>
    </row>
    <row r="113" spans="2:16">
      <c r="B113" s="9" t="str">
        <f t="shared" si="16"/>
        <v/>
      </c>
      <c r="C113" s="64" t="str">
        <f>IF(D93="","-",+C112+1)</f>
        <v>-</v>
      </c>
      <c r="D113" s="65">
        <f>IF(F112+SUM(E$99:E112)=D$92,F112,D$92-SUM(E$99:E112))</f>
        <v>0</v>
      </c>
      <c r="E113" s="71">
        <f>IF(+J96&lt;F112,J96,D113)</f>
        <v>0</v>
      </c>
      <c r="F113" s="70">
        <f t="shared" si="13"/>
        <v>0</v>
      </c>
      <c r="G113" s="70">
        <f t="shared" si="8"/>
        <v>0</v>
      </c>
      <c r="H113" s="73">
        <f t="shared" si="14"/>
        <v>0</v>
      </c>
      <c r="I113" s="127">
        <f t="shared" si="15"/>
        <v>0</v>
      </c>
      <c r="J113" s="69">
        <f t="shared" si="9"/>
        <v>0</v>
      </c>
      <c r="K113" s="69"/>
      <c r="L113" s="150"/>
      <c r="M113" s="69">
        <f t="shared" si="10"/>
        <v>0</v>
      </c>
      <c r="N113" s="150"/>
      <c r="O113" s="69">
        <f t="shared" si="11"/>
        <v>0</v>
      </c>
      <c r="P113" s="69">
        <f t="shared" si="12"/>
        <v>0</v>
      </c>
    </row>
    <row r="114" spans="2:16">
      <c r="B114" s="9" t="str">
        <f t="shared" si="16"/>
        <v/>
      </c>
      <c r="C114" s="64" t="str">
        <f>IF(D93="","-",+C113+1)</f>
        <v>-</v>
      </c>
      <c r="D114" s="65">
        <f>IF(F113+SUM(E$99:E113)=D$92,F113,D$92-SUM(E$99:E113))</f>
        <v>0</v>
      </c>
      <c r="E114" s="71">
        <f>IF(+J96&lt;F113,J96,D114)</f>
        <v>0</v>
      </c>
      <c r="F114" s="70">
        <f t="shared" si="13"/>
        <v>0</v>
      </c>
      <c r="G114" s="70">
        <f t="shared" si="8"/>
        <v>0</v>
      </c>
      <c r="H114" s="73">
        <f t="shared" si="14"/>
        <v>0</v>
      </c>
      <c r="I114" s="127">
        <f t="shared" si="15"/>
        <v>0</v>
      </c>
      <c r="J114" s="69">
        <f t="shared" si="9"/>
        <v>0</v>
      </c>
      <c r="K114" s="69"/>
      <c r="L114" s="150"/>
      <c r="M114" s="69">
        <f t="shared" si="10"/>
        <v>0</v>
      </c>
      <c r="N114" s="150"/>
      <c r="O114" s="69">
        <f t="shared" si="11"/>
        <v>0</v>
      </c>
      <c r="P114" s="69">
        <f t="shared" si="12"/>
        <v>0</v>
      </c>
    </row>
    <row r="115" spans="2:16">
      <c r="B115" s="9" t="str">
        <f t="shared" si="16"/>
        <v/>
      </c>
      <c r="C115" s="64" t="str">
        <f>IF(D93="","-",+C114+1)</f>
        <v>-</v>
      </c>
      <c r="D115" s="65">
        <f>IF(F114+SUM(E$99:E114)=D$92,F114,D$92-SUM(E$99:E114))</f>
        <v>0</v>
      </c>
      <c r="E115" s="71">
        <f>IF(+J96&lt;F114,J96,D115)</f>
        <v>0</v>
      </c>
      <c r="F115" s="70">
        <f t="shared" si="13"/>
        <v>0</v>
      </c>
      <c r="G115" s="70">
        <f t="shared" si="8"/>
        <v>0</v>
      </c>
      <c r="H115" s="73">
        <f t="shared" si="14"/>
        <v>0</v>
      </c>
      <c r="I115" s="127">
        <f t="shared" si="15"/>
        <v>0</v>
      </c>
      <c r="J115" s="69">
        <f t="shared" si="9"/>
        <v>0</v>
      </c>
      <c r="K115" s="69"/>
      <c r="L115" s="150"/>
      <c r="M115" s="69">
        <f t="shared" si="10"/>
        <v>0</v>
      </c>
      <c r="N115" s="150"/>
      <c r="O115" s="69">
        <f t="shared" si="11"/>
        <v>0</v>
      </c>
      <c r="P115" s="69">
        <f t="shared" si="12"/>
        <v>0</v>
      </c>
    </row>
    <row r="116" spans="2:16">
      <c r="B116" s="9" t="str">
        <f t="shared" si="16"/>
        <v/>
      </c>
      <c r="C116" s="64" t="str">
        <f>IF(D93="","-",+C115+1)</f>
        <v>-</v>
      </c>
      <c r="D116" s="65">
        <f>IF(F115+SUM(E$99:E115)=D$92,F115,D$92-SUM(E$99:E115))</f>
        <v>0</v>
      </c>
      <c r="E116" s="71">
        <f>IF(+J96&lt;F115,J96,D116)</f>
        <v>0</v>
      </c>
      <c r="F116" s="70">
        <f t="shared" si="13"/>
        <v>0</v>
      </c>
      <c r="G116" s="70">
        <f t="shared" si="8"/>
        <v>0</v>
      </c>
      <c r="H116" s="73">
        <f t="shared" si="14"/>
        <v>0</v>
      </c>
      <c r="I116" s="127">
        <f t="shared" si="15"/>
        <v>0</v>
      </c>
      <c r="J116" s="69">
        <f t="shared" si="9"/>
        <v>0</v>
      </c>
      <c r="K116" s="69"/>
      <c r="L116" s="150"/>
      <c r="M116" s="69">
        <f t="shared" si="10"/>
        <v>0</v>
      </c>
      <c r="N116" s="150"/>
      <c r="O116" s="69">
        <f t="shared" si="11"/>
        <v>0</v>
      </c>
      <c r="P116" s="69">
        <f t="shared" si="12"/>
        <v>0</v>
      </c>
    </row>
    <row r="117" spans="2:16">
      <c r="B117" s="9" t="str">
        <f t="shared" si="16"/>
        <v/>
      </c>
      <c r="C117" s="64" t="str">
        <f>IF(D93="","-",+C116+1)</f>
        <v>-</v>
      </c>
      <c r="D117" s="65">
        <f>IF(F116+SUM(E$99:E116)=D$92,F116,D$92-SUM(E$99:E116))</f>
        <v>0</v>
      </c>
      <c r="E117" s="71">
        <f>IF(+J96&lt;F116,J96,D117)</f>
        <v>0</v>
      </c>
      <c r="F117" s="70">
        <f t="shared" si="13"/>
        <v>0</v>
      </c>
      <c r="G117" s="70">
        <f t="shared" si="8"/>
        <v>0</v>
      </c>
      <c r="H117" s="73">
        <f t="shared" si="14"/>
        <v>0</v>
      </c>
      <c r="I117" s="127">
        <f t="shared" si="15"/>
        <v>0</v>
      </c>
      <c r="J117" s="69">
        <f t="shared" si="9"/>
        <v>0</v>
      </c>
      <c r="K117" s="69"/>
      <c r="L117" s="150"/>
      <c r="M117" s="69">
        <f t="shared" si="10"/>
        <v>0</v>
      </c>
      <c r="N117" s="150"/>
      <c r="O117" s="69">
        <f t="shared" si="11"/>
        <v>0</v>
      </c>
      <c r="P117" s="69">
        <f t="shared" si="12"/>
        <v>0</v>
      </c>
    </row>
    <row r="118" spans="2:16">
      <c r="B118" s="9" t="str">
        <f t="shared" si="16"/>
        <v/>
      </c>
      <c r="C118" s="64" t="str">
        <f>IF(D93="","-",+C117+1)</f>
        <v>-</v>
      </c>
      <c r="D118" s="65">
        <f>IF(F117+SUM(E$99:E117)=D$92,F117,D$92-SUM(E$99:E117))</f>
        <v>0</v>
      </c>
      <c r="E118" s="71">
        <f>IF(+J96&lt;F117,J96,D118)</f>
        <v>0</v>
      </c>
      <c r="F118" s="70">
        <f t="shared" si="13"/>
        <v>0</v>
      </c>
      <c r="G118" s="70">
        <f t="shared" si="8"/>
        <v>0</v>
      </c>
      <c r="H118" s="73">
        <f t="shared" si="14"/>
        <v>0</v>
      </c>
      <c r="I118" s="127">
        <f t="shared" si="15"/>
        <v>0</v>
      </c>
      <c r="J118" s="69">
        <f t="shared" si="9"/>
        <v>0</v>
      </c>
      <c r="K118" s="69"/>
      <c r="L118" s="150"/>
      <c r="M118" s="69">
        <f t="shared" si="10"/>
        <v>0</v>
      </c>
      <c r="N118" s="150"/>
      <c r="O118" s="69">
        <f t="shared" si="11"/>
        <v>0</v>
      </c>
      <c r="P118" s="69">
        <f t="shared" si="12"/>
        <v>0</v>
      </c>
    </row>
    <row r="119" spans="2:16">
      <c r="B119" s="9" t="str">
        <f t="shared" si="16"/>
        <v/>
      </c>
      <c r="C119" s="64" t="str">
        <f>IF(D93="","-",+C118+1)</f>
        <v>-</v>
      </c>
      <c r="D119" s="65">
        <f>IF(F118+SUM(E$99:E118)=D$92,F118,D$92-SUM(E$99:E118))</f>
        <v>0</v>
      </c>
      <c r="E119" s="71">
        <f>IF(+J96&lt;F118,J96,D119)</f>
        <v>0</v>
      </c>
      <c r="F119" s="70">
        <f t="shared" si="13"/>
        <v>0</v>
      </c>
      <c r="G119" s="70">
        <f t="shared" si="8"/>
        <v>0</v>
      </c>
      <c r="H119" s="73">
        <f t="shared" si="14"/>
        <v>0</v>
      </c>
      <c r="I119" s="127">
        <f t="shared" si="15"/>
        <v>0</v>
      </c>
      <c r="J119" s="69">
        <f t="shared" si="9"/>
        <v>0</v>
      </c>
      <c r="K119" s="69"/>
      <c r="L119" s="150"/>
      <c r="M119" s="69">
        <f t="shared" si="10"/>
        <v>0</v>
      </c>
      <c r="N119" s="150"/>
      <c r="O119" s="69">
        <f t="shared" si="11"/>
        <v>0</v>
      </c>
      <c r="P119" s="69">
        <f t="shared" si="12"/>
        <v>0</v>
      </c>
    </row>
    <row r="120" spans="2:16">
      <c r="B120" s="9" t="str">
        <f t="shared" si="16"/>
        <v/>
      </c>
      <c r="C120" s="64" t="str">
        <f>IF(D93="","-",+C119+1)</f>
        <v>-</v>
      </c>
      <c r="D120" s="65">
        <f>IF(F119+SUM(E$99:E119)=D$92,F119,D$92-SUM(E$99:E119))</f>
        <v>0</v>
      </c>
      <c r="E120" s="71">
        <f>IF(+J96&lt;F119,J96,D120)</f>
        <v>0</v>
      </c>
      <c r="F120" s="70">
        <f t="shared" si="13"/>
        <v>0</v>
      </c>
      <c r="G120" s="70">
        <f t="shared" si="8"/>
        <v>0</v>
      </c>
      <c r="H120" s="73">
        <f t="shared" si="14"/>
        <v>0</v>
      </c>
      <c r="I120" s="127">
        <f t="shared" si="15"/>
        <v>0</v>
      </c>
      <c r="J120" s="69">
        <f t="shared" si="9"/>
        <v>0</v>
      </c>
      <c r="K120" s="69"/>
      <c r="L120" s="150"/>
      <c r="M120" s="69">
        <f t="shared" si="10"/>
        <v>0</v>
      </c>
      <c r="N120" s="150"/>
      <c r="O120" s="69">
        <f t="shared" si="11"/>
        <v>0</v>
      </c>
      <c r="P120" s="69">
        <f t="shared" si="12"/>
        <v>0</v>
      </c>
    </row>
    <row r="121" spans="2:16">
      <c r="B121" s="9" t="str">
        <f t="shared" si="16"/>
        <v/>
      </c>
      <c r="C121" s="64" t="str">
        <f>IF(D93="","-",+C120+1)</f>
        <v>-</v>
      </c>
      <c r="D121" s="65">
        <f>IF(F120+SUM(E$99:E120)=D$92,F120,D$92-SUM(E$99:E120))</f>
        <v>0</v>
      </c>
      <c r="E121" s="71">
        <f>IF(+J96&lt;F120,J96,D121)</f>
        <v>0</v>
      </c>
      <c r="F121" s="70">
        <f t="shared" si="13"/>
        <v>0</v>
      </c>
      <c r="G121" s="70">
        <f t="shared" si="8"/>
        <v>0</v>
      </c>
      <c r="H121" s="73">
        <f t="shared" si="14"/>
        <v>0</v>
      </c>
      <c r="I121" s="127">
        <f t="shared" si="15"/>
        <v>0</v>
      </c>
      <c r="J121" s="69">
        <f t="shared" si="9"/>
        <v>0</v>
      </c>
      <c r="K121" s="69"/>
      <c r="L121" s="150"/>
      <c r="M121" s="69">
        <f t="shared" si="10"/>
        <v>0</v>
      </c>
      <c r="N121" s="150"/>
      <c r="O121" s="69">
        <f t="shared" si="11"/>
        <v>0</v>
      </c>
      <c r="P121" s="69">
        <f t="shared" si="12"/>
        <v>0</v>
      </c>
    </row>
    <row r="122" spans="2:16">
      <c r="B122" s="9" t="str">
        <f t="shared" si="16"/>
        <v/>
      </c>
      <c r="C122" s="64" t="str">
        <f>IF(D93="","-",+C121+1)</f>
        <v>-</v>
      </c>
      <c r="D122" s="65">
        <f>IF(F121+SUM(E$99:E121)=D$92,F121,D$92-SUM(E$99:E121))</f>
        <v>0</v>
      </c>
      <c r="E122" s="71">
        <f>IF(+J96&lt;F121,J96,D122)</f>
        <v>0</v>
      </c>
      <c r="F122" s="70">
        <f t="shared" si="13"/>
        <v>0</v>
      </c>
      <c r="G122" s="70">
        <f t="shared" si="8"/>
        <v>0</v>
      </c>
      <c r="H122" s="73">
        <f t="shared" si="14"/>
        <v>0</v>
      </c>
      <c r="I122" s="127">
        <f t="shared" si="15"/>
        <v>0</v>
      </c>
      <c r="J122" s="69">
        <f t="shared" si="9"/>
        <v>0</v>
      </c>
      <c r="K122" s="69"/>
      <c r="L122" s="150"/>
      <c r="M122" s="69">
        <f t="shared" si="10"/>
        <v>0</v>
      </c>
      <c r="N122" s="150"/>
      <c r="O122" s="69">
        <f t="shared" si="11"/>
        <v>0</v>
      </c>
      <c r="P122" s="69">
        <f t="shared" si="12"/>
        <v>0</v>
      </c>
    </row>
    <row r="123" spans="2:16">
      <c r="B123" s="9" t="str">
        <f t="shared" si="16"/>
        <v/>
      </c>
      <c r="C123" s="64" t="str">
        <f>IF(D93="","-",+C122+1)</f>
        <v>-</v>
      </c>
      <c r="D123" s="65">
        <f>IF(F122+SUM(E$99:E122)=D$92,F122,D$92-SUM(E$99:E122))</f>
        <v>0</v>
      </c>
      <c r="E123" s="71">
        <f>IF(+J96&lt;F122,J96,D123)</f>
        <v>0</v>
      </c>
      <c r="F123" s="70">
        <f t="shared" si="13"/>
        <v>0</v>
      </c>
      <c r="G123" s="70">
        <f t="shared" si="8"/>
        <v>0</v>
      </c>
      <c r="H123" s="73">
        <f t="shared" si="14"/>
        <v>0</v>
      </c>
      <c r="I123" s="127">
        <f t="shared" si="15"/>
        <v>0</v>
      </c>
      <c r="J123" s="69">
        <f t="shared" si="9"/>
        <v>0</v>
      </c>
      <c r="K123" s="69"/>
      <c r="L123" s="150"/>
      <c r="M123" s="69">
        <f t="shared" si="10"/>
        <v>0</v>
      </c>
      <c r="N123" s="150"/>
      <c r="O123" s="69">
        <f t="shared" si="11"/>
        <v>0</v>
      </c>
      <c r="P123" s="69">
        <f t="shared" si="12"/>
        <v>0</v>
      </c>
    </row>
    <row r="124" spans="2:16">
      <c r="B124" s="9" t="str">
        <f t="shared" si="16"/>
        <v/>
      </c>
      <c r="C124" s="64" t="str">
        <f>IF(D93="","-",+C123+1)</f>
        <v>-</v>
      </c>
      <c r="D124" s="65">
        <f>IF(F123+SUM(E$99:E123)=D$92,F123,D$92-SUM(E$99:E123))</f>
        <v>0</v>
      </c>
      <c r="E124" s="71">
        <f>IF(+J96&lt;F123,J96,D124)</f>
        <v>0</v>
      </c>
      <c r="F124" s="70">
        <f t="shared" si="13"/>
        <v>0</v>
      </c>
      <c r="G124" s="70">
        <f t="shared" si="8"/>
        <v>0</v>
      </c>
      <c r="H124" s="73">
        <f t="shared" si="14"/>
        <v>0</v>
      </c>
      <c r="I124" s="127">
        <f t="shared" si="15"/>
        <v>0</v>
      </c>
      <c r="J124" s="69">
        <f t="shared" si="9"/>
        <v>0</v>
      </c>
      <c r="K124" s="69"/>
      <c r="L124" s="150"/>
      <c r="M124" s="69">
        <f t="shared" si="10"/>
        <v>0</v>
      </c>
      <c r="N124" s="150"/>
      <c r="O124" s="69">
        <f t="shared" si="11"/>
        <v>0</v>
      </c>
      <c r="P124" s="69">
        <f t="shared" si="12"/>
        <v>0</v>
      </c>
    </row>
    <row r="125" spans="2:16">
      <c r="B125" s="9" t="str">
        <f t="shared" si="16"/>
        <v/>
      </c>
      <c r="C125" s="64" t="str">
        <f>IF(D93="","-",+C124+1)</f>
        <v>-</v>
      </c>
      <c r="D125" s="65">
        <f>IF(F124+SUM(E$99:E124)=D$92,F124,D$92-SUM(E$99:E124))</f>
        <v>0</v>
      </c>
      <c r="E125" s="71">
        <f>IF(+J96&lt;F124,J96,D125)</f>
        <v>0</v>
      </c>
      <c r="F125" s="70">
        <f t="shared" si="13"/>
        <v>0</v>
      </c>
      <c r="G125" s="70">
        <f t="shared" si="8"/>
        <v>0</v>
      </c>
      <c r="H125" s="73">
        <f t="shared" si="14"/>
        <v>0</v>
      </c>
      <c r="I125" s="127">
        <f t="shared" si="15"/>
        <v>0</v>
      </c>
      <c r="J125" s="69">
        <f t="shared" si="9"/>
        <v>0</v>
      </c>
      <c r="K125" s="69"/>
      <c r="L125" s="150"/>
      <c r="M125" s="69">
        <f t="shared" si="10"/>
        <v>0</v>
      </c>
      <c r="N125" s="150"/>
      <c r="O125" s="69">
        <f t="shared" si="11"/>
        <v>0</v>
      </c>
      <c r="P125" s="69">
        <f t="shared" si="12"/>
        <v>0</v>
      </c>
    </row>
    <row r="126" spans="2:16">
      <c r="B126" s="9" t="str">
        <f t="shared" si="16"/>
        <v/>
      </c>
      <c r="C126" s="64" t="str">
        <f>IF(D93="","-",+C125+1)</f>
        <v>-</v>
      </c>
      <c r="D126" s="65">
        <f>IF(F125+SUM(E$99:E125)=D$92,F125,D$92-SUM(E$99:E125))</f>
        <v>0</v>
      </c>
      <c r="E126" s="71">
        <f>IF(+J96&lt;F125,J96,D126)</f>
        <v>0</v>
      </c>
      <c r="F126" s="70">
        <f t="shared" si="13"/>
        <v>0</v>
      </c>
      <c r="G126" s="70">
        <f t="shared" si="8"/>
        <v>0</v>
      </c>
      <c r="H126" s="73">
        <f t="shared" si="14"/>
        <v>0</v>
      </c>
      <c r="I126" s="127">
        <f t="shared" si="15"/>
        <v>0</v>
      </c>
      <c r="J126" s="69">
        <f t="shared" si="9"/>
        <v>0</v>
      </c>
      <c r="K126" s="69"/>
      <c r="L126" s="150"/>
      <c r="M126" s="69">
        <f t="shared" si="10"/>
        <v>0</v>
      </c>
      <c r="N126" s="150"/>
      <c r="O126" s="69">
        <f t="shared" si="11"/>
        <v>0</v>
      </c>
      <c r="P126" s="69">
        <f t="shared" si="12"/>
        <v>0</v>
      </c>
    </row>
    <row r="127" spans="2:16">
      <c r="B127" s="9" t="str">
        <f t="shared" si="16"/>
        <v/>
      </c>
      <c r="C127" s="64" t="str">
        <f>IF(D93="","-",+C126+1)</f>
        <v>-</v>
      </c>
      <c r="D127" s="65">
        <f>IF(F126+SUM(E$99:E126)=D$92,F126,D$92-SUM(E$99:E126))</f>
        <v>0</v>
      </c>
      <c r="E127" s="71">
        <f>IF(+J96&lt;F126,J96,D127)</f>
        <v>0</v>
      </c>
      <c r="F127" s="70">
        <f t="shared" si="13"/>
        <v>0</v>
      </c>
      <c r="G127" s="70">
        <f t="shared" si="8"/>
        <v>0</v>
      </c>
      <c r="H127" s="73">
        <f t="shared" si="14"/>
        <v>0</v>
      </c>
      <c r="I127" s="127">
        <f t="shared" si="15"/>
        <v>0</v>
      </c>
      <c r="J127" s="69">
        <f t="shared" si="9"/>
        <v>0</v>
      </c>
      <c r="K127" s="69"/>
      <c r="L127" s="150"/>
      <c r="M127" s="69">
        <f t="shared" si="10"/>
        <v>0</v>
      </c>
      <c r="N127" s="150"/>
      <c r="O127" s="69">
        <f t="shared" si="11"/>
        <v>0</v>
      </c>
      <c r="P127" s="69">
        <f t="shared" si="12"/>
        <v>0</v>
      </c>
    </row>
    <row r="128" spans="2:16">
      <c r="B128" s="9" t="str">
        <f t="shared" si="16"/>
        <v/>
      </c>
      <c r="C128" s="64" t="str">
        <f>IF(D93="","-",+C127+1)</f>
        <v>-</v>
      </c>
      <c r="D128" s="65">
        <f>IF(F127+SUM(E$99:E127)=D$92,F127,D$92-SUM(E$99:E127))</f>
        <v>0</v>
      </c>
      <c r="E128" s="71">
        <f>IF(+J96&lt;F127,J96,D128)</f>
        <v>0</v>
      </c>
      <c r="F128" s="70">
        <f t="shared" si="13"/>
        <v>0</v>
      </c>
      <c r="G128" s="70">
        <f t="shared" si="8"/>
        <v>0</v>
      </c>
      <c r="H128" s="73">
        <f t="shared" si="14"/>
        <v>0</v>
      </c>
      <c r="I128" s="127">
        <f t="shared" si="15"/>
        <v>0</v>
      </c>
      <c r="J128" s="69">
        <f t="shared" si="9"/>
        <v>0</v>
      </c>
      <c r="K128" s="69"/>
      <c r="L128" s="150"/>
      <c r="M128" s="69">
        <f t="shared" si="10"/>
        <v>0</v>
      </c>
      <c r="N128" s="150"/>
      <c r="O128" s="69">
        <f t="shared" si="11"/>
        <v>0</v>
      </c>
      <c r="P128" s="69">
        <f t="shared" si="12"/>
        <v>0</v>
      </c>
    </row>
    <row r="129" spans="2:16">
      <c r="B129" s="9" t="str">
        <f t="shared" si="16"/>
        <v/>
      </c>
      <c r="C129" s="64" t="str">
        <f>IF(D93="","-",+C128+1)</f>
        <v>-</v>
      </c>
      <c r="D129" s="65">
        <f>IF(F128+SUM(E$99:E128)=D$92,F128,D$92-SUM(E$99:E128))</f>
        <v>0</v>
      </c>
      <c r="E129" s="71">
        <f>IF(+J96&lt;F128,J96,D129)</f>
        <v>0</v>
      </c>
      <c r="F129" s="70">
        <f t="shared" si="13"/>
        <v>0</v>
      </c>
      <c r="G129" s="70">
        <f t="shared" si="8"/>
        <v>0</v>
      </c>
      <c r="H129" s="73">
        <f t="shared" si="14"/>
        <v>0</v>
      </c>
      <c r="I129" s="127">
        <f t="shared" si="15"/>
        <v>0</v>
      </c>
      <c r="J129" s="69">
        <f t="shared" si="9"/>
        <v>0</v>
      </c>
      <c r="K129" s="69"/>
      <c r="L129" s="150"/>
      <c r="M129" s="69">
        <f t="shared" si="10"/>
        <v>0</v>
      </c>
      <c r="N129" s="150"/>
      <c r="O129" s="69">
        <f t="shared" si="11"/>
        <v>0</v>
      </c>
      <c r="P129" s="69">
        <f t="shared" si="12"/>
        <v>0</v>
      </c>
    </row>
    <row r="130" spans="2:16">
      <c r="B130" s="9" t="str">
        <f t="shared" si="16"/>
        <v/>
      </c>
      <c r="C130" s="64" t="str">
        <f>IF(D93="","-",+C129+1)</f>
        <v>-</v>
      </c>
      <c r="D130" s="65">
        <f>IF(F129+SUM(E$99:E129)=D$92,F129,D$92-SUM(E$99:E129))</f>
        <v>0</v>
      </c>
      <c r="E130" s="71">
        <f>IF(+J96&lt;F129,J96,D130)</f>
        <v>0</v>
      </c>
      <c r="F130" s="70">
        <f t="shared" si="13"/>
        <v>0</v>
      </c>
      <c r="G130" s="70">
        <f t="shared" si="8"/>
        <v>0</v>
      </c>
      <c r="H130" s="73">
        <f t="shared" si="14"/>
        <v>0</v>
      </c>
      <c r="I130" s="127">
        <f t="shared" si="15"/>
        <v>0</v>
      </c>
      <c r="J130" s="69">
        <f t="shared" si="9"/>
        <v>0</v>
      </c>
      <c r="K130" s="69"/>
      <c r="L130" s="150"/>
      <c r="M130" s="69">
        <f t="shared" si="10"/>
        <v>0</v>
      </c>
      <c r="N130" s="150"/>
      <c r="O130" s="69">
        <f t="shared" si="11"/>
        <v>0</v>
      </c>
      <c r="P130" s="69">
        <f t="shared" si="12"/>
        <v>0</v>
      </c>
    </row>
    <row r="131" spans="2:16">
      <c r="B131" s="9" t="str">
        <f t="shared" si="16"/>
        <v/>
      </c>
      <c r="C131" s="64" t="str">
        <f>IF(D93="","-",+C130+1)</f>
        <v>-</v>
      </c>
      <c r="D131" s="65">
        <f>IF(F130+SUM(E$99:E130)=D$92,F130,D$92-SUM(E$99:E130))</f>
        <v>0</v>
      </c>
      <c r="E131" s="71">
        <f>IF(+J96&lt;F130,J96,D131)</f>
        <v>0</v>
      </c>
      <c r="F131" s="70">
        <f t="shared" si="13"/>
        <v>0</v>
      </c>
      <c r="G131" s="70">
        <f t="shared" si="8"/>
        <v>0</v>
      </c>
      <c r="H131" s="73">
        <f t="shared" si="14"/>
        <v>0</v>
      </c>
      <c r="I131" s="127">
        <f t="shared" si="15"/>
        <v>0</v>
      </c>
      <c r="J131" s="69">
        <f t="shared" ref="J131:J154" si="17">+I541-H541</f>
        <v>0</v>
      </c>
      <c r="K131" s="69"/>
      <c r="L131" s="150"/>
      <c r="M131" s="69">
        <f t="shared" ref="M131:M154" si="18">IF(L541&lt;&gt;0,+H541-L541,0)</f>
        <v>0</v>
      </c>
      <c r="N131" s="150"/>
      <c r="O131" s="69">
        <f t="shared" ref="O131:O154" si="19">IF(N541&lt;&gt;0,+I541-N541,0)</f>
        <v>0</v>
      </c>
      <c r="P131" s="69">
        <f t="shared" ref="P131:P154" si="20">+O541-M541</f>
        <v>0</v>
      </c>
    </row>
    <row r="132" spans="2:16">
      <c r="B132" s="9" t="str">
        <f t="shared" si="16"/>
        <v/>
      </c>
      <c r="C132" s="64" t="str">
        <f>IF(D93="","-",+C131+1)</f>
        <v>-</v>
      </c>
      <c r="D132" s="65">
        <f>IF(F131+SUM(E$99:E131)=D$92,F131,D$92-SUM(E$99:E131))</f>
        <v>0</v>
      </c>
      <c r="E132" s="71">
        <f>IF(+J96&lt;F131,J96,D132)</f>
        <v>0</v>
      </c>
      <c r="F132" s="70">
        <f t="shared" si="13"/>
        <v>0</v>
      </c>
      <c r="G132" s="70">
        <f t="shared" si="8"/>
        <v>0</v>
      </c>
      <c r="H132" s="73">
        <f t="shared" si="14"/>
        <v>0</v>
      </c>
      <c r="I132" s="127">
        <f t="shared" si="15"/>
        <v>0</v>
      </c>
      <c r="J132" s="69">
        <f t="shared" si="17"/>
        <v>0</v>
      </c>
      <c r="K132" s="69"/>
      <c r="L132" s="150"/>
      <c r="M132" s="69">
        <f t="shared" si="18"/>
        <v>0</v>
      </c>
      <c r="N132" s="150"/>
      <c r="O132" s="69">
        <f t="shared" si="19"/>
        <v>0</v>
      </c>
      <c r="P132" s="69">
        <f t="shared" si="20"/>
        <v>0</v>
      </c>
    </row>
    <row r="133" spans="2:16">
      <c r="B133" s="9" t="str">
        <f t="shared" si="16"/>
        <v/>
      </c>
      <c r="C133" s="64" t="str">
        <f>IF(D93="","-",+C132+1)</f>
        <v>-</v>
      </c>
      <c r="D133" s="65">
        <f>IF(F132+SUM(E$99:E132)=D$92,F132,D$92-SUM(E$99:E132))</f>
        <v>0</v>
      </c>
      <c r="E133" s="71">
        <f>IF(+J96&lt;F132,J96,D133)</f>
        <v>0</v>
      </c>
      <c r="F133" s="70">
        <f t="shared" si="13"/>
        <v>0</v>
      </c>
      <c r="G133" s="70">
        <f t="shared" si="8"/>
        <v>0</v>
      </c>
      <c r="H133" s="73">
        <f t="shared" si="14"/>
        <v>0</v>
      </c>
      <c r="I133" s="127">
        <f t="shared" si="15"/>
        <v>0</v>
      </c>
      <c r="J133" s="69">
        <f t="shared" si="17"/>
        <v>0</v>
      </c>
      <c r="K133" s="69"/>
      <c r="L133" s="150"/>
      <c r="M133" s="69">
        <f t="shared" si="18"/>
        <v>0</v>
      </c>
      <c r="N133" s="150"/>
      <c r="O133" s="69">
        <f t="shared" si="19"/>
        <v>0</v>
      </c>
      <c r="P133" s="69">
        <f t="shared" si="20"/>
        <v>0</v>
      </c>
    </row>
    <row r="134" spans="2:16">
      <c r="B134" s="9" t="str">
        <f t="shared" si="16"/>
        <v/>
      </c>
      <c r="C134" s="64" t="str">
        <f>IF(D93="","-",+C133+1)</f>
        <v>-</v>
      </c>
      <c r="D134" s="65">
        <f>IF(F133+SUM(E$99:E133)=D$92,F133,D$92-SUM(E$99:E133))</f>
        <v>0</v>
      </c>
      <c r="E134" s="71">
        <f>IF(+J96&lt;F133,J96,D134)</f>
        <v>0</v>
      </c>
      <c r="F134" s="70">
        <f t="shared" si="13"/>
        <v>0</v>
      </c>
      <c r="G134" s="70">
        <f t="shared" si="8"/>
        <v>0</v>
      </c>
      <c r="H134" s="73">
        <f t="shared" si="14"/>
        <v>0</v>
      </c>
      <c r="I134" s="127">
        <f t="shared" si="15"/>
        <v>0</v>
      </c>
      <c r="J134" s="69">
        <f t="shared" si="17"/>
        <v>0</v>
      </c>
      <c r="K134" s="69"/>
      <c r="L134" s="150"/>
      <c r="M134" s="69">
        <f t="shared" si="18"/>
        <v>0</v>
      </c>
      <c r="N134" s="150"/>
      <c r="O134" s="69">
        <f t="shared" si="19"/>
        <v>0</v>
      </c>
      <c r="P134" s="69">
        <f t="shared" si="20"/>
        <v>0</v>
      </c>
    </row>
    <row r="135" spans="2:16">
      <c r="B135" s="9" t="str">
        <f t="shared" si="16"/>
        <v/>
      </c>
      <c r="C135" s="64" t="str">
        <f>IF(D93="","-",+C134+1)</f>
        <v>-</v>
      </c>
      <c r="D135" s="65">
        <f>IF(F134+SUM(E$99:E134)=D$92,F134,D$92-SUM(E$99:E134))</f>
        <v>0</v>
      </c>
      <c r="E135" s="71">
        <f>IF(+J96&lt;F134,J96,D135)</f>
        <v>0</v>
      </c>
      <c r="F135" s="70">
        <f t="shared" si="13"/>
        <v>0</v>
      </c>
      <c r="G135" s="70">
        <f t="shared" si="8"/>
        <v>0</v>
      </c>
      <c r="H135" s="73">
        <f t="shared" si="14"/>
        <v>0</v>
      </c>
      <c r="I135" s="127">
        <f t="shared" si="15"/>
        <v>0</v>
      </c>
      <c r="J135" s="69">
        <f t="shared" si="17"/>
        <v>0</v>
      </c>
      <c r="K135" s="69"/>
      <c r="L135" s="150"/>
      <c r="M135" s="69">
        <f t="shared" si="18"/>
        <v>0</v>
      </c>
      <c r="N135" s="150"/>
      <c r="O135" s="69">
        <f t="shared" si="19"/>
        <v>0</v>
      </c>
      <c r="P135" s="69">
        <f t="shared" si="20"/>
        <v>0</v>
      </c>
    </row>
    <row r="136" spans="2:16">
      <c r="B136" s="9" t="str">
        <f t="shared" si="16"/>
        <v/>
      </c>
      <c r="C136" s="64" t="str">
        <f>IF(D93="","-",+C135+1)</f>
        <v>-</v>
      </c>
      <c r="D136" s="65">
        <f>IF(F135+SUM(E$99:E135)=D$92,F135,D$92-SUM(E$99:E135))</f>
        <v>0</v>
      </c>
      <c r="E136" s="71">
        <f>IF(+J96&lt;F135,J96,D136)</f>
        <v>0</v>
      </c>
      <c r="F136" s="70">
        <f t="shared" si="13"/>
        <v>0</v>
      </c>
      <c r="G136" s="70">
        <f t="shared" si="8"/>
        <v>0</v>
      </c>
      <c r="H136" s="73">
        <f t="shared" si="14"/>
        <v>0</v>
      </c>
      <c r="I136" s="127">
        <f t="shared" si="15"/>
        <v>0</v>
      </c>
      <c r="J136" s="69">
        <f t="shared" si="17"/>
        <v>0</v>
      </c>
      <c r="K136" s="69"/>
      <c r="L136" s="150"/>
      <c r="M136" s="69">
        <f t="shared" si="18"/>
        <v>0</v>
      </c>
      <c r="N136" s="150"/>
      <c r="O136" s="69">
        <f t="shared" si="19"/>
        <v>0</v>
      </c>
      <c r="P136" s="69">
        <f t="shared" si="20"/>
        <v>0</v>
      </c>
    </row>
    <row r="137" spans="2:16">
      <c r="B137" s="9" t="str">
        <f t="shared" si="16"/>
        <v/>
      </c>
      <c r="C137" s="64" t="str">
        <f>IF(D93="","-",+C136+1)</f>
        <v>-</v>
      </c>
      <c r="D137" s="65">
        <f>IF(F136+SUM(E$99:E136)=D$92,F136,D$92-SUM(E$99:E136))</f>
        <v>0</v>
      </c>
      <c r="E137" s="71">
        <f>IF(+J96&lt;F136,J96,D137)</f>
        <v>0</v>
      </c>
      <c r="F137" s="70">
        <f t="shared" si="13"/>
        <v>0</v>
      </c>
      <c r="G137" s="70">
        <f t="shared" si="8"/>
        <v>0</v>
      </c>
      <c r="H137" s="73">
        <f t="shared" si="14"/>
        <v>0</v>
      </c>
      <c r="I137" s="127">
        <f t="shared" si="15"/>
        <v>0</v>
      </c>
      <c r="J137" s="69">
        <f t="shared" si="17"/>
        <v>0</v>
      </c>
      <c r="K137" s="69"/>
      <c r="L137" s="150"/>
      <c r="M137" s="69">
        <f t="shared" si="18"/>
        <v>0</v>
      </c>
      <c r="N137" s="150"/>
      <c r="O137" s="69">
        <f t="shared" si="19"/>
        <v>0</v>
      </c>
      <c r="P137" s="69">
        <f t="shared" si="20"/>
        <v>0</v>
      </c>
    </row>
    <row r="138" spans="2:16">
      <c r="B138" s="9" t="str">
        <f t="shared" si="16"/>
        <v/>
      </c>
      <c r="C138" s="64" t="str">
        <f>IF(D93="","-",+C137+1)</f>
        <v>-</v>
      </c>
      <c r="D138" s="65">
        <f>IF(F137+SUM(E$99:E137)=D$92,F137,D$92-SUM(E$99:E137))</f>
        <v>0</v>
      </c>
      <c r="E138" s="71">
        <f>IF(+J96&lt;F137,J96,D138)</f>
        <v>0</v>
      </c>
      <c r="F138" s="70">
        <f t="shared" si="13"/>
        <v>0</v>
      </c>
      <c r="G138" s="70">
        <f t="shared" si="8"/>
        <v>0</v>
      </c>
      <c r="H138" s="73">
        <f t="shared" si="14"/>
        <v>0</v>
      </c>
      <c r="I138" s="127">
        <f t="shared" si="15"/>
        <v>0</v>
      </c>
      <c r="J138" s="69">
        <f t="shared" si="17"/>
        <v>0</v>
      </c>
      <c r="K138" s="69"/>
      <c r="L138" s="150"/>
      <c r="M138" s="69">
        <f t="shared" si="18"/>
        <v>0</v>
      </c>
      <c r="N138" s="150"/>
      <c r="O138" s="69">
        <f t="shared" si="19"/>
        <v>0</v>
      </c>
      <c r="P138" s="69">
        <f t="shared" si="20"/>
        <v>0</v>
      </c>
    </row>
    <row r="139" spans="2:16">
      <c r="B139" s="9" t="str">
        <f t="shared" si="16"/>
        <v/>
      </c>
      <c r="C139" s="64" t="str">
        <f>IF(D93="","-",+C138+1)</f>
        <v>-</v>
      </c>
      <c r="D139" s="65">
        <f>IF(F138+SUM(E$99:E138)=D$92,F138,D$92-SUM(E$99:E138))</f>
        <v>0</v>
      </c>
      <c r="E139" s="71">
        <f>IF(+J96&lt;F138,J96,D139)</f>
        <v>0</v>
      </c>
      <c r="F139" s="70">
        <f t="shared" si="13"/>
        <v>0</v>
      </c>
      <c r="G139" s="70">
        <f t="shared" si="8"/>
        <v>0</v>
      </c>
      <c r="H139" s="73">
        <f t="shared" si="14"/>
        <v>0</v>
      </c>
      <c r="I139" s="127">
        <f t="shared" si="15"/>
        <v>0</v>
      </c>
      <c r="J139" s="69">
        <f t="shared" si="17"/>
        <v>0</v>
      </c>
      <c r="K139" s="69"/>
      <c r="L139" s="150"/>
      <c r="M139" s="69">
        <f t="shared" si="18"/>
        <v>0</v>
      </c>
      <c r="N139" s="150"/>
      <c r="O139" s="69">
        <f t="shared" si="19"/>
        <v>0</v>
      </c>
      <c r="P139" s="69">
        <f t="shared" si="20"/>
        <v>0</v>
      </c>
    </row>
    <row r="140" spans="2:16">
      <c r="B140" s="9" t="str">
        <f t="shared" si="16"/>
        <v/>
      </c>
      <c r="C140" s="64" t="str">
        <f>IF(D93="","-",+C139+1)</f>
        <v>-</v>
      </c>
      <c r="D140" s="65">
        <f>IF(F139+SUM(E$99:E139)=D$92,F139,D$92-SUM(E$99:E139))</f>
        <v>0</v>
      </c>
      <c r="E140" s="71">
        <f>IF(+J96&lt;F139,J96,D140)</f>
        <v>0</v>
      </c>
      <c r="F140" s="70">
        <f t="shared" si="13"/>
        <v>0</v>
      </c>
      <c r="G140" s="70">
        <f t="shared" si="8"/>
        <v>0</v>
      </c>
      <c r="H140" s="73">
        <f t="shared" si="14"/>
        <v>0</v>
      </c>
      <c r="I140" s="127">
        <f t="shared" si="15"/>
        <v>0</v>
      </c>
      <c r="J140" s="69">
        <f t="shared" si="17"/>
        <v>0</v>
      </c>
      <c r="K140" s="69"/>
      <c r="L140" s="150"/>
      <c r="M140" s="69">
        <f t="shared" si="18"/>
        <v>0</v>
      </c>
      <c r="N140" s="150"/>
      <c r="O140" s="69">
        <f t="shared" si="19"/>
        <v>0</v>
      </c>
      <c r="P140" s="69">
        <f t="shared" si="20"/>
        <v>0</v>
      </c>
    </row>
    <row r="141" spans="2:16">
      <c r="B141" s="9" t="str">
        <f t="shared" si="16"/>
        <v/>
      </c>
      <c r="C141" s="64" t="str">
        <f>IF(D93="","-",+C140+1)</f>
        <v>-</v>
      </c>
      <c r="D141" s="65">
        <f>IF(F140+SUM(E$99:E140)=D$92,F140,D$92-SUM(E$99:E140))</f>
        <v>0</v>
      </c>
      <c r="E141" s="71">
        <f>IF(+J96&lt;F140,J96,D141)</f>
        <v>0</v>
      </c>
      <c r="F141" s="70">
        <f t="shared" si="13"/>
        <v>0</v>
      </c>
      <c r="G141" s="70">
        <f t="shared" si="8"/>
        <v>0</v>
      </c>
      <c r="H141" s="73">
        <f t="shared" si="14"/>
        <v>0</v>
      </c>
      <c r="I141" s="127">
        <f t="shared" si="15"/>
        <v>0</v>
      </c>
      <c r="J141" s="69">
        <f t="shared" si="17"/>
        <v>0</v>
      </c>
      <c r="K141" s="69"/>
      <c r="L141" s="150"/>
      <c r="M141" s="69">
        <f t="shared" si="18"/>
        <v>0</v>
      </c>
      <c r="N141" s="150"/>
      <c r="O141" s="69">
        <f t="shared" si="19"/>
        <v>0</v>
      </c>
      <c r="P141" s="69">
        <f t="shared" si="20"/>
        <v>0</v>
      </c>
    </row>
    <row r="142" spans="2:16">
      <c r="B142" s="9" t="str">
        <f t="shared" si="16"/>
        <v/>
      </c>
      <c r="C142" s="64" t="str">
        <f>IF(D93="","-",+C141+1)</f>
        <v>-</v>
      </c>
      <c r="D142" s="65">
        <f>IF(F141+SUM(E$99:E141)=D$92,F141,D$92-SUM(E$99:E141))</f>
        <v>0</v>
      </c>
      <c r="E142" s="71">
        <f>IF(+J96&lt;F141,J96,D142)</f>
        <v>0</v>
      </c>
      <c r="F142" s="70">
        <f t="shared" si="13"/>
        <v>0</v>
      </c>
      <c r="G142" s="70">
        <f t="shared" si="8"/>
        <v>0</v>
      </c>
      <c r="H142" s="73">
        <f t="shared" si="14"/>
        <v>0</v>
      </c>
      <c r="I142" s="127">
        <f t="shared" si="15"/>
        <v>0</v>
      </c>
      <c r="J142" s="69">
        <f t="shared" si="17"/>
        <v>0</v>
      </c>
      <c r="K142" s="69"/>
      <c r="L142" s="150"/>
      <c r="M142" s="69">
        <f t="shared" si="18"/>
        <v>0</v>
      </c>
      <c r="N142" s="150"/>
      <c r="O142" s="69">
        <f t="shared" si="19"/>
        <v>0</v>
      </c>
      <c r="P142" s="69">
        <f t="shared" si="20"/>
        <v>0</v>
      </c>
    </row>
    <row r="143" spans="2:16">
      <c r="B143" s="9" t="str">
        <f t="shared" si="16"/>
        <v/>
      </c>
      <c r="C143" s="64" t="str">
        <f>IF(D93="","-",+C142+1)</f>
        <v>-</v>
      </c>
      <c r="D143" s="65">
        <f>IF(F142+SUM(E$99:E142)=D$92,F142,D$92-SUM(E$99:E142))</f>
        <v>0</v>
      </c>
      <c r="E143" s="71">
        <f>IF(+J96&lt;F142,J96,D143)</f>
        <v>0</v>
      </c>
      <c r="F143" s="70">
        <f t="shared" si="13"/>
        <v>0</v>
      </c>
      <c r="G143" s="70">
        <f t="shared" si="8"/>
        <v>0</v>
      </c>
      <c r="H143" s="73">
        <f t="shared" si="14"/>
        <v>0</v>
      </c>
      <c r="I143" s="127">
        <f t="shared" si="15"/>
        <v>0</v>
      </c>
      <c r="J143" s="69">
        <f t="shared" si="17"/>
        <v>0</v>
      </c>
      <c r="K143" s="69"/>
      <c r="L143" s="150"/>
      <c r="M143" s="69">
        <f t="shared" si="18"/>
        <v>0</v>
      </c>
      <c r="N143" s="150"/>
      <c r="O143" s="69">
        <f t="shared" si="19"/>
        <v>0</v>
      </c>
      <c r="P143" s="69">
        <f t="shared" si="20"/>
        <v>0</v>
      </c>
    </row>
    <row r="144" spans="2:16">
      <c r="B144" s="9" t="str">
        <f t="shared" si="16"/>
        <v/>
      </c>
      <c r="C144" s="64" t="str">
        <f>IF(D93="","-",+C143+1)</f>
        <v>-</v>
      </c>
      <c r="D144" s="65">
        <f>IF(F143+SUM(E$99:E143)=D$92,F143,D$92-SUM(E$99:E143))</f>
        <v>0</v>
      </c>
      <c r="E144" s="71">
        <f>IF(+J96&lt;F143,J96,D144)</f>
        <v>0</v>
      </c>
      <c r="F144" s="70">
        <f t="shared" si="13"/>
        <v>0</v>
      </c>
      <c r="G144" s="70">
        <f t="shared" si="8"/>
        <v>0</v>
      </c>
      <c r="H144" s="73">
        <f t="shared" si="14"/>
        <v>0</v>
      </c>
      <c r="I144" s="127">
        <f t="shared" si="15"/>
        <v>0</v>
      </c>
      <c r="J144" s="69">
        <f t="shared" si="17"/>
        <v>0</v>
      </c>
      <c r="K144" s="69"/>
      <c r="L144" s="150"/>
      <c r="M144" s="69">
        <f t="shared" si="18"/>
        <v>0</v>
      </c>
      <c r="N144" s="150"/>
      <c r="O144" s="69">
        <f t="shared" si="19"/>
        <v>0</v>
      </c>
      <c r="P144" s="69">
        <f t="shared" si="20"/>
        <v>0</v>
      </c>
    </row>
    <row r="145" spans="2:16">
      <c r="B145" s="9" t="str">
        <f t="shared" si="16"/>
        <v/>
      </c>
      <c r="C145" s="64" t="str">
        <f>IF(D93="","-",+C144+1)</f>
        <v>-</v>
      </c>
      <c r="D145" s="65">
        <f>IF(F144+SUM(E$99:E144)=D$92,F144,D$92-SUM(E$99:E144))</f>
        <v>0</v>
      </c>
      <c r="E145" s="71">
        <f>IF(+J96&lt;F144,J96,D145)</f>
        <v>0</v>
      </c>
      <c r="F145" s="70">
        <f t="shared" si="13"/>
        <v>0</v>
      </c>
      <c r="G145" s="70">
        <f t="shared" si="8"/>
        <v>0</v>
      </c>
      <c r="H145" s="73">
        <f t="shared" si="14"/>
        <v>0</v>
      </c>
      <c r="I145" s="127">
        <f t="shared" si="15"/>
        <v>0</v>
      </c>
      <c r="J145" s="69">
        <f t="shared" si="17"/>
        <v>0</v>
      </c>
      <c r="K145" s="69"/>
      <c r="L145" s="150"/>
      <c r="M145" s="69">
        <f t="shared" si="18"/>
        <v>0</v>
      </c>
      <c r="N145" s="150"/>
      <c r="O145" s="69">
        <f t="shared" si="19"/>
        <v>0</v>
      </c>
      <c r="P145" s="69">
        <f t="shared" si="20"/>
        <v>0</v>
      </c>
    </row>
    <row r="146" spans="2:16">
      <c r="B146" s="9" t="str">
        <f t="shared" si="16"/>
        <v/>
      </c>
      <c r="C146" s="64" t="str">
        <f>IF(D93="","-",+C145+1)</f>
        <v>-</v>
      </c>
      <c r="D146" s="65">
        <f>IF(F145+SUM(E$99:E145)=D$92,F145,D$92-SUM(E$99:E145))</f>
        <v>0</v>
      </c>
      <c r="E146" s="71">
        <f>IF(+J96&lt;F145,J96,D146)</f>
        <v>0</v>
      </c>
      <c r="F146" s="70">
        <f t="shared" si="13"/>
        <v>0</v>
      </c>
      <c r="G146" s="70">
        <f t="shared" si="8"/>
        <v>0</v>
      </c>
      <c r="H146" s="73">
        <f t="shared" si="14"/>
        <v>0</v>
      </c>
      <c r="I146" s="127">
        <f t="shared" si="15"/>
        <v>0</v>
      </c>
      <c r="J146" s="69">
        <f t="shared" si="17"/>
        <v>0</v>
      </c>
      <c r="K146" s="69"/>
      <c r="L146" s="150"/>
      <c r="M146" s="69">
        <f t="shared" si="18"/>
        <v>0</v>
      </c>
      <c r="N146" s="150"/>
      <c r="O146" s="69">
        <f t="shared" si="19"/>
        <v>0</v>
      </c>
      <c r="P146" s="69">
        <f t="shared" si="20"/>
        <v>0</v>
      </c>
    </row>
    <row r="147" spans="2:16">
      <c r="B147" s="9" t="str">
        <f t="shared" si="16"/>
        <v/>
      </c>
      <c r="C147" s="64" t="str">
        <f>IF(D93="","-",+C146+1)</f>
        <v>-</v>
      </c>
      <c r="D147" s="65">
        <f>IF(F146+SUM(E$99:E146)=D$92,F146,D$92-SUM(E$99:E146))</f>
        <v>0</v>
      </c>
      <c r="E147" s="71">
        <f>IF(+J96&lt;F146,J96,D147)</f>
        <v>0</v>
      </c>
      <c r="F147" s="70">
        <f t="shared" si="13"/>
        <v>0</v>
      </c>
      <c r="G147" s="70">
        <f t="shared" si="8"/>
        <v>0</v>
      </c>
      <c r="H147" s="73">
        <f t="shared" si="14"/>
        <v>0</v>
      </c>
      <c r="I147" s="127">
        <f t="shared" si="15"/>
        <v>0</v>
      </c>
      <c r="J147" s="69">
        <f t="shared" si="17"/>
        <v>0</v>
      </c>
      <c r="K147" s="69"/>
      <c r="L147" s="150"/>
      <c r="M147" s="69">
        <f t="shared" si="18"/>
        <v>0</v>
      </c>
      <c r="N147" s="150"/>
      <c r="O147" s="69">
        <f t="shared" si="19"/>
        <v>0</v>
      </c>
      <c r="P147" s="69">
        <f t="shared" si="20"/>
        <v>0</v>
      </c>
    </row>
    <row r="148" spans="2:16">
      <c r="B148" s="9" t="str">
        <f t="shared" si="16"/>
        <v/>
      </c>
      <c r="C148" s="64" t="str">
        <f>IF(D93="","-",+C147+1)</f>
        <v>-</v>
      </c>
      <c r="D148" s="65">
        <f>IF(F147+SUM(E$99:E147)=D$92,F147,D$92-SUM(E$99:E147))</f>
        <v>0</v>
      </c>
      <c r="E148" s="71">
        <f>IF(+J96&lt;F147,J96,D148)</f>
        <v>0</v>
      </c>
      <c r="F148" s="70">
        <f t="shared" si="13"/>
        <v>0</v>
      </c>
      <c r="G148" s="70">
        <f t="shared" si="8"/>
        <v>0</v>
      </c>
      <c r="H148" s="73">
        <f t="shared" si="14"/>
        <v>0</v>
      </c>
      <c r="I148" s="127">
        <f t="shared" si="15"/>
        <v>0</v>
      </c>
      <c r="J148" s="69">
        <f t="shared" si="17"/>
        <v>0</v>
      </c>
      <c r="K148" s="69"/>
      <c r="L148" s="150"/>
      <c r="M148" s="69">
        <f t="shared" si="18"/>
        <v>0</v>
      </c>
      <c r="N148" s="150"/>
      <c r="O148" s="69">
        <f t="shared" si="19"/>
        <v>0</v>
      </c>
      <c r="P148" s="69">
        <f t="shared" si="20"/>
        <v>0</v>
      </c>
    </row>
    <row r="149" spans="2:16">
      <c r="B149" s="9" t="str">
        <f t="shared" si="16"/>
        <v/>
      </c>
      <c r="C149" s="64" t="str">
        <f>IF(D93="","-",+C148+1)</f>
        <v>-</v>
      </c>
      <c r="D149" s="65">
        <f>IF(F148+SUM(E$99:E148)=D$92,F148,D$92-SUM(E$99:E148))</f>
        <v>0</v>
      </c>
      <c r="E149" s="71">
        <f>IF(+J96&lt;F148,J96,D149)</f>
        <v>0</v>
      </c>
      <c r="F149" s="70">
        <f t="shared" si="13"/>
        <v>0</v>
      </c>
      <c r="G149" s="70">
        <f t="shared" si="8"/>
        <v>0</v>
      </c>
      <c r="H149" s="73">
        <f t="shared" si="14"/>
        <v>0</v>
      </c>
      <c r="I149" s="127">
        <f t="shared" si="15"/>
        <v>0</v>
      </c>
      <c r="J149" s="69">
        <f t="shared" si="17"/>
        <v>0</v>
      </c>
      <c r="K149" s="69"/>
      <c r="L149" s="150"/>
      <c r="M149" s="69">
        <f t="shared" si="18"/>
        <v>0</v>
      </c>
      <c r="N149" s="150"/>
      <c r="O149" s="69">
        <f t="shared" si="19"/>
        <v>0</v>
      </c>
      <c r="P149" s="69">
        <f t="shared" si="20"/>
        <v>0</v>
      </c>
    </row>
    <row r="150" spans="2:16">
      <c r="B150" s="9" t="str">
        <f t="shared" si="16"/>
        <v/>
      </c>
      <c r="C150" s="64" t="str">
        <f>IF(D93="","-",+C149+1)</f>
        <v>-</v>
      </c>
      <c r="D150" s="65">
        <f>IF(F149+SUM(E$99:E149)=D$92,F149,D$92-SUM(E$99:E149))</f>
        <v>0</v>
      </c>
      <c r="E150" s="71">
        <f>IF(+J96&lt;F149,J96,D150)</f>
        <v>0</v>
      </c>
      <c r="F150" s="70">
        <f t="shared" si="13"/>
        <v>0</v>
      </c>
      <c r="G150" s="70">
        <f t="shared" si="8"/>
        <v>0</v>
      </c>
      <c r="H150" s="73">
        <f t="shared" si="14"/>
        <v>0</v>
      </c>
      <c r="I150" s="127">
        <f t="shared" si="15"/>
        <v>0</v>
      </c>
      <c r="J150" s="69">
        <f t="shared" si="17"/>
        <v>0</v>
      </c>
      <c r="K150" s="69"/>
      <c r="L150" s="150"/>
      <c r="M150" s="69">
        <f t="shared" si="18"/>
        <v>0</v>
      </c>
      <c r="N150" s="150"/>
      <c r="O150" s="69">
        <f t="shared" si="19"/>
        <v>0</v>
      </c>
      <c r="P150" s="69">
        <f t="shared" si="20"/>
        <v>0</v>
      </c>
    </row>
    <row r="151" spans="2:16">
      <c r="B151" s="9" t="str">
        <f t="shared" si="16"/>
        <v/>
      </c>
      <c r="C151" s="64" t="str">
        <f>IF(D93="","-",+C150+1)</f>
        <v>-</v>
      </c>
      <c r="D151" s="65">
        <f>IF(F150+SUM(E$99:E150)=D$92,F150,D$92-SUM(E$99:E150))</f>
        <v>0</v>
      </c>
      <c r="E151" s="71">
        <f>IF(+J96&lt;F150,J96,D151)</f>
        <v>0</v>
      </c>
      <c r="F151" s="70">
        <f t="shared" si="13"/>
        <v>0</v>
      </c>
      <c r="G151" s="70">
        <f t="shared" si="8"/>
        <v>0</v>
      </c>
      <c r="H151" s="73">
        <f t="shared" si="14"/>
        <v>0</v>
      </c>
      <c r="I151" s="127">
        <f t="shared" si="15"/>
        <v>0</v>
      </c>
      <c r="J151" s="69">
        <f t="shared" si="17"/>
        <v>0</v>
      </c>
      <c r="K151" s="69"/>
      <c r="L151" s="150"/>
      <c r="M151" s="69">
        <f t="shared" si="18"/>
        <v>0</v>
      </c>
      <c r="N151" s="150"/>
      <c r="O151" s="69">
        <f t="shared" si="19"/>
        <v>0</v>
      </c>
      <c r="P151" s="69">
        <f t="shared" si="20"/>
        <v>0</v>
      </c>
    </row>
    <row r="152" spans="2:16">
      <c r="B152" s="9" t="str">
        <f t="shared" si="16"/>
        <v/>
      </c>
      <c r="C152" s="64" t="str">
        <f>IF(D93="","-",+C151+1)</f>
        <v>-</v>
      </c>
      <c r="D152" s="65">
        <f>IF(F151+SUM(E$99:E151)=D$92,F151,D$92-SUM(E$99:E151))</f>
        <v>0</v>
      </c>
      <c r="E152" s="71">
        <f>IF(+J96&lt;F151,J96,D152)</f>
        <v>0</v>
      </c>
      <c r="F152" s="70">
        <f t="shared" si="13"/>
        <v>0</v>
      </c>
      <c r="G152" s="70">
        <f t="shared" si="8"/>
        <v>0</v>
      </c>
      <c r="H152" s="73">
        <f t="shared" si="14"/>
        <v>0</v>
      </c>
      <c r="I152" s="127">
        <f t="shared" si="15"/>
        <v>0</v>
      </c>
      <c r="J152" s="69">
        <f t="shared" si="17"/>
        <v>0</v>
      </c>
      <c r="K152" s="69"/>
      <c r="L152" s="150"/>
      <c r="M152" s="69">
        <f t="shared" si="18"/>
        <v>0</v>
      </c>
      <c r="N152" s="150"/>
      <c r="O152" s="69">
        <f t="shared" si="19"/>
        <v>0</v>
      </c>
      <c r="P152" s="69">
        <f t="shared" si="20"/>
        <v>0</v>
      </c>
    </row>
    <row r="153" spans="2:16">
      <c r="B153" s="9" t="str">
        <f t="shared" si="16"/>
        <v/>
      </c>
      <c r="C153" s="64" t="str">
        <f>IF(D93="","-",+C152+1)</f>
        <v>-</v>
      </c>
      <c r="D153" s="65">
        <f>IF(F152+SUM(E$99:E152)=D$92,F152,D$92-SUM(E$99:E152))</f>
        <v>0</v>
      </c>
      <c r="E153" s="71">
        <f>IF(+J96&lt;F152,J96,D153)</f>
        <v>0</v>
      </c>
      <c r="F153" s="70">
        <f t="shared" si="13"/>
        <v>0</v>
      </c>
      <c r="G153" s="70">
        <f t="shared" si="8"/>
        <v>0</v>
      </c>
      <c r="H153" s="73">
        <f t="shared" si="14"/>
        <v>0</v>
      </c>
      <c r="I153" s="127">
        <f t="shared" si="15"/>
        <v>0</v>
      </c>
      <c r="J153" s="69">
        <f t="shared" si="17"/>
        <v>0</v>
      </c>
      <c r="K153" s="69"/>
      <c r="L153" s="150"/>
      <c r="M153" s="69">
        <f t="shared" si="18"/>
        <v>0</v>
      </c>
      <c r="N153" s="150"/>
      <c r="O153" s="69">
        <f t="shared" si="19"/>
        <v>0</v>
      </c>
      <c r="P153" s="69">
        <f t="shared" si="20"/>
        <v>0</v>
      </c>
    </row>
    <row r="154" spans="2:16" ht="13.5" thickBot="1">
      <c r="B154" s="9" t="str">
        <f t="shared" si="16"/>
        <v/>
      </c>
      <c r="C154" s="74" t="str">
        <f>IF(D93="","-",+C153+1)</f>
        <v>-</v>
      </c>
      <c r="D154" s="102">
        <f>IF(F153+SUM(E$99:E153)=D$92,F153,D$92-SUM(E$99:E153))</f>
        <v>0</v>
      </c>
      <c r="E154" s="76">
        <f>IF(+J96&lt;F153,J96,D154)</f>
        <v>0</v>
      </c>
      <c r="F154" s="75">
        <f t="shared" si="13"/>
        <v>0</v>
      </c>
      <c r="G154" s="75">
        <f t="shared" si="8"/>
        <v>0</v>
      </c>
      <c r="H154" s="77">
        <f t="shared" si="14"/>
        <v>0</v>
      </c>
      <c r="I154" s="128">
        <f t="shared" si="15"/>
        <v>0</v>
      </c>
      <c r="J154" s="79">
        <f t="shared" si="17"/>
        <v>0</v>
      </c>
      <c r="K154" s="69"/>
      <c r="L154" s="151"/>
      <c r="M154" s="79">
        <f t="shared" si="18"/>
        <v>0</v>
      </c>
      <c r="N154" s="151"/>
      <c r="O154" s="79">
        <f t="shared" si="19"/>
        <v>0</v>
      </c>
      <c r="P154" s="79">
        <f t="shared" si="20"/>
        <v>0</v>
      </c>
    </row>
    <row r="155" spans="2:16">
      <c r="C155" s="65" t="s">
        <v>78</v>
      </c>
      <c r="D155" s="22"/>
      <c r="E155" s="22">
        <f>SUM(E99:E154)</f>
        <v>0</v>
      </c>
      <c r="F155" s="22"/>
      <c r="G155" s="22"/>
      <c r="H155" s="22">
        <f>SUM(H99:H154)</f>
        <v>0</v>
      </c>
      <c r="I155" s="22">
        <f>SUM(I99:I154)</f>
        <v>0</v>
      </c>
      <c r="J155" s="22">
        <f>SUM(J99:J154)</f>
        <v>0</v>
      </c>
      <c r="K155" s="22"/>
      <c r="L155" s="22"/>
      <c r="M155" s="22"/>
      <c r="N155" s="22"/>
      <c r="O155" s="22"/>
      <c r="P155" s="1"/>
    </row>
    <row r="156" spans="2:16">
      <c r="C156" t="s">
        <v>92</v>
      </c>
      <c r="D156" s="2"/>
      <c r="E156" s="1"/>
      <c r="F156" s="1"/>
      <c r="G156" s="1"/>
      <c r="H156" s="1"/>
      <c r="I156" s="3"/>
      <c r="J156" s="3"/>
      <c r="K156" s="22"/>
      <c r="L156" s="3"/>
      <c r="M156" s="3"/>
      <c r="N156" s="3"/>
      <c r="O156" s="3"/>
      <c r="P156" s="1"/>
    </row>
    <row r="157" spans="2:16">
      <c r="C157" s="103"/>
      <c r="D157" s="2"/>
      <c r="E157" s="1"/>
      <c r="F157" s="1"/>
      <c r="G157" s="1"/>
      <c r="H157" s="1"/>
      <c r="I157" s="3"/>
      <c r="J157" s="3"/>
      <c r="K157" s="22"/>
      <c r="L157" s="3"/>
      <c r="M157" s="3"/>
      <c r="N157" s="3"/>
      <c r="O157" s="3"/>
      <c r="P157" s="1"/>
    </row>
    <row r="158" spans="2:16">
      <c r="C158" s="123" t="s">
        <v>132</v>
      </c>
      <c r="D158" s="2"/>
      <c r="E158" s="1"/>
      <c r="F158" s="1"/>
      <c r="G158" s="1"/>
      <c r="H158" s="1"/>
      <c r="I158" s="3"/>
      <c r="J158" s="3"/>
      <c r="K158" s="22"/>
      <c r="L158" s="3"/>
      <c r="M158" s="3"/>
      <c r="N158" s="3"/>
      <c r="O158" s="3"/>
      <c r="P158" s="1"/>
    </row>
    <row r="159" spans="2:16">
      <c r="C159" s="32" t="s">
        <v>79</v>
      </c>
      <c r="D159" s="65"/>
      <c r="E159" s="65"/>
      <c r="F159" s="65"/>
      <c r="G159" s="65"/>
      <c r="H159" s="22"/>
      <c r="I159" s="22"/>
      <c r="J159" s="81"/>
      <c r="K159" s="81"/>
      <c r="L159" s="81"/>
      <c r="M159" s="81"/>
      <c r="N159" s="81"/>
      <c r="O159" s="81"/>
      <c r="P159" s="1"/>
    </row>
    <row r="160" spans="2:16">
      <c r="C160" s="104" t="s">
        <v>80</v>
      </c>
      <c r="D160" s="65"/>
      <c r="E160" s="65"/>
      <c r="F160" s="65"/>
      <c r="G160" s="65"/>
      <c r="H160" s="22"/>
      <c r="I160" s="22"/>
      <c r="J160" s="81"/>
      <c r="K160" s="81"/>
      <c r="L160" s="81"/>
      <c r="M160" s="81"/>
      <c r="N160" s="81"/>
      <c r="O160" s="81"/>
      <c r="P160" s="1"/>
    </row>
    <row r="161" spans="3:16">
      <c r="C161" s="104"/>
      <c r="D161" s="65"/>
      <c r="E161" s="65"/>
      <c r="F161" s="65"/>
      <c r="G161" s="65"/>
      <c r="H161" s="22"/>
      <c r="I161" s="22"/>
      <c r="J161" s="81"/>
      <c r="K161" s="81"/>
      <c r="L161" s="81"/>
      <c r="M161" s="81"/>
      <c r="N161" s="81"/>
      <c r="O161" s="81"/>
      <c r="P161" s="1"/>
    </row>
    <row r="162" spans="3:16" ht="18">
      <c r="C162" s="104"/>
      <c r="D162" s="65"/>
      <c r="E162" s="65"/>
      <c r="F162" s="65"/>
      <c r="G162" s="65"/>
      <c r="H162" s="22"/>
      <c r="I162" s="22"/>
      <c r="J162" s="81"/>
      <c r="K162" s="81"/>
      <c r="L162" s="81"/>
      <c r="M162" s="81"/>
      <c r="N162" s="81"/>
      <c r="P162" s="120" t="s">
        <v>131</v>
      </c>
    </row>
  </sheetData>
  <conditionalFormatting sqref="C17:C72">
    <cfRule type="cellIs" dxfId="3" priority="1" stopIfTrue="1" operator="equal">
      <formula>$I$10</formula>
    </cfRule>
  </conditionalFormatting>
  <conditionalFormatting sqref="C99:C154">
    <cfRule type="cellIs" dxfId="2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 codeName="Sheet58"/>
  <dimension ref="A1:P162"/>
  <sheetViews>
    <sheetView view="pageBreakPreview" zoomScale="80" zoomScaleNormal="100" zoomScaleSheetLayoutView="80" workbookViewId="0">
      <selection activeCell="C25" sqref="C25"/>
    </sheetView>
  </sheetViews>
  <sheetFormatPr defaultRowHeight="12.75" customHeight="1"/>
  <cols>
    <col min="1" max="1" width="4.7109375" customWidth="1"/>
    <col min="2" max="2" width="6.7109375" customWidth="1"/>
    <col min="3" max="3" width="23.28515625" customWidth="1"/>
    <col min="4" max="8" width="17.7109375" customWidth="1"/>
    <col min="9" max="9" width="20.42578125" customWidth="1"/>
    <col min="10" max="10" width="16.42578125" customWidth="1"/>
    <col min="11" max="11" width="17.7109375" customWidth="1"/>
    <col min="12" max="12" width="16.140625" customWidth="1"/>
    <col min="13" max="13" width="17.7109375" customWidth="1"/>
    <col min="14" max="14" width="16.7109375" customWidth="1"/>
    <col min="15" max="15" width="16.85546875" customWidth="1"/>
    <col min="16" max="16" width="24.42578125" customWidth="1"/>
    <col min="17" max="17" width="9.140625" customWidth="1"/>
    <col min="23" max="23" width="9.140625" customWidth="1"/>
  </cols>
  <sheetData>
    <row r="1" spans="1:16" ht="20.25">
      <c r="A1" s="118" t="s">
        <v>133</v>
      </c>
      <c r="B1" s="1"/>
      <c r="C1" s="10"/>
      <c r="D1" s="2"/>
      <c r="E1" s="1"/>
      <c r="F1" s="15"/>
      <c r="G1" s="1"/>
      <c r="H1" s="3"/>
      <c r="J1" s="7"/>
      <c r="K1" s="20"/>
      <c r="L1" s="20"/>
      <c r="M1" s="20"/>
      <c r="P1" s="124" t="str">
        <f ca="1">"SWEPCO Project "&amp;RIGHT(MID(CELL("filename",$A$1),FIND("]",CELL("filename",$A$1))+1,256),2)&amp;" of "&amp;COUNT('S.001:S.xyz - blank'!$P$3)-1</f>
        <v>SWEPCO Project nk of 75</v>
      </c>
    </row>
    <row r="2" spans="1:16" ht="18">
      <c r="B2" s="1"/>
      <c r="C2" s="1"/>
      <c r="D2" s="2"/>
      <c r="E2" s="1"/>
      <c r="F2" s="1"/>
      <c r="G2" s="1"/>
      <c r="H2" s="3"/>
      <c r="I2" s="1"/>
      <c r="J2" s="4"/>
      <c r="K2" s="1"/>
      <c r="L2" s="1"/>
      <c r="M2" s="1"/>
      <c r="N2" s="1"/>
      <c r="P2" s="119" t="s">
        <v>129</v>
      </c>
    </row>
    <row r="3" spans="1:16" ht="18.75">
      <c r="B3" s="5" t="s">
        <v>44</v>
      </c>
      <c r="C3" s="14" t="s">
        <v>45</v>
      </c>
      <c r="D3" s="2"/>
      <c r="E3" s="1"/>
      <c r="F3" s="1"/>
      <c r="G3" s="1"/>
      <c r="H3" s="3"/>
      <c r="I3" s="3"/>
      <c r="J3" s="22"/>
      <c r="K3" s="3"/>
      <c r="L3" s="3"/>
      <c r="M3" s="3"/>
      <c r="N3" s="3"/>
      <c r="O3" s="1"/>
      <c r="P3" s="115">
        <v>1</v>
      </c>
    </row>
    <row r="4" spans="1:16" ht="15.75" thickBot="1">
      <c r="C4" s="13"/>
      <c r="D4" s="2"/>
      <c r="E4" s="1"/>
      <c r="F4" s="1"/>
      <c r="G4" s="1"/>
      <c r="H4" s="3"/>
      <c r="I4" s="3"/>
      <c r="J4" s="22"/>
      <c r="K4" s="3"/>
      <c r="L4" s="3"/>
      <c r="M4" s="3"/>
      <c r="N4" s="3"/>
      <c r="O4" s="1"/>
      <c r="P4" s="1"/>
    </row>
    <row r="5" spans="1:16" ht="15">
      <c r="C5" s="23" t="s">
        <v>46</v>
      </c>
      <c r="D5" s="2"/>
      <c r="E5" s="1"/>
      <c r="F5" s="1"/>
      <c r="G5" s="24"/>
      <c r="H5" s="1" t="s">
        <v>47</v>
      </c>
      <c r="I5" s="1"/>
      <c r="J5" s="4"/>
      <c r="K5" s="143" t="s">
        <v>157</v>
      </c>
      <c r="L5" s="25"/>
      <c r="M5" s="26"/>
      <c r="N5" s="27">
        <f>VLOOKUP(I10,C17:I72,5)</f>
        <v>0</v>
      </c>
      <c r="P5" s="1"/>
    </row>
    <row r="6" spans="1:16" ht="15.75">
      <c r="C6" s="8"/>
      <c r="D6" s="2"/>
      <c r="E6" s="1"/>
      <c r="F6" s="1"/>
      <c r="G6" s="1"/>
      <c r="H6" s="28"/>
      <c r="I6" s="28"/>
      <c r="J6" s="29"/>
      <c r="K6" s="144" t="s">
        <v>158</v>
      </c>
      <c r="L6" s="30"/>
      <c r="M6" s="4"/>
      <c r="N6" s="31">
        <f>VLOOKUP(I10,C17:I72,6)</f>
        <v>0</v>
      </c>
      <c r="O6" s="1"/>
      <c r="P6" s="1"/>
    </row>
    <row r="7" spans="1:16" ht="13.5" thickBot="1">
      <c r="C7" s="32" t="s">
        <v>48</v>
      </c>
      <c r="D7" s="108" t="s">
        <v>390</v>
      </c>
      <c r="E7" s="1"/>
      <c r="F7" s="1"/>
      <c r="G7" s="1"/>
      <c r="H7" s="3"/>
      <c r="I7" s="3"/>
      <c r="J7" s="22"/>
      <c r="K7" s="33" t="s">
        <v>49</v>
      </c>
      <c r="L7" s="34"/>
      <c r="M7" s="34"/>
      <c r="N7" s="35">
        <f>+N6-N5</f>
        <v>0</v>
      </c>
      <c r="O7" s="1"/>
      <c r="P7" s="1"/>
    </row>
    <row r="8" spans="1:16" ht="13.5" thickBot="1">
      <c r="C8" s="36"/>
      <c r="D8" s="153" t="str">
        <f>IF(D10&lt;100000,"DOES NOT MEET SPP $100,000 MINIMUM INVESTMENT FOR REGIONAL BPU SHARING.","")</f>
        <v>DOES NOT MEET SPP $100,000 MINIMUM INVESTMENT FOR REGIONAL BPU SHARING.</v>
      </c>
      <c r="E8" s="37"/>
      <c r="F8" s="37"/>
      <c r="G8" s="37"/>
      <c r="H8" s="37"/>
      <c r="I8" s="37"/>
      <c r="J8" s="16"/>
      <c r="K8" s="37"/>
      <c r="L8" s="37"/>
      <c r="M8" s="37"/>
      <c r="N8" s="37"/>
      <c r="O8" s="16"/>
      <c r="P8" s="10"/>
    </row>
    <row r="9" spans="1:16" ht="13.5" thickBot="1">
      <c r="C9" s="38" t="s">
        <v>50</v>
      </c>
      <c r="D9" s="110" t="s">
        <v>263</v>
      </c>
      <c r="E9" s="39"/>
      <c r="F9" s="39"/>
      <c r="G9" s="39"/>
      <c r="H9" s="39"/>
      <c r="I9" s="40"/>
      <c r="J9" s="41"/>
      <c r="O9" s="42"/>
      <c r="P9" s="4"/>
    </row>
    <row r="10" spans="1:16">
      <c r="C10" s="43" t="s">
        <v>51</v>
      </c>
      <c r="D10" s="44">
        <v>0</v>
      </c>
      <c r="E10" s="12" t="s">
        <v>52</v>
      </c>
      <c r="F10" s="42"/>
      <c r="G10" s="45"/>
      <c r="H10" s="45"/>
      <c r="I10" s="46">
        <f>+'SWE.WS.F.BPU.ATRR.Projected'!L19</f>
        <v>2024</v>
      </c>
      <c r="J10" s="41"/>
      <c r="K10" s="22" t="s">
        <v>53</v>
      </c>
      <c r="O10" s="4"/>
      <c r="P10" s="4"/>
    </row>
    <row r="11" spans="1:16">
      <c r="C11" s="47" t="s">
        <v>54</v>
      </c>
      <c r="D11" s="48">
        <v>2016</v>
      </c>
      <c r="E11" s="47" t="s">
        <v>55</v>
      </c>
      <c r="F11" s="45"/>
      <c r="G11" s="7"/>
      <c r="H11" s="7"/>
      <c r="I11" s="49">
        <f>IF(G5="",0,'SWE.WS.F.BPU.ATRR.Projected'!F$13)</f>
        <v>0</v>
      </c>
      <c r="J11" s="50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4"/>
      <c r="P11" s="4"/>
    </row>
    <row r="12" spans="1:16">
      <c r="C12" s="47" t="s">
        <v>56</v>
      </c>
      <c r="D12" s="44">
        <v>4</v>
      </c>
      <c r="E12" s="47" t="s">
        <v>57</v>
      </c>
      <c r="F12" s="45"/>
      <c r="G12" s="7"/>
      <c r="H12" s="7"/>
      <c r="I12" s="51">
        <f>'SWE.WS.F.BPU.ATRR.Projected'!$F$81</f>
        <v>0.11952713165403545</v>
      </c>
      <c r="J12" s="52"/>
      <c r="K12" t="s">
        <v>58</v>
      </c>
      <c r="O12" s="4"/>
      <c r="P12" s="4"/>
    </row>
    <row r="13" spans="1:16">
      <c r="C13" s="47" t="s">
        <v>59</v>
      </c>
      <c r="D13" s="49">
        <f>+'SWE.WS.F.BPU.ATRR.Projected'!F$93</f>
        <v>44</v>
      </c>
      <c r="E13" s="47" t="s">
        <v>60</v>
      </c>
      <c r="F13" s="45"/>
      <c r="G13" s="7"/>
      <c r="H13" s="7"/>
      <c r="I13" s="51">
        <f>IF(G5="",I12,'SWE.WS.F.BPU.ATRR.Projected'!$F$80)</f>
        <v>0.11952713165403545</v>
      </c>
      <c r="J13" s="52"/>
      <c r="K13" s="22" t="s">
        <v>61</v>
      </c>
      <c r="L13" s="11"/>
      <c r="M13" s="11"/>
      <c r="N13" s="11"/>
      <c r="O13" s="4"/>
      <c r="P13" s="4"/>
    </row>
    <row r="14" spans="1:16" ht="13.5" thickBot="1">
      <c r="C14" s="47" t="s">
        <v>62</v>
      </c>
      <c r="D14" s="48" t="s">
        <v>63</v>
      </c>
      <c r="E14" s="4" t="s">
        <v>64</v>
      </c>
      <c r="F14" s="45"/>
      <c r="G14" s="7"/>
      <c r="H14" s="7"/>
      <c r="I14" s="53">
        <f>IF(D10=0,0,D10/D13)</f>
        <v>0</v>
      </c>
      <c r="J14" s="22"/>
      <c r="K14" s="22"/>
      <c r="L14" s="22"/>
      <c r="M14" s="22"/>
      <c r="N14" s="22"/>
      <c r="O14" s="4"/>
      <c r="P14" s="4"/>
    </row>
    <row r="15" spans="1:16" ht="38.25">
      <c r="C15" s="54" t="s">
        <v>51</v>
      </c>
      <c r="D15" s="55" t="s">
        <v>65</v>
      </c>
      <c r="E15" s="55" t="s">
        <v>66</v>
      </c>
      <c r="F15" s="55" t="s">
        <v>67</v>
      </c>
      <c r="G15" s="180" t="s">
        <v>388</v>
      </c>
      <c r="H15" s="181" t="s">
        <v>389</v>
      </c>
      <c r="I15" s="54" t="s">
        <v>68</v>
      </c>
      <c r="J15" s="56"/>
      <c r="K15" s="146" t="s">
        <v>227</v>
      </c>
      <c r="L15" s="57" t="s">
        <v>69</v>
      </c>
      <c r="M15" s="146" t="s">
        <v>227</v>
      </c>
      <c r="N15" s="57" t="s">
        <v>69</v>
      </c>
      <c r="O15" s="57" t="s">
        <v>70</v>
      </c>
      <c r="P15" s="4"/>
    </row>
    <row r="16" spans="1:16" ht="13.5" thickBot="1">
      <c r="C16" s="58" t="s">
        <v>71</v>
      </c>
      <c r="D16" s="58" t="s">
        <v>72</v>
      </c>
      <c r="E16" s="58" t="s">
        <v>73</v>
      </c>
      <c r="F16" s="58" t="s">
        <v>72</v>
      </c>
      <c r="G16" s="130" t="s">
        <v>74</v>
      </c>
      <c r="H16" s="59" t="s">
        <v>75</v>
      </c>
      <c r="I16" s="60" t="s">
        <v>94</v>
      </c>
      <c r="J16" s="61" t="s">
        <v>76</v>
      </c>
      <c r="K16" s="62" t="s">
        <v>77</v>
      </c>
      <c r="L16" s="62" t="s">
        <v>77</v>
      </c>
      <c r="M16" s="62" t="s">
        <v>95</v>
      </c>
      <c r="N16" s="63" t="s">
        <v>95</v>
      </c>
      <c r="O16" s="62" t="s">
        <v>95</v>
      </c>
      <c r="P16" s="4"/>
    </row>
    <row r="17" spans="2:16">
      <c r="C17" s="64">
        <f>IF(D11= "","-",D11)</f>
        <v>2016</v>
      </c>
      <c r="D17" s="65">
        <v>0</v>
      </c>
      <c r="E17" s="182">
        <f>IF(D10&gt;=100000,I$14/12*(12-D12),0)</f>
        <v>0</v>
      </c>
      <c r="F17" s="70">
        <f>IF(D11=C17,+D10-E17,+D17-E17)</f>
        <v>0</v>
      </c>
      <c r="G17" s="66">
        <f t="shared" ref="G17:G48" si="0">+I$12*((D17+F17)/2)+E17</f>
        <v>0</v>
      </c>
      <c r="H17" s="53">
        <f t="shared" ref="H17:H48" si="1">+I$13*((D17+F17)/2)+E17</f>
        <v>0</v>
      </c>
      <c r="I17" s="67">
        <f t="shared" ref="I17:I48" si="2">H17-G17</f>
        <v>0</v>
      </c>
      <c r="J17" s="67"/>
      <c r="K17" s="131"/>
      <c r="L17" s="68">
        <f t="shared" ref="L17:L48" si="3">IF(K17&lt;&gt;0,+G17-K17,0)</f>
        <v>0</v>
      </c>
      <c r="M17" s="131"/>
      <c r="N17" s="68">
        <f t="shared" ref="N17:N48" si="4">IF(M17&lt;&gt;0,+H17-M17,0)</f>
        <v>0</v>
      </c>
      <c r="O17" s="69">
        <f t="shared" ref="O17:O48" si="5">+N17-L17</f>
        <v>0</v>
      </c>
      <c r="P17" s="4"/>
    </row>
    <row r="18" spans="2:16">
      <c r="B18" s="9" t="str">
        <f>IF(D18=F17,"","IU")</f>
        <v/>
      </c>
      <c r="C18" s="64">
        <f>IF(D11="","-",+C17+1)</f>
        <v>2017</v>
      </c>
      <c r="D18" s="70">
        <f>IF(F17+SUM(E$17:E17)=D$10,F17,D$10-SUM(E$17:E17))</f>
        <v>0</v>
      </c>
      <c r="E18" s="71">
        <f>IF(+I14&lt;F17,I14,D18)</f>
        <v>0</v>
      </c>
      <c r="F18" s="70">
        <f t="shared" ref="F18:F48" si="6">+D18-E18</f>
        <v>0</v>
      </c>
      <c r="G18" s="72">
        <f t="shared" si="0"/>
        <v>0</v>
      </c>
      <c r="H18" s="53">
        <f t="shared" si="1"/>
        <v>0</v>
      </c>
      <c r="I18" s="67">
        <f t="shared" si="2"/>
        <v>0</v>
      </c>
      <c r="J18" s="67"/>
      <c r="K18" s="150"/>
      <c r="L18" s="69">
        <f t="shared" si="3"/>
        <v>0</v>
      </c>
      <c r="M18" s="150"/>
      <c r="N18" s="69">
        <f t="shared" si="4"/>
        <v>0</v>
      </c>
      <c r="O18" s="69">
        <f t="shared" si="5"/>
        <v>0</v>
      </c>
      <c r="P18" s="4"/>
    </row>
    <row r="19" spans="2:16">
      <c r="B19" s="9" t="str">
        <f>IF(D19=F18,"","IU")</f>
        <v/>
      </c>
      <c r="C19" s="64">
        <f>IF(D11="","-",+C18+1)</f>
        <v>2018</v>
      </c>
      <c r="D19" s="70">
        <f>IF(F18+SUM(E$17:E18)=D$10,F18,D$10-SUM(E$17:E18))</f>
        <v>0</v>
      </c>
      <c r="E19" s="71">
        <f>IF(+I14&lt;F18,I14,D19)</f>
        <v>0</v>
      </c>
      <c r="F19" s="70">
        <f t="shared" si="6"/>
        <v>0</v>
      </c>
      <c r="G19" s="72">
        <f t="shared" si="0"/>
        <v>0</v>
      </c>
      <c r="H19" s="53">
        <f t="shared" si="1"/>
        <v>0</v>
      </c>
      <c r="I19" s="67">
        <f t="shared" si="2"/>
        <v>0</v>
      </c>
      <c r="J19" s="67"/>
      <c r="K19" s="150"/>
      <c r="L19" s="69">
        <f t="shared" si="3"/>
        <v>0</v>
      </c>
      <c r="M19" s="150"/>
      <c r="N19" s="69">
        <f t="shared" si="4"/>
        <v>0</v>
      </c>
      <c r="O19" s="69">
        <f t="shared" si="5"/>
        <v>0</v>
      </c>
      <c r="P19" s="4"/>
    </row>
    <row r="20" spans="2:16">
      <c r="B20" s="9" t="str">
        <f t="shared" ref="B20:B72" si="7">IF(D20=F19,"","IU")</f>
        <v/>
      </c>
      <c r="C20" s="64">
        <f>IF(D11="","-",+C19+1)</f>
        <v>2019</v>
      </c>
      <c r="D20" s="70">
        <f>IF(F19+SUM(E$17:E19)=D$10,F19,D$10-SUM(E$17:E19))</f>
        <v>0</v>
      </c>
      <c r="E20" s="71">
        <f>IF(+I14&lt;F19,I14,D20)</f>
        <v>0</v>
      </c>
      <c r="F20" s="70">
        <f t="shared" si="6"/>
        <v>0</v>
      </c>
      <c r="G20" s="72">
        <f t="shared" si="0"/>
        <v>0</v>
      </c>
      <c r="H20" s="53">
        <f t="shared" si="1"/>
        <v>0</v>
      </c>
      <c r="I20" s="67">
        <f t="shared" si="2"/>
        <v>0</v>
      </c>
      <c r="J20" s="67"/>
      <c r="K20" s="150"/>
      <c r="L20" s="69">
        <f t="shared" si="3"/>
        <v>0</v>
      </c>
      <c r="M20" s="150"/>
      <c r="N20" s="69">
        <f t="shared" si="4"/>
        <v>0</v>
      </c>
      <c r="O20" s="69">
        <f t="shared" si="5"/>
        <v>0</v>
      </c>
      <c r="P20" s="4"/>
    </row>
    <row r="21" spans="2:16">
      <c r="B21" s="9" t="str">
        <f t="shared" si="7"/>
        <v/>
      </c>
      <c r="C21" s="64">
        <f>IF(D11="","-",+C20+1)</f>
        <v>2020</v>
      </c>
      <c r="D21" s="70">
        <f>IF(F20+SUM(E$17:E20)=D$10,F20,D$10-SUM(E$17:E20))</f>
        <v>0</v>
      </c>
      <c r="E21" s="71">
        <f>IF(+I14&lt;F20,I14,D21)</f>
        <v>0</v>
      </c>
      <c r="F21" s="70">
        <f t="shared" si="6"/>
        <v>0</v>
      </c>
      <c r="G21" s="72">
        <f t="shared" si="0"/>
        <v>0</v>
      </c>
      <c r="H21" s="53">
        <f t="shared" si="1"/>
        <v>0</v>
      </c>
      <c r="I21" s="67">
        <f t="shared" si="2"/>
        <v>0</v>
      </c>
      <c r="J21" s="67"/>
      <c r="K21" s="150"/>
      <c r="L21" s="69">
        <f t="shared" si="3"/>
        <v>0</v>
      </c>
      <c r="M21" s="150"/>
      <c r="N21" s="69">
        <f t="shared" si="4"/>
        <v>0</v>
      </c>
      <c r="O21" s="69">
        <f t="shared" si="5"/>
        <v>0</v>
      </c>
      <c r="P21" s="4"/>
    </row>
    <row r="22" spans="2:16">
      <c r="B22" s="9" t="str">
        <f t="shared" si="7"/>
        <v/>
      </c>
      <c r="C22" s="64">
        <f>IF(D11="","-",+C21+1)</f>
        <v>2021</v>
      </c>
      <c r="D22" s="70">
        <f>IF(F21+SUM(E$17:E21)=D$10,F21,D$10-SUM(E$17:E21))</f>
        <v>0</v>
      </c>
      <c r="E22" s="71">
        <f>IF(+I14&lt;F21,I14,D22)</f>
        <v>0</v>
      </c>
      <c r="F22" s="70">
        <f t="shared" si="6"/>
        <v>0</v>
      </c>
      <c r="G22" s="72">
        <f t="shared" si="0"/>
        <v>0</v>
      </c>
      <c r="H22" s="53">
        <f t="shared" si="1"/>
        <v>0</v>
      </c>
      <c r="I22" s="67">
        <f t="shared" si="2"/>
        <v>0</v>
      </c>
      <c r="J22" s="67"/>
      <c r="K22" s="150"/>
      <c r="L22" s="69">
        <f t="shared" si="3"/>
        <v>0</v>
      </c>
      <c r="M22" s="150"/>
      <c r="N22" s="69">
        <f t="shared" si="4"/>
        <v>0</v>
      </c>
      <c r="O22" s="69">
        <f t="shared" si="5"/>
        <v>0</v>
      </c>
      <c r="P22" s="4"/>
    </row>
    <row r="23" spans="2:16">
      <c r="B23" s="9" t="str">
        <f t="shared" si="7"/>
        <v/>
      </c>
      <c r="C23" s="64">
        <f>IF(D11="","-",+C22+1)</f>
        <v>2022</v>
      </c>
      <c r="D23" s="70">
        <f>IF(F22+SUM(E$17:E22)=D$10,F22,D$10-SUM(E$17:E22))</f>
        <v>0</v>
      </c>
      <c r="E23" s="71">
        <f>IF(+I14&lt;F22,I14,D23)</f>
        <v>0</v>
      </c>
      <c r="F23" s="70">
        <f t="shared" si="6"/>
        <v>0</v>
      </c>
      <c r="G23" s="72">
        <f t="shared" si="0"/>
        <v>0</v>
      </c>
      <c r="H23" s="53">
        <f t="shared" si="1"/>
        <v>0</v>
      </c>
      <c r="I23" s="67">
        <f t="shared" si="2"/>
        <v>0</v>
      </c>
      <c r="J23" s="67"/>
      <c r="K23" s="150"/>
      <c r="L23" s="69">
        <f t="shared" si="3"/>
        <v>0</v>
      </c>
      <c r="M23" s="150"/>
      <c r="N23" s="69">
        <f t="shared" si="4"/>
        <v>0</v>
      </c>
      <c r="O23" s="69">
        <f t="shared" si="5"/>
        <v>0</v>
      </c>
      <c r="P23" s="4"/>
    </row>
    <row r="24" spans="2:16">
      <c r="B24" s="9" t="str">
        <f t="shared" si="7"/>
        <v/>
      </c>
      <c r="C24" s="64">
        <f>IF(D11="","-",+C23+1)</f>
        <v>2023</v>
      </c>
      <c r="D24" s="70">
        <f>IF(F23+SUM(E$17:E23)=D$10,F23,D$10-SUM(E$17:E23))</f>
        <v>0</v>
      </c>
      <c r="E24" s="71">
        <f>IF(+I14&lt;F23,I14,D24)</f>
        <v>0</v>
      </c>
      <c r="F24" s="70">
        <f t="shared" si="6"/>
        <v>0</v>
      </c>
      <c r="G24" s="72">
        <f t="shared" si="0"/>
        <v>0</v>
      </c>
      <c r="H24" s="53">
        <f t="shared" si="1"/>
        <v>0</v>
      </c>
      <c r="I24" s="67">
        <f t="shared" si="2"/>
        <v>0</v>
      </c>
      <c r="J24" s="67"/>
      <c r="K24" s="150"/>
      <c r="L24" s="69">
        <f t="shared" si="3"/>
        <v>0</v>
      </c>
      <c r="M24" s="150"/>
      <c r="N24" s="69">
        <f t="shared" si="4"/>
        <v>0</v>
      </c>
      <c r="O24" s="69">
        <f t="shared" si="5"/>
        <v>0</v>
      </c>
      <c r="P24" s="4"/>
    </row>
    <row r="25" spans="2:16">
      <c r="B25" s="9" t="str">
        <f t="shared" si="7"/>
        <v/>
      </c>
      <c r="C25" s="674">
        <f>IF(D11="","-",+C24+1)</f>
        <v>2024</v>
      </c>
      <c r="D25" s="70">
        <f>IF(F24+SUM(E$17:E24)=D$10,F24,D$10-SUM(E$17:E24))</f>
        <v>0</v>
      </c>
      <c r="E25" s="71">
        <f>IF(+I14&lt;F24,I14,D25)</f>
        <v>0</v>
      </c>
      <c r="F25" s="70">
        <f t="shared" si="6"/>
        <v>0</v>
      </c>
      <c r="G25" s="72">
        <f t="shared" si="0"/>
        <v>0</v>
      </c>
      <c r="H25" s="53">
        <f t="shared" si="1"/>
        <v>0</v>
      </c>
      <c r="I25" s="67">
        <f t="shared" si="2"/>
        <v>0</v>
      </c>
      <c r="J25" s="67"/>
      <c r="K25" s="150"/>
      <c r="L25" s="69">
        <f t="shared" si="3"/>
        <v>0</v>
      </c>
      <c r="M25" s="150"/>
      <c r="N25" s="69">
        <f t="shared" si="4"/>
        <v>0</v>
      </c>
      <c r="O25" s="69">
        <f t="shared" si="5"/>
        <v>0</v>
      </c>
      <c r="P25" s="4"/>
    </row>
    <row r="26" spans="2:16">
      <c r="B26" s="9" t="str">
        <f t="shared" si="7"/>
        <v/>
      </c>
      <c r="C26" s="64">
        <f>IF(D11="","-",+C25+1)</f>
        <v>2025</v>
      </c>
      <c r="D26" s="70">
        <f>IF(F25+SUM(E$17:E25)=D$10,F25,D$10-SUM(E$17:E25))</f>
        <v>0</v>
      </c>
      <c r="E26" s="71">
        <f>IF(+I14&lt;F25,I14,D26)</f>
        <v>0</v>
      </c>
      <c r="F26" s="70">
        <f t="shared" si="6"/>
        <v>0</v>
      </c>
      <c r="G26" s="72">
        <f t="shared" si="0"/>
        <v>0</v>
      </c>
      <c r="H26" s="53">
        <f t="shared" si="1"/>
        <v>0</v>
      </c>
      <c r="I26" s="67">
        <f t="shared" si="2"/>
        <v>0</v>
      </c>
      <c r="J26" s="67"/>
      <c r="K26" s="150"/>
      <c r="L26" s="69">
        <f t="shared" si="3"/>
        <v>0</v>
      </c>
      <c r="M26" s="150"/>
      <c r="N26" s="69">
        <f t="shared" si="4"/>
        <v>0</v>
      </c>
      <c r="O26" s="69">
        <f t="shared" si="5"/>
        <v>0</v>
      </c>
      <c r="P26" s="4"/>
    </row>
    <row r="27" spans="2:16">
      <c r="B27" s="9" t="str">
        <f t="shared" si="7"/>
        <v/>
      </c>
      <c r="C27" s="64">
        <f>IF(D11="","-",+C26+1)</f>
        <v>2026</v>
      </c>
      <c r="D27" s="70">
        <f>IF(F26+SUM(E$17:E26)=D$10,F26,D$10-SUM(E$17:E26))</f>
        <v>0</v>
      </c>
      <c r="E27" s="71">
        <f>IF(+I14&lt;F26,I14,D27)</f>
        <v>0</v>
      </c>
      <c r="F27" s="70">
        <f t="shared" si="6"/>
        <v>0</v>
      </c>
      <c r="G27" s="72">
        <f t="shared" si="0"/>
        <v>0</v>
      </c>
      <c r="H27" s="53">
        <f t="shared" si="1"/>
        <v>0</v>
      </c>
      <c r="I27" s="67">
        <f t="shared" si="2"/>
        <v>0</v>
      </c>
      <c r="J27" s="67"/>
      <c r="K27" s="150"/>
      <c r="L27" s="69">
        <f t="shared" si="3"/>
        <v>0</v>
      </c>
      <c r="M27" s="150"/>
      <c r="N27" s="69">
        <f t="shared" si="4"/>
        <v>0</v>
      </c>
      <c r="O27" s="69">
        <f t="shared" si="5"/>
        <v>0</v>
      </c>
      <c r="P27" s="4"/>
    </row>
    <row r="28" spans="2:16">
      <c r="B28" s="9" t="str">
        <f t="shared" si="7"/>
        <v/>
      </c>
      <c r="C28" s="64">
        <f>IF(D11="","-",+C27+1)</f>
        <v>2027</v>
      </c>
      <c r="D28" s="70">
        <f>IF(F27+SUM(E$17:E27)=D$10,F27,D$10-SUM(E$17:E27))</f>
        <v>0</v>
      </c>
      <c r="E28" s="71">
        <f>IF(+I14&lt;F27,I14,D28)</f>
        <v>0</v>
      </c>
      <c r="F28" s="70">
        <f t="shared" si="6"/>
        <v>0</v>
      </c>
      <c r="G28" s="72">
        <f t="shared" si="0"/>
        <v>0</v>
      </c>
      <c r="H28" s="53">
        <f t="shared" si="1"/>
        <v>0</v>
      </c>
      <c r="I28" s="67">
        <f t="shared" si="2"/>
        <v>0</v>
      </c>
      <c r="J28" s="67"/>
      <c r="K28" s="150"/>
      <c r="L28" s="69">
        <f t="shared" si="3"/>
        <v>0</v>
      </c>
      <c r="M28" s="150"/>
      <c r="N28" s="69">
        <f t="shared" si="4"/>
        <v>0</v>
      </c>
      <c r="O28" s="69">
        <f t="shared" si="5"/>
        <v>0</v>
      </c>
      <c r="P28" s="4"/>
    </row>
    <row r="29" spans="2:16">
      <c r="B29" s="9" t="str">
        <f t="shared" si="7"/>
        <v/>
      </c>
      <c r="C29" s="64">
        <f>IF(D11="","-",+C28+1)</f>
        <v>2028</v>
      </c>
      <c r="D29" s="70">
        <f>IF(F28+SUM(E$17:E28)=D$10,F28,D$10-SUM(E$17:E28))</f>
        <v>0</v>
      </c>
      <c r="E29" s="71">
        <f>IF(+I14&lt;F28,I14,D29)</f>
        <v>0</v>
      </c>
      <c r="F29" s="70">
        <f t="shared" si="6"/>
        <v>0</v>
      </c>
      <c r="G29" s="72">
        <f t="shared" si="0"/>
        <v>0</v>
      </c>
      <c r="H29" s="53">
        <f t="shared" si="1"/>
        <v>0</v>
      </c>
      <c r="I29" s="67">
        <f t="shared" si="2"/>
        <v>0</v>
      </c>
      <c r="J29" s="67"/>
      <c r="K29" s="150"/>
      <c r="L29" s="69">
        <f t="shared" si="3"/>
        <v>0</v>
      </c>
      <c r="M29" s="150"/>
      <c r="N29" s="69">
        <f t="shared" si="4"/>
        <v>0</v>
      </c>
      <c r="O29" s="69">
        <f t="shared" si="5"/>
        <v>0</v>
      </c>
      <c r="P29" s="4"/>
    </row>
    <row r="30" spans="2:16">
      <c r="B30" s="9" t="str">
        <f t="shared" si="7"/>
        <v/>
      </c>
      <c r="C30" s="64">
        <f>IF(D11="","-",+C29+1)</f>
        <v>2029</v>
      </c>
      <c r="D30" s="70">
        <f>IF(F29+SUM(E$17:E29)=D$10,F29,D$10-SUM(E$17:E29))</f>
        <v>0</v>
      </c>
      <c r="E30" s="71">
        <f>IF(+I14&lt;F29,I14,D30)</f>
        <v>0</v>
      </c>
      <c r="F30" s="70">
        <f t="shared" si="6"/>
        <v>0</v>
      </c>
      <c r="G30" s="72">
        <f t="shared" si="0"/>
        <v>0</v>
      </c>
      <c r="H30" s="53">
        <f t="shared" si="1"/>
        <v>0</v>
      </c>
      <c r="I30" s="67">
        <f t="shared" si="2"/>
        <v>0</v>
      </c>
      <c r="J30" s="67"/>
      <c r="K30" s="150"/>
      <c r="L30" s="69">
        <f t="shared" si="3"/>
        <v>0</v>
      </c>
      <c r="M30" s="150"/>
      <c r="N30" s="69">
        <f t="shared" si="4"/>
        <v>0</v>
      </c>
      <c r="O30" s="69">
        <f t="shared" si="5"/>
        <v>0</v>
      </c>
      <c r="P30" s="4"/>
    </row>
    <row r="31" spans="2:16">
      <c r="B31" s="9" t="str">
        <f t="shared" si="7"/>
        <v/>
      </c>
      <c r="C31" s="64">
        <f>IF(D11="","-",+C30+1)</f>
        <v>2030</v>
      </c>
      <c r="D31" s="70">
        <f>IF(F30+SUM(E$17:E30)=D$10,F30,D$10-SUM(E$17:E30))</f>
        <v>0</v>
      </c>
      <c r="E31" s="71">
        <f>IF(+I14&lt;F30,I14,D31)</f>
        <v>0</v>
      </c>
      <c r="F31" s="70">
        <f t="shared" si="6"/>
        <v>0</v>
      </c>
      <c r="G31" s="72">
        <f t="shared" si="0"/>
        <v>0</v>
      </c>
      <c r="H31" s="53">
        <f t="shared" si="1"/>
        <v>0</v>
      </c>
      <c r="I31" s="67">
        <f t="shared" si="2"/>
        <v>0</v>
      </c>
      <c r="J31" s="67"/>
      <c r="K31" s="150"/>
      <c r="L31" s="69">
        <f t="shared" si="3"/>
        <v>0</v>
      </c>
      <c r="M31" s="150"/>
      <c r="N31" s="69">
        <f t="shared" si="4"/>
        <v>0</v>
      </c>
      <c r="O31" s="69">
        <f t="shared" si="5"/>
        <v>0</v>
      </c>
      <c r="P31" s="4"/>
    </row>
    <row r="32" spans="2:16">
      <c r="B32" s="9" t="str">
        <f t="shared" si="7"/>
        <v/>
      </c>
      <c r="C32" s="64">
        <f>IF(D11="","-",+C31+1)</f>
        <v>2031</v>
      </c>
      <c r="D32" s="70">
        <f>IF(F31+SUM(E$17:E31)=D$10,F31,D$10-SUM(E$17:E31))</f>
        <v>0</v>
      </c>
      <c r="E32" s="71">
        <f>IF(+I14&lt;F31,I14,D32)</f>
        <v>0</v>
      </c>
      <c r="F32" s="70">
        <f t="shared" si="6"/>
        <v>0</v>
      </c>
      <c r="G32" s="72">
        <f t="shared" si="0"/>
        <v>0</v>
      </c>
      <c r="H32" s="53">
        <f t="shared" si="1"/>
        <v>0</v>
      </c>
      <c r="I32" s="67">
        <f t="shared" si="2"/>
        <v>0</v>
      </c>
      <c r="J32" s="67"/>
      <c r="K32" s="150"/>
      <c r="L32" s="69">
        <f t="shared" si="3"/>
        <v>0</v>
      </c>
      <c r="M32" s="150"/>
      <c r="N32" s="69">
        <f t="shared" si="4"/>
        <v>0</v>
      </c>
      <c r="O32" s="69">
        <f t="shared" si="5"/>
        <v>0</v>
      </c>
      <c r="P32" s="4"/>
    </row>
    <row r="33" spans="2:16">
      <c r="B33" s="9" t="str">
        <f t="shared" si="7"/>
        <v/>
      </c>
      <c r="C33" s="64">
        <f>IF(D11="","-",+C32+1)</f>
        <v>2032</v>
      </c>
      <c r="D33" s="70">
        <f>IF(F32+SUM(E$17:E32)=D$10,F32,D$10-SUM(E$17:E32))</f>
        <v>0</v>
      </c>
      <c r="E33" s="71">
        <f>IF(+I14&lt;F32,I14,D33)</f>
        <v>0</v>
      </c>
      <c r="F33" s="70">
        <f t="shared" si="6"/>
        <v>0</v>
      </c>
      <c r="G33" s="72">
        <f t="shared" si="0"/>
        <v>0</v>
      </c>
      <c r="H33" s="53">
        <f t="shared" si="1"/>
        <v>0</v>
      </c>
      <c r="I33" s="67">
        <f t="shared" si="2"/>
        <v>0</v>
      </c>
      <c r="J33" s="67"/>
      <c r="K33" s="150"/>
      <c r="L33" s="69">
        <f t="shared" si="3"/>
        <v>0</v>
      </c>
      <c r="M33" s="150"/>
      <c r="N33" s="69">
        <f t="shared" si="4"/>
        <v>0</v>
      </c>
      <c r="O33" s="69">
        <f t="shared" si="5"/>
        <v>0</v>
      </c>
      <c r="P33" s="4"/>
    </row>
    <row r="34" spans="2:16">
      <c r="B34" s="9" t="str">
        <f t="shared" si="7"/>
        <v/>
      </c>
      <c r="C34" s="64">
        <f>IF(D11="","-",+C33+1)</f>
        <v>2033</v>
      </c>
      <c r="D34" s="70">
        <f>IF(F33+SUM(E$17:E33)=D$10,F33,D$10-SUM(E$17:E33))</f>
        <v>0</v>
      </c>
      <c r="E34" s="71">
        <f>IF(+I14&lt;F33,I14,D34)</f>
        <v>0</v>
      </c>
      <c r="F34" s="70">
        <f t="shared" si="6"/>
        <v>0</v>
      </c>
      <c r="G34" s="72">
        <f t="shared" si="0"/>
        <v>0</v>
      </c>
      <c r="H34" s="53">
        <f t="shared" si="1"/>
        <v>0</v>
      </c>
      <c r="I34" s="67">
        <f t="shared" si="2"/>
        <v>0</v>
      </c>
      <c r="J34" s="67"/>
      <c r="K34" s="150"/>
      <c r="L34" s="69">
        <f t="shared" si="3"/>
        <v>0</v>
      </c>
      <c r="M34" s="150"/>
      <c r="N34" s="69">
        <f t="shared" si="4"/>
        <v>0</v>
      </c>
      <c r="O34" s="69">
        <f t="shared" si="5"/>
        <v>0</v>
      </c>
      <c r="P34" s="4"/>
    </row>
    <row r="35" spans="2:16">
      <c r="B35" s="9" t="str">
        <f t="shared" si="7"/>
        <v/>
      </c>
      <c r="C35" s="64">
        <f>IF(D11="","-",+C34+1)</f>
        <v>2034</v>
      </c>
      <c r="D35" s="70">
        <f>IF(F34+SUM(E$17:E34)=D$10,F34,D$10-SUM(E$17:E34))</f>
        <v>0</v>
      </c>
      <c r="E35" s="71">
        <f>IF(+I14&lt;F34,I14,D35)</f>
        <v>0</v>
      </c>
      <c r="F35" s="70">
        <f t="shared" si="6"/>
        <v>0</v>
      </c>
      <c r="G35" s="72">
        <f t="shared" si="0"/>
        <v>0</v>
      </c>
      <c r="H35" s="53">
        <f t="shared" si="1"/>
        <v>0</v>
      </c>
      <c r="I35" s="67">
        <f t="shared" si="2"/>
        <v>0</v>
      </c>
      <c r="J35" s="67"/>
      <c r="K35" s="150"/>
      <c r="L35" s="69">
        <f t="shared" si="3"/>
        <v>0</v>
      </c>
      <c r="M35" s="150"/>
      <c r="N35" s="69">
        <f t="shared" si="4"/>
        <v>0</v>
      </c>
      <c r="O35" s="69">
        <f t="shared" si="5"/>
        <v>0</v>
      </c>
      <c r="P35" s="4"/>
    </row>
    <row r="36" spans="2:16">
      <c r="B36" s="9" t="str">
        <f t="shared" si="7"/>
        <v/>
      </c>
      <c r="C36" s="64">
        <f>IF(D11="","-",+C35+1)</f>
        <v>2035</v>
      </c>
      <c r="D36" s="70">
        <f>IF(F35+SUM(E$17:E35)=D$10,F35,D$10-SUM(E$17:E35))</f>
        <v>0</v>
      </c>
      <c r="E36" s="71">
        <f>IF(+I14&lt;F35,I14,D36)</f>
        <v>0</v>
      </c>
      <c r="F36" s="70">
        <f t="shared" si="6"/>
        <v>0</v>
      </c>
      <c r="G36" s="72">
        <f t="shared" si="0"/>
        <v>0</v>
      </c>
      <c r="H36" s="53">
        <f t="shared" si="1"/>
        <v>0</v>
      </c>
      <c r="I36" s="67">
        <f t="shared" si="2"/>
        <v>0</v>
      </c>
      <c r="J36" s="67"/>
      <c r="K36" s="150"/>
      <c r="L36" s="69">
        <f t="shared" si="3"/>
        <v>0</v>
      </c>
      <c r="M36" s="150"/>
      <c r="N36" s="69">
        <f t="shared" si="4"/>
        <v>0</v>
      </c>
      <c r="O36" s="69">
        <f t="shared" si="5"/>
        <v>0</v>
      </c>
      <c r="P36" s="4"/>
    </row>
    <row r="37" spans="2:16">
      <c r="B37" s="9" t="str">
        <f t="shared" si="7"/>
        <v/>
      </c>
      <c r="C37" s="64">
        <f>IF(D11="","-",+C36+1)</f>
        <v>2036</v>
      </c>
      <c r="D37" s="70">
        <f>IF(F36+SUM(E$17:E36)=D$10,F36,D$10-SUM(E$17:E36))</f>
        <v>0</v>
      </c>
      <c r="E37" s="71">
        <f>IF(+I14&lt;F36,I14,D37)</f>
        <v>0</v>
      </c>
      <c r="F37" s="70">
        <f t="shared" si="6"/>
        <v>0</v>
      </c>
      <c r="G37" s="72">
        <f t="shared" si="0"/>
        <v>0</v>
      </c>
      <c r="H37" s="53">
        <f t="shared" si="1"/>
        <v>0</v>
      </c>
      <c r="I37" s="67">
        <f t="shared" si="2"/>
        <v>0</v>
      </c>
      <c r="J37" s="67"/>
      <c r="K37" s="150"/>
      <c r="L37" s="69">
        <f t="shared" si="3"/>
        <v>0</v>
      </c>
      <c r="M37" s="150"/>
      <c r="N37" s="69">
        <f t="shared" si="4"/>
        <v>0</v>
      </c>
      <c r="O37" s="69">
        <f t="shared" si="5"/>
        <v>0</v>
      </c>
      <c r="P37" s="4"/>
    </row>
    <row r="38" spans="2:16">
      <c r="B38" s="9" t="str">
        <f t="shared" si="7"/>
        <v/>
      </c>
      <c r="C38" s="64">
        <f>IF(D11="","-",+C37+1)</f>
        <v>2037</v>
      </c>
      <c r="D38" s="70">
        <f>IF(F37+SUM(E$17:E37)=D$10,F37,D$10-SUM(E$17:E37))</f>
        <v>0</v>
      </c>
      <c r="E38" s="71">
        <f>IF(+I14&lt;F37,I14,D38)</f>
        <v>0</v>
      </c>
      <c r="F38" s="70">
        <f t="shared" si="6"/>
        <v>0</v>
      </c>
      <c r="G38" s="72">
        <f t="shared" si="0"/>
        <v>0</v>
      </c>
      <c r="H38" s="53">
        <f t="shared" si="1"/>
        <v>0</v>
      </c>
      <c r="I38" s="67">
        <f t="shared" si="2"/>
        <v>0</v>
      </c>
      <c r="J38" s="67"/>
      <c r="K38" s="150"/>
      <c r="L38" s="69">
        <f t="shared" si="3"/>
        <v>0</v>
      </c>
      <c r="M38" s="150"/>
      <c r="N38" s="69">
        <f t="shared" si="4"/>
        <v>0</v>
      </c>
      <c r="O38" s="69">
        <f t="shared" si="5"/>
        <v>0</v>
      </c>
      <c r="P38" s="4"/>
    </row>
    <row r="39" spans="2:16">
      <c r="B39" s="9" t="str">
        <f t="shared" si="7"/>
        <v/>
      </c>
      <c r="C39" s="64">
        <f>IF(D11="","-",+C38+1)</f>
        <v>2038</v>
      </c>
      <c r="D39" s="70">
        <f>IF(F38+SUM(E$17:E38)=D$10,F38,D$10-SUM(E$17:E38))</f>
        <v>0</v>
      </c>
      <c r="E39" s="71">
        <f>IF(+I14&lt;F38,I14,D39)</f>
        <v>0</v>
      </c>
      <c r="F39" s="70">
        <f t="shared" si="6"/>
        <v>0</v>
      </c>
      <c r="G39" s="72">
        <f t="shared" si="0"/>
        <v>0</v>
      </c>
      <c r="H39" s="53">
        <f t="shared" si="1"/>
        <v>0</v>
      </c>
      <c r="I39" s="67">
        <f t="shared" si="2"/>
        <v>0</v>
      </c>
      <c r="J39" s="67"/>
      <c r="K39" s="150"/>
      <c r="L39" s="69">
        <f t="shared" si="3"/>
        <v>0</v>
      </c>
      <c r="M39" s="150"/>
      <c r="N39" s="69">
        <f t="shared" si="4"/>
        <v>0</v>
      </c>
      <c r="O39" s="69">
        <f t="shared" si="5"/>
        <v>0</v>
      </c>
      <c r="P39" s="4"/>
    </row>
    <row r="40" spans="2:16">
      <c r="B40" s="9" t="str">
        <f t="shared" si="7"/>
        <v/>
      </c>
      <c r="C40" s="64">
        <f>IF(D11="","-",+C39+1)</f>
        <v>2039</v>
      </c>
      <c r="D40" s="70">
        <f>IF(F39+SUM(E$17:E39)=D$10,F39,D$10-SUM(E$17:E39))</f>
        <v>0</v>
      </c>
      <c r="E40" s="71">
        <f>IF(+I14&lt;F39,I14,D40)</f>
        <v>0</v>
      </c>
      <c r="F40" s="70">
        <f t="shared" si="6"/>
        <v>0</v>
      </c>
      <c r="G40" s="72">
        <f t="shared" si="0"/>
        <v>0</v>
      </c>
      <c r="H40" s="53">
        <f t="shared" si="1"/>
        <v>0</v>
      </c>
      <c r="I40" s="67">
        <f t="shared" si="2"/>
        <v>0</v>
      </c>
      <c r="J40" s="67"/>
      <c r="K40" s="150"/>
      <c r="L40" s="69">
        <f t="shared" si="3"/>
        <v>0</v>
      </c>
      <c r="M40" s="150"/>
      <c r="N40" s="69">
        <f t="shared" si="4"/>
        <v>0</v>
      </c>
      <c r="O40" s="69">
        <f t="shared" si="5"/>
        <v>0</v>
      </c>
      <c r="P40" s="4"/>
    </row>
    <row r="41" spans="2:16">
      <c r="B41" s="9" t="str">
        <f t="shared" si="7"/>
        <v/>
      </c>
      <c r="C41" s="64">
        <f>IF(D11="","-",+C40+1)</f>
        <v>2040</v>
      </c>
      <c r="D41" s="70">
        <f>IF(F40+SUM(E$17:E40)=D$10,F40,D$10-SUM(E$17:E40))</f>
        <v>0</v>
      </c>
      <c r="E41" s="71">
        <f>IF(+I14&lt;F40,I14,D41)</f>
        <v>0</v>
      </c>
      <c r="F41" s="70">
        <f t="shared" si="6"/>
        <v>0</v>
      </c>
      <c r="G41" s="72">
        <f t="shared" si="0"/>
        <v>0</v>
      </c>
      <c r="H41" s="53">
        <f t="shared" si="1"/>
        <v>0</v>
      </c>
      <c r="I41" s="67">
        <f t="shared" si="2"/>
        <v>0</v>
      </c>
      <c r="J41" s="67"/>
      <c r="K41" s="150"/>
      <c r="L41" s="69">
        <f t="shared" si="3"/>
        <v>0</v>
      </c>
      <c r="M41" s="150"/>
      <c r="N41" s="69">
        <f t="shared" si="4"/>
        <v>0</v>
      </c>
      <c r="O41" s="69">
        <f t="shared" si="5"/>
        <v>0</v>
      </c>
      <c r="P41" s="4"/>
    </row>
    <row r="42" spans="2:16">
      <c r="B42" s="9" t="str">
        <f t="shared" si="7"/>
        <v/>
      </c>
      <c r="C42" s="64">
        <f>IF(D11="","-",+C41+1)</f>
        <v>2041</v>
      </c>
      <c r="D42" s="70">
        <f>IF(F41+SUM(E$17:E41)=D$10,F41,D$10-SUM(E$17:E41))</f>
        <v>0</v>
      </c>
      <c r="E42" s="71">
        <f>IF(+I14&lt;F41,I14,D42)</f>
        <v>0</v>
      </c>
      <c r="F42" s="70">
        <f t="shared" si="6"/>
        <v>0</v>
      </c>
      <c r="G42" s="72">
        <f t="shared" si="0"/>
        <v>0</v>
      </c>
      <c r="H42" s="53">
        <f t="shared" si="1"/>
        <v>0</v>
      </c>
      <c r="I42" s="67">
        <f t="shared" si="2"/>
        <v>0</v>
      </c>
      <c r="J42" s="67"/>
      <c r="K42" s="150"/>
      <c r="L42" s="69">
        <f t="shared" si="3"/>
        <v>0</v>
      </c>
      <c r="M42" s="150"/>
      <c r="N42" s="69">
        <f t="shared" si="4"/>
        <v>0</v>
      </c>
      <c r="O42" s="69">
        <f t="shared" si="5"/>
        <v>0</v>
      </c>
      <c r="P42" s="4"/>
    </row>
    <row r="43" spans="2:16">
      <c r="B43" s="9" t="str">
        <f t="shared" si="7"/>
        <v/>
      </c>
      <c r="C43" s="64">
        <f>IF(D11="","-",+C42+1)</f>
        <v>2042</v>
      </c>
      <c r="D43" s="70">
        <f>IF(F42+SUM(E$17:E42)=D$10,F42,D$10-SUM(E$17:E42))</f>
        <v>0</v>
      </c>
      <c r="E43" s="71">
        <f>IF(+I14&lt;F42,I14,D43)</f>
        <v>0</v>
      </c>
      <c r="F43" s="70">
        <f t="shared" si="6"/>
        <v>0</v>
      </c>
      <c r="G43" s="72">
        <f t="shared" si="0"/>
        <v>0</v>
      </c>
      <c r="H43" s="53">
        <f t="shared" si="1"/>
        <v>0</v>
      </c>
      <c r="I43" s="67">
        <f t="shared" si="2"/>
        <v>0</v>
      </c>
      <c r="J43" s="67"/>
      <c r="K43" s="150"/>
      <c r="L43" s="69">
        <f t="shared" si="3"/>
        <v>0</v>
      </c>
      <c r="M43" s="150"/>
      <c r="N43" s="69">
        <f t="shared" si="4"/>
        <v>0</v>
      </c>
      <c r="O43" s="69">
        <f t="shared" si="5"/>
        <v>0</v>
      </c>
      <c r="P43" s="4"/>
    </row>
    <row r="44" spans="2:16">
      <c r="B44" s="9" t="str">
        <f t="shared" si="7"/>
        <v/>
      </c>
      <c r="C44" s="64">
        <f>IF(D11="","-",+C43+1)</f>
        <v>2043</v>
      </c>
      <c r="D44" s="70">
        <f>IF(F43+SUM(E$17:E43)=D$10,F43,D$10-SUM(E$17:E43))</f>
        <v>0</v>
      </c>
      <c r="E44" s="71">
        <f>IF(+I14&lt;F43,I14,D44)</f>
        <v>0</v>
      </c>
      <c r="F44" s="70">
        <f t="shared" si="6"/>
        <v>0</v>
      </c>
      <c r="G44" s="72">
        <f t="shared" si="0"/>
        <v>0</v>
      </c>
      <c r="H44" s="53">
        <f t="shared" si="1"/>
        <v>0</v>
      </c>
      <c r="I44" s="67">
        <f t="shared" si="2"/>
        <v>0</v>
      </c>
      <c r="J44" s="67"/>
      <c r="K44" s="150"/>
      <c r="L44" s="69">
        <f t="shared" si="3"/>
        <v>0</v>
      </c>
      <c r="M44" s="150"/>
      <c r="N44" s="69">
        <f t="shared" si="4"/>
        <v>0</v>
      </c>
      <c r="O44" s="69">
        <f t="shared" si="5"/>
        <v>0</v>
      </c>
      <c r="P44" s="4"/>
    </row>
    <row r="45" spans="2:16">
      <c r="B45" s="9" t="str">
        <f t="shared" si="7"/>
        <v/>
      </c>
      <c r="C45" s="64">
        <f>IF(D11="","-",+C44+1)</f>
        <v>2044</v>
      </c>
      <c r="D45" s="70">
        <f>IF(F44+SUM(E$17:E44)=D$10,F44,D$10-SUM(E$17:E44))</f>
        <v>0</v>
      </c>
      <c r="E45" s="71">
        <f>IF(+I14&lt;F44,I14,D45)</f>
        <v>0</v>
      </c>
      <c r="F45" s="70">
        <f t="shared" si="6"/>
        <v>0</v>
      </c>
      <c r="G45" s="72">
        <f t="shared" si="0"/>
        <v>0</v>
      </c>
      <c r="H45" s="53">
        <f t="shared" si="1"/>
        <v>0</v>
      </c>
      <c r="I45" s="67">
        <f t="shared" si="2"/>
        <v>0</v>
      </c>
      <c r="J45" s="67"/>
      <c r="K45" s="150"/>
      <c r="L45" s="69">
        <f t="shared" si="3"/>
        <v>0</v>
      </c>
      <c r="M45" s="150"/>
      <c r="N45" s="69">
        <f t="shared" si="4"/>
        <v>0</v>
      </c>
      <c r="O45" s="69">
        <f t="shared" si="5"/>
        <v>0</v>
      </c>
      <c r="P45" s="4"/>
    </row>
    <row r="46" spans="2:16">
      <c r="B46" s="9" t="str">
        <f t="shared" si="7"/>
        <v/>
      </c>
      <c r="C46" s="64">
        <f>IF(D11="","-",+C45+1)</f>
        <v>2045</v>
      </c>
      <c r="D46" s="70">
        <f>IF(F45+SUM(E$17:E45)=D$10,F45,D$10-SUM(E$17:E45))</f>
        <v>0</v>
      </c>
      <c r="E46" s="71">
        <f>IF(+I14&lt;F45,I14,D46)</f>
        <v>0</v>
      </c>
      <c r="F46" s="70">
        <f t="shared" si="6"/>
        <v>0</v>
      </c>
      <c r="G46" s="72">
        <f t="shared" si="0"/>
        <v>0</v>
      </c>
      <c r="H46" s="53">
        <f t="shared" si="1"/>
        <v>0</v>
      </c>
      <c r="I46" s="67">
        <f t="shared" si="2"/>
        <v>0</v>
      </c>
      <c r="J46" s="67"/>
      <c r="K46" s="150"/>
      <c r="L46" s="69">
        <f t="shared" si="3"/>
        <v>0</v>
      </c>
      <c r="M46" s="150"/>
      <c r="N46" s="69">
        <f t="shared" si="4"/>
        <v>0</v>
      </c>
      <c r="O46" s="69">
        <f t="shared" si="5"/>
        <v>0</v>
      </c>
      <c r="P46" s="4"/>
    </row>
    <row r="47" spans="2:16">
      <c r="B47" s="9" t="str">
        <f t="shared" si="7"/>
        <v/>
      </c>
      <c r="C47" s="64">
        <f>IF(D11="","-",+C46+1)</f>
        <v>2046</v>
      </c>
      <c r="D47" s="70">
        <f>IF(F46+SUM(E$17:E46)=D$10,F46,D$10-SUM(E$17:E46))</f>
        <v>0</v>
      </c>
      <c r="E47" s="71">
        <f>IF(+I14&lt;F46,I14,D47)</f>
        <v>0</v>
      </c>
      <c r="F47" s="70">
        <f t="shared" si="6"/>
        <v>0</v>
      </c>
      <c r="G47" s="72">
        <f t="shared" si="0"/>
        <v>0</v>
      </c>
      <c r="H47" s="53">
        <f t="shared" si="1"/>
        <v>0</v>
      </c>
      <c r="I47" s="67">
        <f t="shared" si="2"/>
        <v>0</v>
      </c>
      <c r="J47" s="67"/>
      <c r="K47" s="150"/>
      <c r="L47" s="69">
        <f t="shared" si="3"/>
        <v>0</v>
      </c>
      <c r="M47" s="150"/>
      <c r="N47" s="69">
        <f t="shared" si="4"/>
        <v>0</v>
      </c>
      <c r="O47" s="69">
        <f t="shared" si="5"/>
        <v>0</v>
      </c>
      <c r="P47" s="4"/>
    </row>
    <row r="48" spans="2:16">
      <c r="B48" s="9" t="str">
        <f t="shared" si="7"/>
        <v/>
      </c>
      <c r="C48" s="64">
        <f>IF(D11="","-",+C47+1)</f>
        <v>2047</v>
      </c>
      <c r="D48" s="70">
        <f>IF(F47+SUM(E$17:E47)=D$10,F47,D$10-SUM(E$17:E47))</f>
        <v>0</v>
      </c>
      <c r="E48" s="71">
        <f>IF(+I14&lt;F47,I14,D48)</f>
        <v>0</v>
      </c>
      <c r="F48" s="70">
        <f t="shared" si="6"/>
        <v>0</v>
      </c>
      <c r="G48" s="72">
        <f t="shared" si="0"/>
        <v>0</v>
      </c>
      <c r="H48" s="53">
        <f t="shared" si="1"/>
        <v>0</v>
      </c>
      <c r="I48" s="67">
        <f t="shared" si="2"/>
        <v>0</v>
      </c>
      <c r="J48" s="67"/>
      <c r="K48" s="150"/>
      <c r="L48" s="69">
        <f t="shared" si="3"/>
        <v>0</v>
      </c>
      <c r="M48" s="150"/>
      <c r="N48" s="69">
        <f t="shared" si="4"/>
        <v>0</v>
      </c>
      <c r="O48" s="69">
        <f t="shared" si="5"/>
        <v>0</v>
      </c>
      <c r="P48" s="4"/>
    </row>
    <row r="49" spans="2:16">
      <c r="B49" s="9" t="str">
        <f t="shared" si="7"/>
        <v/>
      </c>
      <c r="C49" s="64">
        <f>IF(D11="","-",+C48+1)</f>
        <v>2048</v>
      </c>
      <c r="D49" s="70">
        <f>IF(F48+SUM(E$17:E48)=D$10,F48,D$10-SUM(E$17:E48))</f>
        <v>0</v>
      </c>
      <c r="E49" s="71">
        <f>IF(+I14&lt;F48,I14,D49)</f>
        <v>0</v>
      </c>
      <c r="F49" s="70">
        <f t="shared" ref="F49:F72" si="8">+D49-E49</f>
        <v>0</v>
      </c>
      <c r="G49" s="72">
        <f t="shared" ref="G49:G72" si="9">+I$12*((D49+F49)/2)+E49</f>
        <v>0</v>
      </c>
      <c r="H49" s="53">
        <f t="shared" ref="H49:H72" si="10">+I$13*((D49+F49)/2)+E49</f>
        <v>0</v>
      </c>
      <c r="I49" s="67">
        <f t="shared" ref="I49:I72" si="11">H49-G49</f>
        <v>0</v>
      </c>
      <c r="J49" s="67"/>
      <c r="K49" s="150"/>
      <c r="L49" s="69">
        <f t="shared" ref="L49:L72" si="12">IF(K49&lt;&gt;0,+G49-K49,0)</f>
        <v>0</v>
      </c>
      <c r="M49" s="150"/>
      <c r="N49" s="69">
        <f t="shared" ref="N49:N72" si="13">IF(M49&lt;&gt;0,+H49-M49,0)</f>
        <v>0</v>
      </c>
      <c r="O49" s="69">
        <f t="shared" ref="O49:O72" si="14">+N49-L49</f>
        <v>0</v>
      </c>
      <c r="P49" s="4"/>
    </row>
    <row r="50" spans="2:16">
      <c r="B50" s="9" t="str">
        <f t="shared" si="7"/>
        <v/>
      </c>
      <c r="C50" s="64">
        <f>IF(D11="","-",+C49+1)</f>
        <v>2049</v>
      </c>
      <c r="D50" s="70">
        <f>IF(F49+SUM(E$17:E49)=D$10,F49,D$10-SUM(E$17:E49))</f>
        <v>0</v>
      </c>
      <c r="E50" s="71">
        <f>IF(+I14&lt;F49,I14,D50)</f>
        <v>0</v>
      </c>
      <c r="F50" s="70">
        <f t="shared" si="8"/>
        <v>0</v>
      </c>
      <c r="G50" s="72">
        <f t="shared" si="9"/>
        <v>0</v>
      </c>
      <c r="H50" s="53">
        <f t="shared" si="10"/>
        <v>0</v>
      </c>
      <c r="I50" s="67">
        <f t="shared" si="11"/>
        <v>0</v>
      </c>
      <c r="J50" s="67"/>
      <c r="K50" s="150"/>
      <c r="L50" s="69">
        <f t="shared" si="12"/>
        <v>0</v>
      </c>
      <c r="M50" s="150"/>
      <c r="N50" s="69">
        <f t="shared" si="13"/>
        <v>0</v>
      </c>
      <c r="O50" s="69">
        <f t="shared" si="14"/>
        <v>0</v>
      </c>
      <c r="P50" s="4"/>
    </row>
    <row r="51" spans="2:16">
      <c r="B51" s="9" t="str">
        <f t="shared" si="7"/>
        <v/>
      </c>
      <c r="C51" s="64">
        <f>IF(D11="","-",+C50+1)</f>
        <v>2050</v>
      </c>
      <c r="D51" s="70">
        <f>IF(F50+SUM(E$17:E50)=D$10,F50,D$10-SUM(E$17:E50))</f>
        <v>0</v>
      </c>
      <c r="E51" s="71">
        <f>IF(+I14&lt;F50,I14,D51)</f>
        <v>0</v>
      </c>
      <c r="F51" s="70">
        <f t="shared" si="8"/>
        <v>0</v>
      </c>
      <c r="G51" s="72">
        <f t="shared" si="9"/>
        <v>0</v>
      </c>
      <c r="H51" s="53">
        <f t="shared" si="10"/>
        <v>0</v>
      </c>
      <c r="I51" s="67">
        <f t="shared" si="11"/>
        <v>0</v>
      </c>
      <c r="J51" s="67"/>
      <c r="K51" s="150"/>
      <c r="L51" s="69">
        <f t="shared" si="12"/>
        <v>0</v>
      </c>
      <c r="M51" s="150"/>
      <c r="N51" s="69">
        <f t="shared" si="13"/>
        <v>0</v>
      </c>
      <c r="O51" s="69">
        <f t="shared" si="14"/>
        <v>0</v>
      </c>
      <c r="P51" s="4"/>
    </row>
    <row r="52" spans="2:16">
      <c r="B52" s="9" t="str">
        <f t="shared" si="7"/>
        <v/>
      </c>
      <c r="C52" s="64">
        <f>IF(D11="","-",+C51+1)</f>
        <v>2051</v>
      </c>
      <c r="D52" s="70">
        <f>IF(F51+SUM(E$17:E51)=D$10,F51,D$10-SUM(E$17:E51))</f>
        <v>0</v>
      </c>
      <c r="E52" s="71">
        <f>IF(+I14&lt;F51,I14,D52)</f>
        <v>0</v>
      </c>
      <c r="F52" s="70">
        <f t="shared" si="8"/>
        <v>0</v>
      </c>
      <c r="G52" s="72">
        <f t="shared" si="9"/>
        <v>0</v>
      </c>
      <c r="H52" s="53">
        <f t="shared" si="10"/>
        <v>0</v>
      </c>
      <c r="I52" s="67">
        <f t="shared" si="11"/>
        <v>0</v>
      </c>
      <c r="J52" s="67"/>
      <c r="K52" s="150"/>
      <c r="L52" s="69">
        <f t="shared" si="12"/>
        <v>0</v>
      </c>
      <c r="M52" s="150"/>
      <c r="N52" s="69">
        <f t="shared" si="13"/>
        <v>0</v>
      </c>
      <c r="O52" s="69">
        <f t="shared" si="14"/>
        <v>0</v>
      </c>
      <c r="P52" s="4"/>
    </row>
    <row r="53" spans="2:16">
      <c r="B53" s="9" t="str">
        <f t="shared" si="7"/>
        <v/>
      </c>
      <c r="C53" s="64">
        <f>IF(D11="","-",+C52+1)</f>
        <v>2052</v>
      </c>
      <c r="D53" s="70">
        <f>IF(F52+SUM(E$17:E52)=D$10,F52,D$10-SUM(E$17:E52))</f>
        <v>0</v>
      </c>
      <c r="E53" s="71">
        <f>IF(+I14&lt;F52,I14,D53)</f>
        <v>0</v>
      </c>
      <c r="F53" s="70">
        <f t="shared" si="8"/>
        <v>0</v>
      </c>
      <c r="G53" s="72">
        <f t="shared" si="9"/>
        <v>0</v>
      </c>
      <c r="H53" s="53">
        <f t="shared" si="10"/>
        <v>0</v>
      </c>
      <c r="I53" s="67">
        <f t="shared" si="11"/>
        <v>0</v>
      </c>
      <c r="J53" s="67"/>
      <c r="K53" s="150"/>
      <c r="L53" s="69">
        <f t="shared" si="12"/>
        <v>0</v>
      </c>
      <c r="M53" s="150"/>
      <c r="N53" s="69">
        <f t="shared" si="13"/>
        <v>0</v>
      </c>
      <c r="O53" s="69">
        <f t="shared" si="14"/>
        <v>0</v>
      </c>
      <c r="P53" s="4"/>
    </row>
    <row r="54" spans="2:16">
      <c r="B54" s="9" t="str">
        <f t="shared" si="7"/>
        <v/>
      </c>
      <c r="C54" s="64">
        <f>IF(D11="","-",+C53+1)</f>
        <v>2053</v>
      </c>
      <c r="D54" s="70">
        <f>IF(F53+SUM(E$17:E53)=D$10,F53,D$10-SUM(E$17:E53))</f>
        <v>0</v>
      </c>
      <c r="E54" s="71">
        <f>IF(+I14&lt;F53,I14,D54)</f>
        <v>0</v>
      </c>
      <c r="F54" s="70">
        <f t="shared" si="8"/>
        <v>0</v>
      </c>
      <c r="G54" s="72">
        <f t="shared" si="9"/>
        <v>0</v>
      </c>
      <c r="H54" s="53">
        <f t="shared" si="10"/>
        <v>0</v>
      </c>
      <c r="I54" s="67">
        <f t="shared" si="11"/>
        <v>0</v>
      </c>
      <c r="J54" s="67"/>
      <c r="K54" s="150"/>
      <c r="L54" s="69">
        <f t="shared" si="12"/>
        <v>0</v>
      </c>
      <c r="M54" s="150"/>
      <c r="N54" s="69">
        <f t="shared" si="13"/>
        <v>0</v>
      </c>
      <c r="O54" s="69">
        <f t="shared" si="14"/>
        <v>0</v>
      </c>
      <c r="P54" s="4"/>
    </row>
    <row r="55" spans="2:16">
      <c r="B55" s="9" t="str">
        <f t="shared" si="7"/>
        <v/>
      </c>
      <c r="C55" s="64">
        <f>IF(D11="","-",+C54+1)</f>
        <v>2054</v>
      </c>
      <c r="D55" s="70">
        <f>IF(F54+SUM(E$17:E54)=D$10,F54,D$10-SUM(E$17:E54))</f>
        <v>0</v>
      </c>
      <c r="E55" s="71">
        <f>IF(+I14&lt;F54,I14,D55)</f>
        <v>0</v>
      </c>
      <c r="F55" s="70">
        <f t="shared" si="8"/>
        <v>0</v>
      </c>
      <c r="G55" s="72">
        <f t="shared" si="9"/>
        <v>0</v>
      </c>
      <c r="H55" s="53">
        <f t="shared" si="10"/>
        <v>0</v>
      </c>
      <c r="I55" s="67">
        <f t="shared" si="11"/>
        <v>0</v>
      </c>
      <c r="J55" s="67"/>
      <c r="K55" s="150"/>
      <c r="L55" s="69">
        <f t="shared" si="12"/>
        <v>0</v>
      </c>
      <c r="M55" s="150"/>
      <c r="N55" s="69">
        <f t="shared" si="13"/>
        <v>0</v>
      </c>
      <c r="O55" s="69">
        <f t="shared" si="14"/>
        <v>0</v>
      </c>
      <c r="P55" s="4"/>
    </row>
    <row r="56" spans="2:16">
      <c r="B56" s="9" t="str">
        <f t="shared" si="7"/>
        <v/>
      </c>
      <c r="C56" s="64">
        <f>IF(D11="","-",+C55+1)</f>
        <v>2055</v>
      </c>
      <c r="D56" s="70">
        <f>IF(F55+SUM(E$17:E55)=D$10,F55,D$10-SUM(E$17:E55))</f>
        <v>0</v>
      </c>
      <c r="E56" s="71">
        <f>IF(+I14&lt;F55,I14,D56)</f>
        <v>0</v>
      </c>
      <c r="F56" s="70">
        <f t="shared" si="8"/>
        <v>0</v>
      </c>
      <c r="G56" s="72">
        <f t="shared" si="9"/>
        <v>0</v>
      </c>
      <c r="H56" s="53">
        <f t="shared" si="10"/>
        <v>0</v>
      </c>
      <c r="I56" s="67">
        <f t="shared" si="11"/>
        <v>0</v>
      </c>
      <c r="J56" s="67"/>
      <c r="K56" s="150"/>
      <c r="L56" s="69">
        <f t="shared" si="12"/>
        <v>0</v>
      </c>
      <c r="M56" s="150"/>
      <c r="N56" s="69">
        <f t="shared" si="13"/>
        <v>0</v>
      </c>
      <c r="O56" s="69">
        <f t="shared" si="14"/>
        <v>0</v>
      </c>
      <c r="P56" s="4"/>
    </row>
    <row r="57" spans="2:16">
      <c r="B57" s="9" t="str">
        <f t="shared" si="7"/>
        <v/>
      </c>
      <c r="C57" s="64">
        <f>IF(D11="","-",+C56+1)</f>
        <v>2056</v>
      </c>
      <c r="D57" s="70">
        <f>IF(F56+SUM(E$17:E56)=D$10,F56,D$10-SUM(E$17:E56))</f>
        <v>0</v>
      </c>
      <c r="E57" s="71">
        <f>IF(+I14&lt;F56,I14,D57)</f>
        <v>0</v>
      </c>
      <c r="F57" s="70">
        <f t="shared" si="8"/>
        <v>0</v>
      </c>
      <c r="G57" s="72">
        <f t="shared" si="9"/>
        <v>0</v>
      </c>
      <c r="H57" s="53">
        <f t="shared" si="10"/>
        <v>0</v>
      </c>
      <c r="I57" s="67">
        <f t="shared" si="11"/>
        <v>0</v>
      </c>
      <c r="J57" s="67"/>
      <c r="K57" s="150"/>
      <c r="L57" s="69">
        <f t="shared" si="12"/>
        <v>0</v>
      </c>
      <c r="M57" s="150"/>
      <c r="N57" s="69">
        <f t="shared" si="13"/>
        <v>0</v>
      </c>
      <c r="O57" s="69">
        <f t="shared" si="14"/>
        <v>0</v>
      </c>
      <c r="P57" s="4"/>
    </row>
    <row r="58" spans="2:16">
      <c r="B58" s="9" t="str">
        <f t="shared" si="7"/>
        <v/>
      </c>
      <c r="C58" s="64">
        <f>IF(D11="","-",+C57+1)</f>
        <v>2057</v>
      </c>
      <c r="D58" s="70">
        <f>IF(F57+SUM(E$17:E57)=D$10,F57,D$10-SUM(E$17:E57))</f>
        <v>0</v>
      </c>
      <c r="E58" s="71">
        <f>IF(+I14&lt;F57,I14,D58)</f>
        <v>0</v>
      </c>
      <c r="F58" s="70">
        <f t="shared" si="8"/>
        <v>0</v>
      </c>
      <c r="G58" s="72">
        <f t="shared" si="9"/>
        <v>0</v>
      </c>
      <c r="H58" s="53">
        <f t="shared" si="10"/>
        <v>0</v>
      </c>
      <c r="I58" s="67">
        <f t="shared" si="11"/>
        <v>0</v>
      </c>
      <c r="J58" s="67"/>
      <c r="K58" s="150"/>
      <c r="L58" s="69">
        <f t="shared" si="12"/>
        <v>0</v>
      </c>
      <c r="M58" s="150"/>
      <c r="N58" s="69">
        <f t="shared" si="13"/>
        <v>0</v>
      </c>
      <c r="O58" s="69">
        <f t="shared" si="14"/>
        <v>0</v>
      </c>
      <c r="P58" s="4"/>
    </row>
    <row r="59" spans="2:16">
      <c r="B59" s="9" t="str">
        <f t="shared" si="7"/>
        <v/>
      </c>
      <c r="C59" s="64">
        <f>IF(D11="","-",+C58+1)</f>
        <v>2058</v>
      </c>
      <c r="D59" s="70">
        <f>IF(F58+SUM(E$17:E58)=D$10,F58,D$10-SUM(E$17:E58))</f>
        <v>0</v>
      </c>
      <c r="E59" s="71">
        <f>IF(+I14&lt;F58,I14,D59)</f>
        <v>0</v>
      </c>
      <c r="F59" s="70">
        <f t="shared" si="8"/>
        <v>0</v>
      </c>
      <c r="G59" s="72">
        <f t="shared" si="9"/>
        <v>0</v>
      </c>
      <c r="H59" s="53">
        <f t="shared" si="10"/>
        <v>0</v>
      </c>
      <c r="I59" s="67">
        <f t="shared" si="11"/>
        <v>0</v>
      </c>
      <c r="J59" s="67"/>
      <c r="K59" s="150"/>
      <c r="L59" s="69">
        <f t="shared" si="12"/>
        <v>0</v>
      </c>
      <c r="M59" s="150"/>
      <c r="N59" s="69">
        <f t="shared" si="13"/>
        <v>0</v>
      </c>
      <c r="O59" s="69">
        <f t="shared" si="14"/>
        <v>0</v>
      </c>
      <c r="P59" s="4"/>
    </row>
    <row r="60" spans="2:16">
      <c r="B60" s="9" t="str">
        <f t="shared" si="7"/>
        <v/>
      </c>
      <c r="C60" s="64">
        <f>IF(D11="","-",+C59+1)</f>
        <v>2059</v>
      </c>
      <c r="D60" s="70">
        <f>IF(F59+SUM(E$17:E59)=D$10,F59,D$10-SUM(E$17:E59))</f>
        <v>0</v>
      </c>
      <c r="E60" s="71">
        <f>IF(+I14&lt;F59,I14,D60)</f>
        <v>0</v>
      </c>
      <c r="F60" s="70">
        <f t="shared" si="8"/>
        <v>0</v>
      </c>
      <c r="G60" s="72">
        <f t="shared" si="9"/>
        <v>0</v>
      </c>
      <c r="H60" s="53">
        <f t="shared" si="10"/>
        <v>0</v>
      </c>
      <c r="I60" s="67">
        <f t="shared" si="11"/>
        <v>0</v>
      </c>
      <c r="J60" s="67"/>
      <c r="K60" s="150"/>
      <c r="L60" s="69">
        <f t="shared" si="12"/>
        <v>0</v>
      </c>
      <c r="M60" s="150"/>
      <c r="N60" s="69">
        <f t="shared" si="13"/>
        <v>0</v>
      </c>
      <c r="O60" s="69">
        <f t="shared" si="14"/>
        <v>0</v>
      </c>
      <c r="P60" s="4"/>
    </row>
    <row r="61" spans="2:16">
      <c r="B61" s="9" t="str">
        <f t="shared" si="7"/>
        <v/>
      </c>
      <c r="C61" s="64">
        <f>IF(D11="","-",+C60+1)</f>
        <v>2060</v>
      </c>
      <c r="D61" s="70">
        <f>IF(F60+SUM(E$17:E60)=D$10,F60,D$10-SUM(E$17:E60))</f>
        <v>0</v>
      </c>
      <c r="E61" s="71">
        <f>IF(+I14&lt;F60,I14,D61)</f>
        <v>0</v>
      </c>
      <c r="F61" s="70">
        <f t="shared" si="8"/>
        <v>0</v>
      </c>
      <c r="G61" s="73">
        <f t="shared" si="9"/>
        <v>0</v>
      </c>
      <c r="H61" s="53">
        <f t="shared" si="10"/>
        <v>0</v>
      </c>
      <c r="I61" s="67">
        <f t="shared" si="11"/>
        <v>0</v>
      </c>
      <c r="J61" s="67"/>
      <c r="K61" s="150"/>
      <c r="L61" s="69">
        <f t="shared" si="12"/>
        <v>0</v>
      </c>
      <c r="M61" s="150"/>
      <c r="N61" s="69">
        <f t="shared" si="13"/>
        <v>0</v>
      </c>
      <c r="O61" s="69">
        <f t="shared" si="14"/>
        <v>0</v>
      </c>
      <c r="P61" s="4"/>
    </row>
    <row r="62" spans="2:16">
      <c r="B62" s="9" t="str">
        <f t="shared" si="7"/>
        <v/>
      </c>
      <c r="C62" s="64">
        <f>IF(D11="","-",+C61+1)</f>
        <v>2061</v>
      </c>
      <c r="D62" s="70">
        <f>IF(F61+SUM(E$17:E61)=D$10,F61,D$10-SUM(E$17:E61))</f>
        <v>0</v>
      </c>
      <c r="E62" s="71">
        <f>IF(+I14&lt;F61,I14,D62)</f>
        <v>0</v>
      </c>
      <c r="F62" s="70">
        <f t="shared" si="8"/>
        <v>0</v>
      </c>
      <c r="G62" s="73">
        <f t="shared" si="9"/>
        <v>0</v>
      </c>
      <c r="H62" s="53">
        <f t="shared" si="10"/>
        <v>0</v>
      </c>
      <c r="I62" s="67">
        <f t="shared" si="11"/>
        <v>0</v>
      </c>
      <c r="J62" s="67"/>
      <c r="K62" s="150"/>
      <c r="L62" s="69">
        <f t="shared" si="12"/>
        <v>0</v>
      </c>
      <c r="M62" s="150"/>
      <c r="N62" s="69">
        <f t="shared" si="13"/>
        <v>0</v>
      </c>
      <c r="O62" s="69">
        <f t="shared" si="14"/>
        <v>0</v>
      </c>
      <c r="P62" s="4"/>
    </row>
    <row r="63" spans="2:16">
      <c r="B63" s="9" t="str">
        <f t="shared" si="7"/>
        <v/>
      </c>
      <c r="C63" s="64">
        <f>IF(D11="","-",+C62+1)</f>
        <v>2062</v>
      </c>
      <c r="D63" s="70">
        <f>IF(F62+SUM(E$17:E62)=D$10,F62,D$10-SUM(E$17:E62))</f>
        <v>0</v>
      </c>
      <c r="E63" s="71">
        <f>IF(+I14&lt;F62,I14,D63)</f>
        <v>0</v>
      </c>
      <c r="F63" s="70">
        <f t="shared" si="8"/>
        <v>0</v>
      </c>
      <c r="G63" s="73">
        <f t="shared" si="9"/>
        <v>0</v>
      </c>
      <c r="H63" s="53">
        <f t="shared" si="10"/>
        <v>0</v>
      </c>
      <c r="I63" s="67">
        <f t="shared" si="11"/>
        <v>0</v>
      </c>
      <c r="J63" s="67"/>
      <c r="K63" s="150"/>
      <c r="L63" s="69">
        <f t="shared" si="12"/>
        <v>0</v>
      </c>
      <c r="M63" s="150"/>
      <c r="N63" s="69">
        <f t="shared" si="13"/>
        <v>0</v>
      </c>
      <c r="O63" s="69">
        <f t="shared" si="14"/>
        <v>0</v>
      </c>
      <c r="P63" s="4"/>
    </row>
    <row r="64" spans="2:16">
      <c r="B64" s="9" t="str">
        <f t="shared" si="7"/>
        <v/>
      </c>
      <c r="C64" s="64">
        <f>IF(D11="","-",+C63+1)</f>
        <v>2063</v>
      </c>
      <c r="D64" s="70">
        <f>IF(F63+SUM(E$17:E63)=D$10,F63,D$10-SUM(E$17:E63))</f>
        <v>0</v>
      </c>
      <c r="E64" s="71">
        <f>IF(+I14&lt;F63,I14,D64)</f>
        <v>0</v>
      </c>
      <c r="F64" s="70">
        <f t="shared" si="8"/>
        <v>0</v>
      </c>
      <c r="G64" s="73">
        <f t="shared" si="9"/>
        <v>0</v>
      </c>
      <c r="H64" s="53">
        <f t="shared" si="10"/>
        <v>0</v>
      </c>
      <c r="I64" s="67">
        <f t="shared" si="11"/>
        <v>0</v>
      </c>
      <c r="J64" s="67"/>
      <c r="K64" s="150"/>
      <c r="L64" s="69">
        <f t="shared" si="12"/>
        <v>0</v>
      </c>
      <c r="M64" s="150"/>
      <c r="N64" s="69">
        <f t="shared" si="13"/>
        <v>0</v>
      </c>
      <c r="O64" s="69">
        <f t="shared" si="14"/>
        <v>0</v>
      </c>
      <c r="P64" s="4"/>
    </row>
    <row r="65" spans="2:16">
      <c r="B65" s="9" t="str">
        <f t="shared" si="7"/>
        <v/>
      </c>
      <c r="C65" s="64">
        <f>IF(D11="","-",+C64+1)</f>
        <v>2064</v>
      </c>
      <c r="D65" s="70">
        <f>IF(F64+SUM(E$17:E64)=D$10,F64,D$10-SUM(E$17:E64))</f>
        <v>0</v>
      </c>
      <c r="E65" s="71">
        <f>IF(+I14&lt;F64,I14,D65)</f>
        <v>0</v>
      </c>
      <c r="F65" s="70">
        <f t="shared" si="8"/>
        <v>0</v>
      </c>
      <c r="G65" s="73">
        <f t="shared" si="9"/>
        <v>0</v>
      </c>
      <c r="H65" s="53">
        <f t="shared" si="10"/>
        <v>0</v>
      </c>
      <c r="I65" s="67">
        <f t="shared" si="11"/>
        <v>0</v>
      </c>
      <c r="J65" s="67"/>
      <c r="K65" s="150"/>
      <c r="L65" s="69">
        <f t="shared" si="12"/>
        <v>0</v>
      </c>
      <c r="M65" s="150"/>
      <c r="N65" s="69">
        <f t="shared" si="13"/>
        <v>0</v>
      </c>
      <c r="O65" s="69">
        <f t="shared" si="14"/>
        <v>0</v>
      </c>
      <c r="P65" s="4"/>
    </row>
    <row r="66" spans="2:16">
      <c r="B66" s="9" t="str">
        <f t="shared" si="7"/>
        <v/>
      </c>
      <c r="C66" s="64">
        <f>IF(D11="","-",+C65+1)</f>
        <v>2065</v>
      </c>
      <c r="D66" s="70">
        <f>IF(F65+SUM(E$17:E65)=D$10,F65,D$10-SUM(E$17:E65))</f>
        <v>0</v>
      </c>
      <c r="E66" s="71">
        <f>IF(+I14&lt;F65,I14,D66)</f>
        <v>0</v>
      </c>
      <c r="F66" s="70">
        <f t="shared" si="8"/>
        <v>0</v>
      </c>
      <c r="G66" s="73">
        <f t="shared" si="9"/>
        <v>0</v>
      </c>
      <c r="H66" s="53">
        <f t="shared" si="10"/>
        <v>0</v>
      </c>
      <c r="I66" s="67">
        <f t="shared" si="11"/>
        <v>0</v>
      </c>
      <c r="J66" s="67"/>
      <c r="K66" s="150"/>
      <c r="L66" s="69">
        <f t="shared" si="12"/>
        <v>0</v>
      </c>
      <c r="M66" s="150"/>
      <c r="N66" s="69">
        <f t="shared" si="13"/>
        <v>0</v>
      </c>
      <c r="O66" s="69">
        <f t="shared" si="14"/>
        <v>0</v>
      </c>
      <c r="P66" s="4"/>
    </row>
    <row r="67" spans="2:16">
      <c r="B67" s="9" t="str">
        <f t="shared" si="7"/>
        <v/>
      </c>
      <c r="C67" s="64">
        <f>IF(D11="","-",+C66+1)</f>
        <v>2066</v>
      </c>
      <c r="D67" s="70">
        <f>IF(F66+SUM(E$17:E66)=D$10,F66,D$10-SUM(E$17:E66))</f>
        <v>0</v>
      </c>
      <c r="E67" s="71">
        <f>IF(+I14&lt;F66,I14,D67)</f>
        <v>0</v>
      </c>
      <c r="F67" s="70">
        <f t="shared" si="8"/>
        <v>0</v>
      </c>
      <c r="G67" s="73">
        <f t="shared" si="9"/>
        <v>0</v>
      </c>
      <c r="H67" s="53">
        <f t="shared" si="10"/>
        <v>0</v>
      </c>
      <c r="I67" s="67">
        <f t="shared" si="11"/>
        <v>0</v>
      </c>
      <c r="J67" s="67"/>
      <c r="K67" s="150"/>
      <c r="L67" s="69">
        <f t="shared" si="12"/>
        <v>0</v>
      </c>
      <c r="M67" s="150"/>
      <c r="N67" s="69">
        <f t="shared" si="13"/>
        <v>0</v>
      </c>
      <c r="O67" s="69">
        <f t="shared" si="14"/>
        <v>0</v>
      </c>
      <c r="P67" s="4"/>
    </row>
    <row r="68" spans="2:16">
      <c r="B68" s="9" t="str">
        <f t="shared" si="7"/>
        <v/>
      </c>
      <c r="C68" s="64">
        <f>IF(D11="","-",+C67+1)</f>
        <v>2067</v>
      </c>
      <c r="D68" s="70">
        <f>IF(F67+SUM(E$17:E67)=D$10,F67,D$10-SUM(E$17:E67))</f>
        <v>0</v>
      </c>
      <c r="E68" s="71">
        <f>IF(+I14&lt;F67,I14,D68)</f>
        <v>0</v>
      </c>
      <c r="F68" s="70">
        <f t="shared" si="8"/>
        <v>0</v>
      </c>
      <c r="G68" s="73">
        <f t="shared" si="9"/>
        <v>0</v>
      </c>
      <c r="H68" s="53">
        <f t="shared" si="10"/>
        <v>0</v>
      </c>
      <c r="I68" s="67">
        <f t="shared" si="11"/>
        <v>0</v>
      </c>
      <c r="J68" s="67"/>
      <c r="K68" s="150"/>
      <c r="L68" s="69">
        <f t="shared" si="12"/>
        <v>0</v>
      </c>
      <c r="M68" s="150"/>
      <c r="N68" s="69">
        <f t="shared" si="13"/>
        <v>0</v>
      </c>
      <c r="O68" s="69">
        <f t="shared" si="14"/>
        <v>0</v>
      </c>
      <c r="P68" s="4"/>
    </row>
    <row r="69" spans="2:16">
      <c r="B69" s="9" t="str">
        <f t="shared" si="7"/>
        <v/>
      </c>
      <c r="C69" s="64">
        <f>IF(D11="","-",+C68+1)</f>
        <v>2068</v>
      </c>
      <c r="D69" s="70">
        <f>IF(F68+SUM(E$17:E68)=D$10,F68,D$10-SUM(E$17:E68))</f>
        <v>0</v>
      </c>
      <c r="E69" s="71">
        <f>IF(+I14&lt;F68,I14,D69)</f>
        <v>0</v>
      </c>
      <c r="F69" s="70">
        <f t="shared" si="8"/>
        <v>0</v>
      </c>
      <c r="G69" s="73">
        <f t="shared" si="9"/>
        <v>0</v>
      </c>
      <c r="H69" s="53">
        <f t="shared" si="10"/>
        <v>0</v>
      </c>
      <c r="I69" s="67">
        <f t="shared" si="11"/>
        <v>0</v>
      </c>
      <c r="J69" s="67"/>
      <c r="K69" s="150"/>
      <c r="L69" s="69">
        <f t="shared" si="12"/>
        <v>0</v>
      </c>
      <c r="M69" s="150"/>
      <c r="N69" s="69">
        <f t="shared" si="13"/>
        <v>0</v>
      </c>
      <c r="O69" s="69">
        <f t="shared" si="14"/>
        <v>0</v>
      </c>
      <c r="P69" s="4"/>
    </row>
    <row r="70" spans="2:16">
      <c r="B70" s="9" t="str">
        <f t="shared" si="7"/>
        <v/>
      </c>
      <c r="C70" s="64">
        <f>IF(D11="","-",+C69+1)</f>
        <v>2069</v>
      </c>
      <c r="D70" s="70">
        <f>IF(F69+SUM(E$17:E69)=D$10,F69,D$10-SUM(E$17:E69))</f>
        <v>0</v>
      </c>
      <c r="E70" s="71">
        <f>IF(+I14&lt;F69,I14,D70)</f>
        <v>0</v>
      </c>
      <c r="F70" s="70">
        <f t="shared" si="8"/>
        <v>0</v>
      </c>
      <c r="G70" s="73">
        <f t="shared" si="9"/>
        <v>0</v>
      </c>
      <c r="H70" s="53">
        <f t="shared" si="10"/>
        <v>0</v>
      </c>
      <c r="I70" s="67">
        <f t="shared" si="11"/>
        <v>0</v>
      </c>
      <c r="J70" s="67"/>
      <c r="K70" s="150"/>
      <c r="L70" s="69">
        <f t="shared" si="12"/>
        <v>0</v>
      </c>
      <c r="M70" s="150"/>
      <c r="N70" s="69">
        <f t="shared" si="13"/>
        <v>0</v>
      </c>
      <c r="O70" s="69">
        <f t="shared" si="14"/>
        <v>0</v>
      </c>
      <c r="P70" s="4"/>
    </row>
    <row r="71" spans="2:16">
      <c r="B71" s="9" t="str">
        <f t="shared" si="7"/>
        <v/>
      </c>
      <c r="C71" s="64">
        <f>IF(D11="","-",+C70+1)</f>
        <v>2070</v>
      </c>
      <c r="D71" s="70">
        <f>IF(F70+SUM(E$17:E70)=D$10,F70,D$10-SUM(E$17:E70))</f>
        <v>0</v>
      </c>
      <c r="E71" s="71">
        <f>IF(+I14&lt;F70,I14,D71)</f>
        <v>0</v>
      </c>
      <c r="F71" s="70">
        <f t="shared" si="8"/>
        <v>0</v>
      </c>
      <c r="G71" s="73">
        <f t="shared" si="9"/>
        <v>0</v>
      </c>
      <c r="H71" s="53">
        <f t="shared" si="10"/>
        <v>0</v>
      </c>
      <c r="I71" s="67">
        <f t="shared" si="11"/>
        <v>0</v>
      </c>
      <c r="J71" s="67"/>
      <c r="K71" s="150"/>
      <c r="L71" s="69">
        <f t="shared" si="12"/>
        <v>0</v>
      </c>
      <c r="M71" s="150"/>
      <c r="N71" s="69">
        <f t="shared" si="13"/>
        <v>0</v>
      </c>
      <c r="O71" s="69">
        <f t="shared" si="14"/>
        <v>0</v>
      </c>
      <c r="P71" s="4"/>
    </row>
    <row r="72" spans="2:16" ht="13.5" thickBot="1">
      <c r="B72" s="9" t="str">
        <f t="shared" si="7"/>
        <v/>
      </c>
      <c r="C72" s="74">
        <f>IF(D11="","-",+C71+1)</f>
        <v>2071</v>
      </c>
      <c r="D72" s="75">
        <f>IF(F71+SUM(E$17:E71)=D$10,F71,D$10-SUM(E$17:E71))</f>
        <v>0</v>
      </c>
      <c r="E72" s="76">
        <f>IF(+I14&lt;F71,I14,D72)</f>
        <v>0</v>
      </c>
      <c r="F72" s="75">
        <f t="shared" si="8"/>
        <v>0</v>
      </c>
      <c r="G72" s="77">
        <f t="shared" si="9"/>
        <v>0</v>
      </c>
      <c r="H72" s="35">
        <f t="shared" si="10"/>
        <v>0</v>
      </c>
      <c r="I72" s="78">
        <f t="shared" si="11"/>
        <v>0</v>
      </c>
      <c r="J72" s="67"/>
      <c r="K72" s="151"/>
      <c r="L72" s="79">
        <f t="shared" si="12"/>
        <v>0</v>
      </c>
      <c r="M72" s="151"/>
      <c r="N72" s="79">
        <f t="shared" si="13"/>
        <v>0</v>
      </c>
      <c r="O72" s="79">
        <f t="shared" si="14"/>
        <v>0</v>
      </c>
      <c r="P72" s="4"/>
    </row>
    <row r="73" spans="2:16">
      <c r="C73" s="65" t="s">
        <v>78</v>
      </c>
      <c r="D73" s="22"/>
      <c r="E73" s="22">
        <f>SUM(E17:E72)</f>
        <v>0</v>
      </c>
      <c r="F73" s="22"/>
      <c r="G73" s="22">
        <f>SUM(G17:G72)</f>
        <v>0</v>
      </c>
      <c r="H73" s="22">
        <f>SUM(H17:H72)</f>
        <v>0</v>
      </c>
      <c r="I73" s="22">
        <f>SUM(I17:I72)</f>
        <v>0</v>
      </c>
      <c r="J73" s="22"/>
      <c r="K73" s="22"/>
      <c r="L73" s="22"/>
      <c r="M73" s="22"/>
      <c r="N73" s="22"/>
      <c r="O73" s="4"/>
      <c r="P73" s="4"/>
    </row>
    <row r="74" spans="2:16">
      <c r="D74" s="2"/>
      <c r="E74" s="1"/>
      <c r="F74" s="1"/>
      <c r="G74" s="1"/>
      <c r="H74" s="3"/>
      <c r="I74" s="3"/>
      <c r="J74" s="22"/>
      <c r="K74" s="3"/>
      <c r="L74" s="3"/>
      <c r="M74" s="3"/>
      <c r="N74" s="3"/>
      <c r="O74" s="1"/>
      <c r="P74" s="1"/>
    </row>
    <row r="75" spans="2:16">
      <c r="C75" s="80" t="s">
        <v>96</v>
      </c>
      <c r="D75" s="2"/>
      <c r="E75" s="1"/>
      <c r="F75" s="1"/>
      <c r="G75" s="1"/>
      <c r="H75" s="3"/>
      <c r="I75" s="3"/>
      <c r="J75" s="22"/>
      <c r="K75" s="3"/>
      <c r="L75" s="3"/>
      <c r="M75" s="3"/>
      <c r="N75" s="3"/>
      <c r="O75" s="1"/>
      <c r="P75" s="1"/>
    </row>
    <row r="76" spans="2:16">
      <c r="C76" s="32" t="s">
        <v>79</v>
      </c>
      <c r="D76" s="2"/>
      <c r="E76" s="1"/>
      <c r="F76" s="1"/>
      <c r="G76" s="1"/>
      <c r="H76" s="3"/>
      <c r="I76" s="3"/>
      <c r="J76" s="22"/>
      <c r="K76" s="3"/>
      <c r="L76" s="3"/>
      <c r="M76" s="3"/>
      <c r="N76" s="3"/>
      <c r="O76" s="4"/>
      <c r="P76" s="4"/>
    </row>
    <row r="77" spans="2:16">
      <c r="C77" s="32" t="s">
        <v>80</v>
      </c>
      <c r="D77" s="65"/>
      <c r="E77" s="65"/>
      <c r="F77" s="65"/>
      <c r="G77" s="22"/>
      <c r="H77" s="22"/>
      <c r="I77" s="81"/>
      <c r="J77" s="81"/>
      <c r="K77" s="81"/>
      <c r="L77" s="81"/>
      <c r="M77" s="81"/>
      <c r="N77" s="81"/>
      <c r="O77" s="4"/>
      <c r="P77" s="4"/>
    </row>
    <row r="78" spans="2:16">
      <c r="C78" s="32"/>
      <c r="D78" s="65"/>
      <c r="E78" s="65"/>
      <c r="F78" s="65"/>
      <c r="G78" s="22"/>
      <c r="H78" s="22"/>
      <c r="I78" s="81"/>
      <c r="J78" s="81"/>
      <c r="K78" s="81"/>
      <c r="L78" s="81"/>
      <c r="M78" s="81"/>
      <c r="N78" s="81"/>
      <c r="O78" s="4"/>
      <c r="P78" s="1"/>
    </row>
    <row r="79" spans="2:16">
      <c r="B79" s="1"/>
      <c r="C79" s="10"/>
      <c r="D79" s="2"/>
      <c r="E79" s="1"/>
      <c r="F79" s="18"/>
      <c r="G79" s="1"/>
      <c r="H79" s="3"/>
      <c r="I79" s="1"/>
      <c r="J79" s="4"/>
      <c r="K79" s="1"/>
      <c r="L79" s="1"/>
      <c r="M79" s="1"/>
      <c r="N79" s="1"/>
      <c r="O79" s="1"/>
      <c r="P79" s="1"/>
    </row>
    <row r="80" spans="2:16" ht="18">
      <c r="B80" s="1"/>
      <c r="C80" s="117"/>
      <c r="D80" s="2"/>
      <c r="E80" s="1"/>
      <c r="F80" s="18"/>
      <c r="G80" s="1"/>
      <c r="H80" s="3"/>
      <c r="I80" s="1"/>
      <c r="J80" s="4"/>
      <c r="K80" s="1"/>
      <c r="L80" s="1"/>
      <c r="M80" s="1"/>
      <c r="N80" s="1"/>
      <c r="P80" s="119" t="s">
        <v>130</v>
      </c>
    </row>
    <row r="81" spans="1:16">
      <c r="B81" s="1"/>
      <c r="C81" s="10"/>
      <c r="D81" s="2"/>
      <c r="E81" s="1"/>
      <c r="F81" s="18"/>
      <c r="G81" s="1"/>
      <c r="H81" s="3"/>
      <c r="I81" s="1"/>
      <c r="J81" s="4"/>
      <c r="K81" s="1"/>
      <c r="L81" s="1"/>
      <c r="M81" s="1"/>
      <c r="N81" s="1"/>
      <c r="O81" s="1"/>
      <c r="P81" s="1"/>
    </row>
    <row r="82" spans="1:16">
      <c r="B82" s="1"/>
      <c r="C82" s="10"/>
      <c r="D82" s="2"/>
      <c r="E82" s="1"/>
      <c r="F82" s="18"/>
      <c r="G82" s="1"/>
      <c r="H82" s="3"/>
      <c r="I82" s="1"/>
      <c r="J82" s="4"/>
      <c r="K82" s="1"/>
      <c r="L82" s="1"/>
      <c r="M82" s="1"/>
      <c r="N82" s="1"/>
      <c r="O82" s="1"/>
      <c r="P82" s="1"/>
    </row>
    <row r="83" spans="1:16" ht="20.25">
      <c r="A83" s="118" t="s">
        <v>134</v>
      </c>
      <c r="B83" s="1"/>
      <c r="C83" s="10"/>
      <c r="D83" s="2"/>
      <c r="E83" s="1"/>
      <c r="F83" s="15"/>
      <c r="G83" s="15"/>
      <c r="H83" s="1"/>
      <c r="I83" s="3"/>
      <c r="K83" s="7"/>
      <c r="L83" s="20"/>
      <c r="M83" s="20"/>
      <c r="P83" s="20" t="str">
        <f ca="1">P1</f>
        <v>SWEPCO Project nk of 75</v>
      </c>
    </row>
    <row r="84" spans="1:16" ht="18">
      <c r="B84" s="1"/>
      <c r="C84" s="1"/>
      <c r="D84" s="2"/>
      <c r="E84" s="1"/>
      <c r="F84" s="1"/>
      <c r="G84" s="1"/>
      <c r="H84" s="1"/>
      <c r="I84" s="3"/>
      <c r="J84" s="1"/>
      <c r="K84" s="4"/>
      <c r="L84" s="1"/>
      <c r="M84" s="1"/>
      <c r="P84" s="119" t="s">
        <v>128</v>
      </c>
    </row>
    <row r="85" spans="1:16" ht="18.75" thickBot="1">
      <c r="B85" s="5" t="s">
        <v>44</v>
      </c>
      <c r="C85" s="84" t="s">
        <v>83</v>
      </c>
      <c r="D85" s="2"/>
      <c r="E85" s="1"/>
      <c r="F85" s="1"/>
      <c r="G85" s="1"/>
      <c r="H85" s="1"/>
      <c r="I85" s="3"/>
      <c r="J85" s="3"/>
      <c r="K85" s="22"/>
      <c r="L85" s="3"/>
      <c r="M85" s="3"/>
      <c r="N85" s="3"/>
      <c r="O85" s="22"/>
      <c r="P85" s="1"/>
    </row>
    <row r="86" spans="1:16" ht="15.75" thickBot="1">
      <c r="C86" s="13"/>
      <c r="D86" s="2"/>
      <c r="E86" s="1"/>
      <c r="F86" s="1"/>
      <c r="G86" s="1"/>
      <c r="H86" s="1"/>
      <c r="I86" s="3"/>
      <c r="J86" s="3"/>
      <c r="K86" s="22"/>
      <c r="L86" s="140">
        <f>+J92</f>
        <v>2022</v>
      </c>
      <c r="M86" s="141" t="s">
        <v>9</v>
      </c>
      <c r="N86" s="145" t="s">
        <v>159</v>
      </c>
      <c r="O86" s="142" t="s">
        <v>11</v>
      </c>
      <c r="P86" s="1"/>
    </row>
    <row r="87" spans="1:16" ht="15">
      <c r="C87" s="111" t="s">
        <v>46</v>
      </c>
      <c r="D87" s="2"/>
      <c r="E87" s="1"/>
      <c r="F87" s="1"/>
      <c r="G87" s="1"/>
      <c r="H87" s="24"/>
      <c r="I87" s="1" t="s">
        <v>47</v>
      </c>
      <c r="J87" s="1"/>
      <c r="K87" s="136"/>
      <c r="L87" s="134" t="s">
        <v>391</v>
      </c>
      <c r="M87" s="85">
        <f>IF(J92&lt;D11,0,VLOOKUP(J92,C17:O72,9))</f>
        <v>0</v>
      </c>
      <c r="N87" s="85">
        <f>IF(J92&lt;D11,0,VLOOKUP(J92,C17:O72,11))</f>
        <v>0</v>
      </c>
      <c r="O87" s="86">
        <f>+N87-M87</f>
        <v>0</v>
      </c>
      <c r="P87" s="1"/>
    </row>
    <row r="88" spans="1:16" ht="15.75">
      <c r="C88" s="8"/>
      <c r="D88" s="2"/>
      <c r="E88" s="1"/>
      <c r="F88" s="1"/>
      <c r="G88" s="1"/>
      <c r="H88" s="1"/>
      <c r="I88" s="28"/>
      <c r="J88" s="28"/>
      <c r="K88" s="138"/>
      <c r="L88" s="139" t="s">
        <v>392</v>
      </c>
      <c r="M88" s="87">
        <f>IF(J92&lt;D11,0,VLOOKUP(J92,C99:P154,6))</f>
        <v>0</v>
      </c>
      <c r="N88" s="87">
        <f>IF(J92&lt;D11,0,VLOOKUP(J92,C99:P154,7))</f>
        <v>0</v>
      </c>
      <c r="O88" s="88">
        <f>+N88-M88</f>
        <v>0</v>
      </c>
      <c r="P88" s="1"/>
    </row>
    <row r="89" spans="1:16" ht="13.5" thickBot="1">
      <c r="C89" s="32" t="s">
        <v>84</v>
      </c>
      <c r="D89" s="121" t="str">
        <f>+D7</f>
        <v>insert project name here</v>
      </c>
      <c r="E89" s="1"/>
      <c r="F89" s="1"/>
      <c r="G89" s="1"/>
      <c r="H89" s="1"/>
      <c r="I89" s="3"/>
      <c r="J89" s="3"/>
      <c r="K89" s="137"/>
      <c r="L89" s="135" t="s">
        <v>156</v>
      </c>
      <c r="M89" s="90">
        <f>+M88-M87</f>
        <v>0</v>
      </c>
      <c r="N89" s="90">
        <f>+N88-N87</f>
        <v>0</v>
      </c>
      <c r="O89" s="91">
        <f>+O88-O87</f>
        <v>0</v>
      </c>
      <c r="P89" s="1"/>
    </row>
    <row r="90" spans="1:16" ht="13.5" thickBot="1">
      <c r="C90" s="80"/>
      <c r="D90" s="83" t="str">
        <f>D8</f>
        <v>DOES NOT MEET SPP $100,000 MINIMUM INVESTMENT FOR REGIONAL BPU SHARING.</v>
      </c>
      <c r="E90" s="18"/>
      <c r="F90" s="18"/>
      <c r="G90" s="18"/>
      <c r="H90" s="37"/>
      <c r="I90" s="3"/>
      <c r="J90" s="3"/>
      <c r="K90" s="22"/>
      <c r="L90" s="3"/>
      <c r="M90" s="3"/>
      <c r="N90" s="3"/>
      <c r="O90" s="22"/>
      <c r="P90" s="1"/>
    </row>
    <row r="91" spans="1:16" ht="13.5" thickBot="1">
      <c r="A91" s="17"/>
      <c r="C91" s="92" t="s">
        <v>85</v>
      </c>
      <c r="D91" s="109" t="str">
        <f>+D9</f>
        <v>TP______</v>
      </c>
      <c r="E91" s="93"/>
      <c r="F91" s="93"/>
      <c r="G91" s="93"/>
      <c r="H91" s="93"/>
      <c r="I91" s="93"/>
      <c r="J91" s="93"/>
      <c r="K91" s="94"/>
      <c r="P91" s="42"/>
    </row>
    <row r="92" spans="1:16">
      <c r="C92" s="47" t="s">
        <v>51</v>
      </c>
      <c r="D92" s="105">
        <f>IF(D11=I10,0,D10)</f>
        <v>0</v>
      </c>
      <c r="E92" s="10" t="s">
        <v>86</v>
      </c>
      <c r="H92" s="45"/>
      <c r="I92" s="45"/>
      <c r="J92" s="46">
        <f>+'SWE.WS.G.BPU.ATRR.True-up'!M16</f>
        <v>2022</v>
      </c>
      <c r="K92" s="41"/>
      <c r="L92" s="22" t="s">
        <v>87</v>
      </c>
      <c r="P92" s="4"/>
    </row>
    <row r="93" spans="1:16">
      <c r="C93" s="47" t="s">
        <v>54</v>
      </c>
      <c r="D93" s="106">
        <f>IF(D11=I10,"",D11)</f>
        <v>2016</v>
      </c>
      <c r="E93" s="47" t="s">
        <v>55</v>
      </c>
      <c r="F93" s="45"/>
      <c r="G93" s="45"/>
      <c r="J93" s="49">
        <f>IF(H87="",0,'SWE.WS.G.BPU.ATRR.True-up'!$F$13)</f>
        <v>0</v>
      </c>
      <c r="K93" s="50"/>
      <c r="L93" t="str">
        <f>"          INPUT TRUE-UP ARR (WITH &amp; WITHOUT INCENTIVES) FROM EACH PRIOR YEAR"</f>
        <v xml:space="preserve">          INPUT TRUE-UP ARR (WITH &amp; WITHOUT INCENTIVES) FROM EACH PRIOR YEAR</v>
      </c>
      <c r="P93" s="4"/>
    </row>
    <row r="94" spans="1:16">
      <c r="C94" s="47" t="s">
        <v>56</v>
      </c>
      <c r="D94" s="105">
        <f>IF(D11=I10,"",D12)</f>
        <v>4</v>
      </c>
      <c r="E94" s="47" t="s">
        <v>57</v>
      </c>
      <c r="F94" s="45"/>
      <c r="G94" s="45"/>
      <c r="J94" s="51">
        <f>'SWE.WS.G.BPU.ATRR.True-up'!$F$81</f>
        <v>0.11351422637179906</v>
      </c>
      <c r="K94" s="52"/>
      <c r="L94" t="s">
        <v>88</v>
      </c>
      <c r="P94" s="4"/>
    </row>
    <row r="95" spans="1:16">
      <c r="C95" s="47" t="s">
        <v>59</v>
      </c>
      <c r="D95" s="49">
        <f>'SWE.WS.G.BPU.ATRR.True-up'!F$93</f>
        <v>41</v>
      </c>
      <c r="E95" s="47" t="s">
        <v>60</v>
      </c>
      <c r="F95" s="45"/>
      <c r="G95" s="45"/>
      <c r="J95" s="51">
        <f>IF(H87="",J94,'SWE.WS.G.BPU.ATRR.True-up'!$F$80)</f>
        <v>0.11351422637179906</v>
      </c>
      <c r="K95" s="11"/>
      <c r="L95" s="22" t="s">
        <v>61</v>
      </c>
      <c r="M95" s="11"/>
      <c r="N95" s="11"/>
      <c r="O95" s="11"/>
      <c r="P95" s="4"/>
    </row>
    <row r="96" spans="1:16" ht="13.5" thickBot="1">
      <c r="C96" s="47" t="s">
        <v>62</v>
      </c>
      <c r="D96" s="107" t="str">
        <f>+D14</f>
        <v>No</v>
      </c>
      <c r="E96" s="89" t="s">
        <v>64</v>
      </c>
      <c r="F96" s="95"/>
      <c r="G96" s="95"/>
      <c r="H96" s="96"/>
      <c r="I96" s="96"/>
      <c r="J96" s="35">
        <f>IF(D92=0,0,D92/D95)</f>
        <v>0</v>
      </c>
      <c r="K96" s="22"/>
      <c r="L96" s="22"/>
      <c r="M96" s="22"/>
      <c r="N96" s="22"/>
      <c r="O96" s="22"/>
      <c r="P96" s="4"/>
    </row>
    <row r="97" spans="1:16" ht="38.25">
      <c r="A97" s="6"/>
      <c r="B97" s="6"/>
      <c r="C97" s="97" t="s">
        <v>51</v>
      </c>
      <c r="D97" s="98" t="s">
        <v>65</v>
      </c>
      <c r="E97" s="57" t="s">
        <v>66</v>
      </c>
      <c r="F97" s="57" t="s">
        <v>67</v>
      </c>
      <c r="G97" s="55" t="s">
        <v>89</v>
      </c>
      <c r="H97" s="180" t="s">
        <v>388</v>
      </c>
      <c r="I97" s="181" t="s">
        <v>389</v>
      </c>
      <c r="J97" s="97" t="s">
        <v>90</v>
      </c>
      <c r="K97" s="99"/>
      <c r="L97" s="146" t="s">
        <v>228</v>
      </c>
      <c r="M97" s="57" t="s">
        <v>91</v>
      </c>
      <c r="N97" s="146" t="s">
        <v>228</v>
      </c>
      <c r="O97" s="57" t="s">
        <v>91</v>
      </c>
      <c r="P97" s="57" t="s">
        <v>70</v>
      </c>
    </row>
    <row r="98" spans="1:16" ht="13.5" thickBot="1">
      <c r="C98" s="58" t="s">
        <v>71</v>
      </c>
      <c r="D98" s="100" t="s">
        <v>72</v>
      </c>
      <c r="E98" s="58" t="s">
        <v>73</v>
      </c>
      <c r="F98" s="58" t="s">
        <v>72</v>
      </c>
      <c r="G98" s="58" t="s">
        <v>72</v>
      </c>
      <c r="H98" s="129" t="s">
        <v>74</v>
      </c>
      <c r="I98" s="59" t="s">
        <v>75</v>
      </c>
      <c r="J98" s="60" t="s">
        <v>94</v>
      </c>
      <c r="K98" s="61"/>
      <c r="L98" s="62" t="s">
        <v>77</v>
      </c>
      <c r="M98" s="62" t="s">
        <v>77</v>
      </c>
      <c r="N98" s="62" t="s">
        <v>95</v>
      </c>
      <c r="O98" s="62" t="s">
        <v>95</v>
      </c>
      <c r="P98" s="62" t="s">
        <v>95</v>
      </c>
    </row>
    <row r="99" spans="1:16">
      <c r="C99" s="64">
        <f>IF(D93= "","-",D93)</f>
        <v>2016</v>
      </c>
      <c r="D99" s="65">
        <f>IF(D93=C99,0,D92)</f>
        <v>0</v>
      </c>
      <c r="E99" s="72">
        <f>IF(D11=I10,0,J96/12*(12-D94))</f>
        <v>0</v>
      </c>
      <c r="F99" s="70">
        <f>IF(D93=C99,+D92-E99,+D99-E99)</f>
        <v>0</v>
      </c>
      <c r="G99" s="101">
        <f t="shared" ref="G99:G130" si="15">+(F99+D99)/2</f>
        <v>0</v>
      </c>
      <c r="H99" s="125">
        <f>+J94*G99+E99</f>
        <v>0</v>
      </c>
      <c r="I99" s="126">
        <f>+J95*G99+E99</f>
        <v>0</v>
      </c>
      <c r="J99" s="69">
        <f t="shared" ref="J99:J130" si="16">+I99-H99</f>
        <v>0</v>
      </c>
      <c r="K99" s="69"/>
      <c r="L99" s="149"/>
      <c r="M99" s="68">
        <f t="shared" ref="M99:M130" si="17">IF(L99&lt;&gt;0,+H99-L99,0)</f>
        <v>0</v>
      </c>
      <c r="N99" s="149"/>
      <c r="O99" s="68">
        <f t="shared" ref="O99:O130" si="18">IF(N99&lt;&gt;0,+I99-N99,0)</f>
        <v>0</v>
      </c>
      <c r="P99" s="68">
        <f t="shared" ref="P99:P130" si="19">+O99-M99</f>
        <v>0</v>
      </c>
    </row>
    <row r="100" spans="1:16">
      <c r="B100" s="9" t="str">
        <f>IF(D100=F99,"","IU")</f>
        <v/>
      </c>
      <c r="C100" s="64">
        <f>IF(D93="","-",+C99+1)</f>
        <v>2017</v>
      </c>
      <c r="D100" s="65">
        <f>IF(F99+SUM(E$99:E99)=D$92,F99,D$92-SUM(E$99:E99))</f>
        <v>0</v>
      </c>
      <c r="E100" s="71">
        <f>IF(+J96&lt;F99,J96,D100)</f>
        <v>0</v>
      </c>
      <c r="F100" s="70">
        <f t="shared" ref="F100:F130" si="20">+D100-E100</f>
        <v>0</v>
      </c>
      <c r="G100" s="70">
        <f t="shared" si="15"/>
        <v>0</v>
      </c>
      <c r="H100" s="73">
        <f t="shared" ref="H100:H112" si="21">+J$94*G100+E100</f>
        <v>0</v>
      </c>
      <c r="I100" s="127">
        <f t="shared" ref="I100:I112" si="22">+J$95*G100+E100</f>
        <v>0</v>
      </c>
      <c r="J100" s="69">
        <f t="shared" si="16"/>
        <v>0</v>
      </c>
      <c r="K100" s="69"/>
      <c r="L100" s="150"/>
      <c r="M100" s="69">
        <f t="shared" si="17"/>
        <v>0</v>
      </c>
      <c r="N100" s="150"/>
      <c r="O100" s="69">
        <f t="shared" si="18"/>
        <v>0</v>
      </c>
      <c r="P100" s="69">
        <f t="shared" si="19"/>
        <v>0</v>
      </c>
    </row>
    <row r="101" spans="1:16">
      <c r="B101" s="9" t="str">
        <f t="shared" ref="B101:B154" si="23">IF(D101=F100,"","IU")</f>
        <v/>
      </c>
      <c r="C101" s="64">
        <f>IF(D93="","-",+C100+1)</f>
        <v>2018</v>
      </c>
      <c r="D101" s="65">
        <f>IF(F100+SUM(E$99:E100)=D$92,F100,D$92-SUM(E$99:E100))</f>
        <v>0</v>
      </c>
      <c r="E101" s="71">
        <f>IF(+J96&lt;F100,J96,D101)</f>
        <v>0</v>
      </c>
      <c r="F101" s="70">
        <f t="shared" si="20"/>
        <v>0</v>
      </c>
      <c r="G101" s="70">
        <f t="shared" si="15"/>
        <v>0</v>
      </c>
      <c r="H101" s="73">
        <f t="shared" si="21"/>
        <v>0</v>
      </c>
      <c r="I101" s="127">
        <f t="shared" si="22"/>
        <v>0</v>
      </c>
      <c r="J101" s="69">
        <f t="shared" si="16"/>
        <v>0</v>
      </c>
      <c r="K101" s="69"/>
      <c r="L101" s="150"/>
      <c r="M101" s="69">
        <f t="shared" si="17"/>
        <v>0</v>
      </c>
      <c r="N101" s="150"/>
      <c r="O101" s="69">
        <f t="shared" si="18"/>
        <v>0</v>
      </c>
      <c r="P101" s="69">
        <f t="shared" si="19"/>
        <v>0</v>
      </c>
    </row>
    <row r="102" spans="1:16">
      <c r="B102" s="9" t="str">
        <f t="shared" si="23"/>
        <v/>
      </c>
      <c r="C102" s="64">
        <f>IF(D93="","-",+C101+1)</f>
        <v>2019</v>
      </c>
      <c r="D102" s="65">
        <f>IF(F101+SUM(E$99:E101)=D$92,F101,D$92-SUM(E$99:E101))</f>
        <v>0</v>
      </c>
      <c r="E102" s="71">
        <f>IF(+J96&lt;F101,J96,D102)</f>
        <v>0</v>
      </c>
      <c r="F102" s="70">
        <f t="shared" si="20"/>
        <v>0</v>
      </c>
      <c r="G102" s="70">
        <f t="shared" si="15"/>
        <v>0</v>
      </c>
      <c r="H102" s="73">
        <f t="shared" si="21"/>
        <v>0</v>
      </c>
      <c r="I102" s="127">
        <f t="shared" si="22"/>
        <v>0</v>
      </c>
      <c r="J102" s="69">
        <f t="shared" si="16"/>
        <v>0</v>
      </c>
      <c r="K102" s="69"/>
      <c r="L102" s="150"/>
      <c r="M102" s="69">
        <f t="shared" si="17"/>
        <v>0</v>
      </c>
      <c r="N102" s="150"/>
      <c r="O102" s="69">
        <f t="shared" si="18"/>
        <v>0</v>
      </c>
      <c r="P102" s="69">
        <f t="shared" si="19"/>
        <v>0</v>
      </c>
    </row>
    <row r="103" spans="1:16">
      <c r="B103" s="9" t="str">
        <f t="shared" si="23"/>
        <v/>
      </c>
      <c r="C103" s="64">
        <f>IF(D93="","-",+C102+1)</f>
        <v>2020</v>
      </c>
      <c r="D103" s="65">
        <f>IF(F102+SUM(E$99:E102)=D$92,F102,D$92-SUM(E$99:E102))</f>
        <v>0</v>
      </c>
      <c r="E103" s="71">
        <f>IF(+J96&lt;F102,J96,D103)</f>
        <v>0</v>
      </c>
      <c r="F103" s="70">
        <f t="shared" si="20"/>
        <v>0</v>
      </c>
      <c r="G103" s="70">
        <f t="shared" si="15"/>
        <v>0</v>
      </c>
      <c r="H103" s="73">
        <f t="shared" si="21"/>
        <v>0</v>
      </c>
      <c r="I103" s="127">
        <f t="shared" si="22"/>
        <v>0</v>
      </c>
      <c r="J103" s="69">
        <f t="shared" si="16"/>
        <v>0</v>
      </c>
      <c r="K103" s="69"/>
      <c r="L103" s="150"/>
      <c r="M103" s="69">
        <f t="shared" si="17"/>
        <v>0</v>
      </c>
      <c r="N103" s="150"/>
      <c r="O103" s="69">
        <f t="shared" si="18"/>
        <v>0</v>
      </c>
      <c r="P103" s="69">
        <f t="shared" si="19"/>
        <v>0</v>
      </c>
    </row>
    <row r="104" spans="1:16">
      <c r="B104" s="9" t="str">
        <f t="shared" si="23"/>
        <v/>
      </c>
      <c r="C104" s="64">
        <f>IF(D93="","-",+C103+1)</f>
        <v>2021</v>
      </c>
      <c r="D104" s="65">
        <f>IF(F103+SUM(E$99:E103)=D$92,F103,D$92-SUM(E$99:E103))</f>
        <v>0</v>
      </c>
      <c r="E104" s="71">
        <f>IF(+J96&lt;F103,J96,D104)</f>
        <v>0</v>
      </c>
      <c r="F104" s="70">
        <f t="shared" si="20"/>
        <v>0</v>
      </c>
      <c r="G104" s="70">
        <f t="shared" si="15"/>
        <v>0</v>
      </c>
      <c r="H104" s="73">
        <f t="shared" si="21"/>
        <v>0</v>
      </c>
      <c r="I104" s="127">
        <f t="shared" si="22"/>
        <v>0</v>
      </c>
      <c r="J104" s="69">
        <f t="shared" si="16"/>
        <v>0</v>
      </c>
      <c r="K104" s="69"/>
      <c r="L104" s="150"/>
      <c r="M104" s="69">
        <f t="shared" si="17"/>
        <v>0</v>
      </c>
      <c r="N104" s="150"/>
      <c r="O104" s="69">
        <f t="shared" si="18"/>
        <v>0</v>
      </c>
      <c r="P104" s="69">
        <f t="shared" si="19"/>
        <v>0</v>
      </c>
    </row>
    <row r="105" spans="1:16">
      <c r="B105" s="9" t="str">
        <f t="shared" si="23"/>
        <v/>
      </c>
      <c r="C105" s="64">
        <f>IF(D93="","-",+C104+1)</f>
        <v>2022</v>
      </c>
      <c r="D105" s="65">
        <f>IF(F104+SUM(E$99:E104)=D$92,F104,D$92-SUM(E$99:E104))</f>
        <v>0</v>
      </c>
      <c r="E105" s="71">
        <f>IF(+J96&lt;F104,J96,D105)</f>
        <v>0</v>
      </c>
      <c r="F105" s="70">
        <f t="shared" si="20"/>
        <v>0</v>
      </c>
      <c r="G105" s="70">
        <f t="shared" si="15"/>
        <v>0</v>
      </c>
      <c r="H105" s="73">
        <f t="shared" si="21"/>
        <v>0</v>
      </c>
      <c r="I105" s="127">
        <f t="shared" si="22"/>
        <v>0</v>
      </c>
      <c r="J105" s="69">
        <f t="shared" si="16"/>
        <v>0</v>
      </c>
      <c r="K105" s="69"/>
      <c r="L105" s="150"/>
      <c r="M105" s="69">
        <f t="shared" si="17"/>
        <v>0</v>
      </c>
      <c r="N105" s="150"/>
      <c r="O105" s="69">
        <f t="shared" si="18"/>
        <v>0</v>
      </c>
      <c r="P105" s="69">
        <f t="shared" si="19"/>
        <v>0</v>
      </c>
    </row>
    <row r="106" spans="1:16">
      <c r="B106" s="9" t="str">
        <f t="shared" si="23"/>
        <v/>
      </c>
      <c r="C106" s="64">
        <f>IF(D93="","-",+C105+1)</f>
        <v>2023</v>
      </c>
      <c r="D106" s="65">
        <f>IF(F105+SUM(E$99:E105)=D$92,F105,D$92-SUM(E$99:E105))</f>
        <v>0</v>
      </c>
      <c r="E106" s="71">
        <f>IF(+J96&lt;F105,J96,D106)</f>
        <v>0</v>
      </c>
      <c r="F106" s="70">
        <f t="shared" si="20"/>
        <v>0</v>
      </c>
      <c r="G106" s="70">
        <f t="shared" si="15"/>
        <v>0</v>
      </c>
      <c r="H106" s="73">
        <f t="shared" si="21"/>
        <v>0</v>
      </c>
      <c r="I106" s="127">
        <f t="shared" si="22"/>
        <v>0</v>
      </c>
      <c r="J106" s="69">
        <f t="shared" si="16"/>
        <v>0</v>
      </c>
      <c r="K106" s="69"/>
      <c r="L106" s="150"/>
      <c r="M106" s="69">
        <f t="shared" si="17"/>
        <v>0</v>
      </c>
      <c r="N106" s="150"/>
      <c r="O106" s="69">
        <f t="shared" si="18"/>
        <v>0</v>
      </c>
      <c r="P106" s="69">
        <f t="shared" si="19"/>
        <v>0</v>
      </c>
    </row>
    <row r="107" spans="1:16">
      <c r="B107" s="9" t="str">
        <f t="shared" si="23"/>
        <v/>
      </c>
      <c r="C107" s="64">
        <f>IF(D93="","-",+C106+1)</f>
        <v>2024</v>
      </c>
      <c r="D107" s="65">
        <f>IF(F106+SUM(E$99:E106)=D$92,F106,D$92-SUM(E$99:E106))</f>
        <v>0</v>
      </c>
      <c r="E107" s="71">
        <f>IF(+J96&lt;F106,J96,D107)</f>
        <v>0</v>
      </c>
      <c r="F107" s="70">
        <f t="shared" si="20"/>
        <v>0</v>
      </c>
      <c r="G107" s="70">
        <f t="shared" si="15"/>
        <v>0</v>
      </c>
      <c r="H107" s="73">
        <f t="shared" si="21"/>
        <v>0</v>
      </c>
      <c r="I107" s="127">
        <f t="shared" si="22"/>
        <v>0</v>
      </c>
      <c r="J107" s="69">
        <f t="shared" si="16"/>
        <v>0</v>
      </c>
      <c r="K107" s="69"/>
      <c r="L107" s="150"/>
      <c r="M107" s="69">
        <f t="shared" si="17"/>
        <v>0</v>
      </c>
      <c r="N107" s="150"/>
      <c r="O107" s="69">
        <f t="shared" si="18"/>
        <v>0</v>
      </c>
      <c r="P107" s="69">
        <f t="shared" si="19"/>
        <v>0</v>
      </c>
    </row>
    <row r="108" spans="1:16">
      <c r="B108" s="9" t="str">
        <f t="shared" si="23"/>
        <v/>
      </c>
      <c r="C108" s="64">
        <f>IF(D93="","-",+C107+1)</f>
        <v>2025</v>
      </c>
      <c r="D108" s="65">
        <f>IF(F107+SUM(E$99:E107)=D$92,F107,D$92-SUM(E$99:E107))</f>
        <v>0</v>
      </c>
      <c r="E108" s="71">
        <f>IF(+J96&lt;F107,J96,D108)</f>
        <v>0</v>
      </c>
      <c r="F108" s="70">
        <f t="shared" si="20"/>
        <v>0</v>
      </c>
      <c r="G108" s="70">
        <f t="shared" si="15"/>
        <v>0</v>
      </c>
      <c r="H108" s="73">
        <f t="shared" si="21"/>
        <v>0</v>
      </c>
      <c r="I108" s="127">
        <f t="shared" si="22"/>
        <v>0</v>
      </c>
      <c r="J108" s="69">
        <f t="shared" si="16"/>
        <v>0</v>
      </c>
      <c r="K108" s="69"/>
      <c r="L108" s="150"/>
      <c r="M108" s="69">
        <f t="shared" si="17"/>
        <v>0</v>
      </c>
      <c r="N108" s="150"/>
      <c r="O108" s="69">
        <f t="shared" si="18"/>
        <v>0</v>
      </c>
      <c r="P108" s="69">
        <f t="shared" si="19"/>
        <v>0</v>
      </c>
    </row>
    <row r="109" spans="1:16">
      <c r="B109" s="9" t="str">
        <f t="shared" si="23"/>
        <v/>
      </c>
      <c r="C109" s="64">
        <f>IF(D93="","-",+C108+1)</f>
        <v>2026</v>
      </c>
      <c r="D109" s="65">
        <f>IF(F108+SUM(E$99:E108)=D$92,F108,D$92-SUM(E$99:E108))</f>
        <v>0</v>
      </c>
      <c r="E109" s="71">
        <f>IF(+J96&lt;F108,J96,D109)</f>
        <v>0</v>
      </c>
      <c r="F109" s="70">
        <f t="shared" si="20"/>
        <v>0</v>
      </c>
      <c r="G109" s="70">
        <f t="shared" si="15"/>
        <v>0</v>
      </c>
      <c r="H109" s="73">
        <f t="shared" si="21"/>
        <v>0</v>
      </c>
      <c r="I109" s="127">
        <f t="shared" si="22"/>
        <v>0</v>
      </c>
      <c r="J109" s="69">
        <f t="shared" si="16"/>
        <v>0</v>
      </c>
      <c r="K109" s="69"/>
      <c r="L109" s="150"/>
      <c r="M109" s="69">
        <f t="shared" si="17"/>
        <v>0</v>
      </c>
      <c r="N109" s="150"/>
      <c r="O109" s="69">
        <f t="shared" si="18"/>
        <v>0</v>
      </c>
      <c r="P109" s="69">
        <f t="shared" si="19"/>
        <v>0</v>
      </c>
    </row>
    <row r="110" spans="1:16">
      <c r="B110" s="9" t="str">
        <f t="shared" si="23"/>
        <v/>
      </c>
      <c r="C110" s="64">
        <f>IF(D93="","-",+C109+1)</f>
        <v>2027</v>
      </c>
      <c r="D110" s="65">
        <f>IF(F109+SUM(E$99:E109)=D$92,F109,D$92-SUM(E$99:E109))</f>
        <v>0</v>
      </c>
      <c r="E110" s="71">
        <f>IF(+J96&lt;F109,J96,D110)</f>
        <v>0</v>
      </c>
      <c r="F110" s="70">
        <f t="shared" si="20"/>
        <v>0</v>
      </c>
      <c r="G110" s="70">
        <f t="shared" si="15"/>
        <v>0</v>
      </c>
      <c r="H110" s="73">
        <f t="shared" si="21"/>
        <v>0</v>
      </c>
      <c r="I110" s="127">
        <f t="shared" si="22"/>
        <v>0</v>
      </c>
      <c r="J110" s="69">
        <f t="shared" si="16"/>
        <v>0</v>
      </c>
      <c r="K110" s="69"/>
      <c r="L110" s="150"/>
      <c r="M110" s="69">
        <f t="shared" si="17"/>
        <v>0</v>
      </c>
      <c r="N110" s="150"/>
      <c r="O110" s="69">
        <f t="shared" si="18"/>
        <v>0</v>
      </c>
      <c r="P110" s="69">
        <f t="shared" si="19"/>
        <v>0</v>
      </c>
    </row>
    <row r="111" spans="1:16">
      <c r="B111" s="9" t="str">
        <f t="shared" si="23"/>
        <v/>
      </c>
      <c r="C111" s="64">
        <f>IF(D93="","-",+C110+1)</f>
        <v>2028</v>
      </c>
      <c r="D111" s="65">
        <f>IF(F110+SUM(E$99:E110)=D$92,F110,D$92-SUM(E$99:E110))</f>
        <v>0</v>
      </c>
      <c r="E111" s="71">
        <f>IF(+J96&lt;F110,J96,D111)</f>
        <v>0</v>
      </c>
      <c r="F111" s="70">
        <f t="shared" si="20"/>
        <v>0</v>
      </c>
      <c r="G111" s="70">
        <f t="shared" si="15"/>
        <v>0</v>
      </c>
      <c r="H111" s="73">
        <f t="shared" si="21"/>
        <v>0</v>
      </c>
      <c r="I111" s="127">
        <f t="shared" si="22"/>
        <v>0</v>
      </c>
      <c r="J111" s="69">
        <f t="shared" si="16"/>
        <v>0</v>
      </c>
      <c r="K111" s="69"/>
      <c r="L111" s="150"/>
      <c r="M111" s="69">
        <f t="shared" si="17"/>
        <v>0</v>
      </c>
      <c r="N111" s="150"/>
      <c r="O111" s="69">
        <f t="shared" si="18"/>
        <v>0</v>
      </c>
      <c r="P111" s="69">
        <f t="shared" si="19"/>
        <v>0</v>
      </c>
    </row>
    <row r="112" spans="1:16">
      <c r="B112" s="9" t="str">
        <f t="shared" si="23"/>
        <v/>
      </c>
      <c r="C112" s="64">
        <f>IF(D93="","-",+C111+1)</f>
        <v>2029</v>
      </c>
      <c r="D112" s="65">
        <f>IF(F111+SUM(E$99:E111)=D$92,F111,D$92-SUM(E$99:E111))</f>
        <v>0</v>
      </c>
      <c r="E112" s="71">
        <f>IF(+J96&lt;F111,J96,D112)</f>
        <v>0</v>
      </c>
      <c r="F112" s="70">
        <f t="shared" si="20"/>
        <v>0</v>
      </c>
      <c r="G112" s="70">
        <f t="shared" si="15"/>
        <v>0</v>
      </c>
      <c r="H112" s="73">
        <f t="shared" si="21"/>
        <v>0</v>
      </c>
      <c r="I112" s="127">
        <f t="shared" si="22"/>
        <v>0</v>
      </c>
      <c r="J112" s="69">
        <f t="shared" si="16"/>
        <v>0</v>
      </c>
      <c r="K112" s="69"/>
      <c r="L112" s="150"/>
      <c r="M112" s="69">
        <f t="shared" si="17"/>
        <v>0</v>
      </c>
      <c r="N112" s="150"/>
      <c r="O112" s="69">
        <f t="shared" si="18"/>
        <v>0</v>
      </c>
      <c r="P112" s="69">
        <f t="shared" si="19"/>
        <v>0</v>
      </c>
    </row>
    <row r="113" spans="2:16">
      <c r="B113" s="9" t="str">
        <f t="shared" si="23"/>
        <v/>
      </c>
      <c r="C113" s="64">
        <f>IF(D93="","-",+C112+1)</f>
        <v>2030</v>
      </c>
      <c r="D113" s="65">
        <f>IF(F112+SUM(E$99:E112)=D$92,F112,D$92-SUM(E$99:E112))</f>
        <v>0</v>
      </c>
      <c r="E113" s="71">
        <f>IF(+J96&lt;F112,J96,D113)</f>
        <v>0</v>
      </c>
      <c r="F113" s="70">
        <f t="shared" si="20"/>
        <v>0</v>
      </c>
      <c r="G113" s="70">
        <f t="shared" si="15"/>
        <v>0</v>
      </c>
      <c r="H113" s="73">
        <f t="shared" ref="H113:H154" si="24">+J$94*G113+E113</f>
        <v>0</v>
      </c>
      <c r="I113" s="127">
        <f t="shared" ref="I113:I154" si="25">+J$95*G113+E113</f>
        <v>0</v>
      </c>
      <c r="J113" s="69">
        <f t="shared" si="16"/>
        <v>0</v>
      </c>
      <c r="K113" s="69"/>
      <c r="L113" s="150"/>
      <c r="M113" s="69">
        <f t="shared" si="17"/>
        <v>0</v>
      </c>
      <c r="N113" s="150"/>
      <c r="O113" s="69">
        <f t="shared" si="18"/>
        <v>0</v>
      </c>
      <c r="P113" s="69">
        <f t="shared" si="19"/>
        <v>0</v>
      </c>
    </row>
    <row r="114" spans="2:16">
      <c r="B114" s="9" t="str">
        <f t="shared" si="23"/>
        <v/>
      </c>
      <c r="C114" s="64">
        <f>IF(D93="","-",+C113+1)</f>
        <v>2031</v>
      </c>
      <c r="D114" s="65">
        <f>IF(F113+SUM(E$99:E113)=D$92,F113,D$92-SUM(E$99:E113))</f>
        <v>0</v>
      </c>
      <c r="E114" s="71">
        <f>IF(+J96&lt;F113,J96,D114)</f>
        <v>0</v>
      </c>
      <c r="F114" s="70">
        <f t="shared" si="20"/>
        <v>0</v>
      </c>
      <c r="G114" s="70">
        <f t="shared" si="15"/>
        <v>0</v>
      </c>
      <c r="H114" s="73">
        <f t="shared" si="24"/>
        <v>0</v>
      </c>
      <c r="I114" s="127">
        <f t="shared" si="25"/>
        <v>0</v>
      </c>
      <c r="J114" s="69">
        <f t="shared" si="16"/>
        <v>0</v>
      </c>
      <c r="K114" s="69"/>
      <c r="L114" s="150"/>
      <c r="M114" s="69">
        <f t="shared" si="17"/>
        <v>0</v>
      </c>
      <c r="N114" s="150"/>
      <c r="O114" s="69">
        <f t="shared" si="18"/>
        <v>0</v>
      </c>
      <c r="P114" s="69">
        <f t="shared" si="19"/>
        <v>0</v>
      </c>
    </row>
    <row r="115" spans="2:16">
      <c r="B115" s="9" t="str">
        <f t="shared" si="23"/>
        <v/>
      </c>
      <c r="C115" s="64">
        <f>IF(D93="","-",+C114+1)</f>
        <v>2032</v>
      </c>
      <c r="D115" s="65">
        <f>IF(F114+SUM(E$99:E114)=D$92,F114,D$92-SUM(E$99:E114))</f>
        <v>0</v>
      </c>
      <c r="E115" s="71">
        <f>IF(+J96&lt;F114,J96,D115)</f>
        <v>0</v>
      </c>
      <c r="F115" s="70">
        <f t="shared" si="20"/>
        <v>0</v>
      </c>
      <c r="G115" s="70">
        <f t="shared" si="15"/>
        <v>0</v>
      </c>
      <c r="H115" s="73">
        <f t="shared" si="24"/>
        <v>0</v>
      </c>
      <c r="I115" s="127">
        <f t="shared" si="25"/>
        <v>0</v>
      </c>
      <c r="J115" s="69">
        <f t="shared" si="16"/>
        <v>0</v>
      </c>
      <c r="K115" s="69"/>
      <c r="L115" s="150"/>
      <c r="M115" s="69">
        <f t="shared" si="17"/>
        <v>0</v>
      </c>
      <c r="N115" s="150"/>
      <c r="O115" s="69">
        <f t="shared" si="18"/>
        <v>0</v>
      </c>
      <c r="P115" s="69">
        <f t="shared" si="19"/>
        <v>0</v>
      </c>
    </row>
    <row r="116" spans="2:16">
      <c r="B116" s="9" t="str">
        <f t="shared" si="23"/>
        <v/>
      </c>
      <c r="C116" s="64">
        <f>IF(D93="","-",+C115+1)</f>
        <v>2033</v>
      </c>
      <c r="D116" s="65">
        <f>IF(F115+SUM(E$99:E115)=D$92,F115,D$92-SUM(E$99:E115))</f>
        <v>0</v>
      </c>
      <c r="E116" s="71">
        <f>IF(+J96&lt;F115,J96,D116)</f>
        <v>0</v>
      </c>
      <c r="F116" s="70">
        <f t="shared" si="20"/>
        <v>0</v>
      </c>
      <c r="G116" s="70">
        <f t="shared" si="15"/>
        <v>0</v>
      </c>
      <c r="H116" s="73">
        <f t="shared" si="24"/>
        <v>0</v>
      </c>
      <c r="I116" s="127">
        <f t="shared" si="25"/>
        <v>0</v>
      </c>
      <c r="J116" s="69">
        <f t="shared" si="16"/>
        <v>0</v>
      </c>
      <c r="K116" s="69"/>
      <c r="L116" s="150"/>
      <c r="M116" s="69">
        <f t="shared" si="17"/>
        <v>0</v>
      </c>
      <c r="N116" s="150"/>
      <c r="O116" s="69">
        <f t="shared" si="18"/>
        <v>0</v>
      </c>
      <c r="P116" s="69">
        <f t="shared" si="19"/>
        <v>0</v>
      </c>
    </row>
    <row r="117" spans="2:16">
      <c r="B117" s="9" t="str">
        <f t="shared" si="23"/>
        <v/>
      </c>
      <c r="C117" s="64">
        <f>IF(D93="","-",+C116+1)</f>
        <v>2034</v>
      </c>
      <c r="D117" s="65">
        <f>IF(F116+SUM(E$99:E116)=D$92,F116,D$92-SUM(E$99:E116))</f>
        <v>0</v>
      </c>
      <c r="E117" s="71">
        <f>IF(+J96&lt;F116,J96,D117)</f>
        <v>0</v>
      </c>
      <c r="F117" s="70">
        <f t="shared" si="20"/>
        <v>0</v>
      </c>
      <c r="G117" s="70">
        <f t="shared" si="15"/>
        <v>0</v>
      </c>
      <c r="H117" s="73">
        <f t="shared" si="24"/>
        <v>0</v>
      </c>
      <c r="I117" s="127">
        <f t="shared" si="25"/>
        <v>0</v>
      </c>
      <c r="J117" s="69">
        <f t="shared" si="16"/>
        <v>0</v>
      </c>
      <c r="K117" s="69"/>
      <c r="L117" s="150"/>
      <c r="M117" s="69">
        <f t="shared" si="17"/>
        <v>0</v>
      </c>
      <c r="N117" s="150"/>
      <c r="O117" s="69">
        <f t="shared" si="18"/>
        <v>0</v>
      </c>
      <c r="P117" s="69">
        <f t="shared" si="19"/>
        <v>0</v>
      </c>
    </row>
    <row r="118" spans="2:16">
      <c r="B118" s="9" t="str">
        <f t="shared" si="23"/>
        <v/>
      </c>
      <c r="C118" s="64">
        <f>IF(D93="","-",+C117+1)</f>
        <v>2035</v>
      </c>
      <c r="D118" s="65">
        <f>IF(F117+SUM(E$99:E117)=D$92,F117,D$92-SUM(E$99:E117))</f>
        <v>0</v>
      </c>
      <c r="E118" s="71">
        <f>IF(+J96&lt;F117,J96,D118)</f>
        <v>0</v>
      </c>
      <c r="F118" s="70">
        <f t="shared" si="20"/>
        <v>0</v>
      </c>
      <c r="G118" s="70">
        <f t="shared" si="15"/>
        <v>0</v>
      </c>
      <c r="H118" s="73">
        <f t="shared" si="24"/>
        <v>0</v>
      </c>
      <c r="I118" s="127">
        <f t="shared" si="25"/>
        <v>0</v>
      </c>
      <c r="J118" s="69">
        <f t="shared" si="16"/>
        <v>0</v>
      </c>
      <c r="K118" s="69"/>
      <c r="L118" s="150"/>
      <c r="M118" s="69">
        <f t="shared" si="17"/>
        <v>0</v>
      </c>
      <c r="N118" s="150"/>
      <c r="O118" s="69">
        <f t="shared" si="18"/>
        <v>0</v>
      </c>
      <c r="P118" s="69">
        <f t="shared" si="19"/>
        <v>0</v>
      </c>
    </row>
    <row r="119" spans="2:16">
      <c r="B119" s="9" t="str">
        <f t="shared" si="23"/>
        <v/>
      </c>
      <c r="C119" s="64">
        <f>IF(D93="","-",+C118+1)</f>
        <v>2036</v>
      </c>
      <c r="D119" s="65">
        <f>IF(F118+SUM(E$99:E118)=D$92,F118,D$92-SUM(E$99:E118))</f>
        <v>0</v>
      </c>
      <c r="E119" s="71">
        <f>IF(+J96&lt;F118,J96,D119)</f>
        <v>0</v>
      </c>
      <c r="F119" s="70">
        <f t="shared" si="20"/>
        <v>0</v>
      </c>
      <c r="G119" s="70">
        <f t="shared" si="15"/>
        <v>0</v>
      </c>
      <c r="H119" s="73">
        <f t="shared" si="24"/>
        <v>0</v>
      </c>
      <c r="I119" s="127">
        <f t="shared" si="25"/>
        <v>0</v>
      </c>
      <c r="J119" s="69">
        <f t="shared" si="16"/>
        <v>0</v>
      </c>
      <c r="K119" s="69"/>
      <c r="L119" s="150"/>
      <c r="M119" s="69">
        <f t="shared" si="17"/>
        <v>0</v>
      </c>
      <c r="N119" s="150"/>
      <c r="O119" s="69">
        <f t="shared" si="18"/>
        <v>0</v>
      </c>
      <c r="P119" s="69">
        <f t="shared" si="19"/>
        <v>0</v>
      </c>
    </row>
    <row r="120" spans="2:16">
      <c r="B120" s="9" t="str">
        <f t="shared" si="23"/>
        <v/>
      </c>
      <c r="C120" s="64">
        <f>IF(D93="","-",+C119+1)</f>
        <v>2037</v>
      </c>
      <c r="D120" s="65">
        <f>IF(F119+SUM(E$99:E119)=D$92,F119,D$92-SUM(E$99:E119))</f>
        <v>0</v>
      </c>
      <c r="E120" s="71">
        <f>IF(+J96&lt;F119,J96,D120)</f>
        <v>0</v>
      </c>
      <c r="F120" s="70">
        <f t="shared" si="20"/>
        <v>0</v>
      </c>
      <c r="G120" s="70">
        <f t="shared" si="15"/>
        <v>0</v>
      </c>
      <c r="H120" s="73">
        <f t="shared" si="24"/>
        <v>0</v>
      </c>
      <c r="I120" s="127">
        <f t="shared" si="25"/>
        <v>0</v>
      </c>
      <c r="J120" s="69">
        <f t="shared" si="16"/>
        <v>0</v>
      </c>
      <c r="K120" s="69"/>
      <c r="L120" s="150"/>
      <c r="M120" s="69">
        <f t="shared" si="17"/>
        <v>0</v>
      </c>
      <c r="N120" s="150"/>
      <c r="O120" s="69">
        <f t="shared" si="18"/>
        <v>0</v>
      </c>
      <c r="P120" s="69">
        <f t="shared" si="19"/>
        <v>0</v>
      </c>
    </row>
    <row r="121" spans="2:16">
      <c r="B121" s="9" t="str">
        <f t="shared" si="23"/>
        <v/>
      </c>
      <c r="C121" s="64">
        <f>IF(D93="","-",+C120+1)</f>
        <v>2038</v>
      </c>
      <c r="D121" s="65">
        <f>IF(F120+SUM(E$99:E120)=D$92,F120,D$92-SUM(E$99:E120))</f>
        <v>0</v>
      </c>
      <c r="E121" s="71">
        <f>IF(+J96&lt;F120,J96,D121)</f>
        <v>0</v>
      </c>
      <c r="F121" s="70">
        <f t="shared" si="20"/>
        <v>0</v>
      </c>
      <c r="G121" s="70">
        <f t="shared" si="15"/>
        <v>0</v>
      </c>
      <c r="H121" s="73">
        <f t="shared" si="24"/>
        <v>0</v>
      </c>
      <c r="I121" s="127">
        <f t="shared" si="25"/>
        <v>0</v>
      </c>
      <c r="J121" s="69">
        <f t="shared" si="16"/>
        <v>0</v>
      </c>
      <c r="K121" s="69"/>
      <c r="L121" s="150"/>
      <c r="M121" s="69">
        <f t="shared" si="17"/>
        <v>0</v>
      </c>
      <c r="N121" s="150"/>
      <c r="O121" s="69">
        <f t="shared" si="18"/>
        <v>0</v>
      </c>
      <c r="P121" s="69">
        <f t="shared" si="19"/>
        <v>0</v>
      </c>
    </row>
    <row r="122" spans="2:16">
      <c r="B122" s="9" t="str">
        <f t="shared" si="23"/>
        <v/>
      </c>
      <c r="C122" s="64">
        <f>IF(D93="","-",+C121+1)</f>
        <v>2039</v>
      </c>
      <c r="D122" s="65">
        <f>IF(F121+SUM(E$99:E121)=D$92,F121,D$92-SUM(E$99:E121))</f>
        <v>0</v>
      </c>
      <c r="E122" s="71">
        <f>IF(+J96&lt;F121,J96,D122)</f>
        <v>0</v>
      </c>
      <c r="F122" s="70">
        <f t="shared" si="20"/>
        <v>0</v>
      </c>
      <c r="G122" s="70">
        <f t="shared" si="15"/>
        <v>0</v>
      </c>
      <c r="H122" s="73">
        <f t="shared" si="24"/>
        <v>0</v>
      </c>
      <c r="I122" s="127">
        <f t="shared" si="25"/>
        <v>0</v>
      </c>
      <c r="J122" s="69">
        <f t="shared" si="16"/>
        <v>0</v>
      </c>
      <c r="K122" s="69"/>
      <c r="L122" s="150"/>
      <c r="M122" s="69">
        <f t="shared" si="17"/>
        <v>0</v>
      </c>
      <c r="N122" s="150"/>
      <c r="O122" s="69">
        <f t="shared" si="18"/>
        <v>0</v>
      </c>
      <c r="P122" s="69">
        <f t="shared" si="19"/>
        <v>0</v>
      </c>
    </row>
    <row r="123" spans="2:16">
      <c r="B123" s="9" t="str">
        <f t="shared" si="23"/>
        <v/>
      </c>
      <c r="C123" s="64">
        <f>IF(D93="","-",+C122+1)</f>
        <v>2040</v>
      </c>
      <c r="D123" s="65">
        <f>IF(F122+SUM(E$99:E122)=D$92,F122,D$92-SUM(E$99:E122))</f>
        <v>0</v>
      </c>
      <c r="E123" s="71">
        <f>IF(+J96&lt;F122,J96,D123)</f>
        <v>0</v>
      </c>
      <c r="F123" s="70">
        <f t="shared" si="20"/>
        <v>0</v>
      </c>
      <c r="G123" s="70">
        <f t="shared" si="15"/>
        <v>0</v>
      </c>
      <c r="H123" s="73">
        <f t="shared" si="24"/>
        <v>0</v>
      </c>
      <c r="I123" s="127">
        <f t="shared" si="25"/>
        <v>0</v>
      </c>
      <c r="J123" s="69">
        <f t="shared" si="16"/>
        <v>0</v>
      </c>
      <c r="K123" s="69"/>
      <c r="L123" s="150"/>
      <c r="M123" s="69">
        <f t="shared" si="17"/>
        <v>0</v>
      </c>
      <c r="N123" s="150"/>
      <c r="O123" s="69">
        <f t="shared" si="18"/>
        <v>0</v>
      </c>
      <c r="P123" s="69">
        <f t="shared" si="19"/>
        <v>0</v>
      </c>
    </row>
    <row r="124" spans="2:16">
      <c r="B124" s="9" t="str">
        <f t="shared" si="23"/>
        <v/>
      </c>
      <c r="C124" s="64">
        <f>IF(D93="","-",+C123+1)</f>
        <v>2041</v>
      </c>
      <c r="D124" s="65">
        <f>IF(F123+SUM(E$99:E123)=D$92,F123,D$92-SUM(E$99:E123))</f>
        <v>0</v>
      </c>
      <c r="E124" s="71">
        <f>IF(+J96&lt;F123,J96,D124)</f>
        <v>0</v>
      </c>
      <c r="F124" s="70">
        <f t="shared" si="20"/>
        <v>0</v>
      </c>
      <c r="G124" s="70">
        <f t="shared" si="15"/>
        <v>0</v>
      </c>
      <c r="H124" s="73">
        <f t="shared" si="24"/>
        <v>0</v>
      </c>
      <c r="I124" s="127">
        <f t="shared" si="25"/>
        <v>0</v>
      </c>
      <c r="J124" s="69">
        <f t="shared" si="16"/>
        <v>0</v>
      </c>
      <c r="K124" s="69"/>
      <c r="L124" s="150"/>
      <c r="M124" s="69">
        <f t="shared" si="17"/>
        <v>0</v>
      </c>
      <c r="N124" s="150"/>
      <c r="O124" s="69">
        <f t="shared" si="18"/>
        <v>0</v>
      </c>
      <c r="P124" s="69">
        <f t="shared" si="19"/>
        <v>0</v>
      </c>
    </row>
    <row r="125" spans="2:16">
      <c r="B125" s="9" t="str">
        <f t="shared" si="23"/>
        <v/>
      </c>
      <c r="C125" s="64">
        <f>IF(D93="","-",+C124+1)</f>
        <v>2042</v>
      </c>
      <c r="D125" s="65">
        <f>IF(F124+SUM(E$99:E124)=D$92,F124,D$92-SUM(E$99:E124))</f>
        <v>0</v>
      </c>
      <c r="E125" s="71">
        <f>IF(+J96&lt;F124,J96,D125)</f>
        <v>0</v>
      </c>
      <c r="F125" s="70">
        <f t="shared" si="20"/>
        <v>0</v>
      </c>
      <c r="G125" s="70">
        <f t="shared" si="15"/>
        <v>0</v>
      </c>
      <c r="H125" s="73">
        <f t="shared" si="24"/>
        <v>0</v>
      </c>
      <c r="I125" s="127">
        <f t="shared" si="25"/>
        <v>0</v>
      </c>
      <c r="J125" s="69">
        <f t="shared" si="16"/>
        <v>0</v>
      </c>
      <c r="K125" s="69"/>
      <c r="L125" s="150"/>
      <c r="M125" s="69">
        <f t="shared" si="17"/>
        <v>0</v>
      </c>
      <c r="N125" s="150"/>
      <c r="O125" s="69">
        <f t="shared" si="18"/>
        <v>0</v>
      </c>
      <c r="P125" s="69">
        <f t="shared" si="19"/>
        <v>0</v>
      </c>
    </row>
    <row r="126" spans="2:16">
      <c r="B126" s="9" t="str">
        <f t="shared" si="23"/>
        <v/>
      </c>
      <c r="C126" s="64">
        <f>IF(D93="","-",+C125+1)</f>
        <v>2043</v>
      </c>
      <c r="D126" s="65">
        <f>IF(F125+SUM(E$99:E125)=D$92,F125,D$92-SUM(E$99:E125))</f>
        <v>0</v>
      </c>
      <c r="E126" s="71">
        <f>IF(+J96&lt;F125,J96,D126)</f>
        <v>0</v>
      </c>
      <c r="F126" s="70">
        <f t="shared" si="20"/>
        <v>0</v>
      </c>
      <c r="G126" s="70">
        <f t="shared" si="15"/>
        <v>0</v>
      </c>
      <c r="H126" s="73">
        <f t="shared" si="24"/>
        <v>0</v>
      </c>
      <c r="I126" s="127">
        <f t="shared" si="25"/>
        <v>0</v>
      </c>
      <c r="J126" s="69">
        <f t="shared" si="16"/>
        <v>0</v>
      </c>
      <c r="K126" s="69"/>
      <c r="L126" s="150"/>
      <c r="M126" s="69">
        <f t="shared" si="17"/>
        <v>0</v>
      </c>
      <c r="N126" s="150"/>
      <c r="O126" s="69">
        <f t="shared" si="18"/>
        <v>0</v>
      </c>
      <c r="P126" s="69">
        <f t="shared" si="19"/>
        <v>0</v>
      </c>
    </row>
    <row r="127" spans="2:16">
      <c r="B127" s="9" t="str">
        <f t="shared" si="23"/>
        <v/>
      </c>
      <c r="C127" s="64">
        <f>IF(D93="","-",+C126+1)</f>
        <v>2044</v>
      </c>
      <c r="D127" s="65">
        <f>IF(F126+SUM(E$99:E126)=D$92,F126,D$92-SUM(E$99:E126))</f>
        <v>0</v>
      </c>
      <c r="E127" s="71">
        <f>IF(+J96&lt;F126,J96,D127)</f>
        <v>0</v>
      </c>
      <c r="F127" s="70">
        <f t="shared" si="20"/>
        <v>0</v>
      </c>
      <c r="G127" s="70">
        <f t="shared" si="15"/>
        <v>0</v>
      </c>
      <c r="H127" s="73">
        <f t="shared" si="24"/>
        <v>0</v>
      </c>
      <c r="I127" s="127">
        <f t="shared" si="25"/>
        <v>0</v>
      </c>
      <c r="J127" s="69">
        <f t="shared" si="16"/>
        <v>0</v>
      </c>
      <c r="K127" s="69"/>
      <c r="L127" s="150"/>
      <c r="M127" s="69">
        <f t="shared" si="17"/>
        <v>0</v>
      </c>
      <c r="N127" s="150"/>
      <c r="O127" s="69">
        <f t="shared" si="18"/>
        <v>0</v>
      </c>
      <c r="P127" s="69">
        <f t="shared" si="19"/>
        <v>0</v>
      </c>
    </row>
    <row r="128" spans="2:16">
      <c r="B128" s="9" t="str">
        <f t="shared" si="23"/>
        <v/>
      </c>
      <c r="C128" s="64">
        <f>IF(D93="","-",+C127+1)</f>
        <v>2045</v>
      </c>
      <c r="D128" s="65">
        <f>IF(F127+SUM(E$99:E127)=D$92,F127,D$92-SUM(E$99:E127))</f>
        <v>0</v>
      </c>
      <c r="E128" s="71">
        <f>IF(+J96&lt;F127,J96,D128)</f>
        <v>0</v>
      </c>
      <c r="F128" s="70">
        <f t="shared" si="20"/>
        <v>0</v>
      </c>
      <c r="G128" s="70">
        <f t="shared" si="15"/>
        <v>0</v>
      </c>
      <c r="H128" s="73">
        <f t="shared" si="24"/>
        <v>0</v>
      </c>
      <c r="I128" s="127">
        <f t="shared" si="25"/>
        <v>0</v>
      </c>
      <c r="J128" s="69">
        <f t="shared" si="16"/>
        <v>0</v>
      </c>
      <c r="K128" s="69"/>
      <c r="L128" s="150"/>
      <c r="M128" s="69">
        <f t="shared" si="17"/>
        <v>0</v>
      </c>
      <c r="N128" s="150"/>
      <c r="O128" s="69">
        <f t="shared" si="18"/>
        <v>0</v>
      </c>
      <c r="P128" s="69">
        <f t="shared" si="19"/>
        <v>0</v>
      </c>
    </row>
    <row r="129" spans="2:16">
      <c r="B129" s="9" t="str">
        <f t="shared" si="23"/>
        <v/>
      </c>
      <c r="C129" s="64">
        <f>IF(D93="","-",+C128+1)</f>
        <v>2046</v>
      </c>
      <c r="D129" s="65">
        <f>IF(F128+SUM(E$99:E128)=D$92,F128,D$92-SUM(E$99:E128))</f>
        <v>0</v>
      </c>
      <c r="E129" s="71">
        <f>IF(+J96&lt;F128,J96,D129)</f>
        <v>0</v>
      </c>
      <c r="F129" s="70">
        <f t="shared" si="20"/>
        <v>0</v>
      </c>
      <c r="G129" s="70">
        <f t="shared" si="15"/>
        <v>0</v>
      </c>
      <c r="H129" s="73">
        <f t="shared" si="24"/>
        <v>0</v>
      </c>
      <c r="I129" s="127">
        <f t="shared" si="25"/>
        <v>0</v>
      </c>
      <c r="J129" s="69">
        <f t="shared" si="16"/>
        <v>0</v>
      </c>
      <c r="K129" s="69"/>
      <c r="L129" s="150"/>
      <c r="M129" s="69">
        <f t="shared" si="17"/>
        <v>0</v>
      </c>
      <c r="N129" s="150"/>
      <c r="O129" s="69">
        <f t="shared" si="18"/>
        <v>0</v>
      </c>
      <c r="P129" s="69">
        <f t="shared" si="19"/>
        <v>0</v>
      </c>
    </row>
    <row r="130" spans="2:16">
      <c r="B130" s="9" t="str">
        <f t="shared" si="23"/>
        <v/>
      </c>
      <c r="C130" s="64">
        <f>IF(D93="","-",+C129+1)</f>
        <v>2047</v>
      </c>
      <c r="D130" s="65">
        <f>IF(F129+SUM(E$99:E129)=D$92,F129,D$92-SUM(E$99:E129))</f>
        <v>0</v>
      </c>
      <c r="E130" s="71">
        <f>IF(+J96&lt;F129,J96,D130)</f>
        <v>0</v>
      </c>
      <c r="F130" s="70">
        <f t="shared" si="20"/>
        <v>0</v>
      </c>
      <c r="G130" s="70">
        <f t="shared" si="15"/>
        <v>0</v>
      </c>
      <c r="H130" s="73">
        <f t="shared" si="24"/>
        <v>0</v>
      </c>
      <c r="I130" s="127">
        <f t="shared" si="25"/>
        <v>0</v>
      </c>
      <c r="J130" s="69">
        <f t="shared" si="16"/>
        <v>0</v>
      </c>
      <c r="K130" s="69"/>
      <c r="L130" s="150"/>
      <c r="M130" s="69">
        <f t="shared" si="17"/>
        <v>0</v>
      </c>
      <c r="N130" s="150"/>
      <c r="O130" s="69">
        <f t="shared" si="18"/>
        <v>0</v>
      </c>
      <c r="P130" s="69">
        <f t="shared" si="19"/>
        <v>0</v>
      </c>
    </row>
    <row r="131" spans="2:16">
      <c r="B131" s="9" t="str">
        <f t="shared" si="23"/>
        <v/>
      </c>
      <c r="C131" s="64">
        <f>IF(D93="","-",+C130+1)</f>
        <v>2048</v>
      </c>
      <c r="D131" s="65">
        <f>IF(F130+SUM(E$99:E130)=D$92,F130,D$92-SUM(E$99:E130))</f>
        <v>0</v>
      </c>
      <c r="E131" s="71">
        <f>IF(+J96&lt;F130,J96,D131)</f>
        <v>0</v>
      </c>
      <c r="F131" s="70">
        <f t="shared" ref="F131:F154" si="26">+D131-E131</f>
        <v>0</v>
      </c>
      <c r="G131" s="70">
        <f t="shared" ref="G131:G154" si="27">+(F131+D131)/2</f>
        <v>0</v>
      </c>
      <c r="H131" s="73">
        <f t="shared" si="24"/>
        <v>0</v>
      </c>
      <c r="I131" s="127">
        <f t="shared" si="25"/>
        <v>0</v>
      </c>
      <c r="J131" s="69">
        <f t="shared" ref="J131:J154" si="28">+I541-H541</f>
        <v>0</v>
      </c>
      <c r="K131" s="69"/>
      <c r="L131" s="150"/>
      <c r="M131" s="69">
        <f t="shared" ref="M131:M154" si="29">IF(L541&lt;&gt;0,+H541-L541,0)</f>
        <v>0</v>
      </c>
      <c r="N131" s="150"/>
      <c r="O131" s="69">
        <f t="shared" ref="O131:O154" si="30">IF(N541&lt;&gt;0,+I541-N541,0)</f>
        <v>0</v>
      </c>
      <c r="P131" s="69">
        <f t="shared" ref="P131:P154" si="31">+O541-M541</f>
        <v>0</v>
      </c>
    </row>
    <row r="132" spans="2:16">
      <c r="B132" s="9" t="str">
        <f t="shared" si="23"/>
        <v/>
      </c>
      <c r="C132" s="64">
        <f>IF(D93="","-",+C131+1)</f>
        <v>2049</v>
      </c>
      <c r="D132" s="65">
        <f>IF(F131+SUM(E$99:E131)=D$92,F131,D$92-SUM(E$99:E131))</f>
        <v>0</v>
      </c>
      <c r="E132" s="71">
        <f>IF(+J96&lt;F131,J96,D132)</f>
        <v>0</v>
      </c>
      <c r="F132" s="70">
        <f t="shared" si="26"/>
        <v>0</v>
      </c>
      <c r="G132" s="70">
        <f t="shared" si="27"/>
        <v>0</v>
      </c>
      <c r="H132" s="73">
        <f t="shared" si="24"/>
        <v>0</v>
      </c>
      <c r="I132" s="127">
        <f t="shared" si="25"/>
        <v>0</v>
      </c>
      <c r="J132" s="69">
        <f t="shared" si="28"/>
        <v>0</v>
      </c>
      <c r="K132" s="69"/>
      <c r="L132" s="150"/>
      <c r="M132" s="69">
        <f t="shared" si="29"/>
        <v>0</v>
      </c>
      <c r="N132" s="150"/>
      <c r="O132" s="69">
        <f t="shared" si="30"/>
        <v>0</v>
      </c>
      <c r="P132" s="69">
        <f t="shared" si="31"/>
        <v>0</v>
      </c>
    </row>
    <row r="133" spans="2:16">
      <c r="B133" s="9" t="str">
        <f t="shared" si="23"/>
        <v/>
      </c>
      <c r="C133" s="64">
        <f>IF(D93="","-",+C132+1)</f>
        <v>2050</v>
      </c>
      <c r="D133" s="65">
        <f>IF(F132+SUM(E$99:E132)=D$92,F132,D$92-SUM(E$99:E132))</f>
        <v>0</v>
      </c>
      <c r="E133" s="71">
        <f>IF(+J96&lt;F132,J96,D133)</f>
        <v>0</v>
      </c>
      <c r="F133" s="70">
        <f t="shared" si="26"/>
        <v>0</v>
      </c>
      <c r="G133" s="70">
        <f t="shared" si="27"/>
        <v>0</v>
      </c>
      <c r="H133" s="73">
        <f t="shared" si="24"/>
        <v>0</v>
      </c>
      <c r="I133" s="127">
        <f t="shared" si="25"/>
        <v>0</v>
      </c>
      <c r="J133" s="69">
        <f t="shared" si="28"/>
        <v>0</v>
      </c>
      <c r="K133" s="69"/>
      <c r="L133" s="150"/>
      <c r="M133" s="69">
        <f t="shared" si="29"/>
        <v>0</v>
      </c>
      <c r="N133" s="150"/>
      <c r="O133" s="69">
        <f t="shared" si="30"/>
        <v>0</v>
      </c>
      <c r="P133" s="69">
        <f t="shared" si="31"/>
        <v>0</v>
      </c>
    </row>
    <row r="134" spans="2:16">
      <c r="B134" s="9" t="str">
        <f t="shared" si="23"/>
        <v/>
      </c>
      <c r="C134" s="64">
        <f>IF(D93="","-",+C133+1)</f>
        <v>2051</v>
      </c>
      <c r="D134" s="65">
        <f>IF(F133+SUM(E$99:E133)=D$92,F133,D$92-SUM(E$99:E133))</f>
        <v>0</v>
      </c>
      <c r="E134" s="71">
        <f>IF(+J96&lt;F133,J96,D134)</f>
        <v>0</v>
      </c>
      <c r="F134" s="70">
        <f t="shared" si="26"/>
        <v>0</v>
      </c>
      <c r="G134" s="70">
        <f t="shared" si="27"/>
        <v>0</v>
      </c>
      <c r="H134" s="73">
        <f t="shared" si="24"/>
        <v>0</v>
      </c>
      <c r="I134" s="127">
        <f t="shared" si="25"/>
        <v>0</v>
      </c>
      <c r="J134" s="69">
        <f t="shared" si="28"/>
        <v>0</v>
      </c>
      <c r="K134" s="69"/>
      <c r="L134" s="150"/>
      <c r="M134" s="69">
        <f t="shared" si="29"/>
        <v>0</v>
      </c>
      <c r="N134" s="150"/>
      <c r="O134" s="69">
        <f t="shared" si="30"/>
        <v>0</v>
      </c>
      <c r="P134" s="69">
        <f t="shared" si="31"/>
        <v>0</v>
      </c>
    </row>
    <row r="135" spans="2:16">
      <c r="B135" s="9" t="str">
        <f t="shared" si="23"/>
        <v/>
      </c>
      <c r="C135" s="64">
        <f>IF(D93="","-",+C134+1)</f>
        <v>2052</v>
      </c>
      <c r="D135" s="65">
        <f>IF(F134+SUM(E$99:E134)=D$92,F134,D$92-SUM(E$99:E134))</f>
        <v>0</v>
      </c>
      <c r="E135" s="71">
        <f>IF(+J96&lt;F134,J96,D135)</f>
        <v>0</v>
      </c>
      <c r="F135" s="70">
        <f t="shared" si="26"/>
        <v>0</v>
      </c>
      <c r="G135" s="70">
        <f t="shared" si="27"/>
        <v>0</v>
      </c>
      <c r="H135" s="73">
        <f t="shared" si="24"/>
        <v>0</v>
      </c>
      <c r="I135" s="127">
        <f t="shared" si="25"/>
        <v>0</v>
      </c>
      <c r="J135" s="69">
        <f t="shared" si="28"/>
        <v>0</v>
      </c>
      <c r="K135" s="69"/>
      <c r="L135" s="150"/>
      <c r="M135" s="69">
        <f t="shared" si="29"/>
        <v>0</v>
      </c>
      <c r="N135" s="150"/>
      <c r="O135" s="69">
        <f t="shared" si="30"/>
        <v>0</v>
      </c>
      <c r="P135" s="69">
        <f t="shared" si="31"/>
        <v>0</v>
      </c>
    </row>
    <row r="136" spans="2:16">
      <c r="B136" s="9" t="str">
        <f t="shared" si="23"/>
        <v/>
      </c>
      <c r="C136" s="64">
        <f>IF(D93="","-",+C135+1)</f>
        <v>2053</v>
      </c>
      <c r="D136" s="65">
        <f>IF(F135+SUM(E$99:E135)=D$92,F135,D$92-SUM(E$99:E135))</f>
        <v>0</v>
      </c>
      <c r="E136" s="71">
        <f>IF(+J96&lt;F135,J96,D136)</f>
        <v>0</v>
      </c>
      <c r="F136" s="70">
        <f t="shared" si="26"/>
        <v>0</v>
      </c>
      <c r="G136" s="70">
        <f t="shared" si="27"/>
        <v>0</v>
      </c>
      <c r="H136" s="73">
        <f t="shared" si="24"/>
        <v>0</v>
      </c>
      <c r="I136" s="127">
        <f t="shared" si="25"/>
        <v>0</v>
      </c>
      <c r="J136" s="69">
        <f t="shared" si="28"/>
        <v>0</v>
      </c>
      <c r="K136" s="69"/>
      <c r="L136" s="150"/>
      <c r="M136" s="69">
        <f t="shared" si="29"/>
        <v>0</v>
      </c>
      <c r="N136" s="150"/>
      <c r="O136" s="69">
        <f t="shared" si="30"/>
        <v>0</v>
      </c>
      <c r="P136" s="69">
        <f t="shared" si="31"/>
        <v>0</v>
      </c>
    </row>
    <row r="137" spans="2:16">
      <c r="B137" s="9" t="str">
        <f t="shared" si="23"/>
        <v/>
      </c>
      <c r="C137" s="64">
        <f>IF(D93="","-",+C136+1)</f>
        <v>2054</v>
      </c>
      <c r="D137" s="65">
        <f>IF(F136+SUM(E$99:E136)=D$92,F136,D$92-SUM(E$99:E136))</f>
        <v>0</v>
      </c>
      <c r="E137" s="71">
        <f>IF(+J96&lt;F136,J96,D137)</f>
        <v>0</v>
      </c>
      <c r="F137" s="70">
        <f t="shared" si="26"/>
        <v>0</v>
      </c>
      <c r="G137" s="70">
        <f t="shared" si="27"/>
        <v>0</v>
      </c>
      <c r="H137" s="73">
        <f t="shared" si="24"/>
        <v>0</v>
      </c>
      <c r="I137" s="127">
        <f t="shared" si="25"/>
        <v>0</v>
      </c>
      <c r="J137" s="69">
        <f t="shared" si="28"/>
        <v>0</v>
      </c>
      <c r="K137" s="69"/>
      <c r="L137" s="150"/>
      <c r="M137" s="69">
        <f t="shared" si="29"/>
        <v>0</v>
      </c>
      <c r="N137" s="150"/>
      <c r="O137" s="69">
        <f t="shared" si="30"/>
        <v>0</v>
      </c>
      <c r="P137" s="69">
        <f t="shared" si="31"/>
        <v>0</v>
      </c>
    </row>
    <row r="138" spans="2:16">
      <c r="B138" s="9" t="str">
        <f t="shared" si="23"/>
        <v/>
      </c>
      <c r="C138" s="64">
        <f>IF(D93="","-",+C137+1)</f>
        <v>2055</v>
      </c>
      <c r="D138" s="65">
        <f>IF(F137+SUM(E$99:E137)=D$92,F137,D$92-SUM(E$99:E137))</f>
        <v>0</v>
      </c>
      <c r="E138" s="71">
        <f>IF(+J96&lt;F137,J96,D138)</f>
        <v>0</v>
      </c>
      <c r="F138" s="70">
        <f t="shared" si="26"/>
        <v>0</v>
      </c>
      <c r="G138" s="70">
        <f t="shared" si="27"/>
        <v>0</v>
      </c>
      <c r="H138" s="73">
        <f t="shared" si="24"/>
        <v>0</v>
      </c>
      <c r="I138" s="127">
        <f t="shared" si="25"/>
        <v>0</v>
      </c>
      <c r="J138" s="69">
        <f t="shared" si="28"/>
        <v>0</v>
      </c>
      <c r="K138" s="69"/>
      <c r="L138" s="150"/>
      <c r="M138" s="69">
        <f t="shared" si="29"/>
        <v>0</v>
      </c>
      <c r="N138" s="150"/>
      <c r="O138" s="69">
        <f t="shared" si="30"/>
        <v>0</v>
      </c>
      <c r="P138" s="69">
        <f t="shared" si="31"/>
        <v>0</v>
      </c>
    </row>
    <row r="139" spans="2:16">
      <c r="B139" s="9" t="str">
        <f t="shared" si="23"/>
        <v/>
      </c>
      <c r="C139" s="64">
        <f>IF(D93="","-",+C138+1)</f>
        <v>2056</v>
      </c>
      <c r="D139" s="65">
        <f>IF(F138+SUM(E$99:E138)=D$92,F138,D$92-SUM(E$99:E138))</f>
        <v>0</v>
      </c>
      <c r="E139" s="71">
        <f>IF(+J96&lt;F138,J96,D139)</f>
        <v>0</v>
      </c>
      <c r="F139" s="70">
        <f t="shared" si="26"/>
        <v>0</v>
      </c>
      <c r="G139" s="70">
        <f t="shared" si="27"/>
        <v>0</v>
      </c>
      <c r="H139" s="73">
        <f t="shared" si="24"/>
        <v>0</v>
      </c>
      <c r="I139" s="127">
        <f t="shared" si="25"/>
        <v>0</v>
      </c>
      <c r="J139" s="69">
        <f t="shared" si="28"/>
        <v>0</v>
      </c>
      <c r="K139" s="69"/>
      <c r="L139" s="150"/>
      <c r="M139" s="69">
        <f t="shared" si="29"/>
        <v>0</v>
      </c>
      <c r="N139" s="150"/>
      <c r="O139" s="69">
        <f t="shared" si="30"/>
        <v>0</v>
      </c>
      <c r="P139" s="69">
        <f t="shared" si="31"/>
        <v>0</v>
      </c>
    </row>
    <row r="140" spans="2:16">
      <c r="B140" s="9" t="str">
        <f t="shared" si="23"/>
        <v/>
      </c>
      <c r="C140" s="64">
        <f>IF(D93="","-",+C139+1)</f>
        <v>2057</v>
      </c>
      <c r="D140" s="65">
        <f>IF(F139+SUM(E$99:E139)=D$92,F139,D$92-SUM(E$99:E139))</f>
        <v>0</v>
      </c>
      <c r="E140" s="71">
        <f>IF(+J96&lt;F139,J96,D140)</f>
        <v>0</v>
      </c>
      <c r="F140" s="70">
        <f t="shared" si="26"/>
        <v>0</v>
      </c>
      <c r="G140" s="70">
        <f t="shared" si="27"/>
        <v>0</v>
      </c>
      <c r="H140" s="73">
        <f t="shared" si="24"/>
        <v>0</v>
      </c>
      <c r="I140" s="127">
        <f t="shared" si="25"/>
        <v>0</v>
      </c>
      <c r="J140" s="69">
        <f t="shared" si="28"/>
        <v>0</v>
      </c>
      <c r="K140" s="69"/>
      <c r="L140" s="150"/>
      <c r="M140" s="69">
        <f t="shared" si="29"/>
        <v>0</v>
      </c>
      <c r="N140" s="150"/>
      <c r="O140" s="69">
        <f t="shared" si="30"/>
        <v>0</v>
      </c>
      <c r="P140" s="69">
        <f t="shared" si="31"/>
        <v>0</v>
      </c>
    </row>
    <row r="141" spans="2:16">
      <c r="B141" s="9" t="str">
        <f t="shared" si="23"/>
        <v/>
      </c>
      <c r="C141" s="64">
        <f>IF(D93="","-",+C140+1)</f>
        <v>2058</v>
      </c>
      <c r="D141" s="65">
        <f>IF(F140+SUM(E$99:E140)=D$92,F140,D$92-SUM(E$99:E140))</f>
        <v>0</v>
      </c>
      <c r="E141" s="71">
        <f>IF(+J96&lt;F140,J96,D141)</f>
        <v>0</v>
      </c>
      <c r="F141" s="70">
        <f t="shared" si="26"/>
        <v>0</v>
      </c>
      <c r="G141" s="70">
        <f t="shared" si="27"/>
        <v>0</v>
      </c>
      <c r="H141" s="73">
        <f t="shared" si="24"/>
        <v>0</v>
      </c>
      <c r="I141" s="127">
        <f t="shared" si="25"/>
        <v>0</v>
      </c>
      <c r="J141" s="69">
        <f t="shared" si="28"/>
        <v>0</v>
      </c>
      <c r="K141" s="69"/>
      <c r="L141" s="150"/>
      <c r="M141" s="69">
        <f t="shared" si="29"/>
        <v>0</v>
      </c>
      <c r="N141" s="150"/>
      <c r="O141" s="69">
        <f t="shared" si="30"/>
        <v>0</v>
      </c>
      <c r="P141" s="69">
        <f t="shared" si="31"/>
        <v>0</v>
      </c>
    </row>
    <row r="142" spans="2:16">
      <c r="B142" s="9" t="str">
        <f t="shared" si="23"/>
        <v/>
      </c>
      <c r="C142" s="64">
        <f>IF(D93="","-",+C141+1)</f>
        <v>2059</v>
      </c>
      <c r="D142" s="65">
        <f>IF(F141+SUM(E$99:E141)=D$92,F141,D$92-SUM(E$99:E141))</f>
        <v>0</v>
      </c>
      <c r="E142" s="71">
        <f>IF(+J96&lt;F141,J96,D142)</f>
        <v>0</v>
      </c>
      <c r="F142" s="70">
        <f t="shared" si="26"/>
        <v>0</v>
      </c>
      <c r="G142" s="70">
        <f t="shared" si="27"/>
        <v>0</v>
      </c>
      <c r="H142" s="73">
        <f t="shared" si="24"/>
        <v>0</v>
      </c>
      <c r="I142" s="127">
        <f t="shared" si="25"/>
        <v>0</v>
      </c>
      <c r="J142" s="69">
        <f t="shared" si="28"/>
        <v>0</v>
      </c>
      <c r="K142" s="69"/>
      <c r="L142" s="150"/>
      <c r="M142" s="69">
        <f t="shared" si="29"/>
        <v>0</v>
      </c>
      <c r="N142" s="150"/>
      <c r="O142" s="69">
        <f t="shared" si="30"/>
        <v>0</v>
      </c>
      <c r="P142" s="69">
        <f t="shared" si="31"/>
        <v>0</v>
      </c>
    </row>
    <row r="143" spans="2:16">
      <c r="B143" s="9" t="str">
        <f t="shared" si="23"/>
        <v/>
      </c>
      <c r="C143" s="64">
        <f>IF(D93="","-",+C142+1)</f>
        <v>2060</v>
      </c>
      <c r="D143" s="65">
        <f>IF(F142+SUM(E$99:E142)=D$92,F142,D$92-SUM(E$99:E142))</f>
        <v>0</v>
      </c>
      <c r="E143" s="71">
        <f>IF(+J96&lt;F142,J96,D143)</f>
        <v>0</v>
      </c>
      <c r="F143" s="70">
        <f t="shared" si="26"/>
        <v>0</v>
      </c>
      <c r="G143" s="70">
        <f t="shared" si="27"/>
        <v>0</v>
      </c>
      <c r="H143" s="73">
        <f t="shared" si="24"/>
        <v>0</v>
      </c>
      <c r="I143" s="127">
        <f t="shared" si="25"/>
        <v>0</v>
      </c>
      <c r="J143" s="69">
        <f t="shared" si="28"/>
        <v>0</v>
      </c>
      <c r="K143" s="69"/>
      <c r="L143" s="150"/>
      <c r="M143" s="69">
        <f t="shared" si="29"/>
        <v>0</v>
      </c>
      <c r="N143" s="150"/>
      <c r="O143" s="69">
        <f t="shared" si="30"/>
        <v>0</v>
      </c>
      <c r="P143" s="69">
        <f t="shared" si="31"/>
        <v>0</v>
      </c>
    </row>
    <row r="144" spans="2:16">
      <c r="B144" s="9" t="str">
        <f t="shared" si="23"/>
        <v/>
      </c>
      <c r="C144" s="64">
        <f>IF(D93="","-",+C143+1)</f>
        <v>2061</v>
      </c>
      <c r="D144" s="65">
        <f>IF(F143+SUM(E$99:E143)=D$92,F143,D$92-SUM(E$99:E143))</f>
        <v>0</v>
      </c>
      <c r="E144" s="71">
        <f>IF(+J96&lt;F143,J96,D144)</f>
        <v>0</v>
      </c>
      <c r="F144" s="70">
        <f t="shared" si="26"/>
        <v>0</v>
      </c>
      <c r="G144" s="70">
        <f t="shared" si="27"/>
        <v>0</v>
      </c>
      <c r="H144" s="73">
        <f t="shared" si="24"/>
        <v>0</v>
      </c>
      <c r="I144" s="127">
        <f t="shared" si="25"/>
        <v>0</v>
      </c>
      <c r="J144" s="69">
        <f t="shared" si="28"/>
        <v>0</v>
      </c>
      <c r="K144" s="69"/>
      <c r="L144" s="150"/>
      <c r="M144" s="69">
        <f t="shared" si="29"/>
        <v>0</v>
      </c>
      <c r="N144" s="150"/>
      <c r="O144" s="69">
        <f t="shared" si="30"/>
        <v>0</v>
      </c>
      <c r="P144" s="69">
        <f t="shared" si="31"/>
        <v>0</v>
      </c>
    </row>
    <row r="145" spans="2:16">
      <c r="B145" s="9" t="str">
        <f t="shared" si="23"/>
        <v/>
      </c>
      <c r="C145" s="64">
        <f>IF(D93="","-",+C144+1)</f>
        <v>2062</v>
      </c>
      <c r="D145" s="65">
        <f>IF(F144+SUM(E$99:E144)=D$92,F144,D$92-SUM(E$99:E144))</f>
        <v>0</v>
      </c>
      <c r="E145" s="71">
        <f>IF(+J96&lt;F144,J96,D145)</f>
        <v>0</v>
      </c>
      <c r="F145" s="70">
        <f t="shared" si="26"/>
        <v>0</v>
      </c>
      <c r="G145" s="70">
        <f t="shared" si="27"/>
        <v>0</v>
      </c>
      <c r="H145" s="73">
        <f t="shared" si="24"/>
        <v>0</v>
      </c>
      <c r="I145" s="127">
        <f t="shared" si="25"/>
        <v>0</v>
      </c>
      <c r="J145" s="69">
        <f t="shared" si="28"/>
        <v>0</v>
      </c>
      <c r="K145" s="69"/>
      <c r="L145" s="150"/>
      <c r="M145" s="69">
        <f t="shared" si="29"/>
        <v>0</v>
      </c>
      <c r="N145" s="150"/>
      <c r="O145" s="69">
        <f t="shared" si="30"/>
        <v>0</v>
      </c>
      <c r="P145" s="69">
        <f t="shared" si="31"/>
        <v>0</v>
      </c>
    </row>
    <row r="146" spans="2:16">
      <c r="B146" s="9" t="str">
        <f t="shared" si="23"/>
        <v/>
      </c>
      <c r="C146" s="64">
        <f>IF(D93="","-",+C145+1)</f>
        <v>2063</v>
      </c>
      <c r="D146" s="65">
        <f>IF(F145+SUM(E$99:E145)=D$92,F145,D$92-SUM(E$99:E145))</f>
        <v>0</v>
      </c>
      <c r="E146" s="71">
        <f>IF(+J96&lt;F145,J96,D146)</f>
        <v>0</v>
      </c>
      <c r="F146" s="70">
        <f t="shared" si="26"/>
        <v>0</v>
      </c>
      <c r="G146" s="70">
        <f t="shared" si="27"/>
        <v>0</v>
      </c>
      <c r="H146" s="73">
        <f t="shared" si="24"/>
        <v>0</v>
      </c>
      <c r="I146" s="127">
        <f t="shared" si="25"/>
        <v>0</v>
      </c>
      <c r="J146" s="69">
        <f t="shared" si="28"/>
        <v>0</v>
      </c>
      <c r="K146" s="69"/>
      <c r="L146" s="150"/>
      <c r="M146" s="69">
        <f t="shared" si="29"/>
        <v>0</v>
      </c>
      <c r="N146" s="150"/>
      <c r="O146" s="69">
        <f t="shared" si="30"/>
        <v>0</v>
      </c>
      <c r="P146" s="69">
        <f t="shared" si="31"/>
        <v>0</v>
      </c>
    </row>
    <row r="147" spans="2:16">
      <c r="B147" s="9" t="str">
        <f t="shared" si="23"/>
        <v/>
      </c>
      <c r="C147" s="64">
        <f>IF(D93="","-",+C146+1)</f>
        <v>2064</v>
      </c>
      <c r="D147" s="65">
        <f>IF(F146+SUM(E$99:E146)=D$92,F146,D$92-SUM(E$99:E146))</f>
        <v>0</v>
      </c>
      <c r="E147" s="71">
        <f>IF(+J96&lt;F146,J96,D147)</f>
        <v>0</v>
      </c>
      <c r="F147" s="70">
        <f t="shared" si="26"/>
        <v>0</v>
      </c>
      <c r="G147" s="70">
        <f t="shared" si="27"/>
        <v>0</v>
      </c>
      <c r="H147" s="73">
        <f t="shared" si="24"/>
        <v>0</v>
      </c>
      <c r="I147" s="127">
        <f t="shared" si="25"/>
        <v>0</v>
      </c>
      <c r="J147" s="69">
        <f t="shared" si="28"/>
        <v>0</v>
      </c>
      <c r="K147" s="69"/>
      <c r="L147" s="150"/>
      <c r="M147" s="69">
        <f t="shared" si="29"/>
        <v>0</v>
      </c>
      <c r="N147" s="150"/>
      <c r="O147" s="69">
        <f t="shared" si="30"/>
        <v>0</v>
      </c>
      <c r="P147" s="69">
        <f t="shared" si="31"/>
        <v>0</v>
      </c>
    </row>
    <row r="148" spans="2:16">
      <c r="B148" s="9" t="str">
        <f t="shared" si="23"/>
        <v/>
      </c>
      <c r="C148" s="64">
        <f>IF(D93="","-",+C147+1)</f>
        <v>2065</v>
      </c>
      <c r="D148" s="65">
        <f>IF(F147+SUM(E$99:E147)=D$92,F147,D$92-SUM(E$99:E147))</f>
        <v>0</v>
      </c>
      <c r="E148" s="71">
        <f>IF(+J96&lt;F147,J96,D148)</f>
        <v>0</v>
      </c>
      <c r="F148" s="70">
        <f t="shared" si="26"/>
        <v>0</v>
      </c>
      <c r="G148" s="70">
        <f t="shared" si="27"/>
        <v>0</v>
      </c>
      <c r="H148" s="73">
        <f t="shared" si="24"/>
        <v>0</v>
      </c>
      <c r="I148" s="127">
        <f t="shared" si="25"/>
        <v>0</v>
      </c>
      <c r="J148" s="69">
        <f t="shared" si="28"/>
        <v>0</v>
      </c>
      <c r="K148" s="69"/>
      <c r="L148" s="150"/>
      <c r="M148" s="69">
        <f t="shared" si="29"/>
        <v>0</v>
      </c>
      <c r="N148" s="150"/>
      <c r="O148" s="69">
        <f t="shared" si="30"/>
        <v>0</v>
      </c>
      <c r="P148" s="69">
        <f t="shared" si="31"/>
        <v>0</v>
      </c>
    </row>
    <row r="149" spans="2:16">
      <c r="B149" s="9" t="str">
        <f t="shared" si="23"/>
        <v/>
      </c>
      <c r="C149" s="64">
        <f>IF(D93="","-",+C148+1)</f>
        <v>2066</v>
      </c>
      <c r="D149" s="65">
        <f>IF(F148+SUM(E$99:E148)=D$92,F148,D$92-SUM(E$99:E148))</f>
        <v>0</v>
      </c>
      <c r="E149" s="71">
        <f>IF(+J96&lt;F148,J96,D149)</f>
        <v>0</v>
      </c>
      <c r="F149" s="70">
        <f t="shared" si="26"/>
        <v>0</v>
      </c>
      <c r="G149" s="70">
        <f t="shared" si="27"/>
        <v>0</v>
      </c>
      <c r="H149" s="73">
        <f t="shared" si="24"/>
        <v>0</v>
      </c>
      <c r="I149" s="127">
        <f t="shared" si="25"/>
        <v>0</v>
      </c>
      <c r="J149" s="69">
        <f t="shared" si="28"/>
        <v>0</v>
      </c>
      <c r="K149" s="69"/>
      <c r="L149" s="150"/>
      <c r="M149" s="69">
        <f t="shared" si="29"/>
        <v>0</v>
      </c>
      <c r="N149" s="150"/>
      <c r="O149" s="69">
        <f t="shared" si="30"/>
        <v>0</v>
      </c>
      <c r="P149" s="69">
        <f t="shared" si="31"/>
        <v>0</v>
      </c>
    </row>
    <row r="150" spans="2:16">
      <c r="B150" s="9" t="str">
        <f t="shared" si="23"/>
        <v/>
      </c>
      <c r="C150" s="64">
        <f>IF(D93="","-",+C149+1)</f>
        <v>2067</v>
      </c>
      <c r="D150" s="65">
        <f>IF(F149+SUM(E$99:E149)=D$92,F149,D$92-SUM(E$99:E149))</f>
        <v>0</v>
      </c>
      <c r="E150" s="71">
        <f>IF(+J96&lt;F149,J96,D150)</f>
        <v>0</v>
      </c>
      <c r="F150" s="70">
        <f t="shared" si="26"/>
        <v>0</v>
      </c>
      <c r="G150" s="70">
        <f t="shared" si="27"/>
        <v>0</v>
      </c>
      <c r="H150" s="73">
        <f t="shared" si="24"/>
        <v>0</v>
      </c>
      <c r="I150" s="127">
        <f t="shared" si="25"/>
        <v>0</v>
      </c>
      <c r="J150" s="69">
        <f t="shared" si="28"/>
        <v>0</v>
      </c>
      <c r="K150" s="69"/>
      <c r="L150" s="150"/>
      <c r="M150" s="69">
        <f t="shared" si="29"/>
        <v>0</v>
      </c>
      <c r="N150" s="150"/>
      <c r="O150" s="69">
        <f t="shared" si="30"/>
        <v>0</v>
      </c>
      <c r="P150" s="69">
        <f t="shared" si="31"/>
        <v>0</v>
      </c>
    </row>
    <row r="151" spans="2:16">
      <c r="B151" s="9" t="str">
        <f t="shared" si="23"/>
        <v/>
      </c>
      <c r="C151" s="64">
        <f>IF(D93="","-",+C150+1)</f>
        <v>2068</v>
      </c>
      <c r="D151" s="65">
        <f>IF(F150+SUM(E$99:E150)=D$92,F150,D$92-SUM(E$99:E150))</f>
        <v>0</v>
      </c>
      <c r="E151" s="71">
        <f>IF(+J96&lt;F150,J96,D151)</f>
        <v>0</v>
      </c>
      <c r="F151" s="70">
        <f t="shared" si="26"/>
        <v>0</v>
      </c>
      <c r="G151" s="70">
        <f t="shared" si="27"/>
        <v>0</v>
      </c>
      <c r="H151" s="73">
        <f t="shared" si="24"/>
        <v>0</v>
      </c>
      <c r="I151" s="127">
        <f t="shared" si="25"/>
        <v>0</v>
      </c>
      <c r="J151" s="69">
        <f t="shared" si="28"/>
        <v>0</v>
      </c>
      <c r="K151" s="69"/>
      <c r="L151" s="150"/>
      <c r="M151" s="69">
        <f t="shared" si="29"/>
        <v>0</v>
      </c>
      <c r="N151" s="150"/>
      <c r="O151" s="69">
        <f t="shared" si="30"/>
        <v>0</v>
      </c>
      <c r="P151" s="69">
        <f t="shared" si="31"/>
        <v>0</v>
      </c>
    </row>
    <row r="152" spans="2:16">
      <c r="B152" s="9" t="str">
        <f t="shared" si="23"/>
        <v/>
      </c>
      <c r="C152" s="64">
        <f>IF(D93="","-",+C151+1)</f>
        <v>2069</v>
      </c>
      <c r="D152" s="65">
        <f>IF(F151+SUM(E$99:E151)=D$92,F151,D$92-SUM(E$99:E151))</f>
        <v>0</v>
      </c>
      <c r="E152" s="71">
        <f>IF(+J96&lt;F151,J96,D152)</f>
        <v>0</v>
      </c>
      <c r="F152" s="70">
        <f t="shared" si="26"/>
        <v>0</v>
      </c>
      <c r="G152" s="70">
        <f t="shared" si="27"/>
        <v>0</v>
      </c>
      <c r="H152" s="73">
        <f t="shared" si="24"/>
        <v>0</v>
      </c>
      <c r="I152" s="127">
        <f t="shared" si="25"/>
        <v>0</v>
      </c>
      <c r="J152" s="69">
        <f t="shared" si="28"/>
        <v>0</v>
      </c>
      <c r="K152" s="69"/>
      <c r="L152" s="150"/>
      <c r="M152" s="69">
        <f t="shared" si="29"/>
        <v>0</v>
      </c>
      <c r="N152" s="150"/>
      <c r="O152" s="69">
        <f t="shared" si="30"/>
        <v>0</v>
      </c>
      <c r="P152" s="69">
        <f t="shared" si="31"/>
        <v>0</v>
      </c>
    </row>
    <row r="153" spans="2:16">
      <c r="B153" s="9" t="str">
        <f t="shared" si="23"/>
        <v/>
      </c>
      <c r="C153" s="64">
        <f>IF(D93="","-",+C152+1)</f>
        <v>2070</v>
      </c>
      <c r="D153" s="65">
        <f>IF(F152+SUM(E$99:E152)=D$92,F152,D$92-SUM(E$99:E152))</f>
        <v>0</v>
      </c>
      <c r="E153" s="71">
        <f>IF(+J96&lt;F152,J96,D153)</f>
        <v>0</v>
      </c>
      <c r="F153" s="70">
        <f t="shared" si="26"/>
        <v>0</v>
      </c>
      <c r="G153" s="70">
        <f t="shared" si="27"/>
        <v>0</v>
      </c>
      <c r="H153" s="73">
        <f t="shared" si="24"/>
        <v>0</v>
      </c>
      <c r="I153" s="127">
        <f t="shared" si="25"/>
        <v>0</v>
      </c>
      <c r="J153" s="69">
        <f t="shared" si="28"/>
        <v>0</v>
      </c>
      <c r="K153" s="69"/>
      <c r="L153" s="150"/>
      <c r="M153" s="69">
        <f t="shared" si="29"/>
        <v>0</v>
      </c>
      <c r="N153" s="150"/>
      <c r="O153" s="69">
        <f t="shared" si="30"/>
        <v>0</v>
      </c>
      <c r="P153" s="69">
        <f t="shared" si="31"/>
        <v>0</v>
      </c>
    </row>
    <row r="154" spans="2:16" ht="13.5" thickBot="1">
      <c r="B154" s="9" t="str">
        <f t="shared" si="23"/>
        <v/>
      </c>
      <c r="C154" s="74">
        <f>IF(D93="","-",+C153+1)</f>
        <v>2071</v>
      </c>
      <c r="D154" s="102">
        <f>IF(F153+SUM(E$99:E153)=D$92,F153,D$92-SUM(E$99:E153))</f>
        <v>0</v>
      </c>
      <c r="E154" s="76">
        <f>IF(+J96&lt;F153,J96,D154)</f>
        <v>0</v>
      </c>
      <c r="F154" s="75">
        <f t="shared" si="26"/>
        <v>0</v>
      </c>
      <c r="G154" s="75">
        <f t="shared" si="27"/>
        <v>0</v>
      </c>
      <c r="H154" s="77">
        <f t="shared" si="24"/>
        <v>0</v>
      </c>
      <c r="I154" s="128">
        <f t="shared" si="25"/>
        <v>0</v>
      </c>
      <c r="J154" s="79">
        <f t="shared" si="28"/>
        <v>0</v>
      </c>
      <c r="K154" s="69"/>
      <c r="L154" s="151"/>
      <c r="M154" s="79">
        <f t="shared" si="29"/>
        <v>0</v>
      </c>
      <c r="N154" s="151"/>
      <c r="O154" s="79">
        <f t="shared" si="30"/>
        <v>0</v>
      </c>
      <c r="P154" s="79">
        <f t="shared" si="31"/>
        <v>0</v>
      </c>
    </row>
    <row r="155" spans="2:16">
      <c r="C155" s="65" t="s">
        <v>78</v>
      </c>
      <c r="D155" s="22"/>
      <c r="E155" s="22">
        <f>SUM(E99:E154)</f>
        <v>0</v>
      </c>
      <c r="F155" s="22"/>
      <c r="G155" s="22"/>
      <c r="H155" s="22">
        <f>SUM(H99:H154)</f>
        <v>0</v>
      </c>
      <c r="I155" s="22">
        <f>SUM(I99:I154)</f>
        <v>0</v>
      </c>
      <c r="J155" s="22">
        <f>SUM(J99:J154)</f>
        <v>0</v>
      </c>
      <c r="K155" s="22"/>
      <c r="L155" s="22"/>
      <c r="M155" s="22"/>
      <c r="N155" s="22"/>
      <c r="O155" s="22"/>
      <c r="P155" s="1"/>
    </row>
    <row r="156" spans="2:16">
      <c r="C156" t="s">
        <v>92</v>
      </c>
      <c r="D156" s="2"/>
      <c r="E156" s="1"/>
      <c r="F156" s="1"/>
      <c r="G156" s="1"/>
      <c r="H156" s="1"/>
      <c r="I156" s="3"/>
      <c r="J156" s="3"/>
      <c r="K156" s="22"/>
      <c r="L156" s="3"/>
      <c r="M156" s="3"/>
      <c r="N156" s="3"/>
      <c r="O156" s="3"/>
      <c r="P156" s="1"/>
    </row>
    <row r="157" spans="2:16">
      <c r="C157" s="103"/>
      <c r="D157" s="2"/>
      <c r="E157" s="1"/>
      <c r="F157" s="1"/>
      <c r="G157" s="1"/>
      <c r="H157" s="1"/>
      <c r="I157" s="3"/>
      <c r="J157" s="3"/>
      <c r="K157" s="22"/>
      <c r="L157" s="3"/>
      <c r="M157" s="3"/>
      <c r="N157" s="3"/>
      <c r="O157" s="3"/>
      <c r="P157" s="1"/>
    </row>
    <row r="158" spans="2:16">
      <c r="C158" s="123" t="s">
        <v>132</v>
      </c>
      <c r="D158" s="2"/>
      <c r="E158" s="1"/>
      <c r="F158" s="1"/>
      <c r="G158" s="1"/>
      <c r="H158" s="1"/>
      <c r="I158" s="3"/>
      <c r="J158" s="3"/>
      <c r="K158" s="22"/>
      <c r="L158" s="3"/>
      <c r="M158" s="3"/>
      <c r="N158" s="3"/>
      <c r="O158" s="3"/>
      <c r="P158" s="1"/>
    </row>
    <row r="159" spans="2:16">
      <c r="C159" s="32" t="s">
        <v>79</v>
      </c>
      <c r="D159" s="65"/>
      <c r="E159" s="65"/>
      <c r="F159" s="65"/>
      <c r="G159" s="65"/>
      <c r="H159" s="22"/>
      <c r="I159" s="22"/>
      <c r="J159" s="81"/>
      <c r="K159" s="81"/>
      <c r="L159" s="81"/>
      <c r="M159" s="81"/>
      <c r="N159" s="81"/>
      <c r="O159" s="81"/>
      <c r="P159" s="1"/>
    </row>
    <row r="160" spans="2:16">
      <c r="C160" s="104" t="s">
        <v>80</v>
      </c>
      <c r="D160" s="65"/>
      <c r="E160" s="65"/>
      <c r="F160" s="65"/>
      <c r="G160" s="65"/>
      <c r="H160" s="22"/>
      <c r="I160" s="22"/>
      <c r="J160" s="81"/>
      <c r="K160" s="81"/>
      <c r="L160" s="81"/>
      <c r="M160" s="81"/>
      <c r="N160" s="81"/>
      <c r="O160" s="81"/>
      <c r="P160" s="1"/>
    </row>
    <row r="161" spans="3:16">
      <c r="C161" s="104"/>
      <c r="D161" s="65"/>
      <c r="E161" s="65"/>
      <c r="F161" s="65"/>
      <c r="G161" s="65"/>
      <c r="H161" s="22"/>
      <c r="I161" s="22"/>
      <c r="J161" s="81"/>
      <c r="K161" s="81"/>
      <c r="L161" s="81"/>
      <c r="M161" s="81"/>
      <c r="N161" s="81"/>
      <c r="O161" s="81"/>
      <c r="P161" s="1"/>
    </row>
    <row r="162" spans="3:16" ht="18">
      <c r="C162" s="104"/>
      <c r="D162" s="65"/>
      <c r="E162" s="65"/>
      <c r="F162" s="65"/>
      <c r="G162" s="65"/>
      <c r="H162" s="22"/>
      <c r="I162" s="22"/>
      <c r="J162" s="81"/>
      <c r="K162" s="81"/>
      <c r="L162" s="81"/>
      <c r="M162" s="81"/>
      <c r="N162" s="81"/>
      <c r="P162" s="120" t="s">
        <v>131</v>
      </c>
    </row>
  </sheetData>
  <phoneticPr fontId="0" type="noConversion"/>
  <conditionalFormatting sqref="C17:C72">
    <cfRule type="cellIs" dxfId="1" priority="1" stopIfTrue="1" operator="equal">
      <formula>$I$10</formula>
    </cfRule>
  </conditionalFormatting>
  <conditionalFormatting sqref="C99:C154">
    <cfRule type="cellIs" dxfId="0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53"/>
  <dimension ref="A1:Q162"/>
  <sheetViews>
    <sheetView topLeftCell="A89" zoomScaleNormal="100" zoomScaleSheetLayoutView="80" workbookViewId="0">
      <selection activeCell="D99" sqref="D99:I112"/>
    </sheetView>
  </sheetViews>
  <sheetFormatPr defaultColWidth="8.7109375" defaultRowHeight="12.75" customHeight="1"/>
  <cols>
    <col min="1" max="1" width="4.7109375" style="183" customWidth="1"/>
    <col min="2" max="2" width="6.7109375" style="183" customWidth="1"/>
    <col min="3" max="3" width="23.28515625" style="183" customWidth="1"/>
    <col min="4" max="8" width="17.7109375" style="183" customWidth="1"/>
    <col min="9" max="9" width="20.42578125" style="183" customWidth="1"/>
    <col min="10" max="10" width="16.42578125" style="183" customWidth="1"/>
    <col min="11" max="11" width="17.7109375" style="183" customWidth="1"/>
    <col min="12" max="12" width="16.140625" style="183" customWidth="1"/>
    <col min="13" max="13" width="17.7109375" style="183" customWidth="1"/>
    <col min="14" max="14" width="16.140625" style="183" customWidth="1"/>
    <col min="15" max="15" width="16.85546875" style="183" customWidth="1"/>
    <col min="16" max="16" width="24.42578125" style="183" customWidth="1"/>
    <col min="17" max="17" width="4.7109375" style="183" customWidth="1"/>
    <col min="18" max="22" width="8.7109375" style="183"/>
    <col min="23" max="23" width="9.140625" style="183" customWidth="1"/>
    <col min="24" max="16384" width="8.7109375" style="183"/>
  </cols>
  <sheetData>
    <row r="1" spans="1:17" ht="20.25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"&amp;RIGHT(MID(CELL("filename",$A$1),FIND("]",CELL("filename",$A$1))+1,256),1)&amp;" of "&amp;COUNT('S.001:S.xyz - blank'!$P$3)-1</f>
        <v>SWEPCO Project 5 of 75</v>
      </c>
      <c r="Q1" s="453"/>
    </row>
    <row r="2" spans="1:17" ht="18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454" t="s">
        <v>129</v>
      </c>
    </row>
    <row r="3" spans="1:17" ht="18.75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 t="str">
        <f>RIGHT(N3,3)</f>
        <v/>
      </c>
      <c r="P3" s="455">
        <v>1</v>
      </c>
    </row>
    <row r="4" spans="1:17" ht="15.75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7" ht="1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299804.51267473632</v>
      </c>
      <c r="P5" s="269"/>
    </row>
    <row r="6" spans="1:17" ht="15.7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299804.51267473632</v>
      </c>
      <c r="O6" s="269"/>
      <c r="P6" s="269"/>
    </row>
    <row r="7" spans="1:17" ht="13.5" thickBot="1">
      <c r="C7" s="467" t="s">
        <v>48</v>
      </c>
      <c r="D7" s="468" t="s">
        <v>243</v>
      </c>
      <c r="E7" s="269"/>
      <c r="F7" s="269"/>
      <c r="G7" s="269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7" ht="13.5" thickBot="1">
      <c r="C8" s="472"/>
      <c r="D8" s="473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7" ht="13.5" thickBot="1">
      <c r="A9" s="191"/>
      <c r="C9" s="476" t="s">
        <v>50</v>
      </c>
      <c r="D9" s="477" t="s">
        <v>144</v>
      </c>
      <c r="E9" s="666" t="s">
        <v>475</v>
      </c>
      <c r="F9" s="478"/>
      <c r="G9" s="478"/>
      <c r="H9" s="478"/>
      <c r="I9" s="479"/>
      <c r="J9" s="480"/>
      <c r="O9" s="481"/>
      <c r="P9" s="272"/>
    </row>
    <row r="10" spans="1:17">
      <c r="C10" s="482" t="s">
        <v>51</v>
      </c>
      <c r="D10" s="483">
        <v>2981768</v>
      </c>
      <c r="E10" s="353" t="s">
        <v>52</v>
      </c>
      <c r="F10" s="481"/>
      <c r="G10" s="484"/>
      <c r="H10" s="484"/>
      <c r="I10" s="485">
        <f>+'SWE.WS.F.BPU.ATRR.Projected'!L19</f>
        <v>2024</v>
      </c>
      <c r="J10" s="480"/>
      <c r="K10" s="375" t="s">
        <v>53</v>
      </c>
      <c r="O10" s="272"/>
      <c r="P10" s="272"/>
    </row>
    <row r="11" spans="1:17">
      <c r="C11" s="486" t="s">
        <v>54</v>
      </c>
      <c r="D11" s="487">
        <v>2009</v>
      </c>
      <c r="E11" s="486" t="s">
        <v>55</v>
      </c>
      <c r="F11" s="484"/>
      <c r="G11" s="233"/>
      <c r="H11" s="233"/>
      <c r="I11" s="488"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7">
      <c r="C12" s="486" t="s">
        <v>56</v>
      </c>
      <c r="D12" s="483">
        <v>12</v>
      </c>
      <c r="E12" s="486" t="s">
        <v>57</v>
      </c>
      <c r="F12" s="484"/>
      <c r="G12" s="233"/>
      <c r="H12" s="233"/>
      <c r="I12" s="490">
        <f>'SWE.WS.F.BPU.ATRR.Projected'!$F$81</f>
        <v>0.11952713165403545</v>
      </c>
      <c r="J12" s="425"/>
      <c r="K12" s="183" t="s">
        <v>58</v>
      </c>
      <c r="O12" s="272"/>
      <c r="P12" s="272"/>
    </row>
    <row r="13" spans="1:17">
      <c r="C13" s="486" t="s">
        <v>59</v>
      </c>
      <c r="D13" s="488">
        <f>+'SWE.WS.F.BPU.ATRR.Projected'!F$93</f>
        <v>44</v>
      </c>
      <c r="E13" s="486" t="s">
        <v>60</v>
      </c>
      <c r="F13" s="484"/>
      <c r="G13" s="233"/>
      <c r="H13" s="233"/>
      <c r="I13" s="490">
        <f>IF(G5="",I12,'SWE.WS.F.BPU.ATRR.Projected'!$F$80)</f>
        <v>0.11952713165403545</v>
      </c>
      <c r="J13" s="425"/>
      <c r="K13" s="375" t="s">
        <v>61</v>
      </c>
      <c r="L13" s="324"/>
      <c r="M13" s="324"/>
      <c r="N13" s="324"/>
      <c r="O13" s="272"/>
      <c r="P13" s="272"/>
    </row>
    <row r="14" spans="1:17" ht="13.5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67767.454545454544</v>
      </c>
      <c r="J14" s="375"/>
      <c r="K14" s="375"/>
      <c r="L14" s="375"/>
      <c r="M14" s="375"/>
      <c r="N14" s="375"/>
      <c r="O14" s="272"/>
      <c r="P14" s="272"/>
    </row>
    <row r="15" spans="1:17" ht="38.25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388</v>
      </c>
      <c r="H15" s="495" t="s">
        <v>389</v>
      </c>
      <c r="I15" s="496" t="s">
        <v>260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7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>
      <c r="C17" s="507">
        <f>IF(D11= "","-",D11)</f>
        <v>2009</v>
      </c>
      <c r="D17" s="508">
        <v>2111061</v>
      </c>
      <c r="E17" s="509">
        <v>0</v>
      </c>
      <c r="F17" s="508">
        <v>2111061</v>
      </c>
      <c r="G17" s="509">
        <v>26962</v>
      </c>
      <c r="H17" s="510">
        <v>26962</v>
      </c>
      <c r="I17" s="511">
        <f t="shared" ref="I17:I48" si="0">H17-G17</f>
        <v>0</v>
      </c>
      <c r="J17" s="511"/>
      <c r="K17" s="512">
        <v>26962</v>
      </c>
      <c r="L17" s="513">
        <f t="shared" ref="L17:L48" si="1">IF(K17&lt;&gt;0,+G17-K17,0)</f>
        <v>0</v>
      </c>
      <c r="M17" s="512">
        <v>26962</v>
      </c>
      <c r="N17" s="513">
        <f t="shared" ref="N17:N48" si="2">IF(M17&lt;&gt;0,+H17-M17,0)</f>
        <v>0</v>
      </c>
      <c r="O17" s="514">
        <f t="shared" ref="O17:O48" si="3">+N17-L17</f>
        <v>0</v>
      </c>
      <c r="P17" s="272"/>
    </row>
    <row r="18" spans="2:16">
      <c r="B18" s="195" t="str">
        <f>IF(D18=F17,"","IU")</f>
        <v>IU</v>
      </c>
      <c r="C18" s="507">
        <f>IF(D11="","-",+C17+1)</f>
        <v>2010</v>
      </c>
      <c r="D18" s="515">
        <v>2981232</v>
      </c>
      <c r="E18" s="516">
        <v>78453</v>
      </c>
      <c r="F18" s="515">
        <v>2902778</v>
      </c>
      <c r="G18" s="516">
        <v>495771</v>
      </c>
      <c r="H18" s="510">
        <v>495771</v>
      </c>
      <c r="I18" s="517">
        <v>0</v>
      </c>
      <c r="J18" s="511"/>
      <c r="K18" s="518">
        <f t="shared" ref="K18:K23" si="4">G18</f>
        <v>495771</v>
      </c>
      <c r="L18" s="519">
        <f t="shared" si="1"/>
        <v>0</v>
      </c>
      <c r="M18" s="518">
        <f t="shared" ref="M18:M23" si="5">H18</f>
        <v>495771</v>
      </c>
      <c r="N18" s="514">
        <f t="shared" si="2"/>
        <v>0</v>
      </c>
      <c r="O18" s="514">
        <f t="shared" si="3"/>
        <v>0</v>
      </c>
      <c r="P18" s="272"/>
    </row>
    <row r="19" spans="2:16">
      <c r="B19" s="195" t="str">
        <f>IF(D19=F18,"","IU")</f>
        <v>IU</v>
      </c>
      <c r="C19" s="507">
        <f>IF(D11="","-",+C18+1)</f>
        <v>2011</v>
      </c>
      <c r="D19" s="515">
        <v>2902779</v>
      </c>
      <c r="E19" s="516">
        <v>72712.975609756104</v>
      </c>
      <c r="F19" s="515">
        <v>2830066.0243902439</v>
      </c>
      <c r="G19" s="516">
        <v>514747.16993514739</v>
      </c>
      <c r="H19" s="510">
        <v>514747.16993514739</v>
      </c>
      <c r="I19" s="517">
        <v>0</v>
      </c>
      <c r="J19" s="511"/>
      <c r="K19" s="518">
        <f t="shared" si="4"/>
        <v>514747.16993514739</v>
      </c>
      <c r="L19" s="519">
        <f t="shared" si="1"/>
        <v>0</v>
      </c>
      <c r="M19" s="518">
        <f t="shared" si="5"/>
        <v>514747.16993514739</v>
      </c>
      <c r="N19" s="514">
        <f t="shared" si="2"/>
        <v>0</v>
      </c>
      <c r="O19" s="514">
        <f t="shared" si="3"/>
        <v>0</v>
      </c>
      <c r="P19" s="272"/>
    </row>
    <row r="20" spans="2:16">
      <c r="B20" s="195" t="str">
        <f t="shared" ref="B20:B72" si="6">IF(D20=F19,"","IU")</f>
        <v/>
      </c>
      <c r="C20" s="507">
        <f>IF(D11="","-",+C19+1)</f>
        <v>2012</v>
      </c>
      <c r="D20" s="515">
        <v>2830066.0243902439</v>
      </c>
      <c r="E20" s="520">
        <v>70981.71428571429</v>
      </c>
      <c r="F20" s="515">
        <v>2759084.3101045298</v>
      </c>
      <c r="G20" s="516">
        <v>481313.11934217566</v>
      </c>
      <c r="H20" s="510">
        <v>481313.11934217566</v>
      </c>
      <c r="I20" s="517">
        <v>0</v>
      </c>
      <c r="J20" s="511"/>
      <c r="K20" s="518">
        <f t="shared" si="4"/>
        <v>481313.11934217566</v>
      </c>
      <c r="L20" s="519">
        <f t="shared" si="1"/>
        <v>0</v>
      </c>
      <c r="M20" s="518">
        <f t="shared" si="5"/>
        <v>481313.11934217566</v>
      </c>
      <c r="N20" s="514">
        <f t="shared" si="2"/>
        <v>0</v>
      </c>
      <c r="O20" s="514">
        <f t="shared" si="3"/>
        <v>0</v>
      </c>
      <c r="P20" s="272"/>
    </row>
    <row r="21" spans="2:16">
      <c r="B21" s="195" t="str">
        <f t="shared" si="6"/>
        <v/>
      </c>
      <c r="C21" s="507">
        <f>IF(D12="","-",+C20+1)</f>
        <v>2013</v>
      </c>
      <c r="D21" s="515">
        <v>2759084.3101045298</v>
      </c>
      <c r="E21" s="520">
        <v>70981.71428571429</v>
      </c>
      <c r="F21" s="515">
        <v>2688102.5958188158</v>
      </c>
      <c r="G21" s="516">
        <v>447281.35299477971</v>
      </c>
      <c r="H21" s="510">
        <v>447281.35299477971</v>
      </c>
      <c r="I21" s="511">
        <v>0</v>
      </c>
      <c r="J21" s="511"/>
      <c r="K21" s="518">
        <f t="shared" si="4"/>
        <v>447281.35299477971</v>
      </c>
      <c r="L21" s="519">
        <f t="shared" ref="L21:L26" si="7">IF(K21&lt;&gt;0,+G21-K21,0)</f>
        <v>0</v>
      </c>
      <c r="M21" s="518">
        <f t="shared" si="5"/>
        <v>447281.35299477971</v>
      </c>
      <c r="N21" s="514">
        <f t="shared" ref="N21:N26" si="8">IF(M21&lt;&gt;0,+H21-M21,0)</f>
        <v>0</v>
      </c>
      <c r="O21" s="514">
        <f>+N21-L21</f>
        <v>0</v>
      </c>
      <c r="P21" s="272"/>
    </row>
    <row r="22" spans="2:16">
      <c r="B22" s="195" t="str">
        <f t="shared" si="6"/>
        <v/>
      </c>
      <c r="C22" s="507">
        <f>IF(D11="","-",+C21+1)</f>
        <v>2014</v>
      </c>
      <c r="D22" s="515">
        <v>2688102.5958188158</v>
      </c>
      <c r="E22" s="520">
        <v>70981.71428571429</v>
      </c>
      <c r="F22" s="515">
        <v>2617120.8815331017</v>
      </c>
      <c r="G22" s="516">
        <v>424058.82256501901</v>
      </c>
      <c r="H22" s="510">
        <v>424058.82256501901</v>
      </c>
      <c r="I22" s="511">
        <v>0</v>
      </c>
      <c r="J22" s="511"/>
      <c r="K22" s="518">
        <f t="shared" si="4"/>
        <v>424058.82256501901</v>
      </c>
      <c r="L22" s="519">
        <f t="shared" si="7"/>
        <v>0</v>
      </c>
      <c r="M22" s="518">
        <f t="shared" si="5"/>
        <v>424058.82256501901</v>
      </c>
      <c r="N22" s="514">
        <f t="shared" si="8"/>
        <v>0</v>
      </c>
      <c r="O22" s="514">
        <f t="shared" si="3"/>
        <v>0</v>
      </c>
      <c r="P22" s="272"/>
    </row>
    <row r="23" spans="2:16">
      <c r="B23" s="195" t="str">
        <f t="shared" si="6"/>
        <v/>
      </c>
      <c r="C23" s="507">
        <f>IF(D11="","-",+C22+1)</f>
        <v>2015</v>
      </c>
      <c r="D23" s="515">
        <v>2617120.8815331017</v>
      </c>
      <c r="E23" s="520">
        <v>70981.71428571429</v>
      </c>
      <c r="F23" s="515">
        <v>2546139.1672473876</v>
      </c>
      <c r="G23" s="516">
        <v>406320.46656296717</v>
      </c>
      <c r="H23" s="510">
        <v>406320.46656296717</v>
      </c>
      <c r="I23" s="511">
        <v>0</v>
      </c>
      <c r="J23" s="511"/>
      <c r="K23" s="518">
        <f t="shared" si="4"/>
        <v>406320.46656296717</v>
      </c>
      <c r="L23" s="519">
        <f t="shared" si="7"/>
        <v>0</v>
      </c>
      <c r="M23" s="518">
        <f t="shared" si="5"/>
        <v>406320.46656296717</v>
      </c>
      <c r="N23" s="514">
        <f t="shared" si="8"/>
        <v>0</v>
      </c>
      <c r="O23" s="514">
        <f>+N23-L23</f>
        <v>0</v>
      </c>
      <c r="P23" s="272"/>
    </row>
    <row r="24" spans="2:16">
      <c r="B24" s="195" t="str">
        <f t="shared" si="6"/>
        <v>IU</v>
      </c>
      <c r="C24" s="507">
        <f>IF(D11="","-",+C23+1)</f>
        <v>2016</v>
      </c>
      <c r="D24" s="515">
        <v>2546675.1672473866</v>
      </c>
      <c r="E24" s="520">
        <v>70994.476190476184</v>
      </c>
      <c r="F24" s="515">
        <v>2475680.6910569104</v>
      </c>
      <c r="G24" s="516">
        <v>393030.95863797772</v>
      </c>
      <c r="H24" s="510">
        <v>393030.95863797772</v>
      </c>
      <c r="I24" s="511">
        <f t="shared" si="0"/>
        <v>0</v>
      </c>
      <c r="J24" s="511"/>
      <c r="K24" s="518">
        <f t="shared" ref="K24:K29" si="9">G24</f>
        <v>393030.95863797772</v>
      </c>
      <c r="L24" s="519">
        <f t="shared" si="7"/>
        <v>0</v>
      </c>
      <c r="M24" s="518">
        <f t="shared" ref="M24:M29" si="10">H24</f>
        <v>393030.95863797772</v>
      </c>
      <c r="N24" s="514">
        <f t="shared" si="8"/>
        <v>0</v>
      </c>
      <c r="O24" s="514">
        <f>+N24-L24</f>
        <v>0</v>
      </c>
      <c r="P24" s="272"/>
    </row>
    <row r="25" spans="2:16">
      <c r="B25" s="195" t="str">
        <f t="shared" si="6"/>
        <v/>
      </c>
      <c r="C25" s="507">
        <f>IF(D11="","-",+C24+1)</f>
        <v>2017</v>
      </c>
      <c r="D25" s="515">
        <v>2475680.6910569104</v>
      </c>
      <c r="E25" s="520">
        <v>69343.441860465115</v>
      </c>
      <c r="F25" s="515">
        <v>2406337.2491964451</v>
      </c>
      <c r="G25" s="516">
        <v>371766.22774985479</v>
      </c>
      <c r="H25" s="510">
        <v>371766.22774985479</v>
      </c>
      <c r="I25" s="511">
        <f t="shared" si="0"/>
        <v>0</v>
      </c>
      <c r="J25" s="511"/>
      <c r="K25" s="518">
        <f t="shared" si="9"/>
        <v>371766.22774985479</v>
      </c>
      <c r="L25" s="519">
        <f t="shared" si="7"/>
        <v>0</v>
      </c>
      <c r="M25" s="518">
        <f t="shared" si="10"/>
        <v>371766.22774985479</v>
      </c>
      <c r="N25" s="514">
        <f t="shared" si="8"/>
        <v>0</v>
      </c>
      <c r="O25" s="514">
        <f>+N25-L25</f>
        <v>0</v>
      </c>
      <c r="P25" s="272"/>
    </row>
    <row r="26" spans="2:16">
      <c r="B26" s="195" t="str">
        <f t="shared" si="6"/>
        <v/>
      </c>
      <c r="C26" s="507">
        <f>IF(D11="","-",+C25+1)</f>
        <v>2018</v>
      </c>
      <c r="D26" s="515">
        <v>2406337.2491964451</v>
      </c>
      <c r="E26" s="520">
        <v>72726.048780487807</v>
      </c>
      <c r="F26" s="515">
        <v>2333611.2004159573</v>
      </c>
      <c r="G26" s="516">
        <v>373935.78736543196</v>
      </c>
      <c r="H26" s="510">
        <v>373935.78736543196</v>
      </c>
      <c r="I26" s="511">
        <f t="shared" si="0"/>
        <v>0</v>
      </c>
      <c r="J26" s="511"/>
      <c r="K26" s="518">
        <f t="shared" si="9"/>
        <v>373935.78736543196</v>
      </c>
      <c r="L26" s="519">
        <f t="shared" si="7"/>
        <v>0</v>
      </c>
      <c r="M26" s="518">
        <f t="shared" si="10"/>
        <v>373935.78736543196</v>
      </c>
      <c r="N26" s="514">
        <f t="shared" si="8"/>
        <v>0</v>
      </c>
      <c r="O26" s="514">
        <f>+N26-L26</f>
        <v>0</v>
      </c>
      <c r="P26" s="272"/>
    </row>
    <row r="27" spans="2:16">
      <c r="B27" s="195" t="str">
        <f t="shared" si="6"/>
        <v/>
      </c>
      <c r="C27" s="507">
        <f>IF(D11="","-",+C26+1)</f>
        <v>2019</v>
      </c>
      <c r="D27" s="515">
        <v>2333611.2004159573</v>
      </c>
      <c r="E27" s="520">
        <v>72726.048780487807</v>
      </c>
      <c r="F27" s="515">
        <v>2260885.1516354694</v>
      </c>
      <c r="G27" s="516">
        <v>364692.73572706321</v>
      </c>
      <c r="H27" s="510">
        <v>364692.73572706321</v>
      </c>
      <c r="I27" s="511">
        <f t="shared" si="0"/>
        <v>0</v>
      </c>
      <c r="J27" s="511"/>
      <c r="K27" s="518">
        <f t="shared" si="9"/>
        <v>364692.73572706321</v>
      </c>
      <c r="L27" s="519">
        <f t="shared" ref="L27" si="11">IF(K27&lt;&gt;0,+G27-K27,0)</f>
        <v>0</v>
      </c>
      <c r="M27" s="518">
        <f t="shared" si="10"/>
        <v>364692.73572706321</v>
      </c>
      <c r="N27" s="514">
        <f t="shared" si="2"/>
        <v>0</v>
      </c>
      <c r="O27" s="514">
        <f t="shared" si="3"/>
        <v>0</v>
      </c>
      <c r="P27" s="272"/>
    </row>
    <row r="28" spans="2:16">
      <c r="B28" s="195" t="str">
        <f t="shared" si="6"/>
        <v/>
      </c>
      <c r="C28" s="507">
        <f>IF(D11="","-",+C27+1)</f>
        <v>2020</v>
      </c>
      <c r="D28" s="515">
        <v>2260885.1516354694</v>
      </c>
      <c r="E28" s="520">
        <v>72726.048780487807</v>
      </c>
      <c r="F28" s="515">
        <v>2188159.1028549816</v>
      </c>
      <c r="G28" s="516">
        <v>300373.53346769244</v>
      </c>
      <c r="H28" s="510">
        <v>300373.53346769244</v>
      </c>
      <c r="I28" s="511">
        <f t="shared" si="0"/>
        <v>0</v>
      </c>
      <c r="J28" s="511"/>
      <c r="K28" s="518">
        <f t="shared" si="9"/>
        <v>300373.53346769244</v>
      </c>
      <c r="L28" s="519">
        <f t="shared" ref="L28" si="12">IF(K28&lt;&gt;0,+G28-K28,0)</f>
        <v>0</v>
      </c>
      <c r="M28" s="518">
        <f t="shared" si="10"/>
        <v>300373.53346769244</v>
      </c>
      <c r="N28" s="514">
        <f t="shared" si="2"/>
        <v>0</v>
      </c>
      <c r="O28" s="514">
        <f t="shared" si="3"/>
        <v>0</v>
      </c>
      <c r="P28" s="272"/>
    </row>
    <row r="29" spans="2:16">
      <c r="B29" s="195" t="str">
        <f t="shared" si="6"/>
        <v>IU</v>
      </c>
      <c r="C29" s="507">
        <f>IF(D11="","-",+C28+1)</f>
        <v>2021</v>
      </c>
      <c r="D29" s="515">
        <v>2191541.7097750045</v>
      </c>
      <c r="E29" s="520">
        <v>70994.476190476184</v>
      </c>
      <c r="F29" s="515">
        <v>2120547.2335845283</v>
      </c>
      <c r="G29" s="516">
        <v>299544.98950255034</v>
      </c>
      <c r="H29" s="510">
        <v>299544.98950255034</v>
      </c>
      <c r="I29" s="511">
        <f t="shared" si="0"/>
        <v>0</v>
      </c>
      <c r="J29" s="511"/>
      <c r="K29" s="518">
        <f t="shared" si="9"/>
        <v>299544.98950255034</v>
      </c>
      <c r="L29" s="519">
        <f t="shared" ref="L29" si="13">IF(K29&lt;&gt;0,+G29-K29,0)</f>
        <v>0</v>
      </c>
      <c r="M29" s="518">
        <f t="shared" si="10"/>
        <v>299544.98950255034</v>
      </c>
      <c r="N29" s="514">
        <f t="shared" si="2"/>
        <v>0</v>
      </c>
      <c r="O29" s="514">
        <f t="shared" si="3"/>
        <v>0</v>
      </c>
      <c r="P29" s="272"/>
    </row>
    <row r="30" spans="2:16">
      <c r="B30" s="195" t="str">
        <f t="shared" si="6"/>
        <v>IU</v>
      </c>
      <c r="C30" s="507">
        <f>IF(D11="","-",+C29+1)</f>
        <v>2022</v>
      </c>
      <c r="D30" s="515">
        <v>2117164.6266645053</v>
      </c>
      <c r="E30" s="520">
        <v>70994.476190476184</v>
      </c>
      <c r="F30" s="515">
        <v>2046170.1504740291</v>
      </c>
      <c r="G30" s="516">
        <v>305065.68570908706</v>
      </c>
      <c r="H30" s="510">
        <v>305065.68570908706</v>
      </c>
      <c r="I30" s="511">
        <f t="shared" si="0"/>
        <v>0</v>
      </c>
      <c r="J30" s="511"/>
      <c r="K30" s="518">
        <f t="shared" ref="K30" si="14">G30</f>
        <v>305065.68570908706</v>
      </c>
      <c r="L30" s="519">
        <f t="shared" ref="L30" si="15">IF(K30&lt;&gt;0,+G30-K30,0)</f>
        <v>0</v>
      </c>
      <c r="M30" s="518">
        <f t="shared" ref="M30" si="16">H30</f>
        <v>305065.68570908706</v>
      </c>
      <c r="N30" s="514">
        <f t="shared" si="2"/>
        <v>0</v>
      </c>
      <c r="O30" s="514">
        <f t="shared" si="3"/>
        <v>0</v>
      </c>
      <c r="P30" s="272"/>
    </row>
    <row r="31" spans="2:16">
      <c r="B31" s="195" t="str">
        <f t="shared" si="6"/>
        <v/>
      </c>
      <c r="C31" s="507">
        <f>IF(D11="","-",+C30+1)</f>
        <v>2023</v>
      </c>
      <c r="D31" s="515">
        <v>2046170.1504740291</v>
      </c>
      <c r="E31" s="520">
        <v>70994.476190476184</v>
      </c>
      <c r="F31" s="515">
        <v>1975175.6742835529</v>
      </c>
      <c r="G31" s="516">
        <v>324996.32688893087</v>
      </c>
      <c r="H31" s="510">
        <v>324996.32688893087</v>
      </c>
      <c r="I31" s="511">
        <f t="shared" si="0"/>
        <v>0</v>
      </c>
      <c r="J31" s="511"/>
      <c r="K31" s="518">
        <f t="shared" ref="K31" si="17">G31</f>
        <v>324996.32688893087</v>
      </c>
      <c r="L31" s="519">
        <f t="shared" ref="L31" si="18">IF(K31&lt;&gt;0,+G31-K31,0)</f>
        <v>0</v>
      </c>
      <c r="M31" s="518">
        <f t="shared" ref="M31" si="19">H31</f>
        <v>324996.32688893087</v>
      </c>
      <c r="N31" s="514">
        <f t="shared" ref="N31" si="20">IF(M31&lt;&gt;0,+H31-M31,0)</f>
        <v>0</v>
      </c>
      <c r="O31" s="514">
        <f t="shared" ref="O31" si="21">+N31-L31</f>
        <v>0</v>
      </c>
      <c r="P31" s="272"/>
    </row>
    <row r="32" spans="2:16">
      <c r="B32" s="195" t="str">
        <f t="shared" si="6"/>
        <v/>
      </c>
      <c r="C32" s="673">
        <f>IF(D11="","-",+C31+1)</f>
        <v>2024</v>
      </c>
      <c r="D32" s="523">
        <f>IF(F31+SUM(E$17:E31)=D$10,F31,D$10-SUM(E$17:E31))</f>
        <v>1975175.6742835529</v>
      </c>
      <c r="E32" s="522">
        <f>IF(+I14&lt;F31,I14,D32)</f>
        <v>67767.454545454544</v>
      </c>
      <c r="F32" s="523">
        <f t="shared" ref="F32:F48" si="22">+D32-E32</f>
        <v>1907408.2197380983</v>
      </c>
      <c r="G32" s="524">
        <f t="shared" ref="G32:G72" si="23">+I$12*((D32+F32)/2)+E32</f>
        <v>299804.51267473632</v>
      </c>
      <c r="H32" s="491">
        <f t="shared" ref="H32:H72" si="24">+I$13*((D32+F32)/2)+E32</f>
        <v>299804.51267473632</v>
      </c>
      <c r="I32" s="511">
        <f t="shared" si="0"/>
        <v>0</v>
      </c>
      <c r="J32" s="511"/>
      <c r="K32" s="525"/>
      <c r="L32" s="514">
        <f t="shared" si="1"/>
        <v>0</v>
      </c>
      <c r="M32" s="525"/>
      <c r="N32" s="514">
        <f t="shared" si="2"/>
        <v>0</v>
      </c>
      <c r="O32" s="514">
        <f t="shared" si="3"/>
        <v>0</v>
      </c>
      <c r="P32" s="272"/>
    </row>
    <row r="33" spans="2:16">
      <c r="B33" s="195" t="str">
        <f t="shared" si="6"/>
        <v/>
      </c>
      <c r="C33" s="507">
        <f>IF(D11="","-",+C32+1)</f>
        <v>2025</v>
      </c>
      <c r="D33" s="523">
        <f>IF(F32+SUM(E$17:E32)=D$10,F32,D$10-SUM(E$17:E32))</f>
        <v>1907408.2197380983</v>
      </c>
      <c r="E33" s="522">
        <f>IF(+I14&lt;F32,I14,D33)</f>
        <v>67767.454545454544</v>
      </c>
      <c r="F33" s="523">
        <f t="shared" si="22"/>
        <v>1839640.7651926437</v>
      </c>
      <c r="G33" s="524">
        <f t="shared" si="23"/>
        <v>291704.46321342286</v>
      </c>
      <c r="H33" s="491">
        <f t="shared" si="24"/>
        <v>291704.46321342286</v>
      </c>
      <c r="I33" s="511">
        <f t="shared" si="0"/>
        <v>0</v>
      </c>
      <c r="J33" s="511"/>
      <c r="K33" s="525"/>
      <c r="L33" s="514">
        <f t="shared" si="1"/>
        <v>0</v>
      </c>
      <c r="M33" s="525"/>
      <c r="N33" s="514">
        <f t="shared" si="2"/>
        <v>0</v>
      </c>
      <c r="O33" s="514">
        <f t="shared" si="3"/>
        <v>0</v>
      </c>
      <c r="P33" s="272"/>
    </row>
    <row r="34" spans="2:16">
      <c r="B34" s="195" t="str">
        <f t="shared" si="6"/>
        <v/>
      </c>
      <c r="C34" s="507">
        <f>IF(D11="","-",+C33+1)</f>
        <v>2026</v>
      </c>
      <c r="D34" s="523">
        <f>IF(F33+SUM(E$17:E33)=D$10,F33,D$10-SUM(E$17:E33))</f>
        <v>1839640.7651926437</v>
      </c>
      <c r="E34" s="522">
        <f>IF(+I14&lt;F33,I14,D34)</f>
        <v>67767.454545454544</v>
      </c>
      <c r="F34" s="523">
        <f t="shared" si="22"/>
        <v>1771873.3106471892</v>
      </c>
      <c r="G34" s="524">
        <f t="shared" si="23"/>
        <v>283604.41375210945</v>
      </c>
      <c r="H34" s="491">
        <f t="shared" si="24"/>
        <v>283604.41375210945</v>
      </c>
      <c r="I34" s="511">
        <f t="shared" si="0"/>
        <v>0</v>
      </c>
      <c r="J34" s="511"/>
      <c r="K34" s="525"/>
      <c r="L34" s="514">
        <f t="shared" si="1"/>
        <v>0</v>
      </c>
      <c r="M34" s="525"/>
      <c r="N34" s="514">
        <f t="shared" si="2"/>
        <v>0</v>
      </c>
      <c r="O34" s="514">
        <f t="shared" si="3"/>
        <v>0</v>
      </c>
      <c r="P34" s="272"/>
    </row>
    <row r="35" spans="2:16">
      <c r="B35" s="195" t="str">
        <f t="shared" si="6"/>
        <v/>
      </c>
      <c r="C35" s="507">
        <f>IF(D11="","-",+C34+1)</f>
        <v>2027</v>
      </c>
      <c r="D35" s="523">
        <f>IF(F34+SUM(E$17:E34)=D$10,F34,D$10-SUM(E$17:E34))</f>
        <v>1771873.3106471892</v>
      </c>
      <c r="E35" s="522">
        <f>IF(+I14&lt;F34,I14,D35)</f>
        <v>67767.454545454544</v>
      </c>
      <c r="F35" s="523">
        <f t="shared" si="22"/>
        <v>1704105.8561017346</v>
      </c>
      <c r="G35" s="524">
        <f t="shared" si="23"/>
        <v>275504.36429079605</v>
      </c>
      <c r="H35" s="491">
        <f t="shared" si="24"/>
        <v>275504.36429079605</v>
      </c>
      <c r="I35" s="511">
        <f t="shared" si="0"/>
        <v>0</v>
      </c>
      <c r="J35" s="511"/>
      <c r="K35" s="525"/>
      <c r="L35" s="514">
        <f t="shared" si="1"/>
        <v>0</v>
      </c>
      <c r="M35" s="525"/>
      <c r="N35" s="514">
        <f t="shared" si="2"/>
        <v>0</v>
      </c>
      <c r="O35" s="514">
        <f t="shared" si="3"/>
        <v>0</v>
      </c>
      <c r="P35" s="272"/>
    </row>
    <row r="36" spans="2:16">
      <c r="B36" s="195" t="str">
        <f t="shared" si="6"/>
        <v/>
      </c>
      <c r="C36" s="507">
        <f>IF(D11="","-",+C35+1)</f>
        <v>2028</v>
      </c>
      <c r="D36" s="523">
        <f>IF(F35+SUM(E$17:E35)=D$10,F35,D$10-SUM(E$17:E35))</f>
        <v>1704105.8561017346</v>
      </c>
      <c r="E36" s="522">
        <f>IF(+I14&lt;F35,I14,D36)</f>
        <v>67767.454545454544</v>
      </c>
      <c r="F36" s="523">
        <f t="shared" si="22"/>
        <v>1636338.40155628</v>
      </c>
      <c r="G36" s="524">
        <f t="shared" si="23"/>
        <v>267404.31482948264</v>
      </c>
      <c r="H36" s="491">
        <f t="shared" si="24"/>
        <v>267404.31482948264</v>
      </c>
      <c r="I36" s="511">
        <f t="shared" si="0"/>
        <v>0</v>
      </c>
      <c r="J36" s="511"/>
      <c r="K36" s="525"/>
      <c r="L36" s="514">
        <f t="shared" si="1"/>
        <v>0</v>
      </c>
      <c r="M36" s="525"/>
      <c r="N36" s="514">
        <f t="shared" si="2"/>
        <v>0</v>
      </c>
      <c r="O36" s="514">
        <f t="shared" si="3"/>
        <v>0</v>
      </c>
      <c r="P36" s="272"/>
    </row>
    <row r="37" spans="2:16">
      <c r="B37" s="195" t="str">
        <f t="shared" si="6"/>
        <v/>
      </c>
      <c r="C37" s="507">
        <f>IF(D11="","-",+C36+1)</f>
        <v>2029</v>
      </c>
      <c r="D37" s="523">
        <f>IF(F36+SUM(E$17:E36)=D$10,F36,D$10-SUM(E$17:E36))</f>
        <v>1636338.40155628</v>
      </c>
      <c r="E37" s="522">
        <f>IF(+I14&lt;F36,I14,D37)</f>
        <v>67767.454545454544</v>
      </c>
      <c r="F37" s="523">
        <f t="shared" si="22"/>
        <v>1568570.9470108254</v>
      </c>
      <c r="G37" s="524">
        <f t="shared" si="23"/>
        <v>259304.26536816923</v>
      </c>
      <c r="H37" s="491">
        <f t="shared" si="24"/>
        <v>259304.26536816923</v>
      </c>
      <c r="I37" s="511">
        <f t="shared" si="0"/>
        <v>0</v>
      </c>
      <c r="J37" s="511"/>
      <c r="K37" s="525"/>
      <c r="L37" s="514">
        <f t="shared" si="1"/>
        <v>0</v>
      </c>
      <c r="M37" s="525"/>
      <c r="N37" s="514">
        <f t="shared" si="2"/>
        <v>0</v>
      </c>
      <c r="O37" s="514">
        <f t="shared" si="3"/>
        <v>0</v>
      </c>
      <c r="P37" s="272"/>
    </row>
    <row r="38" spans="2:16">
      <c r="B38" s="195" t="str">
        <f t="shared" si="6"/>
        <v/>
      </c>
      <c r="C38" s="507">
        <f>IF(D11="","-",+C37+1)</f>
        <v>2030</v>
      </c>
      <c r="D38" s="523">
        <f>IF(F37+SUM(E$17:E37)=D$10,F37,D$10-SUM(E$17:E37))</f>
        <v>1568570.9470108254</v>
      </c>
      <c r="E38" s="522">
        <f>IF(+I14&lt;F37,I14,D38)</f>
        <v>67767.454545454544</v>
      </c>
      <c r="F38" s="523">
        <f t="shared" si="22"/>
        <v>1500803.4924653708</v>
      </c>
      <c r="G38" s="524">
        <f t="shared" si="23"/>
        <v>251204.21590685582</v>
      </c>
      <c r="H38" s="491">
        <f t="shared" si="24"/>
        <v>251204.21590685582</v>
      </c>
      <c r="I38" s="511">
        <f t="shared" si="0"/>
        <v>0</v>
      </c>
      <c r="J38" s="511"/>
      <c r="K38" s="525"/>
      <c r="L38" s="514">
        <f t="shared" si="1"/>
        <v>0</v>
      </c>
      <c r="M38" s="525"/>
      <c r="N38" s="514">
        <f t="shared" si="2"/>
        <v>0</v>
      </c>
      <c r="O38" s="514">
        <f t="shared" si="3"/>
        <v>0</v>
      </c>
      <c r="P38" s="272"/>
    </row>
    <row r="39" spans="2:16">
      <c r="B39" s="195" t="str">
        <f t="shared" si="6"/>
        <v/>
      </c>
      <c r="C39" s="507">
        <f>IF(D11="","-",+C38+1)</f>
        <v>2031</v>
      </c>
      <c r="D39" s="523">
        <f>IF(F38+SUM(E$17:E38)=D$10,F38,D$10-SUM(E$17:E38))</f>
        <v>1500803.4924653708</v>
      </c>
      <c r="E39" s="522">
        <f>IF(+I14&lt;F38,I14,D39)</f>
        <v>67767.454545454544</v>
      </c>
      <c r="F39" s="523">
        <f t="shared" si="22"/>
        <v>1433036.0379199162</v>
      </c>
      <c r="G39" s="524">
        <f t="shared" si="23"/>
        <v>243104.16644554242</v>
      </c>
      <c r="H39" s="491">
        <f t="shared" si="24"/>
        <v>243104.16644554242</v>
      </c>
      <c r="I39" s="511">
        <f t="shared" si="0"/>
        <v>0</v>
      </c>
      <c r="J39" s="511"/>
      <c r="K39" s="525"/>
      <c r="L39" s="514">
        <f t="shared" si="1"/>
        <v>0</v>
      </c>
      <c r="M39" s="525"/>
      <c r="N39" s="514">
        <f t="shared" si="2"/>
        <v>0</v>
      </c>
      <c r="O39" s="514">
        <f t="shared" si="3"/>
        <v>0</v>
      </c>
      <c r="P39" s="272"/>
    </row>
    <row r="40" spans="2:16">
      <c r="B40" s="195" t="str">
        <f t="shared" si="6"/>
        <v/>
      </c>
      <c r="C40" s="507">
        <f>IF(D11="","-",+C39+1)</f>
        <v>2032</v>
      </c>
      <c r="D40" s="523">
        <f>IF(F39+SUM(E$17:E39)=D$10,F39,D$10-SUM(E$17:E39))</f>
        <v>1433036.0379199162</v>
      </c>
      <c r="E40" s="522">
        <f>IF(+I14&lt;F39,I14,D40)</f>
        <v>67767.454545454544</v>
      </c>
      <c r="F40" s="523">
        <f t="shared" si="22"/>
        <v>1365268.5833744616</v>
      </c>
      <c r="G40" s="524">
        <f t="shared" si="23"/>
        <v>235004.11698422901</v>
      </c>
      <c r="H40" s="491">
        <f t="shared" si="24"/>
        <v>235004.11698422901</v>
      </c>
      <c r="I40" s="511">
        <f t="shared" si="0"/>
        <v>0</v>
      </c>
      <c r="J40" s="511"/>
      <c r="K40" s="525"/>
      <c r="L40" s="514">
        <f t="shared" si="1"/>
        <v>0</v>
      </c>
      <c r="M40" s="525"/>
      <c r="N40" s="514">
        <f t="shared" si="2"/>
        <v>0</v>
      </c>
      <c r="O40" s="514">
        <f t="shared" si="3"/>
        <v>0</v>
      </c>
      <c r="P40" s="272"/>
    </row>
    <row r="41" spans="2:16">
      <c r="B41" s="195" t="str">
        <f t="shared" si="6"/>
        <v/>
      </c>
      <c r="C41" s="507">
        <f>IF(D11="","-",+C40+1)</f>
        <v>2033</v>
      </c>
      <c r="D41" s="523">
        <f>IF(F40+SUM(E$17:E40)=D$10,F40,D$10-SUM(E$17:E40))</f>
        <v>1365268.5833744616</v>
      </c>
      <c r="E41" s="522">
        <f>IF(+I14&lt;F40,I14,D41)</f>
        <v>67767.454545454544</v>
      </c>
      <c r="F41" s="523">
        <f t="shared" si="22"/>
        <v>1297501.128829007</v>
      </c>
      <c r="G41" s="524">
        <f t="shared" si="23"/>
        <v>226904.0675229156</v>
      </c>
      <c r="H41" s="491">
        <f t="shared" si="24"/>
        <v>226904.0675229156</v>
      </c>
      <c r="I41" s="511">
        <f t="shared" si="0"/>
        <v>0</v>
      </c>
      <c r="J41" s="511"/>
      <c r="K41" s="525"/>
      <c r="L41" s="514">
        <f t="shared" si="1"/>
        <v>0</v>
      </c>
      <c r="M41" s="525"/>
      <c r="N41" s="514">
        <f t="shared" si="2"/>
        <v>0</v>
      </c>
      <c r="O41" s="514">
        <f t="shared" si="3"/>
        <v>0</v>
      </c>
      <c r="P41" s="272"/>
    </row>
    <row r="42" spans="2:16">
      <c r="B42" s="195" t="str">
        <f t="shared" si="6"/>
        <v/>
      </c>
      <c r="C42" s="507">
        <f>IF(D11="","-",+C41+1)</f>
        <v>2034</v>
      </c>
      <c r="D42" s="523">
        <f>IF(F41+SUM(E$17:E41)=D$10,F41,D$10-SUM(E$17:E41))</f>
        <v>1297501.128829007</v>
      </c>
      <c r="E42" s="522">
        <f>IF(+I14&lt;F41,I14,D42)</f>
        <v>67767.454545454544</v>
      </c>
      <c r="F42" s="523">
        <f t="shared" si="22"/>
        <v>1229733.6742835524</v>
      </c>
      <c r="G42" s="524">
        <f t="shared" si="23"/>
        <v>218804.01806160214</v>
      </c>
      <c r="H42" s="491">
        <f t="shared" si="24"/>
        <v>218804.01806160214</v>
      </c>
      <c r="I42" s="511">
        <f t="shared" si="0"/>
        <v>0</v>
      </c>
      <c r="J42" s="511"/>
      <c r="K42" s="525"/>
      <c r="L42" s="514">
        <f t="shared" si="1"/>
        <v>0</v>
      </c>
      <c r="M42" s="525"/>
      <c r="N42" s="514">
        <f t="shared" si="2"/>
        <v>0</v>
      </c>
      <c r="O42" s="514">
        <f t="shared" si="3"/>
        <v>0</v>
      </c>
      <c r="P42" s="272"/>
    </row>
    <row r="43" spans="2:16">
      <c r="B43" s="195" t="str">
        <f t="shared" si="6"/>
        <v/>
      </c>
      <c r="C43" s="507">
        <f>IF(D11="","-",+C42+1)</f>
        <v>2035</v>
      </c>
      <c r="D43" s="523">
        <f>IF(F42+SUM(E$17:E42)=D$10,F42,D$10-SUM(E$17:E42))</f>
        <v>1229733.6742835524</v>
      </c>
      <c r="E43" s="522">
        <f>IF(+I14&lt;F42,I14,D43)</f>
        <v>67767.454545454544</v>
      </c>
      <c r="F43" s="523">
        <f t="shared" si="22"/>
        <v>1161966.2197380979</v>
      </c>
      <c r="G43" s="524">
        <f t="shared" si="23"/>
        <v>210703.96860028873</v>
      </c>
      <c r="H43" s="491">
        <f t="shared" si="24"/>
        <v>210703.96860028873</v>
      </c>
      <c r="I43" s="511">
        <f t="shared" si="0"/>
        <v>0</v>
      </c>
      <c r="J43" s="511"/>
      <c r="K43" s="525"/>
      <c r="L43" s="514">
        <f t="shared" si="1"/>
        <v>0</v>
      </c>
      <c r="M43" s="525"/>
      <c r="N43" s="514">
        <f t="shared" si="2"/>
        <v>0</v>
      </c>
      <c r="O43" s="514">
        <f t="shared" si="3"/>
        <v>0</v>
      </c>
      <c r="P43" s="272"/>
    </row>
    <row r="44" spans="2:16">
      <c r="B44" s="195" t="str">
        <f t="shared" si="6"/>
        <v/>
      </c>
      <c r="C44" s="507">
        <f>IF(D11="","-",+C43+1)</f>
        <v>2036</v>
      </c>
      <c r="D44" s="523">
        <f>IF(F43+SUM(E$17:E43)=D$10,F43,D$10-SUM(E$17:E43))</f>
        <v>1161966.2197380979</v>
      </c>
      <c r="E44" s="522">
        <f>IF(+I14&lt;F43,I14,D44)</f>
        <v>67767.454545454544</v>
      </c>
      <c r="F44" s="523">
        <f t="shared" si="22"/>
        <v>1094198.7651926433</v>
      </c>
      <c r="G44" s="524">
        <f t="shared" si="23"/>
        <v>202603.91913897533</v>
      </c>
      <c r="H44" s="491">
        <f t="shared" si="24"/>
        <v>202603.91913897533</v>
      </c>
      <c r="I44" s="511">
        <f t="shared" si="0"/>
        <v>0</v>
      </c>
      <c r="J44" s="511"/>
      <c r="K44" s="525"/>
      <c r="L44" s="514">
        <f t="shared" si="1"/>
        <v>0</v>
      </c>
      <c r="M44" s="525"/>
      <c r="N44" s="514">
        <f t="shared" si="2"/>
        <v>0</v>
      </c>
      <c r="O44" s="514">
        <f t="shared" si="3"/>
        <v>0</v>
      </c>
      <c r="P44" s="272"/>
    </row>
    <row r="45" spans="2:16">
      <c r="B45" s="195" t="str">
        <f t="shared" si="6"/>
        <v/>
      </c>
      <c r="C45" s="507">
        <f>IF(D11="","-",+C44+1)</f>
        <v>2037</v>
      </c>
      <c r="D45" s="523">
        <f>IF(F44+SUM(E$17:E44)=D$10,F44,D$10-SUM(E$17:E44))</f>
        <v>1094198.7651926433</v>
      </c>
      <c r="E45" s="522">
        <f>IF(+I14&lt;F44,I14,D45)</f>
        <v>67767.454545454544</v>
      </c>
      <c r="F45" s="523">
        <f t="shared" si="22"/>
        <v>1026431.3106471887</v>
      </c>
      <c r="G45" s="524">
        <f t="shared" si="23"/>
        <v>194503.86967766192</v>
      </c>
      <c r="H45" s="491">
        <f t="shared" si="24"/>
        <v>194503.86967766192</v>
      </c>
      <c r="I45" s="511">
        <f t="shared" si="0"/>
        <v>0</v>
      </c>
      <c r="J45" s="511"/>
      <c r="K45" s="525"/>
      <c r="L45" s="514">
        <f t="shared" si="1"/>
        <v>0</v>
      </c>
      <c r="M45" s="525"/>
      <c r="N45" s="514">
        <f t="shared" si="2"/>
        <v>0</v>
      </c>
      <c r="O45" s="514">
        <f t="shared" si="3"/>
        <v>0</v>
      </c>
      <c r="P45" s="272"/>
    </row>
    <row r="46" spans="2:16">
      <c r="B46" s="195" t="str">
        <f t="shared" si="6"/>
        <v/>
      </c>
      <c r="C46" s="507">
        <f>IF(D11="","-",+C45+1)</f>
        <v>2038</v>
      </c>
      <c r="D46" s="523">
        <f>IF(F45+SUM(E$17:E45)=D$10,F45,D$10-SUM(E$17:E45))</f>
        <v>1026431.3106471887</v>
      </c>
      <c r="E46" s="522">
        <f>IF(+I14&lt;F45,I14,D46)</f>
        <v>67767.454545454544</v>
      </c>
      <c r="F46" s="523">
        <f t="shared" si="22"/>
        <v>958663.8561017341</v>
      </c>
      <c r="G46" s="524">
        <f t="shared" si="23"/>
        <v>186403.82021634851</v>
      </c>
      <c r="H46" s="491">
        <f t="shared" si="24"/>
        <v>186403.82021634851</v>
      </c>
      <c r="I46" s="511">
        <f t="shared" si="0"/>
        <v>0</v>
      </c>
      <c r="J46" s="511"/>
      <c r="K46" s="525"/>
      <c r="L46" s="514">
        <f t="shared" si="1"/>
        <v>0</v>
      </c>
      <c r="M46" s="525"/>
      <c r="N46" s="514">
        <f t="shared" si="2"/>
        <v>0</v>
      </c>
      <c r="O46" s="514">
        <f t="shared" si="3"/>
        <v>0</v>
      </c>
      <c r="P46" s="272"/>
    </row>
    <row r="47" spans="2:16">
      <c r="B47" s="195" t="str">
        <f t="shared" si="6"/>
        <v/>
      </c>
      <c r="C47" s="507">
        <f>IF(D11="","-",+C46+1)</f>
        <v>2039</v>
      </c>
      <c r="D47" s="523">
        <f>IF(F46+SUM(E$17:E46)=D$10,F46,D$10-SUM(E$17:E46))</f>
        <v>958663.8561017341</v>
      </c>
      <c r="E47" s="522">
        <f>IF(+I14&lt;F46,I14,D47)</f>
        <v>67767.454545454544</v>
      </c>
      <c r="F47" s="523">
        <f t="shared" si="22"/>
        <v>890896.40155627951</v>
      </c>
      <c r="G47" s="524">
        <f t="shared" si="23"/>
        <v>178303.7707550351</v>
      </c>
      <c r="H47" s="491">
        <f t="shared" si="24"/>
        <v>178303.7707550351</v>
      </c>
      <c r="I47" s="511">
        <f t="shared" si="0"/>
        <v>0</v>
      </c>
      <c r="J47" s="511"/>
      <c r="K47" s="525"/>
      <c r="L47" s="514">
        <f t="shared" si="1"/>
        <v>0</v>
      </c>
      <c r="M47" s="525"/>
      <c r="N47" s="514">
        <f t="shared" si="2"/>
        <v>0</v>
      </c>
      <c r="O47" s="514">
        <f t="shared" si="3"/>
        <v>0</v>
      </c>
      <c r="P47" s="272"/>
    </row>
    <row r="48" spans="2:16">
      <c r="B48" s="195" t="str">
        <f t="shared" si="6"/>
        <v/>
      </c>
      <c r="C48" s="507">
        <f>IF(D11="","-",+C47+1)</f>
        <v>2040</v>
      </c>
      <c r="D48" s="523">
        <f>IF(F47+SUM(E$17:E47)=D$10,F47,D$10-SUM(E$17:E47))</f>
        <v>890896.40155627951</v>
      </c>
      <c r="E48" s="522">
        <f>IF(+I14&lt;F47,I14,D48)</f>
        <v>67767.454545454544</v>
      </c>
      <c r="F48" s="523">
        <f t="shared" si="22"/>
        <v>823128.94701082492</v>
      </c>
      <c r="G48" s="524">
        <f t="shared" si="23"/>
        <v>170203.7212937217</v>
      </c>
      <c r="H48" s="491">
        <f t="shared" si="24"/>
        <v>170203.7212937217</v>
      </c>
      <c r="I48" s="511">
        <f t="shared" si="0"/>
        <v>0</v>
      </c>
      <c r="J48" s="511"/>
      <c r="K48" s="525"/>
      <c r="L48" s="514">
        <f t="shared" si="1"/>
        <v>0</v>
      </c>
      <c r="M48" s="525"/>
      <c r="N48" s="514">
        <f t="shared" si="2"/>
        <v>0</v>
      </c>
      <c r="O48" s="514">
        <f t="shared" si="3"/>
        <v>0</v>
      </c>
      <c r="P48" s="272"/>
    </row>
    <row r="49" spans="2:17">
      <c r="B49" s="195" t="str">
        <f t="shared" si="6"/>
        <v/>
      </c>
      <c r="C49" s="507">
        <f>IF(D11="","-",+C48+1)</f>
        <v>2041</v>
      </c>
      <c r="D49" s="523">
        <f>IF(F48+SUM(E$17:E48)=D$10,F48,D$10-SUM(E$17:E48))</f>
        <v>823128.94701082492</v>
      </c>
      <c r="E49" s="522">
        <f>IF(+I14&lt;F48,I14,D49)</f>
        <v>67767.454545454544</v>
      </c>
      <c r="F49" s="523">
        <f t="shared" ref="F49:F72" si="25">+D49-E49</f>
        <v>755361.49246537033</v>
      </c>
      <c r="G49" s="524">
        <f t="shared" si="23"/>
        <v>162103.67183240829</v>
      </c>
      <c r="H49" s="491">
        <f t="shared" si="24"/>
        <v>162103.67183240829</v>
      </c>
      <c r="I49" s="511">
        <f t="shared" ref="I49:I72" si="26">H49-G49</f>
        <v>0</v>
      </c>
      <c r="J49" s="511"/>
      <c r="K49" s="525"/>
      <c r="L49" s="514">
        <f t="shared" ref="L49:L72" si="27">IF(K49&lt;&gt;0,+G49-K49,0)</f>
        <v>0</v>
      </c>
      <c r="M49" s="525"/>
      <c r="N49" s="514">
        <f t="shared" ref="N49:N72" si="28">IF(M49&lt;&gt;0,+H49-M49,0)</f>
        <v>0</v>
      </c>
      <c r="O49" s="514">
        <f t="shared" ref="O49:O72" si="29">+N49-L49</f>
        <v>0</v>
      </c>
      <c r="P49" s="272"/>
    </row>
    <row r="50" spans="2:17">
      <c r="B50" s="195" t="str">
        <f t="shared" si="6"/>
        <v/>
      </c>
      <c r="C50" s="507">
        <f>IF(D11="","-",+C49+1)</f>
        <v>2042</v>
      </c>
      <c r="D50" s="523">
        <f>IF(F49+SUM(E$17:E49)=D$10,F49,D$10-SUM(E$17:E49))</f>
        <v>755361.49246537033</v>
      </c>
      <c r="E50" s="522">
        <f>IF(+I14&lt;F49,I14,D50)</f>
        <v>67767.454545454544</v>
      </c>
      <c r="F50" s="523">
        <f t="shared" si="25"/>
        <v>687594.03791991575</v>
      </c>
      <c r="G50" s="524">
        <f t="shared" si="23"/>
        <v>154003.62237109485</v>
      </c>
      <c r="H50" s="491">
        <f t="shared" si="24"/>
        <v>154003.62237109485</v>
      </c>
      <c r="I50" s="511">
        <f t="shared" si="26"/>
        <v>0</v>
      </c>
      <c r="J50" s="511"/>
      <c r="K50" s="525"/>
      <c r="L50" s="514">
        <f t="shared" si="27"/>
        <v>0</v>
      </c>
      <c r="M50" s="525"/>
      <c r="N50" s="514">
        <f t="shared" si="28"/>
        <v>0</v>
      </c>
      <c r="O50" s="514">
        <f t="shared" si="29"/>
        <v>0</v>
      </c>
      <c r="P50" s="272"/>
    </row>
    <row r="51" spans="2:17">
      <c r="B51" s="195" t="str">
        <f t="shared" si="6"/>
        <v/>
      </c>
      <c r="C51" s="507">
        <f>IF(D11="","-",+C50+1)</f>
        <v>2043</v>
      </c>
      <c r="D51" s="523">
        <f>IF(F50+SUM(E$17:E50)=D$10,F50,D$10-SUM(E$17:E50))</f>
        <v>687594.03791991575</v>
      </c>
      <c r="E51" s="522">
        <f>IF(+I14&lt;F50,I14,D51)</f>
        <v>67767.454545454544</v>
      </c>
      <c r="F51" s="523">
        <f t="shared" si="25"/>
        <v>619826.58337446116</v>
      </c>
      <c r="G51" s="524">
        <f t="shared" si="23"/>
        <v>145903.57290978145</v>
      </c>
      <c r="H51" s="491">
        <f t="shared" si="24"/>
        <v>145903.57290978145</v>
      </c>
      <c r="I51" s="511">
        <f t="shared" si="26"/>
        <v>0</v>
      </c>
      <c r="J51" s="511"/>
      <c r="K51" s="525"/>
      <c r="L51" s="514">
        <f t="shared" si="27"/>
        <v>0</v>
      </c>
      <c r="M51" s="525"/>
      <c r="N51" s="514">
        <f t="shared" si="28"/>
        <v>0</v>
      </c>
      <c r="O51" s="514">
        <f t="shared" si="29"/>
        <v>0</v>
      </c>
      <c r="P51" s="272"/>
    </row>
    <row r="52" spans="2:17">
      <c r="B52" s="195" t="str">
        <f t="shared" si="6"/>
        <v/>
      </c>
      <c r="C52" s="507">
        <f>IF(D11="","-",+C51+1)</f>
        <v>2044</v>
      </c>
      <c r="D52" s="523">
        <f>IF(F51+SUM(E$17:E51)=D$10,F51,D$10-SUM(E$17:E51))</f>
        <v>619826.58337446116</v>
      </c>
      <c r="E52" s="522">
        <f>IF(+I14&lt;F51,I14,D52)</f>
        <v>67767.454545454544</v>
      </c>
      <c r="F52" s="523">
        <f t="shared" si="25"/>
        <v>552059.12882900657</v>
      </c>
      <c r="G52" s="524">
        <f t="shared" si="23"/>
        <v>137803.52344846804</v>
      </c>
      <c r="H52" s="491">
        <f t="shared" si="24"/>
        <v>137803.52344846804</v>
      </c>
      <c r="I52" s="511">
        <f t="shared" si="26"/>
        <v>0</v>
      </c>
      <c r="J52" s="511"/>
      <c r="K52" s="525"/>
      <c r="L52" s="514">
        <f t="shared" si="27"/>
        <v>0</v>
      </c>
      <c r="M52" s="525"/>
      <c r="N52" s="514">
        <f t="shared" si="28"/>
        <v>0</v>
      </c>
      <c r="O52" s="514">
        <f t="shared" si="29"/>
        <v>0</v>
      </c>
      <c r="P52" s="272"/>
    </row>
    <row r="53" spans="2:17">
      <c r="B53" s="195" t="str">
        <f t="shared" si="6"/>
        <v/>
      </c>
      <c r="C53" s="507">
        <f>IF(D11="","-",+C52+1)</f>
        <v>2045</v>
      </c>
      <c r="D53" s="523">
        <f>IF(F52+SUM(E$17:E52)=D$10,F52,D$10-SUM(E$17:E52))</f>
        <v>552059.12882900657</v>
      </c>
      <c r="E53" s="522">
        <f>IF(+I14&lt;F52,I14,D53)</f>
        <v>67767.454545454544</v>
      </c>
      <c r="F53" s="523">
        <f t="shared" si="25"/>
        <v>484291.67428355204</v>
      </c>
      <c r="G53" s="524">
        <f t="shared" si="23"/>
        <v>129703.47398715462</v>
      </c>
      <c r="H53" s="491">
        <f t="shared" si="24"/>
        <v>129703.47398715462</v>
      </c>
      <c r="I53" s="511">
        <f t="shared" si="26"/>
        <v>0</v>
      </c>
      <c r="J53" s="511"/>
      <c r="K53" s="525"/>
      <c r="L53" s="514">
        <f t="shared" si="27"/>
        <v>0</v>
      </c>
      <c r="M53" s="525"/>
      <c r="N53" s="514">
        <f t="shared" si="28"/>
        <v>0</v>
      </c>
      <c r="O53" s="514">
        <f t="shared" si="29"/>
        <v>0</v>
      </c>
      <c r="P53" s="272"/>
    </row>
    <row r="54" spans="2:17">
      <c r="B54" s="195" t="str">
        <f t="shared" si="6"/>
        <v/>
      </c>
      <c r="C54" s="507">
        <f>IF(D11="","-",+C53+1)</f>
        <v>2046</v>
      </c>
      <c r="D54" s="523">
        <f>IF(F53+SUM(E$17:E53)=D$10,F53,D$10-SUM(E$17:E53))</f>
        <v>484291.67428355204</v>
      </c>
      <c r="E54" s="522">
        <f>IF(+I14&lt;F53,I14,D54)</f>
        <v>67767.454545454544</v>
      </c>
      <c r="F54" s="523">
        <f t="shared" si="25"/>
        <v>416524.21973809751</v>
      </c>
      <c r="G54" s="524">
        <f t="shared" si="23"/>
        <v>121603.42452584123</v>
      </c>
      <c r="H54" s="491">
        <f t="shared" si="24"/>
        <v>121603.42452584123</v>
      </c>
      <c r="I54" s="511">
        <f t="shared" si="26"/>
        <v>0</v>
      </c>
      <c r="J54" s="511"/>
      <c r="K54" s="525"/>
      <c r="L54" s="514">
        <f t="shared" si="27"/>
        <v>0</v>
      </c>
      <c r="M54" s="525"/>
      <c r="N54" s="514">
        <f t="shared" si="28"/>
        <v>0</v>
      </c>
      <c r="O54" s="514">
        <f t="shared" si="29"/>
        <v>0</v>
      </c>
      <c r="P54" s="272"/>
    </row>
    <row r="55" spans="2:17">
      <c r="B55" s="195" t="str">
        <f t="shared" si="6"/>
        <v/>
      </c>
      <c r="C55" s="507">
        <f>IF(D11="","-",+C54+1)</f>
        <v>2047</v>
      </c>
      <c r="D55" s="523">
        <f>IF(F54+SUM(E$17:E54)=D$10,F54,D$10-SUM(E$17:E54))</f>
        <v>416524.21973809751</v>
      </c>
      <c r="E55" s="522">
        <f>IF(+I14&lt;F54,I14,D55)</f>
        <v>67767.454545454544</v>
      </c>
      <c r="F55" s="523">
        <f t="shared" si="25"/>
        <v>348756.76519264298</v>
      </c>
      <c r="G55" s="524">
        <f t="shared" si="23"/>
        <v>113503.37506452781</v>
      </c>
      <c r="H55" s="491">
        <f t="shared" si="24"/>
        <v>113503.37506452781</v>
      </c>
      <c r="I55" s="511">
        <f t="shared" si="26"/>
        <v>0</v>
      </c>
      <c r="J55" s="511"/>
      <c r="K55" s="525"/>
      <c r="L55" s="514">
        <f t="shared" si="27"/>
        <v>0</v>
      </c>
      <c r="M55" s="525"/>
      <c r="N55" s="514">
        <f t="shared" si="28"/>
        <v>0</v>
      </c>
      <c r="O55" s="514">
        <f t="shared" si="29"/>
        <v>0</v>
      </c>
      <c r="P55" s="272"/>
    </row>
    <row r="56" spans="2:17">
      <c r="B56" s="195" t="str">
        <f t="shared" si="6"/>
        <v/>
      </c>
      <c r="C56" s="507">
        <f>IF(D11="","-",+C55+1)</f>
        <v>2048</v>
      </c>
      <c r="D56" s="523">
        <f>IF(F55+SUM(E$17:E55)=D$10,F55,D$10-SUM(E$17:E55))</f>
        <v>348756.76519264298</v>
      </c>
      <c r="E56" s="522">
        <f>IF(+I14&lt;F55,I14,D56)</f>
        <v>67767.454545454544</v>
      </c>
      <c r="F56" s="523">
        <f t="shared" si="25"/>
        <v>280989.31064718845</v>
      </c>
      <c r="G56" s="524">
        <f t="shared" si="23"/>
        <v>105403.32560321441</v>
      </c>
      <c r="H56" s="491">
        <f t="shared" si="24"/>
        <v>105403.32560321441</v>
      </c>
      <c r="I56" s="511">
        <f t="shared" si="26"/>
        <v>0</v>
      </c>
      <c r="J56" s="511"/>
      <c r="K56" s="525"/>
      <c r="L56" s="514">
        <f t="shared" si="27"/>
        <v>0</v>
      </c>
      <c r="M56" s="525"/>
      <c r="N56" s="514">
        <f t="shared" si="28"/>
        <v>0</v>
      </c>
      <c r="O56" s="514">
        <f t="shared" si="29"/>
        <v>0</v>
      </c>
      <c r="P56" s="272"/>
    </row>
    <row r="57" spans="2:17">
      <c r="B57" s="195" t="str">
        <f t="shared" si="6"/>
        <v/>
      </c>
      <c r="C57" s="507">
        <f>IF(D11="","-",+C56+1)</f>
        <v>2049</v>
      </c>
      <c r="D57" s="523">
        <f>IF(F56+SUM(E$17:E56)=D$10,F56,D$10-SUM(E$17:E56))</f>
        <v>280989.31064718845</v>
      </c>
      <c r="E57" s="522">
        <f>IF(+I14&lt;F56,I14,D57)</f>
        <v>67767.454545454544</v>
      </c>
      <c r="F57" s="523">
        <f t="shared" si="25"/>
        <v>213221.85610173392</v>
      </c>
      <c r="G57" s="524">
        <f t="shared" si="23"/>
        <v>97303.276141901006</v>
      </c>
      <c r="H57" s="491">
        <f t="shared" si="24"/>
        <v>97303.276141901006</v>
      </c>
      <c r="I57" s="511">
        <f t="shared" si="26"/>
        <v>0</v>
      </c>
      <c r="J57" s="511"/>
      <c r="K57" s="525"/>
      <c r="L57" s="514">
        <f t="shared" si="27"/>
        <v>0</v>
      </c>
      <c r="M57" s="525"/>
      <c r="N57" s="514">
        <f t="shared" si="28"/>
        <v>0</v>
      </c>
      <c r="O57" s="514">
        <f t="shared" si="29"/>
        <v>0</v>
      </c>
      <c r="P57" s="272"/>
    </row>
    <row r="58" spans="2:17">
      <c r="B58" s="195" t="str">
        <f t="shared" si="6"/>
        <v/>
      </c>
      <c r="C58" s="507">
        <f>IF(D11="","-",+C57+1)</f>
        <v>2050</v>
      </c>
      <c r="D58" s="523">
        <f>IF(F57+SUM(E$17:E57)=D$10,F57,D$10-SUM(E$17:E57))</f>
        <v>213221.85610173392</v>
      </c>
      <c r="E58" s="522">
        <f>IF(+I14&lt;F57,I14,D58)</f>
        <v>67767.454545454544</v>
      </c>
      <c r="F58" s="523">
        <f t="shared" si="25"/>
        <v>145454.40155627939</v>
      </c>
      <c r="G58" s="524">
        <f t="shared" si="23"/>
        <v>89203.226680587599</v>
      </c>
      <c r="H58" s="491">
        <f t="shared" si="24"/>
        <v>89203.226680587599</v>
      </c>
      <c r="I58" s="511">
        <f t="shared" si="26"/>
        <v>0</v>
      </c>
      <c r="J58" s="511"/>
      <c r="K58" s="525"/>
      <c r="L58" s="514">
        <f t="shared" si="27"/>
        <v>0</v>
      </c>
      <c r="M58" s="525"/>
      <c r="N58" s="514">
        <f t="shared" si="28"/>
        <v>0</v>
      </c>
      <c r="O58" s="514">
        <f t="shared" si="29"/>
        <v>0</v>
      </c>
      <c r="P58" s="272"/>
      <c r="Q58" s="183" t="str">
        <f>IF(ROUND(Q57,0)=ROUND(SUM(Q18:Q56),0),"","Error -- check allocations above).")</f>
        <v/>
      </c>
    </row>
    <row r="59" spans="2:17">
      <c r="B59" s="195" t="str">
        <f t="shared" si="6"/>
        <v/>
      </c>
      <c r="C59" s="507">
        <f>IF(D11="","-",+C58+1)</f>
        <v>2051</v>
      </c>
      <c r="D59" s="523">
        <f>IF(F58+SUM(E$17:E58)=D$10,F58,D$10-SUM(E$17:E58))</f>
        <v>145454.40155627939</v>
      </c>
      <c r="E59" s="522">
        <f>IF(+I14&lt;F58,I14,D59)</f>
        <v>67767.454545454544</v>
      </c>
      <c r="F59" s="523">
        <f t="shared" si="25"/>
        <v>77686.94701082485</v>
      </c>
      <c r="G59" s="524">
        <f t="shared" si="23"/>
        <v>81103.177219274192</v>
      </c>
      <c r="H59" s="491">
        <f t="shared" si="24"/>
        <v>81103.177219274192</v>
      </c>
      <c r="I59" s="511">
        <f t="shared" si="26"/>
        <v>0</v>
      </c>
      <c r="J59" s="511"/>
      <c r="K59" s="525"/>
      <c r="L59" s="514">
        <f t="shared" si="27"/>
        <v>0</v>
      </c>
      <c r="M59" s="525"/>
      <c r="N59" s="514">
        <f t="shared" si="28"/>
        <v>0</v>
      </c>
      <c r="O59" s="514">
        <f t="shared" si="29"/>
        <v>0</v>
      </c>
      <c r="P59" s="272"/>
    </row>
    <row r="60" spans="2:17">
      <c r="B60" s="195" t="str">
        <f t="shared" si="6"/>
        <v/>
      </c>
      <c r="C60" s="507">
        <f>IF(D11="","-",+C59+1)</f>
        <v>2052</v>
      </c>
      <c r="D60" s="523">
        <f>IF(F59+SUM(E$17:E59)=D$10,F59,D$10-SUM(E$17:E59))</f>
        <v>77686.94701082485</v>
      </c>
      <c r="E60" s="522">
        <f>IF(+I14&lt;F59,I14,D60)</f>
        <v>67767.454545454544</v>
      </c>
      <c r="F60" s="523">
        <f t="shared" si="25"/>
        <v>9919.4924653703056</v>
      </c>
      <c r="G60" s="524">
        <f t="shared" si="23"/>
        <v>73003.127757960785</v>
      </c>
      <c r="H60" s="491">
        <f t="shared" si="24"/>
        <v>73003.127757960785</v>
      </c>
      <c r="I60" s="511">
        <f t="shared" si="26"/>
        <v>0</v>
      </c>
      <c r="J60" s="511"/>
      <c r="K60" s="525"/>
      <c r="L60" s="514">
        <f t="shared" si="27"/>
        <v>0</v>
      </c>
      <c r="M60" s="525"/>
      <c r="N60" s="514">
        <f t="shared" si="28"/>
        <v>0</v>
      </c>
      <c r="O60" s="514">
        <f t="shared" si="29"/>
        <v>0</v>
      </c>
      <c r="P60" s="272"/>
    </row>
    <row r="61" spans="2:17">
      <c r="B61" s="195" t="str">
        <f t="shared" si="6"/>
        <v/>
      </c>
      <c r="C61" s="507">
        <f>IF(D11="","-",+C60+1)</f>
        <v>2053</v>
      </c>
      <c r="D61" s="523">
        <f>IF(F60+SUM(E$17:E60)=D$10,F60,D$10-SUM(E$17:E60))</f>
        <v>9919.4924653703056</v>
      </c>
      <c r="E61" s="522">
        <f>IF(+I14&lt;F60,I14,D61)</f>
        <v>9919.4924653703056</v>
      </c>
      <c r="F61" s="523">
        <f t="shared" si="25"/>
        <v>0</v>
      </c>
      <c r="G61" s="526">
        <f t="shared" si="23"/>
        <v>10512.316706295071</v>
      </c>
      <c r="H61" s="491">
        <f t="shared" si="24"/>
        <v>10512.316706295071</v>
      </c>
      <c r="I61" s="511">
        <f t="shared" si="26"/>
        <v>0</v>
      </c>
      <c r="J61" s="511"/>
      <c r="K61" s="525"/>
      <c r="L61" s="514">
        <f t="shared" si="27"/>
        <v>0</v>
      </c>
      <c r="M61" s="525"/>
      <c r="N61" s="514">
        <f t="shared" si="28"/>
        <v>0</v>
      </c>
      <c r="O61" s="514">
        <f t="shared" si="29"/>
        <v>0</v>
      </c>
      <c r="P61" s="272"/>
    </row>
    <row r="62" spans="2:17">
      <c r="B62" s="195" t="str">
        <f t="shared" si="6"/>
        <v/>
      </c>
      <c r="C62" s="507">
        <f>IF(D11="","-",+C61+1)</f>
        <v>2054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25"/>
        <v>0</v>
      </c>
      <c r="G62" s="526">
        <f t="shared" si="23"/>
        <v>0</v>
      </c>
      <c r="H62" s="491">
        <f t="shared" si="24"/>
        <v>0</v>
      </c>
      <c r="I62" s="511">
        <f t="shared" si="26"/>
        <v>0</v>
      </c>
      <c r="J62" s="511"/>
      <c r="K62" s="525"/>
      <c r="L62" s="514">
        <f t="shared" si="27"/>
        <v>0</v>
      </c>
      <c r="M62" s="525"/>
      <c r="N62" s="514">
        <f t="shared" si="28"/>
        <v>0</v>
      </c>
      <c r="O62" s="514">
        <f t="shared" si="29"/>
        <v>0</v>
      </c>
      <c r="P62" s="272"/>
    </row>
    <row r="63" spans="2:17">
      <c r="B63" s="195" t="str">
        <f t="shared" si="6"/>
        <v/>
      </c>
      <c r="C63" s="507">
        <f>IF(D11="","-",+C62+1)</f>
        <v>2055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25"/>
        <v>0</v>
      </c>
      <c r="G63" s="526">
        <f t="shared" si="23"/>
        <v>0</v>
      </c>
      <c r="H63" s="491">
        <f t="shared" si="24"/>
        <v>0</v>
      </c>
      <c r="I63" s="511">
        <f t="shared" si="26"/>
        <v>0</v>
      </c>
      <c r="J63" s="511"/>
      <c r="K63" s="525"/>
      <c r="L63" s="514">
        <f t="shared" si="27"/>
        <v>0</v>
      </c>
      <c r="M63" s="525"/>
      <c r="N63" s="514">
        <f t="shared" si="28"/>
        <v>0</v>
      </c>
      <c r="O63" s="514">
        <f t="shared" si="29"/>
        <v>0</v>
      </c>
      <c r="P63" s="272"/>
    </row>
    <row r="64" spans="2:17">
      <c r="B64" s="195" t="str">
        <f t="shared" si="6"/>
        <v/>
      </c>
      <c r="C64" s="507">
        <f>IF(D11="","-",+C63+1)</f>
        <v>2056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25"/>
        <v>0</v>
      </c>
      <c r="G64" s="526">
        <f t="shared" si="23"/>
        <v>0</v>
      </c>
      <c r="H64" s="491">
        <f t="shared" si="24"/>
        <v>0</v>
      </c>
      <c r="I64" s="511">
        <f t="shared" si="26"/>
        <v>0</v>
      </c>
      <c r="J64" s="511"/>
      <c r="K64" s="525"/>
      <c r="L64" s="514">
        <f t="shared" si="27"/>
        <v>0</v>
      </c>
      <c r="M64" s="525"/>
      <c r="N64" s="514">
        <f t="shared" si="28"/>
        <v>0</v>
      </c>
      <c r="O64" s="514">
        <f t="shared" si="29"/>
        <v>0</v>
      </c>
      <c r="P64" s="272"/>
    </row>
    <row r="65" spans="1:16">
      <c r="B65" s="195" t="str">
        <f t="shared" si="6"/>
        <v/>
      </c>
      <c r="C65" s="507">
        <f>IF(D11="","-",+C64+1)</f>
        <v>2057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25"/>
        <v>0</v>
      </c>
      <c r="G65" s="526">
        <f t="shared" si="23"/>
        <v>0</v>
      </c>
      <c r="H65" s="491">
        <f t="shared" si="24"/>
        <v>0</v>
      </c>
      <c r="I65" s="511">
        <f t="shared" si="26"/>
        <v>0</v>
      </c>
      <c r="J65" s="511"/>
      <c r="K65" s="525"/>
      <c r="L65" s="514">
        <f t="shared" si="27"/>
        <v>0</v>
      </c>
      <c r="M65" s="525"/>
      <c r="N65" s="514">
        <f t="shared" si="28"/>
        <v>0</v>
      </c>
      <c r="O65" s="514">
        <f t="shared" si="29"/>
        <v>0</v>
      </c>
      <c r="P65" s="272"/>
    </row>
    <row r="66" spans="1:16">
      <c r="B66" s="195" t="str">
        <f t="shared" si="6"/>
        <v/>
      </c>
      <c r="C66" s="507">
        <f>IF(D11="","-",+C65+1)</f>
        <v>2058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25"/>
        <v>0</v>
      </c>
      <c r="G66" s="526">
        <f t="shared" si="23"/>
        <v>0</v>
      </c>
      <c r="H66" s="491">
        <f t="shared" si="24"/>
        <v>0</v>
      </c>
      <c r="I66" s="511">
        <f t="shared" si="26"/>
        <v>0</v>
      </c>
      <c r="J66" s="511"/>
      <c r="K66" s="525"/>
      <c r="L66" s="514">
        <f t="shared" si="27"/>
        <v>0</v>
      </c>
      <c r="M66" s="525"/>
      <c r="N66" s="514">
        <f t="shared" si="28"/>
        <v>0</v>
      </c>
      <c r="O66" s="514">
        <f t="shared" si="29"/>
        <v>0</v>
      </c>
      <c r="P66" s="272"/>
    </row>
    <row r="67" spans="1:16">
      <c r="B67" s="195" t="str">
        <f t="shared" si="6"/>
        <v/>
      </c>
      <c r="C67" s="507">
        <f>IF(D11="","-",+C66+1)</f>
        <v>2059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25"/>
        <v>0</v>
      </c>
      <c r="G67" s="526">
        <f t="shared" si="23"/>
        <v>0</v>
      </c>
      <c r="H67" s="491">
        <f t="shared" si="24"/>
        <v>0</v>
      </c>
      <c r="I67" s="511">
        <f t="shared" si="26"/>
        <v>0</v>
      </c>
      <c r="J67" s="511"/>
      <c r="K67" s="525"/>
      <c r="L67" s="514">
        <f t="shared" si="27"/>
        <v>0</v>
      </c>
      <c r="M67" s="525"/>
      <c r="N67" s="514">
        <f t="shared" si="28"/>
        <v>0</v>
      </c>
      <c r="O67" s="514">
        <f t="shared" si="29"/>
        <v>0</v>
      </c>
      <c r="P67" s="272"/>
    </row>
    <row r="68" spans="1:16">
      <c r="B68" s="195" t="str">
        <f t="shared" si="6"/>
        <v/>
      </c>
      <c r="C68" s="507">
        <f>IF(D11="","-",+C67+1)</f>
        <v>2060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25"/>
        <v>0</v>
      </c>
      <c r="G68" s="526">
        <f t="shared" si="23"/>
        <v>0</v>
      </c>
      <c r="H68" s="491">
        <f t="shared" si="24"/>
        <v>0</v>
      </c>
      <c r="I68" s="511">
        <f t="shared" si="26"/>
        <v>0</v>
      </c>
      <c r="J68" s="511"/>
      <c r="K68" s="525"/>
      <c r="L68" s="514">
        <f t="shared" si="27"/>
        <v>0</v>
      </c>
      <c r="M68" s="525"/>
      <c r="N68" s="514">
        <f t="shared" si="28"/>
        <v>0</v>
      </c>
      <c r="O68" s="514">
        <f t="shared" si="29"/>
        <v>0</v>
      </c>
      <c r="P68" s="272"/>
    </row>
    <row r="69" spans="1:16">
      <c r="B69" s="195" t="str">
        <f t="shared" si="6"/>
        <v/>
      </c>
      <c r="C69" s="507">
        <f>IF(D11="","-",+C68+1)</f>
        <v>2061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25"/>
        <v>0</v>
      </c>
      <c r="G69" s="526">
        <f t="shared" si="23"/>
        <v>0</v>
      </c>
      <c r="H69" s="491">
        <f t="shared" si="24"/>
        <v>0</v>
      </c>
      <c r="I69" s="511">
        <f t="shared" si="26"/>
        <v>0</v>
      </c>
      <c r="J69" s="511"/>
      <c r="K69" s="525"/>
      <c r="L69" s="514">
        <f t="shared" si="27"/>
        <v>0</v>
      </c>
      <c r="M69" s="525"/>
      <c r="N69" s="514">
        <f t="shared" si="28"/>
        <v>0</v>
      </c>
      <c r="O69" s="514">
        <f t="shared" si="29"/>
        <v>0</v>
      </c>
      <c r="P69" s="272"/>
    </row>
    <row r="70" spans="1:16">
      <c r="B70" s="195" t="str">
        <f t="shared" si="6"/>
        <v/>
      </c>
      <c r="C70" s="507">
        <f>IF(D11="","-",+C69+1)</f>
        <v>2062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25"/>
        <v>0</v>
      </c>
      <c r="G70" s="526">
        <f t="shared" si="23"/>
        <v>0</v>
      </c>
      <c r="H70" s="491">
        <f t="shared" si="24"/>
        <v>0</v>
      </c>
      <c r="I70" s="511">
        <f t="shared" si="26"/>
        <v>0</v>
      </c>
      <c r="J70" s="511"/>
      <c r="K70" s="525"/>
      <c r="L70" s="514">
        <f t="shared" si="27"/>
        <v>0</v>
      </c>
      <c r="M70" s="525"/>
      <c r="N70" s="514">
        <f t="shared" si="28"/>
        <v>0</v>
      </c>
      <c r="O70" s="514">
        <f t="shared" si="29"/>
        <v>0</v>
      </c>
      <c r="P70" s="272"/>
    </row>
    <row r="71" spans="1:16">
      <c r="B71" s="195" t="str">
        <f t="shared" si="6"/>
        <v/>
      </c>
      <c r="C71" s="507">
        <f>IF(D11="","-",+C70+1)</f>
        <v>2063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25"/>
        <v>0</v>
      </c>
      <c r="G71" s="526">
        <f t="shared" si="23"/>
        <v>0</v>
      </c>
      <c r="H71" s="491">
        <f t="shared" si="24"/>
        <v>0</v>
      </c>
      <c r="I71" s="511">
        <f t="shared" si="26"/>
        <v>0</v>
      </c>
      <c r="J71" s="511"/>
      <c r="K71" s="525"/>
      <c r="L71" s="514">
        <f t="shared" si="27"/>
        <v>0</v>
      </c>
      <c r="M71" s="525"/>
      <c r="N71" s="514">
        <f t="shared" si="28"/>
        <v>0</v>
      </c>
      <c r="O71" s="514">
        <f t="shared" si="29"/>
        <v>0</v>
      </c>
      <c r="P71" s="272"/>
    </row>
    <row r="72" spans="1:16" ht="13.5" thickBot="1">
      <c r="B72" s="195" t="str">
        <f t="shared" si="6"/>
        <v/>
      </c>
      <c r="C72" s="527">
        <f>IF(D11="","-",+C71+1)</f>
        <v>2064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25"/>
        <v>0</v>
      </c>
      <c r="G72" s="530">
        <f t="shared" si="23"/>
        <v>0</v>
      </c>
      <c r="H72" s="471">
        <f t="shared" si="24"/>
        <v>0</v>
      </c>
      <c r="I72" s="531">
        <f t="shared" si="26"/>
        <v>0</v>
      </c>
      <c r="J72" s="511"/>
      <c r="K72" s="532"/>
      <c r="L72" s="533">
        <f t="shared" si="27"/>
        <v>0</v>
      </c>
      <c r="M72" s="532"/>
      <c r="N72" s="533">
        <f t="shared" si="28"/>
        <v>0</v>
      </c>
      <c r="O72" s="533">
        <f t="shared" si="29"/>
        <v>0</v>
      </c>
      <c r="P72" s="272"/>
    </row>
    <row r="73" spans="1:16">
      <c r="C73" s="374" t="s">
        <v>78</v>
      </c>
      <c r="D73" s="375"/>
      <c r="E73" s="375">
        <f>SUM(E17:E72)</f>
        <v>2981768</v>
      </c>
      <c r="F73" s="375"/>
      <c r="G73" s="375">
        <f>SUM(G17:G72)</f>
        <v>10946083.27942908</v>
      </c>
      <c r="H73" s="375">
        <f>SUM(H17:H72)</f>
        <v>10946083.27942908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1:16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1:16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1:16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1:16" ht="18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535"/>
      <c r="P77" s="272"/>
    </row>
    <row r="78" spans="1:16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1:16" ht="15">
      <c r="A79" s="536"/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</row>
    <row r="80" spans="1:16" ht="18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7">
      <c r="B81" s="269"/>
      <c r="C81" s="537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7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  <c r="Q82" s="269"/>
    </row>
    <row r="83" spans="1:17" ht="20.25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535" t="str">
        <f ca="1">P1</f>
        <v>SWEPCO Project 5 of 75</v>
      </c>
      <c r="Q83" s="269"/>
    </row>
    <row r="84" spans="1:17" ht="18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454" t="s">
        <v>128</v>
      </c>
      <c r="Q84" s="269"/>
    </row>
    <row r="85" spans="1:17" ht="18.7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  <c r="Q85" s="269"/>
    </row>
    <row r="86" spans="1:17" ht="15.75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2022</v>
      </c>
      <c r="M86" s="541" t="s">
        <v>9</v>
      </c>
      <c r="N86" s="542" t="s">
        <v>159</v>
      </c>
      <c r="O86" s="543" t="s">
        <v>11</v>
      </c>
      <c r="P86" s="269"/>
      <c r="Q86" s="269"/>
    </row>
    <row r="87" spans="1:17" ht="1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391</v>
      </c>
      <c r="M87" s="546">
        <f>IF(J92&lt;D11,0,VLOOKUP(J92,C17:O72,9))</f>
        <v>305065.68570908706</v>
      </c>
      <c r="N87" s="546">
        <f>IF(J92&lt;D11,0,VLOOKUP(J92,C17:O72,11))</f>
        <v>305065.68570908706</v>
      </c>
      <c r="O87" s="547">
        <f>+N87-M87</f>
        <v>0</v>
      </c>
      <c r="P87" s="269"/>
      <c r="Q87" s="269"/>
    </row>
    <row r="88" spans="1:17" ht="15.7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392</v>
      </c>
      <c r="M88" s="550">
        <f>IF(J92&lt;D11,0,VLOOKUP(J92,C99:P154,6))</f>
        <v>316979.40019667835</v>
      </c>
      <c r="N88" s="550">
        <f>IF(J92&lt;D11,0,VLOOKUP(J92,C99:P154,7))</f>
        <v>316979.40019667835</v>
      </c>
      <c r="O88" s="551">
        <f>+N88-M88</f>
        <v>0</v>
      </c>
      <c r="P88" s="269"/>
      <c r="Q88" s="269"/>
    </row>
    <row r="89" spans="1:17" ht="13.5" thickBot="1">
      <c r="C89" s="467" t="s">
        <v>84</v>
      </c>
      <c r="D89" s="552" t="str">
        <f>+D7</f>
        <v>[Greenwood, AR Area Improve]  N Huntington, Greenwood, Reeves, Bonanza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11913.714487591293</v>
      </c>
      <c r="N89" s="555">
        <f>+N88-N87</f>
        <v>11913.714487591293</v>
      </c>
      <c r="O89" s="556">
        <f>+O88-O87</f>
        <v>0</v>
      </c>
      <c r="P89" s="269"/>
      <c r="Q89" s="269"/>
    </row>
    <row r="90" spans="1:17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  <c r="Q90" s="269"/>
    </row>
    <row r="91" spans="1:17" ht="13.5" thickBot="1">
      <c r="A91" s="191"/>
      <c r="C91" s="558" t="s">
        <v>85</v>
      </c>
      <c r="D91" s="559" t="str">
        <f>+D9</f>
        <v>TP2007120</v>
      </c>
      <c r="E91" s="560"/>
      <c r="F91" s="560"/>
      <c r="G91" s="560"/>
      <c r="H91" s="560"/>
      <c r="I91" s="560"/>
      <c r="J91" s="561"/>
      <c r="K91" s="562"/>
      <c r="P91" s="481"/>
      <c r="Q91" s="269"/>
    </row>
    <row r="92" spans="1:17">
      <c r="C92" s="486" t="s">
        <v>51</v>
      </c>
      <c r="D92" s="483">
        <v>2981768</v>
      </c>
      <c r="E92" s="340" t="s">
        <v>86</v>
      </c>
      <c r="H92" s="484"/>
      <c r="I92" s="484"/>
      <c r="J92" s="485">
        <f>+'SWE.WS.G.BPU.ATRR.True-up'!M16</f>
        <v>2022</v>
      </c>
      <c r="K92" s="480"/>
      <c r="L92" s="375" t="s">
        <v>87</v>
      </c>
      <c r="P92" s="272"/>
      <c r="Q92" s="269"/>
    </row>
    <row r="93" spans="1:17">
      <c r="C93" s="486" t="s">
        <v>54</v>
      </c>
      <c r="D93" s="563">
        <f>IF(D11=I10,"",D11)</f>
        <v>2009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  <c r="Q93" s="269"/>
    </row>
    <row r="94" spans="1:17">
      <c r="C94" s="486" t="s">
        <v>56</v>
      </c>
      <c r="D94" s="564">
        <f>IF(D11=I10,"",D12)</f>
        <v>12</v>
      </c>
      <c r="E94" s="486" t="s">
        <v>57</v>
      </c>
      <c r="F94" s="484"/>
      <c r="G94" s="484"/>
      <c r="J94" s="490">
        <f>'SWE.WS.G.BPU.ATRR.True-up'!$F$81</f>
        <v>0.11351422637179906</v>
      </c>
      <c r="K94" s="425"/>
      <c r="L94" s="183" t="s">
        <v>88</v>
      </c>
      <c r="P94" s="272"/>
      <c r="Q94" s="269"/>
    </row>
    <row r="95" spans="1:17">
      <c r="C95" s="486" t="s">
        <v>59</v>
      </c>
      <c r="D95" s="488">
        <f>'SWE.WS.G.BPU.ATRR.True-up'!F$93</f>
        <v>41</v>
      </c>
      <c r="E95" s="486" t="s">
        <v>60</v>
      </c>
      <c r="F95" s="484"/>
      <c r="G95" s="484"/>
      <c r="J95" s="490">
        <f>IF(H87="",J94,'SWE.WS.G.BPU.ATRR.True-up'!$F$80)</f>
        <v>0.11351422637179906</v>
      </c>
      <c r="K95" s="324"/>
      <c r="L95" s="375" t="s">
        <v>61</v>
      </c>
      <c r="M95" s="324"/>
      <c r="N95" s="324"/>
      <c r="O95" s="324"/>
      <c r="P95" s="272"/>
      <c r="Q95" s="269"/>
    </row>
    <row r="96" spans="1:17" ht="13.5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72726.048780487807</v>
      </c>
      <c r="K96" s="375"/>
      <c r="L96" s="375"/>
      <c r="M96" s="375"/>
      <c r="N96" s="375"/>
      <c r="O96" s="375"/>
      <c r="P96" s="272"/>
      <c r="Q96" s="269"/>
    </row>
    <row r="97" spans="1:17" ht="38.25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388</v>
      </c>
      <c r="I97" s="495" t="s">
        <v>389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  <c r="Q97" s="269"/>
    </row>
    <row r="98" spans="1:17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  <c r="Q98" s="269"/>
    </row>
    <row r="99" spans="1:17">
      <c r="C99" s="507">
        <f>IF(D93= "","-",D93)</f>
        <v>2009</v>
      </c>
      <c r="D99" s="508">
        <v>0</v>
      </c>
      <c r="E99" s="516">
        <v>0</v>
      </c>
      <c r="F99" s="515">
        <v>2981232</v>
      </c>
      <c r="G99" s="574">
        <v>1490616</v>
      </c>
      <c r="H99" s="575">
        <v>215748</v>
      </c>
      <c r="I99" s="576">
        <v>215748</v>
      </c>
      <c r="J99" s="514">
        <f t="shared" ref="J99:J130" si="30">+I99-H99</f>
        <v>0</v>
      </c>
      <c r="K99" s="514"/>
      <c r="L99" s="512">
        <f t="shared" ref="L99:L104" si="31">H99</f>
        <v>215748</v>
      </c>
      <c r="M99" s="513">
        <f t="shared" ref="M99:M130" si="32">IF(L99&lt;&gt;0,+H99-L99,0)</f>
        <v>0</v>
      </c>
      <c r="N99" s="512">
        <f t="shared" ref="N99:N104" si="33">I99</f>
        <v>215748</v>
      </c>
      <c r="O99" s="513">
        <f t="shared" ref="O99:O130" si="34">IF(N99&lt;&gt;0,+I99-N99,0)</f>
        <v>0</v>
      </c>
      <c r="P99" s="513">
        <f t="shared" ref="P99:P130" si="35">+O99-M99</f>
        <v>0</v>
      </c>
      <c r="Q99" s="269"/>
    </row>
    <row r="100" spans="1:17">
      <c r="B100" s="195" t="str">
        <f>IF(D100=F99,"","IU")</f>
        <v/>
      </c>
      <c r="C100" s="507">
        <f>IF(D93="","-",+C99+1)</f>
        <v>2010</v>
      </c>
      <c r="D100" s="508">
        <v>2981232</v>
      </c>
      <c r="E100" s="516">
        <v>72712.975609756104</v>
      </c>
      <c r="F100" s="515">
        <v>2908519.0243902439</v>
      </c>
      <c r="G100" s="515">
        <v>2944875.512195122</v>
      </c>
      <c r="H100" s="516">
        <v>558870.93622757494</v>
      </c>
      <c r="I100" s="510">
        <v>558870.93622757494</v>
      </c>
      <c r="J100" s="514">
        <f t="shared" si="30"/>
        <v>0</v>
      </c>
      <c r="K100" s="514"/>
      <c r="L100" s="518">
        <f t="shared" si="31"/>
        <v>558870.93622757494</v>
      </c>
      <c r="M100" s="519">
        <f t="shared" si="32"/>
        <v>0</v>
      </c>
      <c r="N100" s="518">
        <f t="shared" si="33"/>
        <v>558870.93622757494</v>
      </c>
      <c r="O100" s="514">
        <f t="shared" si="34"/>
        <v>0</v>
      </c>
      <c r="P100" s="514">
        <f t="shared" si="35"/>
        <v>0</v>
      </c>
      <c r="Q100" s="269"/>
    </row>
    <row r="101" spans="1:17">
      <c r="B101" s="195" t="str">
        <f t="shared" ref="B101:B154" si="36">IF(D101=F100,"","IU")</f>
        <v/>
      </c>
      <c r="C101" s="507">
        <f>IF(D93="","-",+C100+1)</f>
        <v>2011</v>
      </c>
      <c r="D101" s="508">
        <v>2908519.0243902439</v>
      </c>
      <c r="E101" s="520">
        <v>70981.71428571429</v>
      </c>
      <c r="F101" s="515">
        <v>2837537.3101045298</v>
      </c>
      <c r="G101" s="515">
        <v>2873028.1672473866</v>
      </c>
      <c r="H101" s="516">
        <v>503027.40641582396</v>
      </c>
      <c r="I101" s="510">
        <v>503027.40641582396</v>
      </c>
      <c r="J101" s="514">
        <f t="shared" si="30"/>
        <v>0</v>
      </c>
      <c r="K101" s="514"/>
      <c r="L101" s="518">
        <f t="shared" si="31"/>
        <v>503027.40641582396</v>
      </c>
      <c r="M101" s="519">
        <f t="shared" si="32"/>
        <v>0</v>
      </c>
      <c r="N101" s="518">
        <f t="shared" si="33"/>
        <v>503027.40641582396</v>
      </c>
      <c r="O101" s="514">
        <f t="shared" si="34"/>
        <v>0</v>
      </c>
      <c r="P101" s="514">
        <f t="shared" si="35"/>
        <v>0</v>
      </c>
      <c r="Q101" s="269"/>
    </row>
    <row r="102" spans="1:17">
      <c r="B102" s="195" t="str">
        <f t="shared" si="36"/>
        <v/>
      </c>
      <c r="C102" s="507">
        <f>IF(D93="","-",+C101+1)</f>
        <v>2012</v>
      </c>
      <c r="D102" s="508">
        <v>2837537.3101045298</v>
      </c>
      <c r="E102" s="516">
        <v>70981.71428571429</v>
      </c>
      <c r="F102" s="515">
        <v>2766555.5958188158</v>
      </c>
      <c r="G102" s="515">
        <v>2802046.452961673</v>
      </c>
      <c r="H102" s="516">
        <v>483313.86691448453</v>
      </c>
      <c r="I102" s="510">
        <v>483313.86691448453</v>
      </c>
      <c r="J102" s="514">
        <f t="shared" si="30"/>
        <v>0</v>
      </c>
      <c r="K102" s="514"/>
      <c r="L102" s="518">
        <f t="shared" si="31"/>
        <v>483313.86691448453</v>
      </c>
      <c r="M102" s="519">
        <f t="shared" si="32"/>
        <v>0</v>
      </c>
      <c r="N102" s="518">
        <f t="shared" si="33"/>
        <v>483313.86691448453</v>
      </c>
      <c r="O102" s="514">
        <f t="shared" si="34"/>
        <v>0</v>
      </c>
      <c r="P102" s="514">
        <f t="shared" si="35"/>
        <v>0</v>
      </c>
      <c r="Q102" s="269"/>
    </row>
    <row r="103" spans="1:17">
      <c r="B103" s="195" t="str">
        <f t="shared" si="36"/>
        <v/>
      </c>
      <c r="C103" s="507">
        <f>IF(D93="","-",+C102+1)</f>
        <v>2013</v>
      </c>
      <c r="D103" s="508">
        <v>2766555.5958188158</v>
      </c>
      <c r="E103" s="516">
        <v>70981.71428571429</v>
      </c>
      <c r="F103" s="515">
        <v>2695573.8815331017</v>
      </c>
      <c r="G103" s="515">
        <v>2731064.7386759585</v>
      </c>
      <c r="H103" s="516">
        <v>440472.11189849139</v>
      </c>
      <c r="I103" s="510">
        <v>440472.11189849139</v>
      </c>
      <c r="J103" s="514">
        <v>0</v>
      </c>
      <c r="K103" s="514"/>
      <c r="L103" s="518">
        <f t="shared" si="31"/>
        <v>440472.11189849139</v>
      </c>
      <c r="M103" s="519">
        <f t="shared" ref="M103:M108" si="37">IF(L103&lt;&gt;0,+H103-L103,0)</f>
        <v>0</v>
      </c>
      <c r="N103" s="518">
        <f t="shared" si="33"/>
        <v>440472.11189849139</v>
      </c>
      <c r="O103" s="514">
        <f t="shared" ref="O103:O108" si="38">IF(N103&lt;&gt;0,+I103-N103,0)</f>
        <v>0</v>
      </c>
      <c r="P103" s="514">
        <f>+O103-M103</f>
        <v>0</v>
      </c>
      <c r="Q103" s="269"/>
    </row>
    <row r="104" spans="1:17">
      <c r="B104" s="195" t="str">
        <f t="shared" si="36"/>
        <v/>
      </c>
      <c r="C104" s="507">
        <f>IF(D93="","-",+C103+1)</f>
        <v>2014</v>
      </c>
      <c r="D104" s="508">
        <v>2695573.8815331017</v>
      </c>
      <c r="E104" s="516">
        <v>70981.71428571429</v>
      </c>
      <c r="F104" s="515">
        <v>2624592.1672473876</v>
      </c>
      <c r="G104" s="515">
        <v>2660083.0243902449</v>
      </c>
      <c r="H104" s="516">
        <v>432549.40222158958</v>
      </c>
      <c r="I104" s="510">
        <v>432549.40222158958</v>
      </c>
      <c r="J104" s="514">
        <v>0</v>
      </c>
      <c r="K104" s="514"/>
      <c r="L104" s="518">
        <f t="shared" si="31"/>
        <v>432549.40222158958</v>
      </c>
      <c r="M104" s="519">
        <f t="shared" si="37"/>
        <v>0</v>
      </c>
      <c r="N104" s="518">
        <f t="shared" si="33"/>
        <v>432549.40222158958</v>
      </c>
      <c r="O104" s="514">
        <f t="shared" si="38"/>
        <v>0</v>
      </c>
      <c r="P104" s="514">
        <f>+O104-M104</f>
        <v>0</v>
      </c>
      <c r="Q104" s="269"/>
    </row>
    <row r="105" spans="1:17">
      <c r="B105" s="195" t="str">
        <f t="shared" si="36"/>
        <v>IU</v>
      </c>
      <c r="C105" s="507">
        <f>IF(D93="","-",+C104+1)</f>
        <v>2015</v>
      </c>
      <c r="D105" s="508">
        <v>2625128.1672473866</v>
      </c>
      <c r="E105" s="516">
        <v>70994.476190476184</v>
      </c>
      <c r="F105" s="515">
        <v>2554133.6910569104</v>
      </c>
      <c r="G105" s="515">
        <v>2589630.9291521488</v>
      </c>
      <c r="H105" s="516">
        <v>412227.237835226</v>
      </c>
      <c r="I105" s="510">
        <v>412227.237835226</v>
      </c>
      <c r="J105" s="514">
        <f t="shared" si="30"/>
        <v>0</v>
      </c>
      <c r="K105" s="514"/>
      <c r="L105" s="518">
        <f t="shared" ref="L105:L110" si="39">H105</f>
        <v>412227.237835226</v>
      </c>
      <c r="M105" s="519">
        <f t="shared" si="37"/>
        <v>0</v>
      </c>
      <c r="N105" s="518">
        <f t="shared" ref="N105:N110" si="40">I105</f>
        <v>412227.237835226</v>
      </c>
      <c r="O105" s="514">
        <f t="shared" si="38"/>
        <v>0</v>
      </c>
      <c r="P105" s="514">
        <f>+O105-M105</f>
        <v>0</v>
      </c>
      <c r="Q105" s="269"/>
    </row>
    <row r="106" spans="1:17">
      <c r="B106" s="195" t="str">
        <f t="shared" si="36"/>
        <v/>
      </c>
      <c r="C106" s="507">
        <f>IF(D93="","-",+C105+1)</f>
        <v>2016</v>
      </c>
      <c r="D106" s="508">
        <v>2554133.6910569104</v>
      </c>
      <c r="E106" s="516">
        <v>69343.441860465115</v>
      </c>
      <c r="F106" s="515">
        <v>2484790.2491964451</v>
      </c>
      <c r="G106" s="515">
        <v>2519461.9701266778</v>
      </c>
      <c r="H106" s="516">
        <v>389189.1094610201</v>
      </c>
      <c r="I106" s="510">
        <v>389189.1094610201</v>
      </c>
      <c r="J106" s="514">
        <f t="shared" si="30"/>
        <v>0</v>
      </c>
      <c r="K106" s="514"/>
      <c r="L106" s="518">
        <f t="shared" si="39"/>
        <v>389189.1094610201</v>
      </c>
      <c r="M106" s="519">
        <f t="shared" si="37"/>
        <v>0</v>
      </c>
      <c r="N106" s="518">
        <f t="shared" si="40"/>
        <v>389189.1094610201</v>
      </c>
      <c r="O106" s="514">
        <f t="shared" si="38"/>
        <v>0</v>
      </c>
      <c r="P106" s="514">
        <f>+O106-M106</f>
        <v>0</v>
      </c>
      <c r="Q106" s="269"/>
    </row>
    <row r="107" spans="1:17">
      <c r="B107" s="195" t="str">
        <f t="shared" si="36"/>
        <v/>
      </c>
      <c r="C107" s="507">
        <f>IF(D93="","-",+C106+1)</f>
        <v>2017</v>
      </c>
      <c r="D107" s="508">
        <v>2484790.2491964451</v>
      </c>
      <c r="E107" s="516">
        <v>70994.476190476184</v>
      </c>
      <c r="F107" s="515">
        <v>2413795.7730059689</v>
      </c>
      <c r="G107" s="515">
        <v>2449293.0111012068</v>
      </c>
      <c r="H107" s="516">
        <v>368513.66854412947</v>
      </c>
      <c r="I107" s="510">
        <v>368513.66854412947</v>
      </c>
      <c r="J107" s="514">
        <f t="shared" si="30"/>
        <v>0</v>
      </c>
      <c r="K107" s="514"/>
      <c r="L107" s="518">
        <f t="shared" si="39"/>
        <v>368513.66854412947</v>
      </c>
      <c r="M107" s="519">
        <f t="shared" si="37"/>
        <v>0</v>
      </c>
      <c r="N107" s="518">
        <f t="shared" si="40"/>
        <v>368513.66854412947</v>
      </c>
      <c r="O107" s="514">
        <f t="shared" si="38"/>
        <v>0</v>
      </c>
      <c r="P107" s="514">
        <f>+O107-M107</f>
        <v>0</v>
      </c>
      <c r="Q107" s="269"/>
    </row>
    <row r="108" spans="1:17">
      <c r="B108" s="195" t="str">
        <f t="shared" si="36"/>
        <v/>
      </c>
      <c r="C108" s="507">
        <f>IF(D93="","-",+C107+1)</f>
        <v>2018</v>
      </c>
      <c r="D108" s="508">
        <v>2413795.7730059689</v>
      </c>
      <c r="E108" s="516">
        <v>70994.476190476184</v>
      </c>
      <c r="F108" s="515">
        <v>2342801.2968154927</v>
      </c>
      <c r="G108" s="515">
        <v>2378298.534910731</v>
      </c>
      <c r="H108" s="516">
        <v>322153.70792553568</v>
      </c>
      <c r="I108" s="510">
        <v>322153.70792553568</v>
      </c>
      <c r="J108" s="514">
        <f t="shared" si="30"/>
        <v>0</v>
      </c>
      <c r="K108" s="514"/>
      <c r="L108" s="518">
        <f t="shared" si="39"/>
        <v>322153.70792553568</v>
      </c>
      <c r="M108" s="519">
        <f t="shared" si="37"/>
        <v>0</v>
      </c>
      <c r="N108" s="518">
        <f t="shared" si="40"/>
        <v>322153.70792553568</v>
      </c>
      <c r="O108" s="514">
        <f t="shared" si="38"/>
        <v>0</v>
      </c>
      <c r="P108" s="514">
        <f t="shared" si="35"/>
        <v>0</v>
      </c>
      <c r="Q108" s="269"/>
    </row>
    <row r="109" spans="1:17">
      <c r="B109" s="195" t="str">
        <f t="shared" si="36"/>
        <v/>
      </c>
      <c r="C109" s="507">
        <f>IF(D93="","-",+C108+1)</f>
        <v>2019</v>
      </c>
      <c r="D109" s="508">
        <v>2342801.2968154927</v>
      </c>
      <c r="E109" s="516">
        <v>69343.441860465115</v>
      </c>
      <c r="F109" s="515">
        <v>2273457.8549550273</v>
      </c>
      <c r="G109" s="515">
        <v>2308129.57588526</v>
      </c>
      <c r="H109" s="516">
        <v>316406.89315312036</v>
      </c>
      <c r="I109" s="510">
        <v>316406.89315312036</v>
      </c>
      <c r="J109" s="514">
        <f t="shared" si="30"/>
        <v>0</v>
      </c>
      <c r="K109" s="514"/>
      <c r="L109" s="518">
        <f t="shared" si="39"/>
        <v>316406.89315312036</v>
      </c>
      <c r="M109" s="519">
        <f t="shared" ref="M109:M110" si="41">IF(L109&lt;&gt;0,+H109-L109,0)</f>
        <v>0</v>
      </c>
      <c r="N109" s="518">
        <f t="shared" si="40"/>
        <v>316406.89315312036</v>
      </c>
      <c r="O109" s="514">
        <f t="shared" si="34"/>
        <v>0</v>
      </c>
      <c r="P109" s="514">
        <f t="shared" si="35"/>
        <v>0</v>
      </c>
      <c r="Q109" s="269"/>
    </row>
    <row r="110" spans="1:17">
      <c r="B110" s="195" t="str">
        <f t="shared" si="36"/>
        <v/>
      </c>
      <c r="C110" s="507">
        <f>IF(D93="","-",+C109+1)</f>
        <v>2020</v>
      </c>
      <c r="D110" s="508">
        <v>2273457.8549550273</v>
      </c>
      <c r="E110" s="516">
        <v>70994.476190476184</v>
      </c>
      <c r="F110" s="515">
        <v>2202463.3787645511</v>
      </c>
      <c r="G110" s="515">
        <v>2237960.616859789</v>
      </c>
      <c r="H110" s="516">
        <v>311740.47673179838</v>
      </c>
      <c r="I110" s="510">
        <v>311740.47673179838</v>
      </c>
      <c r="J110" s="514">
        <f t="shared" si="30"/>
        <v>0</v>
      </c>
      <c r="K110" s="514"/>
      <c r="L110" s="518">
        <f t="shared" si="39"/>
        <v>311740.47673179838</v>
      </c>
      <c r="M110" s="519">
        <f t="shared" si="41"/>
        <v>0</v>
      </c>
      <c r="N110" s="518">
        <f t="shared" si="40"/>
        <v>311740.47673179838</v>
      </c>
      <c r="O110" s="514">
        <f t="shared" si="34"/>
        <v>0</v>
      </c>
      <c r="P110" s="514">
        <f t="shared" si="35"/>
        <v>0</v>
      </c>
      <c r="Q110" s="269"/>
    </row>
    <row r="111" spans="1:17">
      <c r="B111" s="195" t="str">
        <f t="shared" si="36"/>
        <v/>
      </c>
      <c r="C111" s="507">
        <f>IF(D93="","-",+C110+1)</f>
        <v>2021</v>
      </c>
      <c r="D111" s="508">
        <v>2202463.3787645511</v>
      </c>
      <c r="E111" s="516">
        <v>72726.048780487807</v>
      </c>
      <c r="F111" s="515">
        <v>2129737.3299840633</v>
      </c>
      <c r="G111" s="515">
        <v>2166100.3543743072</v>
      </c>
      <c r="H111" s="516">
        <v>318609.25475096708</v>
      </c>
      <c r="I111" s="510">
        <v>318609.25475096708</v>
      </c>
      <c r="J111" s="514">
        <f t="shared" si="30"/>
        <v>0</v>
      </c>
      <c r="K111" s="514"/>
      <c r="L111" s="518">
        <f t="shared" ref="L111" si="42">H111</f>
        <v>318609.25475096708</v>
      </c>
      <c r="M111" s="519">
        <f t="shared" ref="M111" si="43">IF(L111&lt;&gt;0,+H111-L111,0)</f>
        <v>0</v>
      </c>
      <c r="N111" s="518">
        <f t="shared" ref="N111" si="44">I111</f>
        <v>318609.25475096708</v>
      </c>
      <c r="O111" s="514">
        <f t="shared" ref="O111" si="45">IF(N111&lt;&gt;0,+I111-N111,0)</f>
        <v>0</v>
      </c>
      <c r="P111" s="514">
        <f t="shared" ref="P111" si="46">+O111-M111</f>
        <v>0</v>
      </c>
      <c r="Q111" s="269"/>
    </row>
    <row r="112" spans="1:17">
      <c r="B112" s="195" t="str">
        <f t="shared" si="36"/>
        <v/>
      </c>
      <c r="C112" s="673">
        <f>IF(D93="","-",+C111+1)</f>
        <v>2022</v>
      </c>
      <c r="D112" s="374">
        <v>2129737.3299840633</v>
      </c>
      <c r="E112" s="522">
        <v>70994.476190476184</v>
      </c>
      <c r="F112" s="523">
        <v>2058742.8537935871</v>
      </c>
      <c r="G112" s="523">
        <v>2094240.0918888252</v>
      </c>
      <c r="H112" s="526">
        <v>316979.40019667835</v>
      </c>
      <c r="I112" s="577">
        <v>316979.40019667835</v>
      </c>
      <c r="J112" s="514">
        <f t="shared" si="30"/>
        <v>0</v>
      </c>
      <c r="K112" s="514"/>
      <c r="L112" s="525"/>
      <c r="M112" s="514">
        <f t="shared" si="32"/>
        <v>0</v>
      </c>
      <c r="N112" s="525"/>
      <c r="O112" s="514">
        <f t="shared" si="34"/>
        <v>0</v>
      </c>
      <c r="P112" s="514">
        <f t="shared" si="35"/>
        <v>0</v>
      </c>
      <c r="Q112" s="269"/>
    </row>
    <row r="113" spans="2:17">
      <c r="B113" s="195" t="str">
        <f t="shared" si="36"/>
        <v/>
      </c>
      <c r="C113" s="507">
        <f>IF(D93="","-",+C112+1)</f>
        <v>2023</v>
      </c>
      <c r="D113" s="374">
        <f>IF(F112+SUM(E$99:E112)=D$92,F112,D$92-SUM(E$99:E112))</f>
        <v>2058742.8537935871</v>
      </c>
      <c r="E113" s="522">
        <f>IF(+J96&lt;F112,J96,D113)</f>
        <v>72726.048780487807</v>
      </c>
      <c r="F113" s="523">
        <f t="shared" ref="F113:F130" si="47">+D113-E113</f>
        <v>1986016.8050130992</v>
      </c>
      <c r="G113" s="523">
        <f t="shared" ref="G113:G130" si="48">+(F113+D113)/2</f>
        <v>2022379.8294033431</v>
      </c>
      <c r="H113" s="526">
        <f t="shared" ref="H113:H154" si="49">+J$94*G113+E113</f>
        <v>302294.93054513924</v>
      </c>
      <c r="I113" s="577">
        <f t="shared" ref="I113:I154" si="50">+J$95*G113+E113</f>
        <v>302294.93054513924</v>
      </c>
      <c r="J113" s="514">
        <f t="shared" si="30"/>
        <v>0</v>
      </c>
      <c r="K113" s="514"/>
      <c r="L113" s="525"/>
      <c r="M113" s="514">
        <f t="shared" si="32"/>
        <v>0</v>
      </c>
      <c r="N113" s="525"/>
      <c r="O113" s="514">
        <f t="shared" si="34"/>
        <v>0</v>
      </c>
      <c r="P113" s="514">
        <f t="shared" si="35"/>
        <v>0</v>
      </c>
      <c r="Q113" s="269"/>
    </row>
    <row r="114" spans="2:17">
      <c r="B114" s="195" t="str">
        <f t="shared" si="36"/>
        <v/>
      </c>
      <c r="C114" s="507">
        <f>IF(D93="","-",+C113+1)</f>
        <v>2024</v>
      </c>
      <c r="D114" s="374">
        <f>IF(F113+SUM(E$99:E113)=D$92,F113,D$92-SUM(E$99:E113))</f>
        <v>1986016.8050130992</v>
      </c>
      <c r="E114" s="522">
        <f>IF(+J96&lt;F113,J96,D114)</f>
        <v>72726.048780487807</v>
      </c>
      <c r="F114" s="523">
        <f t="shared" si="47"/>
        <v>1913290.7562326114</v>
      </c>
      <c r="G114" s="523">
        <f t="shared" si="48"/>
        <v>1949653.7806228553</v>
      </c>
      <c r="H114" s="526">
        <f t="shared" si="49"/>
        <v>294039.48938074446</v>
      </c>
      <c r="I114" s="577">
        <f t="shared" si="50"/>
        <v>294039.48938074446</v>
      </c>
      <c r="J114" s="514">
        <f t="shared" si="30"/>
        <v>0</v>
      </c>
      <c r="K114" s="514"/>
      <c r="L114" s="525"/>
      <c r="M114" s="514">
        <f t="shared" si="32"/>
        <v>0</v>
      </c>
      <c r="N114" s="525"/>
      <c r="O114" s="514">
        <f t="shared" si="34"/>
        <v>0</v>
      </c>
      <c r="P114" s="514">
        <f t="shared" si="35"/>
        <v>0</v>
      </c>
      <c r="Q114" s="269"/>
    </row>
    <row r="115" spans="2:17">
      <c r="B115" s="195" t="str">
        <f t="shared" si="36"/>
        <v/>
      </c>
      <c r="C115" s="507">
        <f>IF(D93="","-",+C114+1)</f>
        <v>2025</v>
      </c>
      <c r="D115" s="374">
        <f>IF(F114+SUM(E$99:E114)=D$92,F114,D$92-SUM(E$99:E114))</f>
        <v>1913290.7562326114</v>
      </c>
      <c r="E115" s="522">
        <f>IF(+J96&lt;F114,J96,D115)</f>
        <v>72726.048780487807</v>
      </c>
      <c r="F115" s="523">
        <f t="shared" si="47"/>
        <v>1840564.7074521235</v>
      </c>
      <c r="G115" s="523">
        <f t="shared" si="48"/>
        <v>1876927.7318423674</v>
      </c>
      <c r="H115" s="526">
        <f t="shared" si="49"/>
        <v>285784.04821634968</v>
      </c>
      <c r="I115" s="577">
        <f t="shared" si="50"/>
        <v>285784.04821634968</v>
      </c>
      <c r="J115" s="514">
        <f t="shared" si="30"/>
        <v>0</v>
      </c>
      <c r="K115" s="514"/>
      <c r="L115" s="525"/>
      <c r="M115" s="514">
        <f t="shared" si="32"/>
        <v>0</v>
      </c>
      <c r="N115" s="525"/>
      <c r="O115" s="514">
        <f t="shared" si="34"/>
        <v>0</v>
      </c>
      <c r="P115" s="514">
        <f t="shared" si="35"/>
        <v>0</v>
      </c>
      <c r="Q115" s="269"/>
    </row>
    <row r="116" spans="2:17">
      <c r="B116" s="195" t="str">
        <f t="shared" si="36"/>
        <v/>
      </c>
      <c r="C116" s="507">
        <f>IF(D93="","-",+C115+1)</f>
        <v>2026</v>
      </c>
      <c r="D116" s="374">
        <f>IF(F115+SUM(E$99:E115)=D$92,F115,D$92-SUM(E$99:E115))</f>
        <v>1840564.7074521235</v>
      </c>
      <c r="E116" s="522">
        <f>IF(+J96&lt;F115,J96,D116)</f>
        <v>72726.048780487807</v>
      </c>
      <c r="F116" s="523">
        <f t="shared" si="47"/>
        <v>1767838.6586716357</v>
      </c>
      <c r="G116" s="523">
        <f t="shared" si="48"/>
        <v>1804201.6830618796</v>
      </c>
      <c r="H116" s="526">
        <f t="shared" si="49"/>
        <v>277528.6070519549</v>
      </c>
      <c r="I116" s="577">
        <f t="shared" si="50"/>
        <v>277528.6070519549</v>
      </c>
      <c r="J116" s="514">
        <f t="shared" si="30"/>
        <v>0</v>
      </c>
      <c r="K116" s="514"/>
      <c r="L116" s="525"/>
      <c r="M116" s="514">
        <f t="shared" si="32"/>
        <v>0</v>
      </c>
      <c r="N116" s="525"/>
      <c r="O116" s="514">
        <f t="shared" si="34"/>
        <v>0</v>
      </c>
      <c r="P116" s="514">
        <f t="shared" si="35"/>
        <v>0</v>
      </c>
      <c r="Q116" s="269"/>
    </row>
    <row r="117" spans="2:17">
      <c r="B117" s="195" t="str">
        <f t="shared" si="36"/>
        <v/>
      </c>
      <c r="C117" s="507">
        <f>IF(D93="","-",+C116+1)</f>
        <v>2027</v>
      </c>
      <c r="D117" s="374">
        <f>IF(F116+SUM(E$99:E116)=D$92,F116,D$92-SUM(E$99:E116))</f>
        <v>1767838.6586716357</v>
      </c>
      <c r="E117" s="522">
        <f>IF(+J96&lt;F116,J96,D117)</f>
        <v>72726.048780487807</v>
      </c>
      <c r="F117" s="523">
        <f t="shared" si="47"/>
        <v>1695112.6098911478</v>
      </c>
      <c r="G117" s="523">
        <f t="shared" si="48"/>
        <v>1731475.6342813917</v>
      </c>
      <c r="H117" s="526">
        <f t="shared" si="49"/>
        <v>269273.16588756006</v>
      </c>
      <c r="I117" s="577">
        <f t="shared" si="50"/>
        <v>269273.16588756006</v>
      </c>
      <c r="J117" s="514">
        <f t="shared" si="30"/>
        <v>0</v>
      </c>
      <c r="K117" s="514"/>
      <c r="L117" s="525"/>
      <c r="M117" s="514">
        <f t="shared" si="32"/>
        <v>0</v>
      </c>
      <c r="N117" s="525"/>
      <c r="O117" s="514">
        <f t="shared" si="34"/>
        <v>0</v>
      </c>
      <c r="P117" s="514">
        <f t="shared" si="35"/>
        <v>0</v>
      </c>
      <c r="Q117" s="269"/>
    </row>
    <row r="118" spans="2:17">
      <c r="B118" s="195" t="str">
        <f t="shared" si="36"/>
        <v/>
      </c>
      <c r="C118" s="507">
        <f>IF(D93="","-",+C117+1)</f>
        <v>2028</v>
      </c>
      <c r="D118" s="374">
        <f>IF(F117+SUM(E$99:E117)=D$92,F117,D$92-SUM(E$99:E117))</f>
        <v>1695112.6098911478</v>
      </c>
      <c r="E118" s="522">
        <f>IF(+J96&lt;F117,J96,D118)</f>
        <v>72726.048780487807</v>
      </c>
      <c r="F118" s="523">
        <f t="shared" si="47"/>
        <v>1622386.56111066</v>
      </c>
      <c r="G118" s="523">
        <f t="shared" si="48"/>
        <v>1658749.5855009039</v>
      </c>
      <c r="H118" s="526">
        <f t="shared" si="49"/>
        <v>261017.72472316527</v>
      </c>
      <c r="I118" s="577">
        <f t="shared" si="50"/>
        <v>261017.72472316527</v>
      </c>
      <c r="J118" s="514">
        <f t="shared" si="30"/>
        <v>0</v>
      </c>
      <c r="K118" s="514"/>
      <c r="L118" s="525"/>
      <c r="M118" s="514">
        <f t="shared" si="32"/>
        <v>0</v>
      </c>
      <c r="N118" s="525"/>
      <c r="O118" s="514">
        <f t="shared" si="34"/>
        <v>0</v>
      </c>
      <c r="P118" s="514">
        <f t="shared" si="35"/>
        <v>0</v>
      </c>
      <c r="Q118" s="269"/>
    </row>
    <row r="119" spans="2:17">
      <c r="B119" s="195" t="str">
        <f t="shared" si="36"/>
        <v/>
      </c>
      <c r="C119" s="507">
        <f>IF(D93="","-",+C118+1)</f>
        <v>2029</v>
      </c>
      <c r="D119" s="374">
        <f>IF(F118+SUM(E$99:E118)=D$92,F118,D$92-SUM(E$99:E118))</f>
        <v>1622386.56111066</v>
      </c>
      <c r="E119" s="522">
        <f>IF(+J96&lt;F118,J96,D119)</f>
        <v>72726.048780487807</v>
      </c>
      <c r="F119" s="523">
        <f t="shared" si="47"/>
        <v>1549660.5123301721</v>
      </c>
      <c r="G119" s="523">
        <f t="shared" si="48"/>
        <v>1586023.536720416</v>
      </c>
      <c r="H119" s="526">
        <f t="shared" si="49"/>
        <v>252762.28355877049</v>
      </c>
      <c r="I119" s="577">
        <f t="shared" si="50"/>
        <v>252762.28355877049</v>
      </c>
      <c r="J119" s="514">
        <f t="shared" si="30"/>
        <v>0</v>
      </c>
      <c r="K119" s="514"/>
      <c r="L119" s="525"/>
      <c r="M119" s="514">
        <f t="shared" si="32"/>
        <v>0</v>
      </c>
      <c r="N119" s="525"/>
      <c r="O119" s="514">
        <f t="shared" si="34"/>
        <v>0</v>
      </c>
      <c r="P119" s="514">
        <f t="shared" si="35"/>
        <v>0</v>
      </c>
      <c r="Q119" s="269"/>
    </row>
    <row r="120" spans="2:17">
      <c r="B120" s="195" t="str">
        <f t="shared" si="36"/>
        <v/>
      </c>
      <c r="C120" s="507">
        <f>IF(D93="","-",+C119+1)</f>
        <v>2030</v>
      </c>
      <c r="D120" s="374">
        <f>IF(F119+SUM(E$99:E119)=D$92,F119,D$92-SUM(E$99:E119))</f>
        <v>1549660.5123301721</v>
      </c>
      <c r="E120" s="522">
        <f>IF(+J96&lt;F119,J96,D120)</f>
        <v>72726.048780487807</v>
      </c>
      <c r="F120" s="523">
        <f t="shared" si="47"/>
        <v>1476934.4635496843</v>
      </c>
      <c r="G120" s="523">
        <f t="shared" si="48"/>
        <v>1513297.4879399282</v>
      </c>
      <c r="H120" s="526">
        <f t="shared" si="49"/>
        <v>244506.84239437565</v>
      </c>
      <c r="I120" s="577">
        <f t="shared" si="50"/>
        <v>244506.84239437565</v>
      </c>
      <c r="J120" s="514">
        <f t="shared" si="30"/>
        <v>0</v>
      </c>
      <c r="K120" s="514"/>
      <c r="L120" s="525"/>
      <c r="M120" s="514">
        <f t="shared" si="32"/>
        <v>0</v>
      </c>
      <c r="N120" s="525"/>
      <c r="O120" s="514">
        <f t="shared" si="34"/>
        <v>0</v>
      </c>
      <c r="P120" s="514">
        <f t="shared" si="35"/>
        <v>0</v>
      </c>
      <c r="Q120" s="269"/>
    </row>
    <row r="121" spans="2:17">
      <c r="B121" s="195" t="str">
        <f t="shared" si="36"/>
        <v/>
      </c>
      <c r="C121" s="507">
        <f>IF(D93="","-",+C120+1)</f>
        <v>2031</v>
      </c>
      <c r="D121" s="374">
        <f>IF(F120+SUM(E$99:E120)=D$92,F120,D$92-SUM(E$99:E120))</f>
        <v>1476934.4635496843</v>
      </c>
      <c r="E121" s="522">
        <f>IF(+J96&lt;F120,J96,D121)</f>
        <v>72726.048780487807</v>
      </c>
      <c r="F121" s="523">
        <f t="shared" si="47"/>
        <v>1404208.4147691964</v>
      </c>
      <c r="G121" s="523">
        <f t="shared" si="48"/>
        <v>1440571.4391594403</v>
      </c>
      <c r="H121" s="526">
        <f t="shared" si="49"/>
        <v>236251.40122998087</v>
      </c>
      <c r="I121" s="577">
        <f t="shared" si="50"/>
        <v>236251.40122998087</v>
      </c>
      <c r="J121" s="514">
        <f t="shared" si="30"/>
        <v>0</v>
      </c>
      <c r="K121" s="514"/>
      <c r="L121" s="525"/>
      <c r="M121" s="514">
        <f t="shared" si="32"/>
        <v>0</v>
      </c>
      <c r="N121" s="525"/>
      <c r="O121" s="514">
        <f t="shared" si="34"/>
        <v>0</v>
      </c>
      <c r="P121" s="514">
        <f t="shared" si="35"/>
        <v>0</v>
      </c>
      <c r="Q121" s="269"/>
    </row>
    <row r="122" spans="2:17">
      <c r="B122" s="195" t="str">
        <f t="shared" si="36"/>
        <v/>
      </c>
      <c r="C122" s="507">
        <f>IF(D93="","-",+C121+1)</f>
        <v>2032</v>
      </c>
      <c r="D122" s="374">
        <f>IF(F121+SUM(E$99:E121)=D$92,F121,D$92-SUM(E$99:E121))</f>
        <v>1404208.4147691964</v>
      </c>
      <c r="E122" s="522">
        <f>IF(+J96&lt;F121,J96,D122)</f>
        <v>72726.048780487807</v>
      </c>
      <c r="F122" s="523">
        <f t="shared" si="47"/>
        <v>1331482.3659887086</v>
      </c>
      <c r="G122" s="523">
        <f t="shared" si="48"/>
        <v>1367845.3903789525</v>
      </c>
      <c r="H122" s="526">
        <f t="shared" si="49"/>
        <v>227995.96006558608</v>
      </c>
      <c r="I122" s="577">
        <f t="shared" si="50"/>
        <v>227995.96006558608</v>
      </c>
      <c r="J122" s="514">
        <f t="shared" si="30"/>
        <v>0</v>
      </c>
      <c r="K122" s="514"/>
      <c r="L122" s="525"/>
      <c r="M122" s="514">
        <f t="shared" si="32"/>
        <v>0</v>
      </c>
      <c r="N122" s="525"/>
      <c r="O122" s="514">
        <f t="shared" si="34"/>
        <v>0</v>
      </c>
      <c r="P122" s="514">
        <f t="shared" si="35"/>
        <v>0</v>
      </c>
      <c r="Q122" s="269"/>
    </row>
    <row r="123" spans="2:17">
      <c r="B123" s="195" t="str">
        <f t="shared" si="36"/>
        <v/>
      </c>
      <c r="C123" s="507">
        <f>IF(D93="","-",+C122+1)</f>
        <v>2033</v>
      </c>
      <c r="D123" s="374">
        <f>IF(F122+SUM(E$99:E122)=D$92,F122,D$92-SUM(E$99:E122))</f>
        <v>1331482.3659887086</v>
      </c>
      <c r="E123" s="522">
        <f>IF(+J96&lt;F122,J96,D123)</f>
        <v>72726.048780487807</v>
      </c>
      <c r="F123" s="523">
        <f t="shared" si="47"/>
        <v>1258756.3172082207</v>
      </c>
      <c r="G123" s="523">
        <f t="shared" si="48"/>
        <v>1295119.3415984646</v>
      </c>
      <c r="H123" s="526">
        <f t="shared" si="49"/>
        <v>219740.5189011913</v>
      </c>
      <c r="I123" s="577">
        <f t="shared" si="50"/>
        <v>219740.5189011913</v>
      </c>
      <c r="J123" s="514">
        <f t="shared" si="30"/>
        <v>0</v>
      </c>
      <c r="K123" s="514"/>
      <c r="L123" s="525"/>
      <c r="M123" s="514">
        <f t="shared" si="32"/>
        <v>0</v>
      </c>
      <c r="N123" s="525"/>
      <c r="O123" s="514">
        <f t="shared" si="34"/>
        <v>0</v>
      </c>
      <c r="P123" s="514">
        <f t="shared" si="35"/>
        <v>0</v>
      </c>
      <c r="Q123" s="269"/>
    </row>
    <row r="124" spans="2:17">
      <c r="B124" s="195" t="str">
        <f t="shared" si="36"/>
        <v/>
      </c>
      <c r="C124" s="507">
        <f>IF(D93="","-",+C123+1)</f>
        <v>2034</v>
      </c>
      <c r="D124" s="374">
        <f>IF(F123+SUM(E$99:E123)=D$92,F123,D$92-SUM(E$99:E123))</f>
        <v>1258756.3172082207</v>
      </c>
      <c r="E124" s="522">
        <f>IF(+J96&lt;F123,J96,D124)</f>
        <v>72726.048780487807</v>
      </c>
      <c r="F124" s="523">
        <f t="shared" si="47"/>
        <v>1186030.2684277329</v>
      </c>
      <c r="G124" s="523">
        <f t="shared" si="48"/>
        <v>1222393.2928179768</v>
      </c>
      <c r="H124" s="526">
        <f t="shared" si="49"/>
        <v>211485.07773679646</v>
      </c>
      <c r="I124" s="577">
        <f t="shared" si="50"/>
        <v>211485.07773679646</v>
      </c>
      <c r="J124" s="514">
        <f t="shared" si="30"/>
        <v>0</v>
      </c>
      <c r="K124" s="514"/>
      <c r="L124" s="525"/>
      <c r="M124" s="514">
        <f t="shared" si="32"/>
        <v>0</v>
      </c>
      <c r="N124" s="525"/>
      <c r="O124" s="514">
        <f t="shared" si="34"/>
        <v>0</v>
      </c>
      <c r="P124" s="514">
        <f t="shared" si="35"/>
        <v>0</v>
      </c>
      <c r="Q124" s="269"/>
    </row>
    <row r="125" spans="2:17">
      <c r="B125" s="195" t="str">
        <f t="shared" si="36"/>
        <v/>
      </c>
      <c r="C125" s="507">
        <f>IF(D93="","-",+C124+1)</f>
        <v>2035</v>
      </c>
      <c r="D125" s="374">
        <f>IF(F124+SUM(E$99:E124)=D$92,F124,D$92-SUM(E$99:E124))</f>
        <v>1186030.2684277329</v>
      </c>
      <c r="E125" s="522">
        <f>IF(+J96&lt;F124,J96,D125)</f>
        <v>72726.048780487807</v>
      </c>
      <c r="F125" s="523">
        <f t="shared" si="47"/>
        <v>1113304.219647245</v>
      </c>
      <c r="G125" s="523">
        <f t="shared" si="48"/>
        <v>1149667.2440374889</v>
      </c>
      <c r="H125" s="526">
        <f t="shared" si="49"/>
        <v>203229.63657240168</v>
      </c>
      <c r="I125" s="577">
        <f t="shared" si="50"/>
        <v>203229.63657240168</v>
      </c>
      <c r="J125" s="514">
        <f t="shared" si="30"/>
        <v>0</v>
      </c>
      <c r="K125" s="514"/>
      <c r="L125" s="525"/>
      <c r="M125" s="514">
        <f t="shared" si="32"/>
        <v>0</v>
      </c>
      <c r="N125" s="525"/>
      <c r="O125" s="514">
        <f t="shared" si="34"/>
        <v>0</v>
      </c>
      <c r="P125" s="514">
        <f t="shared" si="35"/>
        <v>0</v>
      </c>
      <c r="Q125" s="269"/>
    </row>
    <row r="126" spans="2:17">
      <c r="B126" s="195" t="str">
        <f t="shared" si="36"/>
        <v/>
      </c>
      <c r="C126" s="507">
        <f>IF(D93="","-",+C125+1)</f>
        <v>2036</v>
      </c>
      <c r="D126" s="374">
        <f>IF(F125+SUM(E$99:E125)=D$92,F125,D$92-SUM(E$99:E125))</f>
        <v>1113304.219647245</v>
      </c>
      <c r="E126" s="522">
        <f>IF(+J96&lt;F125,J96,D126)</f>
        <v>72726.048780487807</v>
      </c>
      <c r="F126" s="523">
        <f t="shared" si="47"/>
        <v>1040578.1708667572</v>
      </c>
      <c r="G126" s="523">
        <f t="shared" si="48"/>
        <v>1076941.1952570011</v>
      </c>
      <c r="H126" s="526">
        <f t="shared" si="49"/>
        <v>194974.1954080069</v>
      </c>
      <c r="I126" s="577">
        <f t="shared" si="50"/>
        <v>194974.1954080069</v>
      </c>
      <c r="J126" s="514">
        <f t="shared" si="30"/>
        <v>0</v>
      </c>
      <c r="K126" s="514"/>
      <c r="L126" s="525"/>
      <c r="M126" s="514">
        <f t="shared" si="32"/>
        <v>0</v>
      </c>
      <c r="N126" s="525"/>
      <c r="O126" s="514">
        <f t="shared" si="34"/>
        <v>0</v>
      </c>
      <c r="P126" s="514">
        <f t="shared" si="35"/>
        <v>0</v>
      </c>
      <c r="Q126" s="269"/>
    </row>
    <row r="127" spans="2:17">
      <c r="B127" s="195" t="str">
        <f t="shared" si="36"/>
        <v/>
      </c>
      <c r="C127" s="507">
        <f>IF(D93="","-",+C126+1)</f>
        <v>2037</v>
      </c>
      <c r="D127" s="374">
        <f>IF(F126+SUM(E$99:E126)=D$92,F126,D$92-SUM(E$99:E126))</f>
        <v>1040578.1708667572</v>
      </c>
      <c r="E127" s="522">
        <f>IF(+J96&lt;F126,J96,D127)</f>
        <v>72726.048780487807</v>
      </c>
      <c r="F127" s="523">
        <f t="shared" si="47"/>
        <v>967852.12208626932</v>
      </c>
      <c r="G127" s="523">
        <f t="shared" si="48"/>
        <v>1004215.1464765132</v>
      </c>
      <c r="H127" s="526">
        <f t="shared" si="49"/>
        <v>186718.75424361209</v>
      </c>
      <c r="I127" s="577">
        <f t="shared" si="50"/>
        <v>186718.75424361209</v>
      </c>
      <c r="J127" s="514">
        <f t="shared" si="30"/>
        <v>0</v>
      </c>
      <c r="K127" s="514"/>
      <c r="L127" s="525"/>
      <c r="M127" s="514">
        <f t="shared" si="32"/>
        <v>0</v>
      </c>
      <c r="N127" s="525"/>
      <c r="O127" s="514">
        <f t="shared" si="34"/>
        <v>0</v>
      </c>
      <c r="P127" s="514">
        <f t="shared" si="35"/>
        <v>0</v>
      </c>
      <c r="Q127" s="269"/>
    </row>
    <row r="128" spans="2:17">
      <c r="B128" s="195" t="str">
        <f t="shared" si="36"/>
        <v/>
      </c>
      <c r="C128" s="507">
        <f>IF(D93="","-",+C127+1)</f>
        <v>2038</v>
      </c>
      <c r="D128" s="374">
        <f>IF(F127+SUM(E$99:E127)=D$92,F127,D$92-SUM(E$99:E127))</f>
        <v>967852.12208626932</v>
      </c>
      <c r="E128" s="522">
        <f>IF(+J96&lt;F127,J96,D128)</f>
        <v>72726.048780487807</v>
      </c>
      <c r="F128" s="523">
        <f t="shared" si="47"/>
        <v>895126.07330578147</v>
      </c>
      <c r="G128" s="523">
        <f t="shared" si="48"/>
        <v>931489.09769602539</v>
      </c>
      <c r="H128" s="526">
        <f t="shared" si="49"/>
        <v>178463.31307921727</v>
      </c>
      <c r="I128" s="577">
        <f t="shared" si="50"/>
        <v>178463.31307921727</v>
      </c>
      <c r="J128" s="514">
        <f t="shared" si="30"/>
        <v>0</v>
      </c>
      <c r="K128" s="514"/>
      <c r="L128" s="525"/>
      <c r="M128" s="514">
        <f t="shared" si="32"/>
        <v>0</v>
      </c>
      <c r="N128" s="525"/>
      <c r="O128" s="514">
        <f t="shared" si="34"/>
        <v>0</v>
      </c>
      <c r="P128" s="514">
        <f t="shared" si="35"/>
        <v>0</v>
      </c>
      <c r="Q128" s="269"/>
    </row>
    <row r="129" spans="2:17">
      <c r="B129" s="195" t="str">
        <f t="shared" si="36"/>
        <v/>
      </c>
      <c r="C129" s="507">
        <f>IF(D93="","-",+C128+1)</f>
        <v>2039</v>
      </c>
      <c r="D129" s="374">
        <f>IF(F128+SUM(E$99:E128)=D$92,F128,D$92-SUM(E$99:E128))</f>
        <v>895126.07330578147</v>
      </c>
      <c r="E129" s="522">
        <f>IF(+J96&lt;F128,J96,D129)</f>
        <v>72726.048780487807</v>
      </c>
      <c r="F129" s="523">
        <f t="shared" si="47"/>
        <v>822400.02452529361</v>
      </c>
      <c r="G129" s="523">
        <f t="shared" si="48"/>
        <v>858763.04891553754</v>
      </c>
      <c r="H129" s="526">
        <f t="shared" si="49"/>
        <v>170207.87191482249</v>
      </c>
      <c r="I129" s="577">
        <f t="shared" si="50"/>
        <v>170207.87191482249</v>
      </c>
      <c r="J129" s="514">
        <f t="shared" si="30"/>
        <v>0</v>
      </c>
      <c r="K129" s="514"/>
      <c r="L129" s="525"/>
      <c r="M129" s="514">
        <f t="shared" si="32"/>
        <v>0</v>
      </c>
      <c r="N129" s="525"/>
      <c r="O129" s="514">
        <f t="shared" si="34"/>
        <v>0</v>
      </c>
      <c r="P129" s="514">
        <f t="shared" si="35"/>
        <v>0</v>
      </c>
      <c r="Q129" s="269"/>
    </row>
    <row r="130" spans="2:17">
      <c r="B130" s="195" t="str">
        <f t="shared" si="36"/>
        <v/>
      </c>
      <c r="C130" s="507">
        <f>IF(D93="","-",+C129+1)</f>
        <v>2040</v>
      </c>
      <c r="D130" s="374">
        <f>IF(F129+SUM(E$99:E129)=D$92,F129,D$92-SUM(E$99:E129))</f>
        <v>822400.02452529361</v>
      </c>
      <c r="E130" s="522">
        <f>IF(+J96&lt;F129,J96,D130)</f>
        <v>72726.048780487807</v>
      </c>
      <c r="F130" s="523">
        <f t="shared" si="47"/>
        <v>749673.97574480576</v>
      </c>
      <c r="G130" s="523">
        <f t="shared" si="48"/>
        <v>786037.00013504969</v>
      </c>
      <c r="H130" s="526">
        <f t="shared" si="49"/>
        <v>161952.43075042768</v>
      </c>
      <c r="I130" s="577">
        <f t="shared" si="50"/>
        <v>161952.43075042768</v>
      </c>
      <c r="J130" s="514">
        <f t="shared" si="30"/>
        <v>0</v>
      </c>
      <c r="K130" s="514"/>
      <c r="L130" s="525"/>
      <c r="M130" s="514">
        <f t="shared" si="32"/>
        <v>0</v>
      </c>
      <c r="N130" s="525"/>
      <c r="O130" s="514">
        <f t="shared" si="34"/>
        <v>0</v>
      </c>
      <c r="P130" s="514">
        <f t="shared" si="35"/>
        <v>0</v>
      </c>
      <c r="Q130" s="269"/>
    </row>
    <row r="131" spans="2:17">
      <c r="B131" s="195" t="str">
        <f t="shared" si="36"/>
        <v/>
      </c>
      <c r="C131" s="507">
        <f>IF(D93="","-",+C130+1)</f>
        <v>2041</v>
      </c>
      <c r="D131" s="374">
        <f>IF(F130+SUM(E$99:E130)=D$92,F130,D$92-SUM(E$99:E130))</f>
        <v>749673.97574480576</v>
      </c>
      <c r="E131" s="522">
        <f>IF(+J96&lt;F130,J96,D131)</f>
        <v>72726.048780487807</v>
      </c>
      <c r="F131" s="523">
        <f t="shared" ref="F131:F154" si="51">+D131-E131</f>
        <v>676947.92696431791</v>
      </c>
      <c r="G131" s="523">
        <f t="shared" ref="G131:G154" si="52">+(F131+D131)/2</f>
        <v>713310.95135456184</v>
      </c>
      <c r="H131" s="526">
        <f t="shared" si="49"/>
        <v>153696.98958603287</v>
      </c>
      <c r="I131" s="577">
        <f t="shared" si="50"/>
        <v>153696.98958603287</v>
      </c>
      <c r="J131" s="514">
        <f t="shared" ref="J131:J154" si="53">+I131-H131</f>
        <v>0</v>
      </c>
      <c r="K131" s="514"/>
      <c r="L131" s="525"/>
      <c r="M131" s="514">
        <f t="shared" ref="M131:M154" si="54">IF(L131&lt;&gt;0,+H131-L131,0)</f>
        <v>0</v>
      </c>
      <c r="N131" s="525"/>
      <c r="O131" s="514">
        <f t="shared" ref="O131:O154" si="55">IF(N131&lt;&gt;0,+I131-N131,0)</f>
        <v>0</v>
      </c>
      <c r="P131" s="514">
        <f t="shared" ref="P131:P154" si="56">+O131-M131</f>
        <v>0</v>
      </c>
      <c r="Q131" s="269"/>
    </row>
    <row r="132" spans="2:17">
      <c r="B132" s="195" t="str">
        <f t="shared" si="36"/>
        <v/>
      </c>
      <c r="C132" s="507">
        <f>IF(D93="","-",+C131+1)</f>
        <v>2042</v>
      </c>
      <c r="D132" s="374">
        <f>IF(F131+SUM(E$99:E131)=D$92,F131,D$92-SUM(E$99:E131))</f>
        <v>676947.92696431791</v>
      </c>
      <c r="E132" s="522">
        <f>IF(+J96&lt;F131,J96,D132)</f>
        <v>72726.048780487807</v>
      </c>
      <c r="F132" s="523">
        <f t="shared" si="51"/>
        <v>604221.87818383006</v>
      </c>
      <c r="G132" s="523">
        <f t="shared" si="52"/>
        <v>640584.90257407399</v>
      </c>
      <c r="H132" s="526">
        <f t="shared" si="49"/>
        <v>145441.54842163809</v>
      </c>
      <c r="I132" s="577">
        <f t="shared" si="50"/>
        <v>145441.54842163809</v>
      </c>
      <c r="J132" s="514">
        <f t="shared" si="53"/>
        <v>0</v>
      </c>
      <c r="K132" s="514"/>
      <c r="L132" s="525"/>
      <c r="M132" s="514">
        <f t="shared" si="54"/>
        <v>0</v>
      </c>
      <c r="N132" s="525"/>
      <c r="O132" s="514">
        <f t="shared" si="55"/>
        <v>0</v>
      </c>
      <c r="P132" s="514">
        <f t="shared" si="56"/>
        <v>0</v>
      </c>
      <c r="Q132" s="269"/>
    </row>
    <row r="133" spans="2:17">
      <c r="B133" s="195" t="str">
        <f t="shared" si="36"/>
        <v/>
      </c>
      <c r="C133" s="507">
        <f>IF(D93="","-",+C132+1)</f>
        <v>2043</v>
      </c>
      <c r="D133" s="374">
        <f>IF(F132+SUM(E$99:E132)=D$92,F132,D$92-SUM(E$99:E132))</f>
        <v>604221.87818383006</v>
      </c>
      <c r="E133" s="522">
        <f>IF(+J96&lt;F132,J96,D133)</f>
        <v>72726.048780487807</v>
      </c>
      <c r="F133" s="523">
        <f t="shared" si="51"/>
        <v>531495.82940334221</v>
      </c>
      <c r="G133" s="523">
        <f t="shared" si="52"/>
        <v>567858.85379358614</v>
      </c>
      <c r="H133" s="526">
        <f t="shared" si="49"/>
        <v>137186.1072572433</v>
      </c>
      <c r="I133" s="577">
        <f t="shared" si="50"/>
        <v>137186.1072572433</v>
      </c>
      <c r="J133" s="514">
        <f t="shared" si="53"/>
        <v>0</v>
      </c>
      <c r="K133" s="514"/>
      <c r="L133" s="525"/>
      <c r="M133" s="514">
        <f t="shared" si="54"/>
        <v>0</v>
      </c>
      <c r="N133" s="525"/>
      <c r="O133" s="514">
        <f t="shared" si="55"/>
        <v>0</v>
      </c>
      <c r="P133" s="514">
        <f t="shared" si="56"/>
        <v>0</v>
      </c>
      <c r="Q133" s="269"/>
    </row>
    <row r="134" spans="2:17">
      <c r="B134" s="195" t="str">
        <f t="shared" si="36"/>
        <v/>
      </c>
      <c r="C134" s="507">
        <f>IF(D93="","-",+C133+1)</f>
        <v>2044</v>
      </c>
      <c r="D134" s="374">
        <f>IF(F133+SUM(E$99:E133)=D$92,F133,D$92-SUM(E$99:E133))</f>
        <v>531495.82940334221</v>
      </c>
      <c r="E134" s="522">
        <f>IF(+J96&lt;F133,J96,D134)</f>
        <v>72726.048780487807</v>
      </c>
      <c r="F134" s="523">
        <f t="shared" si="51"/>
        <v>458769.78062285442</v>
      </c>
      <c r="G134" s="523">
        <f t="shared" si="52"/>
        <v>495132.80501309829</v>
      </c>
      <c r="H134" s="526">
        <f t="shared" si="49"/>
        <v>128930.66609284849</v>
      </c>
      <c r="I134" s="577">
        <f t="shared" si="50"/>
        <v>128930.66609284849</v>
      </c>
      <c r="J134" s="514">
        <f t="shared" si="53"/>
        <v>0</v>
      </c>
      <c r="K134" s="514"/>
      <c r="L134" s="525"/>
      <c r="M134" s="514">
        <f t="shared" si="54"/>
        <v>0</v>
      </c>
      <c r="N134" s="525"/>
      <c r="O134" s="514">
        <f t="shared" si="55"/>
        <v>0</v>
      </c>
      <c r="P134" s="514">
        <f t="shared" si="56"/>
        <v>0</v>
      </c>
      <c r="Q134" s="269"/>
    </row>
    <row r="135" spans="2:17">
      <c r="B135" s="195" t="str">
        <f t="shared" si="36"/>
        <v/>
      </c>
      <c r="C135" s="507">
        <f>IF(D93="","-",+C134+1)</f>
        <v>2045</v>
      </c>
      <c r="D135" s="374">
        <f>IF(F134+SUM(E$99:E134)=D$92,F134,D$92-SUM(E$99:E134))</f>
        <v>458769.78062285442</v>
      </c>
      <c r="E135" s="522">
        <f>IF(+J96&lt;F134,J96,D135)</f>
        <v>72726.048780487807</v>
      </c>
      <c r="F135" s="523">
        <f t="shared" si="51"/>
        <v>386043.73184236663</v>
      </c>
      <c r="G135" s="523">
        <f t="shared" si="52"/>
        <v>422406.75623261055</v>
      </c>
      <c r="H135" s="526">
        <f t="shared" si="49"/>
        <v>120675.22492845371</v>
      </c>
      <c r="I135" s="577">
        <f t="shared" si="50"/>
        <v>120675.22492845371</v>
      </c>
      <c r="J135" s="514">
        <f t="shared" si="53"/>
        <v>0</v>
      </c>
      <c r="K135" s="514"/>
      <c r="L135" s="525"/>
      <c r="M135" s="514">
        <f t="shared" si="54"/>
        <v>0</v>
      </c>
      <c r="N135" s="525"/>
      <c r="O135" s="514">
        <f t="shared" si="55"/>
        <v>0</v>
      </c>
      <c r="P135" s="514">
        <f t="shared" si="56"/>
        <v>0</v>
      </c>
      <c r="Q135" s="269"/>
    </row>
    <row r="136" spans="2:17">
      <c r="B136" s="195" t="str">
        <f t="shared" si="36"/>
        <v/>
      </c>
      <c r="C136" s="507">
        <f>IF(D93="","-",+C135+1)</f>
        <v>2046</v>
      </c>
      <c r="D136" s="374">
        <f>IF(F135+SUM(E$99:E135)=D$92,F135,D$92-SUM(E$99:E135))</f>
        <v>386043.73184236663</v>
      </c>
      <c r="E136" s="522">
        <f>IF(+J96&lt;F135,J96,D136)</f>
        <v>72726.048780487807</v>
      </c>
      <c r="F136" s="523">
        <f t="shared" si="51"/>
        <v>313317.68306187884</v>
      </c>
      <c r="G136" s="523">
        <f t="shared" si="52"/>
        <v>349680.7074521227</v>
      </c>
      <c r="H136" s="526">
        <f t="shared" si="49"/>
        <v>112419.7837640589</v>
      </c>
      <c r="I136" s="577">
        <f t="shared" si="50"/>
        <v>112419.7837640589</v>
      </c>
      <c r="J136" s="514">
        <f t="shared" si="53"/>
        <v>0</v>
      </c>
      <c r="K136" s="514"/>
      <c r="L136" s="525"/>
      <c r="M136" s="514">
        <f t="shared" si="54"/>
        <v>0</v>
      </c>
      <c r="N136" s="525"/>
      <c r="O136" s="514">
        <f t="shared" si="55"/>
        <v>0</v>
      </c>
      <c r="P136" s="514">
        <f t="shared" si="56"/>
        <v>0</v>
      </c>
      <c r="Q136" s="269"/>
    </row>
    <row r="137" spans="2:17">
      <c r="B137" s="195" t="str">
        <f t="shared" si="36"/>
        <v/>
      </c>
      <c r="C137" s="507">
        <f>IF(D93="","-",+C136+1)</f>
        <v>2047</v>
      </c>
      <c r="D137" s="374">
        <f>IF(F136+SUM(E$99:E136)=D$92,F136,D$92-SUM(E$99:E136))</f>
        <v>313317.68306187884</v>
      </c>
      <c r="E137" s="522">
        <f>IF(+J96&lt;F136,J96,D137)</f>
        <v>72726.048780487807</v>
      </c>
      <c r="F137" s="523">
        <f t="shared" si="51"/>
        <v>240591.63428139105</v>
      </c>
      <c r="G137" s="523">
        <f t="shared" si="52"/>
        <v>276954.65867163497</v>
      </c>
      <c r="H137" s="526">
        <f t="shared" si="49"/>
        <v>104164.34259966412</v>
      </c>
      <c r="I137" s="577">
        <f t="shared" si="50"/>
        <v>104164.34259966412</v>
      </c>
      <c r="J137" s="514">
        <f t="shared" si="53"/>
        <v>0</v>
      </c>
      <c r="K137" s="514"/>
      <c r="L137" s="525"/>
      <c r="M137" s="514">
        <f t="shared" si="54"/>
        <v>0</v>
      </c>
      <c r="N137" s="525"/>
      <c r="O137" s="514">
        <f t="shared" si="55"/>
        <v>0</v>
      </c>
      <c r="P137" s="514">
        <f t="shared" si="56"/>
        <v>0</v>
      </c>
      <c r="Q137" s="269"/>
    </row>
    <row r="138" spans="2:17">
      <c r="B138" s="195" t="str">
        <f t="shared" si="36"/>
        <v/>
      </c>
      <c r="C138" s="507">
        <f>IF(D93="","-",+C137+1)</f>
        <v>2048</v>
      </c>
      <c r="D138" s="374">
        <f>IF(F137+SUM(E$99:E137)=D$92,F137,D$92-SUM(E$99:E137))</f>
        <v>240591.63428139105</v>
      </c>
      <c r="E138" s="522">
        <f>IF(+J96&lt;F137,J96,D138)</f>
        <v>72726.048780487807</v>
      </c>
      <c r="F138" s="523">
        <f t="shared" si="51"/>
        <v>167865.58550090325</v>
      </c>
      <c r="G138" s="523">
        <f t="shared" si="52"/>
        <v>204228.60989114715</v>
      </c>
      <c r="H138" s="526">
        <f t="shared" si="49"/>
        <v>95908.901435269319</v>
      </c>
      <c r="I138" s="577">
        <f t="shared" si="50"/>
        <v>95908.901435269319</v>
      </c>
      <c r="J138" s="514">
        <f t="shared" si="53"/>
        <v>0</v>
      </c>
      <c r="K138" s="514"/>
      <c r="L138" s="525"/>
      <c r="M138" s="514">
        <f t="shared" si="54"/>
        <v>0</v>
      </c>
      <c r="N138" s="525"/>
      <c r="O138" s="514">
        <f t="shared" si="55"/>
        <v>0</v>
      </c>
      <c r="P138" s="514">
        <f t="shared" si="56"/>
        <v>0</v>
      </c>
      <c r="Q138" s="269"/>
    </row>
    <row r="139" spans="2:17">
      <c r="B139" s="195" t="str">
        <f t="shared" si="36"/>
        <v/>
      </c>
      <c r="C139" s="507">
        <f>IF(D93="","-",+C138+1)</f>
        <v>2049</v>
      </c>
      <c r="D139" s="374">
        <f>IF(F138+SUM(E$99:E138)=D$92,F138,D$92-SUM(E$99:E138))</f>
        <v>167865.58550090325</v>
      </c>
      <c r="E139" s="522">
        <f>IF(+J96&lt;F138,J96,D139)</f>
        <v>72726.048780487807</v>
      </c>
      <c r="F139" s="523">
        <f t="shared" si="51"/>
        <v>95139.536720415446</v>
      </c>
      <c r="G139" s="523">
        <f t="shared" si="52"/>
        <v>131502.56111065936</v>
      </c>
      <c r="H139" s="526">
        <f t="shared" si="49"/>
        <v>87653.460270874537</v>
      </c>
      <c r="I139" s="577">
        <f t="shared" si="50"/>
        <v>87653.460270874537</v>
      </c>
      <c r="J139" s="514">
        <f t="shared" si="53"/>
        <v>0</v>
      </c>
      <c r="K139" s="514"/>
      <c r="L139" s="525"/>
      <c r="M139" s="514">
        <f t="shared" si="54"/>
        <v>0</v>
      </c>
      <c r="N139" s="525"/>
      <c r="O139" s="514">
        <f t="shared" si="55"/>
        <v>0</v>
      </c>
      <c r="P139" s="514">
        <f t="shared" si="56"/>
        <v>0</v>
      </c>
      <c r="Q139" s="269"/>
    </row>
    <row r="140" spans="2:17">
      <c r="B140" s="195" t="str">
        <f t="shared" si="36"/>
        <v/>
      </c>
      <c r="C140" s="507">
        <f>IF(D93="","-",+C139+1)</f>
        <v>2050</v>
      </c>
      <c r="D140" s="374">
        <f>IF(F139+SUM(E$99:E139)=D$92,F139,D$92-SUM(E$99:E139))</f>
        <v>95139.536720415446</v>
      </c>
      <c r="E140" s="522">
        <f>IF(+J96&lt;F139,J96,D140)</f>
        <v>72726.048780487807</v>
      </c>
      <c r="F140" s="523">
        <f t="shared" si="51"/>
        <v>22413.48793992764</v>
      </c>
      <c r="G140" s="523">
        <f t="shared" si="52"/>
        <v>58776.512330171543</v>
      </c>
      <c r="H140" s="526">
        <f t="shared" si="49"/>
        <v>79398.01910647974</v>
      </c>
      <c r="I140" s="577">
        <f t="shared" si="50"/>
        <v>79398.01910647974</v>
      </c>
      <c r="J140" s="514">
        <f t="shared" si="53"/>
        <v>0</v>
      </c>
      <c r="K140" s="514"/>
      <c r="L140" s="525"/>
      <c r="M140" s="514">
        <f t="shared" si="54"/>
        <v>0</v>
      </c>
      <c r="N140" s="525"/>
      <c r="O140" s="514">
        <f t="shared" si="55"/>
        <v>0</v>
      </c>
      <c r="P140" s="514">
        <f t="shared" si="56"/>
        <v>0</v>
      </c>
      <c r="Q140" s="269"/>
    </row>
    <row r="141" spans="2:17">
      <c r="B141" s="195" t="str">
        <f t="shared" si="36"/>
        <v/>
      </c>
      <c r="C141" s="507">
        <f>IF(D93="","-",+C140+1)</f>
        <v>2051</v>
      </c>
      <c r="D141" s="374">
        <f>IF(F140+SUM(E$99:E140)=D$92,F140,D$92-SUM(E$99:E140))</f>
        <v>22413.48793992764</v>
      </c>
      <c r="E141" s="522">
        <f>IF(+J96&lt;F140,J96,D141)</f>
        <v>22413.48793992764</v>
      </c>
      <c r="F141" s="523">
        <f t="shared" si="51"/>
        <v>0</v>
      </c>
      <c r="G141" s="523">
        <f t="shared" si="52"/>
        <v>11206.74396996382</v>
      </c>
      <c r="H141" s="526">
        <f t="shared" si="49"/>
        <v>23685.612811824907</v>
      </c>
      <c r="I141" s="577">
        <f t="shared" si="50"/>
        <v>23685.612811824907</v>
      </c>
      <c r="J141" s="514">
        <f t="shared" si="53"/>
        <v>0</v>
      </c>
      <c r="K141" s="514"/>
      <c r="L141" s="525"/>
      <c r="M141" s="514">
        <f t="shared" si="54"/>
        <v>0</v>
      </c>
      <c r="N141" s="525"/>
      <c r="O141" s="514">
        <f t="shared" si="55"/>
        <v>0</v>
      </c>
      <c r="P141" s="514">
        <f t="shared" si="56"/>
        <v>0</v>
      </c>
      <c r="Q141" s="269"/>
    </row>
    <row r="142" spans="2:17">
      <c r="B142" s="195" t="str">
        <f t="shared" si="36"/>
        <v/>
      </c>
      <c r="C142" s="507">
        <f>IF(D93="","-",+C141+1)</f>
        <v>2052</v>
      </c>
      <c r="D142" s="374">
        <f>IF(F141+SUM(E$99:E141)=D$92,F141,D$92-SUM(E$99:E141))</f>
        <v>0</v>
      </c>
      <c r="E142" s="522">
        <f>IF(+J96&lt;F141,J96,D142)</f>
        <v>0</v>
      </c>
      <c r="F142" s="523">
        <f t="shared" si="51"/>
        <v>0</v>
      </c>
      <c r="G142" s="523">
        <f t="shared" si="52"/>
        <v>0</v>
      </c>
      <c r="H142" s="526">
        <f t="shared" si="49"/>
        <v>0</v>
      </c>
      <c r="I142" s="577">
        <f t="shared" si="50"/>
        <v>0</v>
      </c>
      <c r="J142" s="514">
        <f t="shared" si="53"/>
        <v>0</v>
      </c>
      <c r="K142" s="514"/>
      <c r="L142" s="525"/>
      <c r="M142" s="514">
        <f t="shared" si="54"/>
        <v>0</v>
      </c>
      <c r="N142" s="525"/>
      <c r="O142" s="514">
        <f t="shared" si="55"/>
        <v>0</v>
      </c>
      <c r="P142" s="514">
        <f t="shared" si="56"/>
        <v>0</v>
      </c>
      <c r="Q142" s="269"/>
    </row>
    <row r="143" spans="2:17">
      <c r="B143" s="195" t="str">
        <f t="shared" si="36"/>
        <v/>
      </c>
      <c r="C143" s="507">
        <f>IF(D93="","-",+C142+1)</f>
        <v>2053</v>
      </c>
      <c r="D143" s="374">
        <f>IF(F142+SUM(E$99:E142)=D$92,F142,D$92-SUM(E$99:E142))</f>
        <v>0</v>
      </c>
      <c r="E143" s="522">
        <f>IF(+J96&lt;F142,J96,D143)</f>
        <v>0</v>
      </c>
      <c r="F143" s="523">
        <f t="shared" si="51"/>
        <v>0</v>
      </c>
      <c r="G143" s="523">
        <f t="shared" si="52"/>
        <v>0</v>
      </c>
      <c r="H143" s="526">
        <f t="shared" si="49"/>
        <v>0</v>
      </c>
      <c r="I143" s="577">
        <f t="shared" si="50"/>
        <v>0</v>
      </c>
      <c r="J143" s="514">
        <f t="shared" si="53"/>
        <v>0</v>
      </c>
      <c r="K143" s="514"/>
      <c r="L143" s="525"/>
      <c r="M143" s="514">
        <f t="shared" si="54"/>
        <v>0</v>
      </c>
      <c r="N143" s="525"/>
      <c r="O143" s="514">
        <f t="shared" si="55"/>
        <v>0</v>
      </c>
      <c r="P143" s="514">
        <f t="shared" si="56"/>
        <v>0</v>
      </c>
      <c r="Q143" s="269"/>
    </row>
    <row r="144" spans="2:17">
      <c r="B144" s="195" t="str">
        <f t="shared" si="36"/>
        <v/>
      </c>
      <c r="C144" s="507">
        <f>IF(D93="","-",+C143+1)</f>
        <v>2054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51"/>
        <v>0</v>
      </c>
      <c r="G144" s="523">
        <f t="shared" si="52"/>
        <v>0</v>
      </c>
      <c r="H144" s="526">
        <f t="shared" si="49"/>
        <v>0</v>
      </c>
      <c r="I144" s="577">
        <f t="shared" si="50"/>
        <v>0</v>
      </c>
      <c r="J144" s="514">
        <f t="shared" si="53"/>
        <v>0</v>
      </c>
      <c r="K144" s="514"/>
      <c r="L144" s="525"/>
      <c r="M144" s="514">
        <f t="shared" si="54"/>
        <v>0</v>
      </c>
      <c r="N144" s="525"/>
      <c r="O144" s="514">
        <f t="shared" si="55"/>
        <v>0</v>
      </c>
      <c r="P144" s="514">
        <f t="shared" si="56"/>
        <v>0</v>
      </c>
      <c r="Q144" s="269"/>
    </row>
    <row r="145" spans="2:17">
      <c r="B145" s="195" t="str">
        <f t="shared" si="36"/>
        <v/>
      </c>
      <c r="C145" s="507">
        <f>IF(D93="","-",+C144+1)</f>
        <v>2055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51"/>
        <v>0</v>
      </c>
      <c r="G145" s="523">
        <f t="shared" si="52"/>
        <v>0</v>
      </c>
      <c r="H145" s="526">
        <f t="shared" si="49"/>
        <v>0</v>
      </c>
      <c r="I145" s="577">
        <f t="shared" si="50"/>
        <v>0</v>
      </c>
      <c r="J145" s="514">
        <f t="shared" si="53"/>
        <v>0</v>
      </c>
      <c r="K145" s="514"/>
      <c r="L145" s="525"/>
      <c r="M145" s="514">
        <f t="shared" si="54"/>
        <v>0</v>
      </c>
      <c r="N145" s="525"/>
      <c r="O145" s="514">
        <f t="shared" si="55"/>
        <v>0</v>
      </c>
      <c r="P145" s="514">
        <f t="shared" si="56"/>
        <v>0</v>
      </c>
      <c r="Q145" s="269"/>
    </row>
    <row r="146" spans="2:17">
      <c r="B146" s="195" t="str">
        <f t="shared" si="36"/>
        <v/>
      </c>
      <c r="C146" s="507">
        <f>IF(D93="","-",+C145+1)</f>
        <v>2056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51"/>
        <v>0</v>
      </c>
      <c r="G146" s="523">
        <f t="shared" si="52"/>
        <v>0</v>
      </c>
      <c r="H146" s="526">
        <f t="shared" si="49"/>
        <v>0</v>
      </c>
      <c r="I146" s="577">
        <f t="shared" si="50"/>
        <v>0</v>
      </c>
      <c r="J146" s="514">
        <f t="shared" si="53"/>
        <v>0</v>
      </c>
      <c r="K146" s="514"/>
      <c r="L146" s="525"/>
      <c r="M146" s="514">
        <f t="shared" si="54"/>
        <v>0</v>
      </c>
      <c r="N146" s="525"/>
      <c r="O146" s="514">
        <f t="shared" si="55"/>
        <v>0</v>
      </c>
      <c r="P146" s="514">
        <f t="shared" si="56"/>
        <v>0</v>
      </c>
      <c r="Q146" s="269"/>
    </row>
    <row r="147" spans="2:17">
      <c r="B147" s="195" t="str">
        <f t="shared" si="36"/>
        <v/>
      </c>
      <c r="C147" s="507">
        <f>IF(D93="","-",+C146+1)</f>
        <v>2057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51"/>
        <v>0</v>
      </c>
      <c r="G147" s="523">
        <f t="shared" si="52"/>
        <v>0</v>
      </c>
      <c r="H147" s="526">
        <f t="shared" si="49"/>
        <v>0</v>
      </c>
      <c r="I147" s="577">
        <f t="shared" si="50"/>
        <v>0</v>
      </c>
      <c r="J147" s="514">
        <f t="shared" si="53"/>
        <v>0</v>
      </c>
      <c r="K147" s="514"/>
      <c r="L147" s="525"/>
      <c r="M147" s="514">
        <f t="shared" si="54"/>
        <v>0</v>
      </c>
      <c r="N147" s="525"/>
      <c r="O147" s="514">
        <f t="shared" si="55"/>
        <v>0</v>
      </c>
      <c r="P147" s="514">
        <f t="shared" si="56"/>
        <v>0</v>
      </c>
      <c r="Q147" s="269"/>
    </row>
    <row r="148" spans="2:17">
      <c r="B148" s="195" t="str">
        <f t="shared" si="36"/>
        <v/>
      </c>
      <c r="C148" s="507">
        <f>IF(D93="","-",+C147+1)</f>
        <v>2058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51"/>
        <v>0</v>
      </c>
      <c r="G148" s="523">
        <f t="shared" si="52"/>
        <v>0</v>
      </c>
      <c r="H148" s="526">
        <f t="shared" si="49"/>
        <v>0</v>
      </c>
      <c r="I148" s="577">
        <f t="shared" si="50"/>
        <v>0</v>
      </c>
      <c r="J148" s="514">
        <f t="shared" si="53"/>
        <v>0</v>
      </c>
      <c r="K148" s="514"/>
      <c r="L148" s="525"/>
      <c r="M148" s="514">
        <f t="shared" si="54"/>
        <v>0</v>
      </c>
      <c r="N148" s="525"/>
      <c r="O148" s="514">
        <f t="shared" si="55"/>
        <v>0</v>
      </c>
      <c r="P148" s="514">
        <f t="shared" si="56"/>
        <v>0</v>
      </c>
      <c r="Q148" s="269"/>
    </row>
    <row r="149" spans="2:17">
      <c r="B149" s="195" t="str">
        <f t="shared" si="36"/>
        <v/>
      </c>
      <c r="C149" s="507">
        <f>IF(D93="","-",+C148+1)</f>
        <v>2059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51"/>
        <v>0</v>
      </c>
      <c r="G149" s="523">
        <f t="shared" si="52"/>
        <v>0</v>
      </c>
      <c r="H149" s="526">
        <f t="shared" si="49"/>
        <v>0</v>
      </c>
      <c r="I149" s="577">
        <f t="shared" si="50"/>
        <v>0</v>
      </c>
      <c r="J149" s="514">
        <f t="shared" si="53"/>
        <v>0</v>
      </c>
      <c r="K149" s="514"/>
      <c r="L149" s="525"/>
      <c r="M149" s="514">
        <f t="shared" si="54"/>
        <v>0</v>
      </c>
      <c r="N149" s="525"/>
      <c r="O149" s="514">
        <f t="shared" si="55"/>
        <v>0</v>
      </c>
      <c r="P149" s="514">
        <f t="shared" si="56"/>
        <v>0</v>
      </c>
      <c r="Q149" s="269"/>
    </row>
    <row r="150" spans="2:17">
      <c r="B150" s="195" t="str">
        <f t="shared" si="36"/>
        <v/>
      </c>
      <c r="C150" s="507">
        <f>IF(D93="","-",+C149+1)</f>
        <v>2060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51"/>
        <v>0</v>
      </c>
      <c r="G150" s="523">
        <f t="shared" si="52"/>
        <v>0</v>
      </c>
      <c r="H150" s="526">
        <f t="shared" si="49"/>
        <v>0</v>
      </c>
      <c r="I150" s="577">
        <f t="shared" si="50"/>
        <v>0</v>
      </c>
      <c r="J150" s="514">
        <f t="shared" si="53"/>
        <v>0</v>
      </c>
      <c r="K150" s="514"/>
      <c r="L150" s="525"/>
      <c r="M150" s="514">
        <f t="shared" si="54"/>
        <v>0</v>
      </c>
      <c r="N150" s="525"/>
      <c r="O150" s="514">
        <f t="shared" si="55"/>
        <v>0</v>
      </c>
      <c r="P150" s="514">
        <f t="shared" si="56"/>
        <v>0</v>
      </c>
      <c r="Q150" s="269"/>
    </row>
    <row r="151" spans="2:17">
      <c r="B151" s="195" t="str">
        <f t="shared" si="36"/>
        <v/>
      </c>
      <c r="C151" s="507">
        <f>IF(D93="","-",+C150+1)</f>
        <v>2061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51"/>
        <v>0</v>
      </c>
      <c r="G151" s="523">
        <f t="shared" si="52"/>
        <v>0</v>
      </c>
      <c r="H151" s="526">
        <f t="shared" si="49"/>
        <v>0</v>
      </c>
      <c r="I151" s="577">
        <f t="shared" si="50"/>
        <v>0</v>
      </c>
      <c r="J151" s="514">
        <f t="shared" si="53"/>
        <v>0</v>
      </c>
      <c r="K151" s="514"/>
      <c r="L151" s="525"/>
      <c r="M151" s="514">
        <f t="shared" si="54"/>
        <v>0</v>
      </c>
      <c r="N151" s="525"/>
      <c r="O151" s="514">
        <f t="shared" si="55"/>
        <v>0</v>
      </c>
      <c r="P151" s="514">
        <f t="shared" si="56"/>
        <v>0</v>
      </c>
      <c r="Q151" s="269"/>
    </row>
    <row r="152" spans="2:17">
      <c r="B152" s="195" t="str">
        <f t="shared" si="36"/>
        <v/>
      </c>
      <c r="C152" s="507">
        <f>IF(D93="","-",+C151+1)</f>
        <v>2062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51"/>
        <v>0</v>
      </c>
      <c r="G152" s="523">
        <f t="shared" si="52"/>
        <v>0</v>
      </c>
      <c r="H152" s="526">
        <f t="shared" si="49"/>
        <v>0</v>
      </c>
      <c r="I152" s="577">
        <f t="shared" si="50"/>
        <v>0</v>
      </c>
      <c r="J152" s="514">
        <f t="shared" si="53"/>
        <v>0</v>
      </c>
      <c r="K152" s="514"/>
      <c r="L152" s="525"/>
      <c r="M152" s="514">
        <f t="shared" si="54"/>
        <v>0</v>
      </c>
      <c r="N152" s="525"/>
      <c r="O152" s="514">
        <f t="shared" si="55"/>
        <v>0</v>
      </c>
      <c r="P152" s="514">
        <f t="shared" si="56"/>
        <v>0</v>
      </c>
      <c r="Q152" s="269"/>
    </row>
    <row r="153" spans="2:17">
      <c r="B153" s="195" t="str">
        <f t="shared" si="36"/>
        <v/>
      </c>
      <c r="C153" s="507">
        <f>IF(D93="","-",+C152+1)</f>
        <v>2063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51"/>
        <v>0</v>
      </c>
      <c r="G153" s="523">
        <f t="shared" si="52"/>
        <v>0</v>
      </c>
      <c r="H153" s="526">
        <f t="shared" si="49"/>
        <v>0</v>
      </c>
      <c r="I153" s="577">
        <f t="shared" si="50"/>
        <v>0</v>
      </c>
      <c r="J153" s="514">
        <f t="shared" si="53"/>
        <v>0</v>
      </c>
      <c r="K153" s="514"/>
      <c r="L153" s="525"/>
      <c r="M153" s="514">
        <f t="shared" si="54"/>
        <v>0</v>
      </c>
      <c r="N153" s="525"/>
      <c r="O153" s="514">
        <f t="shared" si="55"/>
        <v>0</v>
      </c>
      <c r="P153" s="514">
        <f t="shared" si="56"/>
        <v>0</v>
      </c>
      <c r="Q153" s="269"/>
    </row>
    <row r="154" spans="2:17" ht="13.5" thickBot="1">
      <c r="B154" s="195" t="str">
        <f t="shared" si="36"/>
        <v/>
      </c>
      <c r="C154" s="527">
        <f>IF(D93="","-",+C153+1)</f>
        <v>2064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51"/>
        <v>0</v>
      </c>
      <c r="G154" s="528">
        <f t="shared" si="52"/>
        <v>0</v>
      </c>
      <c r="H154" s="530">
        <f t="shared" si="49"/>
        <v>0</v>
      </c>
      <c r="I154" s="579">
        <f t="shared" si="50"/>
        <v>0</v>
      </c>
      <c r="J154" s="533">
        <f t="shared" si="53"/>
        <v>0</v>
      </c>
      <c r="K154" s="514"/>
      <c r="L154" s="532"/>
      <c r="M154" s="533">
        <f t="shared" si="54"/>
        <v>0</v>
      </c>
      <c r="N154" s="532"/>
      <c r="O154" s="533">
        <f t="shared" si="55"/>
        <v>0</v>
      </c>
      <c r="P154" s="533">
        <f t="shared" si="56"/>
        <v>0</v>
      </c>
      <c r="Q154" s="269"/>
    </row>
    <row r="155" spans="2:17">
      <c r="C155" s="374" t="s">
        <v>78</v>
      </c>
      <c r="D155" s="375"/>
      <c r="E155" s="375">
        <f>SUM(E99:E154)</f>
        <v>2981767.9999999995</v>
      </c>
      <c r="F155" s="375"/>
      <c r="G155" s="375"/>
      <c r="H155" s="375">
        <f>SUM(H99:H154)</f>
        <v>10757188.380210929</v>
      </c>
      <c r="I155" s="375">
        <f>SUM(I99:I154)</f>
        <v>10757188.380210929</v>
      </c>
      <c r="J155" s="375">
        <f>SUM(J99:J154)</f>
        <v>0</v>
      </c>
      <c r="K155" s="375"/>
      <c r="L155" s="375"/>
      <c r="M155" s="375"/>
      <c r="N155" s="375"/>
      <c r="O155" s="375"/>
      <c r="P155" s="269"/>
      <c r="Q155" s="269"/>
    </row>
    <row r="156" spans="2:17"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  <c r="Q156" s="269"/>
    </row>
    <row r="157" spans="2:17">
      <c r="C157" s="580" t="s">
        <v>92</v>
      </c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  <c r="Q157" s="269"/>
    </row>
    <row r="158" spans="2:17"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  <c r="Q158" s="269"/>
    </row>
    <row r="159" spans="2:17">
      <c r="C159" s="534" t="s">
        <v>97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  <c r="Q159" s="269"/>
    </row>
    <row r="160" spans="2:17">
      <c r="C160" s="581" t="s">
        <v>79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  <c r="Q160" s="269"/>
    </row>
    <row r="161" spans="3:17">
      <c r="C161" s="581" t="s">
        <v>80</v>
      </c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  <c r="Q161" s="269"/>
    </row>
    <row r="162" spans="3:17" ht="18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454" t="s">
        <v>131</v>
      </c>
      <c r="Q162" s="269"/>
    </row>
  </sheetData>
  <phoneticPr fontId="0" type="noConversion"/>
  <conditionalFormatting sqref="C17:C72">
    <cfRule type="cellIs" dxfId="153" priority="1" stopIfTrue="1" operator="equal">
      <formula>$I$10</formula>
    </cfRule>
  </conditionalFormatting>
  <conditionalFormatting sqref="C99:C154">
    <cfRule type="cellIs" dxfId="152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54"/>
  <dimension ref="A1:Q162"/>
  <sheetViews>
    <sheetView topLeftCell="A89" zoomScaleNormal="100" zoomScaleSheetLayoutView="80" workbookViewId="0">
      <selection activeCell="D99" sqref="D99:I112"/>
    </sheetView>
  </sheetViews>
  <sheetFormatPr defaultColWidth="8.7109375" defaultRowHeight="12.75" customHeight="1"/>
  <cols>
    <col min="1" max="1" width="4.7109375" style="183" customWidth="1"/>
    <col min="2" max="2" width="6.7109375" style="183" customWidth="1"/>
    <col min="3" max="3" width="23.28515625" style="183" customWidth="1"/>
    <col min="4" max="8" width="17.7109375" style="183" customWidth="1"/>
    <col min="9" max="9" width="20.42578125" style="183" customWidth="1"/>
    <col min="10" max="10" width="16.42578125" style="183" customWidth="1"/>
    <col min="11" max="11" width="17.7109375" style="183" customWidth="1"/>
    <col min="12" max="12" width="16.140625" style="183" customWidth="1"/>
    <col min="13" max="13" width="17.7109375" style="183" customWidth="1"/>
    <col min="14" max="14" width="16.140625" style="183" customWidth="1"/>
    <col min="15" max="15" width="16.85546875" style="183" customWidth="1"/>
    <col min="16" max="16" width="24.42578125" style="183" customWidth="1"/>
    <col min="17" max="17" width="4.7109375" style="183" customWidth="1"/>
    <col min="18" max="22" width="8.7109375" style="183"/>
    <col min="23" max="23" width="9.140625" style="183" customWidth="1"/>
    <col min="24" max="16384" width="8.7109375" style="183"/>
  </cols>
  <sheetData>
    <row r="1" spans="1:17" ht="20.25">
      <c r="A1" s="586" t="s">
        <v>133</v>
      </c>
      <c r="B1" s="587"/>
      <c r="C1" s="588"/>
      <c r="D1" s="589"/>
      <c r="E1" s="587"/>
      <c r="F1" s="590"/>
      <c r="G1" s="587"/>
      <c r="H1" s="591"/>
      <c r="I1" s="592"/>
      <c r="J1" s="593"/>
      <c r="K1" s="451"/>
      <c r="L1" s="451"/>
      <c r="M1" s="451"/>
      <c r="P1" s="452" t="str">
        <f ca="1">"SWEPCO Project "&amp;RIGHT(MID(CELL("filename",$A$1),FIND("]",CELL("filename",$A$1))+1,256),1)&amp;" of "&amp;COUNT('S.001:S.xyz - blank'!$P$3)-1</f>
        <v>SWEPCO Project 6 of 75</v>
      </c>
      <c r="Q1" s="453"/>
    </row>
    <row r="2" spans="1:17" ht="18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454" t="s">
        <v>129</v>
      </c>
    </row>
    <row r="3" spans="1:17" ht="18.75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 t="str">
        <f>RIGHT(N3,3)</f>
        <v/>
      </c>
      <c r="P3" s="455">
        <v>1</v>
      </c>
    </row>
    <row r="4" spans="1:17" ht="15.75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7" ht="1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3838521.4401582326</v>
      </c>
      <c r="P5" s="269"/>
    </row>
    <row r="6" spans="1:17" ht="15.7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3838521.4401582326</v>
      </c>
      <c r="O6" s="269"/>
      <c r="P6" s="269"/>
    </row>
    <row r="7" spans="1:17" ht="13.5" thickBot="1">
      <c r="C7" s="467" t="s">
        <v>48</v>
      </c>
      <c r="D7" s="468" t="s">
        <v>239</v>
      </c>
      <c r="E7" s="269"/>
      <c r="F7" s="269"/>
      <c r="G7" s="269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7" ht="13.5" thickBot="1">
      <c r="C8" s="472"/>
      <c r="D8" s="473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7" ht="13.5" thickBot="1">
      <c r="A9" s="191"/>
      <c r="C9" s="476" t="s">
        <v>50</v>
      </c>
      <c r="D9" s="477" t="s">
        <v>145</v>
      </c>
      <c r="E9" s="666" t="s">
        <v>476</v>
      </c>
      <c r="F9" s="478"/>
      <c r="G9" s="478"/>
      <c r="H9" s="478"/>
      <c r="I9" s="479"/>
      <c r="J9" s="480"/>
      <c r="O9" s="481"/>
      <c r="P9" s="272"/>
    </row>
    <row r="10" spans="1:17">
      <c r="C10" s="482" t="s">
        <v>51</v>
      </c>
      <c r="D10" s="483">
        <v>37028625</v>
      </c>
      <c r="E10" s="353" t="s">
        <v>52</v>
      </c>
      <c r="F10" s="481"/>
      <c r="G10" s="484"/>
      <c r="H10" s="484"/>
      <c r="I10" s="485">
        <f>+'SWE.WS.F.BPU.ATRR.Projected'!L19</f>
        <v>2024</v>
      </c>
      <c r="J10" s="480"/>
      <c r="K10" s="375" t="s">
        <v>53</v>
      </c>
      <c r="O10" s="272"/>
      <c r="P10" s="272"/>
    </row>
    <row r="11" spans="1:17">
      <c r="C11" s="486" t="s">
        <v>54</v>
      </c>
      <c r="D11" s="487">
        <v>2009</v>
      </c>
      <c r="E11" s="486" t="s">
        <v>55</v>
      </c>
      <c r="F11" s="484"/>
      <c r="G11" s="233"/>
      <c r="H11" s="233"/>
      <c r="I11" s="488"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7">
      <c r="C12" s="486" t="s">
        <v>56</v>
      </c>
      <c r="D12" s="483">
        <v>6</v>
      </c>
      <c r="E12" s="486" t="s">
        <v>57</v>
      </c>
      <c r="F12" s="484"/>
      <c r="G12" s="233"/>
      <c r="H12" s="233"/>
      <c r="I12" s="490">
        <f>'SWE.WS.F.BPU.ATRR.Projected'!$F$81</f>
        <v>0.11952713165403545</v>
      </c>
      <c r="J12" s="425"/>
      <c r="K12" s="183" t="s">
        <v>58</v>
      </c>
      <c r="O12" s="272"/>
      <c r="P12" s="272"/>
    </row>
    <row r="13" spans="1:17">
      <c r="C13" s="486" t="s">
        <v>59</v>
      </c>
      <c r="D13" s="488">
        <f>+'SWE.WS.F.BPU.ATRR.Projected'!F$93</f>
        <v>44</v>
      </c>
      <c r="E13" s="486" t="s">
        <v>60</v>
      </c>
      <c r="F13" s="484"/>
      <c r="G13" s="233"/>
      <c r="H13" s="233"/>
      <c r="I13" s="490">
        <f>IF(G5="",I12,'SWE.WS.F.BPU.ATRR.Projected'!$F$80)</f>
        <v>0.11952713165403545</v>
      </c>
      <c r="J13" s="425"/>
      <c r="K13" s="375" t="s">
        <v>61</v>
      </c>
      <c r="L13" s="324"/>
      <c r="M13" s="324"/>
      <c r="N13" s="324"/>
      <c r="O13" s="272"/>
      <c r="P13" s="272"/>
    </row>
    <row r="14" spans="1:17" ht="13.5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841559.65909090906</v>
      </c>
      <c r="J14" s="375"/>
      <c r="K14" s="375"/>
      <c r="L14" s="375"/>
      <c r="M14" s="375"/>
      <c r="N14" s="375"/>
      <c r="O14" s="272"/>
      <c r="P14" s="272"/>
    </row>
    <row r="15" spans="1:17" ht="38.25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388</v>
      </c>
      <c r="H15" s="495" t="s">
        <v>389</v>
      </c>
      <c r="I15" s="496" t="s">
        <v>260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7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>
      <c r="C17" s="507">
        <f>IF(D11= "","-",D11)</f>
        <v>2009</v>
      </c>
      <c r="D17" s="508">
        <v>17101764</v>
      </c>
      <c r="E17" s="509">
        <v>231105</v>
      </c>
      <c r="F17" s="508">
        <v>16870659</v>
      </c>
      <c r="G17" s="509">
        <v>1739394</v>
      </c>
      <c r="H17" s="510">
        <v>1739394</v>
      </c>
      <c r="I17" s="511">
        <f t="shared" ref="I17:I48" si="0">H17-G17</f>
        <v>0</v>
      </c>
      <c r="J17" s="511"/>
      <c r="K17" s="512">
        <v>1739394</v>
      </c>
      <c r="L17" s="513">
        <f t="shared" ref="L17:L48" si="1">IF(K17&lt;&gt;0,+G17-K17,0)</f>
        <v>0</v>
      </c>
      <c r="M17" s="512">
        <v>1739394</v>
      </c>
      <c r="N17" s="513">
        <f t="shared" ref="N17:N48" si="2">IF(M17&lt;&gt;0,+H17-M17,0)</f>
        <v>0</v>
      </c>
      <c r="O17" s="514">
        <f t="shared" ref="O17:O48" si="3">+N17-L17</f>
        <v>0</v>
      </c>
      <c r="P17" s="272"/>
    </row>
    <row r="18" spans="2:16">
      <c r="B18" s="195" t="str">
        <f>IF(D18=F17,"","IU")</f>
        <v>IU</v>
      </c>
      <c r="C18" s="507">
        <f>IF(D11="","-",+C17+1)</f>
        <v>2010</v>
      </c>
      <c r="D18" s="515">
        <v>6292908</v>
      </c>
      <c r="E18" s="516">
        <v>171684</v>
      </c>
      <c r="F18" s="515">
        <v>6121224</v>
      </c>
      <c r="G18" s="516">
        <v>1051702</v>
      </c>
      <c r="H18" s="510">
        <v>1051702</v>
      </c>
      <c r="I18" s="511">
        <f t="shared" si="0"/>
        <v>0</v>
      </c>
      <c r="J18" s="511"/>
      <c r="K18" s="518">
        <f t="shared" ref="K18:K23" si="4">G18</f>
        <v>1051702</v>
      </c>
      <c r="L18" s="519">
        <f t="shared" si="1"/>
        <v>0</v>
      </c>
      <c r="M18" s="518">
        <f t="shared" ref="M18:M23" si="5">H18</f>
        <v>1051702</v>
      </c>
      <c r="N18" s="514">
        <f t="shared" si="2"/>
        <v>0</v>
      </c>
      <c r="O18" s="514">
        <f t="shared" si="3"/>
        <v>0</v>
      </c>
      <c r="P18" s="272"/>
    </row>
    <row r="19" spans="2:16">
      <c r="B19" s="195" t="str">
        <f>IF(D19=F18,"","IU")</f>
        <v>IU</v>
      </c>
      <c r="C19" s="507">
        <f>IF(D11="","-",+C18+1)</f>
        <v>2011</v>
      </c>
      <c r="D19" s="515">
        <v>26971020</v>
      </c>
      <c r="E19" s="516">
        <v>667653.87804878049</v>
      </c>
      <c r="F19" s="515">
        <v>26303366.121951219</v>
      </c>
      <c r="G19" s="516">
        <v>4776034.0895202104</v>
      </c>
      <c r="H19" s="510">
        <v>4776034.0895202104</v>
      </c>
      <c r="I19" s="511">
        <f t="shared" si="0"/>
        <v>0</v>
      </c>
      <c r="J19" s="511"/>
      <c r="K19" s="518">
        <f t="shared" si="4"/>
        <v>4776034.0895202104</v>
      </c>
      <c r="L19" s="519">
        <f t="shared" si="1"/>
        <v>0</v>
      </c>
      <c r="M19" s="518">
        <f t="shared" si="5"/>
        <v>4776034.0895202104</v>
      </c>
      <c r="N19" s="514">
        <f t="shared" si="2"/>
        <v>0</v>
      </c>
      <c r="O19" s="514">
        <f t="shared" si="3"/>
        <v>0</v>
      </c>
      <c r="P19" s="272"/>
    </row>
    <row r="20" spans="2:16">
      <c r="B20" s="195" t="str">
        <f t="shared" ref="B20:B72" si="6">IF(D20=F19,"","IU")</f>
        <v>IU</v>
      </c>
      <c r="C20" s="507">
        <f>IF(D11="","-",+C19+1)</f>
        <v>2012</v>
      </c>
      <c r="D20" s="515">
        <v>31392829.121951219</v>
      </c>
      <c r="E20" s="516">
        <v>772935.04761904757</v>
      </c>
      <c r="F20" s="515">
        <v>30619894.07433217</v>
      </c>
      <c r="G20" s="516">
        <v>5326729.983202124</v>
      </c>
      <c r="H20" s="510">
        <v>5326729.983202124</v>
      </c>
      <c r="I20" s="511">
        <f t="shared" si="0"/>
        <v>0</v>
      </c>
      <c r="J20" s="511"/>
      <c r="K20" s="518">
        <f t="shared" si="4"/>
        <v>5326729.983202124</v>
      </c>
      <c r="L20" s="519">
        <f t="shared" si="1"/>
        <v>0</v>
      </c>
      <c r="M20" s="518">
        <f t="shared" si="5"/>
        <v>5326729.983202124</v>
      </c>
      <c r="N20" s="514">
        <f t="shared" si="2"/>
        <v>0</v>
      </c>
      <c r="O20" s="514">
        <f t="shared" si="3"/>
        <v>0</v>
      </c>
      <c r="P20" s="272"/>
    </row>
    <row r="21" spans="2:16">
      <c r="B21" s="195" t="str">
        <f t="shared" si="6"/>
        <v>IU</v>
      </c>
      <c r="C21" s="507">
        <f>IF(D12="","-",+C20+1)</f>
        <v>2013</v>
      </c>
      <c r="D21" s="515">
        <v>33143499.07433217</v>
      </c>
      <c r="E21" s="516">
        <v>833020.88095238095</v>
      </c>
      <c r="F21" s="515">
        <v>32310478.19337979</v>
      </c>
      <c r="G21" s="516">
        <v>5356070.4437174536</v>
      </c>
      <c r="H21" s="510">
        <v>5356070.4437174536</v>
      </c>
      <c r="I21" s="511">
        <v>0</v>
      </c>
      <c r="J21" s="511"/>
      <c r="K21" s="518">
        <f t="shared" si="4"/>
        <v>5356070.4437174536</v>
      </c>
      <c r="L21" s="519">
        <f t="shared" ref="L21:L26" si="7">IF(K21&lt;&gt;0,+G21-K21,0)</f>
        <v>0</v>
      </c>
      <c r="M21" s="518">
        <f t="shared" si="5"/>
        <v>5356070.4437174536</v>
      </c>
      <c r="N21" s="514">
        <f t="shared" ref="N21:N26" si="8">IF(M21&lt;&gt;0,+H21-M21,0)</f>
        <v>0</v>
      </c>
      <c r="O21" s="514">
        <f>+N21-L21</f>
        <v>0</v>
      </c>
      <c r="P21" s="272"/>
    </row>
    <row r="22" spans="2:16">
      <c r="B22" s="195" t="str">
        <f t="shared" si="6"/>
        <v>IU</v>
      </c>
      <c r="C22" s="507">
        <f>IF(D11="","-",+C21+1)</f>
        <v>2014</v>
      </c>
      <c r="D22" s="515">
        <v>34252059.19337979</v>
      </c>
      <c r="E22" s="516">
        <v>879249</v>
      </c>
      <c r="F22" s="515">
        <v>33372810.19337979</v>
      </c>
      <c r="G22" s="516">
        <v>5381591.7849194687</v>
      </c>
      <c r="H22" s="510">
        <v>5381591.7849194687</v>
      </c>
      <c r="I22" s="511">
        <v>0</v>
      </c>
      <c r="J22" s="511"/>
      <c r="K22" s="518">
        <f t="shared" si="4"/>
        <v>5381591.7849194687</v>
      </c>
      <c r="L22" s="519">
        <f t="shared" si="7"/>
        <v>0</v>
      </c>
      <c r="M22" s="518">
        <f t="shared" si="5"/>
        <v>5381591.7849194687</v>
      </c>
      <c r="N22" s="514">
        <f t="shared" si="8"/>
        <v>0</v>
      </c>
      <c r="O22" s="514">
        <f t="shared" si="3"/>
        <v>0</v>
      </c>
      <c r="P22" s="272"/>
    </row>
    <row r="23" spans="2:16">
      <c r="B23" s="195" t="str">
        <f t="shared" si="6"/>
        <v>IU</v>
      </c>
      <c r="C23" s="507">
        <f>IF(D11="","-",+C22+1)</f>
        <v>2015</v>
      </c>
      <c r="D23" s="515">
        <v>33472977.19337979</v>
      </c>
      <c r="E23" s="516">
        <v>881633.92857142852</v>
      </c>
      <c r="F23" s="515">
        <v>32591343.26480836</v>
      </c>
      <c r="G23" s="516">
        <v>5174070.3067745473</v>
      </c>
      <c r="H23" s="510">
        <v>5174070.3067745473</v>
      </c>
      <c r="I23" s="511">
        <v>0</v>
      </c>
      <c r="J23" s="511"/>
      <c r="K23" s="518">
        <f t="shared" si="4"/>
        <v>5174070.3067745473</v>
      </c>
      <c r="L23" s="519">
        <f t="shared" si="7"/>
        <v>0</v>
      </c>
      <c r="M23" s="518">
        <f t="shared" si="5"/>
        <v>5174070.3067745473</v>
      </c>
      <c r="N23" s="514">
        <f t="shared" si="8"/>
        <v>0</v>
      </c>
      <c r="O23" s="514">
        <f>+N23-L23</f>
        <v>0</v>
      </c>
      <c r="P23" s="272"/>
    </row>
    <row r="24" spans="2:16">
      <c r="B24" s="195" t="str">
        <f t="shared" si="6"/>
        <v/>
      </c>
      <c r="C24" s="507">
        <f>IF(D11="","-",+C23+1)</f>
        <v>2016</v>
      </c>
      <c r="D24" s="515">
        <v>32591343.26480836</v>
      </c>
      <c r="E24" s="516">
        <v>881633.92857142852</v>
      </c>
      <c r="F24" s="515">
        <v>31709709.336236931</v>
      </c>
      <c r="G24" s="516">
        <v>5006432.1268862924</v>
      </c>
      <c r="H24" s="510">
        <v>5006432.1268862924</v>
      </c>
      <c r="I24" s="511">
        <f t="shared" si="0"/>
        <v>0</v>
      </c>
      <c r="J24" s="511"/>
      <c r="K24" s="518">
        <f t="shared" ref="K24:K29" si="9">G24</f>
        <v>5006432.1268862924</v>
      </c>
      <c r="L24" s="519">
        <f t="shared" si="7"/>
        <v>0</v>
      </c>
      <c r="M24" s="518">
        <f t="shared" ref="M24:M29" si="10">H24</f>
        <v>5006432.1268862924</v>
      </c>
      <c r="N24" s="514">
        <f t="shared" si="8"/>
        <v>0</v>
      </c>
      <c r="O24" s="514">
        <f>+N24-L24</f>
        <v>0</v>
      </c>
      <c r="P24" s="272"/>
    </row>
    <row r="25" spans="2:16">
      <c r="B25" s="195" t="str">
        <f t="shared" si="6"/>
        <v/>
      </c>
      <c r="C25" s="507">
        <f>IF(D11="","-",+C24+1)</f>
        <v>2017</v>
      </c>
      <c r="D25" s="515">
        <v>31709709.336236931</v>
      </c>
      <c r="E25" s="516">
        <v>861130.81395348837</v>
      </c>
      <c r="F25" s="515">
        <v>30848578.522283442</v>
      </c>
      <c r="G25" s="516">
        <v>4736383.2047020355</v>
      </c>
      <c r="H25" s="510">
        <v>4736383.2047020355</v>
      </c>
      <c r="I25" s="511">
        <f t="shared" si="0"/>
        <v>0</v>
      </c>
      <c r="J25" s="511"/>
      <c r="K25" s="518">
        <f t="shared" si="9"/>
        <v>4736383.2047020355</v>
      </c>
      <c r="L25" s="519">
        <f t="shared" si="7"/>
        <v>0</v>
      </c>
      <c r="M25" s="518">
        <f t="shared" si="10"/>
        <v>4736383.2047020355</v>
      </c>
      <c r="N25" s="514">
        <f t="shared" si="8"/>
        <v>0</v>
      </c>
      <c r="O25" s="514">
        <f>+N25-L25</f>
        <v>0</v>
      </c>
      <c r="P25" s="272"/>
    </row>
    <row r="26" spans="2:16">
      <c r="B26" s="195" t="str">
        <f t="shared" si="6"/>
        <v/>
      </c>
      <c r="C26" s="507">
        <f>IF(D11="","-",+C25+1)</f>
        <v>2018</v>
      </c>
      <c r="D26" s="515">
        <v>30848578.522283442</v>
      </c>
      <c r="E26" s="516">
        <v>903137.19512195117</v>
      </c>
      <c r="F26" s="515">
        <v>29945441.327161491</v>
      </c>
      <c r="G26" s="516">
        <v>4766417.7816179106</v>
      </c>
      <c r="H26" s="510">
        <v>4766417.7816179106</v>
      </c>
      <c r="I26" s="511">
        <f t="shared" si="0"/>
        <v>0</v>
      </c>
      <c r="J26" s="511"/>
      <c r="K26" s="518">
        <f t="shared" si="9"/>
        <v>4766417.7816179106</v>
      </c>
      <c r="L26" s="519">
        <f t="shared" si="7"/>
        <v>0</v>
      </c>
      <c r="M26" s="518">
        <f t="shared" si="10"/>
        <v>4766417.7816179106</v>
      </c>
      <c r="N26" s="514">
        <f t="shared" si="8"/>
        <v>0</v>
      </c>
      <c r="O26" s="514">
        <f>+N26-L26</f>
        <v>0</v>
      </c>
      <c r="P26" s="272"/>
    </row>
    <row r="27" spans="2:16">
      <c r="B27" s="195" t="str">
        <f t="shared" si="6"/>
        <v/>
      </c>
      <c r="C27" s="507">
        <f>IF(D11="","-",+C26+1)</f>
        <v>2019</v>
      </c>
      <c r="D27" s="515">
        <v>29945441.327161491</v>
      </c>
      <c r="E27" s="516">
        <v>903137.19512195117</v>
      </c>
      <c r="F27" s="515">
        <v>29042304.13203954</v>
      </c>
      <c r="G27" s="516">
        <v>4651634.3735952908</v>
      </c>
      <c r="H27" s="510">
        <v>4651634.3735952908</v>
      </c>
      <c r="I27" s="511">
        <f t="shared" si="0"/>
        <v>0</v>
      </c>
      <c r="J27" s="511"/>
      <c r="K27" s="518">
        <f t="shared" si="9"/>
        <v>4651634.3735952908</v>
      </c>
      <c r="L27" s="519">
        <f t="shared" ref="L27" si="11">IF(K27&lt;&gt;0,+G27-K27,0)</f>
        <v>0</v>
      </c>
      <c r="M27" s="518">
        <f t="shared" si="10"/>
        <v>4651634.3735952908</v>
      </c>
      <c r="N27" s="514">
        <f t="shared" si="2"/>
        <v>0</v>
      </c>
      <c r="O27" s="514">
        <f t="shared" si="3"/>
        <v>0</v>
      </c>
      <c r="P27" s="272"/>
    </row>
    <row r="28" spans="2:16">
      <c r="B28" s="195" t="str">
        <f t="shared" si="6"/>
        <v/>
      </c>
      <c r="C28" s="507">
        <f>IF(D11="","-",+C27+1)</f>
        <v>2020</v>
      </c>
      <c r="D28" s="515">
        <v>29042304.13203954</v>
      </c>
      <c r="E28" s="516">
        <v>903137.19512195117</v>
      </c>
      <c r="F28" s="515">
        <v>28139166.936917588</v>
      </c>
      <c r="G28" s="516">
        <v>3828983.1330273524</v>
      </c>
      <c r="H28" s="510">
        <v>3828983.1330273524</v>
      </c>
      <c r="I28" s="511">
        <f t="shared" si="0"/>
        <v>0</v>
      </c>
      <c r="J28" s="511"/>
      <c r="K28" s="518">
        <f t="shared" si="9"/>
        <v>3828983.1330273524</v>
      </c>
      <c r="L28" s="519">
        <f t="shared" ref="L28" si="12">IF(K28&lt;&gt;0,+G28-K28,0)</f>
        <v>0</v>
      </c>
      <c r="M28" s="518">
        <f t="shared" si="10"/>
        <v>3828983.1330273524</v>
      </c>
      <c r="N28" s="514">
        <f t="shared" si="2"/>
        <v>0</v>
      </c>
      <c r="O28" s="514">
        <f t="shared" si="3"/>
        <v>0</v>
      </c>
      <c r="P28" s="272"/>
    </row>
    <row r="29" spans="2:16">
      <c r="B29" s="195" t="str">
        <f t="shared" si="6"/>
        <v>IU</v>
      </c>
      <c r="C29" s="507">
        <f>IF(D11="","-",+C28+1)</f>
        <v>2021</v>
      </c>
      <c r="D29" s="515">
        <v>28181173.318086058</v>
      </c>
      <c r="E29" s="516">
        <v>881633.92857142852</v>
      </c>
      <c r="F29" s="515">
        <v>27299539.389514629</v>
      </c>
      <c r="G29" s="516">
        <v>3822237.7831762447</v>
      </c>
      <c r="H29" s="510">
        <v>3822237.7831762447</v>
      </c>
      <c r="I29" s="511">
        <f t="shared" si="0"/>
        <v>0</v>
      </c>
      <c r="J29" s="511"/>
      <c r="K29" s="518">
        <f t="shared" si="9"/>
        <v>3822237.7831762447</v>
      </c>
      <c r="L29" s="519">
        <f t="shared" ref="L29" si="13">IF(K29&lt;&gt;0,+G29-K29,0)</f>
        <v>0</v>
      </c>
      <c r="M29" s="518">
        <f t="shared" si="10"/>
        <v>3822237.7831762447</v>
      </c>
      <c r="N29" s="514">
        <f t="shared" si="2"/>
        <v>0</v>
      </c>
      <c r="O29" s="514">
        <f t="shared" si="3"/>
        <v>0</v>
      </c>
      <c r="P29" s="272"/>
    </row>
    <row r="30" spans="2:16">
      <c r="B30" s="195" t="str">
        <f t="shared" si="6"/>
        <v>IU</v>
      </c>
      <c r="C30" s="507">
        <f>IF(D11="","-",+C29+1)</f>
        <v>2022</v>
      </c>
      <c r="D30" s="515">
        <v>27257533.008346163</v>
      </c>
      <c r="E30" s="516">
        <v>881633.92857142852</v>
      </c>
      <c r="F30" s="515">
        <v>26375899.079774734</v>
      </c>
      <c r="G30" s="516">
        <v>3897015.3455155501</v>
      </c>
      <c r="H30" s="510">
        <v>3897015.3455155501</v>
      </c>
      <c r="I30" s="511">
        <f t="shared" si="0"/>
        <v>0</v>
      </c>
      <c r="J30" s="511"/>
      <c r="K30" s="518">
        <f t="shared" ref="K30" si="14">G30</f>
        <v>3897015.3455155501</v>
      </c>
      <c r="L30" s="519">
        <f t="shared" ref="L30" si="15">IF(K30&lt;&gt;0,+G30-K30,0)</f>
        <v>0</v>
      </c>
      <c r="M30" s="518">
        <f t="shared" ref="M30" si="16">H30</f>
        <v>3897015.3455155501</v>
      </c>
      <c r="N30" s="514">
        <f t="shared" si="2"/>
        <v>0</v>
      </c>
      <c r="O30" s="514">
        <f t="shared" si="3"/>
        <v>0</v>
      </c>
      <c r="P30" s="272"/>
    </row>
    <row r="31" spans="2:16">
      <c r="B31" s="195" t="str">
        <f t="shared" si="6"/>
        <v/>
      </c>
      <c r="C31" s="507">
        <f>IF(D11="","-",+C30+1)</f>
        <v>2023</v>
      </c>
      <c r="D31" s="515">
        <v>26375899.079774734</v>
      </c>
      <c r="E31" s="516">
        <v>881633.92857142852</v>
      </c>
      <c r="F31" s="515">
        <v>25494265.151203305</v>
      </c>
      <c r="G31" s="516">
        <v>4157929.5482090265</v>
      </c>
      <c r="H31" s="510">
        <v>4157929.5482090265</v>
      </c>
      <c r="I31" s="511">
        <f t="shared" si="0"/>
        <v>0</v>
      </c>
      <c r="J31" s="511"/>
      <c r="K31" s="518">
        <f t="shared" ref="K31" si="17">G31</f>
        <v>4157929.5482090265</v>
      </c>
      <c r="L31" s="519">
        <f t="shared" ref="L31" si="18">IF(K31&lt;&gt;0,+G31-K31,0)</f>
        <v>0</v>
      </c>
      <c r="M31" s="518">
        <f t="shared" ref="M31" si="19">H31</f>
        <v>4157929.5482090265</v>
      </c>
      <c r="N31" s="514">
        <f t="shared" ref="N31" si="20">IF(M31&lt;&gt;0,+H31-M31,0)</f>
        <v>0</v>
      </c>
      <c r="O31" s="514">
        <f t="shared" ref="O31" si="21">+N31-L31</f>
        <v>0</v>
      </c>
      <c r="P31" s="272"/>
    </row>
    <row r="32" spans="2:16">
      <c r="B32" s="195" t="str">
        <f t="shared" si="6"/>
        <v/>
      </c>
      <c r="C32" s="673">
        <f>IF(D11="","-",+C31+1)</f>
        <v>2024</v>
      </c>
      <c r="D32" s="523">
        <f>IF(F31+SUM(E$17:E31)=D$10,F31,D$10-SUM(E$17:E31))</f>
        <v>25494265.151203305</v>
      </c>
      <c r="E32" s="522">
        <f>IF(+I14&lt;F31,I14,D32)</f>
        <v>841559.65909090906</v>
      </c>
      <c r="F32" s="523">
        <f t="shared" ref="F32:F48" si="22">+D32-E32</f>
        <v>24652705.492112394</v>
      </c>
      <c r="G32" s="524">
        <f t="shared" ref="G32:G72" si="23">+I$12*((D32+F32)/2)+E32</f>
        <v>3838521.4401582326</v>
      </c>
      <c r="H32" s="491">
        <f t="shared" ref="H32:H72" si="24">+I$13*((D32+F32)/2)+E32</f>
        <v>3838521.4401582326</v>
      </c>
      <c r="I32" s="511">
        <f t="shared" si="0"/>
        <v>0</v>
      </c>
      <c r="J32" s="511"/>
      <c r="K32" s="525"/>
      <c r="L32" s="514">
        <f t="shared" si="1"/>
        <v>0</v>
      </c>
      <c r="M32" s="525"/>
      <c r="N32" s="514">
        <f t="shared" si="2"/>
        <v>0</v>
      </c>
      <c r="O32" s="514">
        <f t="shared" si="3"/>
        <v>0</v>
      </c>
      <c r="P32" s="272"/>
    </row>
    <row r="33" spans="2:16">
      <c r="B33" s="195" t="str">
        <f t="shared" si="6"/>
        <v/>
      </c>
      <c r="C33" s="507">
        <f>IF(D11="","-",+C32+1)</f>
        <v>2025</v>
      </c>
      <c r="D33" s="523">
        <f>IF(F32+SUM(E$17:E32)=D$10,F32,D$10-SUM(E$17:E32))</f>
        <v>24652705.492112394</v>
      </c>
      <c r="E33" s="522">
        <f>IF(+I14&lt;F32,I14,D33)</f>
        <v>841559.65909090906</v>
      </c>
      <c r="F33" s="523">
        <f t="shared" si="22"/>
        <v>23811145.833021484</v>
      </c>
      <c r="G33" s="524">
        <f t="shared" si="23"/>
        <v>3737932.2279913477</v>
      </c>
      <c r="H33" s="491">
        <f t="shared" si="24"/>
        <v>3737932.2279913477</v>
      </c>
      <c r="I33" s="511">
        <f t="shared" si="0"/>
        <v>0</v>
      </c>
      <c r="J33" s="511"/>
      <c r="K33" s="525"/>
      <c r="L33" s="514">
        <f t="shared" si="1"/>
        <v>0</v>
      </c>
      <c r="M33" s="525"/>
      <c r="N33" s="514">
        <f t="shared" si="2"/>
        <v>0</v>
      </c>
      <c r="O33" s="514">
        <f t="shared" si="3"/>
        <v>0</v>
      </c>
      <c r="P33" s="272"/>
    </row>
    <row r="34" spans="2:16">
      <c r="B34" s="195" t="str">
        <f t="shared" si="6"/>
        <v/>
      </c>
      <c r="C34" s="507">
        <f>IF(D11="","-",+C33+1)</f>
        <v>2026</v>
      </c>
      <c r="D34" s="523">
        <f>IF(F33+SUM(E$17:E33)=D$10,F33,D$10-SUM(E$17:E33))</f>
        <v>23811145.833021484</v>
      </c>
      <c r="E34" s="522">
        <f>IF(+I14&lt;F33,I14,D34)</f>
        <v>841559.65909090906</v>
      </c>
      <c r="F34" s="523">
        <f t="shared" si="22"/>
        <v>22969586.173930574</v>
      </c>
      <c r="G34" s="524">
        <f t="shared" si="23"/>
        <v>3637343.0158244637</v>
      </c>
      <c r="H34" s="491">
        <f t="shared" si="24"/>
        <v>3637343.0158244637</v>
      </c>
      <c r="I34" s="511">
        <f t="shared" si="0"/>
        <v>0</v>
      </c>
      <c r="J34" s="511"/>
      <c r="K34" s="525"/>
      <c r="L34" s="514">
        <f t="shared" si="1"/>
        <v>0</v>
      </c>
      <c r="M34" s="525"/>
      <c r="N34" s="514">
        <f t="shared" si="2"/>
        <v>0</v>
      </c>
      <c r="O34" s="514">
        <f t="shared" si="3"/>
        <v>0</v>
      </c>
      <c r="P34" s="272"/>
    </row>
    <row r="35" spans="2:16">
      <c r="B35" s="195" t="str">
        <f t="shared" si="6"/>
        <v/>
      </c>
      <c r="C35" s="507">
        <f>IF(D11="","-",+C34+1)</f>
        <v>2027</v>
      </c>
      <c r="D35" s="523">
        <f>IF(F34+SUM(E$17:E34)=D$10,F34,D$10-SUM(E$17:E34))</f>
        <v>22969586.173930574</v>
      </c>
      <c r="E35" s="522">
        <f>IF(+I14&lt;F34,I14,D35)</f>
        <v>841559.65909090906</v>
      </c>
      <c r="F35" s="523">
        <f t="shared" si="22"/>
        <v>22128026.514839664</v>
      </c>
      <c r="G35" s="524">
        <f t="shared" si="23"/>
        <v>3536753.8036575788</v>
      </c>
      <c r="H35" s="491">
        <f t="shared" si="24"/>
        <v>3536753.8036575788</v>
      </c>
      <c r="I35" s="511">
        <f t="shared" si="0"/>
        <v>0</v>
      </c>
      <c r="J35" s="511"/>
      <c r="K35" s="525"/>
      <c r="L35" s="514">
        <f t="shared" si="1"/>
        <v>0</v>
      </c>
      <c r="M35" s="525"/>
      <c r="N35" s="514">
        <f t="shared" si="2"/>
        <v>0</v>
      </c>
      <c r="O35" s="514">
        <f t="shared" si="3"/>
        <v>0</v>
      </c>
      <c r="P35" s="272"/>
    </row>
    <row r="36" spans="2:16">
      <c r="B36" s="195" t="str">
        <f t="shared" si="6"/>
        <v/>
      </c>
      <c r="C36" s="507">
        <f>IF(D11="","-",+C35+1)</f>
        <v>2028</v>
      </c>
      <c r="D36" s="523">
        <f>IF(F35+SUM(E$17:E35)=D$10,F35,D$10-SUM(E$17:E35))</f>
        <v>22128026.514839664</v>
      </c>
      <c r="E36" s="522">
        <f>IF(+I14&lt;F35,I14,D36)</f>
        <v>841559.65909090906</v>
      </c>
      <c r="F36" s="523">
        <f t="shared" si="22"/>
        <v>21286466.855748754</v>
      </c>
      <c r="G36" s="524">
        <f t="shared" si="23"/>
        <v>3436164.5914906948</v>
      </c>
      <c r="H36" s="491">
        <f t="shared" si="24"/>
        <v>3436164.5914906948</v>
      </c>
      <c r="I36" s="511">
        <f t="shared" si="0"/>
        <v>0</v>
      </c>
      <c r="J36" s="511"/>
      <c r="K36" s="525"/>
      <c r="L36" s="514">
        <f t="shared" si="1"/>
        <v>0</v>
      </c>
      <c r="M36" s="525"/>
      <c r="N36" s="514">
        <f t="shared" si="2"/>
        <v>0</v>
      </c>
      <c r="O36" s="514">
        <f t="shared" si="3"/>
        <v>0</v>
      </c>
      <c r="P36" s="272"/>
    </row>
    <row r="37" spans="2:16">
      <c r="B37" s="195" t="str">
        <f t="shared" si="6"/>
        <v/>
      </c>
      <c r="C37" s="507">
        <f>IF(D11="","-",+C36+1)</f>
        <v>2029</v>
      </c>
      <c r="D37" s="523">
        <f>IF(F36+SUM(E$17:E36)=D$10,F36,D$10-SUM(E$17:E36))</f>
        <v>21286466.855748754</v>
      </c>
      <c r="E37" s="522">
        <f>IF(+I14&lt;F36,I14,D37)</f>
        <v>841559.65909090906</v>
      </c>
      <c r="F37" s="523">
        <f t="shared" si="22"/>
        <v>20444907.196657844</v>
      </c>
      <c r="G37" s="524">
        <f t="shared" si="23"/>
        <v>3335575.3793238099</v>
      </c>
      <c r="H37" s="491">
        <f t="shared" si="24"/>
        <v>3335575.3793238099</v>
      </c>
      <c r="I37" s="511">
        <f t="shared" si="0"/>
        <v>0</v>
      </c>
      <c r="J37" s="511"/>
      <c r="K37" s="525"/>
      <c r="L37" s="514">
        <f t="shared" si="1"/>
        <v>0</v>
      </c>
      <c r="M37" s="525"/>
      <c r="N37" s="514">
        <f t="shared" si="2"/>
        <v>0</v>
      </c>
      <c r="O37" s="514">
        <f t="shared" si="3"/>
        <v>0</v>
      </c>
      <c r="P37" s="272"/>
    </row>
    <row r="38" spans="2:16">
      <c r="B38" s="195" t="str">
        <f t="shared" si="6"/>
        <v/>
      </c>
      <c r="C38" s="507">
        <f>IF(D11="","-",+C37+1)</f>
        <v>2030</v>
      </c>
      <c r="D38" s="523">
        <f>IF(F37+SUM(E$17:E37)=D$10,F37,D$10-SUM(E$17:E37))</f>
        <v>20444907.196657844</v>
      </c>
      <c r="E38" s="522">
        <f>IF(+I14&lt;F37,I14,D38)</f>
        <v>841559.65909090906</v>
      </c>
      <c r="F38" s="523">
        <f t="shared" si="22"/>
        <v>19603347.537566934</v>
      </c>
      <c r="G38" s="524">
        <f t="shared" si="23"/>
        <v>3234986.1671569259</v>
      </c>
      <c r="H38" s="491">
        <f t="shared" si="24"/>
        <v>3234986.1671569259</v>
      </c>
      <c r="I38" s="511">
        <f t="shared" si="0"/>
        <v>0</v>
      </c>
      <c r="J38" s="511"/>
      <c r="K38" s="525"/>
      <c r="L38" s="514">
        <f t="shared" si="1"/>
        <v>0</v>
      </c>
      <c r="M38" s="525"/>
      <c r="N38" s="514">
        <f t="shared" si="2"/>
        <v>0</v>
      </c>
      <c r="O38" s="514">
        <f t="shared" si="3"/>
        <v>0</v>
      </c>
      <c r="P38" s="272"/>
    </row>
    <row r="39" spans="2:16">
      <c r="B39" s="195" t="str">
        <f t="shared" si="6"/>
        <v/>
      </c>
      <c r="C39" s="507">
        <f>IF(D11="","-",+C38+1)</f>
        <v>2031</v>
      </c>
      <c r="D39" s="523">
        <f>IF(F38+SUM(E$17:E38)=D$10,F38,D$10-SUM(E$17:E38))</f>
        <v>19603347.537566934</v>
      </c>
      <c r="E39" s="522">
        <f>IF(+I14&lt;F38,I14,D39)</f>
        <v>841559.65909090906</v>
      </c>
      <c r="F39" s="523">
        <f t="shared" si="22"/>
        <v>18761787.878476024</v>
      </c>
      <c r="G39" s="524">
        <f t="shared" si="23"/>
        <v>3134396.9549900414</v>
      </c>
      <c r="H39" s="491">
        <f t="shared" si="24"/>
        <v>3134396.9549900414</v>
      </c>
      <c r="I39" s="511">
        <f t="shared" si="0"/>
        <v>0</v>
      </c>
      <c r="J39" s="511"/>
      <c r="K39" s="525"/>
      <c r="L39" s="514">
        <f t="shared" si="1"/>
        <v>0</v>
      </c>
      <c r="M39" s="525"/>
      <c r="N39" s="514">
        <f t="shared" si="2"/>
        <v>0</v>
      </c>
      <c r="O39" s="514">
        <f t="shared" si="3"/>
        <v>0</v>
      </c>
      <c r="P39" s="272"/>
    </row>
    <row r="40" spans="2:16">
      <c r="B40" s="195" t="str">
        <f t="shared" si="6"/>
        <v/>
      </c>
      <c r="C40" s="507">
        <f>IF(D11="","-",+C39+1)</f>
        <v>2032</v>
      </c>
      <c r="D40" s="523">
        <f>IF(F39+SUM(E$17:E39)=D$10,F39,D$10-SUM(E$17:E39))</f>
        <v>18761787.878476024</v>
      </c>
      <c r="E40" s="522">
        <f>IF(+I14&lt;F39,I14,D40)</f>
        <v>841559.65909090906</v>
      </c>
      <c r="F40" s="523">
        <f t="shared" si="22"/>
        <v>17920228.219385114</v>
      </c>
      <c r="G40" s="524">
        <f t="shared" si="23"/>
        <v>3033807.7428231575</v>
      </c>
      <c r="H40" s="491">
        <f t="shared" si="24"/>
        <v>3033807.7428231575</v>
      </c>
      <c r="I40" s="511">
        <f t="shared" si="0"/>
        <v>0</v>
      </c>
      <c r="J40" s="511"/>
      <c r="K40" s="525"/>
      <c r="L40" s="514">
        <f t="shared" si="1"/>
        <v>0</v>
      </c>
      <c r="M40" s="525"/>
      <c r="N40" s="514">
        <f t="shared" si="2"/>
        <v>0</v>
      </c>
      <c r="O40" s="514">
        <f t="shared" si="3"/>
        <v>0</v>
      </c>
      <c r="P40" s="272"/>
    </row>
    <row r="41" spans="2:16">
      <c r="B41" s="195" t="str">
        <f t="shared" si="6"/>
        <v/>
      </c>
      <c r="C41" s="507">
        <f>IF(D11="","-",+C40+1)</f>
        <v>2033</v>
      </c>
      <c r="D41" s="523">
        <f>IF(F40+SUM(E$17:E40)=D$10,F40,D$10-SUM(E$17:E40))</f>
        <v>17920228.219385114</v>
      </c>
      <c r="E41" s="522">
        <f>IF(+I14&lt;F40,I14,D41)</f>
        <v>841559.65909090906</v>
      </c>
      <c r="F41" s="523">
        <f t="shared" si="22"/>
        <v>17078668.560294203</v>
      </c>
      <c r="G41" s="524">
        <f t="shared" si="23"/>
        <v>2933218.5306562721</v>
      </c>
      <c r="H41" s="491">
        <f t="shared" si="24"/>
        <v>2933218.5306562721</v>
      </c>
      <c r="I41" s="511">
        <f t="shared" si="0"/>
        <v>0</v>
      </c>
      <c r="J41" s="511"/>
      <c r="K41" s="525"/>
      <c r="L41" s="514">
        <f t="shared" si="1"/>
        <v>0</v>
      </c>
      <c r="M41" s="525"/>
      <c r="N41" s="514">
        <f t="shared" si="2"/>
        <v>0</v>
      </c>
      <c r="O41" s="514">
        <f t="shared" si="3"/>
        <v>0</v>
      </c>
      <c r="P41" s="272"/>
    </row>
    <row r="42" spans="2:16">
      <c r="B42" s="195" t="str">
        <f t="shared" si="6"/>
        <v/>
      </c>
      <c r="C42" s="507">
        <f>IF(D11="","-",+C41+1)</f>
        <v>2034</v>
      </c>
      <c r="D42" s="523">
        <f>IF(F41+SUM(E$17:E41)=D$10,F41,D$10-SUM(E$17:E41))</f>
        <v>17078668.560294203</v>
      </c>
      <c r="E42" s="522">
        <f>IF(+I14&lt;F41,I14,D42)</f>
        <v>841559.65909090906</v>
      </c>
      <c r="F42" s="523">
        <f t="shared" si="22"/>
        <v>16237108.901203295</v>
      </c>
      <c r="G42" s="524">
        <f t="shared" si="23"/>
        <v>2832629.3184893886</v>
      </c>
      <c r="H42" s="491">
        <f t="shared" si="24"/>
        <v>2832629.3184893886</v>
      </c>
      <c r="I42" s="511">
        <f t="shared" si="0"/>
        <v>0</v>
      </c>
      <c r="J42" s="511"/>
      <c r="K42" s="525"/>
      <c r="L42" s="514">
        <f t="shared" si="1"/>
        <v>0</v>
      </c>
      <c r="M42" s="525"/>
      <c r="N42" s="514">
        <f t="shared" si="2"/>
        <v>0</v>
      </c>
      <c r="O42" s="514">
        <f t="shared" si="3"/>
        <v>0</v>
      </c>
      <c r="P42" s="272"/>
    </row>
    <row r="43" spans="2:16">
      <c r="B43" s="195" t="str">
        <f t="shared" si="6"/>
        <v/>
      </c>
      <c r="C43" s="507">
        <f>IF(D11="","-",+C42+1)</f>
        <v>2035</v>
      </c>
      <c r="D43" s="523">
        <f>IF(F42+SUM(E$17:E42)=D$10,F42,D$10-SUM(E$17:E42))</f>
        <v>16237108.901203295</v>
      </c>
      <c r="E43" s="522">
        <f>IF(+I14&lt;F42,I14,D43)</f>
        <v>841559.65909090906</v>
      </c>
      <c r="F43" s="523">
        <f t="shared" si="22"/>
        <v>15395549.242112387</v>
      </c>
      <c r="G43" s="524">
        <f t="shared" si="23"/>
        <v>2732040.1063225041</v>
      </c>
      <c r="H43" s="491">
        <f t="shared" si="24"/>
        <v>2732040.1063225041</v>
      </c>
      <c r="I43" s="511">
        <f t="shared" si="0"/>
        <v>0</v>
      </c>
      <c r="J43" s="511"/>
      <c r="K43" s="525"/>
      <c r="L43" s="514">
        <f t="shared" si="1"/>
        <v>0</v>
      </c>
      <c r="M43" s="525"/>
      <c r="N43" s="514">
        <f t="shared" si="2"/>
        <v>0</v>
      </c>
      <c r="O43" s="514">
        <f t="shared" si="3"/>
        <v>0</v>
      </c>
      <c r="P43" s="272"/>
    </row>
    <row r="44" spans="2:16">
      <c r="B44" s="195" t="str">
        <f t="shared" si="6"/>
        <v/>
      </c>
      <c r="C44" s="507">
        <f>IF(D11="","-",+C43+1)</f>
        <v>2036</v>
      </c>
      <c r="D44" s="523">
        <f>IF(F43+SUM(E$17:E43)=D$10,F43,D$10-SUM(E$17:E43))</f>
        <v>15395549.242112387</v>
      </c>
      <c r="E44" s="522">
        <f>IF(+I14&lt;F43,I14,D44)</f>
        <v>841559.65909090906</v>
      </c>
      <c r="F44" s="523">
        <f t="shared" si="22"/>
        <v>14553989.583021479</v>
      </c>
      <c r="G44" s="524">
        <f t="shared" si="23"/>
        <v>2631450.8941556201</v>
      </c>
      <c r="H44" s="491">
        <f t="shared" si="24"/>
        <v>2631450.8941556201</v>
      </c>
      <c r="I44" s="511">
        <f t="shared" si="0"/>
        <v>0</v>
      </c>
      <c r="J44" s="511"/>
      <c r="K44" s="525"/>
      <c r="L44" s="514">
        <f t="shared" si="1"/>
        <v>0</v>
      </c>
      <c r="M44" s="525"/>
      <c r="N44" s="514">
        <f t="shared" si="2"/>
        <v>0</v>
      </c>
      <c r="O44" s="514">
        <f t="shared" si="3"/>
        <v>0</v>
      </c>
      <c r="P44" s="272"/>
    </row>
    <row r="45" spans="2:16">
      <c r="B45" s="195" t="str">
        <f t="shared" si="6"/>
        <v/>
      </c>
      <c r="C45" s="507">
        <f>IF(D11="","-",+C44+1)</f>
        <v>2037</v>
      </c>
      <c r="D45" s="523">
        <f>IF(F44+SUM(E$17:E44)=D$10,F44,D$10-SUM(E$17:E44))</f>
        <v>14553989.583021479</v>
      </c>
      <c r="E45" s="522">
        <f>IF(+I14&lt;F44,I14,D45)</f>
        <v>841559.65909090906</v>
      </c>
      <c r="F45" s="523">
        <f t="shared" si="22"/>
        <v>13712429.92393057</v>
      </c>
      <c r="G45" s="524">
        <f t="shared" si="23"/>
        <v>2530861.6819887357</v>
      </c>
      <c r="H45" s="491">
        <f t="shared" si="24"/>
        <v>2530861.6819887357</v>
      </c>
      <c r="I45" s="511">
        <f t="shared" si="0"/>
        <v>0</v>
      </c>
      <c r="J45" s="511"/>
      <c r="K45" s="525"/>
      <c r="L45" s="514">
        <f t="shared" si="1"/>
        <v>0</v>
      </c>
      <c r="M45" s="525"/>
      <c r="N45" s="514">
        <f t="shared" si="2"/>
        <v>0</v>
      </c>
      <c r="O45" s="514">
        <f t="shared" si="3"/>
        <v>0</v>
      </c>
      <c r="P45" s="272"/>
    </row>
    <row r="46" spans="2:16">
      <c r="B46" s="195" t="str">
        <f t="shared" si="6"/>
        <v/>
      </c>
      <c r="C46" s="507">
        <f>IF(D11="","-",+C45+1)</f>
        <v>2038</v>
      </c>
      <c r="D46" s="523">
        <f>IF(F45+SUM(E$17:E45)=D$10,F45,D$10-SUM(E$17:E45))</f>
        <v>13712429.92393057</v>
      </c>
      <c r="E46" s="522">
        <f>IF(+I14&lt;F45,I14,D46)</f>
        <v>841559.65909090906</v>
      </c>
      <c r="F46" s="523">
        <f t="shared" si="22"/>
        <v>12870870.264839662</v>
      </c>
      <c r="G46" s="524">
        <f t="shared" si="23"/>
        <v>2430272.4698218517</v>
      </c>
      <c r="H46" s="491">
        <f t="shared" si="24"/>
        <v>2430272.4698218517</v>
      </c>
      <c r="I46" s="511">
        <f t="shared" si="0"/>
        <v>0</v>
      </c>
      <c r="J46" s="511"/>
      <c r="K46" s="525"/>
      <c r="L46" s="514">
        <f t="shared" si="1"/>
        <v>0</v>
      </c>
      <c r="M46" s="525"/>
      <c r="N46" s="514">
        <f t="shared" si="2"/>
        <v>0</v>
      </c>
      <c r="O46" s="514">
        <f t="shared" si="3"/>
        <v>0</v>
      </c>
      <c r="P46" s="272"/>
    </row>
    <row r="47" spans="2:16">
      <c r="B47" s="195" t="str">
        <f t="shared" si="6"/>
        <v/>
      </c>
      <c r="C47" s="507">
        <f>IF(D11="","-",+C46+1)</f>
        <v>2039</v>
      </c>
      <c r="D47" s="523">
        <f>IF(F46+SUM(E$17:E46)=D$10,F46,D$10-SUM(E$17:E46))</f>
        <v>12870870.264839662</v>
      </c>
      <c r="E47" s="522">
        <f>IF(+I14&lt;F46,I14,D47)</f>
        <v>841559.65909090906</v>
      </c>
      <c r="F47" s="523">
        <f t="shared" si="22"/>
        <v>12029310.605748754</v>
      </c>
      <c r="G47" s="524">
        <f t="shared" si="23"/>
        <v>2329683.2576549673</v>
      </c>
      <c r="H47" s="491">
        <f t="shared" si="24"/>
        <v>2329683.2576549673</v>
      </c>
      <c r="I47" s="511">
        <f t="shared" si="0"/>
        <v>0</v>
      </c>
      <c r="J47" s="511"/>
      <c r="K47" s="525"/>
      <c r="L47" s="514">
        <f t="shared" si="1"/>
        <v>0</v>
      </c>
      <c r="M47" s="525"/>
      <c r="N47" s="514">
        <f t="shared" si="2"/>
        <v>0</v>
      </c>
      <c r="O47" s="514">
        <f t="shared" si="3"/>
        <v>0</v>
      </c>
      <c r="P47" s="272"/>
    </row>
    <row r="48" spans="2:16">
      <c r="B48" s="195" t="str">
        <f t="shared" si="6"/>
        <v/>
      </c>
      <c r="C48" s="507">
        <f>IF(D11="","-",+C47+1)</f>
        <v>2040</v>
      </c>
      <c r="D48" s="523">
        <f>IF(F47+SUM(E$17:E47)=D$10,F47,D$10-SUM(E$17:E47))</f>
        <v>12029310.605748754</v>
      </c>
      <c r="E48" s="522">
        <f>IF(+I14&lt;F47,I14,D48)</f>
        <v>841559.65909090906</v>
      </c>
      <c r="F48" s="523">
        <f t="shared" si="22"/>
        <v>11187750.946657846</v>
      </c>
      <c r="G48" s="524">
        <f t="shared" si="23"/>
        <v>2229094.0454880833</v>
      </c>
      <c r="H48" s="491">
        <f t="shared" si="24"/>
        <v>2229094.0454880833</v>
      </c>
      <c r="I48" s="511">
        <f t="shared" si="0"/>
        <v>0</v>
      </c>
      <c r="J48" s="511"/>
      <c r="K48" s="525"/>
      <c r="L48" s="514">
        <f t="shared" si="1"/>
        <v>0</v>
      </c>
      <c r="M48" s="525"/>
      <c r="N48" s="514">
        <f t="shared" si="2"/>
        <v>0</v>
      </c>
      <c r="O48" s="514">
        <f t="shared" si="3"/>
        <v>0</v>
      </c>
      <c r="P48" s="272"/>
    </row>
    <row r="49" spans="2:17">
      <c r="B49" s="195" t="str">
        <f t="shared" si="6"/>
        <v/>
      </c>
      <c r="C49" s="507">
        <f>IF(D11="","-",+C48+1)</f>
        <v>2041</v>
      </c>
      <c r="D49" s="523">
        <f>IF(F48+SUM(E$17:E48)=D$10,F48,D$10-SUM(E$17:E48))</f>
        <v>11187750.946657846</v>
      </c>
      <c r="E49" s="522">
        <f>IF(+I14&lt;F48,I14,D49)</f>
        <v>841559.65909090906</v>
      </c>
      <c r="F49" s="523">
        <f t="shared" ref="F49:F72" si="25">+D49-E49</f>
        <v>10346191.287566938</v>
      </c>
      <c r="G49" s="524">
        <f t="shared" si="23"/>
        <v>2128504.8333211988</v>
      </c>
      <c r="H49" s="491">
        <f t="shared" si="24"/>
        <v>2128504.8333211988</v>
      </c>
      <c r="I49" s="511">
        <f t="shared" ref="I49:I72" si="26">H49-G49</f>
        <v>0</v>
      </c>
      <c r="J49" s="511"/>
      <c r="K49" s="525"/>
      <c r="L49" s="514">
        <f t="shared" ref="L49:L72" si="27">IF(K49&lt;&gt;0,+G49-K49,0)</f>
        <v>0</v>
      </c>
      <c r="M49" s="525"/>
      <c r="N49" s="514">
        <f t="shared" ref="N49:N72" si="28">IF(M49&lt;&gt;0,+H49-M49,0)</f>
        <v>0</v>
      </c>
      <c r="O49" s="514">
        <f t="shared" ref="O49:O72" si="29">+N49-L49</f>
        <v>0</v>
      </c>
      <c r="P49" s="272"/>
    </row>
    <row r="50" spans="2:17">
      <c r="B50" s="195" t="str">
        <f t="shared" si="6"/>
        <v/>
      </c>
      <c r="C50" s="507">
        <f>IF(D11="","-",+C49+1)</f>
        <v>2042</v>
      </c>
      <c r="D50" s="523">
        <f>IF(F49+SUM(E$17:E49)=D$10,F49,D$10-SUM(E$17:E49))</f>
        <v>10346191.287566938</v>
      </c>
      <c r="E50" s="522">
        <f>IF(+I14&lt;F49,I14,D50)</f>
        <v>841559.65909090906</v>
      </c>
      <c r="F50" s="523">
        <f t="shared" si="25"/>
        <v>9504631.6284760293</v>
      </c>
      <c r="G50" s="524">
        <f t="shared" si="23"/>
        <v>2027915.6211543148</v>
      </c>
      <c r="H50" s="491">
        <f t="shared" si="24"/>
        <v>2027915.6211543148</v>
      </c>
      <c r="I50" s="511">
        <f t="shared" si="26"/>
        <v>0</v>
      </c>
      <c r="J50" s="511"/>
      <c r="K50" s="525"/>
      <c r="L50" s="514">
        <f t="shared" si="27"/>
        <v>0</v>
      </c>
      <c r="M50" s="525"/>
      <c r="N50" s="514">
        <f t="shared" si="28"/>
        <v>0</v>
      </c>
      <c r="O50" s="514">
        <f t="shared" si="29"/>
        <v>0</v>
      </c>
      <c r="P50" s="272"/>
    </row>
    <row r="51" spans="2:17">
      <c r="B51" s="195" t="str">
        <f t="shared" si="6"/>
        <v/>
      </c>
      <c r="C51" s="507">
        <f>IF(D11="","-",+C50+1)</f>
        <v>2043</v>
      </c>
      <c r="D51" s="523">
        <f>IF(F50+SUM(E$17:E50)=D$10,F50,D$10-SUM(E$17:E50))</f>
        <v>9504631.6284760293</v>
      </c>
      <c r="E51" s="522">
        <f>IF(+I14&lt;F50,I14,D51)</f>
        <v>841559.65909090906</v>
      </c>
      <c r="F51" s="523">
        <f t="shared" si="25"/>
        <v>8663071.969385121</v>
      </c>
      <c r="G51" s="524">
        <f t="shared" si="23"/>
        <v>1927326.4089874304</v>
      </c>
      <c r="H51" s="491">
        <f t="shared" si="24"/>
        <v>1927326.4089874304</v>
      </c>
      <c r="I51" s="511">
        <f t="shared" si="26"/>
        <v>0</v>
      </c>
      <c r="J51" s="511"/>
      <c r="K51" s="525"/>
      <c r="L51" s="514">
        <f t="shared" si="27"/>
        <v>0</v>
      </c>
      <c r="M51" s="525"/>
      <c r="N51" s="514">
        <f t="shared" si="28"/>
        <v>0</v>
      </c>
      <c r="O51" s="514">
        <f t="shared" si="29"/>
        <v>0</v>
      </c>
      <c r="P51" s="272"/>
    </row>
    <row r="52" spans="2:17">
      <c r="B52" s="195" t="str">
        <f t="shared" si="6"/>
        <v/>
      </c>
      <c r="C52" s="507">
        <f>IF(D11="","-",+C51+1)</f>
        <v>2044</v>
      </c>
      <c r="D52" s="523">
        <f>IF(F51+SUM(E$17:E51)=D$10,F51,D$10-SUM(E$17:E51))</f>
        <v>8663071.969385121</v>
      </c>
      <c r="E52" s="522">
        <f>IF(+I14&lt;F51,I14,D52)</f>
        <v>841559.65909090906</v>
      </c>
      <c r="F52" s="523">
        <f t="shared" si="25"/>
        <v>7821512.3102942118</v>
      </c>
      <c r="G52" s="524">
        <f t="shared" si="23"/>
        <v>1826737.1968205464</v>
      </c>
      <c r="H52" s="491">
        <f t="shared" si="24"/>
        <v>1826737.1968205464</v>
      </c>
      <c r="I52" s="511">
        <f t="shared" si="26"/>
        <v>0</v>
      </c>
      <c r="J52" s="511"/>
      <c r="K52" s="525"/>
      <c r="L52" s="514">
        <f t="shared" si="27"/>
        <v>0</v>
      </c>
      <c r="M52" s="525"/>
      <c r="N52" s="514">
        <f t="shared" si="28"/>
        <v>0</v>
      </c>
      <c r="O52" s="514">
        <f t="shared" si="29"/>
        <v>0</v>
      </c>
      <c r="P52" s="272"/>
    </row>
    <row r="53" spans="2:17">
      <c r="B53" s="195" t="str">
        <f t="shared" si="6"/>
        <v/>
      </c>
      <c r="C53" s="507">
        <f>IF(D11="","-",+C52+1)</f>
        <v>2045</v>
      </c>
      <c r="D53" s="523">
        <f>IF(F52+SUM(E$17:E52)=D$10,F52,D$10-SUM(E$17:E52))</f>
        <v>7821512.3102942118</v>
      </c>
      <c r="E53" s="522">
        <f>IF(+I14&lt;F52,I14,D53)</f>
        <v>841559.65909090906</v>
      </c>
      <c r="F53" s="523">
        <f t="shared" si="25"/>
        <v>6979952.6512033027</v>
      </c>
      <c r="G53" s="524">
        <f t="shared" si="23"/>
        <v>1726147.9846536622</v>
      </c>
      <c r="H53" s="491">
        <f t="shared" si="24"/>
        <v>1726147.9846536622</v>
      </c>
      <c r="I53" s="511">
        <f t="shared" si="26"/>
        <v>0</v>
      </c>
      <c r="J53" s="511"/>
      <c r="K53" s="525"/>
      <c r="L53" s="514">
        <f t="shared" si="27"/>
        <v>0</v>
      </c>
      <c r="M53" s="525"/>
      <c r="N53" s="514">
        <f t="shared" si="28"/>
        <v>0</v>
      </c>
      <c r="O53" s="514">
        <f t="shared" si="29"/>
        <v>0</v>
      </c>
      <c r="P53" s="272"/>
    </row>
    <row r="54" spans="2:17">
      <c r="B54" s="195" t="str">
        <f t="shared" si="6"/>
        <v/>
      </c>
      <c r="C54" s="507">
        <f>IF(D11="","-",+C53+1)</f>
        <v>2046</v>
      </c>
      <c r="D54" s="523">
        <f>IF(F53+SUM(E$17:E53)=D$10,F53,D$10-SUM(E$17:E53))</f>
        <v>6979952.6512033027</v>
      </c>
      <c r="E54" s="522">
        <f>IF(+I14&lt;F53,I14,D54)</f>
        <v>841559.65909090906</v>
      </c>
      <c r="F54" s="523">
        <f t="shared" si="25"/>
        <v>6138392.9921123935</v>
      </c>
      <c r="G54" s="524">
        <f t="shared" si="23"/>
        <v>1625558.7724867777</v>
      </c>
      <c r="H54" s="491">
        <f t="shared" si="24"/>
        <v>1625558.7724867777</v>
      </c>
      <c r="I54" s="511">
        <f t="shared" si="26"/>
        <v>0</v>
      </c>
      <c r="J54" s="511"/>
      <c r="K54" s="525"/>
      <c r="L54" s="514">
        <f t="shared" si="27"/>
        <v>0</v>
      </c>
      <c r="M54" s="525"/>
      <c r="N54" s="514">
        <f t="shared" si="28"/>
        <v>0</v>
      </c>
      <c r="O54" s="514">
        <f t="shared" si="29"/>
        <v>0</v>
      </c>
      <c r="P54" s="272"/>
    </row>
    <row r="55" spans="2:17">
      <c r="B55" s="195" t="str">
        <f t="shared" si="6"/>
        <v/>
      </c>
      <c r="C55" s="507">
        <f>IF(D11="","-",+C54+1)</f>
        <v>2047</v>
      </c>
      <c r="D55" s="523">
        <f>IF(F54+SUM(E$17:E54)=D$10,F54,D$10-SUM(E$17:E54))</f>
        <v>6138392.9921123935</v>
      </c>
      <c r="E55" s="522">
        <f>IF(+I14&lt;F54,I14,D55)</f>
        <v>841559.65909090906</v>
      </c>
      <c r="F55" s="523">
        <f t="shared" si="25"/>
        <v>5296833.3330214843</v>
      </c>
      <c r="G55" s="524">
        <f t="shared" si="23"/>
        <v>1524969.5603198935</v>
      </c>
      <c r="H55" s="491">
        <f t="shared" si="24"/>
        <v>1524969.5603198935</v>
      </c>
      <c r="I55" s="511">
        <f t="shared" si="26"/>
        <v>0</v>
      </c>
      <c r="J55" s="511"/>
      <c r="K55" s="525"/>
      <c r="L55" s="514">
        <f t="shared" si="27"/>
        <v>0</v>
      </c>
      <c r="M55" s="525"/>
      <c r="N55" s="514">
        <f t="shared" si="28"/>
        <v>0</v>
      </c>
      <c r="O55" s="514">
        <f t="shared" si="29"/>
        <v>0</v>
      </c>
      <c r="P55" s="272"/>
    </row>
    <row r="56" spans="2:17">
      <c r="B56" s="195" t="str">
        <f t="shared" si="6"/>
        <v/>
      </c>
      <c r="C56" s="507">
        <f>IF(D11="","-",+C55+1)</f>
        <v>2048</v>
      </c>
      <c r="D56" s="523">
        <f>IF(F55+SUM(E$17:E55)=D$10,F55,D$10-SUM(E$17:E55))</f>
        <v>5296833.3330214843</v>
      </c>
      <c r="E56" s="522">
        <f>IF(+I14&lt;F55,I14,D56)</f>
        <v>841559.65909090906</v>
      </c>
      <c r="F56" s="523">
        <f t="shared" si="25"/>
        <v>4455273.6739305751</v>
      </c>
      <c r="G56" s="524">
        <f t="shared" si="23"/>
        <v>1424380.3481530091</v>
      </c>
      <c r="H56" s="491">
        <f t="shared" si="24"/>
        <v>1424380.3481530091</v>
      </c>
      <c r="I56" s="511">
        <f t="shared" si="26"/>
        <v>0</v>
      </c>
      <c r="J56" s="511"/>
      <c r="K56" s="525"/>
      <c r="L56" s="514">
        <f t="shared" si="27"/>
        <v>0</v>
      </c>
      <c r="M56" s="525"/>
      <c r="N56" s="514">
        <f t="shared" si="28"/>
        <v>0</v>
      </c>
      <c r="O56" s="514">
        <f t="shared" si="29"/>
        <v>0</v>
      </c>
      <c r="P56" s="272"/>
    </row>
    <row r="57" spans="2:17">
      <c r="B57" s="195" t="str">
        <f t="shared" si="6"/>
        <v/>
      </c>
      <c r="C57" s="507">
        <f>IF(D11="","-",+C56+1)</f>
        <v>2049</v>
      </c>
      <c r="D57" s="523">
        <f>IF(F56+SUM(E$17:E56)=D$10,F56,D$10-SUM(E$17:E56))</f>
        <v>4455273.6739305751</v>
      </c>
      <c r="E57" s="522">
        <f>IF(+I14&lt;F56,I14,D57)</f>
        <v>841559.65909090906</v>
      </c>
      <c r="F57" s="523">
        <f t="shared" si="25"/>
        <v>3613714.014839666</v>
      </c>
      <c r="G57" s="524">
        <f t="shared" si="23"/>
        <v>1323791.1359861251</v>
      </c>
      <c r="H57" s="491">
        <f t="shared" si="24"/>
        <v>1323791.1359861251</v>
      </c>
      <c r="I57" s="511">
        <f t="shared" si="26"/>
        <v>0</v>
      </c>
      <c r="J57" s="511"/>
      <c r="K57" s="525"/>
      <c r="L57" s="514">
        <f t="shared" si="27"/>
        <v>0</v>
      </c>
      <c r="M57" s="525"/>
      <c r="N57" s="514">
        <f t="shared" si="28"/>
        <v>0</v>
      </c>
      <c r="O57" s="514">
        <f t="shared" si="29"/>
        <v>0</v>
      </c>
      <c r="P57" s="272"/>
    </row>
    <row r="58" spans="2:17">
      <c r="B58" s="195" t="str">
        <f t="shared" si="6"/>
        <v/>
      </c>
      <c r="C58" s="507">
        <f>IF(D11="","-",+C57+1)</f>
        <v>2050</v>
      </c>
      <c r="D58" s="523">
        <f>IF(F57+SUM(E$17:E57)=D$10,F57,D$10-SUM(E$17:E57))</f>
        <v>3613714.014839666</v>
      </c>
      <c r="E58" s="522">
        <f>IF(+I14&lt;F57,I14,D58)</f>
        <v>841559.65909090906</v>
      </c>
      <c r="F58" s="523">
        <f t="shared" si="25"/>
        <v>2772154.3557487568</v>
      </c>
      <c r="G58" s="524">
        <f t="shared" si="23"/>
        <v>1223201.9238192406</v>
      </c>
      <c r="H58" s="491">
        <f t="shared" si="24"/>
        <v>1223201.9238192406</v>
      </c>
      <c r="I58" s="511">
        <f t="shared" si="26"/>
        <v>0</v>
      </c>
      <c r="J58" s="511"/>
      <c r="K58" s="525"/>
      <c r="L58" s="514">
        <f t="shared" si="27"/>
        <v>0</v>
      </c>
      <c r="M58" s="525"/>
      <c r="N58" s="514">
        <f t="shared" si="28"/>
        <v>0</v>
      </c>
      <c r="O58" s="514">
        <f t="shared" si="29"/>
        <v>0</v>
      </c>
      <c r="P58" s="272"/>
      <c r="Q58" s="183" t="str">
        <f>IF(ROUND(Q57,0)=ROUND(SUM(Q18:Q56),0),"","Error -- check allocations above).")</f>
        <v/>
      </c>
    </row>
    <row r="59" spans="2:17">
      <c r="B59" s="195" t="str">
        <f t="shared" si="6"/>
        <v/>
      </c>
      <c r="C59" s="507">
        <f>IF(D11="","-",+C58+1)</f>
        <v>2051</v>
      </c>
      <c r="D59" s="523">
        <f>IF(F58+SUM(E$17:E58)=D$10,F58,D$10-SUM(E$17:E58))</f>
        <v>2772154.3557487568</v>
      </c>
      <c r="E59" s="522">
        <f>IF(+I14&lt;F58,I14,D59)</f>
        <v>841559.65909090906</v>
      </c>
      <c r="F59" s="523">
        <f t="shared" si="25"/>
        <v>1930594.6966578476</v>
      </c>
      <c r="G59" s="524">
        <f t="shared" si="23"/>
        <v>1122612.7116523564</v>
      </c>
      <c r="H59" s="491">
        <f t="shared" si="24"/>
        <v>1122612.7116523564</v>
      </c>
      <c r="I59" s="511">
        <f t="shared" si="26"/>
        <v>0</v>
      </c>
      <c r="J59" s="511"/>
      <c r="K59" s="525"/>
      <c r="L59" s="514">
        <f t="shared" si="27"/>
        <v>0</v>
      </c>
      <c r="M59" s="525"/>
      <c r="N59" s="514">
        <f t="shared" si="28"/>
        <v>0</v>
      </c>
      <c r="O59" s="514">
        <f t="shared" si="29"/>
        <v>0</v>
      </c>
      <c r="P59" s="272"/>
    </row>
    <row r="60" spans="2:17">
      <c r="B60" s="195" t="str">
        <f t="shared" si="6"/>
        <v/>
      </c>
      <c r="C60" s="507">
        <f>IF(D11="","-",+C59+1)</f>
        <v>2052</v>
      </c>
      <c r="D60" s="523">
        <f>IF(F59+SUM(E$17:E59)=D$10,F59,D$10-SUM(E$17:E59))</f>
        <v>1930594.6966578476</v>
      </c>
      <c r="E60" s="522">
        <f>IF(+I14&lt;F59,I14,D60)</f>
        <v>841559.65909090906</v>
      </c>
      <c r="F60" s="523">
        <f t="shared" si="25"/>
        <v>1089035.0375669384</v>
      </c>
      <c r="G60" s="524">
        <f t="shared" si="23"/>
        <v>1022023.4994854721</v>
      </c>
      <c r="H60" s="491">
        <f t="shared" si="24"/>
        <v>1022023.4994854721</v>
      </c>
      <c r="I60" s="511">
        <f t="shared" si="26"/>
        <v>0</v>
      </c>
      <c r="J60" s="511"/>
      <c r="K60" s="525"/>
      <c r="L60" s="514">
        <f t="shared" si="27"/>
        <v>0</v>
      </c>
      <c r="M60" s="525"/>
      <c r="N60" s="514">
        <f t="shared" si="28"/>
        <v>0</v>
      </c>
      <c r="O60" s="514">
        <f t="shared" si="29"/>
        <v>0</v>
      </c>
      <c r="P60" s="272"/>
    </row>
    <row r="61" spans="2:17">
      <c r="B61" s="195" t="str">
        <f t="shared" si="6"/>
        <v/>
      </c>
      <c r="C61" s="507">
        <f>IF(D11="","-",+C60+1)</f>
        <v>2053</v>
      </c>
      <c r="D61" s="523">
        <f>IF(F60+SUM(E$17:E60)=D$10,F60,D$10-SUM(E$17:E60))</f>
        <v>1089035.0375669384</v>
      </c>
      <c r="E61" s="522">
        <f>IF(+I14&lt;F60,I14,D61)</f>
        <v>841559.65909090906</v>
      </c>
      <c r="F61" s="523">
        <f t="shared" si="25"/>
        <v>247475.37847602938</v>
      </c>
      <c r="G61" s="526">
        <f t="shared" si="23"/>
        <v>921434.28731858777</v>
      </c>
      <c r="H61" s="491">
        <f t="shared" si="24"/>
        <v>921434.28731858777</v>
      </c>
      <c r="I61" s="511">
        <f t="shared" si="26"/>
        <v>0</v>
      </c>
      <c r="J61" s="511"/>
      <c r="K61" s="525"/>
      <c r="L61" s="514">
        <f t="shared" si="27"/>
        <v>0</v>
      </c>
      <c r="M61" s="525"/>
      <c r="N61" s="514">
        <f t="shared" si="28"/>
        <v>0</v>
      </c>
      <c r="O61" s="514">
        <f t="shared" si="29"/>
        <v>0</v>
      </c>
      <c r="P61" s="272"/>
    </row>
    <row r="62" spans="2:17">
      <c r="B62" s="195" t="str">
        <f t="shared" si="6"/>
        <v/>
      </c>
      <c r="C62" s="507">
        <f>IF(D11="","-",+C61+1)</f>
        <v>2054</v>
      </c>
      <c r="D62" s="523">
        <f>IF(F61+SUM(E$17:E61)=D$10,F61,D$10-SUM(E$17:E61))</f>
        <v>247475.37847602938</v>
      </c>
      <c r="E62" s="522">
        <f>IF(+I14&lt;F61,I14,D62)</f>
        <v>247475.37847602938</v>
      </c>
      <c r="F62" s="523">
        <f t="shared" si="25"/>
        <v>0</v>
      </c>
      <c r="G62" s="526">
        <f t="shared" si="23"/>
        <v>262265.38954814768</v>
      </c>
      <c r="H62" s="491">
        <f t="shared" si="24"/>
        <v>262265.38954814768</v>
      </c>
      <c r="I62" s="511">
        <f t="shared" si="26"/>
        <v>0</v>
      </c>
      <c r="J62" s="511"/>
      <c r="K62" s="525"/>
      <c r="L62" s="514">
        <f t="shared" si="27"/>
        <v>0</v>
      </c>
      <c r="M62" s="525"/>
      <c r="N62" s="514">
        <f t="shared" si="28"/>
        <v>0</v>
      </c>
      <c r="O62" s="514">
        <f t="shared" si="29"/>
        <v>0</v>
      </c>
      <c r="P62" s="272"/>
    </row>
    <row r="63" spans="2:17">
      <c r="B63" s="195" t="str">
        <f t="shared" si="6"/>
        <v/>
      </c>
      <c r="C63" s="507">
        <f>IF(D11="","-",+C62+1)</f>
        <v>2055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25"/>
        <v>0</v>
      </c>
      <c r="G63" s="526">
        <f t="shared" si="23"/>
        <v>0</v>
      </c>
      <c r="H63" s="491">
        <f t="shared" si="24"/>
        <v>0</v>
      </c>
      <c r="I63" s="511">
        <f t="shared" si="26"/>
        <v>0</v>
      </c>
      <c r="J63" s="511"/>
      <c r="K63" s="525"/>
      <c r="L63" s="514">
        <f t="shared" si="27"/>
        <v>0</v>
      </c>
      <c r="M63" s="525"/>
      <c r="N63" s="514">
        <f t="shared" si="28"/>
        <v>0</v>
      </c>
      <c r="O63" s="514">
        <f t="shared" si="29"/>
        <v>0</v>
      </c>
      <c r="P63" s="272"/>
    </row>
    <row r="64" spans="2:17">
      <c r="B64" s="195" t="str">
        <f t="shared" si="6"/>
        <v/>
      </c>
      <c r="C64" s="507">
        <f>IF(D11="","-",+C63+1)</f>
        <v>2056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25"/>
        <v>0</v>
      </c>
      <c r="G64" s="526">
        <f t="shared" si="23"/>
        <v>0</v>
      </c>
      <c r="H64" s="491">
        <f t="shared" si="24"/>
        <v>0</v>
      </c>
      <c r="I64" s="511">
        <f t="shared" si="26"/>
        <v>0</v>
      </c>
      <c r="J64" s="511"/>
      <c r="K64" s="525"/>
      <c r="L64" s="514">
        <f t="shared" si="27"/>
        <v>0</v>
      </c>
      <c r="M64" s="525"/>
      <c r="N64" s="514">
        <f t="shared" si="28"/>
        <v>0</v>
      </c>
      <c r="O64" s="514">
        <f t="shared" si="29"/>
        <v>0</v>
      </c>
      <c r="P64" s="272"/>
    </row>
    <row r="65" spans="1:16">
      <c r="B65" s="195" t="str">
        <f t="shared" si="6"/>
        <v/>
      </c>
      <c r="C65" s="507">
        <f>IF(D11="","-",+C64+1)</f>
        <v>2057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25"/>
        <v>0</v>
      </c>
      <c r="G65" s="526">
        <f t="shared" si="23"/>
        <v>0</v>
      </c>
      <c r="H65" s="491">
        <f t="shared" si="24"/>
        <v>0</v>
      </c>
      <c r="I65" s="511">
        <f t="shared" si="26"/>
        <v>0</v>
      </c>
      <c r="J65" s="511"/>
      <c r="K65" s="525"/>
      <c r="L65" s="514">
        <f t="shared" si="27"/>
        <v>0</v>
      </c>
      <c r="M65" s="525"/>
      <c r="N65" s="514">
        <f t="shared" si="28"/>
        <v>0</v>
      </c>
      <c r="O65" s="514">
        <f t="shared" si="29"/>
        <v>0</v>
      </c>
      <c r="P65" s="272"/>
    </row>
    <row r="66" spans="1:16">
      <c r="B66" s="195" t="str">
        <f t="shared" si="6"/>
        <v/>
      </c>
      <c r="C66" s="507">
        <f>IF(D11="","-",+C65+1)</f>
        <v>2058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25"/>
        <v>0</v>
      </c>
      <c r="G66" s="526">
        <f t="shared" si="23"/>
        <v>0</v>
      </c>
      <c r="H66" s="491">
        <f t="shared" si="24"/>
        <v>0</v>
      </c>
      <c r="I66" s="511">
        <f t="shared" si="26"/>
        <v>0</v>
      </c>
      <c r="J66" s="511"/>
      <c r="K66" s="525"/>
      <c r="L66" s="514">
        <f t="shared" si="27"/>
        <v>0</v>
      </c>
      <c r="M66" s="525"/>
      <c r="N66" s="514">
        <f t="shared" si="28"/>
        <v>0</v>
      </c>
      <c r="O66" s="514">
        <f t="shared" si="29"/>
        <v>0</v>
      </c>
      <c r="P66" s="272"/>
    </row>
    <row r="67" spans="1:16">
      <c r="B67" s="195" t="str">
        <f t="shared" si="6"/>
        <v/>
      </c>
      <c r="C67" s="507">
        <f>IF(D11="","-",+C66+1)</f>
        <v>2059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25"/>
        <v>0</v>
      </c>
      <c r="G67" s="526">
        <f t="shared" si="23"/>
        <v>0</v>
      </c>
      <c r="H67" s="491">
        <f t="shared" si="24"/>
        <v>0</v>
      </c>
      <c r="I67" s="511">
        <f t="shared" si="26"/>
        <v>0</v>
      </c>
      <c r="J67" s="511"/>
      <c r="K67" s="525"/>
      <c r="L67" s="514">
        <f t="shared" si="27"/>
        <v>0</v>
      </c>
      <c r="M67" s="525"/>
      <c r="N67" s="514">
        <f t="shared" si="28"/>
        <v>0</v>
      </c>
      <c r="O67" s="514">
        <f t="shared" si="29"/>
        <v>0</v>
      </c>
      <c r="P67" s="272"/>
    </row>
    <row r="68" spans="1:16">
      <c r="B68" s="195" t="str">
        <f t="shared" si="6"/>
        <v/>
      </c>
      <c r="C68" s="507">
        <f>IF(D11="","-",+C67+1)</f>
        <v>2060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25"/>
        <v>0</v>
      </c>
      <c r="G68" s="526">
        <f t="shared" si="23"/>
        <v>0</v>
      </c>
      <c r="H68" s="491">
        <f t="shared" si="24"/>
        <v>0</v>
      </c>
      <c r="I68" s="511">
        <f t="shared" si="26"/>
        <v>0</v>
      </c>
      <c r="J68" s="511"/>
      <c r="K68" s="525"/>
      <c r="L68" s="514">
        <f t="shared" si="27"/>
        <v>0</v>
      </c>
      <c r="M68" s="525"/>
      <c r="N68" s="514">
        <f t="shared" si="28"/>
        <v>0</v>
      </c>
      <c r="O68" s="514">
        <f t="shared" si="29"/>
        <v>0</v>
      </c>
      <c r="P68" s="272"/>
    </row>
    <row r="69" spans="1:16">
      <c r="B69" s="195" t="str">
        <f t="shared" si="6"/>
        <v/>
      </c>
      <c r="C69" s="507">
        <f>IF(D11="","-",+C68+1)</f>
        <v>2061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25"/>
        <v>0</v>
      </c>
      <c r="G69" s="526">
        <f t="shared" si="23"/>
        <v>0</v>
      </c>
      <c r="H69" s="491">
        <f t="shared" si="24"/>
        <v>0</v>
      </c>
      <c r="I69" s="511">
        <f t="shared" si="26"/>
        <v>0</v>
      </c>
      <c r="J69" s="511"/>
      <c r="K69" s="525"/>
      <c r="L69" s="514">
        <f t="shared" si="27"/>
        <v>0</v>
      </c>
      <c r="M69" s="525"/>
      <c r="N69" s="514">
        <f t="shared" si="28"/>
        <v>0</v>
      </c>
      <c r="O69" s="514">
        <f t="shared" si="29"/>
        <v>0</v>
      </c>
      <c r="P69" s="272"/>
    </row>
    <row r="70" spans="1:16">
      <c r="B70" s="195" t="str">
        <f t="shared" si="6"/>
        <v/>
      </c>
      <c r="C70" s="507">
        <f>IF(D11="","-",+C69+1)</f>
        <v>2062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25"/>
        <v>0</v>
      </c>
      <c r="G70" s="526">
        <f t="shared" si="23"/>
        <v>0</v>
      </c>
      <c r="H70" s="491">
        <f t="shared" si="24"/>
        <v>0</v>
      </c>
      <c r="I70" s="511">
        <f t="shared" si="26"/>
        <v>0</v>
      </c>
      <c r="J70" s="511"/>
      <c r="K70" s="525"/>
      <c r="L70" s="514">
        <f t="shared" si="27"/>
        <v>0</v>
      </c>
      <c r="M70" s="525"/>
      <c r="N70" s="514">
        <f t="shared" si="28"/>
        <v>0</v>
      </c>
      <c r="O70" s="514">
        <f t="shared" si="29"/>
        <v>0</v>
      </c>
      <c r="P70" s="272"/>
    </row>
    <row r="71" spans="1:16">
      <c r="B71" s="195" t="str">
        <f t="shared" si="6"/>
        <v/>
      </c>
      <c r="C71" s="507">
        <f>IF(D11="","-",+C70+1)</f>
        <v>2063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25"/>
        <v>0</v>
      </c>
      <c r="G71" s="526">
        <f t="shared" si="23"/>
        <v>0</v>
      </c>
      <c r="H71" s="491">
        <f t="shared" si="24"/>
        <v>0</v>
      </c>
      <c r="I71" s="511">
        <f t="shared" si="26"/>
        <v>0</v>
      </c>
      <c r="J71" s="511"/>
      <c r="K71" s="525"/>
      <c r="L71" s="514">
        <f t="shared" si="27"/>
        <v>0</v>
      </c>
      <c r="M71" s="525"/>
      <c r="N71" s="514">
        <f t="shared" si="28"/>
        <v>0</v>
      </c>
      <c r="O71" s="514">
        <f t="shared" si="29"/>
        <v>0</v>
      </c>
      <c r="P71" s="272"/>
    </row>
    <row r="72" spans="1:16" ht="13.5" thickBot="1">
      <c r="B72" s="195" t="str">
        <f t="shared" si="6"/>
        <v/>
      </c>
      <c r="C72" s="527">
        <f>IF(D11="","-",+C71+1)</f>
        <v>2064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25"/>
        <v>0</v>
      </c>
      <c r="G72" s="530">
        <f t="shared" si="23"/>
        <v>0</v>
      </c>
      <c r="H72" s="471">
        <f t="shared" si="24"/>
        <v>0</v>
      </c>
      <c r="I72" s="531">
        <f t="shared" si="26"/>
        <v>0</v>
      </c>
      <c r="J72" s="511"/>
      <c r="K72" s="532"/>
      <c r="L72" s="533">
        <f t="shared" si="27"/>
        <v>0</v>
      </c>
      <c r="M72" s="532"/>
      <c r="N72" s="533">
        <f t="shared" si="28"/>
        <v>0</v>
      </c>
      <c r="O72" s="533">
        <f t="shared" si="29"/>
        <v>0</v>
      </c>
      <c r="P72" s="272"/>
    </row>
    <row r="73" spans="1:16">
      <c r="C73" s="374" t="s">
        <v>78</v>
      </c>
      <c r="D73" s="375"/>
      <c r="E73" s="375">
        <f>SUM(E17:E72)</f>
        <v>37028625.000000007</v>
      </c>
      <c r="F73" s="375"/>
      <c r="G73" s="375">
        <f>SUM(G17:G72)</f>
        <v>135334227.20656395</v>
      </c>
      <c r="H73" s="375">
        <f>SUM(H17:H72)</f>
        <v>135334227.20656395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1:16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1:16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1:16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1:16" ht="18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535"/>
      <c r="P77" s="272"/>
    </row>
    <row r="78" spans="1:16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1:16" ht="15">
      <c r="A79" s="536"/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</row>
    <row r="80" spans="1:16" ht="18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7">
      <c r="B81" s="269"/>
      <c r="C81" s="537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7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  <c r="Q82" s="269"/>
    </row>
    <row r="83" spans="1:17" ht="20.25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535" t="str">
        <f ca="1">P1</f>
        <v>SWEPCO Project 6 of 75</v>
      </c>
      <c r="Q83" s="269"/>
    </row>
    <row r="84" spans="1:17" ht="18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454" t="s">
        <v>128</v>
      </c>
      <c r="Q84" s="269"/>
    </row>
    <row r="85" spans="1:17" ht="18.7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  <c r="Q85" s="269"/>
    </row>
    <row r="86" spans="1:17" ht="15.75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2022</v>
      </c>
      <c r="M86" s="541" t="s">
        <v>9</v>
      </c>
      <c r="N86" s="542" t="s">
        <v>159</v>
      </c>
      <c r="O86" s="543" t="s">
        <v>11</v>
      </c>
      <c r="P86" s="269"/>
      <c r="Q86" s="269"/>
    </row>
    <row r="87" spans="1:17" ht="1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391</v>
      </c>
      <c r="M87" s="546">
        <f>IF(J92&lt;D11,0,VLOOKUP(J92,C17:O72,9))</f>
        <v>3897015.3455155501</v>
      </c>
      <c r="N87" s="546">
        <f>IF(J92&lt;D11,0,VLOOKUP(J92,C17:O72,11))</f>
        <v>3897015.3455155501</v>
      </c>
      <c r="O87" s="547">
        <f>+N87-M87</f>
        <v>0</v>
      </c>
      <c r="P87" s="269"/>
      <c r="Q87" s="269"/>
    </row>
    <row r="88" spans="1:17" ht="15.7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392</v>
      </c>
      <c r="M88" s="550">
        <f>IF(J92&lt;D11,0,VLOOKUP(J92,C99:P154,6))</f>
        <v>4083189.5235062321</v>
      </c>
      <c r="N88" s="550">
        <f>IF(J92&lt;D11,0,VLOOKUP(J92,C99:P154,7))</f>
        <v>4083189.5235062321</v>
      </c>
      <c r="O88" s="551">
        <f>+N88-M88</f>
        <v>0</v>
      </c>
      <c r="P88" s="269"/>
      <c r="Q88" s="269"/>
    </row>
    <row r="89" spans="1:17" ht="13.5" thickBot="1">
      <c r="C89" s="467" t="s">
        <v>84</v>
      </c>
      <c r="D89" s="552" t="str">
        <f>+D7</f>
        <v>Port Robson-Caplis Line (SW 138 kV Loop -- 2009)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186174.17799068196</v>
      </c>
      <c r="N89" s="555">
        <f>+N88-N87</f>
        <v>186174.17799068196</v>
      </c>
      <c r="O89" s="556">
        <f>+O88-O87</f>
        <v>0</v>
      </c>
      <c r="P89" s="269"/>
      <c r="Q89" s="269"/>
    </row>
    <row r="90" spans="1:17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  <c r="Q90" s="269"/>
    </row>
    <row r="91" spans="1:17" ht="13.5" thickBot="1">
      <c r="A91" s="191"/>
      <c r="C91" s="558" t="s">
        <v>85</v>
      </c>
      <c r="D91" s="559" t="str">
        <f>+D9</f>
        <v>TP2007165</v>
      </c>
      <c r="E91" s="560"/>
      <c r="F91" s="560"/>
      <c r="G91" s="560"/>
      <c r="H91" s="560"/>
      <c r="I91" s="560"/>
      <c r="J91" s="561"/>
      <c r="K91" s="562"/>
      <c r="P91" s="481"/>
      <c r="Q91" s="269"/>
    </row>
    <row r="92" spans="1:17">
      <c r="C92" s="486" t="s">
        <v>51</v>
      </c>
      <c r="D92" s="483">
        <f>D10</f>
        <v>37028625</v>
      </c>
      <c r="E92" s="340" t="s">
        <v>86</v>
      </c>
      <c r="H92" s="484"/>
      <c r="I92" s="484"/>
      <c r="J92" s="485">
        <f>+'SWE.WS.G.BPU.ATRR.True-up'!M16</f>
        <v>2022</v>
      </c>
      <c r="K92" s="480"/>
      <c r="L92" s="375" t="s">
        <v>87</v>
      </c>
      <c r="P92" s="272"/>
      <c r="Q92" s="269"/>
    </row>
    <row r="93" spans="1:17">
      <c r="C93" s="486" t="s">
        <v>54</v>
      </c>
      <c r="D93" s="563">
        <f>IF(D11=I10,"",D11)</f>
        <v>2009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  <c r="Q93" s="269"/>
    </row>
    <row r="94" spans="1:17">
      <c r="C94" s="486" t="s">
        <v>56</v>
      </c>
      <c r="D94" s="564">
        <f>IF(D11=I10,"",D12)</f>
        <v>6</v>
      </c>
      <c r="E94" s="486" t="s">
        <v>57</v>
      </c>
      <c r="F94" s="484"/>
      <c r="G94" s="484"/>
      <c r="J94" s="490">
        <f>'SWE.WS.G.BPU.ATRR.True-up'!$F$81</f>
        <v>0.11351422637179906</v>
      </c>
      <c r="K94" s="425"/>
      <c r="L94" s="183" t="s">
        <v>88</v>
      </c>
      <c r="P94" s="272"/>
      <c r="Q94" s="269"/>
    </row>
    <row r="95" spans="1:17">
      <c r="C95" s="486" t="s">
        <v>59</v>
      </c>
      <c r="D95" s="488">
        <f>'SWE.WS.G.BPU.ATRR.True-up'!F$93</f>
        <v>41</v>
      </c>
      <c r="E95" s="486" t="s">
        <v>60</v>
      </c>
      <c r="F95" s="484"/>
      <c r="G95" s="484"/>
      <c r="J95" s="490">
        <f>IF(H87="",J94,'SWE.WS.G.BPU.ATRR.True-up'!$F$80)</f>
        <v>0.11351422637179906</v>
      </c>
      <c r="K95" s="324"/>
      <c r="L95" s="375" t="s">
        <v>61</v>
      </c>
      <c r="M95" s="324"/>
      <c r="N95" s="324"/>
      <c r="O95" s="324"/>
      <c r="P95" s="272"/>
      <c r="Q95" s="269"/>
    </row>
    <row r="96" spans="1:17" ht="13.5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903137.19512195117</v>
      </c>
      <c r="K96" s="375"/>
      <c r="L96" s="375"/>
      <c r="M96" s="375"/>
      <c r="N96" s="375"/>
      <c r="O96" s="375"/>
      <c r="P96" s="272"/>
      <c r="Q96" s="269"/>
    </row>
    <row r="97" spans="1:17" ht="38.25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388</v>
      </c>
      <c r="I97" s="495" t="s">
        <v>389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  <c r="Q97" s="269"/>
    </row>
    <row r="98" spans="1:17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  <c r="Q98" s="269"/>
    </row>
    <row r="99" spans="1:17">
      <c r="C99" s="507">
        <f>IF(D93= "","-",D93)</f>
        <v>2009</v>
      </c>
      <c r="D99" s="508">
        <v>0</v>
      </c>
      <c r="E99" s="516">
        <v>70250</v>
      </c>
      <c r="F99" s="515">
        <v>5268768</v>
      </c>
      <c r="G99" s="574">
        <v>2634384</v>
      </c>
      <c r="H99" s="575">
        <v>451544</v>
      </c>
      <c r="I99" s="576">
        <v>451544</v>
      </c>
      <c r="J99" s="514">
        <f t="shared" ref="J99:J130" si="30">+I99-H99</f>
        <v>0</v>
      </c>
      <c r="K99" s="514"/>
      <c r="L99" s="512">
        <f t="shared" ref="L99:L104" si="31">H99</f>
        <v>451544</v>
      </c>
      <c r="M99" s="513">
        <f t="shared" ref="M99:M130" si="32">IF(L99&lt;&gt;0,+H99-L99,0)</f>
        <v>0</v>
      </c>
      <c r="N99" s="512">
        <f t="shared" ref="N99:N104" si="33">I99</f>
        <v>451544</v>
      </c>
      <c r="O99" s="513">
        <f t="shared" ref="O99:O130" si="34">IF(N99&lt;&gt;0,+I99-N99,0)</f>
        <v>0</v>
      </c>
      <c r="P99" s="513">
        <f t="shared" ref="P99:P130" si="35">+O99-M99</f>
        <v>0</v>
      </c>
      <c r="Q99" s="269"/>
    </row>
    <row r="100" spans="1:17">
      <c r="B100" s="195" t="str">
        <f>IF(D100=F99,"","IU")</f>
        <v>IU</v>
      </c>
      <c r="C100" s="507">
        <f>IF(D93="","-",+C99+1)</f>
        <v>2010</v>
      </c>
      <c r="D100" s="508">
        <v>5927359</v>
      </c>
      <c r="E100" s="516">
        <v>146283.14634146341</v>
      </c>
      <c r="F100" s="515">
        <v>5781075.8536585364</v>
      </c>
      <c r="G100" s="515">
        <v>5854217.4268292682</v>
      </c>
      <c r="H100" s="516">
        <v>1112732.9651723914</v>
      </c>
      <c r="I100" s="510">
        <v>1112732.9651723914</v>
      </c>
      <c r="J100" s="514">
        <f t="shared" si="30"/>
        <v>0</v>
      </c>
      <c r="K100" s="514"/>
      <c r="L100" s="518">
        <f t="shared" si="31"/>
        <v>1112732.9651723914</v>
      </c>
      <c r="M100" s="519">
        <f t="shared" si="32"/>
        <v>0</v>
      </c>
      <c r="N100" s="518">
        <f t="shared" si="33"/>
        <v>1112732.9651723914</v>
      </c>
      <c r="O100" s="514">
        <f t="shared" si="34"/>
        <v>0</v>
      </c>
      <c r="P100" s="514">
        <f t="shared" si="35"/>
        <v>0</v>
      </c>
      <c r="Q100" s="269"/>
    </row>
    <row r="101" spans="1:17">
      <c r="B101" s="195" t="str">
        <f t="shared" ref="B101:B154" si="36">IF(D101=F100,"","IU")</f>
        <v>IU</v>
      </c>
      <c r="C101" s="507">
        <f>IF(D93="","-",+C100+1)</f>
        <v>2011</v>
      </c>
      <c r="D101" s="508">
        <v>20674238.853658538</v>
      </c>
      <c r="E101" s="516">
        <v>497399.33333333331</v>
      </c>
      <c r="F101" s="515">
        <v>20176839.520325206</v>
      </c>
      <c r="G101" s="515">
        <v>20425539.18699187</v>
      </c>
      <c r="H101" s="516">
        <v>3568989.8996136081</v>
      </c>
      <c r="I101" s="510">
        <v>3568989.8996136081</v>
      </c>
      <c r="J101" s="514">
        <f t="shared" si="30"/>
        <v>0</v>
      </c>
      <c r="K101" s="514"/>
      <c r="L101" s="518">
        <f t="shared" si="31"/>
        <v>3568989.8996136081</v>
      </c>
      <c r="M101" s="519">
        <f t="shared" si="32"/>
        <v>0</v>
      </c>
      <c r="N101" s="518">
        <f t="shared" si="33"/>
        <v>3568989.8996136081</v>
      </c>
      <c r="O101" s="514">
        <f t="shared" si="34"/>
        <v>0</v>
      </c>
      <c r="P101" s="514">
        <f t="shared" si="35"/>
        <v>0</v>
      </c>
      <c r="Q101" s="269"/>
    </row>
    <row r="102" spans="1:17">
      <c r="B102" s="195" t="str">
        <f t="shared" si="36"/>
        <v>IU</v>
      </c>
      <c r="C102" s="507">
        <f>IF(D93="","-",+C101+1)</f>
        <v>2012</v>
      </c>
      <c r="D102" s="508">
        <v>28853944.520325202</v>
      </c>
      <c r="E102" s="516">
        <v>703997.07142857148</v>
      </c>
      <c r="F102" s="515">
        <v>28149947.448896632</v>
      </c>
      <c r="G102" s="515">
        <v>28501945.984610915</v>
      </c>
      <c r="H102" s="516">
        <v>4898170.4869055999</v>
      </c>
      <c r="I102" s="510">
        <v>4898170.4869055999</v>
      </c>
      <c r="J102" s="514">
        <f t="shared" si="30"/>
        <v>0</v>
      </c>
      <c r="K102" s="514"/>
      <c r="L102" s="518">
        <f t="shared" si="31"/>
        <v>4898170.4869055999</v>
      </c>
      <c r="M102" s="519">
        <f t="shared" si="32"/>
        <v>0</v>
      </c>
      <c r="N102" s="518">
        <f t="shared" si="33"/>
        <v>4898170.4869055999</v>
      </c>
      <c r="O102" s="514">
        <f t="shared" si="34"/>
        <v>0</v>
      </c>
      <c r="P102" s="514">
        <f t="shared" si="35"/>
        <v>0</v>
      </c>
      <c r="Q102" s="269"/>
    </row>
    <row r="103" spans="1:17">
      <c r="B103" s="195" t="str">
        <f t="shared" si="36"/>
        <v>IU</v>
      </c>
      <c r="C103" s="507">
        <f>IF(D93="","-",+C102+1)</f>
        <v>2013</v>
      </c>
      <c r="D103" s="508">
        <v>35510528.448896632</v>
      </c>
      <c r="E103" s="516">
        <v>879249</v>
      </c>
      <c r="F103" s="515">
        <v>34631279.448896632</v>
      </c>
      <c r="G103" s="515">
        <v>35070903.948896632</v>
      </c>
      <c r="H103" s="516">
        <v>5624051.2967773527</v>
      </c>
      <c r="I103" s="510">
        <v>5624051.2967773527</v>
      </c>
      <c r="J103" s="514">
        <v>0</v>
      </c>
      <c r="K103" s="514"/>
      <c r="L103" s="518">
        <f t="shared" si="31"/>
        <v>5624051.2967773527</v>
      </c>
      <c r="M103" s="519">
        <f t="shared" ref="M103:M108" si="37">IF(L103&lt;&gt;0,+H103-L103,0)</f>
        <v>0</v>
      </c>
      <c r="N103" s="518">
        <f t="shared" si="33"/>
        <v>5624051.2967773527</v>
      </c>
      <c r="O103" s="514">
        <f t="shared" ref="O103:O108" si="38">IF(N103&lt;&gt;0,+I103-N103,0)</f>
        <v>0</v>
      </c>
      <c r="P103" s="514">
        <f>+O103-M103</f>
        <v>0</v>
      </c>
      <c r="Q103" s="269"/>
    </row>
    <row r="104" spans="1:17">
      <c r="B104" s="195" t="str">
        <f t="shared" si="36"/>
        <v>IU</v>
      </c>
      <c r="C104" s="507">
        <f>IF(D93="","-",+C103+1)</f>
        <v>2014</v>
      </c>
      <c r="D104" s="508">
        <v>34731446.448896632</v>
      </c>
      <c r="E104" s="516">
        <v>881633.92857142852</v>
      </c>
      <c r="F104" s="515">
        <v>33849812.520325206</v>
      </c>
      <c r="G104" s="515">
        <v>34290629.484610915</v>
      </c>
      <c r="H104" s="516">
        <v>5542534.9256215226</v>
      </c>
      <c r="I104" s="510">
        <v>5542534.9256215226</v>
      </c>
      <c r="J104" s="514">
        <v>0</v>
      </c>
      <c r="K104" s="514"/>
      <c r="L104" s="518">
        <f t="shared" si="31"/>
        <v>5542534.9256215226</v>
      </c>
      <c r="M104" s="519">
        <f t="shared" si="37"/>
        <v>0</v>
      </c>
      <c r="N104" s="518">
        <f t="shared" si="33"/>
        <v>5542534.9256215226</v>
      </c>
      <c r="O104" s="514">
        <f t="shared" si="38"/>
        <v>0</v>
      </c>
      <c r="P104" s="514">
        <f>+O104-M104</f>
        <v>0</v>
      </c>
      <c r="Q104" s="269"/>
    </row>
    <row r="105" spans="1:17">
      <c r="B105" s="195" t="str">
        <f t="shared" si="36"/>
        <v/>
      </c>
      <c r="C105" s="507">
        <f>IF(D93="","-",+C104+1)</f>
        <v>2015</v>
      </c>
      <c r="D105" s="508">
        <v>33849812.520325206</v>
      </c>
      <c r="E105" s="516">
        <v>881633.92857142852</v>
      </c>
      <c r="F105" s="515">
        <v>32968178.591753777</v>
      </c>
      <c r="G105" s="515">
        <v>33408995.55603949</v>
      </c>
      <c r="H105" s="516">
        <v>5283899.7839213237</v>
      </c>
      <c r="I105" s="510">
        <v>5283899.7839213237</v>
      </c>
      <c r="J105" s="514">
        <f t="shared" si="30"/>
        <v>0</v>
      </c>
      <c r="K105" s="514"/>
      <c r="L105" s="518">
        <f t="shared" ref="L105:L110" si="39">H105</f>
        <v>5283899.7839213237</v>
      </c>
      <c r="M105" s="519">
        <f t="shared" si="37"/>
        <v>0</v>
      </c>
      <c r="N105" s="518">
        <f t="shared" ref="N105:N110" si="40">I105</f>
        <v>5283899.7839213237</v>
      </c>
      <c r="O105" s="514">
        <f t="shared" si="38"/>
        <v>0</v>
      </c>
      <c r="P105" s="514">
        <f>+O105-M105</f>
        <v>0</v>
      </c>
      <c r="Q105" s="269"/>
    </row>
    <row r="106" spans="1:17">
      <c r="B106" s="195" t="str">
        <f t="shared" si="36"/>
        <v/>
      </c>
      <c r="C106" s="507">
        <f>IF(D93="","-",+C105+1)</f>
        <v>2016</v>
      </c>
      <c r="D106" s="508">
        <v>32968178.591753777</v>
      </c>
      <c r="E106" s="516">
        <v>861130.81395348837</v>
      </c>
      <c r="F106" s="515">
        <v>32107047.777800288</v>
      </c>
      <c r="G106" s="515">
        <v>32537613.184777033</v>
      </c>
      <c r="H106" s="516">
        <v>4991780.4266921831</v>
      </c>
      <c r="I106" s="510">
        <v>4991780.4266921831</v>
      </c>
      <c r="J106" s="514">
        <f t="shared" si="30"/>
        <v>0</v>
      </c>
      <c r="K106" s="514"/>
      <c r="L106" s="518">
        <f t="shared" si="39"/>
        <v>4991780.4266921831</v>
      </c>
      <c r="M106" s="519">
        <f t="shared" si="37"/>
        <v>0</v>
      </c>
      <c r="N106" s="518">
        <f t="shared" si="40"/>
        <v>4991780.4266921831</v>
      </c>
      <c r="O106" s="514">
        <f t="shared" si="38"/>
        <v>0</v>
      </c>
      <c r="P106" s="514">
        <f>+O106-M106</f>
        <v>0</v>
      </c>
      <c r="Q106" s="269"/>
    </row>
    <row r="107" spans="1:17">
      <c r="B107" s="195" t="str">
        <f t="shared" si="36"/>
        <v/>
      </c>
      <c r="C107" s="507">
        <f>IF(D93="","-",+C106+1)</f>
        <v>2017</v>
      </c>
      <c r="D107" s="508">
        <v>32107047.777800288</v>
      </c>
      <c r="E107" s="516">
        <v>881633.92857142852</v>
      </c>
      <c r="F107" s="515">
        <v>31225413.849228859</v>
      </c>
      <c r="G107" s="515">
        <v>31666230.813514575</v>
      </c>
      <c r="H107" s="516">
        <v>4728177.1448464729</v>
      </c>
      <c r="I107" s="510">
        <v>4728177.1448464729</v>
      </c>
      <c r="J107" s="514">
        <f t="shared" si="30"/>
        <v>0</v>
      </c>
      <c r="K107" s="514"/>
      <c r="L107" s="518">
        <f t="shared" si="39"/>
        <v>4728177.1448464729</v>
      </c>
      <c r="M107" s="519">
        <f t="shared" si="37"/>
        <v>0</v>
      </c>
      <c r="N107" s="518">
        <f t="shared" si="40"/>
        <v>4728177.1448464729</v>
      </c>
      <c r="O107" s="514">
        <f t="shared" si="38"/>
        <v>0</v>
      </c>
      <c r="P107" s="514">
        <f>+O107-M107</f>
        <v>0</v>
      </c>
      <c r="Q107" s="269"/>
    </row>
    <row r="108" spans="1:17">
      <c r="B108" s="195" t="str">
        <f t="shared" si="36"/>
        <v/>
      </c>
      <c r="C108" s="507">
        <f>IF(D93="","-",+C107+1)</f>
        <v>2018</v>
      </c>
      <c r="D108" s="508">
        <v>31225413.849228859</v>
      </c>
      <c r="E108" s="516">
        <v>881633.92857142852</v>
      </c>
      <c r="F108" s="515">
        <v>30343779.92065743</v>
      </c>
      <c r="G108" s="515">
        <v>30784596.884943143</v>
      </c>
      <c r="H108" s="516">
        <v>4132628.5322350259</v>
      </c>
      <c r="I108" s="510">
        <v>4132628.5322350259</v>
      </c>
      <c r="J108" s="514">
        <f t="shared" si="30"/>
        <v>0</v>
      </c>
      <c r="K108" s="514"/>
      <c r="L108" s="518">
        <f t="shared" si="39"/>
        <v>4132628.5322350259</v>
      </c>
      <c r="M108" s="519">
        <f t="shared" si="37"/>
        <v>0</v>
      </c>
      <c r="N108" s="518">
        <f t="shared" si="40"/>
        <v>4132628.5322350259</v>
      </c>
      <c r="O108" s="514">
        <f t="shared" si="38"/>
        <v>0</v>
      </c>
      <c r="P108" s="514">
        <f t="shared" si="35"/>
        <v>0</v>
      </c>
      <c r="Q108" s="269"/>
    </row>
    <row r="109" spans="1:17">
      <c r="B109" s="195" t="str">
        <f t="shared" si="36"/>
        <v/>
      </c>
      <c r="C109" s="507">
        <f>IF(D93="","-",+C108+1)</f>
        <v>2019</v>
      </c>
      <c r="D109" s="508">
        <v>30343779.92065743</v>
      </c>
      <c r="E109" s="516">
        <v>861130.81395348837</v>
      </c>
      <c r="F109" s="515">
        <v>29482649.106703941</v>
      </c>
      <c r="G109" s="515">
        <v>29913214.513680685</v>
      </c>
      <c r="H109" s="516">
        <v>4063057.6443278007</v>
      </c>
      <c r="I109" s="510">
        <v>4063057.6443278007</v>
      </c>
      <c r="J109" s="514">
        <f t="shared" si="30"/>
        <v>0</v>
      </c>
      <c r="K109" s="514"/>
      <c r="L109" s="518">
        <f t="shared" si="39"/>
        <v>4063057.6443278007</v>
      </c>
      <c r="M109" s="519">
        <f t="shared" ref="M109:M110" si="41">IF(L109&lt;&gt;0,+H109-L109,0)</f>
        <v>0</v>
      </c>
      <c r="N109" s="518">
        <f t="shared" si="40"/>
        <v>4063057.6443278007</v>
      </c>
      <c r="O109" s="514">
        <f t="shared" si="34"/>
        <v>0</v>
      </c>
      <c r="P109" s="514">
        <f t="shared" si="35"/>
        <v>0</v>
      </c>
      <c r="Q109" s="269"/>
    </row>
    <row r="110" spans="1:17">
      <c r="B110" s="195" t="str">
        <f t="shared" si="36"/>
        <v/>
      </c>
      <c r="C110" s="507">
        <f>IF(D93="","-",+C109+1)</f>
        <v>2020</v>
      </c>
      <c r="D110" s="508">
        <v>29482649.106703941</v>
      </c>
      <c r="E110" s="516">
        <v>881633.92857142852</v>
      </c>
      <c r="F110" s="515">
        <v>28601015.178132512</v>
      </c>
      <c r="G110" s="515">
        <v>29041832.142418228</v>
      </c>
      <c r="H110" s="516">
        <v>4005775.1149744629</v>
      </c>
      <c r="I110" s="510">
        <v>4005775.1149744629</v>
      </c>
      <c r="J110" s="514">
        <f t="shared" si="30"/>
        <v>0</v>
      </c>
      <c r="K110" s="514"/>
      <c r="L110" s="518">
        <f t="shared" si="39"/>
        <v>4005775.1149744629</v>
      </c>
      <c r="M110" s="519">
        <f t="shared" si="41"/>
        <v>0</v>
      </c>
      <c r="N110" s="518">
        <f t="shared" si="40"/>
        <v>4005775.1149744629</v>
      </c>
      <c r="O110" s="514">
        <f t="shared" si="34"/>
        <v>0</v>
      </c>
      <c r="P110" s="514">
        <f t="shared" si="35"/>
        <v>0</v>
      </c>
      <c r="Q110" s="269"/>
    </row>
    <row r="111" spans="1:17">
      <c r="B111" s="195" t="str">
        <f t="shared" si="36"/>
        <v/>
      </c>
      <c r="C111" s="507">
        <f>IF(D93="","-",+C110+1)</f>
        <v>2021</v>
      </c>
      <c r="D111" s="508">
        <v>28601015.178132512</v>
      </c>
      <c r="E111" s="516">
        <v>903137.19512195117</v>
      </c>
      <c r="F111" s="515">
        <v>27697877.98301056</v>
      </c>
      <c r="G111" s="515">
        <v>28149446.580571536</v>
      </c>
      <c r="H111" s="516">
        <v>4098499.8465098133</v>
      </c>
      <c r="I111" s="510">
        <v>4098499.8465098133</v>
      </c>
      <c r="J111" s="514">
        <f t="shared" si="30"/>
        <v>0</v>
      </c>
      <c r="K111" s="514"/>
      <c r="L111" s="518">
        <f t="shared" ref="L111" si="42">H111</f>
        <v>4098499.8465098133</v>
      </c>
      <c r="M111" s="519">
        <f t="shared" ref="M111" si="43">IF(L111&lt;&gt;0,+H111-L111,0)</f>
        <v>0</v>
      </c>
      <c r="N111" s="518">
        <f t="shared" ref="N111" si="44">I111</f>
        <v>4098499.8465098133</v>
      </c>
      <c r="O111" s="514">
        <f t="shared" ref="O111" si="45">IF(N111&lt;&gt;0,+I111-N111,0)</f>
        <v>0</v>
      </c>
      <c r="P111" s="514">
        <f t="shared" ref="P111" si="46">+O111-M111</f>
        <v>0</v>
      </c>
      <c r="Q111" s="269"/>
    </row>
    <row r="112" spans="1:17">
      <c r="B112" s="195" t="str">
        <f t="shared" si="36"/>
        <v/>
      </c>
      <c r="C112" s="673">
        <f>IF(D93="","-",+C111+1)</f>
        <v>2022</v>
      </c>
      <c r="D112" s="374">
        <v>27697877.98301056</v>
      </c>
      <c r="E112" s="522">
        <v>881633.92857142852</v>
      </c>
      <c r="F112" s="523">
        <v>26816244.054439131</v>
      </c>
      <c r="G112" s="523">
        <v>27257061.018724844</v>
      </c>
      <c r="H112" s="526">
        <v>4083189.5235062321</v>
      </c>
      <c r="I112" s="577">
        <v>4083189.5235062321</v>
      </c>
      <c r="J112" s="514">
        <f t="shared" si="30"/>
        <v>0</v>
      </c>
      <c r="K112" s="514"/>
      <c r="L112" s="525"/>
      <c r="M112" s="514">
        <f t="shared" si="32"/>
        <v>0</v>
      </c>
      <c r="N112" s="525"/>
      <c r="O112" s="514">
        <f t="shared" si="34"/>
        <v>0</v>
      </c>
      <c r="P112" s="514">
        <f t="shared" si="35"/>
        <v>0</v>
      </c>
      <c r="Q112" s="269"/>
    </row>
    <row r="113" spans="2:17">
      <c r="B113" s="195" t="str">
        <f t="shared" si="36"/>
        <v/>
      </c>
      <c r="C113" s="507">
        <f>IF(D93="","-",+C112+1)</f>
        <v>2023</v>
      </c>
      <c r="D113" s="374">
        <f>IF(F112+SUM(E$99:E112)=D$92,F112,D$92-SUM(E$99:E112))</f>
        <v>26816244.054439131</v>
      </c>
      <c r="E113" s="522">
        <f>IF(+J96&lt;F112,J96,D113)</f>
        <v>903137.19512195117</v>
      </c>
      <c r="F113" s="523">
        <f t="shared" ref="F113:F130" si="47">+D113-E113</f>
        <v>25913106.85931718</v>
      </c>
      <c r="G113" s="523">
        <f t="shared" ref="G113:G130" si="48">+(F113+D113)/2</f>
        <v>26364675.456878155</v>
      </c>
      <c r="H113" s="526">
        <f t="shared" ref="H113:H154" si="49">+J$94*G113+E113</f>
        <v>3895902.9331530333</v>
      </c>
      <c r="I113" s="577">
        <f t="shared" ref="I113:I154" si="50">+J$95*G113+E113</f>
        <v>3895902.9331530333</v>
      </c>
      <c r="J113" s="514">
        <f t="shared" si="30"/>
        <v>0</v>
      </c>
      <c r="K113" s="514"/>
      <c r="L113" s="525"/>
      <c r="M113" s="514">
        <f t="shared" si="32"/>
        <v>0</v>
      </c>
      <c r="N113" s="525"/>
      <c r="O113" s="514">
        <f t="shared" si="34"/>
        <v>0</v>
      </c>
      <c r="P113" s="514">
        <f t="shared" si="35"/>
        <v>0</v>
      </c>
      <c r="Q113" s="269"/>
    </row>
    <row r="114" spans="2:17">
      <c r="B114" s="195" t="str">
        <f t="shared" si="36"/>
        <v/>
      </c>
      <c r="C114" s="507">
        <f>IF(D93="","-",+C113+1)</f>
        <v>2024</v>
      </c>
      <c r="D114" s="374">
        <f>IF(F113+SUM(E$99:E113)=D$92,F113,D$92-SUM(E$99:E113))</f>
        <v>25913106.85931718</v>
      </c>
      <c r="E114" s="522">
        <f>IF(+J96&lt;F113,J96,D114)</f>
        <v>903137.19512195117</v>
      </c>
      <c r="F114" s="523">
        <f t="shared" si="47"/>
        <v>25009969.664195228</v>
      </c>
      <c r="G114" s="523">
        <f t="shared" si="48"/>
        <v>25461538.261756204</v>
      </c>
      <c r="H114" s="526">
        <f t="shared" si="49"/>
        <v>3793384.0131411683</v>
      </c>
      <c r="I114" s="577">
        <f t="shared" si="50"/>
        <v>3793384.0131411683</v>
      </c>
      <c r="J114" s="514">
        <f t="shared" si="30"/>
        <v>0</v>
      </c>
      <c r="K114" s="514"/>
      <c r="L114" s="525"/>
      <c r="M114" s="514">
        <f t="shared" si="32"/>
        <v>0</v>
      </c>
      <c r="N114" s="525"/>
      <c r="O114" s="514">
        <f t="shared" si="34"/>
        <v>0</v>
      </c>
      <c r="P114" s="514">
        <f t="shared" si="35"/>
        <v>0</v>
      </c>
      <c r="Q114" s="269"/>
    </row>
    <row r="115" spans="2:17">
      <c r="B115" s="195" t="str">
        <f t="shared" si="36"/>
        <v/>
      </c>
      <c r="C115" s="507">
        <f>IF(D93="","-",+C114+1)</f>
        <v>2025</v>
      </c>
      <c r="D115" s="374">
        <f>IF(F114+SUM(E$99:E114)=D$92,F114,D$92-SUM(E$99:E114))</f>
        <v>25009969.664195228</v>
      </c>
      <c r="E115" s="522">
        <f>IF(+J96&lt;F114,J96,D115)</f>
        <v>903137.19512195117</v>
      </c>
      <c r="F115" s="523">
        <f t="shared" si="47"/>
        <v>24106832.469073277</v>
      </c>
      <c r="G115" s="523">
        <f t="shared" si="48"/>
        <v>24558401.066634253</v>
      </c>
      <c r="H115" s="526">
        <f t="shared" si="49"/>
        <v>3690865.0931293033</v>
      </c>
      <c r="I115" s="577">
        <f t="shared" si="50"/>
        <v>3690865.0931293033</v>
      </c>
      <c r="J115" s="514">
        <f t="shared" si="30"/>
        <v>0</v>
      </c>
      <c r="K115" s="514"/>
      <c r="L115" s="525"/>
      <c r="M115" s="514">
        <f t="shared" si="32"/>
        <v>0</v>
      </c>
      <c r="N115" s="525"/>
      <c r="O115" s="514">
        <f t="shared" si="34"/>
        <v>0</v>
      </c>
      <c r="P115" s="514">
        <f t="shared" si="35"/>
        <v>0</v>
      </c>
      <c r="Q115" s="269"/>
    </row>
    <row r="116" spans="2:17">
      <c r="B116" s="195" t="str">
        <f t="shared" si="36"/>
        <v/>
      </c>
      <c r="C116" s="507">
        <f>IF(D93="","-",+C115+1)</f>
        <v>2026</v>
      </c>
      <c r="D116" s="374">
        <f>IF(F115+SUM(E$99:E115)=D$92,F115,D$92-SUM(E$99:E115))</f>
        <v>24106832.469073277</v>
      </c>
      <c r="E116" s="522">
        <f>IF(+J96&lt;F115,J96,D116)</f>
        <v>903137.19512195117</v>
      </c>
      <c r="F116" s="523">
        <f t="shared" si="47"/>
        <v>23203695.273951326</v>
      </c>
      <c r="G116" s="523">
        <f t="shared" si="48"/>
        <v>23655263.871512301</v>
      </c>
      <c r="H116" s="526">
        <f t="shared" si="49"/>
        <v>3588346.1731174383</v>
      </c>
      <c r="I116" s="577">
        <f t="shared" si="50"/>
        <v>3588346.1731174383</v>
      </c>
      <c r="J116" s="514">
        <f t="shared" si="30"/>
        <v>0</v>
      </c>
      <c r="K116" s="514"/>
      <c r="L116" s="525"/>
      <c r="M116" s="514">
        <f t="shared" si="32"/>
        <v>0</v>
      </c>
      <c r="N116" s="525"/>
      <c r="O116" s="514">
        <f t="shared" si="34"/>
        <v>0</v>
      </c>
      <c r="P116" s="514">
        <f t="shared" si="35"/>
        <v>0</v>
      </c>
      <c r="Q116" s="269"/>
    </row>
    <row r="117" spans="2:17">
      <c r="B117" s="195" t="str">
        <f t="shared" si="36"/>
        <v/>
      </c>
      <c r="C117" s="507">
        <f>IF(D93="","-",+C116+1)</f>
        <v>2027</v>
      </c>
      <c r="D117" s="374">
        <f>IF(F116+SUM(E$99:E116)=D$92,F116,D$92-SUM(E$99:E116))</f>
        <v>23203695.273951326</v>
      </c>
      <c r="E117" s="522">
        <f>IF(+J96&lt;F116,J96,D117)</f>
        <v>903137.19512195117</v>
      </c>
      <c r="F117" s="523">
        <f t="shared" si="47"/>
        <v>22300558.078829374</v>
      </c>
      <c r="G117" s="523">
        <f t="shared" si="48"/>
        <v>22752126.67639035</v>
      </c>
      <c r="H117" s="526">
        <f t="shared" si="49"/>
        <v>3485827.2531055734</v>
      </c>
      <c r="I117" s="577">
        <f t="shared" si="50"/>
        <v>3485827.2531055734</v>
      </c>
      <c r="J117" s="514">
        <f t="shared" si="30"/>
        <v>0</v>
      </c>
      <c r="K117" s="514"/>
      <c r="L117" s="525"/>
      <c r="M117" s="514">
        <f t="shared" si="32"/>
        <v>0</v>
      </c>
      <c r="N117" s="525"/>
      <c r="O117" s="514">
        <f t="shared" si="34"/>
        <v>0</v>
      </c>
      <c r="P117" s="514">
        <f t="shared" si="35"/>
        <v>0</v>
      </c>
      <c r="Q117" s="269"/>
    </row>
    <row r="118" spans="2:17">
      <c r="B118" s="195" t="str">
        <f t="shared" si="36"/>
        <v/>
      </c>
      <c r="C118" s="507">
        <f>IF(D93="","-",+C117+1)</f>
        <v>2028</v>
      </c>
      <c r="D118" s="374">
        <f>IF(F117+SUM(E$99:E117)=D$92,F117,D$92-SUM(E$99:E117))</f>
        <v>22300558.078829374</v>
      </c>
      <c r="E118" s="522">
        <f>IF(+J96&lt;F117,J96,D118)</f>
        <v>903137.19512195117</v>
      </c>
      <c r="F118" s="523">
        <f t="shared" si="47"/>
        <v>21397420.883707423</v>
      </c>
      <c r="G118" s="523">
        <f t="shared" si="48"/>
        <v>21848989.481268398</v>
      </c>
      <c r="H118" s="526">
        <f t="shared" si="49"/>
        <v>3383308.3330937084</v>
      </c>
      <c r="I118" s="577">
        <f t="shared" si="50"/>
        <v>3383308.3330937084</v>
      </c>
      <c r="J118" s="514">
        <f t="shared" si="30"/>
        <v>0</v>
      </c>
      <c r="K118" s="514"/>
      <c r="L118" s="525"/>
      <c r="M118" s="514">
        <f t="shared" si="32"/>
        <v>0</v>
      </c>
      <c r="N118" s="525"/>
      <c r="O118" s="514">
        <f t="shared" si="34"/>
        <v>0</v>
      </c>
      <c r="P118" s="514">
        <f t="shared" si="35"/>
        <v>0</v>
      </c>
      <c r="Q118" s="269"/>
    </row>
    <row r="119" spans="2:17">
      <c r="B119" s="195" t="str">
        <f t="shared" si="36"/>
        <v/>
      </c>
      <c r="C119" s="507">
        <f>IF(D93="","-",+C118+1)</f>
        <v>2029</v>
      </c>
      <c r="D119" s="374">
        <f>IF(F118+SUM(E$99:E118)=D$92,F118,D$92-SUM(E$99:E118))</f>
        <v>21397420.883707423</v>
      </c>
      <c r="E119" s="522">
        <f>IF(+J96&lt;F118,J96,D119)</f>
        <v>903137.19512195117</v>
      </c>
      <c r="F119" s="523">
        <f t="shared" si="47"/>
        <v>20494283.688585471</v>
      </c>
      <c r="G119" s="523">
        <f t="shared" si="48"/>
        <v>20945852.286146447</v>
      </c>
      <c r="H119" s="526">
        <f t="shared" si="49"/>
        <v>3280789.4130818434</v>
      </c>
      <c r="I119" s="577">
        <f t="shared" si="50"/>
        <v>3280789.4130818434</v>
      </c>
      <c r="J119" s="514">
        <f t="shared" si="30"/>
        <v>0</v>
      </c>
      <c r="K119" s="514"/>
      <c r="L119" s="525"/>
      <c r="M119" s="514">
        <f t="shared" si="32"/>
        <v>0</v>
      </c>
      <c r="N119" s="525"/>
      <c r="O119" s="514">
        <f t="shared" si="34"/>
        <v>0</v>
      </c>
      <c r="P119" s="514">
        <f t="shared" si="35"/>
        <v>0</v>
      </c>
      <c r="Q119" s="269"/>
    </row>
    <row r="120" spans="2:17">
      <c r="B120" s="195" t="str">
        <f t="shared" si="36"/>
        <v/>
      </c>
      <c r="C120" s="507">
        <f>IF(D93="","-",+C119+1)</f>
        <v>2030</v>
      </c>
      <c r="D120" s="374">
        <f>IF(F119+SUM(E$99:E119)=D$92,F119,D$92-SUM(E$99:E119))</f>
        <v>20494283.688585471</v>
      </c>
      <c r="E120" s="522">
        <f>IF(+J96&lt;F119,J96,D120)</f>
        <v>903137.19512195117</v>
      </c>
      <c r="F120" s="523">
        <f t="shared" si="47"/>
        <v>19591146.49346352</v>
      </c>
      <c r="G120" s="523">
        <f t="shared" si="48"/>
        <v>20042715.091024496</v>
      </c>
      <c r="H120" s="526">
        <f t="shared" si="49"/>
        <v>3178270.4930699794</v>
      </c>
      <c r="I120" s="577">
        <f t="shared" si="50"/>
        <v>3178270.4930699794</v>
      </c>
      <c r="J120" s="514">
        <f t="shared" si="30"/>
        <v>0</v>
      </c>
      <c r="K120" s="514"/>
      <c r="L120" s="525"/>
      <c r="M120" s="514">
        <f t="shared" si="32"/>
        <v>0</v>
      </c>
      <c r="N120" s="525"/>
      <c r="O120" s="514">
        <f t="shared" si="34"/>
        <v>0</v>
      </c>
      <c r="P120" s="514">
        <f t="shared" si="35"/>
        <v>0</v>
      </c>
      <c r="Q120" s="269"/>
    </row>
    <row r="121" spans="2:17">
      <c r="B121" s="195" t="str">
        <f t="shared" si="36"/>
        <v/>
      </c>
      <c r="C121" s="507">
        <f>IF(D93="","-",+C120+1)</f>
        <v>2031</v>
      </c>
      <c r="D121" s="374">
        <f>IF(F120+SUM(E$99:E120)=D$92,F120,D$92-SUM(E$99:E120))</f>
        <v>19591146.49346352</v>
      </c>
      <c r="E121" s="522">
        <f>IF(+J96&lt;F120,J96,D121)</f>
        <v>903137.19512195117</v>
      </c>
      <c r="F121" s="523">
        <f t="shared" si="47"/>
        <v>18688009.298341569</v>
      </c>
      <c r="G121" s="523">
        <f t="shared" si="48"/>
        <v>19139577.895902544</v>
      </c>
      <c r="H121" s="526">
        <f t="shared" si="49"/>
        <v>3075751.5730581144</v>
      </c>
      <c r="I121" s="577">
        <f t="shared" si="50"/>
        <v>3075751.5730581144</v>
      </c>
      <c r="J121" s="514">
        <f t="shared" si="30"/>
        <v>0</v>
      </c>
      <c r="K121" s="514"/>
      <c r="L121" s="525"/>
      <c r="M121" s="514">
        <f t="shared" si="32"/>
        <v>0</v>
      </c>
      <c r="N121" s="525"/>
      <c r="O121" s="514">
        <f t="shared" si="34"/>
        <v>0</v>
      </c>
      <c r="P121" s="514">
        <f t="shared" si="35"/>
        <v>0</v>
      </c>
      <c r="Q121" s="269"/>
    </row>
    <row r="122" spans="2:17">
      <c r="B122" s="195" t="str">
        <f t="shared" si="36"/>
        <v/>
      </c>
      <c r="C122" s="507">
        <f>IF(D93="","-",+C121+1)</f>
        <v>2032</v>
      </c>
      <c r="D122" s="374">
        <f>IF(F121+SUM(E$99:E121)=D$92,F121,D$92-SUM(E$99:E121))</f>
        <v>18688009.298341569</v>
      </c>
      <c r="E122" s="522">
        <f>IF(+J96&lt;F121,J96,D122)</f>
        <v>903137.19512195117</v>
      </c>
      <c r="F122" s="523">
        <f t="shared" si="47"/>
        <v>17784872.103219617</v>
      </c>
      <c r="G122" s="523">
        <f t="shared" si="48"/>
        <v>18236440.700780593</v>
      </c>
      <c r="H122" s="526">
        <f t="shared" si="49"/>
        <v>2973232.6530462494</v>
      </c>
      <c r="I122" s="577">
        <f t="shared" si="50"/>
        <v>2973232.6530462494</v>
      </c>
      <c r="J122" s="514">
        <f t="shared" si="30"/>
        <v>0</v>
      </c>
      <c r="K122" s="514"/>
      <c r="L122" s="525"/>
      <c r="M122" s="514">
        <f t="shared" si="32"/>
        <v>0</v>
      </c>
      <c r="N122" s="525"/>
      <c r="O122" s="514">
        <f t="shared" si="34"/>
        <v>0</v>
      </c>
      <c r="P122" s="514">
        <f t="shared" si="35"/>
        <v>0</v>
      </c>
      <c r="Q122" s="269"/>
    </row>
    <row r="123" spans="2:17">
      <c r="B123" s="195" t="str">
        <f t="shared" si="36"/>
        <v/>
      </c>
      <c r="C123" s="507">
        <f>IF(D93="","-",+C122+1)</f>
        <v>2033</v>
      </c>
      <c r="D123" s="374">
        <f>IF(F122+SUM(E$99:E122)=D$92,F122,D$92-SUM(E$99:E122))</f>
        <v>17784872.103219617</v>
      </c>
      <c r="E123" s="522">
        <f>IF(+J96&lt;F122,J96,D123)</f>
        <v>903137.19512195117</v>
      </c>
      <c r="F123" s="523">
        <f t="shared" si="47"/>
        <v>16881734.908097666</v>
      </c>
      <c r="G123" s="523">
        <f t="shared" si="48"/>
        <v>17333303.505658641</v>
      </c>
      <c r="H123" s="526">
        <f t="shared" si="49"/>
        <v>2870713.7330343844</v>
      </c>
      <c r="I123" s="577">
        <f t="shared" si="50"/>
        <v>2870713.7330343844</v>
      </c>
      <c r="J123" s="514">
        <f t="shared" si="30"/>
        <v>0</v>
      </c>
      <c r="K123" s="514"/>
      <c r="L123" s="525"/>
      <c r="M123" s="514">
        <f t="shared" si="32"/>
        <v>0</v>
      </c>
      <c r="N123" s="525"/>
      <c r="O123" s="514">
        <f t="shared" si="34"/>
        <v>0</v>
      </c>
      <c r="P123" s="514">
        <f t="shared" si="35"/>
        <v>0</v>
      </c>
      <c r="Q123" s="269"/>
    </row>
    <row r="124" spans="2:17">
      <c r="B124" s="195" t="str">
        <f t="shared" si="36"/>
        <v/>
      </c>
      <c r="C124" s="507">
        <f>IF(D93="","-",+C123+1)</f>
        <v>2034</v>
      </c>
      <c r="D124" s="374">
        <f>IF(F123+SUM(E$99:E123)=D$92,F123,D$92-SUM(E$99:E123))</f>
        <v>16881734.908097666</v>
      </c>
      <c r="E124" s="522">
        <f>IF(+J96&lt;F123,J96,D124)</f>
        <v>903137.19512195117</v>
      </c>
      <c r="F124" s="523">
        <f t="shared" si="47"/>
        <v>15978597.712975714</v>
      </c>
      <c r="G124" s="523">
        <f t="shared" si="48"/>
        <v>16430166.31053669</v>
      </c>
      <c r="H124" s="526">
        <f t="shared" si="49"/>
        <v>2768194.8130225195</v>
      </c>
      <c r="I124" s="577">
        <f t="shared" si="50"/>
        <v>2768194.8130225195</v>
      </c>
      <c r="J124" s="514">
        <f t="shared" si="30"/>
        <v>0</v>
      </c>
      <c r="K124" s="514"/>
      <c r="L124" s="525"/>
      <c r="M124" s="514">
        <f t="shared" si="32"/>
        <v>0</v>
      </c>
      <c r="N124" s="525"/>
      <c r="O124" s="514">
        <f t="shared" si="34"/>
        <v>0</v>
      </c>
      <c r="P124" s="514">
        <f t="shared" si="35"/>
        <v>0</v>
      </c>
      <c r="Q124" s="269"/>
    </row>
    <row r="125" spans="2:17">
      <c r="B125" s="195" t="str">
        <f t="shared" si="36"/>
        <v/>
      </c>
      <c r="C125" s="507">
        <f>IF(D93="","-",+C124+1)</f>
        <v>2035</v>
      </c>
      <c r="D125" s="374">
        <f>IF(F124+SUM(E$99:E124)=D$92,F124,D$92-SUM(E$99:E124))</f>
        <v>15978597.712975714</v>
      </c>
      <c r="E125" s="522">
        <f>IF(+J96&lt;F124,J96,D125)</f>
        <v>903137.19512195117</v>
      </c>
      <c r="F125" s="523">
        <f t="shared" si="47"/>
        <v>15075460.517853763</v>
      </c>
      <c r="G125" s="523">
        <f t="shared" si="48"/>
        <v>15527029.115414739</v>
      </c>
      <c r="H125" s="526">
        <f t="shared" si="49"/>
        <v>2665675.8930106545</v>
      </c>
      <c r="I125" s="577">
        <f t="shared" si="50"/>
        <v>2665675.8930106545</v>
      </c>
      <c r="J125" s="514">
        <f t="shared" si="30"/>
        <v>0</v>
      </c>
      <c r="K125" s="514"/>
      <c r="L125" s="525"/>
      <c r="M125" s="514">
        <f t="shared" si="32"/>
        <v>0</v>
      </c>
      <c r="N125" s="525"/>
      <c r="O125" s="514">
        <f t="shared" si="34"/>
        <v>0</v>
      </c>
      <c r="P125" s="514">
        <f t="shared" si="35"/>
        <v>0</v>
      </c>
      <c r="Q125" s="269"/>
    </row>
    <row r="126" spans="2:17">
      <c r="B126" s="195" t="str">
        <f t="shared" si="36"/>
        <v/>
      </c>
      <c r="C126" s="507">
        <f>IF(D93="","-",+C125+1)</f>
        <v>2036</v>
      </c>
      <c r="D126" s="374">
        <f>IF(F125+SUM(E$99:E125)=D$92,F125,D$92-SUM(E$99:E125))</f>
        <v>15075460.517853763</v>
      </c>
      <c r="E126" s="522">
        <f>IF(+J96&lt;F125,J96,D126)</f>
        <v>903137.19512195117</v>
      </c>
      <c r="F126" s="523">
        <f t="shared" si="47"/>
        <v>14172323.322731812</v>
      </c>
      <c r="G126" s="523">
        <f t="shared" si="48"/>
        <v>14623891.920292787</v>
      </c>
      <c r="H126" s="526">
        <f t="shared" si="49"/>
        <v>2563156.97299879</v>
      </c>
      <c r="I126" s="577">
        <f t="shared" si="50"/>
        <v>2563156.97299879</v>
      </c>
      <c r="J126" s="514">
        <f t="shared" si="30"/>
        <v>0</v>
      </c>
      <c r="K126" s="514"/>
      <c r="L126" s="525"/>
      <c r="M126" s="514">
        <f t="shared" si="32"/>
        <v>0</v>
      </c>
      <c r="N126" s="525"/>
      <c r="O126" s="514">
        <f t="shared" si="34"/>
        <v>0</v>
      </c>
      <c r="P126" s="514">
        <f t="shared" si="35"/>
        <v>0</v>
      </c>
      <c r="Q126" s="269"/>
    </row>
    <row r="127" spans="2:17">
      <c r="B127" s="195" t="str">
        <f t="shared" si="36"/>
        <v/>
      </c>
      <c r="C127" s="507">
        <f>IF(D93="","-",+C126+1)</f>
        <v>2037</v>
      </c>
      <c r="D127" s="374">
        <f>IF(F126+SUM(E$99:E126)=D$92,F126,D$92-SUM(E$99:E126))</f>
        <v>14172323.322731812</v>
      </c>
      <c r="E127" s="522">
        <f>IF(+J96&lt;F126,J96,D127)</f>
        <v>903137.19512195117</v>
      </c>
      <c r="F127" s="523">
        <f t="shared" si="47"/>
        <v>13269186.12760986</v>
      </c>
      <c r="G127" s="523">
        <f t="shared" si="48"/>
        <v>13720754.725170836</v>
      </c>
      <c r="H127" s="526">
        <f t="shared" si="49"/>
        <v>2460638.052986925</v>
      </c>
      <c r="I127" s="577">
        <f t="shared" si="50"/>
        <v>2460638.052986925</v>
      </c>
      <c r="J127" s="514">
        <f t="shared" si="30"/>
        <v>0</v>
      </c>
      <c r="K127" s="514"/>
      <c r="L127" s="525"/>
      <c r="M127" s="514">
        <f t="shared" si="32"/>
        <v>0</v>
      </c>
      <c r="N127" s="525"/>
      <c r="O127" s="514">
        <f t="shared" si="34"/>
        <v>0</v>
      </c>
      <c r="P127" s="514">
        <f t="shared" si="35"/>
        <v>0</v>
      </c>
      <c r="Q127" s="269"/>
    </row>
    <row r="128" spans="2:17">
      <c r="B128" s="195" t="str">
        <f t="shared" si="36"/>
        <v/>
      </c>
      <c r="C128" s="507">
        <f>IF(D93="","-",+C127+1)</f>
        <v>2038</v>
      </c>
      <c r="D128" s="374">
        <f>IF(F127+SUM(E$99:E127)=D$92,F127,D$92-SUM(E$99:E127))</f>
        <v>13269186.12760986</v>
      </c>
      <c r="E128" s="522">
        <f>IF(+J96&lt;F127,J96,D128)</f>
        <v>903137.19512195117</v>
      </c>
      <c r="F128" s="523">
        <f t="shared" si="47"/>
        <v>12366048.932487909</v>
      </c>
      <c r="G128" s="523">
        <f t="shared" si="48"/>
        <v>12817617.530048884</v>
      </c>
      <c r="H128" s="526">
        <f t="shared" si="49"/>
        <v>2358119.1329750605</v>
      </c>
      <c r="I128" s="577">
        <f t="shared" si="50"/>
        <v>2358119.1329750605</v>
      </c>
      <c r="J128" s="514">
        <f t="shared" si="30"/>
        <v>0</v>
      </c>
      <c r="K128" s="514"/>
      <c r="L128" s="525"/>
      <c r="M128" s="514">
        <f t="shared" si="32"/>
        <v>0</v>
      </c>
      <c r="N128" s="525"/>
      <c r="O128" s="514">
        <f t="shared" si="34"/>
        <v>0</v>
      </c>
      <c r="P128" s="514">
        <f t="shared" si="35"/>
        <v>0</v>
      </c>
      <c r="Q128" s="269"/>
    </row>
    <row r="129" spans="2:17">
      <c r="B129" s="195" t="str">
        <f t="shared" si="36"/>
        <v/>
      </c>
      <c r="C129" s="507">
        <f>IF(D93="","-",+C128+1)</f>
        <v>2039</v>
      </c>
      <c r="D129" s="374">
        <f>IF(F128+SUM(E$99:E128)=D$92,F128,D$92-SUM(E$99:E128))</f>
        <v>12366048.932487909</v>
      </c>
      <c r="E129" s="522">
        <f>IF(+J96&lt;F128,J96,D129)</f>
        <v>903137.19512195117</v>
      </c>
      <c r="F129" s="523">
        <f t="shared" si="47"/>
        <v>11462911.737365957</v>
      </c>
      <c r="G129" s="523">
        <f t="shared" si="48"/>
        <v>11914480.334926933</v>
      </c>
      <c r="H129" s="526">
        <f t="shared" si="49"/>
        <v>2255600.2129631955</v>
      </c>
      <c r="I129" s="577">
        <f t="shared" si="50"/>
        <v>2255600.2129631955</v>
      </c>
      <c r="J129" s="514">
        <f t="shared" si="30"/>
        <v>0</v>
      </c>
      <c r="K129" s="514"/>
      <c r="L129" s="525"/>
      <c r="M129" s="514">
        <f t="shared" si="32"/>
        <v>0</v>
      </c>
      <c r="N129" s="525"/>
      <c r="O129" s="514">
        <f t="shared" si="34"/>
        <v>0</v>
      </c>
      <c r="P129" s="514">
        <f t="shared" si="35"/>
        <v>0</v>
      </c>
      <c r="Q129" s="269"/>
    </row>
    <row r="130" spans="2:17">
      <c r="B130" s="195" t="str">
        <f t="shared" si="36"/>
        <v/>
      </c>
      <c r="C130" s="507">
        <f>IF(D93="","-",+C129+1)</f>
        <v>2040</v>
      </c>
      <c r="D130" s="374">
        <f>IF(F129+SUM(E$99:E129)=D$92,F129,D$92-SUM(E$99:E129))</f>
        <v>11462911.737365957</v>
      </c>
      <c r="E130" s="522">
        <f>IF(+J96&lt;F129,J96,D130)</f>
        <v>903137.19512195117</v>
      </c>
      <c r="F130" s="523">
        <f t="shared" si="47"/>
        <v>10559774.542244006</v>
      </c>
      <c r="G130" s="523">
        <f t="shared" si="48"/>
        <v>11011343.139804982</v>
      </c>
      <c r="H130" s="526">
        <f t="shared" si="49"/>
        <v>2153081.2929513305</v>
      </c>
      <c r="I130" s="577">
        <f t="shared" si="50"/>
        <v>2153081.2929513305</v>
      </c>
      <c r="J130" s="514">
        <f t="shared" si="30"/>
        <v>0</v>
      </c>
      <c r="K130" s="514"/>
      <c r="L130" s="525"/>
      <c r="M130" s="514">
        <f t="shared" si="32"/>
        <v>0</v>
      </c>
      <c r="N130" s="525"/>
      <c r="O130" s="514">
        <f t="shared" si="34"/>
        <v>0</v>
      </c>
      <c r="P130" s="514">
        <f t="shared" si="35"/>
        <v>0</v>
      </c>
      <c r="Q130" s="269"/>
    </row>
    <row r="131" spans="2:17">
      <c r="B131" s="195" t="str">
        <f t="shared" si="36"/>
        <v/>
      </c>
      <c r="C131" s="507">
        <f>IF(D93="","-",+C130+1)</f>
        <v>2041</v>
      </c>
      <c r="D131" s="374">
        <f>IF(F130+SUM(E$99:E130)=D$92,F130,D$92-SUM(E$99:E130))</f>
        <v>10559774.542244006</v>
      </c>
      <c r="E131" s="522">
        <f>IF(+J96&lt;F130,J96,D131)</f>
        <v>903137.19512195117</v>
      </c>
      <c r="F131" s="523">
        <f t="shared" ref="F131:F154" si="51">+D131-E131</f>
        <v>9656637.3471220545</v>
      </c>
      <c r="G131" s="523">
        <f t="shared" ref="G131:G154" si="52">+(F131+D131)/2</f>
        <v>10108205.94468303</v>
      </c>
      <c r="H131" s="526">
        <f t="shared" si="49"/>
        <v>2050562.3729394656</v>
      </c>
      <c r="I131" s="577">
        <f t="shared" si="50"/>
        <v>2050562.3729394656</v>
      </c>
      <c r="J131" s="514">
        <f t="shared" ref="J131:J154" si="53">+I131-H131</f>
        <v>0</v>
      </c>
      <c r="K131" s="514"/>
      <c r="L131" s="525"/>
      <c r="M131" s="514">
        <f t="shared" ref="M131:M154" si="54">IF(L131&lt;&gt;0,+H131-L131,0)</f>
        <v>0</v>
      </c>
      <c r="N131" s="525"/>
      <c r="O131" s="514">
        <f t="shared" ref="O131:O154" si="55">IF(N131&lt;&gt;0,+I131-N131,0)</f>
        <v>0</v>
      </c>
      <c r="P131" s="514">
        <f t="shared" ref="P131:P154" si="56">+O131-M131</f>
        <v>0</v>
      </c>
      <c r="Q131" s="269"/>
    </row>
    <row r="132" spans="2:17">
      <c r="B132" s="195" t="str">
        <f t="shared" si="36"/>
        <v/>
      </c>
      <c r="C132" s="507">
        <f>IF(D93="","-",+C131+1)</f>
        <v>2042</v>
      </c>
      <c r="D132" s="374">
        <f>IF(F131+SUM(E$99:E131)=D$92,F131,D$92-SUM(E$99:E131))</f>
        <v>9656637.3471220545</v>
      </c>
      <c r="E132" s="522">
        <f>IF(+J96&lt;F131,J96,D132)</f>
        <v>903137.19512195117</v>
      </c>
      <c r="F132" s="523">
        <f t="shared" si="51"/>
        <v>8753500.1520001031</v>
      </c>
      <c r="G132" s="523">
        <f t="shared" si="52"/>
        <v>9205068.7495610788</v>
      </c>
      <c r="H132" s="526">
        <f t="shared" si="49"/>
        <v>1948043.4529276008</v>
      </c>
      <c r="I132" s="577">
        <f t="shared" si="50"/>
        <v>1948043.4529276008</v>
      </c>
      <c r="J132" s="514">
        <f t="shared" si="53"/>
        <v>0</v>
      </c>
      <c r="K132" s="514"/>
      <c r="L132" s="525"/>
      <c r="M132" s="514">
        <f t="shared" si="54"/>
        <v>0</v>
      </c>
      <c r="N132" s="525"/>
      <c r="O132" s="514">
        <f t="shared" si="55"/>
        <v>0</v>
      </c>
      <c r="P132" s="514">
        <f t="shared" si="56"/>
        <v>0</v>
      </c>
      <c r="Q132" s="269"/>
    </row>
    <row r="133" spans="2:17">
      <c r="B133" s="195" t="str">
        <f t="shared" si="36"/>
        <v/>
      </c>
      <c r="C133" s="507">
        <f>IF(D93="","-",+C132+1)</f>
        <v>2043</v>
      </c>
      <c r="D133" s="374">
        <f>IF(F132+SUM(E$99:E132)=D$92,F132,D$92-SUM(E$99:E132))</f>
        <v>8753500.1520001031</v>
      </c>
      <c r="E133" s="522">
        <f>IF(+J96&lt;F132,J96,D133)</f>
        <v>903137.19512195117</v>
      </c>
      <c r="F133" s="523">
        <f t="shared" si="51"/>
        <v>7850362.9568781517</v>
      </c>
      <c r="G133" s="523">
        <f t="shared" si="52"/>
        <v>8301931.5544391274</v>
      </c>
      <c r="H133" s="526">
        <f t="shared" si="49"/>
        <v>1845524.5329157361</v>
      </c>
      <c r="I133" s="577">
        <f t="shared" si="50"/>
        <v>1845524.5329157361</v>
      </c>
      <c r="J133" s="514">
        <f t="shared" si="53"/>
        <v>0</v>
      </c>
      <c r="K133" s="514"/>
      <c r="L133" s="525"/>
      <c r="M133" s="514">
        <f t="shared" si="54"/>
        <v>0</v>
      </c>
      <c r="N133" s="525"/>
      <c r="O133" s="514">
        <f t="shared" si="55"/>
        <v>0</v>
      </c>
      <c r="P133" s="514">
        <f t="shared" si="56"/>
        <v>0</v>
      </c>
      <c r="Q133" s="269"/>
    </row>
    <row r="134" spans="2:17">
      <c r="B134" s="195" t="str">
        <f t="shared" si="36"/>
        <v/>
      </c>
      <c r="C134" s="507">
        <f>IF(D93="","-",+C133+1)</f>
        <v>2044</v>
      </c>
      <c r="D134" s="374">
        <f>IF(F133+SUM(E$99:E133)=D$92,F133,D$92-SUM(E$99:E133))</f>
        <v>7850362.9568781517</v>
      </c>
      <c r="E134" s="522">
        <f>IF(+J96&lt;F133,J96,D134)</f>
        <v>903137.19512195117</v>
      </c>
      <c r="F134" s="523">
        <f t="shared" si="51"/>
        <v>6947225.7617562003</v>
      </c>
      <c r="G134" s="523">
        <f t="shared" si="52"/>
        <v>7398794.359317176</v>
      </c>
      <c r="H134" s="526">
        <f t="shared" si="49"/>
        <v>1743005.6129038711</v>
      </c>
      <c r="I134" s="577">
        <f t="shared" si="50"/>
        <v>1743005.6129038711</v>
      </c>
      <c r="J134" s="514">
        <f t="shared" si="53"/>
        <v>0</v>
      </c>
      <c r="K134" s="514"/>
      <c r="L134" s="525"/>
      <c r="M134" s="514">
        <f t="shared" si="54"/>
        <v>0</v>
      </c>
      <c r="N134" s="525"/>
      <c r="O134" s="514">
        <f t="shared" si="55"/>
        <v>0</v>
      </c>
      <c r="P134" s="514">
        <f t="shared" si="56"/>
        <v>0</v>
      </c>
      <c r="Q134" s="269"/>
    </row>
    <row r="135" spans="2:17">
      <c r="B135" s="195" t="str">
        <f t="shared" si="36"/>
        <v/>
      </c>
      <c r="C135" s="507">
        <f>IF(D93="","-",+C134+1)</f>
        <v>2045</v>
      </c>
      <c r="D135" s="374">
        <f>IF(F134+SUM(E$99:E134)=D$92,F134,D$92-SUM(E$99:E134))</f>
        <v>6947225.7617562003</v>
      </c>
      <c r="E135" s="522">
        <f>IF(+J96&lt;F134,J96,D135)</f>
        <v>903137.19512195117</v>
      </c>
      <c r="F135" s="523">
        <f t="shared" si="51"/>
        <v>6044088.5666342489</v>
      </c>
      <c r="G135" s="523">
        <f t="shared" si="52"/>
        <v>6495657.1641952246</v>
      </c>
      <c r="H135" s="526">
        <f t="shared" si="49"/>
        <v>1640486.6928920061</v>
      </c>
      <c r="I135" s="577">
        <f t="shared" si="50"/>
        <v>1640486.6928920061</v>
      </c>
      <c r="J135" s="514">
        <f t="shared" si="53"/>
        <v>0</v>
      </c>
      <c r="K135" s="514"/>
      <c r="L135" s="525"/>
      <c r="M135" s="514">
        <f t="shared" si="54"/>
        <v>0</v>
      </c>
      <c r="N135" s="525"/>
      <c r="O135" s="514">
        <f t="shared" si="55"/>
        <v>0</v>
      </c>
      <c r="P135" s="514">
        <f t="shared" si="56"/>
        <v>0</v>
      </c>
      <c r="Q135" s="269"/>
    </row>
    <row r="136" spans="2:17">
      <c r="B136" s="195" t="str">
        <f t="shared" si="36"/>
        <v/>
      </c>
      <c r="C136" s="507">
        <f>IF(D93="","-",+C135+1)</f>
        <v>2046</v>
      </c>
      <c r="D136" s="374">
        <f>IF(F135+SUM(E$99:E135)=D$92,F135,D$92-SUM(E$99:E135))</f>
        <v>6044088.5666342489</v>
      </c>
      <c r="E136" s="522">
        <f>IF(+J96&lt;F135,J96,D136)</f>
        <v>903137.19512195117</v>
      </c>
      <c r="F136" s="523">
        <f t="shared" si="51"/>
        <v>5140951.3715122975</v>
      </c>
      <c r="G136" s="523">
        <f t="shared" si="52"/>
        <v>5592519.9690732732</v>
      </c>
      <c r="H136" s="526">
        <f t="shared" si="49"/>
        <v>1537967.7728801414</v>
      </c>
      <c r="I136" s="577">
        <f t="shared" si="50"/>
        <v>1537967.7728801414</v>
      </c>
      <c r="J136" s="514">
        <f t="shared" si="53"/>
        <v>0</v>
      </c>
      <c r="K136" s="514"/>
      <c r="L136" s="525"/>
      <c r="M136" s="514">
        <f t="shared" si="54"/>
        <v>0</v>
      </c>
      <c r="N136" s="525"/>
      <c r="O136" s="514">
        <f t="shared" si="55"/>
        <v>0</v>
      </c>
      <c r="P136" s="514">
        <f t="shared" si="56"/>
        <v>0</v>
      </c>
      <c r="Q136" s="269"/>
    </row>
    <row r="137" spans="2:17">
      <c r="B137" s="195" t="str">
        <f t="shared" si="36"/>
        <v/>
      </c>
      <c r="C137" s="507">
        <f>IF(D93="","-",+C136+1)</f>
        <v>2047</v>
      </c>
      <c r="D137" s="374">
        <f>IF(F136+SUM(E$99:E136)=D$92,F136,D$92-SUM(E$99:E136))</f>
        <v>5140951.3715122975</v>
      </c>
      <c r="E137" s="522">
        <f>IF(+J96&lt;F136,J96,D137)</f>
        <v>903137.19512195117</v>
      </c>
      <c r="F137" s="523">
        <f t="shared" si="51"/>
        <v>4237814.1763903461</v>
      </c>
      <c r="G137" s="523">
        <f t="shared" si="52"/>
        <v>4689382.7739513218</v>
      </c>
      <c r="H137" s="526">
        <f t="shared" si="49"/>
        <v>1435448.8528682766</v>
      </c>
      <c r="I137" s="577">
        <f t="shared" si="50"/>
        <v>1435448.8528682766</v>
      </c>
      <c r="J137" s="514">
        <f t="shared" si="53"/>
        <v>0</v>
      </c>
      <c r="K137" s="514"/>
      <c r="L137" s="525"/>
      <c r="M137" s="514">
        <f t="shared" si="54"/>
        <v>0</v>
      </c>
      <c r="N137" s="525"/>
      <c r="O137" s="514">
        <f t="shared" si="55"/>
        <v>0</v>
      </c>
      <c r="P137" s="514">
        <f t="shared" si="56"/>
        <v>0</v>
      </c>
      <c r="Q137" s="269"/>
    </row>
    <row r="138" spans="2:17">
      <c r="B138" s="195" t="str">
        <f t="shared" si="36"/>
        <v/>
      </c>
      <c r="C138" s="507">
        <f>IF(D93="","-",+C137+1)</f>
        <v>2048</v>
      </c>
      <c r="D138" s="374">
        <f>IF(F137+SUM(E$99:E137)=D$92,F137,D$92-SUM(E$99:E137))</f>
        <v>4237814.1763903461</v>
      </c>
      <c r="E138" s="522">
        <f>IF(+J96&lt;F137,J96,D138)</f>
        <v>903137.19512195117</v>
      </c>
      <c r="F138" s="523">
        <f t="shared" si="51"/>
        <v>3334676.9812683947</v>
      </c>
      <c r="G138" s="523">
        <f t="shared" si="52"/>
        <v>3786245.5788293704</v>
      </c>
      <c r="H138" s="526">
        <f t="shared" si="49"/>
        <v>1332929.9328564117</v>
      </c>
      <c r="I138" s="577">
        <f t="shared" si="50"/>
        <v>1332929.9328564117</v>
      </c>
      <c r="J138" s="514">
        <f t="shared" si="53"/>
        <v>0</v>
      </c>
      <c r="K138" s="514"/>
      <c r="L138" s="525"/>
      <c r="M138" s="514">
        <f t="shared" si="54"/>
        <v>0</v>
      </c>
      <c r="N138" s="525"/>
      <c r="O138" s="514">
        <f t="shared" si="55"/>
        <v>0</v>
      </c>
      <c r="P138" s="514">
        <f t="shared" si="56"/>
        <v>0</v>
      </c>
      <c r="Q138" s="269"/>
    </row>
    <row r="139" spans="2:17">
      <c r="B139" s="195" t="str">
        <f t="shared" si="36"/>
        <v/>
      </c>
      <c r="C139" s="507">
        <f>IF(D93="","-",+C138+1)</f>
        <v>2049</v>
      </c>
      <c r="D139" s="374">
        <f>IF(F138+SUM(E$99:E138)=D$92,F138,D$92-SUM(E$99:E138))</f>
        <v>3334676.9812683947</v>
      </c>
      <c r="E139" s="522">
        <f>IF(+J96&lt;F138,J96,D139)</f>
        <v>903137.19512195117</v>
      </c>
      <c r="F139" s="523">
        <f t="shared" si="51"/>
        <v>2431539.7861464433</v>
      </c>
      <c r="G139" s="523">
        <f t="shared" si="52"/>
        <v>2883108.383707419</v>
      </c>
      <c r="H139" s="526">
        <f t="shared" si="49"/>
        <v>1230411.0128445467</v>
      </c>
      <c r="I139" s="577">
        <f t="shared" si="50"/>
        <v>1230411.0128445467</v>
      </c>
      <c r="J139" s="514">
        <f t="shared" si="53"/>
        <v>0</v>
      </c>
      <c r="K139" s="514"/>
      <c r="L139" s="525"/>
      <c r="M139" s="514">
        <f t="shared" si="54"/>
        <v>0</v>
      </c>
      <c r="N139" s="525"/>
      <c r="O139" s="514">
        <f t="shared" si="55"/>
        <v>0</v>
      </c>
      <c r="P139" s="514">
        <f t="shared" si="56"/>
        <v>0</v>
      </c>
      <c r="Q139" s="269"/>
    </row>
    <row r="140" spans="2:17">
      <c r="B140" s="195" t="str">
        <f t="shared" si="36"/>
        <v/>
      </c>
      <c r="C140" s="507">
        <f>IF(D93="","-",+C139+1)</f>
        <v>2050</v>
      </c>
      <c r="D140" s="374">
        <f>IF(F139+SUM(E$99:E139)=D$92,F139,D$92-SUM(E$99:E139))</f>
        <v>2431539.7861464433</v>
      </c>
      <c r="E140" s="522">
        <f>IF(+J96&lt;F139,J96,D140)</f>
        <v>903137.19512195117</v>
      </c>
      <c r="F140" s="523">
        <f t="shared" si="51"/>
        <v>1528402.5910244922</v>
      </c>
      <c r="G140" s="523">
        <f t="shared" si="52"/>
        <v>1979971.1885854676</v>
      </c>
      <c r="H140" s="526">
        <f t="shared" si="49"/>
        <v>1127892.092832682</v>
      </c>
      <c r="I140" s="577">
        <f t="shared" si="50"/>
        <v>1127892.092832682</v>
      </c>
      <c r="J140" s="514">
        <f t="shared" si="53"/>
        <v>0</v>
      </c>
      <c r="K140" s="514"/>
      <c r="L140" s="525"/>
      <c r="M140" s="514">
        <f t="shared" si="54"/>
        <v>0</v>
      </c>
      <c r="N140" s="525"/>
      <c r="O140" s="514">
        <f t="shared" si="55"/>
        <v>0</v>
      </c>
      <c r="P140" s="514">
        <f t="shared" si="56"/>
        <v>0</v>
      </c>
      <c r="Q140" s="269"/>
    </row>
    <row r="141" spans="2:17">
      <c r="B141" s="195" t="str">
        <f t="shared" si="36"/>
        <v/>
      </c>
      <c r="C141" s="507">
        <f>IF(D93="","-",+C140+1)</f>
        <v>2051</v>
      </c>
      <c r="D141" s="374">
        <f>IF(F140+SUM(E$99:E140)=D$92,F140,D$92-SUM(E$99:E140))</f>
        <v>1528402.5910244922</v>
      </c>
      <c r="E141" s="522">
        <f>IF(+J96&lt;F140,J96,D141)</f>
        <v>903137.19512195117</v>
      </c>
      <c r="F141" s="523">
        <f t="shared" si="51"/>
        <v>625265.395902541</v>
      </c>
      <c r="G141" s="523">
        <f t="shared" si="52"/>
        <v>1076833.9934635167</v>
      </c>
      <c r="H141" s="526">
        <f t="shared" si="49"/>
        <v>1025373.1728208172</v>
      </c>
      <c r="I141" s="577">
        <f t="shared" si="50"/>
        <v>1025373.1728208172</v>
      </c>
      <c r="J141" s="514">
        <f t="shared" si="53"/>
        <v>0</v>
      </c>
      <c r="K141" s="514"/>
      <c r="L141" s="525"/>
      <c r="M141" s="514">
        <f t="shared" si="54"/>
        <v>0</v>
      </c>
      <c r="N141" s="525"/>
      <c r="O141" s="514">
        <f t="shared" si="55"/>
        <v>0</v>
      </c>
      <c r="P141" s="514">
        <f t="shared" si="56"/>
        <v>0</v>
      </c>
      <c r="Q141" s="269"/>
    </row>
    <row r="142" spans="2:17">
      <c r="B142" s="195" t="str">
        <f t="shared" si="36"/>
        <v/>
      </c>
      <c r="C142" s="507">
        <f>IF(D93="","-",+C141+1)</f>
        <v>2052</v>
      </c>
      <c r="D142" s="374">
        <f>IF(F141+SUM(E$99:E141)=D$92,F141,D$92-SUM(E$99:E141))</f>
        <v>625265.395902541</v>
      </c>
      <c r="E142" s="522">
        <f>IF(+J96&lt;F141,J96,D142)</f>
        <v>625265.395902541</v>
      </c>
      <c r="F142" s="523">
        <f t="shared" si="51"/>
        <v>0</v>
      </c>
      <c r="G142" s="523">
        <f t="shared" si="52"/>
        <v>312632.6979512705</v>
      </c>
      <c r="H142" s="526">
        <f t="shared" si="49"/>
        <v>660753.65474900778</v>
      </c>
      <c r="I142" s="577">
        <f t="shared" si="50"/>
        <v>660753.65474900778</v>
      </c>
      <c r="J142" s="514">
        <f t="shared" si="53"/>
        <v>0</v>
      </c>
      <c r="K142" s="514"/>
      <c r="L142" s="525"/>
      <c r="M142" s="514">
        <f t="shared" si="54"/>
        <v>0</v>
      </c>
      <c r="N142" s="525"/>
      <c r="O142" s="514">
        <f t="shared" si="55"/>
        <v>0</v>
      </c>
      <c r="P142" s="514">
        <f t="shared" si="56"/>
        <v>0</v>
      </c>
      <c r="Q142" s="269"/>
    </row>
    <row r="143" spans="2:17">
      <c r="B143" s="195" t="str">
        <f t="shared" si="36"/>
        <v/>
      </c>
      <c r="C143" s="507">
        <f>IF(D93="","-",+C142+1)</f>
        <v>2053</v>
      </c>
      <c r="D143" s="374">
        <f>IF(F142+SUM(E$99:E142)=D$92,F142,D$92-SUM(E$99:E142))</f>
        <v>0</v>
      </c>
      <c r="E143" s="522">
        <f>IF(+J96&lt;F142,J96,D143)</f>
        <v>0</v>
      </c>
      <c r="F143" s="523">
        <f t="shared" si="51"/>
        <v>0</v>
      </c>
      <c r="G143" s="523">
        <f t="shared" si="52"/>
        <v>0</v>
      </c>
      <c r="H143" s="526">
        <f t="shared" si="49"/>
        <v>0</v>
      </c>
      <c r="I143" s="577">
        <f t="shared" si="50"/>
        <v>0</v>
      </c>
      <c r="J143" s="514">
        <f t="shared" si="53"/>
        <v>0</v>
      </c>
      <c r="K143" s="514"/>
      <c r="L143" s="525"/>
      <c r="M143" s="514">
        <f t="shared" si="54"/>
        <v>0</v>
      </c>
      <c r="N143" s="525"/>
      <c r="O143" s="514">
        <f t="shared" si="55"/>
        <v>0</v>
      </c>
      <c r="P143" s="514">
        <f t="shared" si="56"/>
        <v>0</v>
      </c>
      <c r="Q143" s="269"/>
    </row>
    <row r="144" spans="2:17">
      <c r="B144" s="195" t="str">
        <f t="shared" si="36"/>
        <v/>
      </c>
      <c r="C144" s="507">
        <f>IF(D93="","-",+C143+1)</f>
        <v>2054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51"/>
        <v>0</v>
      </c>
      <c r="G144" s="523">
        <f t="shared" si="52"/>
        <v>0</v>
      </c>
      <c r="H144" s="526">
        <f t="shared" si="49"/>
        <v>0</v>
      </c>
      <c r="I144" s="577">
        <f t="shared" si="50"/>
        <v>0</v>
      </c>
      <c r="J144" s="514">
        <f t="shared" si="53"/>
        <v>0</v>
      </c>
      <c r="K144" s="514"/>
      <c r="L144" s="525"/>
      <c r="M144" s="514">
        <f t="shared" si="54"/>
        <v>0</v>
      </c>
      <c r="N144" s="525"/>
      <c r="O144" s="514">
        <f t="shared" si="55"/>
        <v>0</v>
      </c>
      <c r="P144" s="514">
        <f t="shared" si="56"/>
        <v>0</v>
      </c>
      <c r="Q144" s="269"/>
    </row>
    <row r="145" spans="2:17">
      <c r="B145" s="195" t="str">
        <f t="shared" si="36"/>
        <v/>
      </c>
      <c r="C145" s="507">
        <f>IF(D93="","-",+C144+1)</f>
        <v>2055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51"/>
        <v>0</v>
      </c>
      <c r="G145" s="523">
        <f t="shared" si="52"/>
        <v>0</v>
      </c>
      <c r="H145" s="526">
        <f t="shared" si="49"/>
        <v>0</v>
      </c>
      <c r="I145" s="577">
        <f t="shared" si="50"/>
        <v>0</v>
      </c>
      <c r="J145" s="514">
        <f t="shared" si="53"/>
        <v>0</v>
      </c>
      <c r="K145" s="514"/>
      <c r="L145" s="525"/>
      <c r="M145" s="514">
        <f t="shared" si="54"/>
        <v>0</v>
      </c>
      <c r="N145" s="525"/>
      <c r="O145" s="514">
        <f t="shared" si="55"/>
        <v>0</v>
      </c>
      <c r="P145" s="514">
        <f t="shared" si="56"/>
        <v>0</v>
      </c>
      <c r="Q145" s="269"/>
    </row>
    <row r="146" spans="2:17">
      <c r="B146" s="195" t="str">
        <f t="shared" si="36"/>
        <v/>
      </c>
      <c r="C146" s="507">
        <f>IF(D93="","-",+C145+1)</f>
        <v>2056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51"/>
        <v>0</v>
      </c>
      <c r="G146" s="523">
        <f t="shared" si="52"/>
        <v>0</v>
      </c>
      <c r="H146" s="526">
        <f t="shared" si="49"/>
        <v>0</v>
      </c>
      <c r="I146" s="577">
        <f t="shared" si="50"/>
        <v>0</v>
      </c>
      <c r="J146" s="514">
        <f t="shared" si="53"/>
        <v>0</v>
      </c>
      <c r="K146" s="514"/>
      <c r="L146" s="525"/>
      <c r="M146" s="514">
        <f t="shared" si="54"/>
        <v>0</v>
      </c>
      <c r="N146" s="525"/>
      <c r="O146" s="514">
        <f t="shared" si="55"/>
        <v>0</v>
      </c>
      <c r="P146" s="514">
        <f t="shared" si="56"/>
        <v>0</v>
      </c>
      <c r="Q146" s="269"/>
    </row>
    <row r="147" spans="2:17">
      <c r="B147" s="195" t="str">
        <f t="shared" si="36"/>
        <v/>
      </c>
      <c r="C147" s="507">
        <f>IF(D93="","-",+C146+1)</f>
        <v>2057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51"/>
        <v>0</v>
      </c>
      <c r="G147" s="523">
        <f t="shared" si="52"/>
        <v>0</v>
      </c>
      <c r="H147" s="526">
        <f t="shared" si="49"/>
        <v>0</v>
      </c>
      <c r="I147" s="577">
        <f t="shared" si="50"/>
        <v>0</v>
      </c>
      <c r="J147" s="514">
        <f t="shared" si="53"/>
        <v>0</v>
      </c>
      <c r="K147" s="514"/>
      <c r="L147" s="525"/>
      <c r="M147" s="514">
        <f t="shared" si="54"/>
        <v>0</v>
      </c>
      <c r="N147" s="525"/>
      <c r="O147" s="514">
        <f t="shared" si="55"/>
        <v>0</v>
      </c>
      <c r="P147" s="514">
        <f t="shared" si="56"/>
        <v>0</v>
      </c>
      <c r="Q147" s="269"/>
    </row>
    <row r="148" spans="2:17">
      <c r="B148" s="195" t="str">
        <f t="shared" si="36"/>
        <v/>
      </c>
      <c r="C148" s="507">
        <f>IF(D93="","-",+C147+1)</f>
        <v>2058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51"/>
        <v>0</v>
      </c>
      <c r="G148" s="523">
        <f t="shared" si="52"/>
        <v>0</v>
      </c>
      <c r="H148" s="526">
        <f t="shared" si="49"/>
        <v>0</v>
      </c>
      <c r="I148" s="577">
        <f t="shared" si="50"/>
        <v>0</v>
      </c>
      <c r="J148" s="514">
        <f t="shared" si="53"/>
        <v>0</v>
      </c>
      <c r="K148" s="514"/>
      <c r="L148" s="525"/>
      <c r="M148" s="514">
        <f t="shared" si="54"/>
        <v>0</v>
      </c>
      <c r="N148" s="525"/>
      <c r="O148" s="514">
        <f t="shared" si="55"/>
        <v>0</v>
      </c>
      <c r="P148" s="514">
        <f t="shared" si="56"/>
        <v>0</v>
      </c>
      <c r="Q148" s="269"/>
    </row>
    <row r="149" spans="2:17">
      <c r="B149" s="195" t="str">
        <f t="shared" si="36"/>
        <v/>
      </c>
      <c r="C149" s="507">
        <f>IF(D93="","-",+C148+1)</f>
        <v>2059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51"/>
        <v>0</v>
      </c>
      <c r="G149" s="523">
        <f t="shared" si="52"/>
        <v>0</v>
      </c>
      <c r="H149" s="526">
        <f t="shared" si="49"/>
        <v>0</v>
      </c>
      <c r="I149" s="577">
        <f t="shared" si="50"/>
        <v>0</v>
      </c>
      <c r="J149" s="514">
        <f t="shared" si="53"/>
        <v>0</v>
      </c>
      <c r="K149" s="514"/>
      <c r="L149" s="525"/>
      <c r="M149" s="514">
        <f t="shared" si="54"/>
        <v>0</v>
      </c>
      <c r="N149" s="525"/>
      <c r="O149" s="514">
        <f t="shared" si="55"/>
        <v>0</v>
      </c>
      <c r="P149" s="514">
        <f t="shared" si="56"/>
        <v>0</v>
      </c>
      <c r="Q149" s="269"/>
    </row>
    <row r="150" spans="2:17">
      <c r="B150" s="195" t="str">
        <f t="shared" si="36"/>
        <v/>
      </c>
      <c r="C150" s="507">
        <f>IF(D93="","-",+C149+1)</f>
        <v>2060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51"/>
        <v>0</v>
      </c>
      <c r="G150" s="523">
        <f t="shared" si="52"/>
        <v>0</v>
      </c>
      <c r="H150" s="526">
        <f t="shared" si="49"/>
        <v>0</v>
      </c>
      <c r="I150" s="577">
        <f t="shared" si="50"/>
        <v>0</v>
      </c>
      <c r="J150" s="514">
        <f t="shared" si="53"/>
        <v>0</v>
      </c>
      <c r="K150" s="514"/>
      <c r="L150" s="525"/>
      <c r="M150" s="514">
        <f t="shared" si="54"/>
        <v>0</v>
      </c>
      <c r="N150" s="525"/>
      <c r="O150" s="514">
        <f t="shared" si="55"/>
        <v>0</v>
      </c>
      <c r="P150" s="514">
        <f t="shared" si="56"/>
        <v>0</v>
      </c>
      <c r="Q150" s="269"/>
    </row>
    <row r="151" spans="2:17">
      <c r="B151" s="195" t="str">
        <f t="shared" si="36"/>
        <v/>
      </c>
      <c r="C151" s="507">
        <f>IF(D93="","-",+C150+1)</f>
        <v>2061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51"/>
        <v>0</v>
      </c>
      <c r="G151" s="523">
        <f t="shared" si="52"/>
        <v>0</v>
      </c>
      <c r="H151" s="526">
        <f t="shared" si="49"/>
        <v>0</v>
      </c>
      <c r="I151" s="577">
        <f t="shared" si="50"/>
        <v>0</v>
      </c>
      <c r="J151" s="514">
        <f t="shared" si="53"/>
        <v>0</v>
      </c>
      <c r="K151" s="514"/>
      <c r="L151" s="525"/>
      <c r="M151" s="514">
        <f t="shared" si="54"/>
        <v>0</v>
      </c>
      <c r="N151" s="525"/>
      <c r="O151" s="514">
        <f t="shared" si="55"/>
        <v>0</v>
      </c>
      <c r="P151" s="514">
        <f t="shared" si="56"/>
        <v>0</v>
      </c>
      <c r="Q151" s="269"/>
    </row>
    <row r="152" spans="2:17">
      <c r="B152" s="195" t="str">
        <f t="shared" si="36"/>
        <v/>
      </c>
      <c r="C152" s="507">
        <f>IF(D93="","-",+C151+1)</f>
        <v>2062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51"/>
        <v>0</v>
      </c>
      <c r="G152" s="523">
        <f t="shared" si="52"/>
        <v>0</v>
      </c>
      <c r="H152" s="526">
        <f t="shared" si="49"/>
        <v>0</v>
      </c>
      <c r="I152" s="577">
        <f t="shared" si="50"/>
        <v>0</v>
      </c>
      <c r="J152" s="514">
        <f t="shared" si="53"/>
        <v>0</v>
      </c>
      <c r="K152" s="514"/>
      <c r="L152" s="525"/>
      <c r="M152" s="514">
        <f t="shared" si="54"/>
        <v>0</v>
      </c>
      <c r="N152" s="525"/>
      <c r="O152" s="514">
        <f t="shared" si="55"/>
        <v>0</v>
      </c>
      <c r="P152" s="514">
        <f t="shared" si="56"/>
        <v>0</v>
      </c>
      <c r="Q152" s="269"/>
    </row>
    <row r="153" spans="2:17">
      <c r="B153" s="195" t="str">
        <f t="shared" si="36"/>
        <v/>
      </c>
      <c r="C153" s="507">
        <f>IF(D93="","-",+C152+1)</f>
        <v>2063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51"/>
        <v>0</v>
      </c>
      <c r="G153" s="523">
        <f t="shared" si="52"/>
        <v>0</v>
      </c>
      <c r="H153" s="526">
        <f t="shared" si="49"/>
        <v>0</v>
      </c>
      <c r="I153" s="577">
        <f t="shared" si="50"/>
        <v>0</v>
      </c>
      <c r="J153" s="514">
        <f t="shared" si="53"/>
        <v>0</v>
      </c>
      <c r="K153" s="514"/>
      <c r="L153" s="525"/>
      <c r="M153" s="514">
        <f t="shared" si="54"/>
        <v>0</v>
      </c>
      <c r="N153" s="525"/>
      <c r="O153" s="514">
        <f t="shared" si="55"/>
        <v>0</v>
      </c>
      <c r="P153" s="514">
        <f t="shared" si="56"/>
        <v>0</v>
      </c>
      <c r="Q153" s="269"/>
    </row>
    <row r="154" spans="2:17" ht="13.5" thickBot="1">
      <c r="B154" s="195" t="str">
        <f t="shared" si="36"/>
        <v/>
      </c>
      <c r="C154" s="527">
        <f>IF(D93="","-",+C153+1)</f>
        <v>2064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51"/>
        <v>0</v>
      </c>
      <c r="G154" s="528">
        <f t="shared" si="52"/>
        <v>0</v>
      </c>
      <c r="H154" s="530">
        <f t="shared" si="49"/>
        <v>0</v>
      </c>
      <c r="I154" s="579">
        <f t="shared" si="50"/>
        <v>0</v>
      </c>
      <c r="J154" s="533">
        <f t="shared" si="53"/>
        <v>0</v>
      </c>
      <c r="K154" s="514"/>
      <c r="L154" s="532"/>
      <c r="M154" s="533">
        <f t="shared" si="54"/>
        <v>0</v>
      </c>
      <c r="N154" s="532"/>
      <c r="O154" s="533">
        <f t="shared" si="55"/>
        <v>0</v>
      </c>
      <c r="P154" s="533">
        <f t="shared" si="56"/>
        <v>0</v>
      </c>
      <c r="Q154" s="269"/>
    </row>
    <row r="155" spans="2:17">
      <c r="C155" s="374" t="s">
        <v>78</v>
      </c>
      <c r="D155" s="375"/>
      <c r="E155" s="375">
        <f>SUM(E99:E154)</f>
        <v>37028625</v>
      </c>
      <c r="F155" s="375"/>
      <c r="G155" s="375"/>
      <c r="H155" s="375">
        <f>SUM(H99:H154)</f>
        <v>128604288.78247364</v>
      </c>
      <c r="I155" s="375">
        <f>SUM(I99:I154)</f>
        <v>128604288.78247364</v>
      </c>
      <c r="J155" s="375">
        <f>SUM(J99:J154)</f>
        <v>0</v>
      </c>
      <c r="K155" s="375"/>
      <c r="L155" s="375"/>
      <c r="M155" s="375"/>
      <c r="N155" s="375"/>
      <c r="O155" s="375"/>
      <c r="P155" s="269"/>
      <c r="Q155" s="269"/>
    </row>
    <row r="156" spans="2:17"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  <c r="Q156" s="269"/>
    </row>
    <row r="157" spans="2:17">
      <c r="C157" s="580" t="s">
        <v>92</v>
      </c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  <c r="Q157" s="269"/>
    </row>
    <row r="158" spans="2:17"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  <c r="Q158" s="269"/>
    </row>
    <row r="159" spans="2:17">
      <c r="C159" s="534" t="s">
        <v>97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  <c r="Q159" s="269"/>
    </row>
    <row r="160" spans="2:17">
      <c r="C160" s="581" t="s">
        <v>79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  <c r="Q160" s="269"/>
    </row>
    <row r="161" spans="3:17">
      <c r="C161" s="581" t="s">
        <v>80</v>
      </c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  <c r="Q161" s="269"/>
    </row>
    <row r="162" spans="3:17" ht="18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454" t="s">
        <v>131</v>
      </c>
      <c r="Q162" s="269"/>
    </row>
  </sheetData>
  <phoneticPr fontId="0" type="noConversion"/>
  <conditionalFormatting sqref="C17:C72">
    <cfRule type="cellIs" dxfId="151" priority="1" stopIfTrue="1" operator="equal">
      <formula>$I$10</formula>
    </cfRule>
  </conditionalFormatting>
  <conditionalFormatting sqref="C99:C154">
    <cfRule type="cellIs" dxfId="150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WrappedLabelHistory xmlns:xsd="http://www.w3.org/2001/XMLSchema" xmlns:xsi="http://www.w3.org/2001/XMLSchema-instance" xmlns="http://www.boldonjames.com/2016/02/Classifier/internal/wrappedLabelHistory">
  <Value>PD94bWwgdmVyc2lvbj0iMS4wIiBlbmNvZGluZz0idXMtYXNjaWkiPz48bGFiZWxIaXN0b3J5IHhtbG5zOnhzZD0iaHR0cDovL3d3dy53My5vcmcvMjAwMS9YTUxTY2hlbWEiIHhtbG5zOnhzaT0iaHR0cDovL3d3dy53My5vcmcvMjAwMS9YTUxTY2hlbWEtaW5zdGFuY2UiIHhtbG5zPSJodHRwOi8vd3d3LmJvbGRvbmphbWVzLmNvbS8yMDE2LzAyL0NsYXNzaWZpZXIvaW50ZXJuYWwvbGFiZWxIaXN0b3J5Ij48aXRlbT48c2lzbCBzaXNsVmVyc2lvbj0iMCIgcG9saWN5PSJlOWMwYjhkNy1iZGI0LTRmZDMtYjYyYS1mNTAzMjdhYWVmY2UiIG9yaWdpbj0iYXV0b1NlbGVjdGVkU3VnZ2VzdGlvbiI+PGVsZW1lbnQgdWlkPSI1MGMzMTgyNC0wNzgwLTQ5MTAtODdkMS1lYWFmZmQxODJkNDIiIHZhbHVlPSIiIHhtbG5zPSJodHRwOi8vd3d3LmJvbGRvbmphbWVzLmNvbS8yMDA4LzAxL3NpZS9pbnRlcm5hbC9sYWJlbCIgLz48ZWxlbWVudCB1aWQ9ImM2NDIxOGFiLWI4ZDEtNDBiNi1hNDc4LWNiOGJlMWUxMGVjYyIgdmFsdWU9IiIgeG1sbnM9Imh0dHA6Ly93d3cuYm9sZG9uamFtZXMuY29tLzIwMDgvMDEvc2llL2ludGVybmFsL2xhYmVsIiAvPjwvc2lzbD48VXNlck5hbWU+Q09SUFxzMTk5OTg5PC9Vc2VyTmFtZT48RGF0ZVRpbWU+MTAvMTEvMjAyMiAyOjM4OjM0IFBNPC9EYXRlVGltZT48TGFiZWxTdHJpbmc+QUVQIEludGVybmFsPC9MYWJlbFN0cmluZz48L2l0ZW0+PC9sYWJlbEhpc3Rvcnk+</Value>
</WrappedLabelHistory>
</file>

<file path=customXml/item2.xml><?xml version="1.0" encoding="utf-8"?>
<sisl xmlns:xsd="http://www.w3.org/2001/XMLSchema" xmlns:xsi="http://www.w3.org/2001/XMLSchema-instance" xmlns="http://www.boldonjames.com/2008/01/sie/internal/label" sislVersion="0" policy="e9c0b8d7-bdb4-4fd3-b62a-f50327aaefce" origin="autoSelectedSuggestion">
  <element uid="50c31824-0780-4910-87d1-eaaffd182d42" value=""/>
  <element uid="c64218ab-b8d1-40b6-a478-cb8be1e10ecc" value=""/>
</sisl>
</file>

<file path=customXml/itemProps1.xml><?xml version="1.0" encoding="utf-8"?>
<ds:datastoreItem xmlns:ds="http://schemas.openxmlformats.org/officeDocument/2006/customXml" ds:itemID="{070833C3-BDFB-4FC2-940F-B85F813DCBD7}">
  <ds:schemaRefs>
    <ds:schemaRef ds:uri="http://www.w3.org/2001/XMLSchema"/>
    <ds:schemaRef ds:uri="http://www.boldonjames.com/2016/02/Classifier/internal/wrappedLabelHistory"/>
  </ds:schemaRefs>
</ds:datastoreItem>
</file>

<file path=customXml/itemProps2.xml><?xml version="1.0" encoding="utf-8"?>
<ds:datastoreItem xmlns:ds="http://schemas.openxmlformats.org/officeDocument/2006/customXml" ds:itemID="{86755917-21C8-4C84-8D7E-4A5C7ED7DACC}">
  <ds:schemaRefs>
    <ds:schemaRef ds:uri="http://www.w3.org/2001/XMLSchema"/>
    <ds:schemaRef ds:uri="http://www.boldonjames.com/2008/01/sie/internal/label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79</vt:i4>
      </vt:variant>
      <vt:variant>
        <vt:lpstr>Named Ranges</vt:lpstr>
      </vt:variant>
      <vt:variant>
        <vt:i4>75</vt:i4>
      </vt:variant>
    </vt:vector>
  </HeadingPairs>
  <TitlesOfParts>
    <vt:vector size="154" baseType="lpstr">
      <vt:lpstr>SWE.Sch.11.Rates</vt:lpstr>
      <vt:lpstr>SWE.WS.F.BPU.ATRR.Projected</vt:lpstr>
      <vt:lpstr>SWE.WS.G.BPU.ATRR.True-up</vt:lpstr>
      <vt:lpstr>S.001</vt:lpstr>
      <vt:lpstr>S.002</vt:lpstr>
      <vt:lpstr>S.003</vt:lpstr>
      <vt:lpstr>S.004</vt:lpstr>
      <vt:lpstr>S.005</vt:lpstr>
      <vt:lpstr>S.006</vt:lpstr>
      <vt:lpstr>S.007</vt:lpstr>
      <vt:lpstr>S.008</vt:lpstr>
      <vt:lpstr>S.009</vt:lpstr>
      <vt:lpstr>S.010</vt:lpstr>
      <vt:lpstr>S.011</vt:lpstr>
      <vt:lpstr>S.012</vt:lpstr>
      <vt:lpstr>S.013</vt:lpstr>
      <vt:lpstr>S.014</vt:lpstr>
      <vt:lpstr>S.015</vt:lpstr>
      <vt:lpstr>S.016</vt:lpstr>
      <vt:lpstr>S.017</vt:lpstr>
      <vt:lpstr>S.018</vt:lpstr>
      <vt:lpstr>S.019</vt:lpstr>
      <vt:lpstr>S.020</vt:lpstr>
      <vt:lpstr>S.021</vt:lpstr>
      <vt:lpstr>S.022</vt:lpstr>
      <vt:lpstr>S.023</vt:lpstr>
      <vt:lpstr>S.024</vt:lpstr>
      <vt:lpstr>S.025</vt:lpstr>
      <vt:lpstr>S.026</vt:lpstr>
      <vt:lpstr>S.027</vt:lpstr>
      <vt:lpstr>S.028</vt:lpstr>
      <vt:lpstr>S.029</vt:lpstr>
      <vt:lpstr>S.030</vt:lpstr>
      <vt:lpstr>S.031</vt:lpstr>
      <vt:lpstr>S.032</vt:lpstr>
      <vt:lpstr>S.033</vt:lpstr>
      <vt:lpstr>S.034</vt:lpstr>
      <vt:lpstr>S.035</vt:lpstr>
      <vt:lpstr>S.036</vt:lpstr>
      <vt:lpstr>S.037</vt:lpstr>
      <vt:lpstr>S.038</vt:lpstr>
      <vt:lpstr>S.039</vt:lpstr>
      <vt:lpstr>S.040</vt:lpstr>
      <vt:lpstr>S.041</vt:lpstr>
      <vt:lpstr>S.042</vt:lpstr>
      <vt:lpstr>S.043</vt:lpstr>
      <vt:lpstr>S.044</vt:lpstr>
      <vt:lpstr>S.045</vt:lpstr>
      <vt:lpstr>S.046</vt:lpstr>
      <vt:lpstr>S.047</vt:lpstr>
      <vt:lpstr>S.048</vt:lpstr>
      <vt:lpstr>S.049</vt:lpstr>
      <vt:lpstr>S.050</vt:lpstr>
      <vt:lpstr>S.051</vt:lpstr>
      <vt:lpstr>S.052</vt:lpstr>
      <vt:lpstr>S.053</vt:lpstr>
      <vt:lpstr>S.054</vt:lpstr>
      <vt:lpstr>S.055</vt:lpstr>
      <vt:lpstr>S.056</vt:lpstr>
      <vt:lpstr>S.057</vt:lpstr>
      <vt:lpstr>S.058</vt:lpstr>
      <vt:lpstr>S.059</vt:lpstr>
      <vt:lpstr>S.060</vt:lpstr>
      <vt:lpstr>S.061</vt:lpstr>
      <vt:lpstr>S.062</vt:lpstr>
      <vt:lpstr>S.063</vt:lpstr>
      <vt:lpstr>S.064</vt:lpstr>
      <vt:lpstr>S.065</vt:lpstr>
      <vt:lpstr>S.066</vt:lpstr>
      <vt:lpstr>S.067</vt:lpstr>
      <vt:lpstr>S.068</vt:lpstr>
      <vt:lpstr>S.069</vt:lpstr>
      <vt:lpstr>S.070</vt:lpstr>
      <vt:lpstr>S.071</vt:lpstr>
      <vt:lpstr>S.072</vt:lpstr>
      <vt:lpstr>S.073</vt:lpstr>
      <vt:lpstr>S.074</vt:lpstr>
      <vt:lpstr>S.075</vt:lpstr>
      <vt:lpstr>S.xyz - blank</vt:lpstr>
      <vt:lpstr>S.001!Print_Area</vt:lpstr>
      <vt:lpstr>S.002!Print_Area</vt:lpstr>
      <vt:lpstr>S.003!Print_Area</vt:lpstr>
      <vt:lpstr>S.004!Print_Area</vt:lpstr>
      <vt:lpstr>S.005!Print_Area</vt:lpstr>
      <vt:lpstr>S.006!Print_Area</vt:lpstr>
      <vt:lpstr>S.007!Print_Area</vt:lpstr>
      <vt:lpstr>S.008!Print_Area</vt:lpstr>
      <vt:lpstr>S.009!Print_Area</vt:lpstr>
      <vt:lpstr>S.010!Print_Area</vt:lpstr>
      <vt:lpstr>S.011!Print_Area</vt:lpstr>
      <vt:lpstr>S.012!Print_Area</vt:lpstr>
      <vt:lpstr>S.013!Print_Area</vt:lpstr>
      <vt:lpstr>S.014!Print_Area</vt:lpstr>
      <vt:lpstr>S.015!Print_Area</vt:lpstr>
      <vt:lpstr>S.016!Print_Area</vt:lpstr>
      <vt:lpstr>S.017!Print_Area</vt:lpstr>
      <vt:lpstr>S.018!Print_Area</vt:lpstr>
      <vt:lpstr>S.019!Print_Area</vt:lpstr>
      <vt:lpstr>S.020!Print_Area</vt:lpstr>
      <vt:lpstr>S.021!Print_Area</vt:lpstr>
      <vt:lpstr>S.022!Print_Area</vt:lpstr>
      <vt:lpstr>S.023!Print_Area</vt:lpstr>
      <vt:lpstr>S.024!Print_Area</vt:lpstr>
      <vt:lpstr>S.025!Print_Area</vt:lpstr>
      <vt:lpstr>S.026!Print_Area</vt:lpstr>
      <vt:lpstr>S.027!Print_Area</vt:lpstr>
      <vt:lpstr>S.028!Print_Area</vt:lpstr>
      <vt:lpstr>S.029!Print_Area</vt:lpstr>
      <vt:lpstr>S.030!Print_Area</vt:lpstr>
      <vt:lpstr>S.031!Print_Area</vt:lpstr>
      <vt:lpstr>S.032!Print_Area</vt:lpstr>
      <vt:lpstr>S.033!Print_Area</vt:lpstr>
      <vt:lpstr>S.034!Print_Area</vt:lpstr>
      <vt:lpstr>S.035!Print_Area</vt:lpstr>
      <vt:lpstr>S.036!Print_Area</vt:lpstr>
      <vt:lpstr>S.037!Print_Area</vt:lpstr>
      <vt:lpstr>S.038!Print_Area</vt:lpstr>
      <vt:lpstr>S.039!Print_Area</vt:lpstr>
      <vt:lpstr>S.040!Print_Area</vt:lpstr>
      <vt:lpstr>S.041!Print_Area</vt:lpstr>
      <vt:lpstr>S.042!Print_Area</vt:lpstr>
      <vt:lpstr>S.043!Print_Area</vt:lpstr>
      <vt:lpstr>S.044!Print_Area</vt:lpstr>
      <vt:lpstr>S.045!Print_Area</vt:lpstr>
      <vt:lpstr>S.046!Print_Area</vt:lpstr>
      <vt:lpstr>S.047!Print_Area</vt:lpstr>
      <vt:lpstr>S.048!Print_Area</vt:lpstr>
      <vt:lpstr>S.049!Print_Area</vt:lpstr>
      <vt:lpstr>S.050!Print_Area</vt:lpstr>
      <vt:lpstr>S.051!Print_Area</vt:lpstr>
      <vt:lpstr>S.052!Print_Area</vt:lpstr>
      <vt:lpstr>S.053!Print_Area</vt:lpstr>
      <vt:lpstr>S.054!Print_Area</vt:lpstr>
      <vt:lpstr>S.055!Print_Area</vt:lpstr>
      <vt:lpstr>S.056!Print_Area</vt:lpstr>
      <vt:lpstr>S.057!Print_Area</vt:lpstr>
      <vt:lpstr>S.058!Print_Area</vt:lpstr>
      <vt:lpstr>S.059!Print_Area</vt:lpstr>
      <vt:lpstr>S.060!Print_Area</vt:lpstr>
      <vt:lpstr>S.061!Print_Area</vt:lpstr>
      <vt:lpstr>S.062!Print_Area</vt:lpstr>
      <vt:lpstr>S.063!Print_Area</vt:lpstr>
      <vt:lpstr>S.064!Print_Area</vt:lpstr>
      <vt:lpstr>S.065!Print_Area</vt:lpstr>
      <vt:lpstr>S.066!Print_Area</vt:lpstr>
      <vt:lpstr>S.067!Print_Area</vt:lpstr>
      <vt:lpstr>S.075!Print_Area</vt:lpstr>
      <vt:lpstr>'S.xyz - blank'!Print_Area</vt:lpstr>
      <vt:lpstr>SWE.Sch.11.Rates!Print_Area</vt:lpstr>
      <vt:lpstr>SWE.WS.F.BPU.ATRR.Projected!Print_Area</vt:lpstr>
      <vt:lpstr>'SWE.WS.G.BPU.ATRR.True-up'!Print_Area</vt:lpstr>
      <vt:lpstr>SWE.Sch.11.Rates!Print_Titles</vt:lpstr>
      <vt:lpstr>SWE.WS.F.BPU.ATRR.Projected!Print_Titles</vt:lpstr>
      <vt:lpstr>'SWE.WS.G.BPU.ATRR.True-up'!Print_Titles</vt:lpstr>
    </vt:vector>
  </TitlesOfParts>
  <Company>AEP-IT-CPS 4/30/3-(8-835-3050)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R.Pennybaker</dc:creator>
  <cp:keywords/>
  <cp:lastModifiedBy>Allyson L Keaton</cp:lastModifiedBy>
  <cp:lastPrinted>2020-04-20T20:30:04Z</cp:lastPrinted>
  <dcterms:created xsi:type="dcterms:W3CDTF">2009-05-11T14:02:48Z</dcterms:created>
  <dcterms:modified xsi:type="dcterms:W3CDTF">2023-10-31T15:04:03Z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ocIndexRef">
    <vt:lpwstr>00fd5ed8-a7c5-4b24-95e2-c7db9b45f41e</vt:lpwstr>
  </property>
  <property fmtid="{D5CDD505-2E9C-101B-9397-08002B2CF9AE}" pid="3" name="bjSaver">
    <vt:lpwstr>clRxCTTKA7z930TtRLwKph96GxWYXtbn</vt:lpwstr>
  </property>
  <property fmtid="{D5CDD505-2E9C-101B-9397-08002B2CF9AE}" pid="4" name="bjDocumentSecurityLabel">
    <vt:lpwstr>AEP Internal</vt:lpwstr>
  </property>
  <property fmtid="{D5CDD505-2E9C-101B-9397-08002B2CF9AE}" pid="5" name="Visual Markings Removed">
    <vt:lpwstr>No</vt:lpwstr>
  </property>
  <property fmtid="{D5CDD505-2E9C-101B-9397-08002B2CF9AE}" pid="6" name="bjDocumentLabelXML">
    <vt:lpwstr>&lt;?xml version="1.0" encoding="us-ascii"?&gt;&lt;sisl xmlns:xsd="http://www.w3.org/2001/XMLSchema" xmlns:xsi="http://www.w3.org/2001/XMLSchema-instance" sislVersion="0" policy="e9c0b8d7-bdb4-4fd3-b62a-f50327aaefce" origin="autoSelectedSuggestion" xmlns="http://w</vt:lpwstr>
  </property>
  <property fmtid="{D5CDD505-2E9C-101B-9397-08002B2CF9AE}" pid="7" name="bjDocumentLabelXML-0">
    <vt:lpwstr>ww.boldonjames.com/2008/01/sie/internal/label"&gt;&lt;element uid="50c31824-0780-4910-87d1-eaaffd182d42" value="" /&gt;&lt;element uid="c64218ab-b8d1-40b6-a478-cb8be1e10ecc" value="" /&gt;&lt;/sisl&gt;</vt:lpwstr>
  </property>
  <property fmtid="{D5CDD505-2E9C-101B-9397-08002B2CF9AE}" pid="8" name="MSIP_Label_69f43042-6bda-44b2-91eb-eca3d3d484f4_SiteId">
    <vt:lpwstr>15f3c881-6b03-4ff6-8559-77bf5177818f</vt:lpwstr>
  </property>
  <property fmtid="{D5CDD505-2E9C-101B-9397-08002B2CF9AE}" pid="9" name="MSIP_Label_69f43042-6bda-44b2-91eb-eca3d3d484f4_Name">
    <vt:lpwstr>AEP Internal</vt:lpwstr>
  </property>
  <property fmtid="{D5CDD505-2E9C-101B-9397-08002B2CF9AE}" pid="10" name="MSIP_Label_69f43042-6bda-44b2-91eb-eca3d3d484f4_Enabled">
    <vt:lpwstr>true</vt:lpwstr>
  </property>
  <property fmtid="{D5CDD505-2E9C-101B-9397-08002B2CF9AE}" pid="11" name="bjClsUserRVM">
    <vt:lpwstr>[]</vt:lpwstr>
  </property>
  <property fmtid="{D5CDD505-2E9C-101B-9397-08002B2CF9AE}" pid="12" name="bjLabelHistoryID">
    <vt:lpwstr>{070833C3-BDFB-4FC2-940F-B85F813DCBD7}</vt:lpwstr>
  </property>
</Properties>
</file>